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/>
  </bookViews>
  <sheets>
    <sheet name="12314561" sheetId="1" r:id="rId1"/>
    <sheet name="12314923 " sheetId="2" r:id="rId2"/>
    <sheet name="12315097" sheetId="3" r:id="rId3"/>
    <sheet name="12322132  " sheetId="4" r:id="rId4"/>
    <sheet name="12329346 " sheetId="5" r:id="rId5"/>
    <sheet name="12331782 " sheetId="6" r:id="rId6"/>
    <sheet name="12345706 " sheetId="7" r:id="rId7"/>
    <sheet name="12350605" sheetId="8" r:id="rId8"/>
    <sheet name="12358593 " sheetId="9" r:id="rId9"/>
    <sheet name="12363918 " sheetId="10" r:id="rId10"/>
    <sheet name="12364892 " sheetId="11" r:id="rId11"/>
    <sheet name="12365769 " sheetId="12" r:id="rId12"/>
    <sheet name="12367795" sheetId="13" r:id="rId13"/>
    <sheet name="6" sheetId="14" r:id="rId14"/>
    <sheet name="12446139 " sheetId="15" r:id="rId15"/>
    <sheet name="12448818 " sheetId="16" r:id="rId16"/>
    <sheet name="12468100" sheetId="17" r:id="rId17"/>
  </sheets>
  <calcPr calcId="181029"/>
</workbook>
</file>

<file path=xl/calcChain.xml><?xml version="1.0" encoding="utf-8"?>
<calcChain xmlns="http://schemas.openxmlformats.org/spreadsheetml/2006/main">
  <c r="L865" i="17" l="1"/>
  <c r="L864" i="17"/>
  <c r="L863" i="17"/>
  <c r="L862" i="17"/>
  <c r="L861" i="17"/>
  <c r="L860" i="17"/>
  <c r="L859" i="17"/>
  <c r="L858" i="17"/>
  <c r="L857" i="17"/>
  <c r="L856" i="17"/>
  <c r="L855" i="17"/>
  <c r="L854" i="17"/>
  <c r="L853" i="17"/>
  <c r="L852" i="17"/>
  <c r="L851" i="17"/>
  <c r="L850" i="17"/>
  <c r="L849" i="17"/>
  <c r="L848" i="17"/>
  <c r="L847" i="17"/>
  <c r="L846" i="17"/>
  <c r="L845" i="17"/>
  <c r="L844" i="17"/>
  <c r="L843" i="17"/>
  <c r="L842" i="17"/>
  <c r="L841" i="17"/>
  <c r="L840" i="17"/>
  <c r="L839" i="17"/>
  <c r="L838" i="17"/>
  <c r="L837" i="17"/>
  <c r="L836" i="17"/>
  <c r="L835" i="17"/>
  <c r="L834" i="17"/>
  <c r="L833" i="17"/>
  <c r="L832" i="17"/>
  <c r="L831" i="17"/>
  <c r="L830" i="17"/>
  <c r="L829" i="17"/>
  <c r="L828" i="17"/>
  <c r="L827" i="17"/>
  <c r="L826" i="17"/>
  <c r="L825" i="17"/>
  <c r="L824" i="17"/>
  <c r="L823" i="17"/>
  <c r="L822" i="17"/>
  <c r="L821" i="17"/>
  <c r="L820" i="17"/>
  <c r="L819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2" i="17"/>
  <c r="L801" i="17"/>
  <c r="L800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7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1" i="17"/>
  <c r="L770" i="17"/>
  <c r="L769" i="17"/>
  <c r="L768" i="17"/>
  <c r="L767" i="17"/>
  <c r="L766" i="17"/>
  <c r="L765" i="17"/>
  <c r="L764" i="17"/>
  <c r="L763" i="17"/>
  <c r="L762" i="17"/>
  <c r="L761" i="17"/>
  <c r="L760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5" i="17"/>
  <c r="L744" i="17"/>
  <c r="L743" i="17"/>
  <c r="L742" i="17"/>
  <c r="L741" i="17"/>
  <c r="L740" i="17"/>
  <c r="L739" i="17"/>
  <c r="L738" i="17"/>
  <c r="L737" i="17"/>
  <c r="L736" i="17"/>
  <c r="L735" i="17"/>
  <c r="L734" i="17"/>
  <c r="L733" i="17"/>
  <c r="L732" i="17"/>
  <c r="L731" i="17"/>
  <c r="L730" i="17"/>
  <c r="L729" i="17"/>
  <c r="L728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10" i="17"/>
  <c r="L709" i="17"/>
  <c r="L708" i="17"/>
  <c r="L707" i="17"/>
  <c r="L706" i="17"/>
  <c r="L705" i="17"/>
  <c r="L704" i="17"/>
  <c r="L703" i="17"/>
  <c r="L702" i="17"/>
  <c r="L701" i="17"/>
  <c r="L700" i="17"/>
  <c r="L699" i="17"/>
  <c r="L698" i="17"/>
  <c r="L697" i="17"/>
  <c r="L696" i="17"/>
  <c r="L695" i="17"/>
  <c r="L694" i="17"/>
  <c r="L693" i="17"/>
  <c r="L692" i="17"/>
  <c r="L691" i="17"/>
  <c r="L690" i="17"/>
  <c r="L689" i="17"/>
  <c r="L688" i="17"/>
  <c r="L687" i="17"/>
  <c r="L686" i="17"/>
  <c r="L685" i="17"/>
  <c r="L684" i="17"/>
  <c r="L683" i="17"/>
  <c r="L682" i="17"/>
  <c r="L681" i="17"/>
  <c r="L680" i="17"/>
  <c r="L679" i="17"/>
  <c r="L678" i="17"/>
  <c r="L677" i="17"/>
  <c r="L676" i="17"/>
  <c r="L675" i="17"/>
  <c r="L674" i="17"/>
  <c r="L673" i="17"/>
  <c r="L672" i="17"/>
  <c r="L671" i="17"/>
  <c r="L670" i="17"/>
  <c r="L669" i="17"/>
  <c r="L668" i="17"/>
  <c r="L667" i="17"/>
  <c r="L666" i="17"/>
  <c r="L665" i="17"/>
  <c r="L664" i="17"/>
  <c r="L663" i="17"/>
  <c r="L662" i="17"/>
  <c r="L661" i="17"/>
  <c r="L660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4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8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2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6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80" i="17"/>
  <c r="L579" i="17"/>
  <c r="L578" i="17"/>
  <c r="L577" i="17"/>
  <c r="L576" i="17"/>
  <c r="L575" i="17"/>
  <c r="L574" i="17"/>
  <c r="L573" i="17"/>
  <c r="L572" i="17"/>
  <c r="L571" i="17"/>
  <c r="L570" i="17"/>
  <c r="L569" i="17"/>
  <c r="L568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1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4" i="17"/>
  <c r="L533" i="17"/>
  <c r="L532" i="17"/>
  <c r="L531" i="17"/>
  <c r="L530" i="17"/>
  <c r="L529" i="17"/>
  <c r="L528" i="17"/>
  <c r="L527" i="17"/>
  <c r="L526" i="17"/>
  <c r="L525" i="17"/>
  <c r="L524" i="17"/>
  <c r="L523" i="17"/>
  <c r="L522" i="17"/>
  <c r="L521" i="17"/>
  <c r="L520" i="17"/>
  <c r="L519" i="17"/>
  <c r="L518" i="17"/>
  <c r="L517" i="17"/>
  <c r="L516" i="17"/>
  <c r="L515" i="17"/>
  <c r="L514" i="17"/>
  <c r="L513" i="17"/>
  <c r="L512" i="17"/>
  <c r="L511" i="17"/>
  <c r="L510" i="17"/>
  <c r="L509" i="17"/>
  <c r="L508" i="17"/>
  <c r="L507" i="17"/>
  <c r="L506" i="17"/>
  <c r="L505" i="17"/>
  <c r="L504" i="17"/>
  <c r="L503" i="17"/>
  <c r="L502" i="17"/>
  <c r="L501" i="17"/>
  <c r="L500" i="17"/>
  <c r="L499" i="17"/>
  <c r="L498" i="17"/>
  <c r="L497" i="17"/>
  <c r="L496" i="17"/>
  <c r="L495" i="17"/>
  <c r="L494" i="17"/>
  <c r="L493" i="17"/>
  <c r="L492" i="17"/>
  <c r="L491" i="17"/>
  <c r="L490" i="17"/>
  <c r="L489" i="17"/>
  <c r="L488" i="17"/>
  <c r="L487" i="17"/>
  <c r="L486" i="17"/>
  <c r="L485" i="17"/>
  <c r="L484" i="17"/>
  <c r="L483" i="17"/>
  <c r="L482" i="17"/>
  <c r="L481" i="17"/>
  <c r="L480" i="17"/>
  <c r="L479" i="17"/>
  <c r="L478" i="17"/>
  <c r="L477" i="17"/>
  <c r="L476" i="17"/>
  <c r="L475" i="17"/>
  <c r="L474" i="17"/>
  <c r="L473" i="17"/>
  <c r="L472" i="17"/>
  <c r="L471" i="17"/>
  <c r="L470" i="17"/>
  <c r="L469" i="17"/>
  <c r="L468" i="17"/>
  <c r="L467" i="17"/>
  <c r="L466" i="17"/>
  <c r="L465" i="17"/>
  <c r="L464" i="17"/>
  <c r="L463" i="17"/>
  <c r="L462" i="17"/>
  <c r="L461" i="17"/>
  <c r="L460" i="17"/>
  <c r="L459" i="17"/>
  <c r="L458" i="17"/>
  <c r="L457" i="17"/>
  <c r="L456" i="17"/>
  <c r="L455" i="17"/>
  <c r="L454" i="17"/>
  <c r="L453" i="17"/>
  <c r="L452" i="17"/>
  <c r="L451" i="17"/>
  <c r="L450" i="17"/>
  <c r="L449" i="17"/>
  <c r="L448" i="17"/>
  <c r="L447" i="17"/>
  <c r="L446" i="17"/>
  <c r="L445" i="17"/>
  <c r="L444" i="17"/>
  <c r="L443" i="17"/>
  <c r="L442" i="17"/>
  <c r="L441" i="17"/>
  <c r="L440" i="17"/>
  <c r="L439" i="17"/>
  <c r="L438" i="17"/>
  <c r="L437" i="17"/>
  <c r="L436" i="17"/>
  <c r="L435" i="17"/>
  <c r="L434" i="17"/>
  <c r="L433" i="17"/>
  <c r="L432" i="17"/>
  <c r="L431" i="17"/>
  <c r="L430" i="17"/>
  <c r="L429" i="17"/>
  <c r="L428" i="17"/>
  <c r="L427" i="17"/>
  <c r="L426" i="17"/>
  <c r="L425" i="17"/>
  <c r="L424" i="17"/>
  <c r="L423" i="17"/>
  <c r="L422" i="17"/>
  <c r="L421" i="17"/>
  <c r="L420" i="17"/>
  <c r="L419" i="17"/>
  <c r="L418" i="17"/>
  <c r="L417" i="17"/>
  <c r="L416" i="17"/>
  <c r="L415" i="17"/>
  <c r="L414" i="17"/>
  <c r="L413" i="17"/>
  <c r="L412" i="17"/>
  <c r="L411" i="17"/>
  <c r="L410" i="17"/>
  <c r="L409" i="17"/>
  <c r="L408" i="17"/>
  <c r="L407" i="17"/>
  <c r="L406" i="17"/>
  <c r="L405" i="17"/>
  <c r="L404" i="17"/>
  <c r="L403" i="17"/>
  <c r="L402" i="17"/>
  <c r="L401" i="17"/>
  <c r="L400" i="17"/>
  <c r="L399" i="17"/>
  <c r="L398" i="17"/>
  <c r="L397" i="17"/>
  <c r="L396" i="17"/>
  <c r="L395" i="17"/>
  <c r="L394" i="17"/>
  <c r="L393" i="17"/>
  <c r="L392" i="17"/>
  <c r="L391" i="17"/>
  <c r="L390" i="17"/>
  <c r="L389" i="17"/>
  <c r="L388" i="17"/>
  <c r="L387" i="17"/>
  <c r="L386" i="17"/>
  <c r="L385" i="17"/>
  <c r="L384" i="17"/>
  <c r="L383" i="17"/>
  <c r="L382" i="17"/>
  <c r="L381" i="17"/>
  <c r="L380" i="17"/>
  <c r="L379" i="17"/>
  <c r="L378" i="17"/>
  <c r="L377" i="17"/>
  <c r="L376" i="17"/>
  <c r="L375" i="17"/>
  <c r="L374" i="17"/>
  <c r="L373" i="17"/>
  <c r="L372" i="17"/>
  <c r="L371" i="17"/>
  <c r="L370" i="17"/>
  <c r="L369" i="17"/>
  <c r="L368" i="17"/>
  <c r="L367" i="17"/>
  <c r="L366" i="17"/>
  <c r="L365" i="17"/>
  <c r="L364" i="17"/>
  <c r="L363" i="17"/>
  <c r="L362" i="17"/>
  <c r="L361" i="17"/>
  <c r="L360" i="17"/>
  <c r="L359" i="17"/>
  <c r="L358" i="17"/>
  <c r="L357" i="17"/>
  <c r="L356" i="17"/>
  <c r="L355" i="17"/>
  <c r="L354" i="17"/>
  <c r="L353" i="17"/>
  <c r="L352" i="17"/>
  <c r="L351" i="17"/>
  <c r="L350" i="17"/>
  <c r="L349" i="17"/>
  <c r="L348" i="17"/>
  <c r="L347" i="17"/>
  <c r="L346" i="17"/>
  <c r="L345" i="17"/>
  <c r="L344" i="17"/>
  <c r="L343" i="17"/>
  <c r="L342" i="17"/>
  <c r="L341" i="17"/>
  <c r="L340" i="17"/>
  <c r="L339" i="17"/>
  <c r="L338" i="17"/>
  <c r="L337" i="17"/>
  <c r="L336" i="17"/>
  <c r="L335" i="17"/>
  <c r="L334" i="17"/>
  <c r="L333" i="17"/>
  <c r="L332" i="17"/>
  <c r="L331" i="17"/>
  <c r="L330" i="17"/>
  <c r="L329" i="17"/>
  <c r="L328" i="17"/>
  <c r="L327" i="17"/>
  <c r="L326" i="17"/>
  <c r="L325" i="17"/>
  <c r="L324" i="17"/>
  <c r="L323" i="17"/>
  <c r="L322" i="17"/>
  <c r="L321" i="17"/>
  <c r="L320" i="17"/>
  <c r="L319" i="17"/>
  <c r="L318" i="17"/>
  <c r="L317" i="17"/>
  <c r="L316" i="17"/>
  <c r="L315" i="17"/>
  <c r="L314" i="17"/>
  <c r="L313" i="17"/>
  <c r="L312" i="17"/>
  <c r="L311" i="17"/>
  <c r="L310" i="17"/>
  <c r="L309" i="17"/>
  <c r="L308" i="17"/>
  <c r="L307" i="17"/>
  <c r="L306" i="17"/>
  <c r="L305" i="17"/>
  <c r="L304" i="17"/>
  <c r="L303" i="17"/>
  <c r="L302" i="17"/>
  <c r="L301" i="17"/>
  <c r="L300" i="17"/>
  <c r="L299" i="17"/>
  <c r="L298" i="17"/>
  <c r="L297" i="17"/>
  <c r="L296" i="17"/>
  <c r="L295" i="17"/>
  <c r="L294" i="17"/>
  <c r="L293" i="17"/>
  <c r="L292" i="17"/>
  <c r="L291" i="17"/>
  <c r="L290" i="17"/>
  <c r="L289" i="17"/>
  <c r="L288" i="17"/>
  <c r="L287" i="17"/>
  <c r="L286" i="17"/>
  <c r="L285" i="17"/>
  <c r="L284" i="17"/>
  <c r="L283" i="17"/>
  <c r="L282" i="17"/>
  <c r="L281" i="17"/>
  <c r="L280" i="17"/>
  <c r="L279" i="17"/>
  <c r="L278" i="17"/>
  <c r="L277" i="17"/>
  <c r="L276" i="17"/>
  <c r="L275" i="17"/>
  <c r="L274" i="17"/>
  <c r="L273" i="17"/>
  <c r="L272" i="17"/>
  <c r="L271" i="17"/>
  <c r="L270" i="17"/>
  <c r="L269" i="17"/>
  <c r="L268" i="17"/>
  <c r="L267" i="17"/>
  <c r="L266" i="17"/>
  <c r="L265" i="17"/>
  <c r="L264" i="17"/>
  <c r="L263" i="17"/>
  <c r="L262" i="17"/>
  <c r="L261" i="17"/>
  <c r="L260" i="17"/>
  <c r="L259" i="17"/>
  <c r="L258" i="17"/>
  <c r="L257" i="17"/>
  <c r="L256" i="17"/>
  <c r="L255" i="17"/>
  <c r="L254" i="17"/>
  <c r="L253" i="17"/>
  <c r="L252" i="17"/>
  <c r="L251" i="17"/>
  <c r="L250" i="17"/>
  <c r="L249" i="17"/>
  <c r="L248" i="17"/>
  <c r="L247" i="17"/>
  <c r="L246" i="17"/>
  <c r="L245" i="17"/>
  <c r="L244" i="17"/>
  <c r="L243" i="17"/>
  <c r="L242" i="17"/>
  <c r="L241" i="17"/>
  <c r="L240" i="17"/>
  <c r="L239" i="17"/>
  <c r="L238" i="17"/>
  <c r="L237" i="17"/>
  <c r="L236" i="17"/>
  <c r="L235" i="17"/>
  <c r="L234" i="17"/>
  <c r="L233" i="17"/>
  <c r="L232" i="17"/>
  <c r="L231" i="17"/>
  <c r="L230" i="17"/>
  <c r="L229" i="17"/>
  <c r="L228" i="17"/>
  <c r="L227" i="17"/>
  <c r="L226" i="17"/>
  <c r="L225" i="17"/>
  <c r="L224" i="17"/>
  <c r="L223" i="17"/>
  <c r="L222" i="17"/>
  <c r="L221" i="17"/>
  <c r="L220" i="17"/>
  <c r="L219" i="17"/>
  <c r="L218" i="17"/>
  <c r="L217" i="17"/>
  <c r="L216" i="17"/>
  <c r="L215" i="17"/>
  <c r="L214" i="17"/>
  <c r="L213" i="17"/>
  <c r="L212" i="17"/>
  <c r="L211" i="17"/>
  <c r="L210" i="17"/>
  <c r="L209" i="17"/>
  <c r="L208" i="17"/>
  <c r="L207" i="17"/>
  <c r="L206" i="17"/>
  <c r="L205" i="17"/>
  <c r="L204" i="17"/>
  <c r="L203" i="17"/>
  <c r="L202" i="17"/>
  <c r="L201" i="17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L7" i="17"/>
  <c r="L6" i="17"/>
  <c r="L5" i="17"/>
  <c r="L4" i="17"/>
  <c r="L3" i="17"/>
  <c r="L2" i="17"/>
  <c r="L1050" i="16"/>
  <c r="L1049" i="16"/>
  <c r="L1048" i="16"/>
  <c r="L1047" i="16"/>
  <c r="L1046" i="16"/>
  <c r="L1045" i="16"/>
  <c r="L1044" i="16"/>
  <c r="L1043" i="16"/>
  <c r="L1042" i="16"/>
  <c r="L1041" i="16"/>
  <c r="L1040" i="16"/>
  <c r="L1039" i="16"/>
  <c r="L1038" i="16"/>
  <c r="L1037" i="16"/>
  <c r="L1036" i="16"/>
  <c r="L1035" i="16"/>
  <c r="L1034" i="16"/>
  <c r="L1033" i="16"/>
  <c r="L1032" i="16"/>
  <c r="L1031" i="16"/>
  <c r="L1030" i="16"/>
  <c r="L1029" i="16"/>
  <c r="L1028" i="16"/>
  <c r="L1027" i="16"/>
  <c r="L1026" i="16"/>
  <c r="L1025" i="16"/>
  <c r="L1024" i="16"/>
  <c r="L1023" i="16"/>
  <c r="L1022" i="16"/>
  <c r="L1021" i="16"/>
  <c r="L1020" i="16"/>
  <c r="L1019" i="16"/>
  <c r="L1018" i="16"/>
  <c r="L1017" i="16"/>
  <c r="L1016" i="16"/>
  <c r="L1015" i="16"/>
  <c r="L1014" i="16"/>
  <c r="L1013" i="16"/>
  <c r="L1012" i="16"/>
  <c r="L1011" i="16"/>
  <c r="L1010" i="16"/>
  <c r="L1009" i="16"/>
  <c r="L1008" i="16"/>
  <c r="L1007" i="16"/>
  <c r="L1006" i="16"/>
  <c r="L1005" i="16"/>
  <c r="L1004" i="16"/>
  <c r="L1003" i="16"/>
  <c r="L1002" i="16"/>
  <c r="L1001" i="16"/>
  <c r="L1000" i="16"/>
  <c r="L999" i="16"/>
  <c r="L998" i="16"/>
  <c r="L997" i="16"/>
  <c r="L996" i="16"/>
  <c r="L995" i="16"/>
  <c r="L994" i="16"/>
  <c r="L993" i="16"/>
  <c r="L992" i="16"/>
  <c r="L991" i="16"/>
  <c r="L990" i="16"/>
  <c r="L989" i="16"/>
  <c r="L988" i="16"/>
  <c r="L987" i="16"/>
  <c r="L986" i="16"/>
  <c r="L985" i="16"/>
  <c r="L984" i="16"/>
  <c r="L983" i="16"/>
  <c r="L982" i="16"/>
  <c r="L981" i="16"/>
  <c r="L980" i="16"/>
  <c r="L979" i="16"/>
  <c r="L978" i="16"/>
  <c r="L977" i="16"/>
  <c r="L976" i="16"/>
  <c r="L975" i="16"/>
  <c r="L974" i="16"/>
  <c r="L973" i="16"/>
  <c r="L972" i="16"/>
  <c r="L971" i="16"/>
  <c r="L970" i="16"/>
  <c r="L969" i="16"/>
  <c r="L968" i="16"/>
  <c r="L967" i="16"/>
  <c r="L966" i="16"/>
  <c r="L965" i="16"/>
  <c r="L964" i="16"/>
  <c r="L963" i="16"/>
  <c r="L962" i="16"/>
  <c r="L961" i="16"/>
  <c r="L960" i="16"/>
  <c r="L959" i="16"/>
  <c r="L958" i="16"/>
  <c r="L957" i="16"/>
  <c r="L956" i="16"/>
  <c r="L955" i="16"/>
  <c r="L954" i="16"/>
  <c r="L953" i="16"/>
  <c r="L952" i="16"/>
  <c r="L951" i="16"/>
  <c r="L950" i="16"/>
  <c r="L949" i="16"/>
  <c r="L948" i="16"/>
  <c r="L947" i="16"/>
  <c r="L946" i="16"/>
  <c r="L945" i="16"/>
  <c r="L944" i="16"/>
  <c r="L943" i="16"/>
  <c r="L942" i="16"/>
  <c r="L941" i="16"/>
  <c r="L940" i="16"/>
  <c r="L939" i="16"/>
  <c r="L938" i="16"/>
  <c r="L937" i="16"/>
  <c r="L936" i="16"/>
  <c r="L935" i="16"/>
  <c r="L934" i="16"/>
  <c r="L933" i="16"/>
  <c r="L932" i="16"/>
  <c r="L931" i="16"/>
  <c r="L930" i="16"/>
  <c r="L929" i="16"/>
  <c r="L928" i="16"/>
  <c r="L927" i="16"/>
  <c r="L926" i="16"/>
  <c r="L925" i="16"/>
  <c r="L924" i="16"/>
  <c r="L923" i="16"/>
  <c r="L922" i="16"/>
  <c r="L921" i="16"/>
  <c r="L920" i="16"/>
  <c r="L919" i="16"/>
  <c r="L918" i="16"/>
  <c r="L917" i="16"/>
  <c r="L916" i="16"/>
  <c r="L915" i="16"/>
  <c r="L914" i="16"/>
  <c r="L913" i="16"/>
  <c r="L912" i="16"/>
  <c r="L911" i="16"/>
  <c r="L910" i="16"/>
  <c r="L909" i="16"/>
  <c r="L908" i="16"/>
  <c r="L907" i="16"/>
  <c r="L906" i="16"/>
  <c r="L905" i="16"/>
  <c r="L904" i="16"/>
  <c r="L903" i="16"/>
  <c r="L902" i="16"/>
  <c r="L901" i="16"/>
  <c r="L900" i="16"/>
  <c r="L899" i="16"/>
  <c r="L898" i="16"/>
  <c r="L897" i="16"/>
  <c r="L896" i="16"/>
  <c r="L895" i="16"/>
  <c r="L894" i="16"/>
  <c r="L893" i="16"/>
  <c r="L892" i="16"/>
  <c r="L891" i="16"/>
  <c r="L890" i="16"/>
  <c r="L889" i="16"/>
  <c r="L888" i="16"/>
  <c r="L887" i="16"/>
  <c r="L886" i="16"/>
  <c r="L885" i="16"/>
  <c r="L884" i="16"/>
  <c r="L883" i="16"/>
  <c r="L882" i="16"/>
  <c r="L881" i="16"/>
  <c r="L880" i="16"/>
  <c r="L879" i="16"/>
  <c r="L878" i="16"/>
  <c r="L877" i="16"/>
  <c r="L876" i="16"/>
  <c r="L875" i="16"/>
  <c r="L874" i="16"/>
  <c r="L873" i="16"/>
  <c r="L872" i="16"/>
  <c r="L871" i="16"/>
  <c r="L870" i="16"/>
  <c r="L869" i="16"/>
  <c r="L868" i="16"/>
  <c r="L867" i="16"/>
  <c r="L866" i="16"/>
  <c r="L865" i="16"/>
  <c r="L864" i="16"/>
  <c r="L863" i="16"/>
  <c r="L862" i="16"/>
  <c r="L861" i="16"/>
  <c r="L860" i="16"/>
  <c r="L859" i="16"/>
  <c r="L858" i="16"/>
  <c r="L857" i="16"/>
  <c r="L856" i="16"/>
  <c r="L855" i="16"/>
  <c r="L854" i="16"/>
  <c r="L853" i="16"/>
  <c r="L852" i="16"/>
  <c r="L851" i="16"/>
  <c r="L850" i="16"/>
  <c r="L849" i="16"/>
  <c r="L848" i="16"/>
  <c r="L847" i="16"/>
  <c r="L846" i="16"/>
  <c r="L845" i="16"/>
  <c r="L844" i="16"/>
  <c r="L843" i="16"/>
  <c r="L842" i="16"/>
  <c r="L841" i="16"/>
  <c r="L840" i="16"/>
  <c r="L839" i="16"/>
  <c r="L838" i="16"/>
  <c r="L837" i="16"/>
  <c r="L836" i="16"/>
  <c r="L835" i="16"/>
  <c r="L834" i="16"/>
  <c r="L833" i="16"/>
  <c r="L832" i="16"/>
  <c r="L831" i="16"/>
  <c r="L830" i="16"/>
  <c r="L829" i="16"/>
  <c r="L828" i="16"/>
  <c r="L827" i="16"/>
  <c r="L826" i="16"/>
  <c r="L825" i="16"/>
  <c r="L824" i="16"/>
  <c r="L823" i="16"/>
  <c r="L822" i="16"/>
  <c r="L821" i="16"/>
  <c r="L820" i="16"/>
  <c r="L819" i="16"/>
  <c r="L818" i="16"/>
  <c r="L817" i="16"/>
  <c r="L816" i="16"/>
  <c r="L815" i="16"/>
  <c r="L814" i="16"/>
  <c r="L813" i="16"/>
  <c r="L812" i="16"/>
  <c r="L811" i="16"/>
  <c r="L810" i="16"/>
  <c r="L809" i="16"/>
  <c r="L808" i="16"/>
  <c r="L807" i="16"/>
  <c r="L806" i="16"/>
  <c r="L805" i="16"/>
  <c r="L804" i="16"/>
  <c r="L803" i="16"/>
  <c r="L802" i="16"/>
  <c r="L801" i="16"/>
  <c r="L800" i="16"/>
  <c r="L799" i="16"/>
  <c r="L798" i="16"/>
  <c r="L797" i="16"/>
  <c r="L796" i="16"/>
  <c r="L795" i="16"/>
  <c r="L794" i="16"/>
  <c r="L793" i="16"/>
  <c r="L792" i="16"/>
  <c r="L791" i="16"/>
  <c r="L790" i="16"/>
  <c r="L789" i="16"/>
  <c r="L788" i="16"/>
  <c r="L787" i="16"/>
  <c r="L786" i="16"/>
  <c r="L785" i="16"/>
  <c r="L784" i="16"/>
  <c r="L783" i="16"/>
  <c r="L782" i="16"/>
  <c r="L781" i="16"/>
  <c r="L780" i="16"/>
  <c r="L779" i="16"/>
  <c r="L778" i="16"/>
  <c r="L777" i="16"/>
  <c r="L776" i="16"/>
  <c r="L775" i="16"/>
  <c r="L774" i="16"/>
  <c r="L773" i="16"/>
  <c r="L772" i="16"/>
  <c r="L771" i="16"/>
  <c r="L770" i="16"/>
  <c r="L769" i="16"/>
  <c r="L768" i="16"/>
  <c r="L767" i="16"/>
  <c r="L766" i="16"/>
  <c r="L765" i="16"/>
  <c r="L764" i="16"/>
  <c r="L763" i="16"/>
  <c r="L762" i="16"/>
  <c r="L761" i="16"/>
  <c r="L760" i="16"/>
  <c r="L759" i="16"/>
  <c r="L758" i="16"/>
  <c r="L757" i="16"/>
  <c r="L756" i="16"/>
  <c r="L755" i="16"/>
  <c r="L754" i="16"/>
  <c r="L753" i="16"/>
  <c r="L752" i="16"/>
  <c r="L751" i="16"/>
  <c r="L750" i="16"/>
  <c r="L749" i="16"/>
  <c r="L748" i="16"/>
  <c r="L747" i="16"/>
  <c r="L746" i="16"/>
  <c r="L745" i="16"/>
  <c r="L744" i="16"/>
  <c r="L743" i="16"/>
  <c r="L742" i="16"/>
  <c r="L741" i="16"/>
  <c r="L740" i="16"/>
  <c r="L739" i="16"/>
  <c r="L738" i="16"/>
  <c r="L737" i="16"/>
  <c r="L736" i="16"/>
  <c r="L735" i="16"/>
  <c r="L734" i="16"/>
  <c r="L733" i="16"/>
  <c r="L732" i="16"/>
  <c r="L731" i="16"/>
  <c r="L730" i="16"/>
  <c r="L729" i="16"/>
  <c r="L728" i="16"/>
  <c r="L727" i="16"/>
  <c r="L726" i="16"/>
  <c r="L725" i="16"/>
  <c r="L724" i="16"/>
  <c r="L723" i="16"/>
  <c r="L722" i="16"/>
  <c r="L721" i="16"/>
  <c r="L720" i="16"/>
  <c r="L719" i="16"/>
  <c r="L718" i="16"/>
  <c r="L717" i="16"/>
  <c r="L716" i="16"/>
  <c r="L715" i="16"/>
  <c r="L714" i="16"/>
  <c r="L713" i="16"/>
  <c r="L712" i="16"/>
  <c r="L711" i="16"/>
  <c r="L710" i="16"/>
  <c r="L709" i="16"/>
  <c r="L708" i="16"/>
  <c r="L707" i="16"/>
  <c r="L706" i="16"/>
  <c r="L705" i="16"/>
  <c r="L704" i="16"/>
  <c r="L703" i="16"/>
  <c r="L702" i="16"/>
  <c r="L701" i="16"/>
  <c r="L700" i="16"/>
  <c r="L699" i="16"/>
  <c r="L698" i="16"/>
  <c r="L697" i="16"/>
  <c r="L696" i="16"/>
  <c r="L695" i="16"/>
  <c r="L694" i="16"/>
  <c r="L693" i="16"/>
  <c r="L692" i="16"/>
  <c r="L691" i="16"/>
  <c r="L690" i="16"/>
  <c r="L689" i="16"/>
  <c r="L688" i="16"/>
  <c r="L687" i="16"/>
  <c r="L686" i="16"/>
  <c r="L685" i="16"/>
  <c r="L684" i="16"/>
  <c r="L683" i="16"/>
  <c r="L682" i="16"/>
  <c r="L681" i="16"/>
  <c r="L680" i="16"/>
  <c r="L679" i="16"/>
  <c r="L678" i="16"/>
  <c r="L677" i="16"/>
  <c r="L676" i="16"/>
  <c r="L675" i="16"/>
  <c r="L674" i="16"/>
  <c r="L673" i="16"/>
  <c r="L672" i="16"/>
  <c r="L671" i="16"/>
  <c r="L670" i="16"/>
  <c r="L669" i="16"/>
  <c r="L668" i="16"/>
  <c r="L667" i="16"/>
  <c r="L666" i="16"/>
  <c r="L665" i="16"/>
  <c r="L664" i="16"/>
  <c r="L663" i="16"/>
  <c r="L662" i="16"/>
  <c r="L661" i="16"/>
  <c r="L660" i="16"/>
  <c r="L659" i="16"/>
  <c r="L658" i="16"/>
  <c r="L657" i="16"/>
  <c r="L656" i="16"/>
  <c r="L655" i="16"/>
  <c r="L654" i="16"/>
  <c r="L653" i="16"/>
  <c r="L652" i="16"/>
  <c r="L651" i="16"/>
  <c r="L650" i="16"/>
  <c r="L649" i="16"/>
  <c r="L648" i="16"/>
  <c r="L647" i="16"/>
  <c r="L646" i="16"/>
  <c r="L645" i="16"/>
  <c r="L644" i="16"/>
  <c r="L643" i="16"/>
  <c r="L642" i="16"/>
  <c r="L641" i="16"/>
  <c r="L640" i="16"/>
  <c r="L639" i="16"/>
  <c r="L638" i="16"/>
  <c r="L637" i="16"/>
  <c r="L636" i="16"/>
  <c r="L635" i="16"/>
  <c r="L634" i="16"/>
  <c r="L633" i="16"/>
  <c r="L632" i="16"/>
  <c r="L631" i="16"/>
  <c r="L630" i="16"/>
  <c r="L629" i="16"/>
  <c r="L628" i="16"/>
  <c r="L627" i="16"/>
  <c r="L626" i="16"/>
  <c r="L625" i="16"/>
  <c r="L624" i="16"/>
  <c r="L623" i="16"/>
  <c r="L622" i="16"/>
  <c r="L621" i="16"/>
  <c r="L620" i="16"/>
  <c r="L619" i="16"/>
  <c r="L618" i="16"/>
  <c r="L617" i="16"/>
  <c r="L616" i="16"/>
  <c r="L615" i="16"/>
  <c r="L614" i="16"/>
  <c r="L613" i="16"/>
  <c r="L612" i="16"/>
  <c r="L611" i="16"/>
  <c r="L610" i="16"/>
  <c r="L609" i="16"/>
  <c r="L608" i="16"/>
  <c r="L607" i="16"/>
  <c r="L606" i="16"/>
  <c r="L605" i="16"/>
  <c r="L604" i="16"/>
  <c r="L603" i="16"/>
  <c r="L602" i="16"/>
  <c r="L601" i="16"/>
  <c r="L600" i="16"/>
  <c r="L599" i="16"/>
  <c r="L598" i="16"/>
  <c r="L597" i="16"/>
  <c r="L596" i="16"/>
  <c r="L595" i="16"/>
  <c r="L594" i="16"/>
  <c r="L593" i="16"/>
  <c r="L592" i="16"/>
  <c r="L591" i="16"/>
  <c r="L590" i="16"/>
  <c r="L589" i="16"/>
  <c r="L588" i="16"/>
  <c r="L587" i="16"/>
  <c r="L586" i="16"/>
  <c r="L585" i="16"/>
  <c r="L584" i="16"/>
  <c r="L583" i="16"/>
  <c r="L582" i="16"/>
  <c r="L581" i="16"/>
  <c r="L580" i="16"/>
  <c r="L579" i="16"/>
  <c r="L578" i="16"/>
  <c r="L577" i="16"/>
  <c r="L576" i="16"/>
  <c r="L575" i="16"/>
  <c r="L574" i="16"/>
  <c r="L573" i="16"/>
  <c r="L572" i="16"/>
  <c r="L571" i="16"/>
  <c r="L570" i="16"/>
  <c r="L569" i="16"/>
  <c r="L568" i="16"/>
  <c r="L567" i="16"/>
  <c r="L566" i="16"/>
  <c r="L565" i="16"/>
  <c r="L564" i="16"/>
  <c r="L563" i="16"/>
  <c r="L562" i="16"/>
  <c r="L561" i="16"/>
  <c r="L560" i="16"/>
  <c r="L559" i="16"/>
  <c r="L558" i="16"/>
  <c r="L557" i="16"/>
  <c r="L556" i="16"/>
  <c r="L555" i="16"/>
  <c r="L554" i="16"/>
  <c r="L553" i="16"/>
  <c r="L552" i="16"/>
  <c r="L551" i="16"/>
  <c r="L550" i="16"/>
  <c r="L549" i="16"/>
  <c r="L548" i="16"/>
  <c r="L547" i="16"/>
  <c r="L546" i="16"/>
  <c r="L545" i="16"/>
  <c r="L544" i="16"/>
  <c r="L543" i="16"/>
  <c r="L542" i="16"/>
  <c r="L541" i="16"/>
  <c r="L540" i="16"/>
  <c r="L539" i="16"/>
  <c r="L538" i="16"/>
  <c r="L537" i="16"/>
  <c r="L536" i="16"/>
  <c r="L535" i="16"/>
  <c r="L534" i="16"/>
  <c r="L533" i="16"/>
  <c r="L532" i="16"/>
  <c r="L531" i="16"/>
  <c r="L530" i="16"/>
  <c r="L529" i="16"/>
  <c r="L528" i="16"/>
  <c r="L527" i="16"/>
  <c r="L526" i="16"/>
  <c r="L525" i="16"/>
  <c r="L524" i="16"/>
  <c r="L523" i="16"/>
  <c r="L522" i="16"/>
  <c r="L521" i="16"/>
  <c r="L520" i="16"/>
  <c r="L519" i="16"/>
  <c r="L518" i="16"/>
  <c r="L517" i="16"/>
  <c r="L516" i="16"/>
  <c r="L515" i="16"/>
  <c r="L514" i="16"/>
  <c r="L513" i="16"/>
  <c r="L512" i="16"/>
  <c r="L511" i="16"/>
  <c r="L510" i="16"/>
  <c r="L509" i="16"/>
  <c r="L508" i="16"/>
  <c r="L507" i="16"/>
  <c r="L506" i="16"/>
  <c r="L505" i="16"/>
  <c r="L504" i="16"/>
  <c r="L503" i="16"/>
  <c r="L502" i="16"/>
  <c r="L501" i="16"/>
  <c r="L500" i="16"/>
  <c r="L499" i="16"/>
  <c r="L498" i="16"/>
  <c r="L497" i="16"/>
  <c r="L496" i="16"/>
  <c r="L495" i="16"/>
  <c r="L494" i="16"/>
  <c r="L493" i="16"/>
  <c r="L492" i="16"/>
  <c r="L491" i="16"/>
  <c r="L490" i="16"/>
  <c r="L489" i="16"/>
  <c r="L488" i="16"/>
  <c r="L487" i="16"/>
  <c r="L486" i="16"/>
  <c r="L485" i="16"/>
  <c r="L484" i="16"/>
  <c r="L483" i="16"/>
  <c r="L482" i="16"/>
  <c r="L481" i="16"/>
  <c r="L480" i="16"/>
  <c r="L479" i="16"/>
  <c r="L478" i="16"/>
  <c r="L477" i="16"/>
  <c r="L476" i="16"/>
  <c r="L475" i="16"/>
  <c r="L474" i="16"/>
  <c r="L473" i="16"/>
  <c r="L472" i="16"/>
  <c r="L471" i="16"/>
  <c r="L470" i="16"/>
  <c r="L469" i="16"/>
  <c r="L468" i="16"/>
  <c r="L467" i="16"/>
  <c r="L466" i="16"/>
  <c r="L465" i="16"/>
  <c r="L464" i="16"/>
  <c r="L463" i="16"/>
  <c r="L462" i="16"/>
  <c r="L461" i="16"/>
  <c r="L460" i="16"/>
  <c r="L459" i="16"/>
  <c r="L458" i="16"/>
  <c r="L457" i="16"/>
  <c r="L456" i="16"/>
  <c r="L455" i="16"/>
  <c r="L454" i="16"/>
  <c r="L453" i="16"/>
  <c r="L452" i="16"/>
  <c r="L451" i="16"/>
  <c r="L450" i="16"/>
  <c r="L449" i="16"/>
  <c r="L448" i="16"/>
  <c r="L447" i="16"/>
  <c r="L446" i="16"/>
  <c r="L445" i="16"/>
  <c r="L444" i="16"/>
  <c r="L443" i="16"/>
  <c r="L442" i="16"/>
  <c r="L441" i="16"/>
  <c r="L440" i="16"/>
  <c r="L439" i="16"/>
  <c r="L438" i="16"/>
  <c r="L437" i="16"/>
  <c r="L436" i="16"/>
  <c r="L435" i="16"/>
  <c r="L434" i="16"/>
  <c r="L433" i="16"/>
  <c r="L432" i="16"/>
  <c r="L431" i="16"/>
  <c r="L430" i="16"/>
  <c r="L429" i="16"/>
  <c r="L428" i="16"/>
  <c r="L427" i="16"/>
  <c r="L426" i="16"/>
  <c r="L425" i="16"/>
  <c r="L424" i="16"/>
  <c r="L423" i="16"/>
  <c r="L422" i="16"/>
  <c r="L421" i="16"/>
  <c r="L420" i="16"/>
  <c r="L419" i="16"/>
  <c r="L418" i="16"/>
  <c r="L417" i="16"/>
  <c r="L416" i="16"/>
  <c r="L415" i="16"/>
  <c r="L414" i="16"/>
  <c r="L413" i="16"/>
  <c r="L412" i="16"/>
  <c r="L411" i="16"/>
  <c r="L410" i="16"/>
  <c r="L409" i="16"/>
  <c r="L408" i="16"/>
  <c r="L407" i="16"/>
  <c r="L406" i="16"/>
  <c r="L405" i="16"/>
  <c r="L404" i="16"/>
  <c r="L403" i="16"/>
  <c r="L402" i="16"/>
  <c r="L401" i="16"/>
  <c r="L400" i="16"/>
  <c r="L399" i="16"/>
  <c r="L398" i="16"/>
  <c r="L397" i="16"/>
  <c r="L396" i="16"/>
  <c r="L395" i="16"/>
  <c r="L394" i="16"/>
  <c r="L393" i="16"/>
  <c r="L392" i="16"/>
  <c r="L391" i="16"/>
  <c r="L390" i="16"/>
  <c r="L389" i="16"/>
  <c r="L388" i="16"/>
  <c r="L387" i="16"/>
  <c r="L386" i="16"/>
  <c r="L385" i="16"/>
  <c r="L384" i="16"/>
  <c r="L383" i="16"/>
  <c r="L382" i="16"/>
  <c r="L381" i="16"/>
  <c r="L380" i="16"/>
  <c r="L379" i="16"/>
  <c r="L378" i="16"/>
  <c r="L377" i="16"/>
  <c r="L376" i="16"/>
  <c r="L375" i="16"/>
  <c r="L374" i="16"/>
  <c r="L373" i="16"/>
  <c r="L372" i="16"/>
  <c r="L371" i="16"/>
  <c r="L370" i="16"/>
  <c r="L369" i="16"/>
  <c r="L368" i="16"/>
  <c r="L367" i="16"/>
  <c r="L366" i="16"/>
  <c r="L365" i="16"/>
  <c r="L364" i="16"/>
  <c r="L363" i="16"/>
  <c r="L362" i="16"/>
  <c r="L361" i="16"/>
  <c r="L360" i="16"/>
  <c r="L359" i="16"/>
  <c r="L358" i="16"/>
  <c r="L357" i="16"/>
  <c r="L356" i="16"/>
  <c r="L355" i="16"/>
  <c r="L354" i="16"/>
  <c r="L353" i="16"/>
  <c r="L352" i="16"/>
  <c r="L351" i="16"/>
  <c r="L350" i="16"/>
  <c r="L349" i="16"/>
  <c r="L348" i="16"/>
  <c r="L347" i="16"/>
  <c r="L346" i="16"/>
  <c r="L345" i="16"/>
  <c r="L344" i="16"/>
  <c r="L343" i="16"/>
  <c r="L342" i="16"/>
  <c r="L341" i="16"/>
  <c r="L340" i="16"/>
  <c r="L339" i="16"/>
  <c r="L338" i="16"/>
  <c r="L337" i="16"/>
  <c r="L336" i="16"/>
  <c r="L335" i="16"/>
  <c r="L334" i="16"/>
  <c r="L333" i="16"/>
  <c r="L332" i="16"/>
  <c r="L331" i="16"/>
  <c r="L330" i="16"/>
  <c r="L329" i="16"/>
  <c r="L328" i="16"/>
  <c r="L327" i="16"/>
  <c r="L326" i="16"/>
  <c r="L325" i="16"/>
  <c r="L324" i="16"/>
  <c r="L323" i="16"/>
  <c r="L322" i="16"/>
  <c r="L321" i="16"/>
  <c r="L320" i="16"/>
  <c r="L319" i="16"/>
  <c r="L318" i="16"/>
  <c r="L317" i="16"/>
  <c r="L316" i="16"/>
  <c r="L315" i="16"/>
  <c r="L314" i="16"/>
  <c r="L313" i="16"/>
  <c r="L312" i="16"/>
  <c r="L311" i="16"/>
  <c r="L310" i="16"/>
  <c r="L309" i="16"/>
  <c r="L308" i="16"/>
  <c r="L307" i="16"/>
  <c r="L306" i="16"/>
  <c r="L305" i="16"/>
  <c r="L304" i="16"/>
  <c r="L303" i="16"/>
  <c r="L302" i="16"/>
  <c r="L301" i="16"/>
  <c r="L300" i="16"/>
  <c r="L299" i="16"/>
  <c r="L298" i="16"/>
  <c r="L297" i="16"/>
  <c r="L296" i="16"/>
  <c r="L295" i="16"/>
  <c r="L294" i="16"/>
  <c r="L293" i="16"/>
  <c r="L292" i="16"/>
  <c r="L291" i="16"/>
  <c r="L290" i="16"/>
  <c r="L289" i="16"/>
  <c r="L288" i="16"/>
  <c r="L287" i="16"/>
  <c r="L286" i="16"/>
  <c r="L285" i="16"/>
  <c r="L284" i="16"/>
  <c r="L283" i="16"/>
  <c r="L282" i="16"/>
  <c r="L281" i="16"/>
  <c r="L280" i="16"/>
  <c r="L279" i="16"/>
  <c r="L278" i="16"/>
  <c r="L277" i="16"/>
  <c r="L276" i="16"/>
  <c r="L275" i="16"/>
  <c r="L274" i="16"/>
  <c r="L273" i="16"/>
  <c r="L272" i="16"/>
  <c r="L271" i="16"/>
  <c r="L270" i="16"/>
  <c r="L269" i="16"/>
  <c r="L268" i="16"/>
  <c r="L267" i="16"/>
  <c r="L266" i="16"/>
  <c r="L265" i="16"/>
  <c r="L264" i="16"/>
  <c r="L263" i="16"/>
  <c r="L262" i="16"/>
  <c r="L261" i="16"/>
  <c r="L260" i="16"/>
  <c r="L259" i="16"/>
  <c r="L258" i="16"/>
  <c r="L257" i="16"/>
  <c r="L256" i="16"/>
  <c r="L255" i="16"/>
  <c r="L254" i="16"/>
  <c r="L253" i="16"/>
  <c r="L252" i="16"/>
  <c r="L251" i="16"/>
  <c r="L250" i="16"/>
  <c r="L249" i="16"/>
  <c r="L248" i="16"/>
  <c r="L247" i="16"/>
  <c r="L246" i="16"/>
  <c r="L245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L3" i="16"/>
  <c r="L2" i="16"/>
  <c r="L1013" i="15"/>
  <c r="L1012" i="15"/>
  <c r="L1011" i="15"/>
  <c r="L1010" i="15"/>
  <c r="L1009" i="15"/>
  <c r="L1008" i="15"/>
  <c r="L1007" i="15"/>
  <c r="L1006" i="15"/>
  <c r="L1005" i="15"/>
  <c r="L1004" i="15"/>
  <c r="L1003" i="15"/>
  <c r="L1002" i="15"/>
  <c r="L1001" i="15"/>
  <c r="L1000" i="15"/>
  <c r="L999" i="15"/>
  <c r="L998" i="15"/>
  <c r="L997" i="15"/>
  <c r="L996" i="15"/>
  <c r="L995" i="15"/>
  <c r="L994" i="15"/>
  <c r="L993" i="15"/>
  <c r="L992" i="15"/>
  <c r="L991" i="15"/>
  <c r="L990" i="15"/>
  <c r="L989" i="15"/>
  <c r="L988" i="15"/>
  <c r="L987" i="15"/>
  <c r="L986" i="15"/>
  <c r="L985" i="15"/>
  <c r="L984" i="15"/>
  <c r="L983" i="15"/>
  <c r="L982" i="15"/>
  <c r="L981" i="15"/>
  <c r="L980" i="15"/>
  <c r="L979" i="15"/>
  <c r="L978" i="15"/>
  <c r="L977" i="15"/>
  <c r="L976" i="15"/>
  <c r="L975" i="15"/>
  <c r="L974" i="15"/>
  <c r="L973" i="15"/>
  <c r="L972" i="15"/>
  <c r="L971" i="15"/>
  <c r="L970" i="15"/>
  <c r="L969" i="15"/>
  <c r="L968" i="15"/>
  <c r="L967" i="15"/>
  <c r="L966" i="15"/>
  <c r="L965" i="15"/>
  <c r="L964" i="15"/>
  <c r="L963" i="15"/>
  <c r="L962" i="15"/>
  <c r="L961" i="15"/>
  <c r="L960" i="15"/>
  <c r="L959" i="15"/>
  <c r="L958" i="15"/>
  <c r="L957" i="15"/>
  <c r="L956" i="15"/>
  <c r="L955" i="15"/>
  <c r="L954" i="15"/>
  <c r="L953" i="15"/>
  <c r="L952" i="15"/>
  <c r="L951" i="15"/>
  <c r="L950" i="15"/>
  <c r="L949" i="15"/>
  <c r="L948" i="15"/>
  <c r="L947" i="15"/>
  <c r="L946" i="15"/>
  <c r="L945" i="15"/>
  <c r="L944" i="15"/>
  <c r="L943" i="15"/>
  <c r="L942" i="15"/>
  <c r="L941" i="15"/>
  <c r="L940" i="15"/>
  <c r="L939" i="15"/>
  <c r="L938" i="15"/>
  <c r="L937" i="15"/>
  <c r="L936" i="15"/>
  <c r="L935" i="15"/>
  <c r="L934" i="15"/>
  <c r="L933" i="15"/>
  <c r="L932" i="15"/>
  <c r="L931" i="15"/>
  <c r="L930" i="15"/>
  <c r="L929" i="15"/>
  <c r="L928" i="15"/>
  <c r="L927" i="15"/>
  <c r="L926" i="15"/>
  <c r="L925" i="15"/>
  <c r="L924" i="15"/>
  <c r="L923" i="15"/>
  <c r="L922" i="15"/>
  <c r="L921" i="15"/>
  <c r="L920" i="15"/>
  <c r="L919" i="15"/>
  <c r="L918" i="15"/>
  <c r="L917" i="15"/>
  <c r="L916" i="15"/>
  <c r="L915" i="15"/>
  <c r="L914" i="15"/>
  <c r="L913" i="15"/>
  <c r="L912" i="15"/>
  <c r="L911" i="15"/>
  <c r="L910" i="15"/>
  <c r="L909" i="15"/>
  <c r="L908" i="15"/>
  <c r="L907" i="15"/>
  <c r="L906" i="15"/>
  <c r="L905" i="15"/>
  <c r="L904" i="15"/>
  <c r="L903" i="15"/>
  <c r="L902" i="15"/>
  <c r="L901" i="15"/>
  <c r="L900" i="15"/>
  <c r="L899" i="15"/>
  <c r="L898" i="15"/>
  <c r="L897" i="15"/>
  <c r="L896" i="15"/>
  <c r="L895" i="15"/>
  <c r="L894" i="15"/>
  <c r="L893" i="15"/>
  <c r="L892" i="15"/>
  <c r="L891" i="15"/>
  <c r="L890" i="15"/>
  <c r="L889" i="15"/>
  <c r="L888" i="15"/>
  <c r="L887" i="15"/>
  <c r="L886" i="15"/>
  <c r="L885" i="15"/>
  <c r="L884" i="15"/>
  <c r="L883" i="15"/>
  <c r="L882" i="15"/>
  <c r="L881" i="15"/>
  <c r="L880" i="15"/>
  <c r="L879" i="15"/>
  <c r="L878" i="15"/>
  <c r="L877" i="15"/>
  <c r="L876" i="15"/>
  <c r="L875" i="15"/>
  <c r="L874" i="15"/>
  <c r="L873" i="15"/>
  <c r="L872" i="15"/>
  <c r="L871" i="15"/>
  <c r="L870" i="15"/>
  <c r="L869" i="15"/>
  <c r="L868" i="15"/>
  <c r="L867" i="15"/>
  <c r="L866" i="15"/>
  <c r="L865" i="15"/>
  <c r="L864" i="15"/>
  <c r="L863" i="15"/>
  <c r="L862" i="15"/>
  <c r="L861" i="15"/>
  <c r="L860" i="15"/>
  <c r="L859" i="15"/>
  <c r="L858" i="15"/>
  <c r="L857" i="15"/>
  <c r="L856" i="15"/>
  <c r="L855" i="15"/>
  <c r="L854" i="15"/>
  <c r="L853" i="15"/>
  <c r="L852" i="15"/>
  <c r="L851" i="15"/>
  <c r="L850" i="15"/>
  <c r="L849" i="15"/>
  <c r="L848" i="15"/>
  <c r="L847" i="15"/>
  <c r="L846" i="15"/>
  <c r="L845" i="15"/>
  <c r="L844" i="15"/>
  <c r="L843" i="15"/>
  <c r="L842" i="15"/>
  <c r="L841" i="15"/>
  <c r="L840" i="15"/>
  <c r="L839" i="15"/>
  <c r="L838" i="15"/>
  <c r="L837" i="15"/>
  <c r="L836" i="15"/>
  <c r="L835" i="15"/>
  <c r="L834" i="15"/>
  <c r="L833" i="15"/>
  <c r="L832" i="15"/>
  <c r="L831" i="15"/>
  <c r="L830" i="15"/>
  <c r="L829" i="15"/>
  <c r="L828" i="15"/>
  <c r="L827" i="15"/>
  <c r="L826" i="15"/>
  <c r="L825" i="15"/>
  <c r="L824" i="15"/>
  <c r="L823" i="15"/>
  <c r="L822" i="15"/>
  <c r="L821" i="15"/>
  <c r="L820" i="15"/>
  <c r="L819" i="15"/>
  <c r="L818" i="15"/>
  <c r="L817" i="15"/>
  <c r="L816" i="15"/>
  <c r="L815" i="15"/>
  <c r="L814" i="15"/>
  <c r="L813" i="15"/>
  <c r="L812" i="15"/>
  <c r="L811" i="15"/>
  <c r="L810" i="15"/>
  <c r="L809" i="15"/>
  <c r="L808" i="15"/>
  <c r="L807" i="15"/>
  <c r="L806" i="15"/>
  <c r="L805" i="15"/>
  <c r="L804" i="15"/>
  <c r="L803" i="15"/>
  <c r="L802" i="15"/>
  <c r="L801" i="15"/>
  <c r="L800" i="15"/>
  <c r="L799" i="15"/>
  <c r="L798" i="15"/>
  <c r="L797" i="15"/>
  <c r="L796" i="15"/>
  <c r="L795" i="15"/>
  <c r="L794" i="15"/>
  <c r="L793" i="15"/>
  <c r="L792" i="15"/>
  <c r="L791" i="15"/>
  <c r="L790" i="15"/>
  <c r="L789" i="15"/>
  <c r="L788" i="15"/>
  <c r="L787" i="15"/>
  <c r="L786" i="15"/>
  <c r="L785" i="15"/>
  <c r="L784" i="15"/>
  <c r="L783" i="15"/>
  <c r="L782" i="15"/>
  <c r="L781" i="15"/>
  <c r="L780" i="15"/>
  <c r="L779" i="15"/>
  <c r="L778" i="15"/>
  <c r="L777" i="15"/>
  <c r="L776" i="15"/>
  <c r="L775" i="15"/>
  <c r="L774" i="15"/>
  <c r="L773" i="15"/>
  <c r="L772" i="15"/>
  <c r="L771" i="15"/>
  <c r="L770" i="15"/>
  <c r="L769" i="15"/>
  <c r="L768" i="15"/>
  <c r="L767" i="15"/>
  <c r="L766" i="15"/>
  <c r="L765" i="15"/>
  <c r="L764" i="15"/>
  <c r="L763" i="15"/>
  <c r="L762" i="15"/>
  <c r="L761" i="15"/>
  <c r="L760" i="15"/>
  <c r="L759" i="15"/>
  <c r="L758" i="15"/>
  <c r="L757" i="15"/>
  <c r="L756" i="15"/>
  <c r="L755" i="15"/>
  <c r="L754" i="15"/>
  <c r="L753" i="15"/>
  <c r="L752" i="15"/>
  <c r="L751" i="15"/>
  <c r="L750" i="15"/>
  <c r="L749" i="15"/>
  <c r="L748" i="15"/>
  <c r="L747" i="15"/>
  <c r="L746" i="15"/>
  <c r="L745" i="15"/>
  <c r="L744" i="15"/>
  <c r="L743" i="15"/>
  <c r="L742" i="15"/>
  <c r="L741" i="15"/>
  <c r="L740" i="15"/>
  <c r="L739" i="15"/>
  <c r="L738" i="15"/>
  <c r="L737" i="15"/>
  <c r="L736" i="15"/>
  <c r="L735" i="15"/>
  <c r="L734" i="15"/>
  <c r="L733" i="15"/>
  <c r="L732" i="15"/>
  <c r="L731" i="15"/>
  <c r="L730" i="15"/>
  <c r="L729" i="15"/>
  <c r="L728" i="15"/>
  <c r="L727" i="15"/>
  <c r="L726" i="15"/>
  <c r="L725" i="15"/>
  <c r="L724" i="15"/>
  <c r="L723" i="15"/>
  <c r="L722" i="15"/>
  <c r="L721" i="15"/>
  <c r="L720" i="15"/>
  <c r="L719" i="15"/>
  <c r="L718" i="15"/>
  <c r="L717" i="15"/>
  <c r="L716" i="15"/>
  <c r="L715" i="15"/>
  <c r="L714" i="15"/>
  <c r="L713" i="15"/>
  <c r="L712" i="15"/>
  <c r="L711" i="15"/>
  <c r="L710" i="15"/>
  <c r="L709" i="15"/>
  <c r="L708" i="15"/>
  <c r="L707" i="15"/>
  <c r="L706" i="15"/>
  <c r="L705" i="15"/>
  <c r="L704" i="15"/>
  <c r="L703" i="15"/>
  <c r="L702" i="15"/>
  <c r="L701" i="15"/>
  <c r="L700" i="15"/>
  <c r="L699" i="15"/>
  <c r="L698" i="15"/>
  <c r="L697" i="15"/>
  <c r="L696" i="15"/>
  <c r="L695" i="15"/>
  <c r="L694" i="15"/>
  <c r="L693" i="15"/>
  <c r="L692" i="15"/>
  <c r="L691" i="15"/>
  <c r="L690" i="15"/>
  <c r="L689" i="15"/>
  <c r="L688" i="15"/>
  <c r="L687" i="15"/>
  <c r="L686" i="15"/>
  <c r="L685" i="15"/>
  <c r="L684" i="15"/>
  <c r="L683" i="15"/>
  <c r="L682" i="15"/>
  <c r="L681" i="15"/>
  <c r="L680" i="15"/>
  <c r="L679" i="15"/>
  <c r="L678" i="15"/>
  <c r="L677" i="15"/>
  <c r="L676" i="15"/>
  <c r="L675" i="15"/>
  <c r="L674" i="15"/>
  <c r="L673" i="15"/>
  <c r="L672" i="15"/>
  <c r="L671" i="15"/>
  <c r="L670" i="15"/>
  <c r="L669" i="15"/>
  <c r="L668" i="15"/>
  <c r="L667" i="15"/>
  <c r="L666" i="15"/>
  <c r="L665" i="15"/>
  <c r="L664" i="15"/>
  <c r="L663" i="15"/>
  <c r="L662" i="15"/>
  <c r="L661" i="15"/>
  <c r="L660" i="15"/>
  <c r="L659" i="15"/>
  <c r="L658" i="15"/>
  <c r="L657" i="15"/>
  <c r="L656" i="15"/>
  <c r="L655" i="15"/>
  <c r="L654" i="15"/>
  <c r="L653" i="15"/>
  <c r="L652" i="15"/>
  <c r="L651" i="15"/>
  <c r="L650" i="15"/>
  <c r="L649" i="15"/>
  <c r="L648" i="15"/>
  <c r="L647" i="15"/>
  <c r="L646" i="15"/>
  <c r="L645" i="15"/>
  <c r="L644" i="15"/>
  <c r="L643" i="15"/>
  <c r="L642" i="15"/>
  <c r="L641" i="15"/>
  <c r="L640" i="15"/>
  <c r="L639" i="15"/>
  <c r="L638" i="15"/>
  <c r="L637" i="15"/>
  <c r="L636" i="15"/>
  <c r="L635" i="15"/>
  <c r="L634" i="15"/>
  <c r="L633" i="15"/>
  <c r="L632" i="15"/>
  <c r="L631" i="15"/>
  <c r="L630" i="15"/>
  <c r="L629" i="15"/>
  <c r="L628" i="15"/>
  <c r="L627" i="15"/>
  <c r="L626" i="15"/>
  <c r="L625" i="15"/>
  <c r="L624" i="15"/>
  <c r="L623" i="15"/>
  <c r="L622" i="15"/>
  <c r="L621" i="15"/>
  <c r="L620" i="15"/>
  <c r="L619" i="15"/>
  <c r="L618" i="15"/>
  <c r="L617" i="15"/>
  <c r="L616" i="15"/>
  <c r="L615" i="15"/>
  <c r="L614" i="15"/>
  <c r="L613" i="15"/>
  <c r="L612" i="15"/>
  <c r="L611" i="15"/>
  <c r="L610" i="15"/>
  <c r="L609" i="15"/>
  <c r="L608" i="15"/>
  <c r="L607" i="15"/>
  <c r="L606" i="15"/>
  <c r="L605" i="15"/>
  <c r="L604" i="15"/>
  <c r="L603" i="15"/>
  <c r="L602" i="15"/>
  <c r="L601" i="15"/>
  <c r="L600" i="15"/>
  <c r="L599" i="15"/>
  <c r="L598" i="15"/>
  <c r="L597" i="15"/>
  <c r="L596" i="15"/>
  <c r="L595" i="15"/>
  <c r="L594" i="15"/>
  <c r="L593" i="15"/>
  <c r="L592" i="15"/>
  <c r="L591" i="15"/>
  <c r="L590" i="15"/>
  <c r="L589" i="15"/>
  <c r="L588" i="15"/>
  <c r="L587" i="15"/>
  <c r="L586" i="15"/>
  <c r="L585" i="15"/>
  <c r="L584" i="15"/>
  <c r="L583" i="15"/>
  <c r="L582" i="15"/>
  <c r="L581" i="15"/>
  <c r="L580" i="15"/>
  <c r="L579" i="15"/>
  <c r="L578" i="15"/>
  <c r="L577" i="15"/>
  <c r="L576" i="15"/>
  <c r="L575" i="15"/>
  <c r="L574" i="15"/>
  <c r="L573" i="15"/>
  <c r="L572" i="15"/>
  <c r="L571" i="15"/>
  <c r="L570" i="15"/>
  <c r="L569" i="15"/>
  <c r="L568" i="15"/>
  <c r="L567" i="15"/>
  <c r="L566" i="15"/>
  <c r="L565" i="15"/>
  <c r="L564" i="15"/>
  <c r="L563" i="15"/>
  <c r="L562" i="15"/>
  <c r="L561" i="15"/>
  <c r="L560" i="15"/>
  <c r="L559" i="15"/>
  <c r="L558" i="15"/>
  <c r="L557" i="15"/>
  <c r="L556" i="15"/>
  <c r="L555" i="15"/>
  <c r="L554" i="15"/>
  <c r="L553" i="15"/>
  <c r="L552" i="15"/>
  <c r="L551" i="15"/>
  <c r="L550" i="15"/>
  <c r="L549" i="15"/>
  <c r="L548" i="15"/>
  <c r="L547" i="15"/>
  <c r="L546" i="15"/>
  <c r="L545" i="15"/>
  <c r="L544" i="15"/>
  <c r="L543" i="15"/>
  <c r="L542" i="15"/>
  <c r="L541" i="15"/>
  <c r="L540" i="15"/>
  <c r="L539" i="15"/>
  <c r="L538" i="15"/>
  <c r="L537" i="15"/>
  <c r="L536" i="15"/>
  <c r="L535" i="15"/>
  <c r="L534" i="15"/>
  <c r="L533" i="15"/>
  <c r="L532" i="15"/>
  <c r="L531" i="15"/>
  <c r="L530" i="15"/>
  <c r="L529" i="15"/>
  <c r="L528" i="15"/>
  <c r="L527" i="15"/>
  <c r="L526" i="15"/>
  <c r="L525" i="15"/>
  <c r="L524" i="15"/>
  <c r="L523" i="15"/>
  <c r="L522" i="15"/>
  <c r="L521" i="15"/>
  <c r="L520" i="15"/>
  <c r="L519" i="15"/>
  <c r="L518" i="15"/>
  <c r="L517" i="15"/>
  <c r="L516" i="15"/>
  <c r="L515" i="15"/>
  <c r="L514" i="15"/>
  <c r="L513" i="15"/>
  <c r="L512" i="15"/>
  <c r="L511" i="15"/>
  <c r="L510" i="15"/>
  <c r="L509" i="15"/>
  <c r="L508" i="15"/>
  <c r="L507" i="15"/>
  <c r="L506" i="15"/>
  <c r="L505" i="15"/>
  <c r="L504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9" i="15"/>
  <c r="L458" i="15"/>
  <c r="L457" i="15"/>
  <c r="L456" i="15"/>
  <c r="L455" i="15"/>
  <c r="L454" i="15"/>
  <c r="L453" i="15"/>
  <c r="L452" i="15"/>
  <c r="L451" i="15"/>
  <c r="L450" i="15"/>
  <c r="L449" i="15"/>
  <c r="L448" i="15"/>
  <c r="L447" i="15"/>
  <c r="L446" i="15"/>
  <c r="L445" i="15"/>
  <c r="L444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50" i="15"/>
  <c r="L349" i="15"/>
  <c r="L348" i="15"/>
  <c r="L347" i="15"/>
  <c r="L346" i="15"/>
  <c r="L345" i="15"/>
  <c r="L344" i="15"/>
  <c r="L343" i="15"/>
  <c r="L342" i="15"/>
  <c r="L341" i="15"/>
  <c r="L340" i="15"/>
  <c r="L339" i="15"/>
  <c r="L338" i="15"/>
  <c r="L337" i="15"/>
  <c r="L336" i="15"/>
  <c r="L335" i="15"/>
  <c r="L334" i="15"/>
  <c r="L333" i="15"/>
  <c r="L332" i="15"/>
  <c r="L331" i="15"/>
  <c r="L330" i="15"/>
  <c r="L329" i="15"/>
  <c r="L328" i="15"/>
  <c r="L327" i="15"/>
  <c r="L326" i="15"/>
  <c r="L325" i="15"/>
  <c r="L324" i="15"/>
  <c r="L323" i="15"/>
  <c r="L322" i="15"/>
  <c r="L321" i="15"/>
  <c r="L320" i="15"/>
  <c r="L319" i="15"/>
  <c r="L318" i="15"/>
  <c r="L317" i="15"/>
  <c r="L316" i="15"/>
  <c r="L315" i="15"/>
  <c r="L314" i="15"/>
  <c r="L313" i="15"/>
  <c r="L312" i="15"/>
  <c r="L311" i="15"/>
  <c r="L310" i="15"/>
  <c r="L309" i="15"/>
  <c r="L308" i="15"/>
  <c r="L307" i="15"/>
  <c r="L306" i="15"/>
  <c r="L305" i="15"/>
  <c r="L304" i="15"/>
  <c r="L303" i="15"/>
  <c r="L302" i="15"/>
  <c r="L301" i="15"/>
  <c r="L300" i="15"/>
  <c r="L299" i="15"/>
  <c r="L298" i="15"/>
  <c r="L297" i="15"/>
  <c r="L296" i="15"/>
  <c r="L295" i="15"/>
  <c r="L294" i="15"/>
  <c r="L293" i="15"/>
  <c r="L292" i="15"/>
  <c r="L291" i="15"/>
  <c r="L290" i="15"/>
  <c r="L289" i="15"/>
  <c r="L288" i="15"/>
  <c r="L287" i="15"/>
  <c r="L286" i="15"/>
  <c r="L285" i="15"/>
  <c r="L284" i="15"/>
  <c r="L283" i="15"/>
  <c r="L282" i="15"/>
  <c r="L281" i="15"/>
  <c r="L280" i="15"/>
  <c r="L279" i="15"/>
  <c r="L278" i="15"/>
  <c r="L277" i="15"/>
  <c r="L276" i="15"/>
  <c r="L275" i="15"/>
  <c r="L274" i="15"/>
  <c r="L273" i="15"/>
  <c r="L272" i="15"/>
  <c r="L271" i="15"/>
  <c r="L270" i="15"/>
  <c r="L269" i="15"/>
  <c r="L268" i="15"/>
  <c r="L267" i="15"/>
  <c r="L266" i="15"/>
  <c r="L265" i="15"/>
  <c r="L264" i="15"/>
  <c r="L263" i="15"/>
  <c r="L262" i="15"/>
  <c r="L261" i="15"/>
  <c r="L260" i="15"/>
  <c r="L259" i="15"/>
  <c r="L258" i="15"/>
  <c r="L257" i="15"/>
  <c r="L256" i="15"/>
  <c r="L255" i="15"/>
  <c r="L254" i="15"/>
  <c r="L253" i="15"/>
  <c r="L252" i="15"/>
  <c r="L251" i="15"/>
  <c r="L250" i="15"/>
  <c r="L249" i="15"/>
  <c r="L248" i="15"/>
  <c r="L247" i="15"/>
  <c r="L246" i="15"/>
  <c r="L245" i="15"/>
  <c r="L244" i="15"/>
  <c r="L243" i="15"/>
  <c r="L242" i="15"/>
  <c r="L241" i="15"/>
  <c r="L240" i="15"/>
  <c r="L239" i="15"/>
  <c r="L238" i="15"/>
  <c r="L237" i="15"/>
  <c r="L236" i="15"/>
  <c r="L235" i="15"/>
  <c r="L234" i="15"/>
  <c r="L233" i="15"/>
  <c r="L232" i="15"/>
  <c r="L231" i="15"/>
  <c r="L230" i="15"/>
  <c r="L229" i="15"/>
  <c r="L228" i="15"/>
  <c r="L227" i="15"/>
  <c r="L226" i="15"/>
  <c r="L225" i="15"/>
  <c r="L224" i="15"/>
  <c r="L223" i="15"/>
  <c r="L222" i="15"/>
  <c r="L221" i="15"/>
  <c r="L220" i="15"/>
  <c r="L219" i="15"/>
  <c r="L218" i="15"/>
  <c r="L217" i="15"/>
  <c r="L216" i="15"/>
  <c r="L215" i="15"/>
  <c r="L214" i="15"/>
  <c r="L213" i="15"/>
  <c r="L212" i="15"/>
  <c r="L211" i="15"/>
  <c r="L210" i="15"/>
  <c r="L209" i="15"/>
  <c r="L208" i="15"/>
  <c r="L207" i="15"/>
  <c r="L206" i="15"/>
  <c r="L205" i="15"/>
  <c r="L204" i="15"/>
  <c r="L203" i="15"/>
  <c r="L202" i="15"/>
  <c r="L201" i="15"/>
  <c r="L200" i="15"/>
  <c r="L199" i="15"/>
  <c r="L198" i="15"/>
  <c r="L197" i="15"/>
  <c r="L196" i="15"/>
  <c r="L195" i="15"/>
  <c r="L194" i="15"/>
  <c r="L193" i="15"/>
  <c r="L192" i="15"/>
  <c r="L191" i="15"/>
  <c r="L190" i="15"/>
  <c r="L189" i="15"/>
  <c r="L188" i="15"/>
  <c r="L187" i="15"/>
  <c r="L186" i="15"/>
  <c r="L185" i="15"/>
  <c r="L184" i="15"/>
  <c r="L183" i="15"/>
  <c r="L182" i="15"/>
  <c r="L181" i="15"/>
  <c r="L180" i="15"/>
  <c r="L179" i="15"/>
  <c r="L178" i="15"/>
  <c r="L177" i="15"/>
  <c r="L176" i="15"/>
  <c r="L175" i="15"/>
  <c r="L174" i="15"/>
  <c r="L173" i="15"/>
  <c r="L172" i="15"/>
  <c r="L171" i="15"/>
  <c r="L170" i="15"/>
  <c r="L169" i="15"/>
  <c r="L168" i="15"/>
  <c r="L167" i="15"/>
  <c r="L166" i="15"/>
  <c r="L165" i="15"/>
  <c r="L164" i="15"/>
  <c r="L163" i="15"/>
  <c r="L162" i="15"/>
  <c r="L161" i="15"/>
  <c r="L160" i="15"/>
  <c r="L159" i="15"/>
  <c r="L158" i="15"/>
  <c r="L157" i="15"/>
  <c r="L156" i="15"/>
  <c r="L155" i="15"/>
  <c r="L154" i="15"/>
  <c r="L153" i="15"/>
  <c r="L152" i="15"/>
  <c r="L151" i="15"/>
  <c r="L150" i="15"/>
  <c r="L149" i="15"/>
  <c r="L148" i="15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L135" i="15"/>
  <c r="L134" i="15"/>
  <c r="L133" i="15"/>
  <c r="L132" i="15"/>
  <c r="L131" i="15"/>
  <c r="L130" i="15"/>
  <c r="L129" i="15"/>
  <c r="L128" i="15"/>
  <c r="L127" i="15"/>
  <c r="L126" i="15"/>
  <c r="L125" i="15"/>
  <c r="L124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9" i="15"/>
  <c r="L8" i="15"/>
  <c r="L7" i="15"/>
  <c r="L6" i="15"/>
  <c r="L5" i="15"/>
  <c r="L4" i="15"/>
  <c r="L3" i="15"/>
  <c r="L2" i="15"/>
  <c r="L950" i="14"/>
  <c r="L949" i="14"/>
  <c r="L948" i="14"/>
  <c r="L947" i="14"/>
  <c r="L946" i="14"/>
  <c r="L945" i="14"/>
  <c r="L944" i="14"/>
  <c r="L943" i="14"/>
  <c r="L942" i="14"/>
  <c r="L941" i="14"/>
  <c r="L940" i="14"/>
  <c r="L939" i="14"/>
  <c r="L938" i="14"/>
  <c r="L937" i="14"/>
  <c r="L936" i="14"/>
  <c r="L935" i="14"/>
  <c r="L934" i="14"/>
  <c r="L933" i="14"/>
  <c r="L932" i="14"/>
  <c r="L931" i="14"/>
  <c r="L930" i="14"/>
  <c r="L929" i="14"/>
  <c r="L928" i="14"/>
  <c r="L927" i="14"/>
  <c r="L926" i="14"/>
  <c r="L925" i="14"/>
  <c r="L924" i="14"/>
  <c r="L923" i="14"/>
  <c r="L922" i="14"/>
  <c r="L921" i="14"/>
  <c r="L920" i="14"/>
  <c r="L919" i="14"/>
  <c r="L918" i="14"/>
  <c r="L917" i="14"/>
  <c r="L916" i="14"/>
  <c r="L915" i="14"/>
  <c r="L914" i="14"/>
  <c r="L913" i="14"/>
  <c r="L912" i="14"/>
  <c r="L911" i="14"/>
  <c r="L910" i="14"/>
  <c r="L909" i="14"/>
  <c r="L908" i="14"/>
  <c r="L907" i="14"/>
  <c r="L906" i="14"/>
  <c r="L905" i="14"/>
  <c r="L904" i="14"/>
  <c r="L903" i="14"/>
  <c r="L902" i="14"/>
  <c r="L901" i="14"/>
  <c r="L900" i="14"/>
  <c r="L899" i="14"/>
  <c r="L898" i="14"/>
  <c r="L897" i="14"/>
  <c r="L896" i="14"/>
  <c r="L895" i="14"/>
  <c r="L894" i="14"/>
  <c r="L893" i="14"/>
  <c r="L892" i="14"/>
  <c r="L891" i="14"/>
  <c r="L890" i="14"/>
  <c r="L889" i="14"/>
  <c r="L888" i="14"/>
  <c r="L887" i="14"/>
  <c r="L886" i="14"/>
  <c r="L885" i="14"/>
  <c r="L884" i="14"/>
  <c r="L883" i="14"/>
  <c r="L882" i="14"/>
  <c r="L881" i="14"/>
  <c r="L880" i="14"/>
  <c r="L879" i="14"/>
  <c r="L878" i="14"/>
  <c r="L877" i="14"/>
  <c r="L876" i="14"/>
  <c r="L875" i="14"/>
  <c r="L874" i="14"/>
  <c r="L873" i="14"/>
  <c r="L872" i="14"/>
  <c r="L871" i="14"/>
  <c r="L870" i="14"/>
  <c r="L869" i="14"/>
  <c r="L868" i="14"/>
  <c r="L867" i="14"/>
  <c r="L866" i="14"/>
  <c r="L865" i="14"/>
  <c r="L864" i="14"/>
  <c r="L863" i="14"/>
  <c r="L862" i="14"/>
  <c r="L861" i="14"/>
  <c r="L860" i="14"/>
  <c r="L859" i="14"/>
  <c r="L858" i="14"/>
  <c r="L857" i="14"/>
  <c r="L856" i="14"/>
  <c r="L855" i="14"/>
  <c r="L854" i="14"/>
  <c r="L853" i="14"/>
  <c r="L852" i="14"/>
  <c r="L851" i="14"/>
  <c r="L850" i="14"/>
  <c r="L849" i="14"/>
  <c r="L848" i="14"/>
  <c r="L847" i="14"/>
  <c r="L846" i="14"/>
  <c r="L845" i="14"/>
  <c r="L844" i="14"/>
  <c r="L843" i="14"/>
  <c r="L842" i="14"/>
  <c r="L841" i="14"/>
  <c r="L840" i="14"/>
  <c r="L839" i="14"/>
  <c r="L838" i="14"/>
  <c r="L837" i="14"/>
  <c r="L836" i="14"/>
  <c r="L835" i="14"/>
  <c r="L834" i="14"/>
  <c r="L833" i="14"/>
  <c r="L832" i="14"/>
  <c r="L831" i="14"/>
  <c r="L830" i="14"/>
  <c r="L829" i="14"/>
  <c r="L828" i="14"/>
  <c r="L827" i="14"/>
  <c r="L826" i="14"/>
  <c r="L825" i="14"/>
  <c r="L824" i="14"/>
  <c r="L823" i="14"/>
  <c r="L822" i="14"/>
  <c r="L821" i="14"/>
  <c r="L820" i="14"/>
  <c r="L819" i="14"/>
  <c r="L818" i="14"/>
  <c r="L817" i="14"/>
  <c r="L816" i="14"/>
  <c r="L815" i="14"/>
  <c r="L814" i="14"/>
  <c r="L813" i="14"/>
  <c r="L812" i="14"/>
  <c r="L811" i="14"/>
  <c r="L810" i="14"/>
  <c r="L809" i="14"/>
  <c r="L808" i="14"/>
  <c r="L807" i="14"/>
  <c r="L806" i="14"/>
  <c r="L805" i="14"/>
  <c r="L804" i="14"/>
  <c r="L803" i="14"/>
  <c r="L802" i="14"/>
  <c r="L801" i="14"/>
  <c r="L800" i="14"/>
  <c r="L799" i="14"/>
  <c r="L798" i="14"/>
  <c r="L797" i="14"/>
  <c r="L796" i="14"/>
  <c r="L795" i="14"/>
  <c r="L794" i="14"/>
  <c r="L793" i="14"/>
  <c r="L792" i="14"/>
  <c r="L791" i="14"/>
  <c r="L790" i="14"/>
  <c r="L789" i="14"/>
  <c r="L788" i="14"/>
  <c r="L787" i="14"/>
  <c r="L786" i="14"/>
  <c r="L785" i="14"/>
  <c r="L784" i="14"/>
  <c r="L783" i="14"/>
  <c r="L782" i="14"/>
  <c r="L781" i="14"/>
  <c r="L780" i="14"/>
  <c r="L779" i="14"/>
  <c r="L778" i="14"/>
  <c r="L777" i="14"/>
  <c r="L776" i="14"/>
  <c r="L775" i="14"/>
  <c r="L774" i="14"/>
  <c r="L773" i="14"/>
  <c r="L772" i="14"/>
  <c r="L771" i="14"/>
  <c r="L770" i="14"/>
  <c r="L769" i="14"/>
  <c r="L768" i="14"/>
  <c r="L767" i="14"/>
  <c r="L766" i="14"/>
  <c r="L765" i="14"/>
  <c r="L764" i="14"/>
  <c r="L763" i="14"/>
  <c r="L762" i="14"/>
  <c r="L761" i="14"/>
  <c r="L760" i="14"/>
  <c r="L759" i="14"/>
  <c r="L758" i="14"/>
  <c r="L757" i="14"/>
  <c r="L756" i="14"/>
  <c r="L755" i="14"/>
  <c r="L754" i="14"/>
  <c r="L753" i="14"/>
  <c r="L752" i="14"/>
  <c r="L751" i="14"/>
  <c r="L750" i="14"/>
  <c r="L749" i="14"/>
  <c r="L748" i="14"/>
  <c r="L747" i="14"/>
  <c r="L746" i="14"/>
  <c r="L745" i="14"/>
  <c r="L744" i="14"/>
  <c r="L743" i="14"/>
  <c r="L742" i="14"/>
  <c r="L741" i="14"/>
  <c r="L740" i="14"/>
  <c r="L739" i="14"/>
  <c r="L738" i="14"/>
  <c r="L737" i="14"/>
  <c r="L736" i="14"/>
  <c r="L735" i="14"/>
  <c r="L734" i="14"/>
  <c r="L733" i="14"/>
  <c r="L732" i="14"/>
  <c r="L731" i="14"/>
  <c r="L730" i="14"/>
  <c r="L729" i="14"/>
  <c r="L728" i="14"/>
  <c r="L727" i="14"/>
  <c r="L726" i="14"/>
  <c r="L725" i="14"/>
  <c r="L724" i="14"/>
  <c r="L723" i="14"/>
  <c r="L722" i="14"/>
  <c r="L721" i="14"/>
  <c r="L720" i="14"/>
  <c r="L719" i="14"/>
  <c r="L718" i="14"/>
  <c r="L717" i="14"/>
  <c r="L716" i="14"/>
  <c r="L715" i="14"/>
  <c r="L714" i="14"/>
  <c r="L713" i="14"/>
  <c r="L712" i="14"/>
  <c r="L711" i="14"/>
  <c r="L710" i="14"/>
  <c r="L709" i="14"/>
  <c r="L708" i="14"/>
  <c r="L707" i="14"/>
  <c r="L706" i="14"/>
  <c r="L705" i="14"/>
  <c r="L704" i="14"/>
  <c r="L703" i="14"/>
  <c r="L702" i="14"/>
  <c r="L701" i="14"/>
  <c r="L700" i="14"/>
  <c r="L699" i="14"/>
  <c r="L698" i="14"/>
  <c r="L697" i="14"/>
  <c r="L696" i="14"/>
  <c r="L695" i="14"/>
  <c r="L694" i="14"/>
  <c r="L693" i="14"/>
  <c r="L692" i="14"/>
  <c r="L691" i="14"/>
  <c r="L690" i="14"/>
  <c r="L689" i="14"/>
  <c r="L688" i="14"/>
  <c r="L687" i="14"/>
  <c r="L686" i="14"/>
  <c r="L685" i="14"/>
  <c r="L684" i="14"/>
  <c r="L683" i="14"/>
  <c r="L682" i="14"/>
  <c r="L681" i="14"/>
  <c r="L680" i="14"/>
  <c r="L679" i="14"/>
  <c r="L678" i="14"/>
  <c r="L677" i="14"/>
  <c r="L676" i="14"/>
  <c r="L675" i="14"/>
  <c r="L674" i="14"/>
  <c r="L673" i="14"/>
  <c r="L672" i="14"/>
  <c r="L671" i="14"/>
  <c r="L670" i="14"/>
  <c r="L669" i="14"/>
  <c r="L668" i="14"/>
  <c r="L667" i="14"/>
  <c r="L666" i="14"/>
  <c r="L665" i="14"/>
  <c r="L664" i="14"/>
  <c r="L663" i="14"/>
  <c r="L662" i="14"/>
  <c r="L661" i="14"/>
  <c r="L660" i="14"/>
  <c r="L659" i="14"/>
  <c r="L658" i="14"/>
  <c r="L657" i="14"/>
  <c r="L656" i="14"/>
  <c r="L655" i="14"/>
  <c r="L654" i="14"/>
  <c r="L653" i="14"/>
  <c r="L652" i="14"/>
  <c r="L651" i="14"/>
  <c r="L650" i="14"/>
  <c r="L649" i="14"/>
  <c r="L648" i="14"/>
  <c r="L647" i="14"/>
  <c r="L646" i="14"/>
  <c r="L645" i="14"/>
  <c r="L644" i="14"/>
  <c r="L643" i="14"/>
  <c r="L642" i="14"/>
  <c r="L641" i="14"/>
  <c r="L640" i="14"/>
  <c r="L639" i="14"/>
  <c r="L638" i="14"/>
  <c r="L637" i="14"/>
  <c r="L636" i="14"/>
  <c r="L635" i="14"/>
  <c r="L634" i="14"/>
  <c r="L633" i="14"/>
  <c r="L632" i="14"/>
  <c r="L631" i="14"/>
  <c r="L630" i="14"/>
  <c r="L629" i="14"/>
  <c r="L628" i="14"/>
  <c r="L627" i="14"/>
  <c r="L626" i="14"/>
  <c r="L625" i="14"/>
  <c r="L624" i="14"/>
  <c r="L623" i="14"/>
  <c r="L622" i="14"/>
  <c r="L621" i="14"/>
  <c r="L620" i="14"/>
  <c r="L619" i="14"/>
  <c r="L618" i="14"/>
  <c r="L617" i="14"/>
  <c r="L616" i="14"/>
  <c r="L615" i="14"/>
  <c r="L614" i="14"/>
  <c r="L613" i="14"/>
  <c r="L612" i="14"/>
  <c r="L611" i="14"/>
  <c r="L610" i="14"/>
  <c r="L609" i="14"/>
  <c r="L608" i="14"/>
  <c r="L607" i="14"/>
  <c r="L606" i="14"/>
  <c r="L605" i="14"/>
  <c r="L604" i="14"/>
  <c r="L603" i="14"/>
  <c r="L602" i="14"/>
  <c r="L601" i="14"/>
  <c r="L600" i="14"/>
  <c r="L599" i="14"/>
  <c r="L598" i="14"/>
  <c r="L597" i="14"/>
  <c r="L596" i="14"/>
  <c r="L595" i="14"/>
  <c r="L594" i="14"/>
  <c r="L593" i="14"/>
  <c r="L592" i="14"/>
  <c r="L591" i="14"/>
  <c r="L590" i="14"/>
  <c r="L589" i="14"/>
  <c r="L588" i="14"/>
  <c r="L587" i="14"/>
  <c r="L586" i="14"/>
  <c r="L585" i="14"/>
  <c r="L584" i="14"/>
  <c r="L583" i="14"/>
  <c r="L582" i="14"/>
  <c r="L581" i="14"/>
  <c r="L580" i="14"/>
  <c r="L579" i="14"/>
  <c r="L578" i="14"/>
  <c r="L577" i="14"/>
  <c r="L576" i="14"/>
  <c r="L575" i="14"/>
  <c r="L574" i="14"/>
  <c r="L573" i="14"/>
  <c r="L572" i="14"/>
  <c r="L571" i="14"/>
  <c r="L570" i="14"/>
  <c r="L569" i="14"/>
  <c r="L568" i="14"/>
  <c r="L567" i="14"/>
  <c r="L566" i="14"/>
  <c r="L565" i="14"/>
  <c r="L564" i="14"/>
  <c r="L563" i="14"/>
  <c r="L562" i="14"/>
  <c r="L561" i="14"/>
  <c r="L560" i="14"/>
  <c r="L559" i="14"/>
  <c r="L558" i="14"/>
  <c r="L557" i="14"/>
  <c r="L556" i="14"/>
  <c r="L555" i="14"/>
  <c r="L554" i="14"/>
  <c r="L553" i="14"/>
  <c r="L552" i="14"/>
  <c r="L551" i="14"/>
  <c r="L550" i="14"/>
  <c r="L549" i="14"/>
  <c r="L548" i="14"/>
  <c r="L547" i="14"/>
  <c r="L546" i="14"/>
  <c r="L545" i="14"/>
  <c r="L544" i="14"/>
  <c r="L543" i="14"/>
  <c r="L542" i="14"/>
  <c r="L541" i="14"/>
  <c r="L540" i="14"/>
  <c r="L539" i="14"/>
  <c r="L538" i="14"/>
  <c r="L537" i="14"/>
  <c r="L536" i="14"/>
  <c r="L535" i="14"/>
  <c r="L534" i="14"/>
  <c r="L533" i="14"/>
  <c r="L532" i="14"/>
  <c r="L531" i="14"/>
  <c r="L530" i="14"/>
  <c r="L529" i="14"/>
  <c r="L528" i="14"/>
  <c r="L527" i="14"/>
  <c r="L526" i="14"/>
  <c r="L525" i="14"/>
  <c r="L524" i="14"/>
  <c r="L523" i="14"/>
  <c r="L522" i="14"/>
  <c r="L521" i="14"/>
  <c r="L520" i="14"/>
  <c r="L519" i="14"/>
  <c r="L518" i="14"/>
  <c r="L517" i="14"/>
  <c r="L516" i="14"/>
  <c r="L515" i="14"/>
  <c r="L514" i="14"/>
  <c r="L513" i="14"/>
  <c r="L512" i="14"/>
  <c r="L511" i="14"/>
  <c r="L510" i="14"/>
  <c r="L509" i="14"/>
  <c r="L508" i="14"/>
  <c r="L507" i="14"/>
  <c r="L506" i="14"/>
  <c r="L505" i="14"/>
  <c r="L504" i="14"/>
  <c r="L503" i="14"/>
  <c r="L502" i="14"/>
  <c r="L501" i="14"/>
  <c r="L500" i="14"/>
  <c r="L499" i="14"/>
  <c r="L498" i="14"/>
  <c r="L497" i="14"/>
  <c r="L496" i="14"/>
  <c r="L495" i="14"/>
  <c r="L494" i="14"/>
  <c r="L493" i="14"/>
  <c r="L492" i="14"/>
  <c r="L491" i="14"/>
  <c r="L490" i="14"/>
  <c r="L489" i="14"/>
  <c r="L488" i="14"/>
  <c r="L487" i="14"/>
  <c r="L486" i="14"/>
  <c r="L485" i="14"/>
  <c r="L484" i="14"/>
  <c r="L483" i="14"/>
  <c r="L482" i="14"/>
  <c r="L481" i="14"/>
  <c r="L480" i="14"/>
  <c r="L479" i="14"/>
  <c r="L478" i="14"/>
  <c r="L477" i="14"/>
  <c r="L476" i="14"/>
  <c r="L475" i="14"/>
  <c r="L474" i="14"/>
  <c r="L473" i="14"/>
  <c r="L472" i="14"/>
  <c r="L471" i="14"/>
  <c r="L470" i="14"/>
  <c r="L469" i="14"/>
  <c r="L468" i="14"/>
  <c r="L467" i="14"/>
  <c r="L466" i="14"/>
  <c r="L465" i="14"/>
  <c r="L464" i="14"/>
  <c r="L463" i="14"/>
  <c r="L462" i="14"/>
  <c r="L461" i="14"/>
  <c r="L460" i="14"/>
  <c r="L459" i="14"/>
  <c r="L458" i="14"/>
  <c r="L457" i="14"/>
  <c r="L456" i="14"/>
  <c r="L455" i="14"/>
  <c r="L454" i="14"/>
  <c r="L453" i="14"/>
  <c r="L452" i="14"/>
  <c r="L451" i="14"/>
  <c r="L450" i="14"/>
  <c r="L449" i="14"/>
  <c r="L448" i="14"/>
  <c r="L447" i="14"/>
  <c r="L446" i="14"/>
  <c r="L445" i="14"/>
  <c r="L444" i="14"/>
  <c r="L443" i="14"/>
  <c r="L442" i="14"/>
  <c r="L441" i="14"/>
  <c r="L440" i="14"/>
  <c r="L439" i="14"/>
  <c r="L438" i="14"/>
  <c r="L437" i="14"/>
  <c r="L436" i="14"/>
  <c r="L435" i="14"/>
  <c r="L434" i="14"/>
  <c r="L433" i="14"/>
  <c r="L432" i="14"/>
  <c r="L431" i="14"/>
  <c r="L430" i="14"/>
  <c r="L429" i="14"/>
  <c r="L428" i="14"/>
  <c r="L427" i="14"/>
  <c r="L426" i="14"/>
  <c r="L425" i="14"/>
  <c r="L424" i="14"/>
  <c r="L423" i="14"/>
  <c r="L422" i="14"/>
  <c r="L421" i="14"/>
  <c r="L420" i="14"/>
  <c r="L419" i="14"/>
  <c r="L418" i="14"/>
  <c r="L417" i="14"/>
  <c r="L416" i="14"/>
  <c r="L415" i="14"/>
  <c r="L414" i="14"/>
  <c r="L413" i="14"/>
  <c r="L412" i="14"/>
  <c r="L411" i="14"/>
  <c r="L410" i="14"/>
  <c r="L409" i="14"/>
  <c r="L408" i="14"/>
  <c r="L407" i="14"/>
  <c r="L406" i="14"/>
  <c r="L405" i="14"/>
  <c r="L404" i="14"/>
  <c r="L403" i="14"/>
  <c r="L402" i="14"/>
  <c r="L401" i="14"/>
  <c r="L400" i="14"/>
  <c r="L399" i="14"/>
  <c r="L398" i="14"/>
  <c r="L397" i="14"/>
  <c r="L396" i="14"/>
  <c r="L395" i="14"/>
  <c r="L394" i="14"/>
  <c r="L393" i="14"/>
  <c r="L392" i="14"/>
  <c r="L391" i="14"/>
  <c r="L390" i="14"/>
  <c r="L389" i="14"/>
  <c r="L388" i="14"/>
  <c r="L387" i="14"/>
  <c r="L386" i="14"/>
  <c r="L385" i="14"/>
  <c r="L384" i="14"/>
  <c r="L383" i="14"/>
  <c r="L382" i="14"/>
  <c r="L381" i="14"/>
  <c r="L380" i="14"/>
  <c r="L379" i="14"/>
  <c r="L378" i="14"/>
  <c r="L377" i="14"/>
  <c r="L376" i="14"/>
  <c r="L375" i="14"/>
  <c r="L374" i="14"/>
  <c r="L373" i="14"/>
  <c r="L372" i="14"/>
  <c r="L371" i="14"/>
  <c r="L370" i="14"/>
  <c r="L369" i="14"/>
  <c r="L368" i="14"/>
  <c r="L367" i="14"/>
  <c r="L366" i="14"/>
  <c r="L365" i="14"/>
  <c r="L364" i="14"/>
  <c r="L363" i="14"/>
  <c r="L362" i="14"/>
  <c r="L361" i="14"/>
  <c r="L360" i="14"/>
  <c r="L359" i="14"/>
  <c r="L358" i="14"/>
  <c r="L357" i="14"/>
  <c r="L356" i="14"/>
  <c r="L355" i="14"/>
  <c r="L354" i="14"/>
  <c r="L353" i="14"/>
  <c r="L352" i="14"/>
  <c r="L351" i="14"/>
  <c r="L350" i="14"/>
  <c r="L349" i="14"/>
  <c r="L348" i="14"/>
  <c r="L347" i="14"/>
  <c r="L346" i="14"/>
  <c r="L345" i="14"/>
  <c r="L344" i="14"/>
  <c r="L343" i="14"/>
  <c r="L342" i="14"/>
  <c r="L341" i="14"/>
  <c r="L340" i="14"/>
  <c r="L339" i="14"/>
  <c r="L338" i="14"/>
  <c r="L337" i="14"/>
  <c r="L336" i="14"/>
  <c r="L335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2" i="14"/>
  <c r="L321" i="14"/>
  <c r="L320" i="14"/>
  <c r="L319" i="14"/>
  <c r="L318" i="14"/>
  <c r="L317" i="14"/>
  <c r="L316" i="14"/>
  <c r="L315" i="14"/>
  <c r="L314" i="14"/>
  <c r="L313" i="14"/>
  <c r="L312" i="14"/>
  <c r="L311" i="14"/>
  <c r="L310" i="14"/>
  <c r="L309" i="14"/>
  <c r="L308" i="14"/>
  <c r="L307" i="14"/>
  <c r="L306" i="14"/>
  <c r="L305" i="14"/>
  <c r="L304" i="14"/>
  <c r="L303" i="14"/>
  <c r="L302" i="14"/>
  <c r="L301" i="14"/>
  <c r="L300" i="14"/>
  <c r="L299" i="14"/>
  <c r="L298" i="14"/>
  <c r="L297" i="14"/>
  <c r="L296" i="14"/>
  <c r="L295" i="14"/>
  <c r="L294" i="14"/>
  <c r="L293" i="14"/>
  <c r="L292" i="14"/>
  <c r="L291" i="14"/>
  <c r="L290" i="14"/>
  <c r="L289" i="14"/>
  <c r="L288" i="14"/>
  <c r="L287" i="14"/>
  <c r="L286" i="14"/>
  <c r="L285" i="14"/>
  <c r="L284" i="14"/>
  <c r="L283" i="14"/>
  <c r="L282" i="14"/>
  <c r="L281" i="14"/>
  <c r="L280" i="14"/>
  <c r="L279" i="14"/>
  <c r="L278" i="14"/>
  <c r="L277" i="14"/>
  <c r="L276" i="14"/>
  <c r="L275" i="14"/>
  <c r="L274" i="14"/>
  <c r="L273" i="14"/>
  <c r="L272" i="14"/>
  <c r="L271" i="14"/>
  <c r="L270" i="14"/>
  <c r="L269" i="14"/>
  <c r="L268" i="14"/>
  <c r="L267" i="14"/>
  <c r="L266" i="14"/>
  <c r="L265" i="14"/>
  <c r="L264" i="14"/>
  <c r="L263" i="14"/>
  <c r="L262" i="14"/>
  <c r="L261" i="14"/>
  <c r="L260" i="14"/>
  <c r="L259" i="14"/>
  <c r="L258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8" i="14"/>
  <c r="L237" i="14"/>
  <c r="L236" i="14"/>
  <c r="L235" i="14"/>
  <c r="L234" i="14"/>
  <c r="L233" i="14"/>
  <c r="L232" i="14"/>
  <c r="L231" i="14"/>
  <c r="L230" i="14"/>
  <c r="L229" i="14"/>
  <c r="L228" i="14"/>
  <c r="L227" i="14"/>
  <c r="L226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3" i="14"/>
  <c r="L212" i="14"/>
  <c r="L211" i="14"/>
  <c r="L210" i="14"/>
  <c r="L209" i="14"/>
  <c r="L208" i="14"/>
  <c r="L207" i="14"/>
  <c r="L206" i="14"/>
  <c r="L205" i="14"/>
  <c r="L204" i="14"/>
  <c r="L203" i="14"/>
  <c r="L202" i="14"/>
  <c r="L201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7" i="14"/>
  <c r="L176" i="14"/>
  <c r="L175" i="14"/>
  <c r="L174" i="14"/>
  <c r="L173" i="14"/>
  <c r="L172" i="14"/>
  <c r="L171" i="14"/>
  <c r="L170" i="14"/>
  <c r="L169" i="14"/>
  <c r="L168" i="14"/>
  <c r="L167" i="14"/>
  <c r="L166" i="14"/>
  <c r="L165" i="14"/>
  <c r="L164" i="14"/>
  <c r="L163" i="14"/>
  <c r="L162" i="14"/>
  <c r="L161" i="14"/>
  <c r="L160" i="14"/>
  <c r="L159" i="14"/>
  <c r="L158" i="14"/>
  <c r="L157" i="14"/>
  <c r="L156" i="14"/>
  <c r="L155" i="14"/>
  <c r="L154" i="14"/>
  <c r="L153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3" i="14"/>
  <c r="L2" i="14"/>
  <c r="L698" i="13"/>
  <c r="L697" i="13"/>
  <c r="L696" i="13"/>
  <c r="L695" i="13"/>
  <c r="L694" i="13"/>
  <c r="L693" i="13"/>
  <c r="L692" i="13"/>
  <c r="L691" i="13"/>
  <c r="L690" i="13"/>
  <c r="L689" i="13"/>
  <c r="L688" i="13"/>
  <c r="L687" i="13"/>
  <c r="L686" i="13"/>
  <c r="L685" i="13"/>
  <c r="L684" i="13"/>
  <c r="L683" i="13"/>
  <c r="L682" i="13"/>
  <c r="L681" i="13"/>
  <c r="L680" i="13"/>
  <c r="L679" i="13"/>
  <c r="L678" i="13"/>
  <c r="L677" i="13"/>
  <c r="L676" i="13"/>
  <c r="L675" i="13"/>
  <c r="L674" i="13"/>
  <c r="L673" i="13"/>
  <c r="L672" i="13"/>
  <c r="L671" i="13"/>
  <c r="L670" i="13"/>
  <c r="L669" i="13"/>
  <c r="L668" i="13"/>
  <c r="L667" i="13"/>
  <c r="L666" i="13"/>
  <c r="L665" i="13"/>
  <c r="L664" i="13"/>
  <c r="L663" i="13"/>
  <c r="L662" i="13"/>
  <c r="L661" i="13"/>
  <c r="L660" i="13"/>
  <c r="L659" i="13"/>
  <c r="L658" i="13"/>
  <c r="L657" i="13"/>
  <c r="L656" i="13"/>
  <c r="L655" i="13"/>
  <c r="L654" i="13"/>
  <c r="L653" i="13"/>
  <c r="L652" i="13"/>
  <c r="L651" i="13"/>
  <c r="L650" i="13"/>
  <c r="L649" i="13"/>
  <c r="L648" i="13"/>
  <c r="L647" i="13"/>
  <c r="L646" i="13"/>
  <c r="L645" i="13"/>
  <c r="L644" i="13"/>
  <c r="L643" i="13"/>
  <c r="L642" i="13"/>
  <c r="L641" i="13"/>
  <c r="L640" i="13"/>
  <c r="L639" i="13"/>
  <c r="L638" i="13"/>
  <c r="L637" i="13"/>
  <c r="L636" i="13"/>
  <c r="L635" i="13"/>
  <c r="L634" i="13"/>
  <c r="L633" i="13"/>
  <c r="L632" i="13"/>
  <c r="L631" i="13"/>
  <c r="L630" i="13"/>
  <c r="L629" i="13"/>
  <c r="L628" i="13"/>
  <c r="L627" i="13"/>
  <c r="L626" i="13"/>
  <c r="L625" i="13"/>
  <c r="L624" i="13"/>
  <c r="L623" i="13"/>
  <c r="L622" i="13"/>
  <c r="L621" i="13"/>
  <c r="L620" i="13"/>
  <c r="L619" i="13"/>
  <c r="L618" i="13"/>
  <c r="L617" i="13"/>
  <c r="L616" i="13"/>
  <c r="L615" i="13"/>
  <c r="L614" i="13"/>
  <c r="L613" i="13"/>
  <c r="L612" i="13"/>
  <c r="L611" i="13"/>
  <c r="L610" i="13"/>
  <c r="L609" i="13"/>
  <c r="L608" i="13"/>
  <c r="L607" i="13"/>
  <c r="L606" i="13"/>
  <c r="L605" i="13"/>
  <c r="L604" i="13"/>
  <c r="L603" i="13"/>
  <c r="L602" i="13"/>
  <c r="L601" i="13"/>
  <c r="L600" i="13"/>
  <c r="L599" i="13"/>
  <c r="L598" i="13"/>
  <c r="L597" i="13"/>
  <c r="L596" i="13"/>
  <c r="L595" i="13"/>
  <c r="L594" i="13"/>
  <c r="L593" i="13"/>
  <c r="L592" i="13"/>
  <c r="L591" i="13"/>
  <c r="L590" i="13"/>
  <c r="L589" i="13"/>
  <c r="L588" i="13"/>
  <c r="L587" i="13"/>
  <c r="L586" i="13"/>
  <c r="L585" i="13"/>
  <c r="L584" i="13"/>
  <c r="L583" i="13"/>
  <c r="L582" i="13"/>
  <c r="L581" i="13"/>
  <c r="L580" i="13"/>
  <c r="L579" i="13"/>
  <c r="L578" i="13"/>
  <c r="L577" i="13"/>
  <c r="L576" i="13"/>
  <c r="L575" i="13"/>
  <c r="L574" i="13"/>
  <c r="L573" i="13"/>
  <c r="L572" i="13"/>
  <c r="L571" i="13"/>
  <c r="L570" i="13"/>
  <c r="L569" i="13"/>
  <c r="L568" i="13"/>
  <c r="L567" i="13"/>
  <c r="L566" i="13"/>
  <c r="L565" i="13"/>
  <c r="L564" i="13"/>
  <c r="L563" i="13"/>
  <c r="L562" i="13"/>
  <c r="L561" i="13"/>
  <c r="L560" i="13"/>
  <c r="L559" i="13"/>
  <c r="L558" i="13"/>
  <c r="L557" i="13"/>
  <c r="L556" i="13"/>
  <c r="L555" i="13"/>
  <c r="L554" i="13"/>
  <c r="L553" i="13"/>
  <c r="L552" i="13"/>
  <c r="L551" i="13"/>
  <c r="L550" i="13"/>
  <c r="L549" i="13"/>
  <c r="L548" i="13"/>
  <c r="L547" i="13"/>
  <c r="L546" i="13"/>
  <c r="L545" i="13"/>
  <c r="L544" i="13"/>
  <c r="L543" i="13"/>
  <c r="L542" i="13"/>
  <c r="L541" i="13"/>
  <c r="L540" i="13"/>
  <c r="L539" i="13"/>
  <c r="L538" i="13"/>
  <c r="L537" i="13"/>
  <c r="L536" i="13"/>
  <c r="L535" i="13"/>
  <c r="L534" i="13"/>
  <c r="L533" i="13"/>
  <c r="L532" i="13"/>
  <c r="L531" i="13"/>
  <c r="L530" i="13"/>
  <c r="L529" i="13"/>
  <c r="L528" i="13"/>
  <c r="L527" i="13"/>
  <c r="L526" i="13"/>
  <c r="L525" i="13"/>
  <c r="L524" i="13"/>
  <c r="L523" i="13"/>
  <c r="L522" i="13"/>
  <c r="L521" i="13"/>
  <c r="L520" i="13"/>
  <c r="L519" i="13"/>
  <c r="L518" i="13"/>
  <c r="L517" i="13"/>
  <c r="L516" i="13"/>
  <c r="L515" i="13"/>
  <c r="L514" i="13"/>
  <c r="L513" i="13"/>
  <c r="L512" i="13"/>
  <c r="L511" i="13"/>
  <c r="L510" i="13"/>
  <c r="L509" i="13"/>
  <c r="L508" i="13"/>
  <c r="L507" i="13"/>
  <c r="L506" i="13"/>
  <c r="L505" i="13"/>
  <c r="L504" i="13"/>
  <c r="L503" i="13"/>
  <c r="L502" i="13"/>
  <c r="L501" i="13"/>
  <c r="L500" i="13"/>
  <c r="L499" i="13"/>
  <c r="L498" i="13"/>
  <c r="L497" i="13"/>
  <c r="L496" i="13"/>
  <c r="L495" i="13"/>
  <c r="L494" i="13"/>
  <c r="L493" i="13"/>
  <c r="L492" i="13"/>
  <c r="L491" i="13"/>
  <c r="L490" i="13"/>
  <c r="L489" i="13"/>
  <c r="L488" i="13"/>
  <c r="L487" i="13"/>
  <c r="L486" i="13"/>
  <c r="L485" i="13"/>
  <c r="L484" i="13"/>
  <c r="L483" i="13"/>
  <c r="L482" i="13"/>
  <c r="L481" i="13"/>
  <c r="L480" i="13"/>
  <c r="L479" i="13"/>
  <c r="L478" i="13"/>
  <c r="L477" i="13"/>
  <c r="L476" i="13"/>
  <c r="L475" i="13"/>
  <c r="L474" i="13"/>
  <c r="L473" i="13"/>
  <c r="L472" i="13"/>
  <c r="L471" i="13"/>
  <c r="L470" i="13"/>
  <c r="L469" i="13"/>
  <c r="L468" i="13"/>
  <c r="L467" i="13"/>
  <c r="L466" i="13"/>
  <c r="L465" i="13"/>
  <c r="L464" i="13"/>
  <c r="L463" i="13"/>
  <c r="L462" i="13"/>
  <c r="L461" i="13"/>
  <c r="L460" i="13"/>
  <c r="L459" i="13"/>
  <c r="L458" i="13"/>
  <c r="L457" i="13"/>
  <c r="L456" i="13"/>
  <c r="L455" i="13"/>
  <c r="L454" i="13"/>
  <c r="L453" i="13"/>
  <c r="L452" i="13"/>
  <c r="L451" i="13"/>
  <c r="L450" i="13"/>
  <c r="L449" i="13"/>
  <c r="L448" i="13"/>
  <c r="L447" i="13"/>
  <c r="L446" i="13"/>
  <c r="L445" i="13"/>
  <c r="L444" i="13"/>
  <c r="L443" i="13"/>
  <c r="L442" i="13"/>
  <c r="L441" i="13"/>
  <c r="L440" i="13"/>
  <c r="L439" i="13"/>
  <c r="L438" i="13"/>
  <c r="L437" i="13"/>
  <c r="L436" i="13"/>
  <c r="L435" i="13"/>
  <c r="L434" i="13"/>
  <c r="L433" i="13"/>
  <c r="L432" i="13"/>
  <c r="L431" i="13"/>
  <c r="L430" i="13"/>
  <c r="L429" i="13"/>
  <c r="L428" i="13"/>
  <c r="L427" i="13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9" i="13"/>
  <c r="L388" i="13"/>
  <c r="L387" i="13"/>
  <c r="L386" i="13"/>
  <c r="L385" i="13"/>
  <c r="L384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L300" i="13"/>
  <c r="L299" i="13"/>
  <c r="L298" i="13"/>
  <c r="L297" i="13"/>
  <c r="L296" i="13"/>
  <c r="L295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L221" i="13"/>
  <c r="L220" i="13"/>
  <c r="L219" i="13"/>
  <c r="L218" i="13"/>
  <c r="L217" i="13"/>
  <c r="L216" i="13"/>
  <c r="L215" i="13"/>
  <c r="L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L7" i="13"/>
  <c r="L6" i="13"/>
  <c r="L5" i="13"/>
  <c r="L4" i="13"/>
  <c r="L3" i="13"/>
  <c r="L2" i="13"/>
  <c r="L958" i="12"/>
  <c r="L957" i="12"/>
  <c r="L956" i="12"/>
  <c r="L955" i="12"/>
  <c r="L954" i="12"/>
  <c r="L953" i="12"/>
  <c r="L952" i="12"/>
  <c r="L951" i="12"/>
  <c r="L950" i="12"/>
  <c r="L949" i="12"/>
  <c r="L948" i="12"/>
  <c r="L947" i="12"/>
  <c r="L946" i="12"/>
  <c r="L945" i="12"/>
  <c r="L944" i="12"/>
  <c r="L943" i="12"/>
  <c r="L942" i="12"/>
  <c r="L941" i="12"/>
  <c r="L940" i="12"/>
  <c r="L939" i="12"/>
  <c r="L938" i="12"/>
  <c r="L937" i="12"/>
  <c r="L936" i="12"/>
  <c r="L935" i="12"/>
  <c r="L934" i="12"/>
  <c r="L933" i="12"/>
  <c r="L932" i="12"/>
  <c r="L931" i="12"/>
  <c r="L930" i="12"/>
  <c r="L929" i="12"/>
  <c r="L928" i="12"/>
  <c r="L927" i="12"/>
  <c r="L926" i="12"/>
  <c r="L925" i="12"/>
  <c r="L924" i="12"/>
  <c r="L923" i="12"/>
  <c r="L922" i="12"/>
  <c r="L921" i="12"/>
  <c r="L920" i="12"/>
  <c r="L919" i="12"/>
  <c r="L918" i="12"/>
  <c r="L917" i="12"/>
  <c r="L916" i="12"/>
  <c r="L915" i="12"/>
  <c r="L914" i="12"/>
  <c r="L913" i="12"/>
  <c r="L912" i="12"/>
  <c r="L911" i="12"/>
  <c r="L910" i="12"/>
  <c r="L909" i="12"/>
  <c r="L908" i="12"/>
  <c r="L907" i="12"/>
  <c r="L906" i="12"/>
  <c r="L905" i="12"/>
  <c r="L904" i="12"/>
  <c r="L903" i="12"/>
  <c r="L902" i="12"/>
  <c r="L901" i="12"/>
  <c r="L900" i="12"/>
  <c r="L899" i="12"/>
  <c r="L898" i="12"/>
  <c r="L897" i="12"/>
  <c r="L896" i="12"/>
  <c r="L895" i="12"/>
  <c r="L894" i="12"/>
  <c r="L893" i="12"/>
  <c r="L892" i="12"/>
  <c r="L891" i="12"/>
  <c r="L890" i="12"/>
  <c r="L889" i="12"/>
  <c r="L888" i="12"/>
  <c r="L887" i="12"/>
  <c r="L886" i="12"/>
  <c r="L885" i="12"/>
  <c r="L884" i="12"/>
  <c r="L883" i="12"/>
  <c r="L882" i="12"/>
  <c r="L881" i="12"/>
  <c r="L880" i="12"/>
  <c r="L879" i="12"/>
  <c r="L878" i="12"/>
  <c r="L877" i="12"/>
  <c r="L876" i="12"/>
  <c r="L875" i="12"/>
  <c r="L874" i="12"/>
  <c r="L873" i="12"/>
  <c r="L872" i="12"/>
  <c r="L871" i="12"/>
  <c r="L870" i="12"/>
  <c r="L869" i="12"/>
  <c r="L868" i="12"/>
  <c r="L867" i="12"/>
  <c r="L866" i="12"/>
  <c r="L865" i="12"/>
  <c r="L864" i="12"/>
  <c r="L863" i="12"/>
  <c r="L862" i="12"/>
  <c r="L861" i="12"/>
  <c r="L860" i="12"/>
  <c r="L859" i="12"/>
  <c r="L858" i="12"/>
  <c r="L857" i="12"/>
  <c r="L856" i="12"/>
  <c r="L855" i="12"/>
  <c r="L854" i="12"/>
  <c r="L853" i="12"/>
  <c r="L852" i="12"/>
  <c r="L851" i="12"/>
  <c r="L850" i="12"/>
  <c r="L849" i="12"/>
  <c r="L848" i="12"/>
  <c r="L847" i="12"/>
  <c r="L846" i="12"/>
  <c r="L845" i="12"/>
  <c r="L844" i="12"/>
  <c r="L843" i="12"/>
  <c r="L842" i="12"/>
  <c r="L841" i="12"/>
  <c r="L840" i="12"/>
  <c r="L839" i="12"/>
  <c r="L838" i="12"/>
  <c r="L837" i="12"/>
  <c r="L836" i="12"/>
  <c r="L835" i="12"/>
  <c r="L834" i="12"/>
  <c r="L833" i="12"/>
  <c r="L832" i="12"/>
  <c r="L831" i="12"/>
  <c r="L830" i="12"/>
  <c r="L829" i="12"/>
  <c r="L828" i="12"/>
  <c r="L827" i="12"/>
  <c r="L826" i="12"/>
  <c r="L825" i="12"/>
  <c r="L824" i="12"/>
  <c r="L823" i="12"/>
  <c r="L822" i="12"/>
  <c r="L821" i="12"/>
  <c r="L820" i="12"/>
  <c r="L819" i="12"/>
  <c r="L818" i="12"/>
  <c r="L817" i="12"/>
  <c r="L816" i="12"/>
  <c r="L815" i="12"/>
  <c r="L814" i="12"/>
  <c r="L813" i="12"/>
  <c r="L812" i="12"/>
  <c r="L811" i="12"/>
  <c r="L810" i="12"/>
  <c r="L809" i="12"/>
  <c r="L808" i="12"/>
  <c r="L807" i="12"/>
  <c r="L806" i="12"/>
  <c r="L805" i="12"/>
  <c r="L804" i="12"/>
  <c r="L803" i="12"/>
  <c r="L802" i="12"/>
  <c r="L801" i="12"/>
  <c r="L800" i="12"/>
  <c r="L799" i="12"/>
  <c r="L798" i="12"/>
  <c r="L797" i="12"/>
  <c r="L796" i="12"/>
  <c r="L795" i="12"/>
  <c r="L794" i="12"/>
  <c r="L793" i="12"/>
  <c r="L792" i="12"/>
  <c r="L791" i="12"/>
  <c r="L790" i="12"/>
  <c r="L789" i="12"/>
  <c r="L788" i="12"/>
  <c r="L787" i="12"/>
  <c r="L786" i="12"/>
  <c r="L785" i="12"/>
  <c r="L784" i="12"/>
  <c r="L783" i="12"/>
  <c r="L782" i="12"/>
  <c r="L781" i="12"/>
  <c r="L780" i="12"/>
  <c r="L779" i="12"/>
  <c r="L778" i="12"/>
  <c r="L777" i="12"/>
  <c r="L776" i="12"/>
  <c r="L775" i="12"/>
  <c r="L774" i="12"/>
  <c r="L773" i="12"/>
  <c r="L772" i="12"/>
  <c r="L771" i="12"/>
  <c r="L770" i="12"/>
  <c r="L769" i="12"/>
  <c r="L768" i="12"/>
  <c r="L767" i="12"/>
  <c r="L766" i="12"/>
  <c r="L765" i="12"/>
  <c r="L764" i="12"/>
  <c r="L763" i="12"/>
  <c r="L762" i="12"/>
  <c r="L761" i="12"/>
  <c r="L760" i="12"/>
  <c r="L759" i="12"/>
  <c r="L758" i="12"/>
  <c r="L757" i="12"/>
  <c r="L756" i="12"/>
  <c r="L755" i="12"/>
  <c r="L754" i="12"/>
  <c r="L753" i="12"/>
  <c r="L752" i="12"/>
  <c r="L751" i="12"/>
  <c r="L750" i="12"/>
  <c r="L749" i="12"/>
  <c r="L748" i="12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L793" i="11"/>
  <c r="L792" i="11"/>
  <c r="L791" i="11"/>
  <c r="L790" i="11"/>
  <c r="L789" i="11"/>
  <c r="L788" i="11"/>
  <c r="L787" i="11"/>
  <c r="L786" i="11"/>
  <c r="L785" i="11"/>
  <c r="L784" i="11"/>
  <c r="L783" i="11"/>
  <c r="L782" i="11"/>
  <c r="L781" i="11"/>
  <c r="L780" i="11"/>
  <c r="L779" i="11"/>
  <c r="L778" i="11"/>
  <c r="L777" i="11"/>
  <c r="L776" i="11"/>
  <c r="L775" i="11"/>
  <c r="L774" i="11"/>
  <c r="L773" i="11"/>
  <c r="L772" i="11"/>
  <c r="L771" i="11"/>
  <c r="L770" i="11"/>
  <c r="L769" i="11"/>
  <c r="L768" i="11"/>
  <c r="L767" i="11"/>
  <c r="L766" i="11"/>
  <c r="L765" i="11"/>
  <c r="L764" i="11"/>
  <c r="L763" i="11"/>
  <c r="L762" i="11"/>
  <c r="L761" i="11"/>
  <c r="L760" i="11"/>
  <c r="L759" i="11"/>
  <c r="L758" i="11"/>
  <c r="L757" i="11"/>
  <c r="L756" i="11"/>
  <c r="L755" i="11"/>
  <c r="L754" i="11"/>
  <c r="L753" i="11"/>
  <c r="L752" i="11"/>
  <c r="L751" i="11"/>
  <c r="L750" i="11"/>
  <c r="L749" i="11"/>
  <c r="L748" i="11"/>
  <c r="L747" i="11"/>
  <c r="L746" i="11"/>
  <c r="L745" i="11"/>
  <c r="L744" i="11"/>
  <c r="L743" i="11"/>
  <c r="L742" i="11"/>
  <c r="L741" i="11"/>
  <c r="L740" i="11"/>
  <c r="L739" i="11"/>
  <c r="L738" i="11"/>
  <c r="L737" i="11"/>
  <c r="L736" i="11"/>
  <c r="L735" i="11"/>
  <c r="L734" i="11"/>
  <c r="L733" i="11"/>
  <c r="L732" i="11"/>
  <c r="L731" i="11"/>
  <c r="L730" i="11"/>
  <c r="L729" i="11"/>
  <c r="L728" i="11"/>
  <c r="L727" i="11"/>
  <c r="L726" i="11"/>
  <c r="L725" i="11"/>
  <c r="L724" i="11"/>
  <c r="L723" i="11"/>
  <c r="L722" i="11"/>
  <c r="L721" i="11"/>
  <c r="L720" i="11"/>
  <c r="L719" i="11"/>
  <c r="L718" i="11"/>
  <c r="L717" i="11"/>
  <c r="L716" i="11"/>
  <c r="L715" i="11"/>
  <c r="L714" i="11"/>
  <c r="L713" i="11"/>
  <c r="L712" i="11"/>
  <c r="L711" i="11"/>
  <c r="L710" i="11"/>
  <c r="L709" i="11"/>
  <c r="L708" i="11"/>
  <c r="L707" i="11"/>
  <c r="L706" i="11"/>
  <c r="L705" i="11"/>
  <c r="L704" i="11"/>
  <c r="L703" i="11"/>
  <c r="L702" i="11"/>
  <c r="L701" i="11"/>
  <c r="L700" i="11"/>
  <c r="L699" i="11"/>
  <c r="L698" i="11"/>
  <c r="L697" i="11"/>
  <c r="L696" i="11"/>
  <c r="L695" i="11"/>
  <c r="L694" i="11"/>
  <c r="L693" i="11"/>
  <c r="L692" i="11"/>
  <c r="L691" i="11"/>
  <c r="L690" i="11"/>
  <c r="L689" i="11"/>
  <c r="L688" i="11"/>
  <c r="L687" i="11"/>
  <c r="L686" i="11"/>
  <c r="L685" i="11"/>
  <c r="L684" i="11"/>
  <c r="L683" i="11"/>
  <c r="L682" i="11"/>
  <c r="L681" i="11"/>
  <c r="L680" i="11"/>
  <c r="L679" i="11"/>
  <c r="L678" i="11"/>
  <c r="L677" i="11"/>
  <c r="L676" i="11"/>
  <c r="L675" i="11"/>
  <c r="L674" i="11"/>
  <c r="L673" i="11"/>
  <c r="L672" i="11"/>
  <c r="L671" i="11"/>
  <c r="L670" i="11"/>
  <c r="L669" i="11"/>
  <c r="L668" i="11"/>
  <c r="L667" i="11"/>
  <c r="L666" i="11"/>
  <c r="L665" i="11"/>
  <c r="L664" i="11"/>
  <c r="L663" i="11"/>
  <c r="L662" i="11"/>
  <c r="L661" i="11"/>
  <c r="L660" i="11"/>
  <c r="L659" i="11"/>
  <c r="L658" i="11"/>
  <c r="L657" i="11"/>
  <c r="L656" i="11"/>
  <c r="L655" i="11"/>
  <c r="L654" i="11"/>
  <c r="L653" i="11"/>
  <c r="L652" i="11"/>
  <c r="L651" i="11"/>
  <c r="L650" i="11"/>
  <c r="L649" i="11"/>
  <c r="L648" i="11"/>
  <c r="L647" i="11"/>
  <c r="L646" i="11"/>
  <c r="L645" i="11"/>
  <c r="L644" i="11"/>
  <c r="L643" i="11"/>
  <c r="L642" i="11"/>
  <c r="L641" i="11"/>
  <c r="L640" i="11"/>
  <c r="L639" i="11"/>
  <c r="L638" i="11"/>
  <c r="L637" i="11"/>
  <c r="L636" i="11"/>
  <c r="L635" i="11"/>
  <c r="L634" i="11"/>
  <c r="L633" i="11"/>
  <c r="L632" i="11"/>
  <c r="L631" i="11"/>
  <c r="L630" i="11"/>
  <c r="L629" i="11"/>
  <c r="L628" i="11"/>
  <c r="L627" i="11"/>
  <c r="L626" i="11"/>
  <c r="L625" i="11"/>
  <c r="L624" i="11"/>
  <c r="L623" i="11"/>
  <c r="L622" i="11"/>
  <c r="L621" i="11"/>
  <c r="L620" i="11"/>
  <c r="L619" i="11"/>
  <c r="L618" i="11"/>
  <c r="L617" i="11"/>
  <c r="L616" i="11"/>
  <c r="L615" i="11"/>
  <c r="L614" i="11"/>
  <c r="L613" i="11"/>
  <c r="L612" i="11"/>
  <c r="L611" i="11"/>
  <c r="L610" i="11"/>
  <c r="L609" i="11"/>
  <c r="L608" i="11"/>
  <c r="L607" i="11"/>
  <c r="L606" i="11"/>
  <c r="L605" i="11"/>
  <c r="L604" i="11"/>
  <c r="L603" i="11"/>
  <c r="L602" i="11"/>
  <c r="L601" i="11"/>
  <c r="L600" i="11"/>
  <c r="L599" i="11"/>
  <c r="L598" i="11"/>
  <c r="L597" i="11"/>
  <c r="L596" i="11"/>
  <c r="L595" i="11"/>
  <c r="L594" i="11"/>
  <c r="L593" i="11"/>
  <c r="L592" i="11"/>
  <c r="L591" i="11"/>
  <c r="L590" i="11"/>
  <c r="L589" i="11"/>
  <c r="L588" i="11"/>
  <c r="L587" i="11"/>
  <c r="L586" i="11"/>
  <c r="L585" i="11"/>
  <c r="L584" i="11"/>
  <c r="L583" i="11"/>
  <c r="L582" i="11"/>
  <c r="L581" i="11"/>
  <c r="L580" i="11"/>
  <c r="L579" i="11"/>
  <c r="L578" i="11"/>
  <c r="L577" i="11"/>
  <c r="L576" i="11"/>
  <c r="L575" i="11"/>
  <c r="L574" i="11"/>
  <c r="L573" i="11"/>
  <c r="L572" i="11"/>
  <c r="L571" i="11"/>
  <c r="L570" i="11"/>
  <c r="L569" i="11"/>
  <c r="L568" i="11"/>
  <c r="L567" i="11"/>
  <c r="L566" i="11"/>
  <c r="L565" i="11"/>
  <c r="L564" i="11"/>
  <c r="L563" i="11"/>
  <c r="L562" i="11"/>
  <c r="L561" i="11"/>
  <c r="L560" i="11"/>
  <c r="L559" i="11"/>
  <c r="L558" i="11"/>
  <c r="L557" i="11"/>
  <c r="L556" i="11"/>
  <c r="L555" i="11"/>
  <c r="L554" i="11"/>
  <c r="L553" i="11"/>
  <c r="L552" i="11"/>
  <c r="L551" i="11"/>
  <c r="L550" i="11"/>
  <c r="L549" i="11"/>
  <c r="L548" i="11"/>
  <c r="L547" i="11"/>
  <c r="L546" i="11"/>
  <c r="L545" i="11"/>
  <c r="L544" i="11"/>
  <c r="L543" i="11"/>
  <c r="L542" i="11"/>
  <c r="L541" i="11"/>
  <c r="L540" i="11"/>
  <c r="L539" i="11"/>
  <c r="L538" i="11"/>
  <c r="L537" i="11"/>
  <c r="L536" i="11"/>
  <c r="L535" i="11"/>
  <c r="L534" i="11"/>
  <c r="L533" i="11"/>
  <c r="L532" i="11"/>
  <c r="L531" i="11"/>
  <c r="L530" i="11"/>
  <c r="L529" i="11"/>
  <c r="L528" i="11"/>
  <c r="L527" i="11"/>
  <c r="L526" i="11"/>
  <c r="L525" i="11"/>
  <c r="L524" i="11"/>
  <c r="L523" i="11"/>
  <c r="L522" i="11"/>
  <c r="L521" i="11"/>
  <c r="L520" i="11"/>
  <c r="L519" i="11"/>
  <c r="L518" i="11"/>
  <c r="L517" i="11"/>
  <c r="L516" i="11"/>
  <c r="L515" i="11"/>
  <c r="L514" i="11"/>
  <c r="L513" i="11"/>
  <c r="L512" i="11"/>
  <c r="L511" i="11"/>
  <c r="L510" i="11"/>
  <c r="L509" i="11"/>
  <c r="L508" i="11"/>
  <c r="L507" i="11"/>
  <c r="L506" i="11"/>
  <c r="L505" i="11"/>
  <c r="L504" i="11"/>
  <c r="L503" i="11"/>
  <c r="L502" i="11"/>
  <c r="L501" i="11"/>
  <c r="L500" i="11"/>
  <c r="L499" i="11"/>
  <c r="L498" i="11"/>
  <c r="L497" i="11"/>
  <c r="L496" i="11"/>
  <c r="L495" i="11"/>
  <c r="L494" i="11"/>
  <c r="L493" i="11"/>
  <c r="L492" i="11"/>
  <c r="L491" i="11"/>
  <c r="L490" i="11"/>
  <c r="L489" i="11"/>
  <c r="L488" i="11"/>
  <c r="L487" i="11"/>
  <c r="L486" i="11"/>
  <c r="L485" i="11"/>
  <c r="L484" i="11"/>
  <c r="L483" i="11"/>
  <c r="L482" i="11"/>
  <c r="L481" i="11"/>
  <c r="L480" i="11"/>
  <c r="L479" i="11"/>
  <c r="L478" i="11"/>
  <c r="L477" i="11"/>
  <c r="L476" i="11"/>
  <c r="L475" i="11"/>
  <c r="L474" i="11"/>
  <c r="L473" i="11"/>
  <c r="L472" i="11"/>
  <c r="L471" i="11"/>
  <c r="L470" i="11"/>
  <c r="L469" i="11"/>
  <c r="L468" i="11"/>
  <c r="L467" i="11"/>
  <c r="L466" i="11"/>
  <c r="L465" i="11"/>
  <c r="L464" i="11"/>
  <c r="L463" i="11"/>
  <c r="L462" i="11"/>
  <c r="L461" i="11"/>
  <c r="L460" i="11"/>
  <c r="L459" i="11"/>
  <c r="L458" i="11"/>
  <c r="L457" i="11"/>
  <c r="L456" i="11"/>
  <c r="L455" i="11"/>
  <c r="L454" i="11"/>
  <c r="L453" i="11"/>
  <c r="L452" i="11"/>
  <c r="L451" i="11"/>
  <c r="L450" i="11"/>
  <c r="L449" i="11"/>
  <c r="L448" i="11"/>
  <c r="L447" i="11"/>
  <c r="L446" i="11"/>
  <c r="L445" i="11"/>
  <c r="L444" i="11"/>
  <c r="L443" i="11"/>
  <c r="L442" i="11"/>
  <c r="L441" i="11"/>
  <c r="L440" i="11"/>
  <c r="L439" i="11"/>
  <c r="L438" i="11"/>
  <c r="L437" i="11"/>
  <c r="L436" i="11"/>
  <c r="L435" i="11"/>
  <c r="L434" i="11"/>
  <c r="L433" i="11"/>
  <c r="L432" i="11"/>
  <c r="L431" i="11"/>
  <c r="L430" i="11"/>
  <c r="L429" i="11"/>
  <c r="L428" i="11"/>
  <c r="L427" i="11"/>
  <c r="L426" i="11"/>
  <c r="L425" i="11"/>
  <c r="L424" i="11"/>
  <c r="L423" i="11"/>
  <c r="L422" i="11"/>
  <c r="L421" i="11"/>
  <c r="L420" i="11"/>
  <c r="L419" i="11"/>
  <c r="L418" i="11"/>
  <c r="L417" i="11"/>
  <c r="L416" i="11"/>
  <c r="L415" i="11"/>
  <c r="L414" i="11"/>
  <c r="L413" i="11"/>
  <c r="L412" i="11"/>
  <c r="L411" i="11"/>
  <c r="L410" i="11"/>
  <c r="L409" i="11"/>
  <c r="L408" i="11"/>
  <c r="L407" i="11"/>
  <c r="L406" i="11"/>
  <c r="L405" i="11"/>
  <c r="L404" i="11"/>
  <c r="L403" i="11"/>
  <c r="L402" i="11"/>
  <c r="L401" i="11"/>
  <c r="L400" i="11"/>
  <c r="L399" i="11"/>
  <c r="L398" i="11"/>
  <c r="L397" i="11"/>
  <c r="L396" i="11"/>
  <c r="L395" i="11"/>
  <c r="L394" i="11"/>
  <c r="L393" i="11"/>
  <c r="L392" i="11"/>
  <c r="L391" i="11"/>
  <c r="L390" i="11"/>
  <c r="L389" i="11"/>
  <c r="L388" i="11"/>
  <c r="L387" i="11"/>
  <c r="L386" i="11"/>
  <c r="L385" i="11"/>
  <c r="L384" i="11"/>
  <c r="L383" i="11"/>
  <c r="L382" i="11"/>
  <c r="L381" i="11"/>
  <c r="L380" i="11"/>
  <c r="L379" i="11"/>
  <c r="L378" i="11"/>
  <c r="L377" i="11"/>
  <c r="L376" i="11"/>
  <c r="L375" i="11"/>
  <c r="L374" i="11"/>
  <c r="L373" i="11"/>
  <c r="L372" i="11"/>
  <c r="L371" i="11"/>
  <c r="L370" i="11"/>
  <c r="L369" i="11"/>
  <c r="L368" i="11"/>
  <c r="L367" i="11"/>
  <c r="L366" i="11"/>
  <c r="L365" i="11"/>
  <c r="L364" i="11"/>
  <c r="L363" i="11"/>
  <c r="L362" i="11"/>
  <c r="L361" i="11"/>
  <c r="L360" i="11"/>
  <c r="L359" i="11"/>
  <c r="L358" i="11"/>
  <c r="L357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320" i="11"/>
  <c r="L319" i="11"/>
  <c r="L318" i="11"/>
  <c r="L317" i="11"/>
  <c r="L316" i="11"/>
  <c r="L315" i="11"/>
  <c r="L314" i="11"/>
  <c r="L313" i="11"/>
  <c r="L312" i="11"/>
  <c r="L311" i="11"/>
  <c r="L310" i="11"/>
  <c r="L309" i="11"/>
  <c r="L308" i="11"/>
  <c r="L307" i="11"/>
  <c r="L306" i="11"/>
  <c r="L305" i="11"/>
  <c r="L304" i="11"/>
  <c r="L303" i="11"/>
  <c r="L302" i="11"/>
  <c r="L301" i="11"/>
  <c r="L300" i="11"/>
  <c r="L299" i="11"/>
  <c r="L298" i="11"/>
  <c r="L297" i="11"/>
  <c r="L296" i="11"/>
  <c r="L295" i="11"/>
  <c r="L294" i="11"/>
  <c r="L293" i="11"/>
  <c r="L292" i="11"/>
  <c r="L291" i="11"/>
  <c r="L290" i="11"/>
  <c r="L289" i="11"/>
  <c r="L288" i="11"/>
  <c r="L287" i="11"/>
  <c r="L286" i="11"/>
  <c r="L285" i="11"/>
  <c r="L284" i="11"/>
  <c r="L283" i="11"/>
  <c r="L282" i="11"/>
  <c r="L281" i="11"/>
  <c r="L280" i="11"/>
  <c r="L279" i="11"/>
  <c r="L278" i="11"/>
  <c r="L277" i="11"/>
  <c r="L276" i="11"/>
  <c r="L275" i="11"/>
  <c r="L274" i="11"/>
  <c r="L273" i="11"/>
  <c r="L272" i="11"/>
  <c r="L271" i="11"/>
  <c r="L270" i="11"/>
  <c r="L269" i="11"/>
  <c r="L268" i="11"/>
  <c r="L267" i="11"/>
  <c r="L266" i="11"/>
  <c r="L265" i="11"/>
  <c r="L264" i="11"/>
  <c r="L263" i="11"/>
  <c r="L262" i="11"/>
  <c r="L261" i="11"/>
  <c r="L260" i="11"/>
  <c r="L259" i="11"/>
  <c r="L258" i="11"/>
  <c r="L257" i="11"/>
  <c r="L256" i="11"/>
  <c r="L255" i="11"/>
  <c r="L254" i="11"/>
  <c r="L253" i="11"/>
  <c r="L252" i="11"/>
  <c r="L251" i="11"/>
  <c r="L250" i="11"/>
  <c r="L249" i="11"/>
  <c r="L248" i="11"/>
  <c r="L247" i="11"/>
  <c r="L246" i="11"/>
  <c r="L245" i="11"/>
  <c r="L244" i="11"/>
  <c r="L243" i="11"/>
  <c r="L242" i="11"/>
  <c r="L241" i="11"/>
  <c r="L240" i="11"/>
  <c r="L239" i="11"/>
  <c r="L238" i="11"/>
  <c r="L237" i="11"/>
  <c r="L236" i="11"/>
  <c r="L235" i="11"/>
  <c r="L234" i="11"/>
  <c r="L233" i="11"/>
  <c r="L232" i="11"/>
  <c r="L231" i="11"/>
  <c r="L230" i="11"/>
  <c r="L229" i="11"/>
  <c r="L228" i="11"/>
  <c r="L227" i="11"/>
  <c r="L226" i="11"/>
  <c r="L225" i="11"/>
  <c r="L224" i="11"/>
  <c r="L223" i="11"/>
  <c r="L222" i="11"/>
  <c r="L221" i="11"/>
  <c r="L220" i="11"/>
  <c r="L219" i="11"/>
  <c r="L218" i="11"/>
  <c r="L217" i="11"/>
  <c r="L216" i="11"/>
  <c r="L215" i="11"/>
  <c r="L214" i="11"/>
  <c r="L213" i="11"/>
  <c r="L212" i="11"/>
  <c r="L211" i="11"/>
  <c r="L210" i="11"/>
  <c r="L209" i="11"/>
  <c r="L208" i="11"/>
  <c r="L207" i="11"/>
  <c r="L206" i="11"/>
  <c r="L205" i="11"/>
  <c r="L204" i="11"/>
  <c r="L203" i="11"/>
  <c r="L202" i="11"/>
  <c r="L201" i="11"/>
  <c r="L200" i="11"/>
  <c r="L199" i="11"/>
  <c r="L198" i="11"/>
  <c r="L197" i="11"/>
  <c r="L196" i="11"/>
  <c r="L195" i="11"/>
  <c r="L194" i="11"/>
  <c r="L193" i="11"/>
  <c r="L192" i="11"/>
  <c r="L191" i="11"/>
  <c r="L190" i="11"/>
  <c r="L189" i="11"/>
  <c r="L188" i="11"/>
  <c r="L187" i="11"/>
  <c r="L186" i="11"/>
  <c r="L185" i="11"/>
  <c r="L184" i="11"/>
  <c r="L183" i="11"/>
  <c r="L182" i="11"/>
  <c r="L181" i="11"/>
  <c r="L180" i="11"/>
  <c r="L179" i="11"/>
  <c r="L178" i="11"/>
  <c r="L177" i="11"/>
  <c r="L176" i="11"/>
  <c r="L175" i="11"/>
  <c r="L174" i="11"/>
  <c r="L173" i="11"/>
  <c r="L172" i="11"/>
  <c r="L171" i="11"/>
  <c r="L170" i="11"/>
  <c r="L169" i="11"/>
  <c r="L168" i="11"/>
  <c r="L167" i="11"/>
  <c r="L166" i="11"/>
  <c r="L165" i="11"/>
  <c r="L164" i="11"/>
  <c r="L163" i="11"/>
  <c r="L162" i="11"/>
  <c r="L161" i="11"/>
  <c r="L160" i="11"/>
  <c r="L159" i="11"/>
  <c r="L158" i="11"/>
  <c r="L157" i="11"/>
  <c r="L156" i="11"/>
  <c r="L155" i="11"/>
  <c r="L154" i="11"/>
  <c r="L153" i="11"/>
  <c r="L152" i="11"/>
  <c r="L151" i="11"/>
  <c r="L150" i="11"/>
  <c r="L149" i="11"/>
  <c r="L148" i="11"/>
  <c r="L147" i="11"/>
  <c r="L146" i="11"/>
  <c r="L145" i="11"/>
  <c r="L144" i="11"/>
  <c r="L143" i="11"/>
  <c r="L142" i="11"/>
  <c r="L141" i="11"/>
  <c r="L140" i="11"/>
  <c r="L139" i="11"/>
  <c r="L138" i="11"/>
  <c r="L137" i="11"/>
  <c r="L136" i="11"/>
  <c r="L135" i="11"/>
  <c r="L134" i="11"/>
  <c r="L133" i="11"/>
  <c r="L132" i="11"/>
  <c r="L131" i="11"/>
  <c r="L130" i="11"/>
  <c r="L129" i="11"/>
  <c r="L128" i="11"/>
  <c r="L127" i="11"/>
  <c r="L126" i="11"/>
  <c r="L125" i="11"/>
  <c r="L124" i="11"/>
  <c r="L123" i="11"/>
  <c r="L122" i="11"/>
  <c r="L121" i="11"/>
  <c r="L120" i="11"/>
  <c r="L119" i="11"/>
  <c r="L118" i="11"/>
  <c r="L117" i="11"/>
  <c r="L116" i="11"/>
  <c r="L115" i="11"/>
  <c r="L114" i="11"/>
  <c r="L113" i="11"/>
  <c r="L112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L6" i="11"/>
  <c r="L5" i="11"/>
  <c r="L4" i="11"/>
  <c r="L3" i="11"/>
  <c r="L2" i="11"/>
  <c r="L819" i="10"/>
  <c r="L818" i="10"/>
  <c r="L817" i="10"/>
  <c r="L816" i="10"/>
  <c r="L815" i="10"/>
  <c r="L814" i="10"/>
  <c r="L813" i="10"/>
  <c r="L812" i="10"/>
  <c r="L811" i="10"/>
  <c r="L810" i="10"/>
  <c r="L809" i="10"/>
  <c r="L808" i="10"/>
  <c r="L807" i="10"/>
  <c r="L806" i="10"/>
  <c r="L805" i="10"/>
  <c r="L804" i="10"/>
  <c r="L803" i="10"/>
  <c r="L802" i="10"/>
  <c r="L801" i="10"/>
  <c r="L800" i="10"/>
  <c r="L799" i="10"/>
  <c r="L798" i="10"/>
  <c r="L797" i="10"/>
  <c r="L796" i="10"/>
  <c r="L795" i="10"/>
  <c r="L794" i="10"/>
  <c r="L793" i="10"/>
  <c r="L792" i="10"/>
  <c r="L791" i="10"/>
  <c r="L790" i="10"/>
  <c r="L789" i="10"/>
  <c r="L788" i="10"/>
  <c r="L787" i="10"/>
  <c r="L786" i="10"/>
  <c r="L785" i="10"/>
  <c r="L784" i="10"/>
  <c r="L783" i="10"/>
  <c r="L782" i="10"/>
  <c r="L781" i="10"/>
  <c r="L780" i="10"/>
  <c r="L779" i="10"/>
  <c r="L778" i="10"/>
  <c r="L777" i="10"/>
  <c r="L776" i="10"/>
  <c r="L775" i="10"/>
  <c r="L774" i="10"/>
  <c r="L773" i="10"/>
  <c r="L772" i="10"/>
  <c r="L771" i="10"/>
  <c r="L770" i="10"/>
  <c r="L769" i="10"/>
  <c r="L768" i="10"/>
  <c r="L767" i="10"/>
  <c r="L766" i="10"/>
  <c r="L765" i="10"/>
  <c r="L764" i="10"/>
  <c r="L763" i="10"/>
  <c r="L762" i="10"/>
  <c r="L761" i="10"/>
  <c r="L760" i="10"/>
  <c r="L759" i="10"/>
  <c r="L758" i="10"/>
  <c r="L757" i="10"/>
  <c r="L756" i="10"/>
  <c r="L755" i="10"/>
  <c r="L754" i="10"/>
  <c r="L753" i="10"/>
  <c r="L752" i="10"/>
  <c r="L751" i="10"/>
  <c r="L750" i="10"/>
  <c r="L749" i="10"/>
  <c r="L748" i="10"/>
  <c r="L747" i="10"/>
  <c r="L746" i="10"/>
  <c r="L745" i="10"/>
  <c r="L744" i="10"/>
  <c r="L743" i="10"/>
  <c r="L742" i="10"/>
  <c r="L741" i="10"/>
  <c r="L740" i="10"/>
  <c r="L739" i="10"/>
  <c r="L738" i="10"/>
  <c r="L737" i="10"/>
  <c r="L736" i="10"/>
  <c r="L735" i="10"/>
  <c r="L734" i="10"/>
  <c r="L733" i="10"/>
  <c r="L732" i="10"/>
  <c r="L731" i="10"/>
  <c r="L730" i="10"/>
  <c r="L729" i="10"/>
  <c r="L728" i="10"/>
  <c r="L727" i="10"/>
  <c r="L726" i="10"/>
  <c r="L725" i="10"/>
  <c r="L724" i="10"/>
  <c r="L723" i="10"/>
  <c r="L722" i="10"/>
  <c r="L721" i="10"/>
  <c r="L720" i="10"/>
  <c r="L719" i="10"/>
  <c r="L718" i="10"/>
  <c r="L717" i="10"/>
  <c r="L716" i="10"/>
  <c r="L715" i="10"/>
  <c r="L714" i="10"/>
  <c r="L713" i="10"/>
  <c r="L712" i="10"/>
  <c r="L711" i="10"/>
  <c r="L710" i="10"/>
  <c r="L709" i="10"/>
  <c r="L708" i="10"/>
  <c r="L707" i="10"/>
  <c r="L706" i="10"/>
  <c r="L705" i="10"/>
  <c r="L704" i="10"/>
  <c r="L703" i="10"/>
  <c r="L702" i="10"/>
  <c r="L701" i="10"/>
  <c r="L700" i="10"/>
  <c r="L699" i="10"/>
  <c r="L698" i="10"/>
  <c r="L697" i="10"/>
  <c r="L696" i="10"/>
  <c r="L695" i="10"/>
  <c r="L694" i="10"/>
  <c r="L693" i="10"/>
  <c r="L692" i="10"/>
  <c r="L691" i="10"/>
  <c r="L690" i="10"/>
  <c r="L689" i="10"/>
  <c r="L688" i="10"/>
  <c r="L687" i="10"/>
  <c r="L686" i="10"/>
  <c r="L685" i="10"/>
  <c r="L684" i="10"/>
  <c r="L683" i="10"/>
  <c r="L682" i="10"/>
  <c r="L681" i="10"/>
  <c r="L680" i="10"/>
  <c r="L679" i="10"/>
  <c r="L678" i="10"/>
  <c r="L677" i="10"/>
  <c r="L676" i="10"/>
  <c r="L675" i="10"/>
  <c r="L674" i="10"/>
  <c r="L673" i="10"/>
  <c r="L672" i="10"/>
  <c r="L671" i="10"/>
  <c r="L670" i="10"/>
  <c r="L669" i="10"/>
  <c r="L668" i="10"/>
  <c r="L667" i="10"/>
  <c r="L666" i="10"/>
  <c r="L665" i="10"/>
  <c r="L664" i="10"/>
  <c r="L663" i="10"/>
  <c r="L662" i="10"/>
  <c r="L661" i="10"/>
  <c r="L660" i="10"/>
  <c r="L659" i="10"/>
  <c r="L658" i="10"/>
  <c r="L657" i="10"/>
  <c r="L656" i="10"/>
  <c r="L655" i="10"/>
  <c r="L654" i="10"/>
  <c r="L653" i="10"/>
  <c r="L652" i="10"/>
  <c r="L651" i="10"/>
  <c r="L650" i="10"/>
  <c r="L649" i="10"/>
  <c r="L648" i="10"/>
  <c r="L647" i="10"/>
  <c r="L646" i="10"/>
  <c r="L645" i="10"/>
  <c r="L644" i="10"/>
  <c r="L643" i="10"/>
  <c r="L642" i="10"/>
  <c r="L641" i="10"/>
  <c r="L640" i="10"/>
  <c r="L639" i="10"/>
  <c r="L638" i="10"/>
  <c r="L637" i="10"/>
  <c r="L636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2" i="10"/>
  <c r="L621" i="10"/>
  <c r="L620" i="10"/>
  <c r="L619" i="10"/>
  <c r="L618" i="10"/>
  <c r="L617" i="10"/>
  <c r="L616" i="10"/>
  <c r="L615" i="10"/>
  <c r="L614" i="10"/>
  <c r="L613" i="10"/>
  <c r="L612" i="10"/>
  <c r="L611" i="10"/>
  <c r="L610" i="10"/>
  <c r="L609" i="10"/>
  <c r="L608" i="10"/>
  <c r="L607" i="10"/>
  <c r="L606" i="10"/>
  <c r="L605" i="10"/>
  <c r="L604" i="10"/>
  <c r="L603" i="10"/>
  <c r="L602" i="10"/>
  <c r="L601" i="10"/>
  <c r="L600" i="10"/>
  <c r="L599" i="10"/>
  <c r="L598" i="10"/>
  <c r="L597" i="10"/>
  <c r="L596" i="10"/>
  <c r="L595" i="10"/>
  <c r="L594" i="10"/>
  <c r="L593" i="10"/>
  <c r="L592" i="10"/>
  <c r="L591" i="10"/>
  <c r="L590" i="10"/>
  <c r="L589" i="10"/>
  <c r="L588" i="10"/>
  <c r="L587" i="10"/>
  <c r="L586" i="10"/>
  <c r="L585" i="10"/>
  <c r="L584" i="10"/>
  <c r="L583" i="10"/>
  <c r="L582" i="10"/>
  <c r="L581" i="10"/>
  <c r="L580" i="10"/>
  <c r="L579" i="10"/>
  <c r="L578" i="10"/>
  <c r="L577" i="10"/>
  <c r="L576" i="10"/>
  <c r="L575" i="10"/>
  <c r="L574" i="10"/>
  <c r="L573" i="10"/>
  <c r="L572" i="10"/>
  <c r="L571" i="10"/>
  <c r="L570" i="10"/>
  <c r="L569" i="10"/>
  <c r="L568" i="10"/>
  <c r="L567" i="10"/>
  <c r="L566" i="10"/>
  <c r="L565" i="10"/>
  <c r="L564" i="10"/>
  <c r="L563" i="10"/>
  <c r="L562" i="10"/>
  <c r="L561" i="10"/>
  <c r="L560" i="10"/>
  <c r="L559" i="10"/>
  <c r="L558" i="10"/>
  <c r="L557" i="10"/>
  <c r="L556" i="10"/>
  <c r="L555" i="10"/>
  <c r="L554" i="10"/>
  <c r="L553" i="10"/>
  <c r="L552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38" i="10"/>
  <c r="L537" i="10"/>
  <c r="L536" i="10"/>
  <c r="L535" i="10"/>
  <c r="L534" i="10"/>
  <c r="L533" i="10"/>
  <c r="L532" i="10"/>
  <c r="L531" i="10"/>
  <c r="L530" i="10"/>
  <c r="L529" i="10"/>
  <c r="L528" i="10"/>
  <c r="L527" i="10"/>
  <c r="L526" i="10"/>
  <c r="L525" i="10"/>
  <c r="L524" i="10"/>
  <c r="L523" i="10"/>
  <c r="L522" i="10"/>
  <c r="L521" i="10"/>
  <c r="L520" i="10"/>
  <c r="L519" i="10"/>
  <c r="L518" i="10"/>
  <c r="L517" i="10"/>
  <c r="L516" i="10"/>
  <c r="L515" i="10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6" i="10"/>
  <c r="L5" i="10"/>
  <c r="L4" i="10"/>
  <c r="L3" i="10"/>
  <c r="L2" i="10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L4" i="9"/>
  <c r="L3" i="9"/>
  <c r="L2" i="9"/>
  <c r="L912" i="8"/>
  <c r="L911" i="8"/>
  <c r="L910" i="8"/>
  <c r="L909" i="8"/>
  <c r="L908" i="8"/>
  <c r="L907" i="8"/>
  <c r="L906" i="8"/>
  <c r="L905" i="8"/>
  <c r="L904" i="8"/>
  <c r="L903" i="8"/>
  <c r="L902" i="8"/>
  <c r="L901" i="8"/>
  <c r="L900" i="8"/>
  <c r="L899" i="8"/>
  <c r="L898" i="8"/>
  <c r="L897" i="8"/>
  <c r="L896" i="8"/>
  <c r="L895" i="8"/>
  <c r="L894" i="8"/>
  <c r="L893" i="8"/>
  <c r="L892" i="8"/>
  <c r="L891" i="8"/>
  <c r="L890" i="8"/>
  <c r="L889" i="8"/>
  <c r="L888" i="8"/>
  <c r="L887" i="8"/>
  <c r="L886" i="8"/>
  <c r="L885" i="8"/>
  <c r="L884" i="8"/>
  <c r="L883" i="8"/>
  <c r="L882" i="8"/>
  <c r="L881" i="8"/>
  <c r="L880" i="8"/>
  <c r="L879" i="8"/>
  <c r="L878" i="8"/>
  <c r="L877" i="8"/>
  <c r="L876" i="8"/>
  <c r="L875" i="8"/>
  <c r="L874" i="8"/>
  <c r="L873" i="8"/>
  <c r="L872" i="8"/>
  <c r="L871" i="8"/>
  <c r="L870" i="8"/>
  <c r="L869" i="8"/>
  <c r="L868" i="8"/>
  <c r="L867" i="8"/>
  <c r="L866" i="8"/>
  <c r="L865" i="8"/>
  <c r="L864" i="8"/>
  <c r="L863" i="8"/>
  <c r="L862" i="8"/>
  <c r="L861" i="8"/>
  <c r="L860" i="8"/>
  <c r="L859" i="8"/>
  <c r="L858" i="8"/>
  <c r="L857" i="8"/>
  <c r="L856" i="8"/>
  <c r="L855" i="8"/>
  <c r="L854" i="8"/>
  <c r="L853" i="8"/>
  <c r="L852" i="8"/>
  <c r="L851" i="8"/>
  <c r="L850" i="8"/>
  <c r="L849" i="8"/>
  <c r="L848" i="8"/>
  <c r="L847" i="8"/>
  <c r="L846" i="8"/>
  <c r="L845" i="8"/>
  <c r="L844" i="8"/>
  <c r="L843" i="8"/>
  <c r="L842" i="8"/>
  <c r="L841" i="8"/>
  <c r="L840" i="8"/>
  <c r="L839" i="8"/>
  <c r="L838" i="8"/>
  <c r="L837" i="8"/>
  <c r="L836" i="8"/>
  <c r="L835" i="8"/>
  <c r="L834" i="8"/>
  <c r="L833" i="8"/>
  <c r="L832" i="8"/>
  <c r="L831" i="8"/>
  <c r="L830" i="8"/>
  <c r="L829" i="8"/>
  <c r="L828" i="8"/>
  <c r="L827" i="8"/>
  <c r="L826" i="8"/>
  <c r="L825" i="8"/>
  <c r="L824" i="8"/>
  <c r="L823" i="8"/>
  <c r="L822" i="8"/>
  <c r="L821" i="8"/>
  <c r="L820" i="8"/>
  <c r="L819" i="8"/>
  <c r="L818" i="8"/>
  <c r="L817" i="8"/>
  <c r="L816" i="8"/>
  <c r="L815" i="8"/>
  <c r="L814" i="8"/>
  <c r="L813" i="8"/>
  <c r="L812" i="8"/>
  <c r="L811" i="8"/>
  <c r="L810" i="8"/>
  <c r="L809" i="8"/>
  <c r="L808" i="8"/>
  <c r="L807" i="8"/>
  <c r="L806" i="8"/>
  <c r="L805" i="8"/>
  <c r="L804" i="8"/>
  <c r="L803" i="8"/>
  <c r="L802" i="8"/>
  <c r="L801" i="8"/>
  <c r="L800" i="8"/>
  <c r="L799" i="8"/>
  <c r="L798" i="8"/>
  <c r="L797" i="8"/>
  <c r="L796" i="8"/>
  <c r="L795" i="8"/>
  <c r="L794" i="8"/>
  <c r="L793" i="8"/>
  <c r="L792" i="8"/>
  <c r="L791" i="8"/>
  <c r="L790" i="8"/>
  <c r="L789" i="8"/>
  <c r="L788" i="8"/>
  <c r="L787" i="8"/>
  <c r="L786" i="8"/>
  <c r="L785" i="8"/>
  <c r="L784" i="8"/>
  <c r="L783" i="8"/>
  <c r="L782" i="8"/>
  <c r="L781" i="8"/>
  <c r="L780" i="8"/>
  <c r="L779" i="8"/>
  <c r="L778" i="8"/>
  <c r="L777" i="8"/>
  <c r="L776" i="8"/>
  <c r="L775" i="8"/>
  <c r="L774" i="8"/>
  <c r="L773" i="8"/>
  <c r="L772" i="8"/>
  <c r="L771" i="8"/>
  <c r="L770" i="8"/>
  <c r="L769" i="8"/>
  <c r="L768" i="8"/>
  <c r="L767" i="8"/>
  <c r="L766" i="8"/>
  <c r="L765" i="8"/>
  <c r="L764" i="8"/>
  <c r="L763" i="8"/>
  <c r="L762" i="8"/>
  <c r="L761" i="8"/>
  <c r="L760" i="8"/>
  <c r="L759" i="8"/>
  <c r="L758" i="8"/>
  <c r="L757" i="8"/>
  <c r="L756" i="8"/>
  <c r="L755" i="8"/>
  <c r="L754" i="8"/>
  <c r="L753" i="8"/>
  <c r="L752" i="8"/>
  <c r="L751" i="8"/>
  <c r="L750" i="8"/>
  <c r="L749" i="8"/>
  <c r="L748" i="8"/>
  <c r="L747" i="8"/>
  <c r="L746" i="8"/>
  <c r="L745" i="8"/>
  <c r="L744" i="8"/>
  <c r="L743" i="8"/>
  <c r="L742" i="8"/>
  <c r="L741" i="8"/>
  <c r="L740" i="8"/>
  <c r="L739" i="8"/>
  <c r="L738" i="8"/>
  <c r="L737" i="8"/>
  <c r="L736" i="8"/>
  <c r="L735" i="8"/>
  <c r="L734" i="8"/>
  <c r="L733" i="8"/>
  <c r="L732" i="8"/>
  <c r="L731" i="8"/>
  <c r="L730" i="8"/>
  <c r="L729" i="8"/>
  <c r="L728" i="8"/>
  <c r="L727" i="8"/>
  <c r="L726" i="8"/>
  <c r="L725" i="8"/>
  <c r="L724" i="8"/>
  <c r="L723" i="8"/>
  <c r="L722" i="8"/>
  <c r="L721" i="8"/>
  <c r="L720" i="8"/>
  <c r="L719" i="8"/>
  <c r="L718" i="8"/>
  <c r="L717" i="8"/>
  <c r="L716" i="8"/>
  <c r="L715" i="8"/>
  <c r="L714" i="8"/>
  <c r="L713" i="8"/>
  <c r="L712" i="8"/>
  <c r="L711" i="8"/>
  <c r="L710" i="8"/>
  <c r="L709" i="8"/>
  <c r="L708" i="8"/>
  <c r="L707" i="8"/>
  <c r="L706" i="8"/>
  <c r="L705" i="8"/>
  <c r="L704" i="8"/>
  <c r="L703" i="8"/>
  <c r="L702" i="8"/>
  <c r="L701" i="8"/>
  <c r="L700" i="8"/>
  <c r="L699" i="8"/>
  <c r="L698" i="8"/>
  <c r="L697" i="8"/>
  <c r="L696" i="8"/>
  <c r="L695" i="8"/>
  <c r="L694" i="8"/>
  <c r="L693" i="8"/>
  <c r="L692" i="8"/>
  <c r="L691" i="8"/>
  <c r="L690" i="8"/>
  <c r="L689" i="8"/>
  <c r="L688" i="8"/>
  <c r="L687" i="8"/>
  <c r="L686" i="8"/>
  <c r="L685" i="8"/>
  <c r="L684" i="8"/>
  <c r="L683" i="8"/>
  <c r="L682" i="8"/>
  <c r="L681" i="8"/>
  <c r="L680" i="8"/>
  <c r="L679" i="8"/>
  <c r="L678" i="8"/>
  <c r="L677" i="8"/>
  <c r="L676" i="8"/>
  <c r="L675" i="8"/>
  <c r="L674" i="8"/>
  <c r="L673" i="8"/>
  <c r="L672" i="8"/>
  <c r="L671" i="8"/>
  <c r="L670" i="8"/>
  <c r="L669" i="8"/>
  <c r="L668" i="8"/>
  <c r="L667" i="8"/>
  <c r="L666" i="8"/>
  <c r="L665" i="8"/>
  <c r="L664" i="8"/>
  <c r="L663" i="8"/>
  <c r="L662" i="8"/>
  <c r="L661" i="8"/>
  <c r="L660" i="8"/>
  <c r="L659" i="8"/>
  <c r="L658" i="8"/>
  <c r="L657" i="8"/>
  <c r="L656" i="8"/>
  <c r="L655" i="8"/>
  <c r="L654" i="8"/>
  <c r="L653" i="8"/>
  <c r="L652" i="8"/>
  <c r="L651" i="8"/>
  <c r="L650" i="8"/>
  <c r="L649" i="8"/>
  <c r="L648" i="8"/>
  <c r="L647" i="8"/>
  <c r="L646" i="8"/>
  <c r="L645" i="8"/>
  <c r="L644" i="8"/>
  <c r="L643" i="8"/>
  <c r="L642" i="8"/>
  <c r="L641" i="8"/>
  <c r="L640" i="8"/>
  <c r="L639" i="8"/>
  <c r="L638" i="8"/>
  <c r="L637" i="8"/>
  <c r="L636" i="8"/>
  <c r="L635" i="8"/>
  <c r="L634" i="8"/>
  <c r="L633" i="8"/>
  <c r="L632" i="8"/>
  <c r="L631" i="8"/>
  <c r="L630" i="8"/>
  <c r="L629" i="8"/>
  <c r="L628" i="8"/>
  <c r="L627" i="8"/>
  <c r="L626" i="8"/>
  <c r="L625" i="8"/>
  <c r="L624" i="8"/>
  <c r="L623" i="8"/>
  <c r="L622" i="8"/>
  <c r="L621" i="8"/>
  <c r="L620" i="8"/>
  <c r="L619" i="8"/>
  <c r="L618" i="8"/>
  <c r="L617" i="8"/>
  <c r="L616" i="8"/>
  <c r="L615" i="8"/>
  <c r="L614" i="8"/>
  <c r="L613" i="8"/>
  <c r="L612" i="8"/>
  <c r="L611" i="8"/>
  <c r="L610" i="8"/>
  <c r="L609" i="8"/>
  <c r="L608" i="8"/>
  <c r="L607" i="8"/>
  <c r="L606" i="8"/>
  <c r="L605" i="8"/>
  <c r="L604" i="8"/>
  <c r="L603" i="8"/>
  <c r="L602" i="8"/>
  <c r="L601" i="8"/>
  <c r="L600" i="8"/>
  <c r="L599" i="8"/>
  <c r="L598" i="8"/>
  <c r="L597" i="8"/>
  <c r="L596" i="8"/>
  <c r="L595" i="8"/>
  <c r="L594" i="8"/>
  <c r="L593" i="8"/>
  <c r="L592" i="8"/>
  <c r="L591" i="8"/>
  <c r="L590" i="8"/>
  <c r="L589" i="8"/>
  <c r="L588" i="8"/>
  <c r="L587" i="8"/>
  <c r="L586" i="8"/>
  <c r="L585" i="8"/>
  <c r="L584" i="8"/>
  <c r="L583" i="8"/>
  <c r="L582" i="8"/>
  <c r="L581" i="8"/>
  <c r="L580" i="8"/>
  <c r="L579" i="8"/>
  <c r="L578" i="8"/>
  <c r="L577" i="8"/>
  <c r="L576" i="8"/>
  <c r="L575" i="8"/>
  <c r="L574" i="8"/>
  <c r="L573" i="8"/>
  <c r="L572" i="8"/>
  <c r="L571" i="8"/>
  <c r="L570" i="8"/>
  <c r="L569" i="8"/>
  <c r="L568" i="8"/>
  <c r="L567" i="8"/>
  <c r="L566" i="8"/>
  <c r="L565" i="8"/>
  <c r="L564" i="8"/>
  <c r="L563" i="8"/>
  <c r="L562" i="8"/>
  <c r="L561" i="8"/>
  <c r="L560" i="8"/>
  <c r="L559" i="8"/>
  <c r="L558" i="8"/>
  <c r="L557" i="8"/>
  <c r="L556" i="8"/>
  <c r="L555" i="8"/>
  <c r="L554" i="8"/>
  <c r="L553" i="8"/>
  <c r="L552" i="8"/>
  <c r="L551" i="8"/>
  <c r="L550" i="8"/>
  <c r="L549" i="8"/>
  <c r="L548" i="8"/>
  <c r="L547" i="8"/>
  <c r="L546" i="8"/>
  <c r="L545" i="8"/>
  <c r="L544" i="8"/>
  <c r="L543" i="8"/>
  <c r="L542" i="8"/>
  <c r="L541" i="8"/>
  <c r="L540" i="8"/>
  <c r="L539" i="8"/>
  <c r="L538" i="8"/>
  <c r="L537" i="8"/>
  <c r="L536" i="8"/>
  <c r="L535" i="8"/>
  <c r="L534" i="8"/>
  <c r="L533" i="8"/>
  <c r="L532" i="8"/>
  <c r="L531" i="8"/>
  <c r="L530" i="8"/>
  <c r="L529" i="8"/>
  <c r="L528" i="8"/>
  <c r="L527" i="8"/>
  <c r="L526" i="8"/>
  <c r="L525" i="8"/>
  <c r="L524" i="8"/>
  <c r="L523" i="8"/>
  <c r="L522" i="8"/>
  <c r="L521" i="8"/>
  <c r="L520" i="8"/>
  <c r="L519" i="8"/>
  <c r="L518" i="8"/>
  <c r="L517" i="8"/>
  <c r="L516" i="8"/>
  <c r="L515" i="8"/>
  <c r="L514" i="8"/>
  <c r="L513" i="8"/>
  <c r="L512" i="8"/>
  <c r="L511" i="8"/>
  <c r="L510" i="8"/>
  <c r="L509" i="8"/>
  <c r="L508" i="8"/>
  <c r="L507" i="8"/>
  <c r="L506" i="8"/>
  <c r="L505" i="8"/>
  <c r="L504" i="8"/>
  <c r="L503" i="8"/>
  <c r="L502" i="8"/>
  <c r="L501" i="8"/>
  <c r="L500" i="8"/>
  <c r="L499" i="8"/>
  <c r="L498" i="8"/>
  <c r="L497" i="8"/>
  <c r="L496" i="8"/>
  <c r="L495" i="8"/>
  <c r="L494" i="8"/>
  <c r="L493" i="8"/>
  <c r="L492" i="8"/>
  <c r="L491" i="8"/>
  <c r="L490" i="8"/>
  <c r="L489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76" i="8"/>
  <c r="L475" i="8"/>
  <c r="L474" i="8"/>
  <c r="L473" i="8"/>
  <c r="L472" i="8"/>
  <c r="L471" i="8"/>
  <c r="L470" i="8"/>
  <c r="L469" i="8"/>
  <c r="L468" i="8"/>
  <c r="L467" i="8"/>
  <c r="L466" i="8"/>
  <c r="L465" i="8"/>
  <c r="L464" i="8"/>
  <c r="L463" i="8"/>
  <c r="L462" i="8"/>
  <c r="L461" i="8"/>
  <c r="L460" i="8"/>
  <c r="L459" i="8"/>
  <c r="L458" i="8"/>
  <c r="L457" i="8"/>
  <c r="L456" i="8"/>
  <c r="L455" i="8"/>
  <c r="L454" i="8"/>
  <c r="L453" i="8"/>
  <c r="L452" i="8"/>
  <c r="L451" i="8"/>
  <c r="L450" i="8"/>
  <c r="L449" i="8"/>
  <c r="L448" i="8"/>
  <c r="L447" i="8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430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3" i="8"/>
  <c r="L412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7" i="8"/>
  <c r="L6" i="8"/>
  <c r="L5" i="8"/>
  <c r="L4" i="8"/>
  <c r="L3" i="8"/>
  <c r="L2" i="8"/>
  <c r="L908" i="7"/>
  <c r="L907" i="7"/>
  <c r="L906" i="7"/>
  <c r="L905" i="7"/>
  <c r="L904" i="7"/>
  <c r="L903" i="7"/>
  <c r="L902" i="7"/>
  <c r="L901" i="7"/>
  <c r="L900" i="7"/>
  <c r="L899" i="7"/>
  <c r="L898" i="7"/>
  <c r="L897" i="7"/>
  <c r="L896" i="7"/>
  <c r="L895" i="7"/>
  <c r="L894" i="7"/>
  <c r="L893" i="7"/>
  <c r="L892" i="7"/>
  <c r="L891" i="7"/>
  <c r="L890" i="7"/>
  <c r="L889" i="7"/>
  <c r="L888" i="7"/>
  <c r="L887" i="7"/>
  <c r="L886" i="7"/>
  <c r="L885" i="7"/>
  <c r="L884" i="7"/>
  <c r="L883" i="7"/>
  <c r="L882" i="7"/>
  <c r="L881" i="7"/>
  <c r="L880" i="7"/>
  <c r="L879" i="7"/>
  <c r="L878" i="7"/>
  <c r="L877" i="7"/>
  <c r="L876" i="7"/>
  <c r="L875" i="7"/>
  <c r="L874" i="7"/>
  <c r="L873" i="7"/>
  <c r="L872" i="7"/>
  <c r="L871" i="7"/>
  <c r="L870" i="7"/>
  <c r="L869" i="7"/>
  <c r="L868" i="7"/>
  <c r="L867" i="7"/>
  <c r="L866" i="7"/>
  <c r="L865" i="7"/>
  <c r="L864" i="7"/>
  <c r="L863" i="7"/>
  <c r="L862" i="7"/>
  <c r="L861" i="7"/>
  <c r="L860" i="7"/>
  <c r="L859" i="7"/>
  <c r="L858" i="7"/>
  <c r="L857" i="7"/>
  <c r="L856" i="7"/>
  <c r="L855" i="7"/>
  <c r="L854" i="7"/>
  <c r="L853" i="7"/>
  <c r="L852" i="7"/>
  <c r="L851" i="7"/>
  <c r="L850" i="7"/>
  <c r="L849" i="7"/>
  <c r="L848" i="7"/>
  <c r="L847" i="7"/>
  <c r="L846" i="7"/>
  <c r="L845" i="7"/>
  <c r="L844" i="7"/>
  <c r="L843" i="7"/>
  <c r="L842" i="7"/>
  <c r="L841" i="7"/>
  <c r="L840" i="7"/>
  <c r="L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L790" i="7"/>
  <c r="L789" i="7"/>
  <c r="L788" i="7"/>
  <c r="L787" i="7"/>
  <c r="L786" i="7"/>
  <c r="L785" i="7"/>
  <c r="L784" i="7"/>
  <c r="L783" i="7"/>
  <c r="L782" i="7"/>
  <c r="L781" i="7"/>
  <c r="L780" i="7"/>
  <c r="L779" i="7"/>
  <c r="L778" i="7"/>
  <c r="L777" i="7"/>
  <c r="L776" i="7"/>
  <c r="L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03" i="7"/>
  <c r="L702" i="7"/>
  <c r="L701" i="7"/>
  <c r="L700" i="7"/>
  <c r="L699" i="7"/>
  <c r="L698" i="7"/>
  <c r="L697" i="7"/>
  <c r="L696" i="7"/>
  <c r="L695" i="7"/>
  <c r="L694" i="7"/>
  <c r="L693" i="7"/>
  <c r="L692" i="7"/>
  <c r="L691" i="7"/>
  <c r="L690" i="7"/>
  <c r="L689" i="7"/>
  <c r="L688" i="7"/>
  <c r="L687" i="7"/>
  <c r="L686" i="7"/>
  <c r="L685" i="7"/>
  <c r="L684" i="7"/>
  <c r="L683" i="7"/>
  <c r="L682" i="7"/>
  <c r="L681" i="7"/>
  <c r="L680" i="7"/>
  <c r="L679" i="7"/>
  <c r="L678" i="7"/>
  <c r="L677" i="7"/>
  <c r="L676" i="7"/>
  <c r="L675" i="7"/>
  <c r="L674" i="7"/>
  <c r="L673" i="7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1" i="7"/>
  <c r="L380" i="7"/>
  <c r="L379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L4" i="7"/>
  <c r="L3" i="7"/>
  <c r="L2" i="7"/>
  <c r="L988" i="6"/>
  <c r="L987" i="6"/>
  <c r="L986" i="6"/>
  <c r="L985" i="6"/>
  <c r="L984" i="6"/>
  <c r="L983" i="6"/>
  <c r="L982" i="6"/>
  <c r="L981" i="6"/>
  <c r="L980" i="6"/>
  <c r="L979" i="6"/>
  <c r="L978" i="6"/>
  <c r="L977" i="6"/>
  <c r="L976" i="6"/>
  <c r="L975" i="6"/>
  <c r="L974" i="6"/>
  <c r="L973" i="6"/>
  <c r="L972" i="6"/>
  <c r="L971" i="6"/>
  <c r="L970" i="6"/>
  <c r="L969" i="6"/>
  <c r="L968" i="6"/>
  <c r="L967" i="6"/>
  <c r="L966" i="6"/>
  <c r="L965" i="6"/>
  <c r="L964" i="6"/>
  <c r="L963" i="6"/>
  <c r="L962" i="6"/>
  <c r="L961" i="6"/>
  <c r="L960" i="6"/>
  <c r="L959" i="6"/>
  <c r="L958" i="6"/>
  <c r="L957" i="6"/>
  <c r="L956" i="6"/>
  <c r="L955" i="6"/>
  <c r="L954" i="6"/>
  <c r="L953" i="6"/>
  <c r="L952" i="6"/>
  <c r="L951" i="6"/>
  <c r="L950" i="6"/>
  <c r="L949" i="6"/>
  <c r="L948" i="6"/>
  <c r="L947" i="6"/>
  <c r="L946" i="6"/>
  <c r="L945" i="6"/>
  <c r="L944" i="6"/>
  <c r="L943" i="6"/>
  <c r="L942" i="6"/>
  <c r="L941" i="6"/>
  <c r="L940" i="6"/>
  <c r="L939" i="6"/>
  <c r="L938" i="6"/>
  <c r="L937" i="6"/>
  <c r="L936" i="6"/>
  <c r="L935" i="6"/>
  <c r="L934" i="6"/>
  <c r="L933" i="6"/>
  <c r="L932" i="6"/>
  <c r="L931" i="6"/>
  <c r="L930" i="6"/>
  <c r="L929" i="6"/>
  <c r="L928" i="6"/>
  <c r="L927" i="6"/>
  <c r="L926" i="6"/>
  <c r="L925" i="6"/>
  <c r="L924" i="6"/>
  <c r="L923" i="6"/>
  <c r="L922" i="6"/>
  <c r="L921" i="6"/>
  <c r="L920" i="6"/>
  <c r="L919" i="6"/>
  <c r="L918" i="6"/>
  <c r="L917" i="6"/>
  <c r="L916" i="6"/>
  <c r="L915" i="6"/>
  <c r="L914" i="6"/>
  <c r="L913" i="6"/>
  <c r="L912" i="6"/>
  <c r="L911" i="6"/>
  <c r="L910" i="6"/>
  <c r="L909" i="6"/>
  <c r="L908" i="6"/>
  <c r="L907" i="6"/>
  <c r="L906" i="6"/>
  <c r="L905" i="6"/>
  <c r="L904" i="6"/>
  <c r="L903" i="6"/>
  <c r="L902" i="6"/>
  <c r="L901" i="6"/>
  <c r="L900" i="6"/>
  <c r="L899" i="6"/>
  <c r="L898" i="6"/>
  <c r="L897" i="6"/>
  <c r="L896" i="6"/>
  <c r="L895" i="6"/>
  <c r="L894" i="6"/>
  <c r="L893" i="6"/>
  <c r="L892" i="6"/>
  <c r="L891" i="6"/>
  <c r="L890" i="6"/>
  <c r="L889" i="6"/>
  <c r="L888" i="6"/>
  <c r="L887" i="6"/>
  <c r="L886" i="6"/>
  <c r="L885" i="6"/>
  <c r="L884" i="6"/>
  <c r="L883" i="6"/>
  <c r="L882" i="6"/>
  <c r="L881" i="6"/>
  <c r="L880" i="6"/>
  <c r="L879" i="6"/>
  <c r="L878" i="6"/>
  <c r="L877" i="6"/>
  <c r="L876" i="6"/>
  <c r="L875" i="6"/>
  <c r="L874" i="6"/>
  <c r="L873" i="6"/>
  <c r="L872" i="6"/>
  <c r="L871" i="6"/>
  <c r="L870" i="6"/>
  <c r="L869" i="6"/>
  <c r="L868" i="6"/>
  <c r="L867" i="6"/>
  <c r="L866" i="6"/>
  <c r="L865" i="6"/>
  <c r="L864" i="6"/>
  <c r="L863" i="6"/>
  <c r="L862" i="6"/>
  <c r="L861" i="6"/>
  <c r="L860" i="6"/>
  <c r="L859" i="6"/>
  <c r="L858" i="6"/>
  <c r="L857" i="6"/>
  <c r="L856" i="6"/>
  <c r="L855" i="6"/>
  <c r="L854" i="6"/>
  <c r="L853" i="6"/>
  <c r="L852" i="6"/>
  <c r="L851" i="6"/>
  <c r="L850" i="6"/>
  <c r="L849" i="6"/>
  <c r="L848" i="6"/>
  <c r="L847" i="6"/>
  <c r="L846" i="6"/>
  <c r="L845" i="6"/>
  <c r="L844" i="6"/>
  <c r="L843" i="6"/>
  <c r="L842" i="6"/>
  <c r="L841" i="6"/>
  <c r="L840" i="6"/>
  <c r="L839" i="6"/>
  <c r="L838" i="6"/>
  <c r="L837" i="6"/>
  <c r="L836" i="6"/>
  <c r="L835" i="6"/>
  <c r="L834" i="6"/>
  <c r="L833" i="6"/>
  <c r="L832" i="6"/>
  <c r="L831" i="6"/>
  <c r="L830" i="6"/>
  <c r="L829" i="6"/>
  <c r="L828" i="6"/>
  <c r="L827" i="6"/>
  <c r="L826" i="6"/>
  <c r="L825" i="6"/>
  <c r="L824" i="6"/>
  <c r="L823" i="6"/>
  <c r="L822" i="6"/>
  <c r="L821" i="6"/>
  <c r="L820" i="6"/>
  <c r="L819" i="6"/>
  <c r="L818" i="6"/>
  <c r="L817" i="6"/>
  <c r="L816" i="6"/>
  <c r="L815" i="6"/>
  <c r="L814" i="6"/>
  <c r="L813" i="6"/>
  <c r="L812" i="6"/>
  <c r="L811" i="6"/>
  <c r="L810" i="6"/>
  <c r="L809" i="6"/>
  <c r="L808" i="6"/>
  <c r="L807" i="6"/>
  <c r="L806" i="6"/>
  <c r="L805" i="6"/>
  <c r="L804" i="6"/>
  <c r="L803" i="6"/>
  <c r="L802" i="6"/>
  <c r="L801" i="6"/>
  <c r="L800" i="6"/>
  <c r="L799" i="6"/>
  <c r="L798" i="6"/>
  <c r="L797" i="6"/>
  <c r="L796" i="6"/>
  <c r="L795" i="6"/>
  <c r="L794" i="6"/>
  <c r="L793" i="6"/>
  <c r="L792" i="6"/>
  <c r="L791" i="6"/>
  <c r="L790" i="6"/>
  <c r="L789" i="6"/>
  <c r="L788" i="6"/>
  <c r="L787" i="6"/>
  <c r="L786" i="6"/>
  <c r="L785" i="6"/>
  <c r="L784" i="6"/>
  <c r="L783" i="6"/>
  <c r="L782" i="6"/>
  <c r="L781" i="6"/>
  <c r="L780" i="6"/>
  <c r="L779" i="6"/>
  <c r="L778" i="6"/>
  <c r="L777" i="6"/>
  <c r="L776" i="6"/>
  <c r="L775" i="6"/>
  <c r="L774" i="6"/>
  <c r="L773" i="6"/>
  <c r="L772" i="6"/>
  <c r="L771" i="6"/>
  <c r="L770" i="6"/>
  <c r="L769" i="6"/>
  <c r="L768" i="6"/>
  <c r="L767" i="6"/>
  <c r="L766" i="6"/>
  <c r="L765" i="6"/>
  <c r="L764" i="6"/>
  <c r="L763" i="6"/>
  <c r="L762" i="6"/>
  <c r="L761" i="6"/>
  <c r="L760" i="6"/>
  <c r="L759" i="6"/>
  <c r="L758" i="6"/>
  <c r="L757" i="6"/>
  <c r="L756" i="6"/>
  <c r="L755" i="6"/>
  <c r="L754" i="6"/>
  <c r="L753" i="6"/>
  <c r="L752" i="6"/>
  <c r="L751" i="6"/>
  <c r="L750" i="6"/>
  <c r="L749" i="6"/>
  <c r="L748" i="6"/>
  <c r="L747" i="6"/>
  <c r="L746" i="6"/>
  <c r="L745" i="6"/>
  <c r="L744" i="6"/>
  <c r="L743" i="6"/>
  <c r="L742" i="6"/>
  <c r="L741" i="6"/>
  <c r="L740" i="6"/>
  <c r="L739" i="6"/>
  <c r="L738" i="6"/>
  <c r="L737" i="6"/>
  <c r="L736" i="6"/>
  <c r="L735" i="6"/>
  <c r="L734" i="6"/>
  <c r="L733" i="6"/>
  <c r="L732" i="6"/>
  <c r="L731" i="6"/>
  <c r="L730" i="6"/>
  <c r="L729" i="6"/>
  <c r="L728" i="6"/>
  <c r="L727" i="6"/>
  <c r="L726" i="6"/>
  <c r="L725" i="6"/>
  <c r="L724" i="6"/>
  <c r="L723" i="6"/>
  <c r="L722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L647" i="6"/>
  <c r="L646" i="6"/>
  <c r="L645" i="6"/>
  <c r="L644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1" i="6"/>
  <c r="L630" i="6"/>
  <c r="L629" i="6"/>
  <c r="L628" i="6"/>
  <c r="L627" i="6"/>
  <c r="L626" i="6"/>
  <c r="L625" i="6"/>
  <c r="L624" i="6"/>
  <c r="L623" i="6"/>
  <c r="L622" i="6"/>
  <c r="L621" i="6"/>
  <c r="L620" i="6"/>
  <c r="L619" i="6"/>
  <c r="L618" i="6"/>
  <c r="L617" i="6"/>
  <c r="L616" i="6"/>
  <c r="L615" i="6"/>
  <c r="L614" i="6"/>
  <c r="L613" i="6"/>
  <c r="L612" i="6"/>
  <c r="L611" i="6"/>
  <c r="L610" i="6"/>
  <c r="L609" i="6"/>
  <c r="L608" i="6"/>
  <c r="L607" i="6"/>
  <c r="L606" i="6"/>
  <c r="L605" i="6"/>
  <c r="L604" i="6"/>
  <c r="L603" i="6"/>
  <c r="L602" i="6"/>
  <c r="L601" i="6"/>
  <c r="L600" i="6"/>
  <c r="L599" i="6"/>
  <c r="L598" i="6"/>
  <c r="L597" i="6"/>
  <c r="L596" i="6"/>
  <c r="L595" i="6"/>
  <c r="L594" i="6"/>
  <c r="L593" i="6"/>
  <c r="L592" i="6"/>
  <c r="L591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6" i="6"/>
  <c r="L575" i="6"/>
  <c r="L574" i="6"/>
  <c r="L573" i="6"/>
  <c r="L572" i="6"/>
  <c r="L571" i="6"/>
  <c r="L570" i="6"/>
  <c r="L569" i="6"/>
  <c r="L568" i="6"/>
  <c r="L567" i="6"/>
  <c r="L566" i="6"/>
  <c r="L565" i="6"/>
  <c r="L564" i="6"/>
  <c r="L563" i="6"/>
  <c r="L562" i="6"/>
  <c r="L561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3" i="6"/>
  <c r="L542" i="6"/>
  <c r="L541" i="6"/>
  <c r="L540" i="6"/>
  <c r="L539" i="6"/>
  <c r="L538" i="6"/>
  <c r="L537" i="6"/>
  <c r="L536" i="6"/>
  <c r="L535" i="6"/>
  <c r="L534" i="6"/>
  <c r="L533" i="6"/>
  <c r="L532" i="6"/>
  <c r="L531" i="6"/>
  <c r="L530" i="6"/>
  <c r="L529" i="6"/>
  <c r="L528" i="6"/>
  <c r="L527" i="6"/>
  <c r="L526" i="6"/>
  <c r="L525" i="6"/>
  <c r="L524" i="6"/>
  <c r="L523" i="6"/>
  <c r="L522" i="6"/>
  <c r="L521" i="6"/>
  <c r="L520" i="6"/>
  <c r="L519" i="6"/>
  <c r="L518" i="6"/>
  <c r="L517" i="6"/>
  <c r="L516" i="6"/>
  <c r="L515" i="6"/>
  <c r="L514" i="6"/>
  <c r="L513" i="6"/>
  <c r="L512" i="6"/>
  <c r="L511" i="6"/>
  <c r="L510" i="6"/>
  <c r="L509" i="6"/>
  <c r="L508" i="6"/>
  <c r="L507" i="6"/>
  <c r="L506" i="6"/>
  <c r="L505" i="6"/>
  <c r="L504" i="6"/>
  <c r="L503" i="6"/>
  <c r="L502" i="6"/>
  <c r="L501" i="6"/>
  <c r="L500" i="6"/>
  <c r="L499" i="6"/>
  <c r="L498" i="6"/>
  <c r="L497" i="6"/>
  <c r="L496" i="6"/>
  <c r="L495" i="6"/>
  <c r="L494" i="6"/>
  <c r="L493" i="6"/>
  <c r="L492" i="6"/>
  <c r="L491" i="6"/>
  <c r="L490" i="6"/>
  <c r="L489" i="6"/>
  <c r="L488" i="6"/>
  <c r="L487" i="6"/>
  <c r="L486" i="6"/>
  <c r="L485" i="6"/>
  <c r="L484" i="6"/>
  <c r="L483" i="6"/>
  <c r="L482" i="6"/>
  <c r="L481" i="6"/>
  <c r="L480" i="6"/>
  <c r="L479" i="6"/>
  <c r="L47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L5" i="6"/>
  <c r="L4" i="6"/>
  <c r="L3" i="6"/>
  <c r="L2" i="6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948" i="5"/>
  <c r="L947" i="5"/>
  <c r="L946" i="5"/>
  <c r="L945" i="5"/>
  <c r="L944" i="5"/>
  <c r="L943" i="5"/>
  <c r="L942" i="5"/>
  <c r="L941" i="5"/>
  <c r="L940" i="5"/>
  <c r="L939" i="5"/>
  <c r="L938" i="5"/>
  <c r="L937" i="5"/>
  <c r="L936" i="5"/>
  <c r="L935" i="5"/>
  <c r="L934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L2" i="5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850" i="4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L2" i="4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K2" i="2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sharedStrings.xml><?xml version="1.0" encoding="utf-8"?>
<sst xmlns="http://schemas.openxmlformats.org/spreadsheetml/2006/main" count="133609" uniqueCount="14477">
  <si>
    <t>UPC</t>
  </si>
  <si>
    <t>ITEM DESCRIPTION</t>
  </si>
  <si>
    <t>ORIGINAL QTY</t>
  </si>
  <si>
    <t>ORIGINAL RETAIL</t>
  </si>
  <si>
    <t>VENDOR / STYLE #</t>
  </si>
  <si>
    <t>COLOR</t>
  </si>
  <si>
    <t>SIZE</t>
  </si>
  <si>
    <t>DEPARTMENT NAME</t>
  </si>
  <si>
    <t>VENDOR NAME</t>
  </si>
  <si>
    <t>COUNTRY OF ORIGIN</t>
  </si>
  <si>
    <t>FABRIC CONTENT</t>
  </si>
  <si>
    <t>IMAGE</t>
  </si>
  <si>
    <t>828659110266</t>
  </si>
  <si>
    <t>SLV V NECK FNF</t>
  </si>
  <si>
    <t>VC9M9660</t>
  </si>
  <si>
    <t>NAVY</t>
  </si>
  <si>
    <t>14</t>
  </si>
  <si>
    <t>BTR TRND DRES</t>
  </si>
  <si>
    <t>VINCE CAMUTO/G-III APPAREL GROUP</t>
  </si>
  <si>
    <t>IMPORTED</t>
  </si>
  <si>
    <t>SHELL: NYLON/POLYESTER/COTTON; LINING: POLYESTER</t>
  </si>
  <si>
    <t>828659110259</t>
  </si>
  <si>
    <t>16</t>
  </si>
  <si>
    <t>652933012386</t>
  </si>
  <si>
    <t>KNIT STRIPE MIDI TRUMPET</t>
  </si>
  <si>
    <t>AP1D103236</t>
  </si>
  <si>
    <t>WHITE</t>
  </si>
  <si>
    <t>12</t>
  </si>
  <si>
    <t>ADRIANNA BY ADRIANNA PAPELL/ADRIANN</t>
  </si>
  <si>
    <t>SHELL: POLYESTER/SPANDEX/METALLIC THREADING; LINING: POLYESTER</t>
  </si>
  <si>
    <t>828659130356</t>
  </si>
  <si>
    <t>SLV RUFFLE MIDI</t>
  </si>
  <si>
    <t>VC9M9368</t>
  </si>
  <si>
    <t>LT/PASBLUE</t>
  </si>
  <si>
    <t>POLYESTER</t>
  </si>
  <si>
    <t>635273524580</t>
  </si>
  <si>
    <t>SLV MESH EMRD FNF</t>
  </si>
  <si>
    <t>TLMS9WD174</t>
  </si>
  <si>
    <t>MED GRAY</t>
  </si>
  <si>
    <t>2</t>
  </si>
  <si>
    <t>TAHARI ASL/PACIFIC ALLIANCE MFG</t>
  </si>
  <si>
    <t>POLYESTER; LINING: POLYESTER/ELASTANE</t>
  </si>
  <si>
    <t>828659211406</t>
  </si>
  <si>
    <t>TIE SLV CHIFFON JUMP</t>
  </si>
  <si>
    <t>VC9M9283</t>
  </si>
  <si>
    <t>635273495415</t>
  </si>
  <si>
    <t>SLV CHIFON CAPE JUMP</t>
  </si>
  <si>
    <t>TLMS9WR004</t>
  </si>
  <si>
    <t>BRGHT PINK</t>
  </si>
  <si>
    <t>SHELL: POLYESTER/ELASTANE; LINING: POLYESTER</t>
  </si>
  <si>
    <t>828659187442</t>
  </si>
  <si>
    <t>FLRL SQUARE NECK FNF</t>
  </si>
  <si>
    <t>VC9M8892</t>
  </si>
  <si>
    <t>MEDIUM RED</t>
  </si>
  <si>
    <t>828659199445</t>
  </si>
  <si>
    <t>SLV COTTON FIT N FLARE</t>
  </si>
  <si>
    <t>VC9M9063</t>
  </si>
  <si>
    <t>MED YELLOW</t>
  </si>
  <si>
    <t>10</t>
  </si>
  <si>
    <t>SHELL AND LINING: COTTON</t>
  </si>
  <si>
    <t>828659187459</t>
  </si>
  <si>
    <t>635273523033</t>
  </si>
  <si>
    <t>SS CROP FLRL JUMP</t>
  </si>
  <si>
    <t>TLMS9WR021</t>
  </si>
  <si>
    <t>BLUE</t>
  </si>
  <si>
    <t>4</t>
  </si>
  <si>
    <t>SHELL &amp; LINING: POLYESTER</t>
  </si>
  <si>
    <t>635273561936</t>
  </si>
  <si>
    <t>COUNTRY TOILE FLTTR SLV</t>
  </si>
  <si>
    <t>TLMU9WD700</t>
  </si>
  <si>
    <t>GREEN</t>
  </si>
  <si>
    <t>828659195317</t>
  </si>
  <si>
    <t>ENVELOPE NECK BODYCON</t>
  </si>
  <si>
    <t>VC9M8936</t>
  </si>
  <si>
    <t>BLACK</t>
  </si>
  <si>
    <t>POLYESTER/SPANDEX; LINING: POLYESTER</t>
  </si>
  <si>
    <t>828659127400</t>
  </si>
  <si>
    <t>SLV HALTER NCK FNF</t>
  </si>
  <si>
    <t>VC9M9838</t>
  </si>
  <si>
    <t>LT/PASPINK</t>
  </si>
  <si>
    <t>828659127431</t>
  </si>
  <si>
    <t>828659127424</t>
  </si>
  <si>
    <t>828659190619</t>
  </si>
  <si>
    <t>CAP SLV CHIFFON KEYHOLE</t>
  </si>
  <si>
    <t>VC9M9449</t>
  </si>
  <si>
    <t>LT/PAS RED</t>
  </si>
  <si>
    <t>828659124829</t>
  </si>
  <si>
    <t>CAP SLV BODYCON</t>
  </si>
  <si>
    <t>VC9M9813</t>
  </si>
  <si>
    <t>ORANGE</t>
  </si>
  <si>
    <t>828659195157</t>
  </si>
  <si>
    <t>193623567033</t>
  </si>
  <si>
    <t>STRETCH CREPE ASSYM JKT</t>
  </si>
  <si>
    <t>S94JC752</t>
  </si>
  <si>
    <t>LT/PAS ORG</t>
  </si>
  <si>
    <t>CK MS SUITSEP</t>
  </si>
  <si>
    <t>CALVIN KLEIN/G-III APPAREL GROUP</t>
  </si>
  <si>
    <t>SHELL &amp; LINING: POLYESTER/SPANDEX</t>
  </si>
  <si>
    <t>635273558295</t>
  </si>
  <si>
    <t>PAINTED BLOOMS HLTR NK J</t>
  </si>
  <si>
    <t>TLMU9KR504</t>
  </si>
  <si>
    <t>BRNOVERFLW</t>
  </si>
  <si>
    <t>635273558288</t>
  </si>
  <si>
    <t>828659219426</t>
  </si>
  <si>
    <t>SLV EYELET SUNDRESS MAXI</t>
  </si>
  <si>
    <t>VC9M9389</t>
  </si>
  <si>
    <t>8</t>
  </si>
  <si>
    <t>100% COTTON</t>
  </si>
  <si>
    <t>635273567402</t>
  </si>
  <si>
    <t>V NECK PLEATED MAXI</t>
  </si>
  <si>
    <t>TLMU9WD649</t>
  </si>
  <si>
    <t>MED BLUE</t>
  </si>
  <si>
    <t>SQUARE 18</t>
  </si>
  <si>
    <t>889648425570</t>
  </si>
  <si>
    <t>V NCK TROP FLORAL MIDI</t>
  </si>
  <si>
    <t>DR51369</t>
  </si>
  <si>
    <t>14AV/MD/RG</t>
  </si>
  <si>
    <t>DONNA RICCO/ZG APPAREL GROUP LLC</t>
  </si>
  <si>
    <t>POLYESTER; LINING: POLYESTER</t>
  </si>
  <si>
    <t>93487534977</t>
  </si>
  <si>
    <t>CHIFF PALM W RUFF OVER</t>
  </si>
  <si>
    <t>INC DRESSES/KASPER GROUP LLC</t>
  </si>
  <si>
    <t>732997003206</t>
  </si>
  <si>
    <t>DR PLEATED MIDI</t>
  </si>
  <si>
    <t>100065106PT</t>
  </si>
  <si>
    <t>WINE</t>
  </si>
  <si>
    <t>12 P</t>
  </si>
  <si>
    <t>ALFANI PETITS</t>
  </si>
  <si>
    <t>ALFANI-EDI</t>
  </si>
  <si>
    <t>828659258111</t>
  </si>
  <si>
    <t>SLV APRON NCK FNF</t>
  </si>
  <si>
    <t>VC9M9179</t>
  </si>
  <si>
    <t>DARK PINK</t>
  </si>
  <si>
    <t>887345650622</t>
  </si>
  <si>
    <t>CROP PANT</t>
  </si>
  <si>
    <t>S94P2037</t>
  </si>
  <si>
    <t>DARK BEIGE</t>
  </si>
  <si>
    <t>POLYESTER/RAYON/SPANDEX</t>
  </si>
  <si>
    <t>193623663346</t>
  </si>
  <si>
    <t>MODERN PANT</t>
  </si>
  <si>
    <t>S95PO036</t>
  </si>
  <si>
    <t>6</t>
  </si>
  <si>
    <t>755179368344</t>
  </si>
  <si>
    <t>WATERCOLOR PALM SCUBA</t>
  </si>
  <si>
    <t>1386M</t>
  </si>
  <si>
    <t>TAYLOR/DANNY &amp; NICOLE</t>
  </si>
  <si>
    <t>755179381787</t>
  </si>
  <si>
    <t>16AV/MD/RG</t>
  </si>
  <si>
    <t>193623943608</t>
  </si>
  <si>
    <t>CULOTTE PANT</t>
  </si>
  <si>
    <t>S94PJ624</t>
  </si>
  <si>
    <t>VISCOSE</t>
  </si>
  <si>
    <t>93487407912</t>
  </si>
  <si>
    <t>LS FLRL BOW BACK</t>
  </si>
  <si>
    <t>XL</t>
  </si>
  <si>
    <t>93487407905</t>
  </si>
  <si>
    <t>S</t>
  </si>
  <si>
    <t>732997678190</t>
  </si>
  <si>
    <t>JK LONG DRAPE FRONT</t>
  </si>
  <si>
    <t>100065208PT</t>
  </si>
  <si>
    <t>POLYESTER/SPANDEX</t>
  </si>
  <si>
    <t>732996661254</t>
  </si>
  <si>
    <t>DR SOLID F&amp;F</t>
  </si>
  <si>
    <t>100058729PT</t>
  </si>
  <si>
    <t>DARK BROWN</t>
  </si>
  <si>
    <t>6 P</t>
  </si>
  <si>
    <t>LINEN/RAYON/SPANDEX; SECONDARY: POLYESTER/COTTON; LINING: POLYESTER</t>
  </si>
  <si>
    <t>732997003022</t>
  </si>
  <si>
    <t>DR PRT WRAP MIDI</t>
  </si>
  <si>
    <t>100065102PT</t>
  </si>
  <si>
    <t>PINK</t>
  </si>
  <si>
    <t>732996165370</t>
  </si>
  <si>
    <t>DR SMOCK MIDI</t>
  </si>
  <si>
    <t>100054734PT</t>
  </si>
  <si>
    <t>732996637150</t>
  </si>
  <si>
    <t>DR PRT SHEATH</t>
  </si>
  <si>
    <t>100058773PT</t>
  </si>
  <si>
    <t>190917254044</t>
  </si>
  <si>
    <t>SIDE PLEAT PANT</t>
  </si>
  <si>
    <t>1018-P166</t>
  </si>
  <si>
    <t>BGEOVERFLW</t>
  </si>
  <si>
    <t>LARGE</t>
  </si>
  <si>
    <t>THALIA SODI</t>
  </si>
  <si>
    <t>THALIA SODI/REUNITED LLC</t>
  </si>
  <si>
    <t>732995436563</t>
  </si>
  <si>
    <t>KNT ELBW LACE DRS</t>
  </si>
  <si>
    <t>100053691PT</t>
  </si>
  <si>
    <t>P/S PETITE</t>
  </si>
  <si>
    <t>C CLUB PETITE</t>
  </si>
  <si>
    <t>CHARTER CLUB-MMG</t>
  </si>
  <si>
    <t>732995436587</t>
  </si>
  <si>
    <t>732996339382</t>
  </si>
  <si>
    <t>OT DRAPE FRONT SNIT</t>
  </si>
  <si>
    <t>DARKYELLOW</t>
  </si>
  <si>
    <t>STY &amp; CO MISS</t>
  </si>
  <si>
    <t>STYLE &amp; CO-MMG</t>
  </si>
  <si>
    <t>BODY: COTTON/MODAL/SPANDEX; INSERT: RAYON/SPANDEX</t>
  </si>
  <si>
    <t>732996341798</t>
  </si>
  <si>
    <t>BT POM POM TRIM MAXI</t>
  </si>
  <si>
    <t>CHARCOAL</t>
  </si>
  <si>
    <t>2XL</t>
  </si>
  <si>
    <t>RAYON</t>
  </si>
  <si>
    <t>732996292076</t>
  </si>
  <si>
    <t>SCALE MIX GIGHAM MAX</t>
  </si>
  <si>
    <t>100062652P</t>
  </si>
  <si>
    <t>10 P</t>
  </si>
  <si>
    <t>INC PETITES</t>
  </si>
  <si>
    <t>INC-MMG</t>
  </si>
  <si>
    <t>SHELL AND LINING: POLYESTER</t>
  </si>
  <si>
    <t>732996292083</t>
  </si>
  <si>
    <t>706258436409</t>
  </si>
  <si>
    <t>DNM FRISCO ZIP JKT</t>
  </si>
  <si>
    <t>100047088MS</t>
  </si>
  <si>
    <t>CC DENIM MS</t>
  </si>
  <si>
    <t>CHARTER CLUB-EDI/JONES APPARL TEXAS</t>
  </si>
  <si>
    <t>COTTON/VISCOSE/POLYESTER/ELASTANE</t>
  </si>
  <si>
    <t>726895828887</t>
  </si>
  <si>
    <t>WVN LIN BTTN FR DRES</t>
  </si>
  <si>
    <t>100023707P</t>
  </si>
  <si>
    <t>44 NO CUP</t>
  </si>
  <si>
    <t>ALL LINEN</t>
  </si>
  <si>
    <t>732997120835</t>
  </si>
  <si>
    <t>SK PRNT WRAP MIDI</t>
  </si>
  <si>
    <t>100065183PT</t>
  </si>
  <si>
    <t>732995614121</t>
  </si>
  <si>
    <t>DARK GRAY</t>
  </si>
  <si>
    <t>732995845358</t>
  </si>
  <si>
    <t>DISCHRGE VINTAGE JKT</t>
  </si>
  <si>
    <t>ST&amp;CO DEN MIS</t>
  </si>
  <si>
    <t>STYLE &amp; CO-EDI/JONES APPAREL GROUP</t>
  </si>
  <si>
    <t>COTTON/POLYESTER/ELASTANE</t>
  </si>
  <si>
    <t>190917254006</t>
  </si>
  <si>
    <t>190917253986</t>
  </si>
  <si>
    <t>190917253979</t>
  </si>
  <si>
    <t>M</t>
  </si>
  <si>
    <t>732996180786</t>
  </si>
  <si>
    <t>WVN SS SLF TI STP DR</t>
  </si>
  <si>
    <t>100057548PT</t>
  </si>
  <si>
    <t>16 P</t>
  </si>
  <si>
    <t>732995789522</t>
  </si>
  <si>
    <t>OT RIBBON TRIM JKT</t>
  </si>
  <si>
    <t>LINEN/COTTON</t>
  </si>
  <si>
    <t>732995756272</t>
  </si>
  <si>
    <t>KNT SL BRDR MXI DRS</t>
  </si>
  <si>
    <t>100054559MS</t>
  </si>
  <si>
    <t>XS</t>
  </si>
  <si>
    <t>CHRTR CLB MIS</t>
  </si>
  <si>
    <t>RAYON/SPANDEX</t>
  </si>
  <si>
    <t>732995756289</t>
  </si>
  <si>
    <t>732995296952</t>
  </si>
  <si>
    <t>DNM WHT EYELET ANK</t>
  </si>
  <si>
    <t>100053342MS</t>
  </si>
  <si>
    <t>NATURAL</t>
  </si>
  <si>
    <t>COTTON/ELASTANE</t>
  </si>
  <si>
    <t>190917256857</t>
  </si>
  <si>
    <t>LACE TUBE DRESS</t>
  </si>
  <si>
    <t>918-D016</t>
  </si>
  <si>
    <t>DARKORANGE</t>
  </si>
  <si>
    <t>SHELL, LINING: POLYESTER</t>
  </si>
  <si>
    <t>190917256789</t>
  </si>
  <si>
    <t>732995028010</t>
  </si>
  <si>
    <t>WVN LIN BFT RTAB SHR</t>
  </si>
  <si>
    <t>100041482PT</t>
  </si>
  <si>
    <t>LINEN</t>
  </si>
  <si>
    <t>732995348545</t>
  </si>
  <si>
    <t>92444 LUREX SWTR DRS</t>
  </si>
  <si>
    <t>100055684P</t>
  </si>
  <si>
    <t>VISCOSE/NYLON/POLYESTER/METALLIC</t>
  </si>
  <si>
    <t>190917256178</t>
  </si>
  <si>
    <t>RFL TIER MAXI SKIRT</t>
  </si>
  <si>
    <t>818-S236</t>
  </si>
  <si>
    <t>732996292663</t>
  </si>
  <si>
    <t>NVK RUF FNT NCKLC DR</t>
  </si>
  <si>
    <t>100068319P</t>
  </si>
  <si>
    <t>SHELL: POLYESTER; LINING: POLYESTER/SPANDEX</t>
  </si>
  <si>
    <t>190917255690</t>
  </si>
  <si>
    <t>NECKLACE SHIFT SHEER</t>
  </si>
  <si>
    <t>818-D320</t>
  </si>
  <si>
    <t>732996148564</t>
  </si>
  <si>
    <t>BL PRT SS SHIRT</t>
  </si>
  <si>
    <t>100055258PT</t>
  </si>
  <si>
    <t>732995569681</t>
  </si>
  <si>
    <t>BODRE DLMN NCKL TOP</t>
  </si>
  <si>
    <t>100047687MS</t>
  </si>
  <si>
    <t>JM COLL MISSY</t>
  </si>
  <si>
    <t>JM COLLECTION-MMG</t>
  </si>
  <si>
    <t>POLYESTER; NECKLACE: METAL</t>
  </si>
  <si>
    <t>732996338767</t>
  </si>
  <si>
    <t>JT VNK PRINT</t>
  </si>
  <si>
    <t>100059041MS</t>
  </si>
  <si>
    <t>732996338774</t>
  </si>
  <si>
    <t>732996338781</t>
  </si>
  <si>
    <t>732995831979</t>
  </si>
  <si>
    <t>DR CLEO PRINT MAXI</t>
  </si>
  <si>
    <t>100059018MS</t>
  </si>
  <si>
    <t>732996338798</t>
  </si>
  <si>
    <t>732995831504</t>
  </si>
  <si>
    <t>WVN SS SLF TI SLD DR</t>
  </si>
  <si>
    <t>100057542MS</t>
  </si>
  <si>
    <t>732995025620</t>
  </si>
  <si>
    <t>BT PRNTD TRD SKIRT</t>
  </si>
  <si>
    <t>SHELL: NYLON; LINING: NYLON</t>
  </si>
  <si>
    <t>732996277653</t>
  </si>
  <si>
    <t>BT DSTRSD DASHES MXI</t>
  </si>
  <si>
    <t>732995811520</t>
  </si>
  <si>
    <t>JT DOUBLE VNK SHORT</t>
  </si>
  <si>
    <t>100059015MS</t>
  </si>
  <si>
    <t>STYLE &amp; CO-EDI/ONE WORLD APPAREL</t>
  </si>
  <si>
    <t>732995811513</t>
  </si>
  <si>
    <t>732995778410</t>
  </si>
  <si>
    <t>JT DOUBLE VNK SHORT BASIC</t>
  </si>
  <si>
    <t>100059015PT</t>
  </si>
  <si>
    <t>STYLE&amp;CO PET</t>
  </si>
  <si>
    <t>732996001494</t>
  </si>
  <si>
    <t>DNM WHT CUF BLT CRP</t>
  </si>
  <si>
    <t>100055816MS</t>
  </si>
  <si>
    <t>COTTON/SPANDEX/VISCOSE/ELASTANE</t>
  </si>
  <si>
    <t>732996001579</t>
  </si>
  <si>
    <t>732996340036</t>
  </si>
  <si>
    <t>FW ORNATE HAVEN TOP</t>
  </si>
  <si>
    <t>100058927MS</t>
  </si>
  <si>
    <t>726895759273</t>
  </si>
  <si>
    <t>KNT SL SLD OTTMN DRS</t>
  </si>
  <si>
    <t>RAYON/POLYESTER/SPANDEX</t>
  </si>
  <si>
    <t>726895880946</t>
  </si>
  <si>
    <t>DK VNK SL CRHT MAXI</t>
  </si>
  <si>
    <t>100022115P</t>
  </si>
  <si>
    <t>BODY: POLYESTER/SPANDEX</t>
  </si>
  <si>
    <t>732996491288</t>
  </si>
  <si>
    <t>KNT SS STRP TRRY DRS</t>
  </si>
  <si>
    <t>100066598PT</t>
  </si>
  <si>
    <t>TURQ/AQUA</t>
  </si>
  <si>
    <t>COTTON/MODAL/SPANDEX</t>
  </si>
  <si>
    <t>732996069678</t>
  </si>
  <si>
    <t>COULOTTE CROP</t>
  </si>
  <si>
    <t>100055623P</t>
  </si>
  <si>
    <t>4 P</t>
  </si>
  <si>
    <t>INC-EDI/TARRANT</t>
  </si>
  <si>
    <t>COTTON/POLYESTER/SPANDEX</t>
  </si>
  <si>
    <t>732996339894</t>
  </si>
  <si>
    <t>FW GEO TOP</t>
  </si>
  <si>
    <t>100058925MS</t>
  </si>
  <si>
    <t>732996506371</t>
  </si>
  <si>
    <t>VNCK COLUMN W SLITS</t>
  </si>
  <si>
    <t>100030515P</t>
  </si>
  <si>
    <t>732996622231</t>
  </si>
  <si>
    <t>PT ZIP FRNT BOXY BOD</t>
  </si>
  <si>
    <t>100059561WN</t>
  </si>
  <si>
    <t>3X</t>
  </si>
  <si>
    <t>JM COL PLUS</t>
  </si>
  <si>
    <t>732995035971</t>
  </si>
  <si>
    <t>DNM LDO CUFF STR CRP</t>
  </si>
  <si>
    <t>100049419MS</t>
  </si>
  <si>
    <t>COTTON/SPANDEX</t>
  </si>
  <si>
    <t>732995100235</t>
  </si>
  <si>
    <t>EMB RLROAD CURY BF</t>
  </si>
  <si>
    <t>732995100198</t>
  </si>
  <si>
    <t>732995100242</t>
  </si>
  <si>
    <t>732996396880</t>
  </si>
  <si>
    <t>ALT INV ZIP CAPRI</t>
  </si>
  <si>
    <t>100051324PT</t>
  </si>
  <si>
    <t>COTTON/RAYON/SPANDEX</t>
  </si>
  <si>
    <t>732996396842</t>
  </si>
  <si>
    <t>2 P</t>
  </si>
  <si>
    <t>732995227741</t>
  </si>
  <si>
    <t>SK DRAPE FRONT</t>
  </si>
  <si>
    <t>100048045PT</t>
  </si>
  <si>
    <t>732995029505</t>
  </si>
  <si>
    <t>WVN RTB ICNC BFT SHR</t>
  </si>
  <si>
    <t>100051440MS</t>
  </si>
  <si>
    <t>732995757729</t>
  </si>
  <si>
    <t>FW LYOCELL TIE TOP</t>
  </si>
  <si>
    <t>100053985MS</t>
  </si>
  <si>
    <t>706254458818</t>
  </si>
  <si>
    <t>BTM SLD NEWPORT CRP</t>
  </si>
  <si>
    <t>100040411MS</t>
  </si>
  <si>
    <t>LT BEIGE</t>
  </si>
  <si>
    <t>706254459563</t>
  </si>
  <si>
    <t>706254459587</t>
  </si>
  <si>
    <t>706254460743</t>
  </si>
  <si>
    <t>732995300437</t>
  </si>
  <si>
    <t>DNM LIDO PNSTRP ANK</t>
  </si>
  <si>
    <t>100049461PT</t>
  </si>
  <si>
    <t>COTTON/POLYESTER/VISCOSE/SPANDEX</t>
  </si>
  <si>
    <t>732995412284</t>
  </si>
  <si>
    <t>R DOUBLE RUFFLE ANKL BASIC</t>
  </si>
  <si>
    <t>INC DENIM</t>
  </si>
  <si>
    <t>COTTON/RAYON/POLYESTER/SPANDEX</t>
  </si>
  <si>
    <t>732995412062</t>
  </si>
  <si>
    <t>732995066227</t>
  </si>
  <si>
    <t>R 5 PKT FLARE</t>
  </si>
  <si>
    <t>INC-MMG-EDI/JONES APPAREL GROUP</t>
  </si>
  <si>
    <t>COTTON/POLYESTER/VISCOSE/ELASTANE</t>
  </si>
  <si>
    <t>732995302455</t>
  </si>
  <si>
    <t>100040411PT</t>
  </si>
  <si>
    <t>COTTON/RAYON/SPANDEX; PANEL: NYLON/SPANDEX</t>
  </si>
  <si>
    <t>732995302431</t>
  </si>
  <si>
    <t>706254458603</t>
  </si>
  <si>
    <t>706254457415</t>
  </si>
  <si>
    <t>706254457408</t>
  </si>
  <si>
    <t>706254458542</t>
  </si>
  <si>
    <t>732996375373</t>
  </si>
  <si>
    <t>706254457392</t>
  </si>
  <si>
    <t>732995750225</t>
  </si>
  <si>
    <t>732996577661</t>
  </si>
  <si>
    <t>STEP HEM ANKLE PANT</t>
  </si>
  <si>
    <t>100059141WN</t>
  </si>
  <si>
    <t>24W</t>
  </si>
  <si>
    <t>JM COLLECTION/DFA</t>
  </si>
  <si>
    <t>RAYON/NYLON/SPANDEX</t>
  </si>
  <si>
    <t>732995498134</t>
  </si>
  <si>
    <t>TXTRD ASYM PONCHO</t>
  </si>
  <si>
    <t>100047246MS</t>
  </si>
  <si>
    <t>MED PINK</t>
  </si>
  <si>
    <t>732995057201</t>
  </si>
  <si>
    <t>DNM WILLOW LEX SH</t>
  </si>
  <si>
    <t>100029474PT</t>
  </si>
  <si>
    <t>DARK BLUE</t>
  </si>
  <si>
    <t>16X3</t>
  </si>
  <si>
    <t>732995186284</t>
  </si>
  <si>
    <t>SWT LS CREPE COMP</t>
  </si>
  <si>
    <t>100048425PT</t>
  </si>
  <si>
    <t>VISCOSE/NYLON</t>
  </si>
  <si>
    <t>8864347095</t>
  </si>
  <si>
    <t>CROPPED REL HEM JKT</t>
  </si>
  <si>
    <t>100019135P</t>
  </si>
  <si>
    <t>S&amp;C DNM PETIT</t>
  </si>
  <si>
    <t>732996460819</t>
  </si>
  <si>
    <t>KNT DBL RFL TRP PNTK</t>
  </si>
  <si>
    <t>100059576PT</t>
  </si>
  <si>
    <t>SHELL: POLYESTER/SPANDEX; SLEEVES: POLYESTER</t>
  </si>
  <si>
    <t>732996263793</t>
  </si>
  <si>
    <t>DIMANOTE TAB CAPRI</t>
  </si>
  <si>
    <t>100055161WN</t>
  </si>
  <si>
    <t>4X</t>
  </si>
  <si>
    <t>732996266954</t>
  </si>
  <si>
    <t>DR TIERED PRINT MAXI</t>
  </si>
  <si>
    <t>100059473PT</t>
  </si>
  <si>
    <t>NYLON</t>
  </si>
  <si>
    <t>190917257465</t>
  </si>
  <si>
    <t>GAUZE MAXI SKIRT</t>
  </si>
  <si>
    <t>1018-S300</t>
  </si>
  <si>
    <t>RAYON/POLYESTER</t>
  </si>
  <si>
    <t>884630148659</t>
  </si>
  <si>
    <t>WRAP SLVLS TIE WST DR</t>
  </si>
  <si>
    <t>PT42556M</t>
  </si>
  <si>
    <t>PET/LRG</t>
  </si>
  <si>
    <t>CAR CL PETITE</t>
  </si>
  <si>
    <t>MONTEAU INC</t>
  </si>
  <si>
    <t>RAYON/LINEN/SPANDEX</t>
  </si>
  <si>
    <t>732995534221</t>
  </si>
  <si>
    <t>100048425MS</t>
  </si>
  <si>
    <t>732995847819</t>
  </si>
  <si>
    <t>CRINKLE PO CAPRI</t>
  </si>
  <si>
    <t>52099JMW</t>
  </si>
  <si>
    <t>689439474288</t>
  </si>
  <si>
    <t>CROSSHATCH PANTS BASIC</t>
  </si>
  <si>
    <t>100040828WN</t>
  </si>
  <si>
    <t>JM COLLECTION/PROTREND</t>
  </si>
  <si>
    <t>RAYON/POLYESTER; LINING: POLYESTER</t>
  </si>
  <si>
    <t>732996692975</t>
  </si>
  <si>
    <t>KN TXT ASYM TANK</t>
  </si>
  <si>
    <t>100059205PT</t>
  </si>
  <si>
    <t>732996693378</t>
  </si>
  <si>
    <t>GOLD</t>
  </si>
  <si>
    <t>732996692951</t>
  </si>
  <si>
    <t>732996693361</t>
  </si>
  <si>
    <t>732994451611</t>
  </si>
  <si>
    <t>DNM ASTOR BOOTCUT</t>
  </si>
  <si>
    <t>100038680MS</t>
  </si>
  <si>
    <t>732994451987</t>
  </si>
  <si>
    <t>DNM ATLAN BOOTCUT SH</t>
  </si>
  <si>
    <t>100038683MS</t>
  </si>
  <si>
    <t>10 S</t>
  </si>
  <si>
    <t>706258413561</t>
  </si>
  <si>
    <t>DNM JACQ DOT LEX RG</t>
  </si>
  <si>
    <t>100047080MS</t>
  </si>
  <si>
    <t>732998113706</t>
  </si>
  <si>
    <t>GEO JQD STRIGHT LEG</t>
  </si>
  <si>
    <t>100074186MS</t>
  </si>
  <si>
    <t>COTTON/POLYESTER/NYLON/SPANDEX</t>
  </si>
  <si>
    <t>190917264951</t>
  </si>
  <si>
    <t>DRAPE FRONT POINTELLE CA</t>
  </si>
  <si>
    <t>1118-MS048</t>
  </si>
  <si>
    <t>732996051697</t>
  </si>
  <si>
    <t>BTM LEMON CHLS CPR</t>
  </si>
  <si>
    <t>100054498MS</t>
  </si>
  <si>
    <t>CHARTER CLUB-EDI/DFA</t>
  </si>
  <si>
    <t>805004078082</t>
  </si>
  <si>
    <t>HIGH CUFF CROP</t>
  </si>
  <si>
    <t>6S758D142</t>
  </si>
  <si>
    <t>732995717716</t>
  </si>
  <si>
    <t>FW FLORAL EMB KIMONO</t>
  </si>
  <si>
    <t>100053986MS</t>
  </si>
  <si>
    <t>MED BEIGE</t>
  </si>
  <si>
    <t>COTTON/POLYESTER</t>
  </si>
  <si>
    <t>887650503163</t>
  </si>
  <si>
    <t>SQUARE CRVY RNS REG BASIC</t>
  </si>
  <si>
    <t>51920IN472</t>
  </si>
  <si>
    <t>18W</t>
  </si>
  <si>
    <t>RAYON/NYLON/SPANDEX; PANEL: NYLON/SPANDEX</t>
  </si>
  <si>
    <t>732996219998</t>
  </si>
  <si>
    <t>BT EYELET SD SM CPR</t>
  </si>
  <si>
    <t>STYLE &amp; CO-EDI/INTERNATIONAL DIRECT</t>
  </si>
  <si>
    <t>SHELL: COTTON/SPANDEX; TRIM: COTTON</t>
  </si>
  <si>
    <t>732996219875</t>
  </si>
  <si>
    <t>SILVER</t>
  </si>
  <si>
    <t>732996220017</t>
  </si>
  <si>
    <t>732998060604</t>
  </si>
  <si>
    <t>FOIL NECKLACE TOP</t>
  </si>
  <si>
    <t>100074595MS</t>
  </si>
  <si>
    <t>190917256994</t>
  </si>
  <si>
    <t>GAUZE OFF THE SHOULDER T</t>
  </si>
  <si>
    <t>1018-B197</t>
  </si>
  <si>
    <t>SHELL: RAYON/POLYESTER; LINING: POLYESTER</t>
  </si>
  <si>
    <t>732995273069</t>
  </si>
  <si>
    <t>100047671P</t>
  </si>
  <si>
    <t>COTTON/SPANDEX; TRIM: COTTON</t>
  </si>
  <si>
    <t>732995489590</t>
  </si>
  <si>
    <t>SVL LC INSET SWING D</t>
  </si>
  <si>
    <t>100061444MS</t>
  </si>
  <si>
    <t>VISCOSE/POLYESTER; MESH: NYLON; LINING: POLYESTER</t>
  </si>
  <si>
    <t>732995887990</t>
  </si>
  <si>
    <t>BTM BANDANA STN SKRT</t>
  </si>
  <si>
    <t>100054604MS</t>
  </si>
  <si>
    <t>CHARTER CLUB-EDI/INTL DIRECT GROUP</t>
  </si>
  <si>
    <t>732996257563</t>
  </si>
  <si>
    <t>GRMMT WAIST VNCK TUN</t>
  </si>
  <si>
    <t>100060276WN</t>
  </si>
  <si>
    <t>732995719734</t>
  </si>
  <si>
    <t>FW EMB SS TASSEL TOP</t>
  </si>
  <si>
    <t>100054039MS</t>
  </si>
  <si>
    <t>MEDIUN RED</t>
  </si>
  <si>
    <t>COTTON; TRIM: COTTON/POLYESTER</t>
  </si>
  <si>
    <t>732996092973</t>
  </si>
  <si>
    <t>SWT SHEER STRP COMP</t>
  </si>
  <si>
    <t>100054407MS</t>
  </si>
  <si>
    <t>RAYON/COTTON</t>
  </si>
  <si>
    <t>887650897583</t>
  </si>
  <si>
    <t>DBL LOOP CRVY TRSR</t>
  </si>
  <si>
    <t>61208P</t>
  </si>
  <si>
    <t>ALFANI-EDI/DFA</t>
  </si>
  <si>
    <t>732995890044</t>
  </si>
  <si>
    <t>TIE WAIST ANKLE STRT</t>
  </si>
  <si>
    <t>732996332987</t>
  </si>
  <si>
    <t>OT FREY CHMB DRP VST</t>
  </si>
  <si>
    <t>LYOCELL</t>
  </si>
  <si>
    <t>732995043068</t>
  </si>
  <si>
    <t>FW BELL SLEEVE TOP</t>
  </si>
  <si>
    <t>100047455MS</t>
  </si>
  <si>
    <t>732995225686</t>
  </si>
  <si>
    <t>DARLING DAISY BF</t>
  </si>
  <si>
    <t>COTTON/RAYON/POLYESTER/SPANDEX; EXCLUSIVE OF DECORATION</t>
  </si>
  <si>
    <t>732994977241</t>
  </si>
  <si>
    <t>KNT SL SLD MIDI DRS</t>
  </si>
  <si>
    <t>100048656MS</t>
  </si>
  <si>
    <t>732996508740</t>
  </si>
  <si>
    <t>KNT DRS WVN CLD SHDR</t>
  </si>
  <si>
    <t>100029462P</t>
  </si>
  <si>
    <t>732995717839</t>
  </si>
  <si>
    <t>FW STRIPE TOP</t>
  </si>
  <si>
    <t>100054032MS</t>
  </si>
  <si>
    <t>MED ORANGE</t>
  </si>
  <si>
    <t>732995719352</t>
  </si>
  <si>
    <t>FK BUBBLE HEM TOP</t>
  </si>
  <si>
    <t>100054219MS</t>
  </si>
  <si>
    <t>MED GREEN</t>
  </si>
  <si>
    <t>RAYON/SPANDEX; TRIM: COTTON</t>
  </si>
  <si>
    <t>732995719468</t>
  </si>
  <si>
    <t>732995636789</t>
  </si>
  <si>
    <t>BTM SLD CHINTZ SKIMR</t>
  </si>
  <si>
    <t>100053470MS</t>
  </si>
  <si>
    <t>BRIGHTBLUE</t>
  </si>
  <si>
    <t>732996119250</t>
  </si>
  <si>
    <t>SW MULTI COLOR VEST</t>
  </si>
  <si>
    <t>100059027MS</t>
  </si>
  <si>
    <t>732996117966</t>
  </si>
  <si>
    <t>SVL CLRBLK TIEDYE MX BASIC</t>
  </si>
  <si>
    <t>100062406MS</t>
  </si>
  <si>
    <t>LT/PAS GRY</t>
  </si>
  <si>
    <t>STYLE &amp; CO-EDI/DISORDERLY KIDS</t>
  </si>
  <si>
    <t>732996117959</t>
  </si>
  <si>
    <t>732996117942</t>
  </si>
  <si>
    <t>732996118024</t>
  </si>
  <si>
    <t>732996119281</t>
  </si>
  <si>
    <t>732996119243</t>
  </si>
  <si>
    <t>732996119274</t>
  </si>
  <si>
    <t>732996119267</t>
  </si>
  <si>
    <t>732995636819</t>
  </si>
  <si>
    <t>608381441131</t>
  </si>
  <si>
    <t>BLCK LACE FF PO SKNY</t>
  </si>
  <si>
    <t>732996192062</t>
  </si>
  <si>
    <t>DNM BLTC STRFSH SHRT</t>
  </si>
  <si>
    <t>100055851MS</t>
  </si>
  <si>
    <t>732994023603</t>
  </si>
  <si>
    <t>WT RDIATED BLMS SKRT</t>
  </si>
  <si>
    <t>732994023641</t>
  </si>
  <si>
    <t>732994023634</t>
  </si>
  <si>
    <t>732996078441</t>
  </si>
  <si>
    <t>FK TIER SLV TOP</t>
  </si>
  <si>
    <t>100054292MS</t>
  </si>
  <si>
    <t>SHELL: COTTON/POLYESTER/SPANDEX; TRIM: POLYESTER</t>
  </si>
  <si>
    <t>732996078434</t>
  </si>
  <si>
    <t>732996078502</t>
  </si>
  <si>
    <t>732996078489</t>
  </si>
  <si>
    <t>732996197616</t>
  </si>
  <si>
    <t>BT FREY HEM WIDE CRP</t>
  </si>
  <si>
    <t>LINEN/RAYON</t>
  </si>
  <si>
    <t>726895790535</t>
  </si>
  <si>
    <t>IK SHARKBIT MAXI SKT</t>
  </si>
  <si>
    <t>SHELL &amp; LINING: NYLON</t>
  </si>
  <si>
    <t>732996200804</t>
  </si>
  <si>
    <t>BT PNTD LYOCELL WIDE</t>
  </si>
  <si>
    <t>732996261188</t>
  </si>
  <si>
    <t>GROW EMBELL SLIM PNT</t>
  </si>
  <si>
    <t>100055159MS</t>
  </si>
  <si>
    <t>732996151649</t>
  </si>
  <si>
    <t>BT CHMB BTN FRT MIDI</t>
  </si>
  <si>
    <t>732996151656</t>
  </si>
  <si>
    <t>732996151625</t>
  </si>
  <si>
    <t>732996151632</t>
  </si>
  <si>
    <t>732996151502</t>
  </si>
  <si>
    <t>732996327754</t>
  </si>
  <si>
    <t>FW FLUTTER SLV TOP</t>
  </si>
  <si>
    <t>100064102MS</t>
  </si>
  <si>
    <t>732995272031</t>
  </si>
  <si>
    <t>BTM SLD SATEEN SKORT</t>
  </si>
  <si>
    <t>100048927MS</t>
  </si>
  <si>
    <t>SKIRT:COTTON/SPANDEX;SHORT:POLYESTER</t>
  </si>
  <si>
    <t>732995221749</t>
  </si>
  <si>
    <t>CROP CRHET TRM CARDI</t>
  </si>
  <si>
    <t>100019685P</t>
  </si>
  <si>
    <t>JM COL PETITE</t>
  </si>
  <si>
    <t>RAYON/POLYESTER; TRIM: POLYESTER</t>
  </si>
  <si>
    <t>732995165166</t>
  </si>
  <si>
    <t>DNM SOLID WASH LEX</t>
  </si>
  <si>
    <t>100038724MS</t>
  </si>
  <si>
    <t>732995755138</t>
  </si>
  <si>
    <t>KNT 3/4 RFL SLV BTU</t>
  </si>
  <si>
    <t>100054510MS</t>
  </si>
  <si>
    <t>887650636045</t>
  </si>
  <si>
    <t>RNS LATTICE CAPRI BASIC</t>
  </si>
  <si>
    <t>52123IN472</t>
  </si>
  <si>
    <t>887650608288</t>
  </si>
  <si>
    <t>52123WH472</t>
  </si>
  <si>
    <t>732995757866</t>
  </si>
  <si>
    <t>FW LACE CRINKLE TOP</t>
  </si>
  <si>
    <t>100053996MS</t>
  </si>
  <si>
    <t>ALL COTTON</t>
  </si>
  <si>
    <t>732995895674</t>
  </si>
  <si>
    <t>DR PRINT TIER SHORT</t>
  </si>
  <si>
    <t>100059017MS</t>
  </si>
  <si>
    <t>732996078670</t>
  </si>
  <si>
    <t>FK DYE STRIPE TOP</t>
  </si>
  <si>
    <t>100054277MS</t>
  </si>
  <si>
    <t>SHELL: COTTON/POLYESTER; TRIM: COTTON</t>
  </si>
  <si>
    <t>732996001999</t>
  </si>
  <si>
    <t>DNM HLTN BREEZE CAPR</t>
  </si>
  <si>
    <t>100055859MS</t>
  </si>
  <si>
    <t>732995726152</t>
  </si>
  <si>
    <t>FW STAR LYOCELL TOP</t>
  </si>
  <si>
    <t>100060363MS</t>
  </si>
  <si>
    <t>732995525472</t>
  </si>
  <si>
    <t>WAVRLY LATTICE CAPRI</t>
  </si>
  <si>
    <t>100053489MS</t>
  </si>
  <si>
    <t>726895319798</t>
  </si>
  <si>
    <t>SPRING BLOOM SKY ANK</t>
  </si>
  <si>
    <t>100012363P</t>
  </si>
  <si>
    <t>706255187410</t>
  </si>
  <si>
    <t>OLIV SPLIT NK WVN FRONT</t>
  </si>
  <si>
    <t>53692DR485</t>
  </si>
  <si>
    <t>BRIGHT GRN</t>
  </si>
  <si>
    <t>FRONT: POLYESTER; BACK: RAYON</t>
  </si>
  <si>
    <t>732997138526</t>
  </si>
  <si>
    <t>WVN 3/4 BELL SLV BLS</t>
  </si>
  <si>
    <t>100067617MS</t>
  </si>
  <si>
    <t>DARK GREEN</t>
  </si>
  <si>
    <t>822980068616</t>
  </si>
  <si>
    <t>SOLID SKNY ANKLE</t>
  </si>
  <si>
    <t>66002MM894</t>
  </si>
  <si>
    <t>BEIGE</t>
  </si>
  <si>
    <t>732995726350</t>
  </si>
  <si>
    <t>FW LYOCELL PLEAT TOP</t>
  </si>
  <si>
    <t>100054035MS</t>
  </si>
  <si>
    <t>887650387046</t>
  </si>
  <si>
    <t>EDV PULL ON PANT</t>
  </si>
  <si>
    <t>P2947UO677</t>
  </si>
  <si>
    <t>POLYESTER/RAYON/NYLON/SPANDEX; PANEL: NYLON/SPANDEX</t>
  </si>
  <si>
    <t>732995720099</t>
  </si>
  <si>
    <t>FW STIPE BIB TOP</t>
  </si>
  <si>
    <t>100054047MS</t>
  </si>
  <si>
    <t>POLYESTER/RAYON; TRIM: COTTON</t>
  </si>
  <si>
    <t>887650912071</t>
  </si>
  <si>
    <t>RNS LATTICE CAPRI</t>
  </si>
  <si>
    <t>52123PW460</t>
  </si>
  <si>
    <t>732996823553</t>
  </si>
  <si>
    <t>TIE DYE SURPLICE</t>
  </si>
  <si>
    <t>100068155P</t>
  </si>
  <si>
    <t>732996444826</t>
  </si>
  <si>
    <t>SWT POINTELLE VEST</t>
  </si>
  <si>
    <t>100059646MS</t>
  </si>
  <si>
    <t>RAMIE/RAYON</t>
  </si>
  <si>
    <t>732996340548</t>
  </si>
  <si>
    <t>WVN SL STP TI FRT SH</t>
  </si>
  <si>
    <t>100066410MS</t>
  </si>
  <si>
    <t>COTTON/VISCOSE</t>
  </si>
  <si>
    <t>732995094657</t>
  </si>
  <si>
    <t>BT TENCEL PRKCHP PNT</t>
  </si>
  <si>
    <t>732996023250</t>
  </si>
  <si>
    <t>CONTRAST PIPE DRESS BASIC</t>
  </si>
  <si>
    <t>100055185MS</t>
  </si>
  <si>
    <t>POLYESTER/SPANDEX; TRIM: METAL</t>
  </si>
  <si>
    <t>792831173724</t>
  </si>
  <si>
    <t>BLAC PLMDRNANKLSUPRSKINY</t>
  </si>
  <si>
    <t>PHH147</t>
  </si>
  <si>
    <t>20</t>
  </si>
  <si>
    <t>FRTYLE COL PL</t>
  </si>
  <si>
    <t>DICKIES GIRL/JERRY LEIGH</t>
  </si>
  <si>
    <t>792831173762</t>
  </si>
  <si>
    <t>MODERN ANKLE SUPER SKINN</t>
  </si>
  <si>
    <t>732996229102</t>
  </si>
  <si>
    <t>52099JM</t>
  </si>
  <si>
    <t>732996229126</t>
  </si>
  <si>
    <t>732996229133</t>
  </si>
  <si>
    <t>732996197302</t>
  </si>
  <si>
    <t>SHORT CRSSHTCH PANTS BASIC</t>
  </si>
  <si>
    <t>100063947MS</t>
  </si>
  <si>
    <t>2XL SM</t>
  </si>
  <si>
    <t>732996197340</t>
  </si>
  <si>
    <t>L SM</t>
  </si>
  <si>
    <t>732996197241</t>
  </si>
  <si>
    <t>100040828MS</t>
  </si>
  <si>
    <t>732996197258</t>
  </si>
  <si>
    <t>732996054711</t>
  </si>
  <si>
    <t>NOVLTY STITCH PULLOV BASIC</t>
  </si>
  <si>
    <t>100054580MS</t>
  </si>
  <si>
    <t>JM COLLECTION-EDI/JOHN PAUL RICHARD</t>
  </si>
  <si>
    <t>RAYON/LUREX®</t>
  </si>
  <si>
    <t>732996638935</t>
  </si>
  <si>
    <t>BL SLD V NK SHELL</t>
  </si>
  <si>
    <t>100059234PT</t>
  </si>
  <si>
    <t>732995094893</t>
  </si>
  <si>
    <t>100047657P</t>
  </si>
  <si>
    <t>706257768204</t>
  </si>
  <si>
    <t>PLEAT BACK CREW BLO BASIC</t>
  </si>
  <si>
    <t>21170IN472</t>
  </si>
  <si>
    <t>2X</t>
  </si>
  <si>
    <t>608381275095</t>
  </si>
  <si>
    <t>21170CB472</t>
  </si>
  <si>
    <t>732996079110</t>
  </si>
  <si>
    <t>FK PATCH SWEATSHIRT</t>
  </si>
  <si>
    <t>100054289MS</t>
  </si>
  <si>
    <t>DARK RED</t>
  </si>
  <si>
    <t>SHELL: POLYESTER/RAYON; SLEEVES: COTTON/MODAL</t>
  </si>
  <si>
    <t>732996079097</t>
  </si>
  <si>
    <t>732996079103</t>
  </si>
  <si>
    <t>732996261874</t>
  </si>
  <si>
    <t>FW LYOCELL TOP</t>
  </si>
  <si>
    <t>100064089MS</t>
  </si>
  <si>
    <t>732996261850</t>
  </si>
  <si>
    <t>732996261782</t>
  </si>
  <si>
    <t>726895917604</t>
  </si>
  <si>
    <t>WT MELLY ON OFF DRSS</t>
  </si>
  <si>
    <t>732996471266</t>
  </si>
  <si>
    <t>TIE FRNT GAUZE CAPRI BASIC</t>
  </si>
  <si>
    <t>100059496MS</t>
  </si>
  <si>
    <t>732996471280</t>
  </si>
  <si>
    <t>732996158631</t>
  </si>
  <si>
    <t>BT CROCHET TRIM SHRT</t>
  </si>
  <si>
    <t>732996080949</t>
  </si>
  <si>
    <t>100054289PT</t>
  </si>
  <si>
    <t>KNIT: POLYESTER/RAYON; PRINTED FABRIC: COTTON/MODAL</t>
  </si>
  <si>
    <t>732996574554</t>
  </si>
  <si>
    <t>ANKLE BTTN TAB PANT</t>
  </si>
  <si>
    <t>100059135PT</t>
  </si>
  <si>
    <t>SHELL: RAYON/NYLON/SPANDEX; PANEL: NYLON/SPANDEX</t>
  </si>
  <si>
    <t>726895877649</t>
  </si>
  <si>
    <t>BT KNT WB CLEAN BRMD</t>
  </si>
  <si>
    <t>100042380P</t>
  </si>
  <si>
    <t>732996455914</t>
  </si>
  <si>
    <t>KN SLD WVN HEM TUNIC</t>
  </si>
  <si>
    <t>100059189PT</t>
  </si>
  <si>
    <t>SHELL: POLYESTER/SPANDEX; HEM: POLYESTER</t>
  </si>
  <si>
    <t>887650621539</t>
  </si>
  <si>
    <t>RNS RIVET PO SHORT BASIC</t>
  </si>
  <si>
    <t>51846BC472</t>
  </si>
  <si>
    <t>20W PETITE</t>
  </si>
  <si>
    <t>BODY: RAYON/NYLON/SPANDEX; PANEL: NYLON/SPANDEX</t>
  </si>
  <si>
    <t>704976150225</t>
  </si>
  <si>
    <t>SS FLUTTER TRIM JUMPSUIT</t>
  </si>
  <si>
    <t>PITU7298</t>
  </si>
  <si>
    <t>PET/SMALL</t>
  </si>
  <si>
    <t>NOTATIONS NY COLLECTION/LYNN BRANDS</t>
  </si>
  <si>
    <t>704976150232</t>
  </si>
  <si>
    <t>PET/MED</t>
  </si>
  <si>
    <t>732996327471</t>
  </si>
  <si>
    <t>FW STRIPE KIMONO</t>
  </si>
  <si>
    <t>100058938MS</t>
  </si>
  <si>
    <t>SHELL: RAYON; TRIM: COTTON</t>
  </si>
  <si>
    <t>732995792638</t>
  </si>
  <si>
    <t>WVN SLVS CHMRY SHIRT</t>
  </si>
  <si>
    <t>100017298PT</t>
  </si>
  <si>
    <t>14 P</t>
  </si>
  <si>
    <t>COTTON/RAYON</t>
  </si>
  <si>
    <t>732995792645</t>
  </si>
  <si>
    <t>732995792546</t>
  </si>
  <si>
    <t>732995792621</t>
  </si>
  <si>
    <t>806864007731</t>
  </si>
  <si>
    <t>WT SLD CLR 2PKT SHRT</t>
  </si>
  <si>
    <t>806864007755</t>
  </si>
  <si>
    <t>732995457063</t>
  </si>
  <si>
    <t>FK LACE UP RFFL SLV</t>
  </si>
  <si>
    <t>100047563MS</t>
  </si>
  <si>
    <t>732995457070</t>
  </si>
  <si>
    <t>732996532530</t>
  </si>
  <si>
    <t>BTM RUFFLE CHLS CPR</t>
  </si>
  <si>
    <t>100059735MS</t>
  </si>
  <si>
    <t>732995456752</t>
  </si>
  <si>
    <t>FK SURPLICE LS TOP</t>
  </si>
  <si>
    <t>100047555MS</t>
  </si>
  <si>
    <t>PURPLE</t>
  </si>
  <si>
    <t>732995456776</t>
  </si>
  <si>
    <t>732995456745</t>
  </si>
  <si>
    <t>732995073508</t>
  </si>
  <si>
    <t>FK SMOCK NK LS SWING</t>
  </si>
  <si>
    <t>100050219MS</t>
  </si>
  <si>
    <t>806864679198</t>
  </si>
  <si>
    <t>BT SNAP BTM CAPRI</t>
  </si>
  <si>
    <t>806864995588</t>
  </si>
  <si>
    <t>806864669496</t>
  </si>
  <si>
    <t>806864669489</t>
  </si>
  <si>
    <t>726895611472</t>
  </si>
  <si>
    <t>IK SLVLS STRIPE DRS</t>
  </si>
  <si>
    <t>732996320762</t>
  </si>
  <si>
    <t>FK SLVLES CB TOP</t>
  </si>
  <si>
    <t>100058813MS</t>
  </si>
  <si>
    <t>732995764772</t>
  </si>
  <si>
    <t>WVN SLVS LTTC CNS SH</t>
  </si>
  <si>
    <t>100055557PT</t>
  </si>
  <si>
    <t>COTTON/NYLON/SPANDEX</t>
  </si>
  <si>
    <t>887650382652</t>
  </si>
  <si>
    <t>RNS RIVET PO REG BASIC</t>
  </si>
  <si>
    <t>51844WH472</t>
  </si>
  <si>
    <t>732995165876</t>
  </si>
  <si>
    <t>DNM SOLID WASH CAPR</t>
  </si>
  <si>
    <t>100049441MS</t>
  </si>
  <si>
    <t>887650382645</t>
  </si>
  <si>
    <t>22W</t>
  </si>
  <si>
    <t>190917254167</t>
  </si>
  <si>
    <t>CROP PANT WITH GOLD BAR</t>
  </si>
  <si>
    <t>1018-P247</t>
  </si>
  <si>
    <t>NYLON/RAYON/SPANDEX</t>
  </si>
  <si>
    <t>636193229814</t>
  </si>
  <si>
    <t>BTM CRD CHINO SHRT</t>
  </si>
  <si>
    <t>100048250MS</t>
  </si>
  <si>
    <t>885779850021</t>
  </si>
  <si>
    <t>CROCHET SKINY ANKLE</t>
  </si>
  <si>
    <t>STYLE &amp; CO-EDI/REVISE CLOTHING</t>
  </si>
  <si>
    <t>732994943161</t>
  </si>
  <si>
    <t>TULIP HEM SKINNY ANK</t>
  </si>
  <si>
    <t>704625810135</t>
  </si>
  <si>
    <t>LR CURVY MODERN BOOT</t>
  </si>
  <si>
    <t>57204RW819</t>
  </si>
  <si>
    <t>STYLE &amp; CO-EDI/JONES DENIM GROUP</t>
  </si>
  <si>
    <t>704976127470</t>
  </si>
  <si>
    <t>SHARKBITE PRINTED JACQUA</t>
  </si>
  <si>
    <t>PJQD0144</t>
  </si>
  <si>
    <t>704976127456</t>
  </si>
  <si>
    <t>704976074101</t>
  </si>
  <si>
    <t>SLESS V NCK CRP TIE TNL</t>
  </si>
  <si>
    <t>PITU7221</t>
  </si>
  <si>
    <t>732996236094</t>
  </si>
  <si>
    <t>STUDDED CRINKLE PANT</t>
  </si>
  <si>
    <t>100038903PT</t>
  </si>
  <si>
    <t>732996236131</t>
  </si>
  <si>
    <t>822980756803</t>
  </si>
  <si>
    <t>TUMMY SLIM REG</t>
  </si>
  <si>
    <t>50246RT141</t>
  </si>
  <si>
    <t>BUCK</t>
  </si>
  <si>
    <t>608381255646</t>
  </si>
  <si>
    <t>LR CURVY BOOT</t>
  </si>
  <si>
    <t>54816BR819</t>
  </si>
  <si>
    <t>706254454230</t>
  </si>
  <si>
    <t>822980756810</t>
  </si>
  <si>
    <t>822980756865</t>
  </si>
  <si>
    <t>726895916140</t>
  </si>
  <si>
    <t>WT SEASCP BRDG SLVLS</t>
  </si>
  <si>
    <t>RED</t>
  </si>
  <si>
    <t>726895916133</t>
  </si>
  <si>
    <t>190797258880</t>
  </si>
  <si>
    <t>CURVY TUMMY SKINNY</t>
  </si>
  <si>
    <t>54715HU819</t>
  </si>
  <si>
    <t>190797258927</t>
  </si>
  <si>
    <t>190797258897</t>
  </si>
  <si>
    <t>887650714965</t>
  </si>
  <si>
    <t>EDV PULL ON CAPRI</t>
  </si>
  <si>
    <t>P2943CH677</t>
  </si>
  <si>
    <t>806864895529</t>
  </si>
  <si>
    <t>BT SLIT HEM CAPRI</t>
  </si>
  <si>
    <t>806864895567</t>
  </si>
  <si>
    <t>732995728903</t>
  </si>
  <si>
    <t>CK MESH LANTERN SLV</t>
  </si>
  <si>
    <t>100055912MS</t>
  </si>
  <si>
    <t>608381467421</t>
  </si>
  <si>
    <t>AVERY PULL ON SKIMMR</t>
  </si>
  <si>
    <t>54684DB819</t>
  </si>
  <si>
    <t>608381472357</t>
  </si>
  <si>
    <t>54684BT819</t>
  </si>
  <si>
    <t>732995839715</t>
  </si>
  <si>
    <t>WVN SL STP PIQUE SHR</t>
  </si>
  <si>
    <t>100054594MS</t>
  </si>
  <si>
    <t>PINKOVERPL</t>
  </si>
  <si>
    <t>732996356099</t>
  </si>
  <si>
    <t>CW 3/4 PRNT PINTUCK</t>
  </si>
  <si>
    <t>100055401PT</t>
  </si>
  <si>
    <t>732996356105</t>
  </si>
  <si>
    <t>732994960380</t>
  </si>
  <si>
    <t>KNIT WB CAPRI</t>
  </si>
  <si>
    <t>100016108P</t>
  </si>
  <si>
    <t>STYLE &amp; CO-EDI/DFA FASHION</t>
  </si>
  <si>
    <t>732994960434</t>
  </si>
  <si>
    <t>732994960397</t>
  </si>
  <si>
    <t>732994960403</t>
  </si>
  <si>
    <t>732994960427</t>
  </si>
  <si>
    <t>732994960458</t>
  </si>
  <si>
    <t>765215970998</t>
  </si>
  <si>
    <t>PL ON ROLL BTM ANK</t>
  </si>
  <si>
    <t>100009311P</t>
  </si>
  <si>
    <t>STYLE &amp; CO-EDI/BRIGGS</t>
  </si>
  <si>
    <t>COTTON/POLYESTER/RAYON/SPANDEX</t>
  </si>
  <si>
    <t>765215971001</t>
  </si>
  <si>
    <t>765215970943</t>
  </si>
  <si>
    <t>765215970981</t>
  </si>
  <si>
    <t>765215970974</t>
  </si>
  <si>
    <t>8 P</t>
  </si>
  <si>
    <t>732994037105</t>
  </si>
  <si>
    <t>CURVY EX BOYFRIEND</t>
  </si>
  <si>
    <t>732998319276</t>
  </si>
  <si>
    <t>CW 3/4 SLV SWING BLS</t>
  </si>
  <si>
    <t>100090174MS</t>
  </si>
  <si>
    <t>732995208658</t>
  </si>
  <si>
    <t>DNM SAT BLK SKIMMER</t>
  </si>
  <si>
    <t>100049448PT</t>
  </si>
  <si>
    <t>732998319405</t>
  </si>
  <si>
    <t>636202363737</t>
  </si>
  <si>
    <t>SS SOLID MAXI DRESS</t>
  </si>
  <si>
    <t>72068P</t>
  </si>
  <si>
    <t>636206188800</t>
  </si>
  <si>
    <t>BT HIGH WSTD RL HEM</t>
  </si>
  <si>
    <t>732996192239</t>
  </si>
  <si>
    <t>DNM ATL 5PK CUF SHRT</t>
  </si>
  <si>
    <t>100059897MS</t>
  </si>
  <si>
    <t>COTTON/ELASTANE/POLYESTER/VISCOSE</t>
  </si>
  <si>
    <t>732996266718</t>
  </si>
  <si>
    <t>DR VNK SLVLS PEASANT</t>
  </si>
  <si>
    <t>100059467MS</t>
  </si>
  <si>
    <t>MED PURPLE</t>
  </si>
  <si>
    <t>732995652482</t>
  </si>
  <si>
    <t>BTM SLD PORKCHP SHRT</t>
  </si>
  <si>
    <t>100062766MS</t>
  </si>
  <si>
    <t>732995836363</t>
  </si>
  <si>
    <t>DK VNK 3/4 BSHP HILO</t>
  </si>
  <si>
    <t>SHELL: VISCOSE/POLYESTER; MESH: NYLON</t>
  </si>
  <si>
    <t>732996040127</t>
  </si>
  <si>
    <t>DK HSCP SL LACE SWNG</t>
  </si>
  <si>
    <t>SHELL: VISCOSE/ POLYESTER; MESH: NYLON</t>
  </si>
  <si>
    <t>732996040141</t>
  </si>
  <si>
    <t>732995836325</t>
  </si>
  <si>
    <t>732994395373</t>
  </si>
  <si>
    <t>DK HSCP SL LACE SWNG BASIC</t>
  </si>
  <si>
    <t>887650757108</t>
  </si>
  <si>
    <t>52123LR477</t>
  </si>
  <si>
    <t>887650757078</t>
  </si>
  <si>
    <t>704976073906</t>
  </si>
  <si>
    <t>SHORT CAP SLEEVE RUCHED</t>
  </si>
  <si>
    <t>PITD3806</t>
  </si>
  <si>
    <t>887650602453</t>
  </si>
  <si>
    <t>52123DP460</t>
  </si>
  <si>
    <t>706258782070</t>
  </si>
  <si>
    <t>21170NR460</t>
  </si>
  <si>
    <t>887650602439</t>
  </si>
  <si>
    <t>887650757085</t>
  </si>
  <si>
    <t>887650757061</t>
  </si>
  <si>
    <t>887650728849</t>
  </si>
  <si>
    <t>BTM CHELSEA RNS ANKL</t>
  </si>
  <si>
    <t>100015063M</t>
  </si>
  <si>
    <t>706254449335</t>
  </si>
  <si>
    <t>732996168395</t>
  </si>
  <si>
    <t>SWT SLD SHRT SLV PO</t>
  </si>
  <si>
    <t>100054456PT</t>
  </si>
  <si>
    <t>COTTON</t>
  </si>
  <si>
    <t>190797091432</t>
  </si>
  <si>
    <t>PULL ON SKIMMER</t>
  </si>
  <si>
    <t>54684BK141</t>
  </si>
  <si>
    <t>190797091463</t>
  </si>
  <si>
    <t>54684BT141</t>
  </si>
  <si>
    <t>190797542132</t>
  </si>
  <si>
    <t>54684ST141</t>
  </si>
  <si>
    <t>GRAY</t>
  </si>
  <si>
    <t>190797091418</t>
  </si>
  <si>
    <t>190797542125</t>
  </si>
  <si>
    <t>726895884050</t>
  </si>
  <si>
    <t>IK PIECED MAXI SKIRT</t>
  </si>
  <si>
    <t>100015592P</t>
  </si>
  <si>
    <t>732996122311</t>
  </si>
  <si>
    <t>KNT SS LRX TIEFRNT T</t>
  </si>
  <si>
    <t>100068132MS</t>
  </si>
  <si>
    <t>887650738107</t>
  </si>
  <si>
    <t>R PULLONCAREER SHRT</t>
  </si>
  <si>
    <t>7K701P485</t>
  </si>
  <si>
    <t>INC-EDI/DFA NEW YORK LLC</t>
  </si>
  <si>
    <t>636193212465</t>
  </si>
  <si>
    <t>BTM SLD TWL CHN SHRT</t>
  </si>
  <si>
    <t>100046726MS</t>
  </si>
  <si>
    <t>636193210942</t>
  </si>
  <si>
    <t>636193210966</t>
  </si>
  <si>
    <t>636193211307</t>
  </si>
  <si>
    <t>636193211079</t>
  </si>
  <si>
    <t>636193211314</t>
  </si>
  <si>
    <t>636193212229</t>
  </si>
  <si>
    <t>636193212205</t>
  </si>
  <si>
    <t>636193211321</t>
  </si>
  <si>
    <t>636193210959</t>
  </si>
  <si>
    <t>636193216326</t>
  </si>
  <si>
    <t>732995571783</t>
  </si>
  <si>
    <t>SLD SIDE RCHD TUNIC</t>
  </si>
  <si>
    <t>100054000MS</t>
  </si>
  <si>
    <t>887650887775</t>
  </si>
  <si>
    <t>RIVET RNS P/O CAPRI</t>
  </si>
  <si>
    <t>52126DP477</t>
  </si>
  <si>
    <t>887650887799</t>
  </si>
  <si>
    <t>726895182224</t>
  </si>
  <si>
    <t>732996416588</t>
  </si>
  <si>
    <t>WVN SL SLD PIQUE SHR</t>
  </si>
  <si>
    <t>100054595PT</t>
  </si>
  <si>
    <t>732995460483</t>
  </si>
  <si>
    <t>FK SCP RGLN SWTSHT</t>
  </si>
  <si>
    <t>100053577MS</t>
  </si>
  <si>
    <t>732995460476</t>
  </si>
  <si>
    <t>732996534527</t>
  </si>
  <si>
    <t>BTM CHELSEA CAPRI</t>
  </si>
  <si>
    <t>100048253MS</t>
  </si>
  <si>
    <t>732996151144</t>
  </si>
  <si>
    <t>SOLID VNCK OVRLY TOP</t>
  </si>
  <si>
    <t>100069642WN</t>
  </si>
  <si>
    <t>RAYON/SPANDEX; OVERLAY: POLYESTER</t>
  </si>
  <si>
    <t>726895455960</t>
  </si>
  <si>
    <t>KNIT WB SKIMMER</t>
  </si>
  <si>
    <t>726895456219</t>
  </si>
  <si>
    <t>732995822243</t>
  </si>
  <si>
    <t>BT NVLTY WB WIDE LEG</t>
  </si>
  <si>
    <t>887650709909</t>
  </si>
  <si>
    <t>BANDLEADER SKIRT BASIC</t>
  </si>
  <si>
    <t>732995460148</t>
  </si>
  <si>
    <t>FK SPLT BBYDLL HILO</t>
  </si>
  <si>
    <t>100047566MS</t>
  </si>
  <si>
    <t>732995460131</t>
  </si>
  <si>
    <t>732995462227</t>
  </si>
  <si>
    <t>FK VNK BTN TIE FRONT</t>
  </si>
  <si>
    <t>100050221PT</t>
  </si>
  <si>
    <t>732995462234</t>
  </si>
  <si>
    <t>732995407914</t>
  </si>
  <si>
    <t>CK PRNT VNK WRAP TOP</t>
  </si>
  <si>
    <t>100053872MS</t>
  </si>
  <si>
    <t>887650796268</t>
  </si>
  <si>
    <t>KNIT WB CAPRI BASIC</t>
  </si>
  <si>
    <t>BODY: RAYON/NYLON/SPANDEX; TRIM: COTTON/SPANDEX</t>
  </si>
  <si>
    <t>887650796237</t>
  </si>
  <si>
    <t>732995097399</t>
  </si>
  <si>
    <t>WCLR MID CRVY SKNY</t>
  </si>
  <si>
    <t>806864673967</t>
  </si>
  <si>
    <t>806864673929</t>
  </si>
  <si>
    <t>806864668659</t>
  </si>
  <si>
    <t>806864668642</t>
  </si>
  <si>
    <t>806864673974</t>
  </si>
  <si>
    <t>732996285474</t>
  </si>
  <si>
    <t>C HR BTTN FRNT SHORT</t>
  </si>
  <si>
    <t>689439495634</t>
  </si>
  <si>
    <t>TUMMY BOOT</t>
  </si>
  <si>
    <t>732996079011</t>
  </si>
  <si>
    <t>FK PATCH SIDETIE TOP</t>
  </si>
  <si>
    <t>100054285MS</t>
  </si>
  <si>
    <t>POLYESTER/RAYON</t>
  </si>
  <si>
    <t>191057244230</t>
  </si>
  <si>
    <t>PULL ON CAPRI</t>
  </si>
  <si>
    <t>4 AV/MD/RG</t>
  </si>
  <si>
    <t>MISSY DENIM</t>
  </si>
  <si>
    <t>LEE PLATINUM LABEL/VF JEANSWEAR</t>
  </si>
  <si>
    <t>COTTON/SPANDEX/RAYON/POLYESTER</t>
  </si>
  <si>
    <t>732995474671</t>
  </si>
  <si>
    <t>AVERY CAPRI</t>
  </si>
  <si>
    <t>100045819P</t>
  </si>
  <si>
    <t>726895972108</t>
  </si>
  <si>
    <t>BT CONVERTIBLE PANT</t>
  </si>
  <si>
    <t>726895972146</t>
  </si>
  <si>
    <t>726895972115</t>
  </si>
  <si>
    <t>732995839159</t>
  </si>
  <si>
    <t>BUTTON SLV FLYAWAY</t>
  </si>
  <si>
    <t>100024170PT</t>
  </si>
  <si>
    <t>732995839197</t>
  </si>
  <si>
    <t>706254221481</t>
  </si>
  <si>
    <t>8N640 CRISS CROSS HA</t>
  </si>
  <si>
    <t>100045165P</t>
  </si>
  <si>
    <t>706254221498</t>
  </si>
  <si>
    <t>732994152372</t>
  </si>
  <si>
    <t>732995048957</t>
  </si>
  <si>
    <t>CK SPTNK PRINT 3/4RT</t>
  </si>
  <si>
    <t>100047122MS</t>
  </si>
  <si>
    <t>COTTON/MODAL</t>
  </si>
  <si>
    <t>706254562461</t>
  </si>
  <si>
    <t>EDV WIDE LEG SHORT BASIC</t>
  </si>
  <si>
    <t>100054718P</t>
  </si>
  <si>
    <t>STYLE &amp; CO-EDI/DESIGN FOR ALL LLC</t>
  </si>
  <si>
    <t>732994893800</t>
  </si>
  <si>
    <t>BT FREY HEM CHINO PT BASIC</t>
  </si>
  <si>
    <t>732994893909</t>
  </si>
  <si>
    <t>732994893664</t>
  </si>
  <si>
    <t>732996333601</t>
  </si>
  <si>
    <t>PO SLANT PKT ANKLE</t>
  </si>
  <si>
    <t>732996333472</t>
  </si>
  <si>
    <t>732996333632</t>
  </si>
  <si>
    <t>732996333618</t>
  </si>
  <si>
    <t>732996333625</t>
  </si>
  <si>
    <t>732996333489</t>
  </si>
  <si>
    <t>732996333496</t>
  </si>
  <si>
    <t>732996333502</t>
  </si>
  <si>
    <t>732996333519</t>
  </si>
  <si>
    <t>732996078854</t>
  </si>
  <si>
    <t>FK FLUTTER SLV TOP</t>
  </si>
  <si>
    <t>100054281MS</t>
  </si>
  <si>
    <t>732996078861</t>
  </si>
  <si>
    <t>191594812343</t>
  </si>
  <si>
    <t>CURVY TUMMY SKINNY BASIC</t>
  </si>
  <si>
    <t>53566LW819</t>
  </si>
  <si>
    <t>6 T/L</t>
  </si>
  <si>
    <t>8865650521</t>
  </si>
  <si>
    <t>53566TP819</t>
  </si>
  <si>
    <t>8865650576</t>
  </si>
  <si>
    <t>8865650491</t>
  </si>
  <si>
    <t>732995838169</t>
  </si>
  <si>
    <t>TOGGLE SLV CROP CRDI</t>
  </si>
  <si>
    <t>100054575MS</t>
  </si>
  <si>
    <t>190797084632</t>
  </si>
  <si>
    <t>53566MH819</t>
  </si>
  <si>
    <t>190797084656</t>
  </si>
  <si>
    <t>190797084649</t>
  </si>
  <si>
    <t>732995093469</t>
  </si>
  <si>
    <t>ZIG ZAG FLRL EXP SHT</t>
  </si>
  <si>
    <t>732995416923</t>
  </si>
  <si>
    <t>100047184PT</t>
  </si>
  <si>
    <t>COTTON/MODAL; LACE: COTTON</t>
  </si>
  <si>
    <t>732996355948</t>
  </si>
  <si>
    <t>CW WVN PINTUCK</t>
  </si>
  <si>
    <t>100055407MS</t>
  </si>
  <si>
    <t>732996079226</t>
  </si>
  <si>
    <t>FK CAP SLV TOP</t>
  </si>
  <si>
    <t>100056532MS</t>
  </si>
  <si>
    <t>732996355924</t>
  </si>
  <si>
    <t>732996079233</t>
  </si>
  <si>
    <t>732994942751</t>
  </si>
  <si>
    <t>C SKINNY CROP</t>
  </si>
  <si>
    <t>732994942782</t>
  </si>
  <si>
    <t>822982520808</t>
  </si>
  <si>
    <t>TUMMY MODERN BOOT LONG</t>
  </si>
  <si>
    <t>53392LN819</t>
  </si>
  <si>
    <t>18 T/L</t>
  </si>
  <si>
    <t>704624049574</t>
  </si>
  <si>
    <t>TUMMY MODERN BOOT REG</t>
  </si>
  <si>
    <t>53392NW819</t>
  </si>
  <si>
    <t>704625333412</t>
  </si>
  <si>
    <t>TUMMY MODERN BOOT SH</t>
  </si>
  <si>
    <t>53391SR819</t>
  </si>
  <si>
    <t>6 S</t>
  </si>
  <si>
    <t>704625333443</t>
  </si>
  <si>
    <t>TUMMY MODERN BOOT SHT</t>
  </si>
  <si>
    <t>53392SN819</t>
  </si>
  <si>
    <t>190917260656</t>
  </si>
  <si>
    <t>SLEEVELESS RUFFLE FRONT</t>
  </si>
  <si>
    <t>1018-B246</t>
  </si>
  <si>
    <t>SHELL: POLYESTER; LINING: RAYON/SPANDEX</t>
  </si>
  <si>
    <t>732996453545</t>
  </si>
  <si>
    <t>BT GARNET HILL SKIRT</t>
  </si>
  <si>
    <t>191594811278</t>
  </si>
  <si>
    <t>ELLA WIDE HM CAPRI</t>
  </si>
  <si>
    <t>8865777532</t>
  </si>
  <si>
    <t>ELLA WIDE HEM CAPRI</t>
  </si>
  <si>
    <t>54667SW819</t>
  </si>
  <si>
    <t>732995855319</t>
  </si>
  <si>
    <t>SLVL SEAM MAXI</t>
  </si>
  <si>
    <t>100054063MS</t>
  </si>
  <si>
    <t>732995855333</t>
  </si>
  <si>
    <t>732995855500</t>
  </si>
  <si>
    <t>732995855470</t>
  </si>
  <si>
    <t>732996119625</t>
  </si>
  <si>
    <t>732996119601</t>
  </si>
  <si>
    <t>726895917987</t>
  </si>
  <si>
    <t>WT SUMMER CHECK TOP</t>
  </si>
  <si>
    <t>732996119595</t>
  </si>
  <si>
    <t>726895588767</t>
  </si>
  <si>
    <t>CARGO PKT DRING CAP</t>
  </si>
  <si>
    <t>100009324P</t>
  </si>
  <si>
    <t>726895917956</t>
  </si>
  <si>
    <t>190797085158</t>
  </si>
  <si>
    <t>TUMMY SLIM REG BASIC</t>
  </si>
  <si>
    <t>50246MH141</t>
  </si>
  <si>
    <t>609716581560</t>
  </si>
  <si>
    <t>TUMMY SLIM REG NOIR</t>
  </si>
  <si>
    <t>726895777130</t>
  </si>
  <si>
    <t>CARGO PKT D RING CAP</t>
  </si>
  <si>
    <t>726895777154</t>
  </si>
  <si>
    <t>726895378580</t>
  </si>
  <si>
    <t>608381912358</t>
  </si>
  <si>
    <t>WVN FRONT SHIRT</t>
  </si>
  <si>
    <t>53692BL485</t>
  </si>
  <si>
    <t>732996268750</t>
  </si>
  <si>
    <t>DR TIE DYE GRAPHIC BASIC</t>
  </si>
  <si>
    <t>100059042MS</t>
  </si>
  <si>
    <t>732996268767</t>
  </si>
  <si>
    <t>732996141459</t>
  </si>
  <si>
    <t>DR SS SCOOP GRPHC BASIC</t>
  </si>
  <si>
    <t>100054198MS</t>
  </si>
  <si>
    <t>732996268842</t>
  </si>
  <si>
    <t>DR SCP GRAPHIC SHORT BASIC</t>
  </si>
  <si>
    <t>100059468MS</t>
  </si>
  <si>
    <t>732996268774</t>
  </si>
  <si>
    <t>732996268828</t>
  </si>
  <si>
    <t>732996141442</t>
  </si>
  <si>
    <t>732995803662</t>
  </si>
  <si>
    <t>KNT SS LACE TRIM TOP</t>
  </si>
  <si>
    <t>100054618MS</t>
  </si>
  <si>
    <t>BODY: COTTON; LACE: POLYESTER</t>
  </si>
  <si>
    <t>706257754290</t>
  </si>
  <si>
    <t>ZIG ZAG CARGO SHORT BASIC</t>
  </si>
  <si>
    <t>54676BN805</t>
  </si>
  <si>
    <t>MED BROWN</t>
  </si>
  <si>
    <t>706257753972</t>
  </si>
  <si>
    <t>54676MH805</t>
  </si>
  <si>
    <t>706257754139</t>
  </si>
  <si>
    <t>54676WT805</t>
  </si>
  <si>
    <t>706257754047</t>
  </si>
  <si>
    <t>732995092806</t>
  </si>
  <si>
    <t>BT DBL PKT SLIM ANKL</t>
  </si>
  <si>
    <t>100052544P</t>
  </si>
  <si>
    <t>732996301129</t>
  </si>
  <si>
    <t>BT TRAPUNTO TWL CPR</t>
  </si>
  <si>
    <t>706257549483</t>
  </si>
  <si>
    <t>54676DB151</t>
  </si>
  <si>
    <t>706257549438</t>
  </si>
  <si>
    <t>706257549469</t>
  </si>
  <si>
    <t>732995514636</t>
  </si>
  <si>
    <t>CUFFED BERMUDA SHRT BASIC</t>
  </si>
  <si>
    <t>COTTON/SPANDEX/POLYESTER</t>
  </si>
  <si>
    <t>191594335637</t>
  </si>
  <si>
    <t>EDV CURVY CAPRI BASIC</t>
  </si>
  <si>
    <t>100006766P</t>
  </si>
  <si>
    <t>732996429595</t>
  </si>
  <si>
    <t>RCHD RING HARDWR TOP</t>
  </si>
  <si>
    <t>100059330MS</t>
  </si>
  <si>
    <t>636193597333</t>
  </si>
  <si>
    <t>BASIC DENIM SKIRT</t>
  </si>
  <si>
    <t>100046283P</t>
  </si>
  <si>
    <t>732996355900</t>
  </si>
  <si>
    <t>CW PRNTD SWNG TNK</t>
  </si>
  <si>
    <t>100055406MS</t>
  </si>
  <si>
    <t>806864996127</t>
  </si>
  <si>
    <t>WT FEMME DYE SHIRT</t>
  </si>
  <si>
    <t>806864996134</t>
  </si>
  <si>
    <t>732995402841</t>
  </si>
  <si>
    <t>FK SCP 3/4 PLAID FRT</t>
  </si>
  <si>
    <t>100047551MS</t>
  </si>
  <si>
    <t>732996029054</t>
  </si>
  <si>
    <t>SWT MIX STITCH SHELL</t>
  </si>
  <si>
    <t>100054431MS</t>
  </si>
  <si>
    <t>732996321066</t>
  </si>
  <si>
    <t>FK SMPLSTRP FLTR TOP</t>
  </si>
  <si>
    <t>100058827MS</t>
  </si>
  <si>
    <t>732996321059</t>
  </si>
  <si>
    <t>732996321097</t>
  </si>
  <si>
    <t>887650599050</t>
  </si>
  <si>
    <t>FAUX PKT CMFRT CAPRI BASIC</t>
  </si>
  <si>
    <t>54445OV151</t>
  </si>
  <si>
    <t>887650599067</t>
  </si>
  <si>
    <t>706256244761</t>
  </si>
  <si>
    <t>DEEP 3/4 SLV SWING DRESS</t>
  </si>
  <si>
    <t>72042DB151</t>
  </si>
  <si>
    <t>887650565840</t>
  </si>
  <si>
    <t>54445MH805</t>
  </si>
  <si>
    <t>887650599036</t>
  </si>
  <si>
    <t>887650599043</t>
  </si>
  <si>
    <t>887650599029</t>
  </si>
  <si>
    <t>704976350175</t>
  </si>
  <si>
    <t>LSPLEATED WAIST DRESS</t>
  </si>
  <si>
    <t>PITD3963</t>
  </si>
  <si>
    <t>608356853051</t>
  </si>
  <si>
    <t>ITY MESH HEM SKIRT</t>
  </si>
  <si>
    <t>100002345P</t>
  </si>
  <si>
    <t>BROWN</t>
  </si>
  <si>
    <t>POLYESTER/SPANDEX; EXCLUSIVE OF DECORATION</t>
  </si>
  <si>
    <t>887650565857</t>
  </si>
  <si>
    <t>887650565819</t>
  </si>
  <si>
    <t>887650565833</t>
  </si>
  <si>
    <t>887650598831</t>
  </si>
  <si>
    <t>54445OV805</t>
  </si>
  <si>
    <t>887650565826</t>
  </si>
  <si>
    <t>732995721287</t>
  </si>
  <si>
    <t>100020406P</t>
  </si>
  <si>
    <t>732996078717</t>
  </si>
  <si>
    <t>FK LOW SCOOP TOP</t>
  </si>
  <si>
    <t>100054280MS</t>
  </si>
  <si>
    <t>732994893978</t>
  </si>
  <si>
    <t>BT PD FRY HEM CHINO BASIC</t>
  </si>
  <si>
    <t>732994893923</t>
  </si>
  <si>
    <t>732994893930</t>
  </si>
  <si>
    <t>191594810646</t>
  </si>
  <si>
    <t>EDV SKIMMER BASIC</t>
  </si>
  <si>
    <t>COTTON/POLYESTER/OTHER FIBER/ELASTANE</t>
  </si>
  <si>
    <t>191594810653</t>
  </si>
  <si>
    <t>191594810929</t>
  </si>
  <si>
    <t>EDV CURVY CAPRI</t>
  </si>
  <si>
    <t>191594810691</t>
  </si>
  <si>
    <t>8865956081</t>
  </si>
  <si>
    <t>100006764F</t>
  </si>
  <si>
    <t>BRIGHT RED</t>
  </si>
  <si>
    <t>732995767407</t>
  </si>
  <si>
    <t>FW EYELET TOP</t>
  </si>
  <si>
    <t>100061505MS</t>
  </si>
  <si>
    <t>636189850770</t>
  </si>
  <si>
    <t>ZIG ZAG CARGO SHORT</t>
  </si>
  <si>
    <t>54676MH151</t>
  </si>
  <si>
    <t>689439463671</t>
  </si>
  <si>
    <t>DR TIE FRONT FF</t>
  </si>
  <si>
    <t>100050521MS</t>
  </si>
  <si>
    <t>732994156820</t>
  </si>
  <si>
    <t>RAIL TMY STRAIGHT LG</t>
  </si>
  <si>
    <t>100025777L</t>
  </si>
  <si>
    <t>10 T/L</t>
  </si>
  <si>
    <t>689439461424</t>
  </si>
  <si>
    <t>689439461431</t>
  </si>
  <si>
    <t>732995722215</t>
  </si>
  <si>
    <t>FK TIE SIDE TOP</t>
  </si>
  <si>
    <t>100054222PT</t>
  </si>
  <si>
    <t>689439463688</t>
  </si>
  <si>
    <t>8865650682</t>
  </si>
  <si>
    <t>RAIL TUMMY STRAIGHT</t>
  </si>
  <si>
    <t>54719BC819</t>
  </si>
  <si>
    <t>732996908618</t>
  </si>
  <si>
    <t>82687 VNK DOLMAN</t>
  </si>
  <si>
    <t>100017798BP</t>
  </si>
  <si>
    <t>POLYESTER; BACK: RAYON</t>
  </si>
  <si>
    <t>8865749515</t>
  </si>
  <si>
    <t>191594813531</t>
  </si>
  <si>
    <t>8865749553</t>
  </si>
  <si>
    <t>191594813609</t>
  </si>
  <si>
    <t>732995356717</t>
  </si>
  <si>
    <t>100006764FP</t>
  </si>
  <si>
    <t>636202284247</t>
  </si>
  <si>
    <t>HIGH CUFF CAPRI</t>
  </si>
  <si>
    <t>100045815P</t>
  </si>
  <si>
    <t>732994976183</t>
  </si>
  <si>
    <t>KNT SS GRD DOT POLO</t>
  </si>
  <si>
    <t>100048634MS</t>
  </si>
  <si>
    <t>726895780871</t>
  </si>
  <si>
    <t>IK SCPNK CAPSLV EMB</t>
  </si>
  <si>
    <t>100020864P</t>
  </si>
  <si>
    <t>732996163581</t>
  </si>
  <si>
    <t>PL ON UTILITY CAPRI BASIC</t>
  </si>
  <si>
    <t>732996163192</t>
  </si>
  <si>
    <t>732996163550</t>
  </si>
  <si>
    <t>732996163567</t>
  </si>
  <si>
    <t>732996163574</t>
  </si>
  <si>
    <t>732996163154</t>
  </si>
  <si>
    <t>732996163604</t>
  </si>
  <si>
    <t>732995855593</t>
  </si>
  <si>
    <t>SS TIE SLV</t>
  </si>
  <si>
    <t>100054383MS</t>
  </si>
  <si>
    <t>732995855678</t>
  </si>
  <si>
    <t>732996120072</t>
  </si>
  <si>
    <t>732996120089</t>
  </si>
  <si>
    <t>732996264721</t>
  </si>
  <si>
    <t>732996120041</t>
  </si>
  <si>
    <t>732996264844</t>
  </si>
  <si>
    <t>SLVL PRINTED SWING</t>
  </si>
  <si>
    <t>100058344MS</t>
  </si>
  <si>
    <t>732996264820</t>
  </si>
  <si>
    <t>732996264523</t>
  </si>
  <si>
    <t>IK SOLID CRSSBCK DRS</t>
  </si>
  <si>
    <t>732996120096</t>
  </si>
  <si>
    <t>732996078939</t>
  </si>
  <si>
    <t>FK SLVLES RUFFLE TOP</t>
  </si>
  <si>
    <t>100054283MS</t>
  </si>
  <si>
    <t>SHELL: POLYESTER/RAYON; RUFFLE: RAYON</t>
  </si>
  <si>
    <t>732996078922</t>
  </si>
  <si>
    <t>732996078946</t>
  </si>
  <si>
    <t>732995957518</t>
  </si>
  <si>
    <t>CW PRINT SWING TANK</t>
  </si>
  <si>
    <t>100054096MS</t>
  </si>
  <si>
    <t>732996585956</t>
  </si>
  <si>
    <t>DK SPLT NK WVN FT</t>
  </si>
  <si>
    <t>STYLE &amp; CO-EDI/ROXY B</t>
  </si>
  <si>
    <t>SHELL: RAYON/SPANDEX; LINING: RAYON; CONTRAST: POLYESTER</t>
  </si>
  <si>
    <t>732996585925</t>
  </si>
  <si>
    <t>732995093155</t>
  </si>
  <si>
    <t>BT PD DBL PKT SLM AN</t>
  </si>
  <si>
    <t>100053962P</t>
  </si>
  <si>
    <t>706255137149</t>
  </si>
  <si>
    <t>BT REL HEM CHINO SHT</t>
  </si>
  <si>
    <t>706255138719</t>
  </si>
  <si>
    <t>706255138702</t>
  </si>
  <si>
    <t>732995011050</t>
  </si>
  <si>
    <t>FK CRHT BIB 3/4 WASH</t>
  </si>
  <si>
    <t>100047523MS</t>
  </si>
  <si>
    <t>SHELL: COTTON/MODAL; BACK PANEL: POLYESTER</t>
  </si>
  <si>
    <t>732996097695</t>
  </si>
  <si>
    <t>CK PRNTD SHARKBITE</t>
  </si>
  <si>
    <t>100071264MS</t>
  </si>
  <si>
    <t>706257303832</t>
  </si>
  <si>
    <t>KNIT WB BUNGEE CAPRI BASIC</t>
  </si>
  <si>
    <t>54665BN151</t>
  </si>
  <si>
    <t>732996320571</t>
  </si>
  <si>
    <t>FK SLVLES PRINT TOP</t>
  </si>
  <si>
    <t>100058811MS</t>
  </si>
  <si>
    <t>732996320557</t>
  </si>
  <si>
    <t>732995534436</t>
  </si>
  <si>
    <t>PARADISE MELDY CARDI</t>
  </si>
  <si>
    <t>100039170PT</t>
  </si>
  <si>
    <t>KAREN SCOTT P</t>
  </si>
  <si>
    <t>KAREN SCOTT-MMG</t>
  </si>
  <si>
    <t>BODY:COTTON/VISCOSE/NYLON</t>
  </si>
  <si>
    <t>732994090001</t>
  </si>
  <si>
    <t>MEMORY FLORAL CARDI</t>
  </si>
  <si>
    <t>100039166PT</t>
  </si>
  <si>
    <t>COTTON/VISCOSE/NYLON</t>
  </si>
  <si>
    <t>732995534504</t>
  </si>
  <si>
    <t>RHODODENDREN CARDI</t>
  </si>
  <si>
    <t>100049664PT</t>
  </si>
  <si>
    <t>732995534405</t>
  </si>
  <si>
    <t>732995534429</t>
  </si>
  <si>
    <t>732995534399</t>
  </si>
  <si>
    <t>732995534528</t>
  </si>
  <si>
    <t>636202774748</t>
  </si>
  <si>
    <t>85655 ILLUSION TANK</t>
  </si>
  <si>
    <t>100022981P</t>
  </si>
  <si>
    <t>FRONT AND TRIM: POLYESTER; BACK: RAYON</t>
  </si>
  <si>
    <t>732994892582</t>
  </si>
  <si>
    <t>BT DOUBLE PKT SHORT</t>
  </si>
  <si>
    <t>732994892445</t>
  </si>
  <si>
    <t>636206184031</t>
  </si>
  <si>
    <t>BT VELOUR INST PONTE</t>
  </si>
  <si>
    <t>100024592P</t>
  </si>
  <si>
    <t>SHELL: RAYON/NYLON/SPANDEX; TRIM: POLYESTER/SPANDEX</t>
  </si>
  <si>
    <t>706257302910</t>
  </si>
  <si>
    <t>54665PB805</t>
  </si>
  <si>
    <t>706257302903</t>
  </si>
  <si>
    <t>706257302859</t>
  </si>
  <si>
    <t>54665BN805</t>
  </si>
  <si>
    <t>732996041483</t>
  </si>
  <si>
    <t>SLVLS BTN FRNT BLOUS</t>
  </si>
  <si>
    <t>88939RR805</t>
  </si>
  <si>
    <t>732995523638</t>
  </si>
  <si>
    <t>S/S SEERSUCKER DRESS</t>
  </si>
  <si>
    <t>100049749PT</t>
  </si>
  <si>
    <t>887650555179</t>
  </si>
  <si>
    <t>CW PULLON ZIP CAPRI BASIC</t>
  </si>
  <si>
    <t>54634IN805</t>
  </si>
  <si>
    <t>732996206400</t>
  </si>
  <si>
    <t>BT BELTED PROMO SHRT</t>
  </si>
  <si>
    <t>732995815238</t>
  </si>
  <si>
    <t>ELBOW FLWR DREAM DRS</t>
  </si>
  <si>
    <t>100050988PT</t>
  </si>
  <si>
    <t>KAREN SCOTT SPORT-MMG</t>
  </si>
  <si>
    <t>689439398881</t>
  </si>
  <si>
    <t>SMALL FUN DOT CAPRI</t>
  </si>
  <si>
    <t>100041537MS</t>
  </si>
  <si>
    <t>KAREN SCTT MS</t>
  </si>
  <si>
    <t>732996655567</t>
  </si>
  <si>
    <t>KNT SL STMP VNCK</t>
  </si>
  <si>
    <t>100067794MS</t>
  </si>
  <si>
    <t>732996020112</t>
  </si>
  <si>
    <t>SWT FG SLD TXT CARDI</t>
  </si>
  <si>
    <t>100025439PT</t>
  </si>
  <si>
    <t>RAYON/NYLON</t>
  </si>
  <si>
    <t>732995738018</t>
  </si>
  <si>
    <t>IK PSNTNK SS PRNT MX</t>
  </si>
  <si>
    <t>100051584PT</t>
  </si>
  <si>
    <t>POLYESTER/RAYON; EXCLUSIVE OF DECORATION</t>
  </si>
  <si>
    <t>732996503608</t>
  </si>
  <si>
    <t>LACEUP TNK W SLITS</t>
  </si>
  <si>
    <t>100066606P</t>
  </si>
  <si>
    <t>LINEN/POLYESTER</t>
  </si>
  <si>
    <t>636189561874</t>
  </si>
  <si>
    <t>732996134352</t>
  </si>
  <si>
    <t>PTD JQD SKRT ROLL PB</t>
  </si>
  <si>
    <t>100060595PT</t>
  </si>
  <si>
    <t>885779819530</t>
  </si>
  <si>
    <t>DOUBLE BUTTON SHORT</t>
  </si>
  <si>
    <t>COTTON/ELASTANE/RAYON/POLYESTER</t>
  </si>
  <si>
    <t>704976414969</t>
  </si>
  <si>
    <t>ALLOV 30IN DIAGONAL</t>
  </si>
  <si>
    <t>PITK0881</t>
  </si>
  <si>
    <t>MADE IN USA</t>
  </si>
  <si>
    <t>704976415010</t>
  </si>
  <si>
    <t>732995814972</t>
  </si>
  <si>
    <t>S/S SWTHRT SCP DRESS</t>
  </si>
  <si>
    <t>100050982PT</t>
  </si>
  <si>
    <t>706256085012</t>
  </si>
  <si>
    <t>DNM POLY PULLON PANT</t>
  </si>
  <si>
    <t>100042667PT</t>
  </si>
  <si>
    <t>732994552844</t>
  </si>
  <si>
    <t>CMFT WST DENIM CAPRI</t>
  </si>
  <si>
    <t>100028164MS</t>
  </si>
  <si>
    <t>706256084909</t>
  </si>
  <si>
    <t>689439907373</t>
  </si>
  <si>
    <t>SOLID KNIT WB SKORT</t>
  </si>
  <si>
    <t>100028158PT</t>
  </si>
  <si>
    <t>689439907366</t>
  </si>
  <si>
    <t>732994551830</t>
  </si>
  <si>
    <t>SOLID KINT WB SKORT</t>
  </si>
  <si>
    <t>100028158MS</t>
  </si>
  <si>
    <t>732995815016</t>
  </si>
  <si>
    <t>732995773354</t>
  </si>
  <si>
    <t>ELBOW PATRIOTIC DRS</t>
  </si>
  <si>
    <t>100050979MS</t>
  </si>
  <si>
    <t>K SCOTT SPORT</t>
  </si>
  <si>
    <t>732994552912</t>
  </si>
  <si>
    <t>689439907397</t>
  </si>
  <si>
    <t>190917250442</t>
  </si>
  <si>
    <t>SLEEVELESS TOP W/ RUCHED</t>
  </si>
  <si>
    <t>1018-CSB344</t>
  </si>
  <si>
    <t>732995643534</t>
  </si>
  <si>
    <t>PROMO ZIP CAPRI</t>
  </si>
  <si>
    <t>100015461P</t>
  </si>
  <si>
    <t>732995643565</t>
  </si>
  <si>
    <t>732994917056</t>
  </si>
  <si>
    <t>INDIGO KNIT WB CAPRI</t>
  </si>
  <si>
    <t>100052286P</t>
  </si>
  <si>
    <t>732994917049</t>
  </si>
  <si>
    <t>732994917032</t>
  </si>
  <si>
    <t>732994917070</t>
  </si>
  <si>
    <t>732994552820</t>
  </si>
  <si>
    <t>COMFORT WAIST CAPRI</t>
  </si>
  <si>
    <t>100028163MS</t>
  </si>
  <si>
    <t>732994552783</t>
  </si>
  <si>
    <t>732994552776</t>
  </si>
  <si>
    <t>732994552752</t>
  </si>
  <si>
    <t>732994552691</t>
  </si>
  <si>
    <t>732994552585</t>
  </si>
  <si>
    <t>732994552837</t>
  </si>
  <si>
    <t>732994579759</t>
  </si>
  <si>
    <t>100028163PT</t>
  </si>
  <si>
    <t>732994579766</t>
  </si>
  <si>
    <t>732994579780</t>
  </si>
  <si>
    <t>689439400560</t>
  </si>
  <si>
    <t>732994552615</t>
  </si>
  <si>
    <t>732994552813</t>
  </si>
  <si>
    <t>689439400638</t>
  </si>
  <si>
    <t>732996361055</t>
  </si>
  <si>
    <t>IK SCPNK SL SOUTASH</t>
  </si>
  <si>
    <t>732996361024</t>
  </si>
  <si>
    <t>732995606782</t>
  </si>
  <si>
    <t>FRENCH TERRY CAPRI</t>
  </si>
  <si>
    <t>100039267PT</t>
  </si>
  <si>
    <t>732995938401</t>
  </si>
  <si>
    <t>100049957MS</t>
  </si>
  <si>
    <t>732995939729</t>
  </si>
  <si>
    <t>100049957PT</t>
  </si>
  <si>
    <t>726895193992</t>
  </si>
  <si>
    <t>H/L SATIN TRIM TEE</t>
  </si>
  <si>
    <t>7197ASG677</t>
  </si>
  <si>
    <t>732996096407</t>
  </si>
  <si>
    <t>CK ON OFF SHOULDER</t>
  </si>
  <si>
    <t>100061408MS</t>
  </si>
  <si>
    <t>732996094779</t>
  </si>
  <si>
    <t>CK PRINT ONOFF SHLDR</t>
  </si>
  <si>
    <t>100054126MS</t>
  </si>
  <si>
    <t>732996095387</t>
  </si>
  <si>
    <t>CK PRNTD SAMMY STAR</t>
  </si>
  <si>
    <t>100054129MS</t>
  </si>
  <si>
    <t>SHELL: COTTON/MODAL; TRIM: POLYESTER</t>
  </si>
  <si>
    <t>732996360782</t>
  </si>
  <si>
    <t>CK SL MX PRNT AMPIC</t>
  </si>
  <si>
    <t>100055345MS</t>
  </si>
  <si>
    <t>732996808949</t>
  </si>
  <si>
    <t>S/L EMBELL VNECK R/S</t>
  </si>
  <si>
    <t>100059896MS</t>
  </si>
  <si>
    <t>LT/PAS YEL</t>
  </si>
  <si>
    <t>732994344364</t>
  </si>
  <si>
    <t>POLY PULL ON PANT</t>
  </si>
  <si>
    <t>100035129PT</t>
  </si>
  <si>
    <t>732994344357</t>
  </si>
  <si>
    <t>732994344449</t>
  </si>
  <si>
    <t>732994343565</t>
  </si>
  <si>
    <t>100035129MS</t>
  </si>
  <si>
    <t>788545784349</t>
  </si>
  <si>
    <t>BLAC SOLID PALAZZO PANT</t>
  </si>
  <si>
    <t>PQIP0025</t>
  </si>
  <si>
    <t>704976381889</t>
  </si>
  <si>
    <t>3/4 SLV Y NECK MANDARIN</t>
  </si>
  <si>
    <t>PSTB1464</t>
  </si>
  <si>
    <t>732994344135</t>
  </si>
  <si>
    <t>732994344494</t>
  </si>
  <si>
    <t>S/L POLLY PULLON PNT</t>
  </si>
  <si>
    <t>100037293PT</t>
  </si>
  <si>
    <t>732994344142</t>
  </si>
  <si>
    <t>732994344111</t>
  </si>
  <si>
    <t>732994344562</t>
  </si>
  <si>
    <t>732994344104</t>
  </si>
  <si>
    <t>732994344470</t>
  </si>
  <si>
    <t>732994344616</t>
  </si>
  <si>
    <t>732994344876</t>
  </si>
  <si>
    <t>732994344708</t>
  </si>
  <si>
    <t>732994344456</t>
  </si>
  <si>
    <t>706254081733</t>
  </si>
  <si>
    <t>CK SCP SS RFFL HM TP</t>
  </si>
  <si>
    <t>100021188MS</t>
  </si>
  <si>
    <t>LT/PAS PUR</t>
  </si>
  <si>
    <t>726895851762</t>
  </si>
  <si>
    <t>IK CREWNK SL WVN FRT BASIC</t>
  </si>
  <si>
    <t>COTTON/MODAL; WOVEN: COTTON</t>
  </si>
  <si>
    <t>706254082563</t>
  </si>
  <si>
    <t>706254082556</t>
  </si>
  <si>
    <t>726895589047</t>
  </si>
  <si>
    <t>726895589054</t>
  </si>
  <si>
    <t>726895589078</t>
  </si>
  <si>
    <t>726895589023</t>
  </si>
  <si>
    <t>726895589030</t>
  </si>
  <si>
    <t>726895589061</t>
  </si>
  <si>
    <t>732995034141</t>
  </si>
  <si>
    <t>KNIT TWILL CAPRI</t>
  </si>
  <si>
    <t>54425GL805</t>
  </si>
  <si>
    <t>POLYESTER/COTTON/SPANDEX</t>
  </si>
  <si>
    <t>732995034158</t>
  </si>
  <si>
    <t>726895001570</t>
  </si>
  <si>
    <t>LS SOLID JRSY CARDI</t>
  </si>
  <si>
    <t>91211P</t>
  </si>
  <si>
    <t>732995736915</t>
  </si>
  <si>
    <t>IK CREWNK SL WVN FRT</t>
  </si>
  <si>
    <t>732995736946</t>
  </si>
  <si>
    <t>732995736960</t>
  </si>
  <si>
    <t>732995737059</t>
  </si>
  <si>
    <t>732995736922</t>
  </si>
  <si>
    <t>732995737042</t>
  </si>
  <si>
    <t>732997575635</t>
  </si>
  <si>
    <t>TWIST FRONT TOP</t>
  </si>
  <si>
    <t>100077867P</t>
  </si>
  <si>
    <t>732995145168</t>
  </si>
  <si>
    <t>CK SCP SLD RFL HM TP</t>
  </si>
  <si>
    <t>100029762MS</t>
  </si>
  <si>
    <t>RAYLON/SPANDEX</t>
  </si>
  <si>
    <t>732995475227</t>
  </si>
  <si>
    <t>CK TIE DYE RUFLE HEM</t>
  </si>
  <si>
    <t>100021187MS</t>
  </si>
  <si>
    <t>732995475197</t>
  </si>
  <si>
    <t>732995475180</t>
  </si>
  <si>
    <t>732995145151</t>
  </si>
  <si>
    <t>732995145090</t>
  </si>
  <si>
    <t>732995145076</t>
  </si>
  <si>
    <t>732995145069</t>
  </si>
  <si>
    <t>732995145243</t>
  </si>
  <si>
    <t>732995475333</t>
  </si>
  <si>
    <t>732995475319</t>
  </si>
  <si>
    <t>732995145175</t>
  </si>
  <si>
    <t>732995145236</t>
  </si>
  <si>
    <t>732995475326</t>
  </si>
  <si>
    <t>732995145229</t>
  </si>
  <si>
    <t>732995145212</t>
  </si>
  <si>
    <t>732995475340</t>
  </si>
  <si>
    <t>732996094861</t>
  </si>
  <si>
    <t>SCPNK TIE DYE RFL HM</t>
  </si>
  <si>
    <t>100059689MS</t>
  </si>
  <si>
    <t>732996094892</t>
  </si>
  <si>
    <t>732995475203</t>
  </si>
  <si>
    <t>732996094885</t>
  </si>
  <si>
    <t>732996094878</t>
  </si>
  <si>
    <t>732995475289</t>
  </si>
  <si>
    <t>732995475265</t>
  </si>
  <si>
    <t>732995144956</t>
  </si>
  <si>
    <t>CK PNT SCPNK RFFL HM</t>
  </si>
  <si>
    <t>100047172MS</t>
  </si>
  <si>
    <t>732995144963</t>
  </si>
  <si>
    <t>732995145144</t>
  </si>
  <si>
    <t>732995475234</t>
  </si>
  <si>
    <t>732995475210</t>
  </si>
  <si>
    <t>732996365794</t>
  </si>
  <si>
    <t>CK PRNTD ONOFF SLDR</t>
  </si>
  <si>
    <t>100066704MS</t>
  </si>
  <si>
    <t>732996365800</t>
  </si>
  <si>
    <t>732996365831</t>
  </si>
  <si>
    <t>732996365848</t>
  </si>
  <si>
    <t>732995162325</t>
  </si>
  <si>
    <t>CK LANTERN SLV TOP</t>
  </si>
  <si>
    <t>27013MS</t>
  </si>
  <si>
    <t>768594058189</t>
  </si>
  <si>
    <t>SCPNK 3/4SLV WVN HEM BASIC</t>
  </si>
  <si>
    <t>22722SW805</t>
  </si>
  <si>
    <t>726895791273</t>
  </si>
  <si>
    <t>IK VNK SS CROCHET TP BASIC</t>
  </si>
  <si>
    <t>COTTON/MODAL/SPANDEX; INSERT: RAYON/SPANDEX</t>
  </si>
  <si>
    <t>726895791310</t>
  </si>
  <si>
    <t>732996236780</t>
  </si>
  <si>
    <t>S/S GROMMET SCOOP</t>
  </si>
  <si>
    <t>100049786MS</t>
  </si>
  <si>
    <t>732996236803</t>
  </si>
  <si>
    <t>732996236490</t>
  </si>
  <si>
    <t>732996236445</t>
  </si>
  <si>
    <t>732994810234</t>
  </si>
  <si>
    <t>ELBOW BOATNECK DRESS</t>
  </si>
  <si>
    <t>100037627PT</t>
  </si>
  <si>
    <t>732994810401</t>
  </si>
  <si>
    <t>706254487085</t>
  </si>
  <si>
    <t>DEEP KNIT TWILL CAPRI</t>
  </si>
  <si>
    <t>54425DB151</t>
  </si>
  <si>
    <t>732995408485</t>
  </si>
  <si>
    <t>CK PRINTED PLEAT NK</t>
  </si>
  <si>
    <t>100021174MS</t>
  </si>
  <si>
    <t>732995447095</t>
  </si>
  <si>
    <t>PMA 3/4 RAIN DOT BT</t>
  </si>
  <si>
    <t>100055742PT</t>
  </si>
  <si>
    <t>636206660016</t>
  </si>
  <si>
    <t>SCP NK LS SEAM TEE BASIC</t>
  </si>
  <si>
    <t>27179H</t>
  </si>
  <si>
    <t>726895488142</t>
  </si>
  <si>
    <t>SS CLD SHLD RAY/SPAN</t>
  </si>
  <si>
    <t>100015505W</t>
  </si>
  <si>
    <t>732996298108</t>
  </si>
  <si>
    <t>BT JULY PROMO SHORT</t>
  </si>
  <si>
    <t>732996135250</t>
  </si>
  <si>
    <t>S/S LATTICE BACK R/S</t>
  </si>
  <si>
    <t>100055101WN</t>
  </si>
  <si>
    <t>732995804621</t>
  </si>
  <si>
    <t>KNT SS FAGTG TR TEE</t>
  </si>
  <si>
    <t>100054629MS</t>
  </si>
  <si>
    <t>732995744330</t>
  </si>
  <si>
    <t>SEERSUCKER CAPRI</t>
  </si>
  <si>
    <t>100049764MS</t>
  </si>
  <si>
    <t>732995744392</t>
  </si>
  <si>
    <t>706258826026</t>
  </si>
  <si>
    <t>3/4 METALLC OMBR R/S</t>
  </si>
  <si>
    <t>732995718508</t>
  </si>
  <si>
    <t>FK SCRUNCH FRONT TOP</t>
  </si>
  <si>
    <t>100056529MS</t>
  </si>
  <si>
    <t>732995718362</t>
  </si>
  <si>
    <t>732996330389</t>
  </si>
  <si>
    <t>CK SOLID SIDE KNOT</t>
  </si>
  <si>
    <t>100074101MS</t>
  </si>
  <si>
    <t>706257953457</t>
  </si>
  <si>
    <t>54425MH151</t>
  </si>
  <si>
    <t>732995747331</t>
  </si>
  <si>
    <t>KNIT WAISTBAND SHORT</t>
  </si>
  <si>
    <t>100028157MS</t>
  </si>
  <si>
    <t>732995742473</t>
  </si>
  <si>
    <t>100028157PT</t>
  </si>
  <si>
    <t>732995747294</t>
  </si>
  <si>
    <t>732995408720</t>
  </si>
  <si>
    <t>CK SCP SS TWST TOP</t>
  </si>
  <si>
    <t>100015577MS</t>
  </si>
  <si>
    <t>732995712230</t>
  </si>
  <si>
    <t>SS SCPNK DLMN GRPHC</t>
  </si>
  <si>
    <t>100056286MS</t>
  </si>
  <si>
    <t>POLYESTER/COTTON</t>
  </si>
  <si>
    <t>732995712223</t>
  </si>
  <si>
    <t>732996027555</t>
  </si>
  <si>
    <t>SL SCPNK SWNG TNK GR</t>
  </si>
  <si>
    <t>100060006MS</t>
  </si>
  <si>
    <t>732995795387</t>
  </si>
  <si>
    <t>SS SCPNK SHRTL GRPHC</t>
  </si>
  <si>
    <t>100056285MS</t>
  </si>
  <si>
    <t>STYLE &amp; CO-EDI/MIKEN</t>
  </si>
  <si>
    <t>732996602110</t>
  </si>
  <si>
    <t>100060026MS</t>
  </si>
  <si>
    <t>732996601649</t>
  </si>
  <si>
    <t>SS VNK DOLMAN GR</t>
  </si>
  <si>
    <t>100060019MS</t>
  </si>
  <si>
    <t>732995712209</t>
  </si>
  <si>
    <t>732996601625</t>
  </si>
  <si>
    <t>732995795370</t>
  </si>
  <si>
    <t>732995795745</t>
  </si>
  <si>
    <t>SS VNK SHRTL GRAPHIC</t>
  </si>
  <si>
    <t>100056291MS</t>
  </si>
  <si>
    <t>732995794274</t>
  </si>
  <si>
    <t>100056255MS</t>
  </si>
  <si>
    <t>732995794304</t>
  </si>
  <si>
    <t>726895972771</t>
  </si>
  <si>
    <t>704976222366</t>
  </si>
  <si>
    <t>SHORTSLEEVE FLOUNCE HEM</t>
  </si>
  <si>
    <t>PITD3914</t>
  </si>
  <si>
    <t>704976222915</t>
  </si>
  <si>
    <t>PRT SLVLSS JUMPSUIT</t>
  </si>
  <si>
    <t>PITU7144</t>
  </si>
  <si>
    <t>LT/PAS GRN</t>
  </si>
  <si>
    <t>704976222380</t>
  </si>
  <si>
    <t>704976223738</t>
  </si>
  <si>
    <t>SLEEVELESS V NECK SHARKB</t>
  </si>
  <si>
    <t>PRJU0652</t>
  </si>
  <si>
    <t>SHELL: RAYON/POLYESTER; LACE: COTTON/NYLON</t>
  </si>
  <si>
    <t>704976223714</t>
  </si>
  <si>
    <t>704976294721</t>
  </si>
  <si>
    <t>BUTTON DOWN ROLL TAB</t>
  </si>
  <si>
    <t>PSTB1458</t>
  </si>
  <si>
    <t>704976223240</t>
  </si>
  <si>
    <t>PITU7400</t>
  </si>
  <si>
    <t>732995712568</t>
  </si>
  <si>
    <t>SS FWRDSM SCPNK GRPH</t>
  </si>
  <si>
    <t>100056257PT</t>
  </si>
  <si>
    <t>732996602691</t>
  </si>
  <si>
    <t>100060027PT</t>
  </si>
  <si>
    <t>732996027814</t>
  </si>
  <si>
    <t>100060007PT</t>
  </si>
  <si>
    <t>732996602738</t>
  </si>
  <si>
    <t>SL VNK SWNG TANK GR</t>
  </si>
  <si>
    <t>100060028PT</t>
  </si>
  <si>
    <t>732995801996</t>
  </si>
  <si>
    <t>S/S FALLING STARS BT</t>
  </si>
  <si>
    <t>100049880MS</t>
  </si>
  <si>
    <t>732996007465</t>
  </si>
  <si>
    <t>3/4 PLCD JQD TNGR FL</t>
  </si>
  <si>
    <t>100055134MS</t>
  </si>
  <si>
    <t>732995743395</t>
  </si>
  <si>
    <t>CURVE PKT SHORT</t>
  </si>
  <si>
    <t>100044856MS</t>
  </si>
  <si>
    <t>732995748499</t>
  </si>
  <si>
    <t>S/S PAISLEY PARADE</t>
  </si>
  <si>
    <t>100049758PT</t>
  </si>
  <si>
    <t>732996218106</t>
  </si>
  <si>
    <t>S/S SIMPLE FLAG BOAT</t>
  </si>
  <si>
    <t>100049874PT</t>
  </si>
  <si>
    <t>732996250625</t>
  </si>
  <si>
    <t>S/S FLAG SPARKLE SC</t>
  </si>
  <si>
    <t>100049868PT</t>
  </si>
  <si>
    <t>732996592503</t>
  </si>
  <si>
    <t>SS DOLMAN SUB</t>
  </si>
  <si>
    <t>100060044MS</t>
  </si>
  <si>
    <t>POLYESTER/LINEN</t>
  </si>
  <si>
    <t>732995389968</t>
  </si>
  <si>
    <t>SS SET-IN SUB</t>
  </si>
  <si>
    <t>100056262MS</t>
  </si>
  <si>
    <t>732995662832</t>
  </si>
  <si>
    <t>100056274MS</t>
  </si>
  <si>
    <t>732995662818</t>
  </si>
  <si>
    <t>100056273MS</t>
  </si>
  <si>
    <t>732996592374</t>
  </si>
  <si>
    <t>100060042MS</t>
  </si>
  <si>
    <t>732996592411</t>
  </si>
  <si>
    <t>732995662917</t>
  </si>
  <si>
    <t>100056276MS</t>
  </si>
  <si>
    <t>732995662931</t>
  </si>
  <si>
    <t>732995662900</t>
  </si>
  <si>
    <t>732995662924</t>
  </si>
  <si>
    <t>732996592534</t>
  </si>
  <si>
    <t>732995662849</t>
  </si>
  <si>
    <t>732995189735</t>
  </si>
  <si>
    <t>LG SCP NK LS SM TEE BASIC</t>
  </si>
  <si>
    <t>27179MS</t>
  </si>
  <si>
    <t>732995702439</t>
  </si>
  <si>
    <t>KNIT PANT</t>
  </si>
  <si>
    <t>100004707PT</t>
  </si>
  <si>
    <t>732995703030</t>
  </si>
  <si>
    <t>SHORT KNT PANT</t>
  </si>
  <si>
    <t>100004708PT</t>
  </si>
  <si>
    <t>732995744293</t>
  </si>
  <si>
    <t>PAISLEY PARADE CAPRI</t>
  </si>
  <si>
    <t>100049761MS</t>
  </si>
  <si>
    <t>732995732375</t>
  </si>
  <si>
    <t>DAHLIA SOLID CAPRI</t>
  </si>
  <si>
    <t>100049765PT</t>
  </si>
  <si>
    <t>KAREN SCOTT-EDI/JONES APPAREL GROUP</t>
  </si>
  <si>
    <t>732995732146</t>
  </si>
  <si>
    <t>732995732092</t>
  </si>
  <si>
    <t>732995741834</t>
  </si>
  <si>
    <t>100049765MS</t>
  </si>
  <si>
    <t>732995742053</t>
  </si>
  <si>
    <t>732995742015</t>
  </si>
  <si>
    <t>732995741964</t>
  </si>
  <si>
    <t>732995256185</t>
  </si>
  <si>
    <t>3/4 VERNA STRIPE SCP</t>
  </si>
  <si>
    <t>100039303PT</t>
  </si>
  <si>
    <t>732996385549</t>
  </si>
  <si>
    <t>ELB STUD SLV BOAT</t>
  </si>
  <si>
    <t>100049798MS</t>
  </si>
  <si>
    <t>732995405583</t>
  </si>
  <si>
    <t>3/4 SLV BUTTON FRONT</t>
  </si>
  <si>
    <t>25360PN805</t>
  </si>
  <si>
    <t>732995405538</t>
  </si>
  <si>
    <t>25360LT805</t>
  </si>
  <si>
    <t>732995405552</t>
  </si>
  <si>
    <t>732995728828</t>
  </si>
  <si>
    <t>25360PB805</t>
  </si>
  <si>
    <t>732995405460</t>
  </si>
  <si>
    <t>732995208047</t>
  </si>
  <si>
    <t>CK 3/4 SLV BTTN FRNT</t>
  </si>
  <si>
    <t>25360ST805</t>
  </si>
  <si>
    <t>732995405453</t>
  </si>
  <si>
    <t>726895129694</t>
  </si>
  <si>
    <t>EDNA CAPRI</t>
  </si>
  <si>
    <t>100046120PT</t>
  </si>
  <si>
    <t>ALL:COTTON</t>
  </si>
  <si>
    <t>732995740950</t>
  </si>
  <si>
    <t>EYELET SKIMMER</t>
  </si>
  <si>
    <t>100046029PT</t>
  </si>
  <si>
    <t>636206338977</t>
  </si>
  <si>
    <t>100046029MS</t>
  </si>
  <si>
    <t>726895124859</t>
  </si>
  <si>
    <t>100046120MS</t>
  </si>
  <si>
    <t>726895160536</t>
  </si>
  <si>
    <t>726895158281</t>
  </si>
  <si>
    <t>726895129724</t>
  </si>
  <si>
    <t>726895126259</t>
  </si>
  <si>
    <t>636206339097</t>
  </si>
  <si>
    <t>636206339219</t>
  </si>
  <si>
    <t>636206338984</t>
  </si>
  <si>
    <t>726895129625</t>
  </si>
  <si>
    <t>732995740981</t>
  </si>
  <si>
    <t>726895159301</t>
  </si>
  <si>
    <t>732995740943</t>
  </si>
  <si>
    <t>732995741490</t>
  </si>
  <si>
    <t>DARKPURPLE</t>
  </si>
  <si>
    <t>726895160505</t>
  </si>
  <si>
    <t>636206340093</t>
  </si>
  <si>
    <t>726895336566</t>
  </si>
  <si>
    <t>3/4 SOLID SHLDR BTN</t>
  </si>
  <si>
    <t>54700P143</t>
  </si>
  <si>
    <t>608356953683</t>
  </si>
  <si>
    <t>CK PRINTED CREW NECK</t>
  </si>
  <si>
    <t>STYLE &amp; CO-EDI/RWI/MUST</t>
  </si>
  <si>
    <t>732996250700</t>
  </si>
  <si>
    <t>S/S KITE STRPE SC</t>
  </si>
  <si>
    <t>100049873PT</t>
  </si>
  <si>
    <t>732995748871</t>
  </si>
  <si>
    <t>ORNATE FLORAL SHORT</t>
  </si>
  <si>
    <t>100049752MS</t>
  </si>
  <si>
    <t>732995748833</t>
  </si>
  <si>
    <t>732995748888</t>
  </si>
  <si>
    <t>732994869621</t>
  </si>
  <si>
    <t>LISA DENIM SHORT</t>
  </si>
  <si>
    <t>100049988MS</t>
  </si>
  <si>
    <t>732994869614</t>
  </si>
  <si>
    <t>732995447149</t>
  </si>
  <si>
    <t>732995443325</t>
  </si>
  <si>
    <t>ELBW SLV TXTRD BOAT</t>
  </si>
  <si>
    <t>100049177MS</t>
  </si>
  <si>
    <t>CHARTER CLUB-EDI/RWI/MULTI</t>
  </si>
  <si>
    <t>PIMA COTTON</t>
  </si>
  <si>
    <t>636206918339</t>
  </si>
  <si>
    <t>EDV KNIT CAPRI</t>
  </si>
  <si>
    <t>100037440MS</t>
  </si>
  <si>
    <t>636206918568</t>
  </si>
  <si>
    <t>TAUPE</t>
  </si>
  <si>
    <t>636206918629</t>
  </si>
  <si>
    <t>636202779279</t>
  </si>
  <si>
    <t>EDV CAPRI</t>
  </si>
  <si>
    <t>100037440PT</t>
  </si>
  <si>
    <t>732995802979</t>
  </si>
  <si>
    <t>ELB SEASHL STRP BOAT</t>
  </si>
  <si>
    <t>100049905MS</t>
  </si>
  <si>
    <t>732996365558</t>
  </si>
  <si>
    <t>CK PRNT PROMO TANK</t>
  </si>
  <si>
    <t>100055366MS</t>
  </si>
  <si>
    <t>732996364995</t>
  </si>
  <si>
    <t>100055363MS</t>
  </si>
  <si>
    <t>732996007878</t>
  </si>
  <si>
    <t>PTD JQD TANK ROLL PB</t>
  </si>
  <si>
    <t>100060594MS</t>
  </si>
  <si>
    <t>732994761451</t>
  </si>
  <si>
    <t>3/4 CLDSHLDR SLD RS</t>
  </si>
  <si>
    <t>726895473681</t>
  </si>
  <si>
    <t>SOLID RAY SPAN TANK</t>
  </si>
  <si>
    <t>88226OL477</t>
  </si>
  <si>
    <t>706257400579</t>
  </si>
  <si>
    <t>3/4 SL SOLID CREW BASIC</t>
  </si>
  <si>
    <t>54740WH143</t>
  </si>
  <si>
    <t>636206917974</t>
  </si>
  <si>
    <t>EDV KNIT SKIMMER</t>
  </si>
  <si>
    <t>100037436MS</t>
  </si>
  <si>
    <t>732994868198</t>
  </si>
  <si>
    <t>LISA SHORT</t>
  </si>
  <si>
    <t>100049989MS</t>
  </si>
  <si>
    <t>732995735475</t>
  </si>
  <si>
    <t>100049989PT</t>
  </si>
  <si>
    <t>732994868129</t>
  </si>
  <si>
    <t>732994868037</t>
  </si>
  <si>
    <t>732994868044</t>
  </si>
  <si>
    <t>732994867627</t>
  </si>
  <si>
    <t>732994867474</t>
  </si>
  <si>
    <t>732994867658</t>
  </si>
  <si>
    <t>732994867795</t>
  </si>
  <si>
    <t>732994868181</t>
  </si>
  <si>
    <t>732994867597</t>
  </si>
  <si>
    <t>732994867696</t>
  </si>
  <si>
    <t>689439043262</t>
  </si>
  <si>
    <t>ELBOW BOATNECK SOLID</t>
  </si>
  <si>
    <t>100028179PT</t>
  </si>
  <si>
    <t>732994900812</t>
  </si>
  <si>
    <t>100028179MS</t>
  </si>
  <si>
    <t>732994900348</t>
  </si>
  <si>
    <t>689439043293</t>
  </si>
  <si>
    <t>636202432648</t>
  </si>
  <si>
    <t>636202435588</t>
  </si>
  <si>
    <t>636202435601</t>
  </si>
  <si>
    <t>689439043255</t>
  </si>
  <si>
    <t>732995784602</t>
  </si>
  <si>
    <t>706254590068</t>
  </si>
  <si>
    <t>COLD SHLDER RAY/SPAN</t>
  </si>
  <si>
    <t>732995737516</t>
  </si>
  <si>
    <t>CK PRNTED SCOOP TEE</t>
  </si>
  <si>
    <t>100047165MS</t>
  </si>
  <si>
    <t>636206919480</t>
  </si>
  <si>
    <t>EDV KNIT SHORT</t>
  </si>
  <si>
    <t>100037421MS</t>
  </si>
  <si>
    <t>636206919596</t>
  </si>
  <si>
    <t>636206919237</t>
  </si>
  <si>
    <t>636206919428</t>
  </si>
  <si>
    <t>636206919367</t>
  </si>
  <si>
    <t>636206919534</t>
  </si>
  <si>
    <t>636206919541</t>
  </si>
  <si>
    <t>636206919602</t>
  </si>
  <si>
    <t>636206919220</t>
  </si>
  <si>
    <t>706254804929</t>
  </si>
  <si>
    <t>CK SHARKBT SOLID TEE</t>
  </si>
  <si>
    <t>100007532MS</t>
  </si>
  <si>
    <t>732995043983</t>
  </si>
  <si>
    <t>732995043990</t>
  </si>
  <si>
    <t>732996306995</t>
  </si>
  <si>
    <t>IK SCPNK SL SOL TANK</t>
  </si>
  <si>
    <t>732996306971</t>
  </si>
  <si>
    <t>732996306933</t>
  </si>
  <si>
    <t>732996307695</t>
  </si>
  <si>
    <t>100018061P</t>
  </si>
  <si>
    <t>608381326025</t>
  </si>
  <si>
    <t>LS SCOOP NECK</t>
  </si>
  <si>
    <t>100030933R</t>
  </si>
  <si>
    <t>MCY BASICSRTW</t>
  </si>
  <si>
    <t>MAISON JULES-MMG</t>
  </si>
  <si>
    <t>608381325653</t>
  </si>
  <si>
    <t>706255667769</t>
  </si>
  <si>
    <t>SCALLOP LACE TANK</t>
  </si>
  <si>
    <t>100028124PT</t>
  </si>
  <si>
    <t>636202054666</t>
  </si>
  <si>
    <t>CK SCPNK BURNOUT TEE</t>
  </si>
  <si>
    <t>100011993MS</t>
  </si>
  <si>
    <t>636202054659</t>
  </si>
  <si>
    <t>732995441291</t>
  </si>
  <si>
    <t>S/S TRELIS CHAT HENL</t>
  </si>
  <si>
    <t>100041725MS</t>
  </si>
  <si>
    <t>732995441307</t>
  </si>
  <si>
    <t>732995441314</t>
  </si>
  <si>
    <t>732995441260</t>
  </si>
  <si>
    <t>S/S SPRNG SPIRIT HEN</t>
  </si>
  <si>
    <t>100041720MS</t>
  </si>
  <si>
    <t>732996011851</t>
  </si>
  <si>
    <t>S/S OMBRE SPARKLEH</t>
  </si>
  <si>
    <t>100045481MS</t>
  </si>
  <si>
    <t>732996194677</t>
  </si>
  <si>
    <t>S/S LIBERTY DAIS HN</t>
  </si>
  <si>
    <t>100045486MS</t>
  </si>
  <si>
    <t>732996194660</t>
  </si>
  <si>
    <t>732996424545</t>
  </si>
  <si>
    <t>PALM REVIVAL</t>
  </si>
  <si>
    <t>100050940PT</t>
  </si>
  <si>
    <t>732996388526</t>
  </si>
  <si>
    <t>3/4 IKAT REVERIE V</t>
  </si>
  <si>
    <t>100050942MS</t>
  </si>
  <si>
    <t>732995847994</t>
  </si>
  <si>
    <t>MEDALLION MARCH</t>
  </si>
  <si>
    <t>100045480PT</t>
  </si>
  <si>
    <t>706254100168</t>
  </si>
  <si>
    <t>S/S PIQUE POLO</t>
  </si>
  <si>
    <t>100028126PT</t>
  </si>
  <si>
    <t>706254106009</t>
  </si>
  <si>
    <t>706255798845</t>
  </si>
  <si>
    <t>CK SCPNK SS SOLID TE</t>
  </si>
  <si>
    <t>100011999MS</t>
  </si>
  <si>
    <t>732995416381</t>
  </si>
  <si>
    <t>732994908504</t>
  </si>
  <si>
    <t>S/S HENLEY</t>
  </si>
  <si>
    <t>100028125PT</t>
  </si>
  <si>
    <t>732995194340</t>
  </si>
  <si>
    <t>ELBOW SLV NECK</t>
  </si>
  <si>
    <t>100028127MS</t>
  </si>
  <si>
    <t>732995194319</t>
  </si>
  <si>
    <t>732994897594</t>
  </si>
  <si>
    <t>732994897150</t>
  </si>
  <si>
    <t>732994897273</t>
  </si>
  <si>
    <t>732995783865</t>
  </si>
  <si>
    <t>706254724807</t>
  </si>
  <si>
    <t>BOATNECK TANK</t>
  </si>
  <si>
    <t>100028123MS</t>
  </si>
  <si>
    <t>706254725897</t>
  </si>
  <si>
    <t>706254748346</t>
  </si>
  <si>
    <t>3/4 SLEEVE SCOOP</t>
  </si>
  <si>
    <t>100020272MS</t>
  </si>
  <si>
    <t>732995504262</t>
  </si>
  <si>
    <t>ELB SOUTHRN TERR VNK</t>
  </si>
  <si>
    <t>100041721MS</t>
  </si>
  <si>
    <t>689439022359</t>
  </si>
  <si>
    <t>S/S EDV DOT SCOOP</t>
  </si>
  <si>
    <t>100028092MS</t>
  </si>
  <si>
    <t>689439023066</t>
  </si>
  <si>
    <t>732996195346</t>
  </si>
  <si>
    <t>S/S DITZY DUNE SC</t>
  </si>
  <si>
    <t>100045482MS</t>
  </si>
  <si>
    <t>732995196566</t>
  </si>
  <si>
    <t>S/S FRANC FIELDS SCP</t>
  </si>
  <si>
    <t>100036398MS</t>
  </si>
  <si>
    <t>732994902267</t>
  </si>
  <si>
    <t>S/S SW BOUQUET SCOOP</t>
  </si>
  <si>
    <t>100036357MS</t>
  </si>
  <si>
    <t>689439022175</t>
  </si>
  <si>
    <t>732994902373</t>
  </si>
  <si>
    <t>S/S SCAT PETAL SCOOP</t>
  </si>
  <si>
    <t>100036363MS</t>
  </si>
  <si>
    <t>706254756860</t>
  </si>
  <si>
    <t>S/S TULIP TWIST SCOP</t>
  </si>
  <si>
    <t>100036361MS</t>
  </si>
  <si>
    <t>732994907217</t>
  </si>
  <si>
    <t>S/S SCOOP</t>
  </si>
  <si>
    <t>100028122PT</t>
  </si>
  <si>
    <t>706257185773</t>
  </si>
  <si>
    <t>BTM SOLID RNS SHORT</t>
  </si>
  <si>
    <t>100053472MS</t>
  </si>
  <si>
    <t>706257185704</t>
  </si>
  <si>
    <t>732996142135</t>
  </si>
  <si>
    <t>BELTED CURVY CAPRI</t>
  </si>
  <si>
    <t>732996142197</t>
  </si>
  <si>
    <t>732995254327</t>
  </si>
  <si>
    <t>100039303MS</t>
  </si>
  <si>
    <t>193623890018</t>
  </si>
  <si>
    <t>3/4 SLV 1 BUTTON JACKET</t>
  </si>
  <si>
    <t>S94JJ673</t>
  </si>
  <si>
    <t>VISCOSE; LINING: POLYESTER</t>
  </si>
  <si>
    <t>635273494975</t>
  </si>
  <si>
    <t>SLV PARTYDRS FLRL</t>
  </si>
  <si>
    <t>TLMS9WE104</t>
  </si>
  <si>
    <t>SHELL: POLYESTER/METALLIC THREADING/NYLON; LINING: POLYESTER</t>
  </si>
  <si>
    <t>635273494968</t>
  </si>
  <si>
    <t>635273494951</t>
  </si>
  <si>
    <t>828659219396</t>
  </si>
  <si>
    <t>828659199728</t>
  </si>
  <si>
    <t>LS CHIFFON BELL SLEEVE</t>
  </si>
  <si>
    <t>VC9M9567</t>
  </si>
  <si>
    <t>828659219419</t>
  </si>
  <si>
    <t>193623663353</t>
  </si>
  <si>
    <t>193623975029</t>
  </si>
  <si>
    <t>PENCIL SKIRT</t>
  </si>
  <si>
    <t>S94S6140</t>
  </si>
  <si>
    <t>POLYESTER/ACRYLIC/VISCOSE; LINING: POLYESTER</t>
  </si>
  <si>
    <t>193623943622</t>
  </si>
  <si>
    <t>193623925925</t>
  </si>
  <si>
    <t>TBD PASTEL PENCIL SKIRT</t>
  </si>
  <si>
    <t>S92SC932</t>
  </si>
  <si>
    <t>POLYESTER/VISCOSE/SPANDEX; LINING: POLYESTER/SPANDEX</t>
  </si>
  <si>
    <t>190466028639</t>
  </si>
  <si>
    <t>TIE WAIST PANT</t>
  </si>
  <si>
    <t>S93P7430</t>
  </si>
  <si>
    <t>93487385869</t>
  </si>
  <si>
    <t>CROPPED LINEN WIDE LEG P</t>
  </si>
  <si>
    <t>PB SUITS&amp;SEPT</t>
  </si>
  <si>
    <t>438 BAR III SUIT SEP/KASPER GROUP</t>
  </si>
  <si>
    <t>LINEN/VISCOSE</t>
  </si>
  <si>
    <t>93487407929</t>
  </si>
  <si>
    <t>93487534670</t>
  </si>
  <si>
    <t>FLORAL CHIFF W BELL SLV</t>
  </si>
  <si>
    <t>93487407899</t>
  </si>
  <si>
    <t>193623915926</t>
  </si>
  <si>
    <t>TEXTURED PLEATED SKIRT</t>
  </si>
  <si>
    <t>S92S2879</t>
  </si>
  <si>
    <t>193623915865</t>
  </si>
  <si>
    <t>193623915889</t>
  </si>
  <si>
    <t>190917254037</t>
  </si>
  <si>
    <t>732997039533</t>
  </si>
  <si>
    <t>DR SOLID SHEATH</t>
  </si>
  <si>
    <t>100058733PT</t>
  </si>
  <si>
    <t>190917253993</t>
  </si>
  <si>
    <t>190917253962</t>
  </si>
  <si>
    <t>732995509144</t>
  </si>
  <si>
    <t>WVN LIN CNVTB EMB TP</t>
  </si>
  <si>
    <t>100051428PT</t>
  </si>
  <si>
    <t>732995312881</t>
  </si>
  <si>
    <t>STRIPED BASIC JKT</t>
  </si>
  <si>
    <t>636206566400</t>
  </si>
  <si>
    <t>WVN RTAB LIN MLTI SH</t>
  </si>
  <si>
    <t>100041520MS</t>
  </si>
  <si>
    <t>100% LINEN</t>
  </si>
  <si>
    <t>190917256864</t>
  </si>
  <si>
    <t>190917256871</t>
  </si>
  <si>
    <t>190917256840</t>
  </si>
  <si>
    <t>8865926619</t>
  </si>
  <si>
    <t>LS SOLID TWL DNM JKT</t>
  </si>
  <si>
    <t>60127P143</t>
  </si>
  <si>
    <t>732995890228</t>
  </si>
  <si>
    <t>R TIE WAIST ANK STRT</t>
  </si>
  <si>
    <t>732995890273</t>
  </si>
  <si>
    <t>190917256192</t>
  </si>
  <si>
    <t>190917255720</t>
  </si>
  <si>
    <t>190917255737</t>
  </si>
  <si>
    <t>190917255706</t>
  </si>
  <si>
    <t>732996824802</t>
  </si>
  <si>
    <t>RUCHED HEM ANKLE PNT</t>
  </si>
  <si>
    <t>100059143WN</t>
  </si>
  <si>
    <t>726895721065</t>
  </si>
  <si>
    <t>WT SLD CROCHET SKIRT</t>
  </si>
  <si>
    <t>SHELL: RAYON/COTTON; TRIM AND LINING: COTTON</t>
  </si>
  <si>
    <t>732995831948</t>
  </si>
  <si>
    <t>732995585230</t>
  </si>
  <si>
    <t>BELL SLV CRNKLE TOP</t>
  </si>
  <si>
    <t>100051284WN</t>
  </si>
  <si>
    <t>RAYON/POLYESTER/SPANDEX; TRIM: COTTON</t>
  </si>
  <si>
    <t>732995811490</t>
  </si>
  <si>
    <t>732995841077</t>
  </si>
  <si>
    <t>C INCFINITY CROP</t>
  </si>
  <si>
    <t>0</t>
  </si>
  <si>
    <t>COTTON/POLYESTER/MODAL/LYOCELL/SPANDEX</t>
  </si>
  <si>
    <t>732995222760</t>
  </si>
  <si>
    <t>PN TC WWB SLIM</t>
  </si>
  <si>
    <t>72208RP</t>
  </si>
  <si>
    <t>COTTON/RAYON/SPANDEX; CONTROL PANEL: NYLON/SPANDEX</t>
  </si>
  <si>
    <t>732996340067</t>
  </si>
  <si>
    <t>726895880960</t>
  </si>
  <si>
    <t>732996228853</t>
  </si>
  <si>
    <t>DIAMNTE SHLDR PONCHO</t>
  </si>
  <si>
    <t>100054932WN</t>
  </si>
  <si>
    <t>JM COLLECTION-EDI/BRIGGS NEW YORK</t>
  </si>
  <si>
    <t>732996059747</t>
  </si>
  <si>
    <t>RAW EDGE RAINBW SHRT</t>
  </si>
  <si>
    <t>732995873160</t>
  </si>
  <si>
    <t>BTN SLV BOXY CRNKLE</t>
  </si>
  <si>
    <t>100061721WN</t>
  </si>
  <si>
    <t>RAYON/POLYESTER/SPANDEX; BUTTONS: PLASTIC</t>
  </si>
  <si>
    <t>732995838916</t>
  </si>
  <si>
    <t>LACE TRIM SKINNY CRP</t>
  </si>
  <si>
    <t>706258415619</t>
  </si>
  <si>
    <t>DNM FRISCO ZIP ANK</t>
  </si>
  <si>
    <t>100047081MS</t>
  </si>
  <si>
    <t>COTTON/VISCOSE/POLYESTER/SPANDEX</t>
  </si>
  <si>
    <t>732996001715</t>
  </si>
  <si>
    <t>DNM MEL LACE GNG CRP</t>
  </si>
  <si>
    <t>100055822MS</t>
  </si>
  <si>
    <t>732996052090</t>
  </si>
  <si>
    <t>WVN SL LIN BFT SHRT</t>
  </si>
  <si>
    <t>100054758MS</t>
  </si>
  <si>
    <t>732995100259</t>
  </si>
  <si>
    <t>732995100266</t>
  </si>
  <si>
    <t>732995100204</t>
  </si>
  <si>
    <t>732995100228</t>
  </si>
  <si>
    <t>732995100211</t>
  </si>
  <si>
    <t>732995921045</t>
  </si>
  <si>
    <t>FW PATCHWORK BLOUSE</t>
  </si>
  <si>
    <t>100054053MS</t>
  </si>
  <si>
    <t>732995921038</t>
  </si>
  <si>
    <t>887650842071</t>
  </si>
  <si>
    <t>SQUARE CRVY RNS SHT</t>
  </si>
  <si>
    <t>51931LR472</t>
  </si>
  <si>
    <t>18W PETITE</t>
  </si>
  <si>
    <t>732995412697</t>
  </si>
  <si>
    <t>MAG BR FX FLY SKNY</t>
  </si>
  <si>
    <t>732995061888</t>
  </si>
  <si>
    <t>FW RAGLAN TOP</t>
  </si>
  <si>
    <t>100047439MS</t>
  </si>
  <si>
    <t>706254460316</t>
  </si>
  <si>
    <t>732995834444</t>
  </si>
  <si>
    <t>PRINTED PONCHO</t>
  </si>
  <si>
    <t>100054912WN</t>
  </si>
  <si>
    <t>732995498141</t>
  </si>
  <si>
    <t>732996483061</t>
  </si>
  <si>
    <t>GROMMET TRIM PEASANT</t>
  </si>
  <si>
    <t>100066481P</t>
  </si>
  <si>
    <t>732996290799</t>
  </si>
  <si>
    <t>LEOPARD SKINNY ANKLE</t>
  </si>
  <si>
    <t>190917261462</t>
  </si>
  <si>
    <t>732996507859</t>
  </si>
  <si>
    <t>SHRT SLV EMBELL SLUB</t>
  </si>
  <si>
    <t>100059335WN</t>
  </si>
  <si>
    <t>732995509410</t>
  </si>
  <si>
    <t>WVN LIN BSKT PRNT SH</t>
  </si>
  <si>
    <t>100051431MS</t>
  </si>
  <si>
    <t>732995847802</t>
  </si>
  <si>
    <t>732995847833</t>
  </si>
  <si>
    <t>689439474264</t>
  </si>
  <si>
    <t>1X</t>
  </si>
  <si>
    <t>732995061758</t>
  </si>
  <si>
    <t>FW SPLIT CROCHET TOP</t>
  </si>
  <si>
    <t>100047433MS</t>
  </si>
  <si>
    <t>SHELL: MODAL; LACE: COTTON/POLYESTER; TRIM: COTTON</t>
  </si>
  <si>
    <t>732995061703</t>
  </si>
  <si>
    <t>732996498829</t>
  </si>
  <si>
    <t>100059496WN</t>
  </si>
  <si>
    <t>732995717693</t>
  </si>
  <si>
    <t>732995717686</t>
  </si>
  <si>
    <t>732995485097</t>
  </si>
  <si>
    <t>DR REGAL RADI SHORT</t>
  </si>
  <si>
    <t>100021882PT</t>
  </si>
  <si>
    <t>732996039770</t>
  </si>
  <si>
    <t>TXTRD NCKL TUNIC</t>
  </si>
  <si>
    <t>100054914MS</t>
  </si>
  <si>
    <t>732996220031</t>
  </si>
  <si>
    <t>732996220024</t>
  </si>
  <si>
    <t>732995993653</t>
  </si>
  <si>
    <t>FAUX EXTEND TAB CURV</t>
  </si>
  <si>
    <t>100055153MS</t>
  </si>
  <si>
    <t>732996219936</t>
  </si>
  <si>
    <t>732996220000</t>
  </si>
  <si>
    <t>732996119397</t>
  </si>
  <si>
    <t>SW MIX MEDIA BXY O/C</t>
  </si>
  <si>
    <t>100054087MS</t>
  </si>
  <si>
    <t>COTTON/ACRYLIC</t>
  </si>
  <si>
    <t>732996119403</t>
  </si>
  <si>
    <t>732995273113</t>
  </si>
  <si>
    <t>732995273083</t>
  </si>
  <si>
    <t>732995489606</t>
  </si>
  <si>
    <t>732996127323</t>
  </si>
  <si>
    <t>732995489538</t>
  </si>
  <si>
    <t>732995489668</t>
  </si>
  <si>
    <t>732995489675</t>
  </si>
  <si>
    <t>732995489583</t>
  </si>
  <si>
    <t>732995321654</t>
  </si>
  <si>
    <t>BTM PO WD LG CROCHET</t>
  </si>
  <si>
    <t>100053466MS</t>
  </si>
  <si>
    <t>732995719727</t>
  </si>
  <si>
    <t>732995488746</t>
  </si>
  <si>
    <t>DR LACE INSET SHORT</t>
  </si>
  <si>
    <t>100061444PT</t>
  </si>
  <si>
    <t>POLYESTER/VISCOSE/NYLON</t>
  </si>
  <si>
    <t>732995719741</t>
  </si>
  <si>
    <t>732995981889</t>
  </si>
  <si>
    <t>BT BLOSSOM RDG MAXI</t>
  </si>
  <si>
    <t>732995043044</t>
  </si>
  <si>
    <t>732995043075</t>
  </si>
  <si>
    <t>732995043051</t>
  </si>
  <si>
    <t>732995225655</t>
  </si>
  <si>
    <t>732996032443</t>
  </si>
  <si>
    <t>BT BANDANA PRINT MAX</t>
  </si>
  <si>
    <t>100060780P</t>
  </si>
  <si>
    <t>706257661956</t>
  </si>
  <si>
    <t>SWT LS OTTMN PT COMP</t>
  </si>
  <si>
    <t>100011483PT</t>
  </si>
  <si>
    <t>689439181346</t>
  </si>
  <si>
    <t>SLD HVY JSY SWING TP BASIC</t>
  </si>
  <si>
    <t>7999DPB677</t>
  </si>
  <si>
    <t>732995636840</t>
  </si>
  <si>
    <t>732996261256</t>
  </si>
  <si>
    <t>732996261249</t>
  </si>
  <si>
    <t>732995400328</t>
  </si>
  <si>
    <t>CW VNK LACE UP TOP</t>
  </si>
  <si>
    <t>100047736MS</t>
  </si>
  <si>
    <t>732996078496</t>
  </si>
  <si>
    <t>732996197586</t>
  </si>
  <si>
    <t>732996197593</t>
  </si>
  <si>
    <t>732996197555</t>
  </si>
  <si>
    <t>732996197647</t>
  </si>
  <si>
    <t>732996200798</t>
  </si>
  <si>
    <t>732996200811</t>
  </si>
  <si>
    <t>732995221824</t>
  </si>
  <si>
    <t>732996079752</t>
  </si>
  <si>
    <t>FK FLORAL SLVLES TOP</t>
  </si>
  <si>
    <t>100054297MS</t>
  </si>
  <si>
    <t>732995060416</t>
  </si>
  <si>
    <t>DNM WHITE LEX REG</t>
  </si>
  <si>
    <t>100047091PT</t>
  </si>
  <si>
    <t>732996237152</t>
  </si>
  <si>
    <t>CHFFN HEM RNG FL ROM</t>
  </si>
  <si>
    <t>100054918MS</t>
  </si>
  <si>
    <t>887650923367</t>
  </si>
  <si>
    <t>SPLIT GROM CRHT CAPR</t>
  </si>
  <si>
    <t>100022657P</t>
  </si>
  <si>
    <t>732994977197</t>
  </si>
  <si>
    <t>KNT WLLPAPR CRPE TOP</t>
  </si>
  <si>
    <t>100048622MS</t>
  </si>
  <si>
    <t>732995636444</t>
  </si>
  <si>
    <t>BTM SLD CHINTZ SHORT</t>
  </si>
  <si>
    <t>100053467MS</t>
  </si>
  <si>
    <t>732995636352</t>
  </si>
  <si>
    <t>732995636284</t>
  </si>
  <si>
    <t>732995525441</t>
  </si>
  <si>
    <t>732995757910</t>
  </si>
  <si>
    <t>FW KRINKLE KIMONO</t>
  </si>
  <si>
    <t>100054021MS</t>
  </si>
  <si>
    <t>732995757903</t>
  </si>
  <si>
    <t>732996235684</t>
  </si>
  <si>
    <t>PT RUCHD SLV GGT TOP BASIC</t>
  </si>
  <si>
    <t>100055011MS</t>
  </si>
  <si>
    <t>822980068586</t>
  </si>
  <si>
    <t>822980068609</t>
  </si>
  <si>
    <t>732995726367</t>
  </si>
  <si>
    <t>732995720082</t>
  </si>
  <si>
    <t>887650912088</t>
  </si>
  <si>
    <t>887650912095</t>
  </si>
  <si>
    <t>732995717419</t>
  </si>
  <si>
    <t>CW PRINT TIE FRONT</t>
  </si>
  <si>
    <t>100053245MS</t>
  </si>
  <si>
    <t>732995717334</t>
  </si>
  <si>
    <t>732995717327</t>
  </si>
  <si>
    <t>732995094671</t>
  </si>
  <si>
    <t>732995094626</t>
  </si>
  <si>
    <t>732995094688</t>
  </si>
  <si>
    <t>732995717341</t>
  </si>
  <si>
    <t>732995749991</t>
  </si>
  <si>
    <t>FW FLUTTERSLV KIMONO</t>
  </si>
  <si>
    <t>100054022MS</t>
  </si>
  <si>
    <t>706258958499</t>
  </si>
  <si>
    <t>3/4 ZIP FRONT ZEBRA</t>
  </si>
  <si>
    <t>732996229119</t>
  </si>
  <si>
    <t>732996229096</t>
  </si>
  <si>
    <t>887650925170</t>
  </si>
  <si>
    <t>52123IF460</t>
  </si>
  <si>
    <t>806864010359</t>
  </si>
  <si>
    <t>ACTIVE EASE CAPRI</t>
  </si>
  <si>
    <t>732996158587</t>
  </si>
  <si>
    <t>732996158594</t>
  </si>
  <si>
    <t>732996158501</t>
  </si>
  <si>
    <t>732996158600</t>
  </si>
  <si>
    <t>732996471273</t>
  </si>
  <si>
    <t>732996158624</t>
  </si>
  <si>
    <t>732996507651</t>
  </si>
  <si>
    <t>3/4 YNCK TUN JNGL FL</t>
  </si>
  <si>
    <t>100059321WN</t>
  </si>
  <si>
    <t>732996166636</t>
  </si>
  <si>
    <t>100054400P</t>
  </si>
  <si>
    <t>726895877656</t>
  </si>
  <si>
    <t>704976047723</t>
  </si>
  <si>
    <t>ELBW SLV V NCK RFFLE DR</t>
  </si>
  <si>
    <t>PLAD0290</t>
  </si>
  <si>
    <t>SHELL: POLYESTER/SPANDEX; LINING: POLYESTER</t>
  </si>
  <si>
    <t>190917250251</t>
  </si>
  <si>
    <t>POINTELLE CARDIGAN WITH</t>
  </si>
  <si>
    <t>1017-MS090</t>
  </si>
  <si>
    <t>806864006390</t>
  </si>
  <si>
    <t>806864007700</t>
  </si>
  <si>
    <t>732996030494</t>
  </si>
  <si>
    <t>BTM TOMMY DOT SKRT</t>
  </si>
  <si>
    <t>100054607PT</t>
  </si>
  <si>
    <t>BODY: RAYON/POLYESTER/NYLON/SPANDEX; LININIG: POLYESTER</t>
  </si>
  <si>
    <t>805004105801</t>
  </si>
  <si>
    <t>C TIKGLO CASUAL SHOR BASIC</t>
  </si>
  <si>
    <t>100020667M</t>
  </si>
  <si>
    <t>732995456769</t>
  </si>
  <si>
    <t>732995073485</t>
  </si>
  <si>
    <t>732995073461</t>
  </si>
  <si>
    <t>732995073492</t>
  </si>
  <si>
    <t>732995573312</t>
  </si>
  <si>
    <t>SAND STORM CVY SKNY</t>
  </si>
  <si>
    <t>732995043518</t>
  </si>
  <si>
    <t>FW MEDLEY BLOUSE</t>
  </si>
  <si>
    <t>100049948MS</t>
  </si>
  <si>
    <t>732995043501</t>
  </si>
  <si>
    <t>806864669380</t>
  </si>
  <si>
    <t>806864679143</t>
  </si>
  <si>
    <t>732995043532</t>
  </si>
  <si>
    <t>732995043549</t>
  </si>
  <si>
    <t>726895847888</t>
  </si>
  <si>
    <t>IK SLVLS EMB BIB DRS</t>
  </si>
  <si>
    <t>732996430744</t>
  </si>
  <si>
    <t>GRMMT SLV SQ NCK TOP</t>
  </si>
  <si>
    <t>100059331MS</t>
  </si>
  <si>
    <t>732995765045</t>
  </si>
  <si>
    <t>732995765007</t>
  </si>
  <si>
    <t>732995765014</t>
  </si>
  <si>
    <t>887650382621</t>
  </si>
  <si>
    <t>887650382614</t>
  </si>
  <si>
    <t>S P</t>
  </si>
  <si>
    <t>887650382638</t>
  </si>
  <si>
    <t>20W</t>
  </si>
  <si>
    <t>806864670096</t>
  </si>
  <si>
    <t>ZIPPER CARGO BERMUDA</t>
  </si>
  <si>
    <t>100009313P</t>
  </si>
  <si>
    <t>190917254105</t>
  </si>
  <si>
    <t>885779850038</t>
  </si>
  <si>
    <t>732995457124</t>
  </si>
  <si>
    <t>100050215MS</t>
  </si>
  <si>
    <t>732995457100</t>
  </si>
  <si>
    <t>732995457117</t>
  </si>
  <si>
    <t>732995708660</t>
  </si>
  <si>
    <t>ROUCHED HEM CROP</t>
  </si>
  <si>
    <t>100051870P</t>
  </si>
  <si>
    <t>704976219830</t>
  </si>
  <si>
    <t>CAP SLV RND NCK HI L</t>
  </si>
  <si>
    <t>PITD3855</t>
  </si>
  <si>
    <t>MADE IN USA OF IMPORTED MATERIALS</t>
  </si>
  <si>
    <t>732995957631</t>
  </si>
  <si>
    <t>CW 3/4 PRINT PINTUCK</t>
  </si>
  <si>
    <t>100054098MS</t>
  </si>
  <si>
    <t>732995400847</t>
  </si>
  <si>
    <t>100047230MS</t>
  </si>
  <si>
    <t>822980756780</t>
  </si>
  <si>
    <t>822980756872</t>
  </si>
  <si>
    <t>732996454634</t>
  </si>
  <si>
    <t>BT SELF BELT SHORT</t>
  </si>
  <si>
    <t>765215861906</t>
  </si>
  <si>
    <t>732996532110</t>
  </si>
  <si>
    <t>BTM RNS HIGH RISE FL</t>
  </si>
  <si>
    <t>100045534MS</t>
  </si>
  <si>
    <t>732995728941</t>
  </si>
  <si>
    <t>806864890692</t>
  </si>
  <si>
    <t>191594816594</t>
  </si>
  <si>
    <t>100013308P</t>
  </si>
  <si>
    <t>608381467445</t>
  </si>
  <si>
    <t>608381467438</t>
  </si>
  <si>
    <t>732994064491</t>
  </si>
  <si>
    <t>732995723144</t>
  </si>
  <si>
    <t>FW TIE FRONT TOP</t>
  </si>
  <si>
    <t>100060617MS</t>
  </si>
  <si>
    <t>806864669533</t>
  </si>
  <si>
    <t>636206192234</t>
  </si>
  <si>
    <t>636202363782</t>
  </si>
  <si>
    <t>636206188824</t>
  </si>
  <si>
    <t>732996266725</t>
  </si>
  <si>
    <t>732995185461</t>
  </si>
  <si>
    <t>732995550122</t>
  </si>
  <si>
    <t>887650602323</t>
  </si>
  <si>
    <t>52123WH460</t>
  </si>
  <si>
    <t>887650602415</t>
  </si>
  <si>
    <t>732996141930</t>
  </si>
  <si>
    <t>BELTD CRVY SLM CAPRI</t>
  </si>
  <si>
    <t>732995938999</t>
  </si>
  <si>
    <t>3/4 FT REBEL STRP JT</t>
  </si>
  <si>
    <t>100049964MS</t>
  </si>
  <si>
    <t>726895884036</t>
  </si>
  <si>
    <t>732995026153</t>
  </si>
  <si>
    <t>BTM SLD CHINO SHRT</t>
  </si>
  <si>
    <t>100046726PT</t>
  </si>
  <si>
    <t>732996192437</t>
  </si>
  <si>
    <t>DNM SLD 5PK CUF SHRT</t>
  </si>
  <si>
    <t>100062622MS</t>
  </si>
  <si>
    <t>732994764803</t>
  </si>
  <si>
    <t>ELLA PULL ON BF</t>
  </si>
  <si>
    <t>636193195553</t>
  </si>
  <si>
    <t>732996334158</t>
  </si>
  <si>
    <t>FW MULTI EMB TANK</t>
  </si>
  <si>
    <t>100066626PT</t>
  </si>
  <si>
    <t>636193212236</t>
  </si>
  <si>
    <t>636193216357</t>
  </si>
  <si>
    <t>636193216340</t>
  </si>
  <si>
    <t>732995030105</t>
  </si>
  <si>
    <t>WIDE CROP FRAY</t>
  </si>
  <si>
    <t>887650887744</t>
  </si>
  <si>
    <t>52126WH477</t>
  </si>
  <si>
    <t>887650887737</t>
  </si>
  <si>
    <t>732996416526</t>
  </si>
  <si>
    <t>732996415635</t>
  </si>
  <si>
    <t>100054595MS</t>
  </si>
  <si>
    <t>732995460452</t>
  </si>
  <si>
    <t>732996306544</t>
  </si>
  <si>
    <t>726895455984</t>
  </si>
  <si>
    <t>726895807417</t>
  </si>
  <si>
    <t>732995889185</t>
  </si>
  <si>
    <t>C BTTNFRNT SLIT SKRT</t>
  </si>
  <si>
    <t>706257185575</t>
  </si>
  <si>
    <t>732995462241</t>
  </si>
  <si>
    <t>732995848489</t>
  </si>
  <si>
    <t>SATIN SPLITNCK SUB BASIC</t>
  </si>
  <si>
    <t>100060621MS</t>
  </si>
  <si>
    <t>JM COLLECTION/ONE WORLD</t>
  </si>
  <si>
    <t>BODY AND SLEEVE: POLYESTER</t>
  </si>
  <si>
    <t>732995407884</t>
  </si>
  <si>
    <t>732995407907</t>
  </si>
  <si>
    <t>732996121864</t>
  </si>
  <si>
    <t>BT ZIG ZAG SHRT CAMO</t>
  </si>
  <si>
    <t>732995097412</t>
  </si>
  <si>
    <t>732995097375</t>
  </si>
  <si>
    <t>806864673936</t>
  </si>
  <si>
    <t>806864668666</t>
  </si>
  <si>
    <t>806864668680</t>
  </si>
  <si>
    <t>806864668635</t>
  </si>
  <si>
    <t>806864673950</t>
  </si>
  <si>
    <t>806864668758</t>
  </si>
  <si>
    <t>732995959338</t>
  </si>
  <si>
    <t>SWT LINEN BOLERO</t>
  </si>
  <si>
    <t>100054417MS</t>
  </si>
  <si>
    <t>732996053226</t>
  </si>
  <si>
    <t>BTTRFLY SLEEVE SUB BASIC</t>
  </si>
  <si>
    <t>100061140PT</t>
  </si>
  <si>
    <t>732996053172</t>
  </si>
  <si>
    <t>732996053240</t>
  </si>
  <si>
    <t>608381264129</t>
  </si>
  <si>
    <t>KNT SS CRCL TRM TOP</t>
  </si>
  <si>
    <t>100021730MS</t>
  </si>
  <si>
    <t>732995048940</t>
  </si>
  <si>
    <t>732996039237</t>
  </si>
  <si>
    <t>EMBL DLMN TRLNG TRSR</t>
  </si>
  <si>
    <t>100054885MS</t>
  </si>
  <si>
    <t>732994893756</t>
  </si>
  <si>
    <t>732994893602</t>
  </si>
  <si>
    <t>732994893619</t>
  </si>
  <si>
    <t>732994893893</t>
  </si>
  <si>
    <t>732996333595</t>
  </si>
  <si>
    <t>732996078847</t>
  </si>
  <si>
    <t>8865650507</t>
  </si>
  <si>
    <t>822982698781</t>
  </si>
  <si>
    <t>53566DG819</t>
  </si>
  <si>
    <t>732995090802</t>
  </si>
  <si>
    <t>KNT 3/4 CRCHT SLV TP</t>
  </si>
  <si>
    <t>100048821PT</t>
  </si>
  <si>
    <t>732995093575</t>
  </si>
  <si>
    <t>732995416947</t>
  </si>
  <si>
    <t>732995416916</t>
  </si>
  <si>
    <t>732995093483</t>
  </si>
  <si>
    <t>732996079202</t>
  </si>
  <si>
    <t>732996079219</t>
  </si>
  <si>
    <t>732994942720</t>
  </si>
  <si>
    <t>732996071947</t>
  </si>
  <si>
    <t>732996071855</t>
  </si>
  <si>
    <t>732996071831</t>
  </si>
  <si>
    <t>732995045284</t>
  </si>
  <si>
    <t>100047120MS</t>
  </si>
  <si>
    <t>190797087978</t>
  </si>
  <si>
    <t>54667BT819</t>
  </si>
  <si>
    <t>190797087954</t>
  </si>
  <si>
    <t>191594811261</t>
  </si>
  <si>
    <t>8865777587</t>
  </si>
  <si>
    <t>726895917963</t>
  </si>
  <si>
    <t>732996119618</t>
  </si>
  <si>
    <t>732996356334</t>
  </si>
  <si>
    <t>100055407PT</t>
  </si>
  <si>
    <t>732995720013</t>
  </si>
  <si>
    <t>FW PINTUC SLVLES TOP</t>
  </si>
  <si>
    <t>100054026MS</t>
  </si>
  <si>
    <t>706257550052</t>
  </si>
  <si>
    <t>ZIGZAG CARGO CHAMBRA BASIC</t>
  </si>
  <si>
    <t>54675CH151</t>
  </si>
  <si>
    <t>190917246506</t>
  </si>
  <si>
    <t>SS GAUZE TIE</t>
  </si>
  <si>
    <t>718-B165</t>
  </si>
  <si>
    <t>BRGHTORANG</t>
  </si>
  <si>
    <t>RAYON/POLYESTER; LINING; POLYESTER</t>
  </si>
  <si>
    <t>726895777123</t>
  </si>
  <si>
    <t>726895378665</t>
  </si>
  <si>
    <t>726895585179</t>
  </si>
  <si>
    <t>726895378627</t>
  </si>
  <si>
    <t>726895378405</t>
  </si>
  <si>
    <t>726895378481</t>
  </si>
  <si>
    <t>726895585131</t>
  </si>
  <si>
    <t>732995768084</t>
  </si>
  <si>
    <t>FW EMB FLUTERSLV TOP</t>
  </si>
  <si>
    <t>100060619PT</t>
  </si>
  <si>
    <t>POLYESTER/SPANDEX/RAYON; TRIM: COTTON</t>
  </si>
  <si>
    <t>732996268835</t>
  </si>
  <si>
    <t>706257754269</t>
  </si>
  <si>
    <t>706257754054</t>
  </si>
  <si>
    <t>732995509618</t>
  </si>
  <si>
    <t>732995092813</t>
  </si>
  <si>
    <t>732996524719</t>
  </si>
  <si>
    <t>BORDER WRAP BLOUSE</t>
  </si>
  <si>
    <t>100066009P</t>
  </si>
  <si>
    <t>732996301105</t>
  </si>
  <si>
    <t>732996301082</t>
  </si>
  <si>
    <t>732996301037</t>
  </si>
  <si>
    <t>732996301013</t>
  </si>
  <si>
    <t>732996301099</t>
  </si>
  <si>
    <t>726895121711</t>
  </si>
  <si>
    <t>54676NU151</t>
  </si>
  <si>
    <t>706257549452</t>
  </si>
  <si>
    <t>706257549513</t>
  </si>
  <si>
    <t>54676WT151</t>
  </si>
  <si>
    <t>706257549476</t>
  </si>
  <si>
    <t>732997320044</t>
  </si>
  <si>
    <t>LS GAUZE TIE FRONT</t>
  </si>
  <si>
    <t>100075747P</t>
  </si>
  <si>
    <t>765215454955</t>
  </si>
  <si>
    <t>TMMY COMFORT STRAIGH</t>
  </si>
  <si>
    <t>53693KG151</t>
  </si>
  <si>
    <t>POLYESTER/RAYON/SPANDEX; TRIM: NYLON/SPANDEX</t>
  </si>
  <si>
    <t>765215454962</t>
  </si>
  <si>
    <t>765215454986</t>
  </si>
  <si>
    <t>732995855098</t>
  </si>
  <si>
    <t>SLVL LOW SCOOP MAXI</t>
  </si>
  <si>
    <t>100054062MS</t>
  </si>
  <si>
    <t>732995502626</t>
  </si>
  <si>
    <t>732995502572</t>
  </si>
  <si>
    <t>732995402810</t>
  </si>
  <si>
    <t>732995402834</t>
  </si>
  <si>
    <t>887650565802</t>
  </si>
  <si>
    <t>608356851484</t>
  </si>
  <si>
    <t>POLYESTER/SPANDEX; MESH: POLYESTER</t>
  </si>
  <si>
    <t>887650598817</t>
  </si>
  <si>
    <t>732996078809</t>
  </si>
  <si>
    <t>8865640751</t>
  </si>
  <si>
    <t>54719MH819</t>
  </si>
  <si>
    <t>191594810943</t>
  </si>
  <si>
    <t>191594810936</t>
  </si>
  <si>
    <t>191594810585</t>
  </si>
  <si>
    <t>190797827536</t>
  </si>
  <si>
    <t>RAIL TUMMY STRAIGHT BASIC</t>
  </si>
  <si>
    <t>54719TO819</t>
  </si>
  <si>
    <t>RUSTCOPPER</t>
  </si>
  <si>
    <t>689439463695</t>
  </si>
  <si>
    <t>732996080000</t>
  </si>
  <si>
    <t>FK WRAP TIEFRON TOP</t>
  </si>
  <si>
    <t>100054296MS</t>
  </si>
  <si>
    <t>732996325699</t>
  </si>
  <si>
    <t>BELTED SHORT</t>
  </si>
  <si>
    <t>191594817737</t>
  </si>
  <si>
    <t>100006764P</t>
  </si>
  <si>
    <t>8865730353</t>
  </si>
  <si>
    <t>191594810875</t>
  </si>
  <si>
    <t>191594813555</t>
  </si>
  <si>
    <t>191594813579</t>
  </si>
  <si>
    <t>8865730445</t>
  </si>
  <si>
    <t>706254462693</t>
  </si>
  <si>
    <t>706254462723</t>
  </si>
  <si>
    <t>706254462709</t>
  </si>
  <si>
    <t>706254462877</t>
  </si>
  <si>
    <t>8865749539</t>
  </si>
  <si>
    <t>608381446921</t>
  </si>
  <si>
    <t>706254461580</t>
  </si>
  <si>
    <t>8865730476</t>
  </si>
  <si>
    <t>706254397421</t>
  </si>
  <si>
    <t>COTTON/POLYESTER/VISCOSE</t>
  </si>
  <si>
    <t>636202740323</t>
  </si>
  <si>
    <t>191594813616</t>
  </si>
  <si>
    <t>732996163147</t>
  </si>
  <si>
    <t>732996264837</t>
  </si>
  <si>
    <t>732996264714</t>
  </si>
  <si>
    <t>732996120058</t>
  </si>
  <si>
    <t>732996120065</t>
  </si>
  <si>
    <t>732996264974</t>
  </si>
  <si>
    <t>732996264813</t>
  </si>
  <si>
    <t>732996078892</t>
  </si>
  <si>
    <t>732995815412</t>
  </si>
  <si>
    <t>S/S LIBRTY GRDN DRES</t>
  </si>
  <si>
    <t>100050993PT</t>
  </si>
  <si>
    <t>732995644067</t>
  </si>
  <si>
    <t>BT EYELET PKT SHORT</t>
  </si>
  <si>
    <t>732995754995</t>
  </si>
  <si>
    <t>KNT FLTR FLRL KYHL</t>
  </si>
  <si>
    <t>100054509MS</t>
  </si>
  <si>
    <t>706255137132</t>
  </si>
  <si>
    <t>706255138672</t>
  </si>
  <si>
    <t>706255146929</t>
  </si>
  <si>
    <t>706255137156</t>
  </si>
  <si>
    <t>706255145373</t>
  </si>
  <si>
    <t>732995011005</t>
  </si>
  <si>
    <t>732996095431</t>
  </si>
  <si>
    <t>CK PSNTNK SS SLD EMB</t>
  </si>
  <si>
    <t>100055334MS</t>
  </si>
  <si>
    <t>689439297108</t>
  </si>
  <si>
    <t>689439300501</t>
  </si>
  <si>
    <t>732996078540</t>
  </si>
  <si>
    <t>FK ROUCHED TOP</t>
  </si>
  <si>
    <t>100056052MS</t>
  </si>
  <si>
    <t>732996078564</t>
  </si>
  <si>
    <t>732996078533</t>
  </si>
  <si>
    <t>732996078625</t>
  </si>
  <si>
    <t>732994892353</t>
  </si>
  <si>
    <t>732994892308</t>
  </si>
  <si>
    <t>732995065688</t>
  </si>
  <si>
    <t>732994892339</t>
  </si>
  <si>
    <t>706257302941</t>
  </si>
  <si>
    <t>887650555216</t>
  </si>
  <si>
    <t>706258762027</t>
  </si>
  <si>
    <t>KNIT TWILL LEGGING</t>
  </si>
  <si>
    <t>54746P</t>
  </si>
  <si>
    <t>732996087955</t>
  </si>
  <si>
    <t>100051586MS</t>
  </si>
  <si>
    <t>732996087948</t>
  </si>
  <si>
    <t>732996206868</t>
  </si>
  <si>
    <t>732996206752</t>
  </si>
  <si>
    <t>732996206851</t>
  </si>
  <si>
    <t>732996206776</t>
  </si>
  <si>
    <t>732996206387</t>
  </si>
  <si>
    <t>732996206585</t>
  </si>
  <si>
    <t>732996206479</t>
  </si>
  <si>
    <t>732995815030</t>
  </si>
  <si>
    <t>ELB PALM REVIVL DRS</t>
  </si>
  <si>
    <t>100050984PT</t>
  </si>
  <si>
    <t>689439398843</t>
  </si>
  <si>
    <t>732995813708</t>
  </si>
  <si>
    <t>ELB LEAFY JUNGL DRES</t>
  </si>
  <si>
    <t>100050975PT</t>
  </si>
  <si>
    <t>732996108896</t>
  </si>
  <si>
    <t>100051585PT</t>
  </si>
  <si>
    <t>POLYESTER/RAYON; TRIM: POLYESTER; CROCHET: COTTON</t>
  </si>
  <si>
    <t>732996108902</t>
  </si>
  <si>
    <t>732996108889</t>
  </si>
  <si>
    <t>732996503714</t>
  </si>
  <si>
    <t>732996503677</t>
  </si>
  <si>
    <t>732995029871</t>
  </si>
  <si>
    <t>KNIT CUFFD LITE SHRT</t>
  </si>
  <si>
    <t>732995029857</t>
  </si>
  <si>
    <t>KNIT CUFFD MID SHORT</t>
  </si>
  <si>
    <t>732995029864</t>
  </si>
  <si>
    <t>636189562048</t>
  </si>
  <si>
    <t>732996094052</t>
  </si>
  <si>
    <t>CK PRNTD SS SIDEKNOT</t>
  </si>
  <si>
    <t>100054120MS</t>
  </si>
  <si>
    <t>636189561744</t>
  </si>
  <si>
    <t>636189561843</t>
  </si>
  <si>
    <t>636189562000</t>
  </si>
  <si>
    <t>636189561997</t>
  </si>
  <si>
    <t>732996134338</t>
  </si>
  <si>
    <t>732996134345</t>
  </si>
  <si>
    <t>732996196114</t>
  </si>
  <si>
    <t>732994580120</t>
  </si>
  <si>
    <t>100028164PT</t>
  </si>
  <si>
    <t>732994580151</t>
  </si>
  <si>
    <t>732994580144</t>
  </si>
  <si>
    <t>732994552073</t>
  </si>
  <si>
    <t>732994551878</t>
  </si>
  <si>
    <t>732994552851</t>
  </si>
  <si>
    <t>732994551809</t>
  </si>
  <si>
    <t>732994552882</t>
  </si>
  <si>
    <t>732994551793</t>
  </si>
  <si>
    <t>732994551861</t>
  </si>
  <si>
    <t>732994552028</t>
  </si>
  <si>
    <t>732994551847</t>
  </si>
  <si>
    <t>732994552905</t>
  </si>
  <si>
    <t>732994580137</t>
  </si>
  <si>
    <t>689439513154</t>
  </si>
  <si>
    <t>SPRINGTIME POSY SKRT</t>
  </si>
  <si>
    <t>100041515PT</t>
  </si>
  <si>
    <t>706257521830</t>
  </si>
  <si>
    <t>54425MH805</t>
  </si>
  <si>
    <t>190917250510</t>
  </si>
  <si>
    <t>732996109589</t>
  </si>
  <si>
    <t>100054120PT</t>
  </si>
  <si>
    <t>8864323778</t>
  </si>
  <si>
    <t>FASHION CUFF CAPRI</t>
  </si>
  <si>
    <t>732994579841</t>
  </si>
  <si>
    <t>732994579827</t>
  </si>
  <si>
    <t>732994552721</t>
  </si>
  <si>
    <t>689439400645</t>
  </si>
  <si>
    <t>732994552769</t>
  </si>
  <si>
    <t>689439400683</t>
  </si>
  <si>
    <t>689439400614</t>
  </si>
  <si>
    <t>732994552608</t>
  </si>
  <si>
    <t>732994552622</t>
  </si>
  <si>
    <t>732994552660</t>
  </si>
  <si>
    <t>732994552578</t>
  </si>
  <si>
    <t>732994552738</t>
  </si>
  <si>
    <t>732994552684</t>
  </si>
  <si>
    <t>732994552592</t>
  </si>
  <si>
    <t>689439400621</t>
  </si>
  <si>
    <t>689439400584</t>
  </si>
  <si>
    <t>689439400690</t>
  </si>
  <si>
    <t>732994579773</t>
  </si>
  <si>
    <t>732994579797</t>
  </si>
  <si>
    <t>732994819688</t>
  </si>
  <si>
    <t>732996361048</t>
  </si>
  <si>
    <t>732995939750</t>
  </si>
  <si>
    <t>732995407853</t>
  </si>
  <si>
    <t>CK PRNTD ONOFF SHOUL</t>
  </si>
  <si>
    <t>100053868MS</t>
  </si>
  <si>
    <t>732995407846</t>
  </si>
  <si>
    <t>732995727326</t>
  </si>
  <si>
    <t>CK SPLTNK SS PRINT</t>
  </si>
  <si>
    <t>100053286MS</t>
  </si>
  <si>
    <t>COTTON/MODAL; CROCHET: POLYESTER</t>
  </si>
  <si>
    <t>732996095349</t>
  </si>
  <si>
    <t>732995727357</t>
  </si>
  <si>
    <t>732994344371</t>
  </si>
  <si>
    <t>732994344753</t>
  </si>
  <si>
    <t>732994344401</t>
  </si>
  <si>
    <t>732994344586</t>
  </si>
  <si>
    <t>732994344579</t>
  </si>
  <si>
    <t>732994344746</t>
  </si>
  <si>
    <t>732994344463</t>
  </si>
  <si>
    <t>732994344623</t>
  </si>
  <si>
    <t>732994344722</t>
  </si>
  <si>
    <t>732994344395</t>
  </si>
  <si>
    <t>732995743197</t>
  </si>
  <si>
    <t>S/S POSEY PLAID SHRT</t>
  </si>
  <si>
    <t>100049730PT</t>
  </si>
  <si>
    <t>732995743067</t>
  </si>
  <si>
    <t>S/S IRIS BLISS SHIRT</t>
  </si>
  <si>
    <t>100049728PT</t>
  </si>
  <si>
    <t>732995526554</t>
  </si>
  <si>
    <t>S/S CIRCLE CLIP DOT</t>
  </si>
  <si>
    <t>100049700PT</t>
  </si>
  <si>
    <t>732995748604</t>
  </si>
  <si>
    <t>100049728MS</t>
  </si>
  <si>
    <t>732995743029</t>
  </si>
  <si>
    <t>732995034165</t>
  </si>
  <si>
    <t>732995034172</t>
  </si>
  <si>
    <t>732995737127</t>
  </si>
  <si>
    <t>732995736939</t>
  </si>
  <si>
    <t>732995736885</t>
  </si>
  <si>
    <t>732995736908</t>
  </si>
  <si>
    <t>732994810654</t>
  </si>
  <si>
    <t>S/S SEAM FRONT DRESS</t>
  </si>
  <si>
    <t>100039307PT</t>
  </si>
  <si>
    <t>732995737066</t>
  </si>
  <si>
    <t>732995716665</t>
  </si>
  <si>
    <t>FK SCP SS SIDE TIE</t>
  </si>
  <si>
    <t>100047576MS</t>
  </si>
  <si>
    <t>732995716689</t>
  </si>
  <si>
    <t>732995145083</t>
  </si>
  <si>
    <t>732995475258</t>
  </si>
  <si>
    <t>190917251166</t>
  </si>
  <si>
    <t>CRISS CROSS DETAIL</t>
  </si>
  <si>
    <t>818-CSB307</t>
  </si>
  <si>
    <t>190917251135</t>
  </si>
  <si>
    <t>732995401493</t>
  </si>
  <si>
    <t>732995162349</t>
  </si>
  <si>
    <t>732995162332</t>
  </si>
  <si>
    <t>732995401509</t>
  </si>
  <si>
    <t>732996385822</t>
  </si>
  <si>
    <t>ELB HAVANA FLR SPLIT</t>
  </si>
  <si>
    <t>100050963MS</t>
  </si>
  <si>
    <t>732996236469</t>
  </si>
  <si>
    <t>732996236476</t>
  </si>
  <si>
    <t>732996236797</t>
  </si>
  <si>
    <t>191594519563</t>
  </si>
  <si>
    <t>100004891P</t>
  </si>
  <si>
    <t>732994810265</t>
  </si>
  <si>
    <t>732994810357</t>
  </si>
  <si>
    <t>732994810289</t>
  </si>
  <si>
    <t>732996342870</t>
  </si>
  <si>
    <t>100058169MS</t>
  </si>
  <si>
    <t>732995806038</t>
  </si>
  <si>
    <t>100053302MS</t>
  </si>
  <si>
    <t>732994963992</t>
  </si>
  <si>
    <t>PRINTED PLEAT NECK</t>
  </si>
  <si>
    <t>100011798MS</t>
  </si>
  <si>
    <t>732996342863</t>
  </si>
  <si>
    <t>732996089928</t>
  </si>
  <si>
    <t>IK VNK SS CROCHET TP</t>
  </si>
  <si>
    <t>732996163932</t>
  </si>
  <si>
    <t>BT PIN STRIPE S SHRT</t>
  </si>
  <si>
    <t>732996298160</t>
  </si>
  <si>
    <t>732996298184</t>
  </si>
  <si>
    <t>732996298177</t>
  </si>
  <si>
    <t>732996204796</t>
  </si>
  <si>
    <t>S/S BANDANA DAZL SCP</t>
  </si>
  <si>
    <t>100049908PT</t>
  </si>
  <si>
    <t>732995746266</t>
  </si>
  <si>
    <t>DENIM CURVE PT SHORT</t>
  </si>
  <si>
    <t>100036096MS</t>
  </si>
  <si>
    <t>732995746242</t>
  </si>
  <si>
    <t>732996299082</t>
  </si>
  <si>
    <t>100018041P</t>
  </si>
  <si>
    <t>732996299075</t>
  </si>
  <si>
    <t>732995718300</t>
  </si>
  <si>
    <t>732995718294</t>
  </si>
  <si>
    <t>732995718270</t>
  </si>
  <si>
    <t>732995718355</t>
  </si>
  <si>
    <t>732995718348</t>
  </si>
  <si>
    <t>726895155402</t>
  </si>
  <si>
    <t>EDNA DENIM CAPRI</t>
  </si>
  <si>
    <t>100046121PT</t>
  </si>
  <si>
    <t>732995731897</t>
  </si>
  <si>
    <t>DAHLIA DENIM CAPRI</t>
  </si>
  <si>
    <t>100055769MS</t>
  </si>
  <si>
    <t>726895154573</t>
  </si>
  <si>
    <t>100046121MS</t>
  </si>
  <si>
    <t>726895154597</t>
  </si>
  <si>
    <t>726895154566</t>
  </si>
  <si>
    <t>732995747911</t>
  </si>
  <si>
    <t>732995747768</t>
  </si>
  <si>
    <t>732995747775</t>
  </si>
  <si>
    <t>732995747782</t>
  </si>
  <si>
    <t>732995747393</t>
  </si>
  <si>
    <t>732995747942</t>
  </si>
  <si>
    <t>732996645964</t>
  </si>
  <si>
    <t>3/4 BLOOM PEONY BOAT</t>
  </si>
  <si>
    <t>100060700MS</t>
  </si>
  <si>
    <t>732995580945</t>
  </si>
  <si>
    <t>S/S GARDEN PALS BOAT</t>
  </si>
  <si>
    <t>100039087MS</t>
  </si>
  <si>
    <t>732995747737</t>
  </si>
  <si>
    <t>732996386041</t>
  </si>
  <si>
    <t>ELB MIAMI SHINE SCP</t>
  </si>
  <si>
    <t>100050967MS</t>
  </si>
  <si>
    <t>732995795325</t>
  </si>
  <si>
    <t>100056284MS</t>
  </si>
  <si>
    <t>732995712100</t>
  </si>
  <si>
    <t>SS VNK RND STP HM GR</t>
  </si>
  <si>
    <t>100056282MS</t>
  </si>
  <si>
    <t>732996602097</t>
  </si>
  <si>
    <t>732995794335</t>
  </si>
  <si>
    <t>100056256MS</t>
  </si>
  <si>
    <t>732995712414</t>
  </si>
  <si>
    <t>SS VNK HILO SWNG GR</t>
  </si>
  <si>
    <t>100056288MS</t>
  </si>
  <si>
    <t>732996601984</t>
  </si>
  <si>
    <t>100060025MS</t>
  </si>
  <si>
    <t>732996601960</t>
  </si>
  <si>
    <t>732996027579</t>
  </si>
  <si>
    <t>732995711844</t>
  </si>
  <si>
    <t>SS SCPNK RND STPHM</t>
  </si>
  <si>
    <t>100056279MS</t>
  </si>
  <si>
    <t>732995712384</t>
  </si>
  <si>
    <t>726895972894</t>
  </si>
  <si>
    <t>726895972801</t>
  </si>
  <si>
    <t>726895972900</t>
  </si>
  <si>
    <t>726895972818</t>
  </si>
  <si>
    <t>726895972887</t>
  </si>
  <si>
    <t>726895164169</t>
  </si>
  <si>
    <t>EYELET DENIM SKIMMER</t>
  </si>
  <si>
    <t>100046030PT</t>
  </si>
  <si>
    <t>732995795004</t>
  </si>
  <si>
    <t>100056255PT</t>
  </si>
  <si>
    <t>636206344183</t>
  </si>
  <si>
    <t>EYELET DENIM CAPRI</t>
  </si>
  <si>
    <t>100046030MS</t>
  </si>
  <si>
    <t>636206344213</t>
  </si>
  <si>
    <t>726895902334</t>
  </si>
  <si>
    <t>DK SCP SS SHIRTTAIL</t>
  </si>
  <si>
    <t>732995743739</t>
  </si>
  <si>
    <t>732995743708</t>
  </si>
  <si>
    <t>732995743630</t>
  </si>
  <si>
    <t>732995743494</t>
  </si>
  <si>
    <t>732995743777</t>
  </si>
  <si>
    <t>732995743463</t>
  </si>
  <si>
    <t>732995195583</t>
  </si>
  <si>
    <t>S/S ABSTCT STRP BOAT</t>
  </si>
  <si>
    <t>100039151MS</t>
  </si>
  <si>
    <t>732995743487</t>
  </si>
  <si>
    <t>732996218090</t>
  </si>
  <si>
    <t>732995788785</t>
  </si>
  <si>
    <t>100049874MS</t>
  </si>
  <si>
    <t>732995788488</t>
  </si>
  <si>
    <t>732996218076</t>
  </si>
  <si>
    <t>732995056136</t>
  </si>
  <si>
    <t>SCPNK SHRTL GRAPHIC</t>
  </si>
  <si>
    <t>100056238MS</t>
  </si>
  <si>
    <t>732995958713</t>
  </si>
  <si>
    <t>SS VNK RND STPHM GR</t>
  </si>
  <si>
    <t>100059994MS</t>
  </si>
  <si>
    <t>732995958706</t>
  </si>
  <si>
    <t>732996391489</t>
  </si>
  <si>
    <t>S/S LT COLOR NEP SC</t>
  </si>
  <si>
    <t>100058161MS</t>
  </si>
  <si>
    <t>732996250496</t>
  </si>
  <si>
    <t>S/S BRIGHT STAR SCOP</t>
  </si>
  <si>
    <t>100049867PT</t>
  </si>
  <si>
    <t>732996250526</t>
  </si>
  <si>
    <t>732995846973</t>
  </si>
  <si>
    <t>S/S VALLEY VINE SC</t>
  </si>
  <si>
    <t>100049693PT</t>
  </si>
  <si>
    <t>726895404845</t>
  </si>
  <si>
    <t>3/4 SOLID RAYON SPAN</t>
  </si>
  <si>
    <t>84987CB460</t>
  </si>
  <si>
    <t>732995503258</t>
  </si>
  <si>
    <t>S/S MERRIMENT FL SC</t>
  </si>
  <si>
    <t>100039216MS</t>
  </si>
  <si>
    <t>732995662313</t>
  </si>
  <si>
    <t>100056277MS</t>
  </si>
  <si>
    <t>732995662085</t>
  </si>
  <si>
    <t>100056266MS</t>
  </si>
  <si>
    <t>732995662337</t>
  </si>
  <si>
    <t>732995390063</t>
  </si>
  <si>
    <t>100056263MS</t>
  </si>
  <si>
    <t>732995786767</t>
  </si>
  <si>
    <t>ELBOW LACE UP SLV BT</t>
  </si>
  <si>
    <t>100049802MS</t>
  </si>
  <si>
    <t>732995744323</t>
  </si>
  <si>
    <t>732995742008</t>
  </si>
  <si>
    <t>732995741988</t>
  </si>
  <si>
    <t>732995742022</t>
  </si>
  <si>
    <t>732995741865</t>
  </si>
  <si>
    <t>732995741872</t>
  </si>
  <si>
    <t>732995742046</t>
  </si>
  <si>
    <t>732994899871</t>
  </si>
  <si>
    <t>ELBOW JENN BOQT BOAT</t>
  </si>
  <si>
    <t>100039211MS</t>
  </si>
  <si>
    <t>726895124880</t>
  </si>
  <si>
    <t>636206338946</t>
  </si>
  <si>
    <t>636206340079</t>
  </si>
  <si>
    <t>726895124903</t>
  </si>
  <si>
    <t>726895124767</t>
  </si>
  <si>
    <t>726895124866</t>
  </si>
  <si>
    <t>726895126334</t>
  </si>
  <si>
    <t>726895160970</t>
  </si>
  <si>
    <t>636206338953</t>
  </si>
  <si>
    <t>636206340062</t>
  </si>
  <si>
    <t>726895128826</t>
  </si>
  <si>
    <t>726895129434</t>
  </si>
  <si>
    <t>636206340055</t>
  </si>
  <si>
    <t>636206339141</t>
  </si>
  <si>
    <t>636206339288</t>
  </si>
  <si>
    <t>636206338939</t>
  </si>
  <si>
    <t>636206339509</t>
  </si>
  <si>
    <t>636206338960</t>
  </si>
  <si>
    <t>636206339110</t>
  </si>
  <si>
    <t>726895127188</t>
  </si>
  <si>
    <t>726895124835</t>
  </si>
  <si>
    <t>726895126327</t>
  </si>
  <si>
    <t>636206340086</t>
  </si>
  <si>
    <t>726895127171</t>
  </si>
  <si>
    <t>636206339127</t>
  </si>
  <si>
    <t>636206339974</t>
  </si>
  <si>
    <t>732996299600</t>
  </si>
  <si>
    <t>88117 SS RUCH TEE</t>
  </si>
  <si>
    <t>100057317P</t>
  </si>
  <si>
    <t>732995927672</t>
  </si>
  <si>
    <t>S/S EYELET SHOULD V</t>
  </si>
  <si>
    <t>100049771MS</t>
  </si>
  <si>
    <t>732995931907</t>
  </si>
  <si>
    <t>ELBOW GINGHAM TRM HN</t>
  </si>
  <si>
    <t>100049804PT</t>
  </si>
  <si>
    <t>636193972864</t>
  </si>
  <si>
    <t>54700M814</t>
  </si>
  <si>
    <t>732996425979</t>
  </si>
  <si>
    <t>ELB LULU STRIPE BOAT</t>
  </si>
  <si>
    <t>100050960PT</t>
  </si>
  <si>
    <t>732995930085</t>
  </si>
  <si>
    <t>100049804MS</t>
  </si>
  <si>
    <t>BODY: ALL COTTON; TRIM: POLYESTER/COTTON</t>
  </si>
  <si>
    <t>732995806946</t>
  </si>
  <si>
    <t>ELB KARA STRIPE BOAT</t>
  </si>
  <si>
    <t>100049916MS</t>
  </si>
  <si>
    <t>732995196078</t>
  </si>
  <si>
    <t>ELBOW GARLND STRP BT</t>
  </si>
  <si>
    <t>100039238MS</t>
  </si>
  <si>
    <t>732994318358</t>
  </si>
  <si>
    <t>EDV FLEECE PANT BASIC</t>
  </si>
  <si>
    <t>100020320RP</t>
  </si>
  <si>
    <t>732995748857</t>
  </si>
  <si>
    <t>732995749007</t>
  </si>
  <si>
    <t>100049752PT</t>
  </si>
  <si>
    <t>732995748932</t>
  </si>
  <si>
    <t>732995749014</t>
  </si>
  <si>
    <t>732995749021</t>
  </si>
  <si>
    <t>732995748864</t>
  </si>
  <si>
    <t>732995748895</t>
  </si>
  <si>
    <t>732995748918</t>
  </si>
  <si>
    <t>732994869652</t>
  </si>
  <si>
    <t>100049988PT</t>
  </si>
  <si>
    <t>732994869607</t>
  </si>
  <si>
    <t>732994869638</t>
  </si>
  <si>
    <t>732994869645</t>
  </si>
  <si>
    <t>732995443332</t>
  </si>
  <si>
    <t>732995443400</t>
  </si>
  <si>
    <t>636206918605</t>
  </si>
  <si>
    <t>636206918582</t>
  </si>
  <si>
    <t>636189219683</t>
  </si>
  <si>
    <t>EDV FLEECE CREW</t>
  </si>
  <si>
    <t>100020319MS</t>
  </si>
  <si>
    <t>732994934039</t>
  </si>
  <si>
    <t>EDV FLCE FALLG PETAL</t>
  </si>
  <si>
    <t>100047491MS</t>
  </si>
  <si>
    <t>732995845648</t>
  </si>
  <si>
    <t>ELB FLR SYMPHNY BOAT</t>
  </si>
  <si>
    <t>100049901PT</t>
  </si>
  <si>
    <t>732996426259</t>
  </si>
  <si>
    <t>ELB FORST FRNTR BOAT</t>
  </si>
  <si>
    <t>100050965PT</t>
  </si>
  <si>
    <t>732995845723</t>
  </si>
  <si>
    <t>ELB CHAPN CHARD BOAT</t>
  </si>
  <si>
    <t>100049903PT</t>
  </si>
  <si>
    <t>732995455533</t>
  </si>
  <si>
    <t>ELBOW SPRNG OASIS BT</t>
  </si>
  <si>
    <t>100039240PT</t>
  </si>
  <si>
    <t>732995196863</t>
  </si>
  <si>
    <t>ELBOW FLORAL STRP BT</t>
  </si>
  <si>
    <t>100039246MS</t>
  </si>
  <si>
    <t>732995806731</t>
  </si>
  <si>
    <t>ELB FLORL BLCKS BOAT</t>
  </si>
  <si>
    <t>100049914MS</t>
  </si>
  <si>
    <t>732995802689</t>
  </si>
  <si>
    <t>100049903MS</t>
  </si>
  <si>
    <t>732995196870</t>
  </si>
  <si>
    <t>732995802627</t>
  </si>
  <si>
    <t>100049901MS</t>
  </si>
  <si>
    <t>732995196856</t>
  </si>
  <si>
    <t>732996426235</t>
  </si>
  <si>
    <t>732995440942</t>
  </si>
  <si>
    <t>100039240MS</t>
  </si>
  <si>
    <t>732995806366</t>
  </si>
  <si>
    <t>ELB GINGR MAGNL BOAT</t>
  </si>
  <si>
    <t>100049909MS</t>
  </si>
  <si>
    <t>732995196887</t>
  </si>
  <si>
    <t>732996426266</t>
  </si>
  <si>
    <t>732996426242</t>
  </si>
  <si>
    <t>732995455502</t>
  </si>
  <si>
    <t>732995845655</t>
  </si>
  <si>
    <t>732995455496</t>
  </si>
  <si>
    <t>732995455526</t>
  </si>
  <si>
    <t>732996426044</t>
  </si>
  <si>
    <t>ELB VENICE TILE BOAT</t>
  </si>
  <si>
    <t>100050961PT</t>
  </si>
  <si>
    <t>732995845631</t>
  </si>
  <si>
    <t>732995194883</t>
  </si>
  <si>
    <t>ELBOW WILDFL FOLY BT</t>
  </si>
  <si>
    <t>100039208MS</t>
  </si>
  <si>
    <t>732996365008</t>
  </si>
  <si>
    <t>732996364889</t>
  </si>
  <si>
    <t>100055361MS</t>
  </si>
  <si>
    <t>732995003185</t>
  </si>
  <si>
    <t>CK PRINT CREW LS TOP</t>
  </si>
  <si>
    <t>100047200MS</t>
  </si>
  <si>
    <t>706255437669</t>
  </si>
  <si>
    <t>636206918018</t>
  </si>
  <si>
    <t>706255437706</t>
  </si>
  <si>
    <t>732994814812</t>
  </si>
  <si>
    <t>EDV SKIMMER</t>
  </si>
  <si>
    <t>100037436PT</t>
  </si>
  <si>
    <t>636206917783</t>
  </si>
  <si>
    <t>732994868174</t>
  </si>
  <si>
    <t>732994867825</t>
  </si>
  <si>
    <t>732994867603</t>
  </si>
  <si>
    <t>732994867443</t>
  </si>
  <si>
    <t>732994867573</t>
  </si>
  <si>
    <t>732994867641</t>
  </si>
  <si>
    <t>732994867481</t>
  </si>
  <si>
    <t>732995735499</t>
  </si>
  <si>
    <t>732994867559</t>
  </si>
  <si>
    <t>732994867863</t>
  </si>
  <si>
    <t>732994867771</t>
  </si>
  <si>
    <t>732994867764</t>
  </si>
  <si>
    <t>732994868211</t>
  </si>
  <si>
    <t>732994867818</t>
  </si>
  <si>
    <t>732995784640</t>
  </si>
  <si>
    <t>732995784312</t>
  </si>
  <si>
    <t>636202432969</t>
  </si>
  <si>
    <t>636202433690</t>
  </si>
  <si>
    <t>732995784404</t>
  </si>
  <si>
    <t>732996425771</t>
  </si>
  <si>
    <t>636202433683</t>
  </si>
  <si>
    <t>732995784398</t>
  </si>
  <si>
    <t>732994900805</t>
  </si>
  <si>
    <t>636202435328</t>
  </si>
  <si>
    <t>689439043330</t>
  </si>
  <si>
    <t>689439043286</t>
  </si>
  <si>
    <t>732995211702</t>
  </si>
  <si>
    <t>636202435274</t>
  </si>
  <si>
    <t>732995784374</t>
  </si>
  <si>
    <t>636202432983</t>
  </si>
  <si>
    <t>636202435281</t>
  </si>
  <si>
    <t>732996006574</t>
  </si>
  <si>
    <t>S/S SOLID RAYON SPAN</t>
  </si>
  <si>
    <t>88144PW460</t>
  </si>
  <si>
    <t>732996006499</t>
  </si>
  <si>
    <t>88144MT460</t>
  </si>
  <si>
    <t>732996006529</t>
  </si>
  <si>
    <t>732996006505</t>
  </si>
  <si>
    <t>636206919572</t>
  </si>
  <si>
    <t>636206919244</t>
  </si>
  <si>
    <t>636206919633</t>
  </si>
  <si>
    <t>732995738179</t>
  </si>
  <si>
    <t>CK PRNTED VNECK TEE</t>
  </si>
  <si>
    <t>100053955PT</t>
  </si>
  <si>
    <t>732996363349</t>
  </si>
  <si>
    <t>CK PRNTD VNK TEE</t>
  </si>
  <si>
    <t>100059693PT</t>
  </si>
  <si>
    <t>706254805131</t>
  </si>
  <si>
    <t>732996653440</t>
  </si>
  <si>
    <t>LS TIDAL TILE HENLY</t>
  </si>
  <si>
    <t>100067358MS</t>
  </si>
  <si>
    <t>732996307015</t>
  </si>
  <si>
    <t>608356122461</t>
  </si>
  <si>
    <t>CK SWING TANK</t>
  </si>
  <si>
    <t>100037816MS</t>
  </si>
  <si>
    <t>732995145038</t>
  </si>
  <si>
    <t>732995145045</t>
  </si>
  <si>
    <t>732994841436</t>
  </si>
  <si>
    <t>706254100502</t>
  </si>
  <si>
    <t>732995416367</t>
  </si>
  <si>
    <t>732995416398</t>
  </si>
  <si>
    <t>732994897136</t>
  </si>
  <si>
    <t>732994897143</t>
  </si>
  <si>
    <t>732994897419</t>
  </si>
  <si>
    <t>732994897334</t>
  </si>
  <si>
    <t>706254724838</t>
  </si>
  <si>
    <t>732995816648</t>
  </si>
  <si>
    <t>100028123PT</t>
  </si>
  <si>
    <t>706254715676</t>
  </si>
  <si>
    <t>706254724821</t>
  </si>
  <si>
    <t>706254716901</t>
  </si>
  <si>
    <t>706254716895</t>
  </si>
  <si>
    <t>706254715669</t>
  </si>
  <si>
    <t>732995504231</t>
  </si>
  <si>
    <t>732995504033</t>
  </si>
  <si>
    <t>S/S LEGENDRY GARN SC</t>
  </si>
  <si>
    <t>100041718MS</t>
  </si>
  <si>
    <t>732995508581</t>
  </si>
  <si>
    <t>100041718PT</t>
  </si>
  <si>
    <t>732995809077</t>
  </si>
  <si>
    <t>732995503937</t>
  </si>
  <si>
    <t>S/S GINGHAM ROSE SCP</t>
  </si>
  <si>
    <t>100041715MS</t>
  </si>
  <si>
    <t>YELLOW</t>
  </si>
  <si>
    <t>732995503920</t>
  </si>
  <si>
    <t>732995810455</t>
  </si>
  <si>
    <t>S/S RHODY BLISS SCOP</t>
  </si>
  <si>
    <t>100045478MS</t>
  </si>
  <si>
    <t>732995504101</t>
  </si>
  <si>
    <t>732995503951</t>
  </si>
  <si>
    <t>732994907842</t>
  </si>
  <si>
    <t>732994907835</t>
  </si>
  <si>
    <t>732994907576</t>
  </si>
  <si>
    <t>706257185711</t>
  </si>
  <si>
    <t>732995783605</t>
  </si>
  <si>
    <t>100028126MS</t>
  </si>
  <si>
    <t>191937906623</t>
  </si>
  <si>
    <t>SLV VNCECK ROUCH SHEATH</t>
  </si>
  <si>
    <t>AP1D103115</t>
  </si>
  <si>
    <t>828659272902</t>
  </si>
  <si>
    <t>CS JAQUARD SHIFT</t>
  </si>
  <si>
    <t>VC9M8616</t>
  </si>
  <si>
    <t>193623804503</t>
  </si>
  <si>
    <t>1 BTN JACKET</t>
  </si>
  <si>
    <t>S94J2153</t>
  </si>
  <si>
    <t>635273495002</t>
  </si>
  <si>
    <t>635273561059</t>
  </si>
  <si>
    <t>ROYAL TROP SRPLCE BELTED</t>
  </si>
  <si>
    <t>TLMU9WD616</t>
  </si>
  <si>
    <t>REDOVERFLW</t>
  </si>
  <si>
    <t>93487554029</t>
  </si>
  <si>
    <t>BI STRETCH OPEN JACKET</t>
  </si>
  <si>
    <t>POLYESTER/RAYON/SPANDEX; LINING: POLYESTER</t>
  </si>
  <si>
    <t>828659219402</t>
  </si>
  <si>
    <t>828659219433</t>
  </si>
  <si>
    <t>828659112284</t>
  </si>
  <si>
    <t>SLV ANIMAL FNF SCUBA</t>
  </si>
  <si>
    <t>VC9M9938</t>
  </si>
  <si>
    <t>POLYESTER/ELASTANE; POLYERSTER LINING</t>
  </si>
  <si>
    <t>889648425587</t>
  </si>
  <si>
    <t>193623974428</t>
  </si>
  <si>
    <t>RFFL FRNT MIDI PASTEL SK</t>
  </si>
  <si>
    <t>S92SC769</t>
  </si>
  <si>
    <t>755179368139</t>
  </si>
  <si>
    <t>755179368146</t>
  </si>
  <si>
    <t>6 AV/MD/RG</t>
  </si>
  <si>
    <t>193623943615</t>
  </si>
  <si>
    <t>887345123676</t>
  </si>
  <si>
    <t>COTTON PANT</t>
  </si>
  <si>
    <t>S9SPB841</t>
  </si>
  <si>
    <t>93487385913</t>
  </si>
  <si>
    <t>93487364895</t>
  </si>
  <si>
    <t>BI STRETCH PANT WITH SEL</t>
  </si>
  <si>
    <t>93487407882</t>
  </si>
  <si>
    <t>93487534649</t>
  </si>
  <si>
    <t>689439309023</t>
  </si>
  <si>
    <t>WVN SLD FRNG LIN JKT</t>
  </si>
  <si>
    <t>100046074MS</t>
  </si>
  <si>
    <t>193623915919</t>
  </si>
  <si>
    <t>POLYESTER/ELASTANE</t>
  </si>
  <si>
    <t>193623915902</t>
  </si>
  <si>
    <t>193623915858</t>
  </si>
  <si>
    <t>193623915896</t>
  </si>
  <si>
    <t>93487365601</t>
  </si>
  <si>
    <t>BI STRETCH RUFFLE SKIRT</t>
  </si>
  <si>
    <t>732996059426</t>
  </si>
  <si>
    <t>RAINBOW SKINNY CROP</t>
  </si>
  <si>
    <t>689439478965</t>
  </si>
  <si>
    <t>OTDP FRNT FX SUEDE</t>
  </si>
  <si>
    <t>732995563504</t>
  </si>
  <si>
    <t>SW MULTI TIP CARDI</t>
  </si>
  <si>
    <t>100048196PT</t>
  </si>
  <si>
    <t>732995563481</t>
  </si>
  <si>
    <t>POLYESTER/VISCOSE/ELASTANE; LINING: POLYESTER</t>
  </si>
  <si>
    <t>732995563498</t>
  </si>
  <si>
    <t>732995563474</t>
  </si>
  <si>
    <t>POLYESTER/SPANDEX/RAYON</t>
  </si>
  <si>
    <t>732997039519</t>
  </si>
  <si>
    <t>732996341774</t>
  </si>
  <si>
    <t>732996341781</t>
  </si>
  <si>
    <t>732997120804</t>
  </si>
  <si>
    <t>732995813043</t>
  </si>
  <si>
    <t>DR BTTNUP TEIRD MAXI</t>
  </si>
  <si>
    <t>100054064MS</t>
  </si>
  <si>
    <t>732995569438</t>
  </si>
  <si>
    <t>OASIS EYE RFFLE JKT</t>
  </si>
  <si>
    <t>RAYON; LINING: COTTON</t>
  </si>
  <si>
    <t>732995569452</t>
  </si>
  <si>
    <t>190917256888</t>
  </si>
  <si>
    <t>BODY: COTTON/POLYESTER/ELASTANE/OTHER FIBER; BOTTOM: POLYESTER/COTTON; EMBROIDERY: POLYESTER</t>
  </si>
  <si>
    <t>732995028485</t>
  </si>
  <si>
    <t>WVN RYN EMBR TUNIC</t>
  </si>
  <si>
    <t>100051436MS</t>
  </si>
  <si>
    <t>732996339733</t>
  </si>
  <si>
    <t>WVN STRP GAUZE PANT</t>
  </si>
  <si>
    <t>100059756MS</t>
  </si>
  <si>
    <t>190917255744</t>
  </si>
  <si>
    <t>190917236255</t>
  </si>
  <si>
    <t>NECKLACE SHIFT SHEER LS</t>
  </si>
  <si>
    <t>732996148472</t>
  </si>
  <si>
    <t>732996654867</t>
  </si>
  <si>
    <t>BTM SONJA NWPRT CRP</t>
  </si>
  <si>
    <t>100059736MS</t>
  </si>
  <si>
    <t>732995569667</t>
  </si>
  <si>
    <t>732995832167</t>
  </si>
  <si>
    <t>100057542PT</t>
  </si>
  <si>
    <t>732995585247</t>
  </si>
  <si>
    <t>732995222807</t>
  </si>
  <si>
    <t>732996001524</t>
  </si>
  <si>
    <t>732996340043</t>
  </si>
  <si>
    <t>732995533415</t>
  </si>
  <si>
    <t>CRISS CROSS PONCHO</t>
  </si>
  <si>
    <t>100053325WN</t>
  </si>
  <si>
    <t>732995533378</t>
  </si>
  <si>
    <t>732995533385</t>
  </si>
  <si>
    <t>726895880977</t>
  </si>
  <si>
    <t>732996339900</t>
  </si>
  <si>
    <t>732996339917</t>
  </si>
  <si>
    <t>732996396897</t>
  </si>
  <si>
    <t>887650842354</t>
  </si>
  <si>
    <t>51931IN472</t>
  </si>
  <si>
    <t>16W PETITE</t>
  </si>
  <si>
    <t>887650842064</t>
  </si>
  <si>
    <t>732995412598</t>
  </si>
  <si>
    <t>732995412604</t>
  </si>
  <si>
    <t>732994800389</t>
  </si>
  <si>
    <t>WVN RTAB STRP CLR SH</t>
  </si>
  <si>
    <t>100041483MS</t>
  </si>
  <si>
    <t>732995083880</t>
  </si>
  <si>
    <t>DNM WHT CUFF STR CRP</t>
  </si>
  <si>
    <t>100049420MS</t>
  </si>
  <si>
    <t>732995066241</t>
  </si>
  <si>
    <t>190917306682</t>
  </si>
  <si>
    <t>SCUBA SKIRT W/ LACE OVER</t>
  </si>
  <si>
    <t>119-CSS382</t>
  </si>
  <si>
    <t>666805366828</t>
  </si>
  <si>
    <t>ALLURE STRETCH PROPORTIO</t>
  </si>
  <si>
    <t>18AV/MD/RG</t>
  </si>
  <si>
    <t>DUNNER MISSY</t>
  </si>
  <si>
    <t>732996507873</t>
  </si>
  <si>
    <t>732995717471</t>
  </si>
  <si>
    <t>FW EMB CHIFFON TOP</t>
  </si>
  <si>
    <t>100053977MS</t>
  </si>
  <si>
    <t>732995534214</t>
  </si>
  <si>
    <t>COTTON/NYLON/RAYON; LACE: POLYESTER</t>
  </si>
  <si>
    <t>ALFRED DUNNER</t>
  </si>
  <si>
    <t>732996693385</t>
  </si>
  <si>
    <t>POLYESTER; TRIM: COTTON/NYLON</t>
  </si>
  <si>
    <t>732995430639</t>
  </si>
  <si>
    <t>KNT RFL SLV FLRL BTU</t>
  </si>
  <si>
    <t>100048652MS</t>
  </si>
  <si>
    <t>732995061772</t>
  </si>
  <si>
    <t>732995061727</t>
  </si>
  <si>
    <t>732996691718</t>
  </si>
  <si>
    <t>KN ASYM WRAP TOP</t>
  </si>
  <si>
    <t>100059208PT</t>
  </si>
  <si>
    <t>732996026176</t>
  </si>
  <si>
    <t>SWT OPEN STITCH COMP BASIC</t>
  </si>
  <si>
    <t>100054422MS</t>
  </si>
  <si>
    <t>NYLON/SPANDEX</t>
  </si>
  <si>
    <t>732996051550</t>
  </si>
  <si>
    <t>732995485103</t>
  </si>
  <si>
    <t>887650503156</t>
  </si>
  <si>
    <t>CHARTER CLUB-EDI/RESOURCE CLUB</t>
  </si>
  <si>
    <t>ACRYLIC</t>
  </si>
  <si>
    <t>732995822212</t>
  </si>
  <si>
    <t>KNT 3/4 SL EMB KURTA</t>
  </si>
  <si>
    <t>100017753PT</t>
  </si>
  <si>
    <t>732996119366</t>
  </si>
  <si>
    <t>732995572094</t>
  </si>
  <si>
    <t>100053418P</t>
  </si>
  <si>
    <t>732995086638</t>
  </si>
  <si>
    <t>PT ONION SKIN PANTS</t>
  </si>
  <si>
    <t>100034925PT</t>
  </si>
  <si>
    <t>732995519174</t>
  </si>
  <si>
    <t>BTM KNIT PIQUE ANKLE</t>
  </si>
  <si>
    <t>100040407MS</t>
  </si>
  <si>
    <t>732995273021</t>
  </si>
  <si>
    <t>732995489514</t>
  </si>
  <si>
    <t>COTTON/POLYAMIDE/SPANDEX</t>
  </si>
  <si>
    <t>732995489507</t>
  </si>
  <si>
    <t>732995489644</t>
  </si>
  <si>
    <t>732995489651</t>
  </si>
  <si>
    <t>732995321692</t>
  </si>
  <si>
    <t>732996405162</t>
  </si>
  <si>
    <t>100059491MS</t>
  </si>
  <si>
    <t>732996257549</t>
  </si>
  <si>
    <t>732996257525</t>
  </si>
  <si>
    <t>732995719710</t>
  </si>
  <si>
    <t>732995981896</t>
  </si>
  <si>
    <t>732995981902</t>
  </si>
  <si>
    <t>732994691666</t>
  </si>
  <si>
    <t>100011483MS</t>
  </si>
  <si>
    <t>732994970075</t>
  </si>
  <si>
    <t>100048656PT</t>
  </si>
  <si>
    <t>732996117928</t>
  </si>
  <si>
    <t>732995905335</t>
  </si>
  <si>
    <t>PT CRINKLE TOP</t>
  </si>
  <si>
    <t>100055118MS</t>
  </si>
  <si>
    <t>SHELL AND BACK LINING: POLYESTER/SPANDEX; FRONT LINING:POLYESTER</t>
  </si>
  <si>
    <t>732996261232</t>
  </si>
  <si>
    <t>732996261218</t>
  </si>
  <si>
    <t>732995400250</t>
  </si>
  <si>
    <t>706256876238</t>
  </si>
  <si>
    <t>BTM HRNGBNE SLM ANKL</t>
  </si>
  <si>
    <t>100040408MS</t>
  </si>
  <si>
    <t>732995886474</t>
  </si>
  <si>
    <t>732995886450</t>
  </si>
  <si>
    <t>732996237084</t>
  </si>
  <si>
    <t>PT CHIFFON OVERLAY BASIC</t>
  </si>
  <si>
    <t>100059899MS</t>
  </si>
  <si>
    <t>732996237091</t>
  </si>
  <si>
    <t>POLYESTER/RAYON/NYLON/SPANDEX</t>
  </si>
  <si>
    <t>732995371604</t>
  </si>
  <si>
    <t>SOLID WRAP DRESS</t>
  </si>
  <si>
    <t>100012864P</t>
  </si>
  <si>
    <t>732995221725</t>
  </si>
  <si>
    <t>732996079837</t>
  </si>
  <si>
    <t>732996079820</t>
  </si>
  <si>
    <t>732996079813</t>
  </si>
  <si>
    <t>POLYESTER/SPANDEX; LINING (BACK PANEL FROM NECK TO WAIST): POLYESTER</t>
  </si>
  <si>
    <t>732995753370</t>
  </si>
  <si>
    <t>TIE SLV DLMAN DRESS</t>
  </si>
  <si>
    <t>100055175MS</t>
  </si>
  <si>
    <t>732996237176</t>
  </si>
  <si>
    <t>732995662627</t>
  </si>
  <si>
    <t>CK SS RUFL HEM SCARF</t>
  </si>
  <si>
    <t>100062835MS</t>
  </si>
  <si>
    <t>732995165197</t>
  </si>
  <si>
    <t>732995350470</t>
  </si>
  <si>
    <t>SWT FG PRINTED LACE</t>
  </si>
  <si>
    <t>100053892MS</t>
  </si>
  <si>
    <t>732996082035</t>
  </si>
  <si>
    <t>100054297PT</t>
  </si>
  <si>
    <t>887650636038</t>
  </si>
  <si>
    <t>POLYESTER/RAYON; SECONDARY: POLYESTER; FRINGE: RAYON</t>
  </si>
  <si>
    <t>887650893691</t>
  </si>
  <si>
    <t>RNS RIVET CAPRI BASIC</t>
  </si>
  <si>
    <t>52126ST472</t>
  </si>
  <si>
    <t>887650636021</t>
  </si>
  <si>
    <t>CHARTER CLUB-EDI/REUNITED</t>
  </si>
  <si>
    <t>190917234893</t>
  </si>
  <si>
    <t>PULL ON JEGGING</t>
  </si>
  <si>
    <t>818-P075</t>
  </si>
  <si>
    <t>NYLON; TRIM: 100% COTTON</t>
  </si>
  <si>
    <t>732995035544</t>
  </si>
  <si>
    <t>DNM SOLID TWILL LEX</t>
  </si>
  <si>
    <t>100039056MS</t>
  </si>
  <si>
    <t>732995726107</t>
  </si>
  <si>
    <t>FW 2PKT SS TOP</t>
  </si>
  <si>
    <t>100054057MS</t>
  </si>
  <si>
    <t>BODY: RAYON/NYLON/SPANDEX; PANELS: NYLON/SPANDEX</t>
  </si>
  <si>
    <t>732995726138</t>
  </si>
  <si>
    <t>732995726121</t>
  </si>
  <si>
    <t>732995726169</t>
  </si>
  <si>
    <t>732995406139</t>
  </si>
  <si>
    <t>SW DOLMAN SLV P/O</t>
  </si>
  <si>
    <t>100047774MS</t>
  </si>
  <si>
    <t>732995726374</t>
  </si>
  <si>
    <t>887650905660</t>
  </si>
  <si>
    <t>52123NU460</t>
  </si>
  <si>
    <t>706257605745</t>
  </si>
  <si>
    <t>SWT FG 3D STRP CARD</t>
  </si>
  <si>
    <t>100048340MS</t>
  </si>
  <si>
    <t>732997577509</t>
  </si>
  <si>
    <t>KN SLD SLM TWST NCK</t>
  </si>
  <si>
    <t>100065638PT</t>
  </si>
  <si>
    <t>732996023236</t>
  </si>
  <si>
    <t>732996022888</t>
  </si>
  <si>
    <t>STUD COLD SHLDR DRES</t>
  </si>
  <si>
    <t>100055188MS</t>
  </si>
  <si>
    <t>732995569759</t>
  </si>
  <si>
    <t>ILLUSION SLV TUNIC</t>
  </si>
  <si>
    <t>100047689MS</t>
  </si>
  <si>
    <t>732995569728</t>
  </si>
  <si>
    <t>732995569742</t>
  </si>
  <si>
    <t>732995094787</t>
  </si>
  <si>
    <t>732995094862</t>
  </si>
  <si>
    <t>POLYESTER/SPANDEX; SLEEVES: NYLON/SPANDEX; TRIM: METAL</t>
  </si>
  <si>
    <t>732996079127</t>
  </si>
  <si>
    <t>732996404899</t>
  </si>
  <si>
    <t>GROMMET SHLDR DRESS</t>
  </si>
  <si>
    <t>100063838MS</t>
  </si>
  <si>
    <t>732996219172</t>
  </si>
  <si>
    <t>CRCHT SLV CRSSHTCH BASIC</t>
  </si>
  <si>
    <t>100058857PT</t>
  </si>
  <si>
    <t>806864895604</t>
  </si>
  <si>
    <t>190917260397</t>
  </si>
  <si>
    <t>DRAPE FRONT KNIT 2 WOVEN</t>
  </si>
  <si>
    <t>918-B093</t>
  </si>
  <si>
    <t>SHELL: RAYON/SPANDEX; LINING: POLYESTER</t>
  </si>
  <si>
    <t>RAYON/POLYESTER; LINING: POLYESTER/SPANDEX</t>
  </si>
  <si>
    <t>636202476963</t>
  </si>
  <si>
    <t>KNT 3/4 SLD LACE TOP</t>
  </si>
  <si>
    <t>100036013PT</t>
  </si>
  <si>
    <t>732996080932</t>
  </si>
  <si>
    <t>POLYESTER; LINING: RAYON/SPANDEX</t>
  </si>
  <si>
    <t>732996080925</t>
  </si>
  <si>
    <t>732996507620</t>
  </si>
  <si>
    <t>SHELL: NYLON/SPANDEX; LINING: POLYESTER</t>
  </si>
  <si>
    <t>732996166674</t>
  </si>
  <si>
    <t>732996166650</t>
  </si>
  <si>
    <t>732996266978</t>
  </si>
  <si>
    <t>DNM DANBURY SKIMMER</t>
  </si>
  <si>
    <t>100049451PT</t>
  </si>
  <si>
    <t>726895802696</t>
  </si>
  <si>
    <t>726895800210</t>
  </si>
  <si>
    <t>608356691585</t>
  </si>
  <si>
    <t>SLANT PKT CURVY PANT BASIC</t>
  </si>
  <si>
    <t>100038157WN</t>
  </si>
  <si>
    <t>608356686079</t>
  </si>
  <si>
    <t>608356686666</t>
  </si>
  <si>
    <t>732995754124</t>
  </si>
  <si>
    <t>KNT SS SOLD LACE TOP</t>
  </si>
  <si>
    <t>732995754308</t>
  </si>
  <si>
    <t>POLYESTER/RAYON/SPANDEX; PANEL: NYLON/SPANDEX</t>
  </si>
  <si>
    <t>732995754261</t>
  </si>
  <si>
    <t>29408476415</t>
  </si>
  <si>
    <t>DENIM SKIRT</t>
  </si>
  <si>
    <t>29408149838</t>
  </si>
  <si>
    <t>NAVY SKIRT PET</t>
  </si>
  <si>
    <t>BODY: NYLON/SPANDEX; LINING: POLYESTER</t>
  </si>
  <si>
    <t>732996327495</t>
  </si>
  <si>
    <t>732996327501</t>
  </si>
  <si>
    <t>732996030517</t>
  </si>
  <si>
    <t>732996030548</t>
  </si>
  <si>
    <t>732996030531</t>
  </si>
  <si>
    <t>732995456707</t>
  </si>
  <si>
    <t>732995457261</t>
  </si>
  <si>
    <t>FK SCP TIER SCRUNCH</t>
  </si>
  <si>
    <t>100049358MS</t>
  </si>
  <si>
    <t>806864679129</t>
  </si>
  <si>
    <t>806864995571</t>
  </si>
  <si>
    <t>806864669465</t>
  </si>
  <si>
    <t>RAYON/SPANDEX/POLYESTER</t>
  </si>
  <si>
    <t>732996219202</t>
  </si>
  <si>
    <t>STDDED VNECK C/S TOP BASIC</t>
  </si>
  <si>
    <t>100058859PT</t>
  </si>
  <si>
    <t>190917254099</t>
  </si>
  <si>
    <t>885779850014</t>
  </si>
  <si>
    <t>885779850007</t>
  </si>
  <si>
    <t>732995457131</t>
  </si>
  <si>
    <t>732995457094</t>
  </si>
  <si>
    <t>732996238258</t>
  </si>
  <si>
    <t>PT ONION SKIN TOP BASIC</t>
  </si>
  <si>
    <t>100061918MS</t>
  </si>
  <si>
    <t>822982521324</t>
  </si>
  <si>
    <t>2 S</t>
  </si>
  <si>
    <t>732995400816</t>
  </si>
  <si>
    <t>732995957600</t>
  </si>
  <si>
    <t>732995400823</t>
  </si>
  <si>
    <t>732996570228</t>
  </si>
  <si>
    <t>SHORT SLEEVE SUB BASIC</t>
  </si>
  <si>
    <t>100066517WN</t>
  </si>
  <si>
    <t>822980756858</t>
  </si>
  <si>
    <t>608381255639</t>
  </si>
  <si>
    <t>706254453851</t>
  </si>
  <si>
    <t>822980756797</t>
  </si>
  <si>
    <t>JM COLLECTION/AVALON</t>
  </si>
  <si>
    <t>POLYESTER/RAYON; POLYESTER LINING</t>
  </si>
  <si>
    <t>8864334781</t>
  </si>
  <si>
    <t>PATCH POCKET FLARE</t>
  </si>
  <si>
    <t>100019137P</t>
  </si>
  <si>
    <t>732995457384</t>
  </si>
  <si>
    <t>100053702MS</t>
  </si>
  <si>
    <t>732996554938</t>
  </si>
  <si>
    <t>TIE DYE KEYHOLE</t>
  </si>
  <si>
    <t>100071496P</t>
  </si>
  <si>
    <t>732996454627</t>
  </si>
  <si>
    <t>COTTON/RAYON/POLYESTER/ELASTANE</t>
  </si>
  <si>
    <t>765215864617</t>
  </si>
  <si>
    <t>726895916126</t>
  </si>
  <si>
    <t>806864677057</t>
  </si>
  <si>
    <t>100009193P</t>
  </si>
  <si>
    <t>806864677064</t>
  </si>
  <si>
    <t>732996027050</t>
  </si>
  <si>
    <t>BTM CAMB RNS SKNY SH</t>
  </si>
  <si>
    <t>100059745MS</t>
  </si>
  <si>
    <t>732995728958</t>
  </si>
  <si>
    <t>732995432763</t>
  </si>
  <si>
    <t>SWT FG AO PEARL CARD</t>
  </si>
  <si>
    <t>100042590PT</t>
  </si>
  <si>
    <t>608381472371</t>
  </si>
  <si>
    <t>608381467414</t>
  </si>
  <si>
    <t>732995400922</t>
  </si>
  <si>
    <t>100047230PT</t>
  </si>
  <si>
    <t>732995400946</t>
  </si>
  <si>
    <t>732996037875</t>
  </si>
  <si>
    <t>3/4 LACE SLUB TOP</t>
  </si>
  <si>
    <t>732995723151</t>
  </si>
  <si>
    <t>732996110158</t>
  </si>
  <si>
    <t>KNT SS STRP CRCL TOP</t>
  </si>
  <si>
    <t>100054639PT</t>
  </si>
  <si>
    <t>732995995473</t>
  </si>
  <si>
    <t>BANDLEADER SKIRT WAV</t>
  </si>
  <si>
    <t>100059819MS</t>
  </si>
  <si>
    <t>KNIT: COTTON; NET PATCH: COTTON/NYLON; LACE: COTTON</t>
  </si>
  <si>
    <t>732995959604</t>
  </si>
  <si>
    <t>100054456MS</t>
  </si>
  <si>
    <t>732996262192</t>
  </si>
  <si>
    <t>FW VOILE TOP</t>
  </si>
  <si>
    <t>100069330MS</t>
  </si>
  <si>
    <t>732995533170</t>
  </si>
  <si>
    <t>SLVLESS UTILITY TOP BASIC</t>
  </si>
  <si>
    <t>100047244MS</t>
  </si>
  <si>
    <t>732994156134</t>
  </si>
  <si>
    <t>100025253L</t>
  </si>
  <si>
    <t>14 T/L</t>
  </si>
  <si>
    <t>887650602514</t>
  </si>
  <si>
    <t>52123IN460</t>
  </si>
  <si>
    <t>706258782094</t>
  </si>
  <si>
    <t>FRONT: POLYESTER; BACK: RAYON/SPANDEX</t>
  </si>
  <si>
    <t>887650743606</t>
  </si>
  <si>
    <t>52123CB460</t>
  </si>
  <si>
    <t>887650602408</t>
  </si>
  <si>
    <t>887650743590</t>
  </si>
  <si>
    <t>887650602507</t>
  </si>
  <si>
    <t>887650602316</t>
  </si>
  <si>
    <t>704976202061</t>
  </si>
  <si>
    <t>CAP SLEEVE SIDE TIE DRES</t>
  </si>
  <si>
    <t>PITD3758</t>
  </si>
  <si>
    <t>732996142128</t>
  </si>
  <si>
    <t>887650728856</t>
  </si>
  <si>
    <t>732995890860</t>
  </si>
  <si>
    <t>WHITE BERMUDA SHORT</t>
  </si>
  <si>
    <t>100055993P</t>
  </si>
  <si>
    <t>765215693736</t>
  </si>
  <si>
    <t>765215693781</t>
  </si>
  <si>
    <t>765215693774</t>
  </si>
  <si>
    <t>765215693675</t>
  </si>
  <si>
    <t>732995550764</t>
  </si>
  <si>
    <t>100026210P</t>
  </si>
  <si>
    <t>190797542118</t>
  </si>
  <si>
    <t>190797542149</t>
  </si>
  <si>
    <t>190797091449</t>
  </si>
  <si>
    <t>VISCOSE/POLYESTER; MESH: NYLON</t>
  </si>
  <si>
    <t>726895884043</t>
  </si>
  <si>
    <t>726895884012</t>
  </si>
  <si>
    <t>732995011531</t>
  </si>
  <si>
    <t>FK SCP LS BOUCLE SNT</t>
  </si>
  <si>
    <t>100047520MS</t>
  </si>
  <si>
    <t>732996492421</t>
  </si>
  <si>
    <t>SWT SHORT PNTLLE CMP</t>
  </si>
  <si>
    <t>100059642PT</t>
  </si>
  <si>
    <t>732996492391</t>
  </si>
  <si>
    <t>887650869191</t>
  </si>
  <si>
    <t>BANDLEADER SKIRT</t>
  </si>
  <si>
    <t>732995026368</t>
  </si>
  <si>
    <t>COTTON/POLYESTER/RAYON</t>
  </si>
  <si>
    <t>732995026269</t>
  </si>
  <si>
    <t>887650738022</t>
  </si>
  <si>
    <t>0 P</t>
  </si>
  <si>
    <t>636193195522</t>
  </si>
  <si>
    <t>636193216333</t>
  </si>
  <si>
    <t>732995030099</t>
  </si>
  <si>
    <t>732995029956</t>
  </si>
  <si>
    <t>732996416519</t>
  </si>
  <si>
    <t>732996416533</t>
  </si>
  <si>
    <t>732996416496</t>
  </si>
  <si>
    <t>732996416403</t>
  </si>
  <si>
    <t>732995717617</t>
  </si>
  <si>
    <t>FW RUFFLE HEM TOP</t>
  </si>
  <si>
    <t>100053981MS</t>
  </si>
  <si>
    <t>732995791709</t>
  </si>
  <si>
    <t>KNT SS EMB YOKE TEE</t>
  </si>
  <si>
    <t>100047306MS</t>
  </si>
  <si>
    <t>732995460469</t>
  </si>
  <si>
    <t>COTTON; TRIM: POLYESTER/COTTON</t>
  </si>
  <si>
    <t>887650709800</t>
  </si>
  <si>
    <t>COTTON; LACE: POLYESTER</t>
  </si>
  <si>
    <t>732995407891</t>
  </si>
  <si>
    <t>726895774887</t>
  </si>
  <si>
    <t>CK SPLTNK FRONT ROL</t>
  </si>
  <si>
    <t>100047828PT</t>
  </si>
  <si>
    <t>732995097382</t>
  </si>
  <si>
    <t>732995043624</t>
  </si>
  <si>
    <t>FW KALEI KIMONO</t>
  </si>
  <si>
    <t>100049554PT</t>
  </si>
  <si>
    <t>RAYON/SPANDEX; TRIM: POLYESTER</t>
  </si>
  <si>
    <t>191057244346</t>
  </si>
  <si>
    <t>8 AV/MD/RG</t>
  </si>
  <si>
    <t>732996555348</t>
  </si>
  <si>
    <t>732994893572</t>
  </si>
  <si>
    <t>732994893725</t>
  </si>
  <si>
    <t>732994893671</t>
  </si>
  <si>
    <t>608381260060</t>
  </si>
  <si>
    <t>21170CB460</t>
  </si>
  <si>
    <t>732996333526</t>
  </si>
  <si>
    <t>704976400276</t>
  </si>
  <si>
    <t>3/4 SLEEVE FRONT ZIP TWI</t>
  </si>
  <si>
    <t>PITD4010</t>
  </si>
  <si>
    <t>732996078885</t>
  </si>
  <si>
    <t>732996078878</t>
  </si>
  <si>
    <t>190797084625</t>
  </si>
  <si>
    <t>8865650538</t>
  </si>
  <si>
    <t>8865650514</t>
  </si>
  <si>
    <t>190917260786</t>
  </si>
  <si>
    <t>3/4 FLARE SLV COLD SHOUL</t>
  </si>
  <si>
    <t>718-CSB378</t>
  </si>
  <si>
    <t>732995093445</t>
  </si>
  <si>
    <t>732995093421</t>
  </si>
  <si>
    <t>732995093438</t>
  </si>
  <si>
    <t>RAYON/SPANDEX; LACE: POLYESTER</t>
  </si>
  <si>
    <t>732995093476</t>
  </si>
  <si>
    <t>732995093452</t>
  </si>
  <si>
    <t>732994942744</t>
  </si>
  <si>
    <t>732994942768</t>
  </si>
  <si>
    <t>704625333474</t>
  </si>
  <si>
    <t>732995737325</t>
  </si>
  <si>
    <t>100046344MS</t>
  </si>
  <si>
    <t>732995416114</t>
  </si>
  <si>
    <t>100047185MS</t>
  </si>
  <si>
    <t>190797088005</t>
  </si>
  <si>
    <t>54667DB819</t>
  </si>
  <si>
    <t>732995855494</t>
  </si>
  <si>
    <t>732995720006</t>
  </si>
  <si>
    <t>732995720037</t>
  </si>
  <si>
    <t>190797085097</t>
  </si>
  <si>
    <t>190797085080</t>
  </si>
  <si>
    <t>190797085103</t>
  </si>
  <si>
    <t>726895378429</t>
  </si>
  <si>
    <t>726895585155</t>
  </si>
  <si>
    <t>726895585056</t>
  </si>
  <si>
    <t>636206871498</t>
  </si>
  <si>
    <t>KNT SL FLRL PLT VNCK</t>
  </si>
  <si>
    <t>100047265MS</t>
  </si>
  <si>
    <t>732996120362</t>
  </si>
  <si>
    <t>100054063PT</t>
  </si>
  <si>
    <t>704976351059</t>
  </si>
  <si>
    <t>ANGL SLV TWST FRNT JMPST</t>
  </si>
  <si>
    <t>PITU7540</t>
  </si>
  <si>
    <t>704976350212</t>
  </si>
  <si>
    <t>3/4 SLV YOKE SHFT DRS</t>
  </si>
  <si>
    <t>PITD3966</t>
  </si>
  <si>
    <t>732996268859</t>
  </si>
  <si>
    <t>732996268811</t>
  </si>
  <si>
    <t>732994935203</t>
  </si>
  <si>
    <t>L/S SOLID NOTCH JCKT</t>
  </si>
  <si>
    <t>100039264MS</t>
  </si>
  <si>
    <t>732995783254</t>
  </si>
  <si>
    <t>KNT EMB YK BBYDOLL T</t>
  </si>
  <si>
    <t>732996300962</t>
  </si>
  <si>
    <t>732996301068</t>
  </si>
  <si>
    <t>732995364279</t>
  </si>
  <si>
    <t>54676BL805</t>
  </si>
  <si>
    <t>732996301051</t>
  </si>
  <si>
    <t>732996300993</t>
  </si>
  <si>
    <t>732996301020</t>
  </si>
  <si>
    <t>732997350492</t>
  </si>
  <si>
    <t>98403 ZIG ZAG TANK</t>
  </si>
  <si>
    <t>100071522P</t>
  </si>
  <si>
    <t>706257549551</t>
  </si>
  <si>
    <t>732994309950</t>
  </si>
  <si>
    <t>5 PK INDGO ULTRA SKN</t>
  </si>
  <si>
    <t>706257549568</t>
  </si>
  <si>
    <t>732995757392</t>
  </si>
  <si>
    <t>SOLID BANDED BOTTOM</t>
  </si>
  <si>
    <t>21101CB472</t>
  </si>
  <si>
    <t>765215454979</t>
  </si>
  <si>
    <t>608381183208</t>
  </si>
  <si>
    <t>CURVY STRAIGHT</t>
  </si>
  <si>
    <t>732995502640</t>
  </si>
  <si>
    <t>732994820547</t>
  </si>
  <si>
    <t>54665SS151</t>
  </si>
  <si>
    <t>POLYESTER; BAND: POLYESTER/SPANDEX</t>
  </si>
  <si>
    <t>732995822052</t>
  </si>
  <si>
    <t>SW SCALLOP HEM TANK</t>
  </si>
  <si>
    <t>100054061MS</t>
  </si>
  <si>
    <t>732995822045</t>
  </si>
  <si>
    <t>191594335644</t>
  </si>
  <si>
    <t>732995822038</t>
  </si>
  <si>
    <t>806864996165</t>
  </si>
  <si>
    <t>732995402803</t>
  </si>
  <si>
    <t>732995606249</t>
  </si>
  <si>
    <t>3/4 WING COLLAR JKT</t>
  </si>
  <si>
    <t>100042194MS</t>
  </si>
  <si>
    <t>608356852207</t>
  </si>
  <si>
    <t>706257303610</t>
  </si>
  <si>
    <t>54665DB151</t>
  </si>
  <si>
    <t>191594810998</t>
  </si>
  <si>
    <t>732994936125</t>
  </si>
  <si>
    <t>STRIPE FT HOOD JACKT</t>
  </si>
  <si>
    <t>100039269MS</t>
  </si>
  <si>
    <t>732994936040</t>
  </si>
  <si>
    <t>732994936033</t>
  </si>
  <si>
    <t>732994936071</t>
  </si>
  <si>
    <t>732994936118</t>
  </si>
  <si>
    <t>SPANDEX/POLYESTER</t>
  </si>
  <si>
    <t>732994936064</t>
  </si>
  <si>
    <t>732995258707</t>
  </si>
  <si>
    <t>100039269PT</t>
  </si>
  <si>
    <t>732995258530</t>
  </si>
  <si>
    <t>732995258714</t>
  </si>
  <si>
    <t>732995258608</t>
  </si>
  <si>
    <t>689439461455</t>
  </si>
  <si>
    <t>689439461448</t>
  </si>
  <si>
    <t>190797890608</t>
  </si>
  <si>
    <t>18 S</t>
  </si>
  <si>
    <t>190797890561</t>
  </si>
  <si>
    <t>190797828564</t>
  </si>
  <si>
    <t>RAIL TUMMY STRT LONG</t>
  </si>
  <si>
    <t>54716CE819</t>
  </si>
  <si>
    <t>16 T/L</t>
  </si>
  <si>
    <t>732996079998</t>
  </si>
  <si>
    <t>732997332610</t>
  </si>
  <si>
    <t>SS RHINESTONE GROM T</t>
  </si>
  <si>
    <t>100075352P</t>
  </si>
  <si>
    <t>689439485956</t>
  </si>
  <si>
    <t>DNM SPRNG BRDR SKRT</t>
  </si>
  <si>
    <t>100041510PT</t>
  </si>
  <si>
    <t>732996080116</t>
  </si>
  <si>
    <t>100056531MS</t>
  </si>
  <si>
    <t>732995975826</t>
  </si>
  <si>
    <t>732996080062</t>
  </si>
  <si>
    <t>732996080079</t>
  </si>
  <si>
    <t>SHELL: RAYON/COTTON; SLEEVES: COTTON/POLYESTER</t>
  </si>
  <si>
    <t>191594813548</t>
  </si>
  <si>
    <t>706254397315</t>
  </si>
  <si>
    <t>706254397452</t>
  </si>
  <si>
    <t>191594817652</t>
  </si>
  <si>
    <t>191594817744</t>
  </si>
  <si>
    <t>732994976206</t>
  </si>
  <si>
    <t>726895780895</t>
  </si>
  <si>
    <t>732996163161</t>
  </si>
  <si>
    <t>732996163185</t>
  </si>
  <si>
    <t>732995855777</t>
  </si>
  <si>
    <t>732996119847</t>
  </si>
  <si>
    <t>726895878608</t>
  </si>
  <si>
    <t>DK SPLT NK WVN FT BASIC</t>
  </si>
  <si>
    <t>726895878646</t>
  </si>
  <si>
    <t>726895878615</t>
  </si>
  <si>
    <t>732996078908</t>
  </si>
  <si>
    <t>704976350427</t>
  </si>
  <si>
    <t>3/4 FLR SLV KYHL TIE</t>
  </si>
  <si>
    <t>PITD3980</t>
  </si>
  <si>
    <t>732995776812</t>
  </si>
  <si>
    <t>S/S MARE STRIPE DRES</t>
  </si>
  <si>
    <t>100050981MS</t>
  </si>
  <si>
    <t>732995722970</t>
  </si>
  <si>
    <t>100053275MS</t>
  </si>
  <si>
    <t>732995644111</t>
  </si>
  <si>
    <t>732995644098</t>
  </si>
  <si>
    <t>732995093162</t>
  </si>
  <si>
    <t>732994456562</t>
  </si>
  <si>
    <t>OTTOMAN PNTL CARDI</t>
  </si>
  <si>
    <t>100039201MS</t>
  </si>
  <si>
    <t>706255137118</t>
  </si>
  <si>
    <t>732995010985</t>
  </si>
  <si>
    <t>732996078311</t>
  </si>
  <si>
    <t>FK PATCHES TANK</t>
  </si>
  <si>
    <t>100054290MS</t>
  </si>
  <si>
    <t>732996078373</t>
  </si>
  <si>
    <t>689439274635</t>
  </si>
  <si>
    <t>POPPY DREAM CARDIGAN</t>
  </si>
  <si>
    <t>100039168MS</t>
  </si>
  <si>
    <t>732994892605</t>
  </si>
  <si>
    <t>706257302927</t>
  </si>
  <si>
    <t>706258762034</t>
  </si>
  <si>
    <t>706258762003</t>
  </si>
  <si>
    <t>706258762010</t>
  </si>
  <si>
    <t>732994056687</t>
  </si>
  <si>
    <t>KNT SL FLORAL V NECK</t>
  </si>
  <si>
    <t>100020849MS</t>
  </si>
  <si>
    <t>732995815269</t>
  </si>
  <si>
    <t>732996239644</t>
  </si>
  <si>
    <t>PTD JQD SKRT LQD BLR</t>
  </si>
  <si>
    <t>100061400MS</t>
  </si>
  <si>
    <t>732995029918</t>
  </si>
  <si>
    <t>732995049961</t>
  </si>
  <si>
    <t>21101CY460</t>
  </si>
  <si>
    <t>732996094076</t>
  </si>
  <si>
    <t>732995687262</t>
  </si>
  <si>
    <t>KN PRT TEE</t>
  </si>
  <si>
    <t>100057440PT</t>
  </si>
  <si>
    <t>732995814989</t>
  </si>
  <si>
    <t>732994551854</t>
  </si>
  <si>
    <t>732994551762</t>
  </si>
  <si>
    <t>732994551748</t>
  </si>
  <si>
    <t>704976414976</t>
  </si>
  <si>
    <t>689439907212</t>
  </si>
  <si>
    <t>732994551779</t>
  </si>
  <si>
    <t>732994074957</t>
  </si>
  <si>
    <t>S/S CHAMBRAY DRESS</t>
  </si>
  <si>
    <t>100041541PT</t>
  </si>
  <si>
    <t>732994552059</t>
  </si>
  <si>
    <t>732994551823</t>
  </si>
  <si>
    <t>732994301015</t>
  </si>
  <si>
    <t>732994300995</t>
  </si>
  <si>
    <t>732995254907</t>
  </si>
  <si>
    <t>FT RIVET POCKET PANT</t>
  </si>
  <si>
    <t>100039261MS</t>
  </si>
  <si>
    <t>689439400669</t>
  </si>
  <si>
    <t>732994552806</t>
  </si>
  <si>
    <t>689439400676</t>
  </si>
  <si>
    <t>732994552653</t>
  </si>
  <si>
    <t>732994552677</t>
  </si>
  <si>
    <t>732994552646</t>
  </si>
  <si>
    <t>689439400652</t>
  </si>
  <si>
    <t>732994579810</t>
  </si>
  <si>
    <t>732994579742</t>
  </si>
  <si>
    <t>732994580014</t>
  </si>
  <si>
    <t>732994819671</t>
  </si>
  <si>
    <t>732995606126</t>
  </si>
  <si>
    <t>100039267MS</t>
  </si>
  <si>
    <t>732995939736</t>
  </si>
  <si>
    <t>726895585407</t>
  </si>
  <si>
    <t>726895585414</t>
  </si>
  <si>
    <t>732995606706</t>
  </si>
  <si>
    <t>732995407815</t>
  </si>
  <si>
    <t>732995727333</t>
  </si>
  <si>
    <t>732996095332</t>
  </si>
  <si>
    <t>732995727340</t>
  </si>
  <si>
    <t>732994344425</t>
  </si>
  <si>
    <t>732994344593</t>
  </si>
  <si>
    <t>732994344555</t>
  </si>
  <si>
    <t>732994344777</t>
  </si>
  <si>
    <t>732994344418</t>
  </si>
  <si>
    <t>732994344944</t>
  </si>
  <si>
    <t>732994934848</t>
  </si>
  <si>
    <t>FT COLORBLOCK PANT</t>
  </si>
  <si>
    <t>100039233MS</t>
  </si>
  <si>
    <t>732994344548</t>
  </si>
  <si>
    <t>726895589085</t>
  </si>
  <si>
    <t>726895588880</t>
  </si>
  <si>
    <t>726895588910</t>
  </si>
  <si>
    <t>732995736977</t>
  </si>
  <si>
    <t>732994810623</t>
  </si>
  <si>
    <t>732995737110</t>
  </si>
  <si>
    <t>732995737103</t>
  </si>
  <si>
    <t>732995716672</t>
  </si>
  <si>
    <t>732995740912</t>
  </si>
  <si>
    <t>OMBRE TIE DYE RFL HM</t>
  </si>
  <si>
    <t>100059453MS</t>
  </si>
  <si>
    <t>732995475272</t>
  </si>
  <si>
    <t>190917251180</t>
  </si>
  <si>
    <t>732995162318</t>
  </si>
  <si>
    <t>732995401523</t>
  </si>
  <si>
    <t>732996365817</t>
  </si>
  <si>
    <t>732995162356</t>
  </si>
  <si>
    <t>732994805995</t>
  </si>
  <si>
    <t>ELBOW TEXT GARDN DRS</t>
  </si>
  <si>
    <t>100039309MS</t>
  </si>
  <si>
    <t>732994805797</t>
  </si>
  <si>
    <t>ELBOW FALL PETAL DRS</t>
  </si>
  <si>
    <t>100039308MS</t>
  </si>
  <si>
    <t>732995048810</t>
  </si>
  <si>
    <t>54425GL151</t>
  </si>
  <si>
    <t>732995476149</t>
  </si>
  <si>
    <t>100029762PT</t>
  </si>
  <si>
    <t>732996256771</t>
  </si>
  <si>
    <t>3/4 PLCD JQD ARIA MD</t>
  </si>
  <si>
    <t>100055149WN</t>
  </si>
  <si>
    <t>732996236506</t>
  </si>
  <si>
    <t>732994810036</t>
  </si>
  <si>
    <t>732994824798</t>
  </si>
  <si>
    <t>100040635MS</t>
  </si>
  <si>
    <t>191594519495</t>
  </si>
  <si>
    <t>191594519570</t>
  </si>
  <si>
    <t>732994805056</t>
  </si>
  <si>
    <t>100037627MS</t>
  </si>
  <si>
    <t>732994805063</t>
  </si>
  <si>
    <t>732994824811</t>
  </si>
  <si>
    <t>732994929660</t>
  </si>
  <si>
    <t>3/4 COZY CARDIGAN</t>
  </si>
  <si>
    <t>100039196PT</t>
  </si>
  <si>
    <t>732996342757</t>
  </si>
  <si>
    <t>100058168MS</t>
  </si>
  <si>
    <t>732994964494</t>
  </si>
  <si>
    <t>100047169MS</t>
  </si>
  <si>
    <t>732995806021</t>
  </si>
  <si>
    <t>732996094199</t>
  </si>
  <si>
    <t>100054124MS</t>
  </si>
  <si>
    <t>732996008363</t>
  </si>
  <si>
    <t>3/4 FOIL JQD SQ DNCE</t>
  </si>
  <si>
    <t>100055142MS</t>
  </si>
  <si>
    <t>732996298139</t>
  </si>
  <si>
    <t>732995408522</t>
  </si>
  <si>
    <t>100047202MS</t>
  </si>
  <si>
    <t>732995408546</t>
  </si>
  <si>
    <t>732995408553</t>
  </si>
  <si>
    <t>732995408539</t>
  </si>
  <si>
    <t>732996385808</t>
  </si>
  <si>
    <t>ELBW RUNWAY PRINT SP</t>
  </si>
  <si>
    <t>100049878MS</t>
  </si>
  <si>
    <t>732995746259</t>
  </si>
  <si>
    <t>732996299051</t>
  </si>
  <si>
    <t>732996299068</t>
  </si>
  <si>
    <t>726895973198</t>
  </si>
  <si>
    <t>732995731873</t>
  </si>
  <si>
    <t>726895155365</t>
  </si>
  <si>
    <t>732995731941</t>
  </si>
  <si>
    <t>732995731880</t>
  </si>
  <si>
    <t>732996330372</t>
  </si>
  <si>
    <t>732995409444</t>
  </si>
  <si>
    <t>100047202PT</t>
  </si>
  <si>
    <t>806864890746</t>
  </si>
  <si>
    <t>YOGA LEGGING BASIC</t>
  </si>
  <si>
    <t>8459WHT805</t>
  </si>
  <si>
    <t>732995747386</t>
  </si>
  <si>
    <t>732995747362</t>
  </si>
  <si>
    <t>732995747409</t>
  </si>
  <si>
    <t>SHELL: COTTON/SPANDEX; PANEL: POLYESTER/SPANDEX</t>
  </si>
  <si>
    <t>732995747744</t>
  </si>
  <si>
    <t>732995747379</t>
  </si>
  <si>
    <t>732995388770</t>
  </si>
  <si>
    <t>FWRDSM SCPNK GRAPHIC</t>
  </si>
  <si>
    <t>100056239MS</t>
  </si>
  <si>
    <t>732995711820</t>
  </si>
  <si>
    <t>732995712179</t>
  </si>
  <si>
    <t>SS VNK SHRKBT GRPHC</t>
  </si>
  <si>
    <t>100056283MS</t>
  </si>
  <si>
    <t>732996593128</t>
  </si>
  <si>
    <t>SS SCPNK RND STHM GR</t>
  </si>
  <si>
    <t>100060018MS</t>
  </si>
  <si>
    <t>732995389654</t>
  </si>
  <si>
    <t>VNK SHRTL GRAPHIC</t>
  </si>
  <si>
    <t>100056247MS</t>
  </si>
  <si>
    <t>732996602080</t>
  </si>
  <si>
    <t>732995711806</t>
  </si>
  <si>
    <t>732995795363</t>
  </si>
  <si>
    <t>732995121025</t>
  </si>
  <si>
    <t>3/4 FOIL R/S RIBBON</t>
  </si>
  <si>
    <t>100047631MS</t>
  </si>
  <si>
    <t>732995712575</t>
  </si>
  <si>
    <t>732995784909</t>
  </si>
  <si>
    <t>S/S BIKE SCENE SC</t>
  </si>
  <si>
    <t>100049699MS</t>
  </si>
  <si>
    <t>732995919264</t>
  </si>
  <si>
    <t>S/S EMBR MED SC</t>
  </si>
  <si>
    <t>100049785MS</t>
  </si>
  <si>
    <t>732995531954</t>
  </si>
  <si>
    <t>3/4 PLCD PTD JQD DRF</t>
  </si>
  <si>
    <t>100047626MS</t>
  </si>
  <si>
    <t>732995743678</t>
  </si>
  <si>
    <t>732995743661</t>
  </si>
  <si>
    <t>732995743685</t>
  </si>
  <si>
    <t>732995743647</t>
  </si>
  <si>
    <t>732995743470</t>
  </si>
  <si>
    <t>732995743449</t>
  </si>
  <si>
    <t>732996385082</t>
  </si>
  <si>
    <t>732996218120</t>
  </si>
  <si>
    <t>732995511819</t>
  </si>
  <si>
    <t>SS FOIL R/S MIRAGE</t>
  </si>
  <si>
    <t>100054482MS</t>
  </si>
  <si>
    <t>726895366815</t>
  </si>
  <si>
    <t>EDV SHORT KNIT PANT</t>
  </si>
  <si>
    <t>10004708P</t>
  </si>
  <si>
    <t>732995958720</t>
  </si>
  <si>
    <t>732996352961</t>
  </si>
  <si>
    <t>PMA 3/4SL PEAC PY BT</t>
  </si>
  <si>
    <t>100059678PT</t>
  </si>
  <si>
    <t>732996352992</t>
  </si>
  <si>
    <t>726895404852</t>
  </si>
  <si>
    <t>608356515102</t>
  </si>
  <si>
    <t>732995199109</t>
  </si>
  <si>
    <t>ELBOW RAILRD JOHN CO</t>
  </si>
  <si>
    <t>100039157MS</t>
  </si>
  <si>
    <t>SUPIMA® COTTON</t>
  </si>
  <si>
    <t>732995201925</t>
  </si>
  <si>
    <t>S/S BUTTERFLY SC</t>
  </si>
  <si>
    <t>100039188MS</t>
  </si>
  <si>
    <t>732995201918</t>
  </si>
  <si>
    <t>732995847024</t>
  </si>
  <si>
    <t>732995916461</t>
  </si>
  <si>
    <t>S/S BASKETWEAVE SC</t>
  </si>
  <si>
    <t>100049947PT</t>
  </si>
  <si>
    <t>732995846997</t>
  </si>
  <si>
    <t>732995662320</t>
  </si>
  <si>
    <t>732995662856</t>
  </si>
  <si>
    <t>732996300269</t>
  </si>
  <si>
    <t>100060014MS</t>
  </si>
  <si>
    <t>732995702408</t>
  </si>
  <si>
    <t>732995702446</t>
  </si>
  <si>
    <t>732995702934</t>
  </si>
  <si>
    <t>732995702958</t>
  </si>
  <si>
    <t>732995702965</t>
  </si>
  <si>
    <t>732995702927</t>
  </si>
  <si>
    <t>732994899840</t>
  </si>
  <si>
    <t>732995790580</t>
  </si>
  <si>
    <t>S/S PACIFIC HANG SC</t>
  </si>
  <si>
    <t>100049808MS</t>
  </si>
  <si>
    <t>732994928441</t>
  </si>
  <si>
    <t>3/4 WOVEN TRIM SPLIT</t>
  </si>
  <si>
    <t>100046308MS</t>
  </si>
  <si>
    <t>732996385112</t>
  </si>
  <si>
    <t>732995728835</t>
  </si>
  <si>
    <t>732995405477</t>
  </si>
  <si>
    <t>BODY: COTTON/POLYESTER; TRIM: COTTON/MODAL</t>
  </si>
  <si>
    <t>726895127201</t>
  </si>
  <si>
    <t>726895126310</t>
  </si>
  <si>
    <t>726895124927</t>
  </si>
  <si>
    <t>726895160529</t>
  </si>
  <si>
    <t>726895129649</t>
  </si>
  <si>
    <t>726895124910</t>
  </si>
  <si>
    <t>732996303765</t>
  </si>
  <si>
    <t>72635 S/S RIB VNECK</t>
  </si>
  <si>
    <t>100018837P</t>
  </si>
  <si>
    <t>732995199703</t>
  </si>
  <si>
    <t>ELBOW JOHNNY COLLAR</t>
  </si>
  <si>
    <t>100039158MS</t>
  </si>
  <si>
    <t>732995199765</t>
  </si>
  <si>
    <t>732994899437</t>
  </si>
  <si>
    <t>ELBOW SQU GROM SPLIT</t>
  </si>
  <si>
    <t>100039120MS</t>
  </si>
  <si>
    <t>732995930061</t>
  </si>
  <si>
    <t>732995195897</t>
  </si>
  <si>
    <t>ELBOW IRIS STRP BOAT</t>
  </si>
  <si>
    <t>100039209MS</t>
  </si>
  <si>
    <t>732995195866</t>
  </si>
  <si>
    <t>732995927986</t>
  </si>
  <si>
    <t>608356953904</t>
  </si>
  <si>
    <t>732995921908</t>
  </si>
  <si>
    <t>100049873MS</t>
  </si>
  <si>
    <t>732995748987</t>
  </si>
  <si>
    <t>732995748970</t>
  </si>
  <si>
    <t>732995748994</t>
  </si>
  <si>
    <t>732995919882</t>
  </si>
  <si>
    <t>S/S STUD CUTOUT KEYH</t>
  </si>
  <si>
    <t>100049805MS</t>
  </si>
  <si>
    <t>732996524344</t>
  </si>
  <si>
    <t>636206918322</t>
  </si>
  <si>
    <t>636206918612</t>
  </si>
  <si>
    <t>636206918308</t>
  </si>
  <si>
    <t>732996258096</t>
  </si>
  <si>
    <t>3/4 BOATNECK TUNIC</t>
  </si>
  <si>
    <t>100039124MS</t>
  </si>
  <si>
    <t>732994934046</t>
  </si>
  <si>
    <t>732994933940</t>
  </si>
  <si>
    <t>732994933988</t>
  </si>
  <si>
    <t>732994933964</t>
  </si>
  <si>
    <t>732994933971</t>
  </si>
  <si>
    <t>732995196849</t>
  </si>
  <si>
    <t>732995802863</t>
  </si>
  <si>
    <t>ELB OMBRE SHELS BOAT</t>
  </si>
  <si>
    <t>100049904MS</t>
  </si>
  <si>
    <t>732994901345</t>
  </si>
  <si>
    <t>ELBOW WILDFLOWR BOAT</t>
  </si>
  <si>
    <t>100039212MS</t>
  </si>
  <si>
    <t>732994901376</t>
  </si>
  <si>
    <t>732995213027</t>
  </si>
  <si>
    <t>100039246PT</t>
  </si>
  <si>
    <t>732995806762</t>
  </si>
  <si>
    <t>732995213010</t>
  </si>
  <si>
    <t>732996364988</t>
  </si>
  <si>
    <t>732996365497</t>
  </si>
  <si>
    <t>732996365480</t>
  </si>
  <si>
    <t>732996364865</t>
  </si>
  <si>
    <t>732996365602</t>
  </si>
  <si>
    <t>726895473667</t>
  </si>
  <si>
    <t>732995132779</t>
  </si>
  <si>
    <t>84987NU460</t>
  </si>
  <si>
    <t>732995133134</t>
  </si>
  <si>
    <t>84987PY460</t>
  </si>
  <si>
    <t>706255437690</t>
  </si>
  <si>
    <t>706255437683</t>
  </si>
  <si>
    <t>636206917998</t>
  </si>
  <si>
    <t>732994814676</t>
  </si>
  <si>
    <t>706255437652</t>
  </si>
  <si>
    <t>732994814768</t>
  </si>
  <si>
    <t>732994867870</t>
  </si>
  <si>
    <t>732994868099</t>
  </si>
  <si>
    <t>732994867924</t>
  </si>
  <si>
    <t>732994868204</t>
  </si>
  <si>
    <t>732994867412</t>
  </si>
  <si>
    <t>732994867580</t>
  </si>
  <si>
    <t>732994867450</t>
  </si>
  <si>
    <t>732994868228</t>
  </si>
  <si>
    <t>732994900782</t>
  </si>
  <si>
    <t>732995784626</t>
  </si>
  <si>
    <t>732995784343</t>
  </si>
  <si>
    <t>732994901062</t>
  </si>
  <si>
    <t>732994900768</t>
  </si>
  <si>
    <t>636202435380</t>
  </si>
  <si>
    <t>636202432914</t>
  </si>
  <si>
    <t>732994900744</t>
  </si>
  <si>
    <t>732995784367</t>
  </si>
  <si>
    <t>636206791420</t>
  </si>
  <si>
    <t>100044144MS</t>
  </si>
  <si>
    <t>732995134070</t>
  </si>
  <si>
    <t>88144CY460</t>
  </si>
  <si>
    <t>732994731379</t>
  </si>
  <si>
    <t>CK SCPNK PRINTED TEE</t>
  </si>
  <si>
    <t>100043903MS</t>
  </si>
  <si>
    <t>706254806695</t>
  </si>
  <si>
    <t>100045969MS</t>
  </si>
  <si>
    <t>732995047882</t>
  </si>
  <si>
    <t>100047166MS</t>
  </si>
  <si>
    <t>732996087849</t>
  </si>
  <si>
    <t>100054132MS</t>
  </si>
  <si>
    <t>636206919558</t>
  </si>
  <si>
    <t>636206919374</t>
  </si>
  <si>
    <t>636206919510</t>
  </si>
  <si>
    <t>636206919626</t>
  </si>
  <si>
    <t>732995738155</t>
  </si>
  <si>
    <t>732995737714</t>
  </si>
  <si>
    <t>100053951PT</t>
  </si>
  <si>
    <t>732995738162</t>
  </si>
  <si>
    <t>732995737691</t>
  </si>
  <si>
    <t>732995738193</t>
  </si>
  <si>
    <t>732995737707</t>
  </si>
  <si>
    <t>732995737684</t>
  </si>
  <si>
    <t>732995738186</t>
  </si>
  <si>
    <t>732995737721</t>
  </si>
  <si>
    <t>706254805087</t>
  </si>
  <si>
    <t>706254804813</t>
  </si>
  <si>
    <t>636189497272</t>
  </si>
  <si>
    <t>ONE POCKET TEE B/O</t>
  </si>
  <si>
    <t>25824IK805</t>
  </si>
  <si>
    <t>732996307121</t>
  </si>
  <si>
    <t>732996306926</t>
  </si>
  <si>
    <t>732996306940</t>
  </si>
  <si>
    <t>732996306964</t>
  </si>
  <si>
    <t>732996639161</t>
  </si>
  <si>
    <t>SLEEVLEES SHELL</t>
  </si>
  <si>
    <t>100057988MS</t>
  </si>
  <si>
    <t>706254727228</t>
  </si>
  <si>
    <t>3/4 SLEEVE HENLEY</t>
  </si>
  <si>
    <t>100020273MS</t>
  </si>
  <si>
    <t>732995782370</t>
  </si>
  <si>
    <t>CUTOUT TANK</t>
  </si>
  <si>
    <t>100046090MS</t>
  </si>
  <si>
    <t>608356122522</t>
  </si>
  <si>
    <t>608356122478</t>
  </si>
  <si>
    <t>608356122508</t>
  </si>
  <si>
    <t>608356122515</t>
  </si>
  <si>
    <t>636206647604</t>
  </si>
  <si>
    <t>732995474954</t>
  </si>
  <si>
    <t>732995740844</t>
  </si>
  <si>
    <t>636202054628</t>
  </si>
  <si>
    <t>732994841450</t>
  </si>
  <si>
    <t>732995441093</t>
  </si>
  <si>
    <t>S/S TIDAL WHIRL HEN</t>
  </si>
  <si>
    <t>100041719MS</t>
  </si>
  <si>
    <t>732995441239</t>
  </si>
  <si>
    <t>732995441079</t>
  </si>
  <si>
    <t>732995441086</t>
  </si>
  <si>
    <t>732995441253</t>
  </si>
  <si>
    <t>732996224442</t>
  </si>
  <si>
    <t>LIBERTY DAISY</t>
  </si>
  <si>
    <t>100045486PT</t>
  </si>
  <si>
    <t>732995441246</t>
  </si>
  <si>
    <t>732996011714</t>
  </si>
  <si>
    <t>100045480MS</t>
  </si>
  <si>
    <t>706254763493</t>
  </si>
  <si>
    <t>S/S FINNS FLRL HENLY</t>
  </si>
  <si>
    <t>100036348MS</t>
  </si>
  <si>
    <t>732996011707</t>
  </si>
  <si>
    <t>732995197167</t>
  </si>
  <si>
    <t>S/S DAFODIL DNCE HEN</t>
  </si>
  <si>
    <t>100036346MS</t>
  </si>
  <si>
    <t>732994965385</t>
  </si>
  <si>
    <t>732994965392</t>
  </si>
  <si>
    <t>689439005611</t>
  </si>
  <si>
    <t>732996640327</t>
  </si>
  <si>
    <t>3/4 V-NECK</t>
  </si>
  <si>
    <t>100055766MS</t>
  </si>
  <si>
    <t>732995738261</t>
  </si>
  <si>
    <t>VNK SS SOLID TEE</t>
  </si>
  <si>
    <t>27020PB151</t>
  </si>
  <si>
    <t>732995738292</t>
  </si>
  <si>
    <t>732995738308</t>
  </si>
  <si>
    <t>706254741286</t>
  </si>
  <si>
    <t>DOT BOATNECK TANK</t>
  </si>
  <si>
    <t>100039112MS</t>
  </si>
  <si>
    <t>706254741224</t>
  </si>
  <si>
    <t>732994897600</t>
  </si>
  <si>
    <t>732995194302</t>
  </si>
  <si>
    <t>732994897266</t>
  </si>
  <si>
    <t>732995783742</t>
  </si>
  <si>
    <t>732994897068</t>
  </si>
  <si>
    <t>732994897471</t>
  </si>
  <si>
    <t>706254726665</t>
  </si>
  <si>
    <t>706254716864</t>
  </si>
  <si>
    <t>706254715966</t>
  </si>
  <si>
    <t>732994753968</t>
  </si>
  <si>
    <t>SQUARENECK TANK</t>
  </si>
  <si>
    <t>100039206MS</t>
  </si>
  <si>
    <t>706254726214</t>
  </si>
  <si>
    <t>732994904490</t>
  </si>
  <si>
    <t>706254725491</t>
  </si>
  <si>
    <t>732994752787</t>
  </si>
  <si>
    <t>732994752732</t>
  </si>
  <si>
    <t>706258343530</t>
  </si>
  <si>
    <t>3/4 SLV SOLID SCOOP</t>
  </si>
  <si>
    <t>60000M243</t>
  </si>
  <si>
    <t>706254746717</t>
  </si>
  <si>
    <t>732995503890</t>
  </si>
  <si>
    <t>732995810530</t>
  </si>
  <si>
    <t>S/S DRAGON VOYAGESC</t>
  </si>
  <si>
    <t>100045484MS</t>
  </si>
  <si>
    <t>732995810509</t>
  </si>
  <si>
    <t>732996195544</t>
  </si>
  <si>
    <t>S/S SIDN SACHET SC</t>
  </si>
  <si>
    <t>100045494MS</t>
  </si>
  <si>
    <t>732995504040</t>
  </si>
  <si>
    <t>732996223810</t>
  </si>
  <si>
    <t>SIDNEY SACHET</t>
  </si>
  <si>
    <t>100045494PT</t>
  </si>
  <si>
    <t>732994817240</t>
  </si>
  <si>
    <t>WVN STRP EMB MNTL TP</t>
  </si>
  <si>
    <t>100041485MS</t>
  </si>
  <si>
    <t>732996142173</t>
  </si>
  <si>
    <t>636202061572</t>
  </si>
  <si>
    <t>CK SPACEDYE TANK</t>
  </si>
  <si>
    <t>100037817MS</t>
  </si>
  <si>
    <t>828659130349</t>
  </si>
  <si>
    <t>828659130400</t>
  </si>
  <si>
    <t>828659199490</t>
  </si>
  <si>
    <t>SLV EYELET FIT AND FLARE</t>
  </si>
  <si>
    <t>VC9M9380</t>
  </si>
  <si>
    <t>828659199520</t>
  </si>
  <si>
    <t>828659199506</t>
  </si>
  <si>
    <t>828659199513</t>
  </si>
  <si>
    <t>828659187541</t>
  </si>
  <si>
    <t>VC9M8817</t>
  </si>
  <si>
    <t>193623804510</t>
  </si>
  <si>
    <t>635273561943</t>
  </si>
  <si>
    <t>828659189651</t>
  </si>
  <si>
    <t>HLTR MULTI STRAP FNF</t>
  </si>
  <si>
    <t>VC9M8675</t>
  </si>
  <si>
    <t>828659207133</t>
  </si>
  <si>
    <t>SQUARE NECK FNF</t>
  </si>
  <si>
    <t>VC9M9064</t>
  </si>
  <si>
    <t>828659207140</t>
  </si>
  <si>
    <t>193623951139</t>
  </si>
  <si>
    <t>RUCHED SLEEVE 1 BUTTON J</t>
  </si>
  <si>
    <t>S91JL309</t>
  </si>
  <si>
    <t>193623940911</t>
  </si>
  <si>
    <t>ZIP FRONT JKT CIRCLE NO</t>
  </si>
  <si>
    <t>S93JC447</t>
  </si>
  <si>
    <t>POLYESTER/SPANDEX; LINING: POLYESTER/SPANDEX</t>
  </si>
  <si>
    <t>635273558271</t>
  </si>
  <si>
    <t>635273567365</t>
  </si>
  <si>
    <t>635273567433</t>
  </si>
  <si>
    <t>755179498645</t>
  </si>
  <si>
    <t>CHIFF MAXI W FLOWER LACE</t>
  </si>
  <si>
    <t>1439M</t>
  </si>
  <si>
    <t>12AV/MD/RG</t>
  </si>
  <si>
    <t>POLYESTER; COMBO: COTTON/NYLON; LINING: COTTON</t>
  </si>
  <si>
    <t>755179471716</t>
  </si>
  <si>
    <t>1070M RECUT JAQUARD SHEATH</t>
  </si>
  <si>
    <t>1432M</t>
  </si>
  <si>
    <t>2 AV/MD/RG</t>
  </si>
  <si>
    <t>NYLON/RAYON; LINING: POLYESTER; EXCLUSIVE OF DECORATION</t>
  </si>
  <si>
    <t>889648425563</t>
  </si>
  <si>
    <t>93487534922</t>
  </si>
  <si>
    <t>193623663360</t>
  </si>
  <si>
    <t>193623663315</t>
  </si>
  <si>
    <t>755179435251</t>
  </si>
  <si>
    <t>SLV SCUBA FNF</t>
  </si>
  <si>
    <t>1307M</t>
  </si>
  <si>
    <t>190466015547</t>
  </si>
  <si>
    <t>PLEATED SKIRT</t>
  </si>
  <si>
    <t>S91SC403</t>
  </si>
  <si>
    <t>93487534656</t>
  </si>
  <si>
    <t>193623566944</t>
  </si>
  <si>
    <t>STRTCH CREPE PENCIL SKRT</t>
  </si>
  <si>
    <t>S94SC140</t>
  </si>
  <si>
    <t>SHELL AND LINING: POLYESTER/SPANDEX</t>
  </si>
  <si>
    <t>732996059440</t>
  </si>
  <si>
    <t>732996636085</t>
  </si>
  <si>
    <t>DR SHIRT DRESS</t>
  </si>
  <si>
    <t>100058722PT</t>
  </si>
  <si>
    <t>732996635941</t>
  </si>
  <si>
    <t>732997039564</t>
  </si>
  <si>
    <t>732996292434</t>
  </si>
  <si>
    <t>CORSET TOP JUMPSUIT</t>
  </si>
  <si>
    <t>100062093P</t>
  </si>
  <si>
    <t>732996012131</t>
  </si>
  <si>
    <t>LUREX HLTR KEYHLE DR</t>
  </si>
  <si>
    <t>100059987P</t>
  </si>
  <si>
    <t>SHELL: POLYESTER/LUREX METALLIC THREADS; LINING: POLYESTER</t>
  </si>
  <si>
    <t>732996012155</t>
  </si>
  <si>
    <t>732995832815</t>
  </si>
  <si>
    <t>R ROSE EMB FRINGE CR</t>
  </si>
  <si>
    <t>732995813036</t>
  </si>
  <si>
    <t>732994943611</t>
  </si>
  <si>
    <t>ALL OVER STUD ANKLE</t>
  </si>
  <si>
    <t>732995569414</t>
  </si>
  <si>
    <t>732995569445</t>
  </si>
  <si>
    <t>732995550382</t>
  </si>
  <si>
    <t>BL PRT TUCK FRNT TOP</t>
  </si>
  <si>
    <t>100047900PT</t>
  </si>
  <si>
    <t>732995508086</t>
  </si>
  <si>
    <t>100051428MS</t>
  </si>
  <si>
    <t>732995509137</t>
  </si>
  <si>
    <t>732995146813</t>
  </si>
  <si>
    <t>BASIC MIX STITCH OC</t>
  </si>
  <si>
    <t>100047768MS</t>
  </si>
  <si>
    <t>COTTON/POLYESTER/ACRYLIC/NYLON</t>
  </si>
  <si>
    <t>636206444531</t>
  </si>
  <si>
    <t>WVN EMB FLR RYN TUNC</t>
  </si>
  <si>
    <t>100041480MS</t>
  </si>
  <si>
    <t>732995474695</t>
  </si>
  <si>
    <t>WVN RTAB LIN STR SHR</t>
  </si>
  <si>
    <t>100041474MS</t>
  </si>
  <si>
    <t>732995474718</t>
  </si>
  <si>
    <t>732995474725</t>
  </si>
  <si>
    <t>732995890259</t>
  </si>
  <si>
    <t>636193799454</t>
  </si>
  <si>
    <t>R STRAIGHT DENIM</t>
  </si>
  <si>
    <t>100037523M</t>
  </si>
  <si>
    <t>732996136769</t>
  </si>
  <si>
    <t>FRAYED BUTTON DRESS</t>
  </si>
  <si>
    <t>732995889826</t>
  </si>
  <si>
    <t>R ZIP FRONT SKIRT</t>
  </si>
  <si>
    <t>732996148489</t>
  </si>
  <si>
    <t>732995820720</t>
  </si>
  <si>
    <t>732995435924</t>
  </si>
  <si>
    <t>KNT ICONIC MIDI DRS</t>
  </si>
  <si>
    <t>100048668PT</t>
  </si>
  <si>
    <t>SHELL, SLEEVES &amp; BACK LINING: POLYESTER/SPANDEX; FRONT LINING: POLYESTER</t>
  </si>
  <si>
    <t>732995585223</t>
  </si>
  <si>
    <t>732995585216</t>
  </si>
  <si>
    <t>732995580594</t>
  </si>
  <si>
    <t>CRNKLE BTTN JACKET</t>
  </si>
  <si>
    <t>100051293WN</t>
  </si>
  <si>
    <t>732995222784</t>
  </si>
  <si>
    <t>732995851175</t>
  </si>
  <si>
    <t>BTM BLT WD LG CRP</t>
  </si>
  <si>
    <t>100054569MS</t>
  </si>
  <si>
    <t>732994452748</t>
  </si>
  <si>
    <t>DNM BLK FRAY HEM ANK</t>
  </si>
  <si>
    <t>100038840MS</t>
  </si>
  <si>
    <t>732995838886</t>
  </si>
  <si>
    <t>732995838909</t>
  </si>
  <si>
    <t>732996191935</t>
  </si>
  <si>
    <t>DNM W ANCHR EMB SHRT</t>
  </si>
  <si>
    <t>100055850MS</t>
  </si>
  <si>
    <t>636206498282</t>
  </si>
  <si>
    <t>100041482MS</t>
  </si>
  <si>
    <t>732995118247</t>
  </si>
  <si>
    <t>RUFFLE CS BLOUSE</t>
  </si>
  <si>
    <t>100047737WN</t>
  </si>
  <si>
    <t>732996396873</t>
  </si>
  <si>
    <t>732996396859</t>
  </si>
  <si>
    <t>706254457378</t>
  </si>
  <si>
    <t>BTM SOLID NEWPORT FL</t>
  </si>
  <si>
    <t>100040404MS</t>
  </si>
  <si>
    <t>732995876161</t>
  </si>
  <si>
    <t>SWT LS NANTUCKET COM</t>
  </si>
  <si>
    <t>100054415MS</t>
  </si>
  <si>
    <t>732995303926</t>
  </si>
  <si>
    <t>BTM SLD NPT PNTE FL</t>
  </si>
  <si>
    <t>100052131PT</t>
  </si>
  <si>
    <t>732995083903</t>
  </si>
  <si>
    <t>193623600372</t>
  </si>
  <si>
    <t>STRAPPY CAMI</t>
  </si>
  <si>
    <t>S94TG46F</t>
  </si>
  <si>
    <t>732995750188</t>
  </si>
  <si>
    <t>732996434674</t>
  </si>
  <si>
    <t>KNT LS STR HOODIE</t>
  </si>
  <si>
    <t>100059521MS</t>
  </si>
  <si>
    <t>732996577678</t>
  </si>
  <si>
    <t>732995853797</t>
  </si>
  <si>
    <t>BL PRT V BOTTOM</t>
  </si>
  <si>
    <t>100054182PT</t>
  </si>
  <si>
    <t>732996351063</t>
  </si>
  <si>
    <t>100058735PT</t>
  </si>
  <si>
    <t>732995423488</t>
  </si>
  <si>
    <t>CVY STRAIGHT</t>
  </si>
  <si>
    <t>732996556369</t>
  </si>
  <si>
    <t>STRIPE TIE WB WDLG</t>
  </si>
  <si>
    <t>100051915P</t>
  </si>
  <si>
    <t>732995539011</t>
  </si>
  <si>
    <t>SWT LS LEAF STCH CMP</t>
  </si>
  <si>
    <t>100048433MS</t>
  </si>
  <si>
    <t>732996290829</t>
  </si>
  <si>
    <t>732996290812</t>
  </si>
  <si>
    <t>732996263779</t>
  </si>
  <si>
    <t>732994817851</t>
  </si>
  <si>
    <t>WVN RT LIN DT FLR SH</t>
  </si>
  <si>
    <t>100041491MS</t>
  </si>
  <si>
    <t>732996507842</t>
  </si>
  <si>
    <t>732995717501</t>
  </si>
  <si>
    <t>FW OFF SHOULDER TOP</t>
  </si>
  <si>
    <t>100053978MS</t>
  </si>
  <si>
    <t>RAYON; CONTRAST: COTTON/POLYESTER; TRIM: POLYESTER</t>
  </si>
  <si>
    <t>732996824666</t>
  </si>
  <si>
    <t>LATTI CAPRI PET PLUS</t>
  </si>
  <si>
    <t>100061221WN</t>
  </si>
  <si>
    <t>1X SMALL</t>
  </si>
  <si>
    <t>689439474271</t>
  </si>
  <si>
    <t>732995999945</t>
  </si>
  <si>
    <t>HANKY HEM HALTER</t>
  </si>
  <si>
    <t>100061148P</t>
  </si>
  <si>
    <t>SHELL: POLYESTER; LINING: NYLON</t>
  </si>
  <si>
    <t>732996691688</t>
  </si>
  <si>
    <t>732996103853</t>
  </si>
  <si>
    <t>100054407PT</t>
  </si>
  <si>
    <t>732996051680</t>
  </si>
  <si>
    <t>732996498843</t>
  </si>
  <si>
    <t>732996498836</t>
  </si>
  <si>
    <t>732996498850</t>
  </si>
  <si>
    <t>732995717679</t>
  </si>
  <si>
    <t>887650503149</t>
  </si>
  <si>
    <t>732996039756</t>
  </si>
  <si>
    <t>732995067101</t>
  </si>
  <si>
    <t>C 5 PKT FLARE</t>
  </si>
  <si>
    <t>689439423712</t>
  </si>
  <si>
    <t>KNT 3/4 STP PSLY BTU</t>
  </si>
  <si>
    <t>100037701MS</t>
  </si>
  <si>
    <t>732995065374</t>
  </si>
  <si>
    <t>732995568424</t>
  </si>
  <si>
    <t>100051284MS</t>
  </si>
  <si>
    <t>732996219912</t>
  </si>
  <si>
    <t>732995993745</t>
  </si>
  <si>
    <t>732996460864</t>
  </si>
  <si>
    <t>KNT SL SEAHORSE PNTK</t>
  </si>
  <si>
    <t>100059582PT</t>
  </si>
  <si>
    <t>POLYESTER/SPANDEX; WOVEN: POLYESTER</t>
  </si>
  <si>
    <t>732995710793</t>
  </si>
  <si>
    <t>KN PRT SIDE TIE</t>
  </si>
  <si>
    <t>100067681PT</t>
  </si>
  <si>
    <t>732995710809</t>
  </si>
  <si>
    <t>732995710762</t>
  </si>
  <si>
    <t>755179435640</t>
  </si>
  <si>
    <t>ELBOW SLV SHRUG</t>
  </si>
  <si>
    <t>6486M</t>
  </si>
  <si>
    <t>732996257532</t>
  </si>
  <si>
    <t>726895892901</t>
  </si>
  <si>
    <t>PRINTED FOIL PO BASIC</t>
  </si>
  <si>
    <t>100023751W</t>
  </si>
  <si>
    <t>732995719758</t>
  </si>
  <si>
    <t>732995981865</t>
  </si>
  <si>
    <t>732995993967</t>
  </si>
  <si>
    <t>CC STUDDED ANKLE PNT</t>
  </si>
  <si>
    <t>100055156MS</t>
  </si>
  <si>
    <t>732995043228</t>
  </si>
  <si>
    <t>689439181377</t>
  </si>
  <si>
    <t>689439181322</t>
  </si>
  <si>
    <t>732995636710</t>
  </si>
  <si>
    <t>732995905397</t>
  </si>
  <si>
    <t>100056678MS</t>
  </si>
  <si>
    <t>732996078519</t>
  </si>
  <si>
    <t>732996078458</t>
  </si>
  <si>
    <t>732996197609</t>
  </si>
  <si>
    <t>732995424133</t>
  </si>
  <si>
    <t>C ANGLED MOP HEM BASIC</t>
  </si>
  <si>
    <t>COTTON/SPANDEX/POLYESTER/OTHER FIBERS</t>
  </si>
  <si>
    <t>726895790566</t>
  </si>
  <si>
    <t>732996719870</t>
  </si>
  <si>
    <t>97403 SQN CARDIGN</t>
  </si>
  <si>
    <t>100070060P</t>
  </si>
  <si>
    <t>732995371567</t>
  </si>
  <si>
    <t>732995890358</t>
  </si>
  <si>
    <t>C TIE WAIST ANK STRT</t>
  </si>
  <si>
    <t>732995271768</t>
  </si>
  <si>
    <t>732996079806</t>
  </si>
  <si>
    <t>732996079745</t>
  </si>
  <si>
    <t>732995753387</t>
  </si>
  <si>
    <t>732995662610</t>
  </si>
  <si>
    <t>732995714777</t>
  </si>
  <si>
    <t>FK CROCHET TOP</t>
  </si>
  <si>
    <t>100054228MS</t>
  </si>
  <si>
    <t>732997514863</t>
  </si>
  <si>
    <t>BL SOLID SURPLICE</t>
  </si>
  <si>
    <t>78918P</t>
  </si>
  <si>
    <t>732995350463</t>
  </si>
  <si>
    <t>732995568899</t>
  </si>
  <si>
    <t>MAXI CRNKLE SKIRT</t>
  </si>
  <si>
    <t>100051292MS</t>
  </si>
  <si>
    <t>732995047042</t>
  </si>
  <si>
    <t>DNM SOLID TWL LEX SH</t>
  </si>
  <si>
    <t>100051250MS</t>
  </si>
  <si>
    <t>732995820041</t>
  </si>
  <si>
    <t>732995720150</t>
  </si>
  <si>
    <t>FW PEASANT PLEAT TOP</t>
  </si>
  <si>
    <t>100054049MS</t>
  </si>
  <si>
    <t>732995525465</t>
  </si>
  <si>
    <t>704975928207</t>
  </si>
  <si>
    <t>STR 3/4 SLV JUMPSUIT W/</t>
  </si>
  <si>
    <t>PITU6919</t>
  </si>
  <si>
    <t>732996471389</t>
  </si>
  <si>
    <t>CROPPED CREPON PANTS BASIC</t>
  </si>
  <si>
    <t>100069412MS</t>
  </si>
  <si>
    <t>SHELL: RAYON; LINING: POLYESTER</t>
  </si>
  <si>
    <t>887650387084</t>
  </si>
  <si>
    <t>887650854357</t>
  </si>
  <si>
    <t>P2947ML677</t>
  </si>
  <si>
    <t>732995720075</t>
  </si>
  <si>
    <t>732996262123</t>
  </si>
  <si>
    <t>100055161MS</t>
  </si>
  <si>
    <t>732996262116</t>
  </si>
  <si>
    <t>732995962796</t>
  </si>
  <si>
    <t>PINK TIE DYE BUTTON</t>
  </si>
  <si>
    <t>100026561BP</t>
  </si>
  <si>
    <t>732995717358</t>
  </si>
  <si>
    <t>732996262277</t>
  </si>
  <si>
    <t>EMBROID WB CURV CAPR</t>
  </si>
  <si>
    <t>100059813MS</t>
  </si>
  <si>
    <t>732996262307</t>
  </si>
  <si>
    <t>732996262260</t>
  </si>
  <si>
    <t>732996262284</t>
  </si>
  <si>
    <t>887650925163</t>
  </si>
  <si>
    <t>887650925156</t>
  </si>
  <si>
    <t>887650925194</t>
  </si>
  <si>
    <t>732996054551</t>
  </si>
  <si>
    <t>SATIN SPLIT NCK SUB</t>
  </si>
  <si>
    <t>100061138WN</t>
  </si>
  <si>
    <t>732996031064</t>
  </si>
  <si>
    <t>100055185PT</t>
  </si>
  <si>
    <t>732995714814</t>
  </si>
  <si>
    <t>FK SQUARE NECK TOP</t>
  </si>
  <si>
    <t>100054294MS</t>
  </si>
  <si>
    <t>732995714869</t>
  </si>
  <si>
    <t>792831173533</t>
  </si>
  <si>
    <t>5 POCKET HIGH RISE PLUS</t>
  </si>
  <si>
    <t>P1000HH</t>
  </si>
  <si>
    <t>190797358917</t>
  </si>
  <si>
    <t>LR CURVY BOOT LONG</t>
  </si>
  <si>
    <t>57203LA819</t>
  </si>
  <si>
    <t>732996471259</t>
  </si>
  <si>
    <t>732995561494</t>
  </si>
  <si>
    <t>VNCK CFFN SLV BJN BL</t>
  </si>
  <si>
    <t>100051590MS</t>
  </si>
  <si>
    <t>POLYESTER/SPANDEX; SLEEVES: POLYESTER; TRIM: METAL</t>
  </si>
  <si>
    <t>887650925798</t>
  </si>
  <si>
    <t>P2943FD677</t>
  </si>
  <si>
    <t>732996080918</t>
  </si>
  <si>
    <t>732996404639</t>
  </si>
  <si>
    <t>S/L ZIP NECK DRESS</t>
  </si>
  <si>
    <t>100059542MS</t>
  </si>
  <si>
    <t>SHELL:POLYESTER/SPANDEX LINING:POLYESTER</t>
  </si>
  <si>
    <t>726895877663</t>
  </si>
  <si>
    <t>732995151916</t>
  </si>
  <si>
    <t>732996096919</t>
  </si>
  <si>
    <t>BUTTON FRONT SKIRT</t>
  </si>
  <si>
    <t>100060495P</t>
  </si>
  <si>
    <t>190917240801</t>
  </si>
  <si>
    <t>BANDED BTTM KNIT2WOV</t>
  </si>
  <si>
    <t>818-B101</t>
  </si>
  <si>
    <t>SHELL: POLYESTER; HEM: RAYON/SPANDEX</t>
  </si>
  <si>
    <t>732995457056</t>
  </si>
  <si>
    <t>732995719581</t>
  </si>
  <si>
    <t>FK BISHOP SLEEVE TOP</t>
  </si>
  <si>
    <t>100055716MS</t>
  </si>
  <si>
    <t>732995719574</t>
  </si>
  <si>
    <t>732995011616</t>
  </si>
  <si>
    <t>FK SPLT 3/4 TIER BCK</t>
  </si>
  <si>
    <t>100047521MS</t>
  </si>
  <si>
    <t>COTTON; BACK: RAYON</t>
  </si>
  <si>
    <t>732995011609</t>
  </si>
  <si>
    <t>608356127923</t>
  </si>
  <si>
    <t>CUTOUT PULLOVER</t>
  </si>
  <si>
    <t>100035876P</t>
  </si>
  <si>
    <t>732995457278</t>
  </si>
  <si>
    <t>806864669298</t>
  </si>
  <si>
    <t>732995043525</t>
  </si>
  <si>
    <t>806864669335</t>
  </si>
  <si>
    <t>726895847826</t>
  </si>
  <si>
    <t>732995764987</t>
  </si>
  <si>
    <t>885779849995</t>
  </si>
  <si>
    <t>704625810104</t>
  </si>
  <si>
    <t>704976219816</t>
  </si>
  <si>
    <t>704625810081</t>
  </si>
  <si>
    <t>822982521263</t>
  </si>
  <si>
    <t>706254395304</t>
  </si>
  <si>
    <t>100040729L</t>
  </si>
  <si>
    <t>12 T/L</t>
  </si>
  <si>
    <t>608381255660</t>
  </si>
  <si>
    <t>765215861890</t>
  </si>
  <si>
    <t>190797258859</t>
  </si>
  <si>
    <t>732995808780</t>
  </si>
  <si>
    <t>KNIT WB PULL ON SKRT</t>
  </si>
  <si>
    <t>806864895574</t>
  </si>
  <si>
    <t>608381467407</t>
  </si>
  <si>
    <t>608381472265</t>
  </si>
  <si>
    <t>732995839661</t>
  </si>
  <si>
    <t>732995839739</t>
  </si>
  <si>
    <t>726895772630</t>
  </si>
  <si>
    <t>C W&amp;R CASUAL SHORT</t>
  </si>
  <si>
    <t>100020649M</t>
  </si>
  <si>
    <t>732994960410</t>
  </si>
  <si>
    <t>732994037143</t>
  </si>
  <si>
    <t>732995208689</t>
  </si>
  <si>
    <t>887650929857</t>
  </si>
  <si>
    <t>636202363751</t>
  </si>
  <si>
    <t>732996008400</t>
  </si>
  <si>
    <t>3/4 CLDSHDR SHRTAIL</t>
  </si>
  <si>
    <t>732995185485</t>
  </si>
  <si>
    <t>887650608387</t>
  </si>
  <si>
    <t>CORE FASHION CAPRI</t>
  </si>
  <si>
    <t>52125DP460</t>
  </si>
  <si>
    <t>636193753890</t>
  </si>
  <si>
    <t>21170IN460</t>
  </si>
  <si>
    <t>887650602330</t>
  </si>
  <si>
    <t>704976398351</t>
  </si>
  <si>
    <t>3/4 SLEEVE SIDE RUCHED D</t>
  </si>
  <si>
    <t>PDKD0428</t>
  </si>
  <si>
    <t>704976398337</t>
  </si>
  <si>
    <t>704976400405</t>
  </si>
  <si>
    <t>3/4 SLEEVE SURPLICE JUMP</t>
  </si>
  <si>
    <t>PITU7629</t>
  </si>
  <si>
    <t>704976398368</t>
  </si>
  <si>
    <t>704976400412</t>
  </si>
  <si>
    <t>732995890839</t>
  </si>
  <si>
    <t>887650728894</t>
  </si>
  <si>
    <t>191594814316</t>
  </si>
  <si>
    <t>ELLE WIDE HEM CAPRI</t>
  </si>
  <si>
    <t>100010001P</t>
  </si>
  <si>
    <t>732996131498</t>
  </si>
  <si>
    <t>SOLID ZIP HEM TUNIC</t>
  </si>
  <si>
    <t>100069630MS</t>
  </si>
  <si>
    <t>732995550689</t>
  </si>
  <si>
    <t>732995550719</t>
  </si>
  <si>
    <t>190797091401</t>
  </si>
  <si>
    <t>190797542101</t>
  </si>
  <si>
    <t>726895884067</t>
  </si>
  <si>
    <t>732995026146</t>
  </si>
  <si>
    <t>732995652109</t>
  </si>
  <si>
    <t>887650738039</t>
  </si>
  <si>
    <t>887650777915</t>
  </si>
  <si>
    <t>R PULLON CAREER SHRT BASIC</t>
  </si>
  <si>
    <t>8K701P485</t>
  </si>
  <si>
    <t>887650738046</t>
  </si>
  <si>
    <t>726895084634</t>
  </si>
  <si>
    <t>21170IV460</t>
  </si>
  <si>
    <t>732995029949</t>
  </si>
  <si>
    <t>732994372787</t>
  </si>
  <si>
    <t>SLD GRMMT LACE SKIRT</t>
  </si>
  <si>
    <t>100038068MS</t>
  </si>
  <si>
    <t>732996039909</t>
  </si>
  <si>
    <t>3/4 YNCK PALM BEAUTY</t>
  </si>
  <si>
    <t>100054931MS</t>
  </si>
  <si>
    <t>732994780568</t>
  </si>
  <si>
    <t>KNT DBL RFL HRT BAT</t>
  </si>
  <si>
    <t>100040228MS</t>
  </si>
  <si>
    <t>887650887713</t>
  </si>
  <si>
    <t>887650887706</t>
  </si>
  <si>
    <t>732995785630</t>
  </si>
  <si>
    <t>KNT SS EMB YOKE TOP</t>
  </si>
  <si>
    <t>100047306PT</t>
  </si>
  <si>
    <t>BODY: COTTON/ LACE POLYESTER</t>
  </si>
  <si>
    <t>726895456035</t>
  </si>
  <si>
    <t>726895456042</t>
  </si>
  <si>
    <t>732996133928</t>
  </si>
  <si>
    <t>100054931PT</t>
  </si>
  <si>
    <t>190917259483</t>
  </si>
  <si>
    <t>CRISS CROSS SPAGHETTI ST</t>
  </si>
  <si>
    <t>818-B439</t>
  </si>
  <si>
    <t>732995460162</t>
  </si>
  <si>
    <t>706257202043</t>
  </si>
  <si>
    <t>732995848496</t>
  </si>
  <si>
    <t>887650796213</t>
  </si>
  <si>
    <t>887650796206</t>
  </si>
  <si>
    <t>732995426090</t>
  </si>
  <si>
    <t>DR VNK LS PSNT SHORT</t>
  </si>
  <si>
    <t>100023019PT</t>
  </si>
  <si>
    <t>732995097405</t>
  </si>
  <si>
    <t>806864668765</t>
  </si>
  <si>
    <t>608381263825</t>
  </si>
  <si>
    <t>608381263818</t>
  </si>
  <si>
    <t>8865650606</t>
  </si>
  <si>
    <t>53566SS819</t>
  </si>
  <si>
    <t>8865650583</t>
  </si>
  <si>
    <t>191057265815</t>
  </si>
  <si>
    <t>5 POCKET CAPRI</t>
  </si>
  <si>
    <t>887650888550</t>
  </si>
  <si>
    <t>FAUX PKT CMFRT CAPRI</t>
  </si>
  <si>
    <t>54445BL805</t>
  </si>
  <si>
    <t>732996268002</t>
  </si>
  <si>
    <t>IK SCPNK SL SHORT DR</t>
  </si>
  <si>
    <t>732995716016</t>
  </si>
  <si>
    <t>FK PEASNT NECK TOP</t>
  </si>
  <si>
    <t>100055715MS</t>
  </si>
  <si>
    <t>BODY, TRIM: NYLON</t>
  </si>
  <si>
    <t>806864010267</t>
  </si>
  <si>
    <t>732995048933</t>
  </si>
  <si>
    <t>732995048872</t>
  </si>
  <si>
    <t>100047121MS</t>
  </si>
  <si>
    <t>732995758993</t>
  </si>
  <si>
    <t>FW RUFFLE TANK</t>
  </si>
  <si>
    <t>100054041MS</t>
  </si>
  <si>
    <t>732994893459</t>
  </si>
  <si>
    <t>732994893718</t>
  </si>
  <si>
    <t>732994893862</t>
  </si>
  <si>
    <t>732996333649</t>
  </si>
  <si>
    <t>732995838183</t>
  </si>
  <si>
    <t>732996079196</t>
  </si>
  <si>
    <t>732994942737</t>
  </si>
  <si>
    <t>704625333337</t>
  </si>
  <si>
    <t>704624060739</t>
  </si>
  <si>
    <t>STRETCH TUMMY BOOT R BASIC</t>
  </si>
  <si>
    <t>53391RI141</t>
  </si>
  <si>
    <t>822982520778</t>
  </si>
  <si>
    <t>732996071879</t>
  </si>
  <si>
    <t>732995416121</t>
  </si>
  <si>
    <t>190797087985</t>
  </si>
  <si>
    <t>732994204804</t>
  </si>
  <si>
    <t>BT ZIP SKINNY LONG</t>
  </si>
  <si>
    <t>M T/L</t>
  </si>
  <si>
    <t>732994763820</t>
  </si>
  <si>
    <t>732996174860</t>
  </si>
  <si>
    <t>WVN SLVLS STRP BLS</t>
  </si>
  <si>
    <t>100054589MS</t>
  </si>
  <si>
    <t>732996174846</t>
  </si>
  <si>
    <t>190797087831</t>
  </si>
  <si>
    <t>54665RI819</t>
  </si>
  <si>
    <t>732996079172</t>
  </si>
  <si>
    <t>FK LACEUP SLVLES TOP</t>
  </si>
  <si>
    <t>100056530MS</t>
  </si>
  <si>
    <t>COTTON/MODAL; TRIM: COTTON</t>
  </si>
  <si>
    <t>706257550007</t>
  </si>
  <si>
    <t>726895683646</t>
  </si>
  <si>
    <t>KNT SPCDYE BBYDOLL T</t>
  </si>
  <si>
    <t>190797599228</t>
  </si>
  <si>
    <t>TUMMY SLIM SHORT</t>
  </si>
  <si>
    <t>54227WS819</t>
  </si>
  <si>
    <t>14 S</t>
  </si>
  <si>
    <t>732995767360</t>
  </si>
  <si>
    <t>100060619MS</t>
  </si>
  <si>
    <t>POLYESTER/SPANDEX; TRIM: COTTON</t>
  </si>
  <si>
    <t>732995255034</t>
  </si>
  <si>
    <t>FT L/S MOCK JACKET</t>
  </si>
  <si>
    <t>100039263MS</t>
  </si>
  <si>
    <t>732997143957</t>
  </si>
  <si>
    <t>KNT 3/4 ETCHED POLO</t>
  </si>
  <si>
    <t>100059599MS</t>
  </si>
  <si>
    <t>706257754030</t>
  </si>
  <si>
    <t>636202241523</t>
  </si>
  <si>
    <t>IK SPLTNK 3/4 PRNTED BASIC</t>
  </si>
  <si>
    <t>100006843P</t>
  </si>
  <si>
    <t>706257753989</t>
  </si>
  <si>
    <t>726895731873</t>
  </si>
  <si>
    <t>BT STRAIGHT CROP PNT</t>
  </si>
  <si>
    <t>732995509564</t>
  </si>
  <si>
    <t>732995092738</t>
  </si>
  <si>
    <t>732995092868</t>
  </si>
  <si>
    <t>732996300986</t>
  </si>
  <si>
    <t>706257549704</t>
  </si>
  <si>
    <t>54676SW151</t>
  </si>
  <si>
    <t>706257549711</t>
  </si>
  <si>
    <t>732995653601</t>
  </si>
  <si>
    <t>KNT WB SKIMMER CURVY</t>
  </si>
  <si>
    <t>765215454931</t>
  </si>
  <si>
    <t>636189913079</t>
  </si>
  <si>
    <t>50246FO141</t>
  </si>
  <si>
    <t>732994695183</t>
  </si>
  <si>
    <t>TUMMY SLIM LONG BASIC</t>
  </si>
  <si>
    <t>100040734L</t>
  </si>
  <si>
    <t>636189896679</t>
  </si>
  <si>
    <t>636189896662</t>
  </si>
  <si>
    <t>732994820493</t>
  </si>
  <si>
    <t>54665RS151</t>
  </si>
  <si>
    <t>732994820301</t>
  </si>
  <si>
    <t>54665GL151</t>
  </si>
  <si>
    <t>732994820561</t>
  </si>
  <si>
    <t>732994820578</t>
  </si>
  <si>
    <t>732995822014</t>
  </si>
  <si>
    <t>8864350811</t>
  </si>
  <si>
    <t>PO SLANT PKT BRMD</t>
  </si>
  <si>
    <t>100009325P</t>
  </si>
  <si>
    <t>732995872279</t>
  </si>
  <si>
    <t>KNT 3/4 SLV MSH BTU</t>
  </si>
  <si>
    <t>100054507MS</t>
  </si>
  <si>
    <t>SHELL:NYLON/LINING:NYLON</t>
  </si>
  <si>
    <t>732995273656</t>
  </si>
  <si>
    <t>BT TIERD JERSEY SKRT</t>
  </si>
  <si>
    <t>608356850142</t>
  </si>
  <si>
    <t>706255612851</t>
  </si>
  <si>
    <t>DEEP SL SOLID SWING DRESS</t>
  </si>
  <si>
    <t>78064DB805</t>
  </si>
  <si>
    <t>29408244533</t>
  </si>
  <si>
    <t>EDV BLK S PANT PET CLASSBASIC</t>
  </si>
  <si>
    <t>18X4.5</t>
  </si>
  <si>
    <t>732995721195</t>
  </si>
  <si>
    <t>732995721188</t>
  </si>
  <si>
    <t>732995721294</t>
  </si>
  <si>
    <t>732996078816</t>
  </si>
  <si>
    <t>732996078724</t>
  </si>
  <si>
    <t>732998063926</t>
  </si>
  <si>
    <t>FK LG SOLID JOGGER</t>
  </si>
  <si>
    <t>100081830MS</t>
  </si>
  <si>
    <t>732996078793</t>
  </si>
  <si>
    <t>191594810660</t>
  </si>
  <si>
    <t>732995767452</t>
  </si>
  <si>
    <t>732995999471</t>
  </si>
  <si>
    <t>SURPLICE TANK</t>
  </si>
  <si>
    <t>100064331P</t>
  </si>
  <si>
    <t>732995767414</t>
  </si>
  <si>
    <t>732996825199</t>
  </si>
  <si>
    <t>PTD CLMN SKRT ASTER</t>
  </si>
  <si>
    <t>100076101MS</t>
  </si>
  <si>
    <t>732996079981</t>
  </si>
  <si>
    <t>732996079974</t>
  </si>
  <si>
    <t>732996080109</t>
  </si>
  <si>
    <t>732996080048</t>
  </si>
  <si>
    <t>732996325682</t>
  </si>
  <si>
    <t>8865956166</t>
  </si>
  <si>
    <t>8865956173</t>
  </si>
  <si>
    <t>608381456968</t>
  </si>
  <si>
    <t>100045812P</t>
  </si>
  <si>
    <t>636202740286</t>
  </si>
  <si>
    <t>191594813593</t>
  </si>
  <si>
    <t>732996163598</t>
  </si>
  <si>
    <t>732996264127</t>
  </si>
  <si>
    <t>732996078915</t>
  </si>
  <si>
    <t>732996078977</t>
  </si>
  <si>
    <t>100054284MS</t>
  </si>
  <si>
    <t>726895950700</t>
  </si>
  <si>
    <t>IK CLEONK SL PRINT</t>
  </si>
  <si>
    <t>COTTON/NYLON</t>
  </si>
  <si>
    <t>732995828412</t>
  </si>
  <si>
    <t>KNT SS SLD CUT OUT N</t>
  </si>
  <si>
    <t>100022788MS</t>
  </si>
  <si>
    <t>COTTON; EXCLUSIVE OF DECORATION</t>
  </si>
  <si>
    <t>732996120393</t>
  </si>
  <si>
    <t>100054391PT</t>
  </si>
  <si>
    <t>732996302546</t>
  </si>
  <si>
    <t>100022669P</t>
  </si>
  <si>
    <t>732995093148</t>
  </si>
  <si>
    <t>706255138689</t>
  </si>
  <si>
    <t>706255146936</t>
  </si>
  <si>
    <t>706255145366</t>
  </si>
  <si>
    <t>706255145342</t>
  </si>
  <si>
    <t>732996078298</t>
  </si>
  <si>
    <t>732996095448</t>
  </si>
  <si>
    <t>732996095462</t>
  </si>
  <si>
    <t>732996208893</t>
  </si>
  <si>
    <t>CK CHIFFON HEM BASIC</t>
  </si>
  <si>
    <t>100066406MS</t>
  </si>
  <si>
    <t>SHELL: RAYON/SPANDEX; HEM: POLYESTER</t>
  </si>
  <si>
    <t>689439297351</t>
  </si>
  <si>
    <t>732996097671</t>
  </si>
  <si>
    <t>706257303689</t>
  </si>
  <si>
    <t>54665MH151</t>
  </si>
  <si>
    <t>732996078618</t>
  </si>
  <si>
    <t>732994892599</t>
  </si>
  <si>
    <t>732995524505</t>
  </si>
  <si>
    <t>3/4 SL SOLID WVN DRS</t>
  </si>
  <si>
    <t>100046861MS</t>
  </si>
  <si>
    <t>732996087870</t>
  </si>
  <si>
    <t>100051585MS</t>
  </si>
  <si>
    <t>732996087863</t>
  </si>
  <si>
    <t>732996206370</t>
  </si>
  <si>
    <t>732995692983</t>
  </si>
  <si>
    <t>3/4 GEL DOT JQD MOSA</t>
  </si>
  <si>
    <t>100049021WN</t>
  </si>
  <si>
    <t>689439398904</t>
  </si>
  <si>
    <t>689439398898</t>
  </si>
  <si>
    <t>689439398775</t>
  </si>
  <si>
    <t>CORDED STRIPE CAPRI</t>
  </si>
  <si>
    <t>100041535MS</t>
  </si>
  <si>
    <t>689439398812</t>
  </si>
  <si>
    <t>732995815252</t>
  </si>
  <si>
    <t>732996655581</t>
  </si>
  <si>
    <t>732996019789</t>
  </si>
  <si>
    <t>732996108971</t>
  </si>
  <si>
    <t>100051586PT</t>
  </si>
  <si>
    <t>SHELL: POLYESTER/RAYON; TRIM: COTTON</t>
  </si>
  <si>
    <t>732996108964</t>
  </si>
  <si>
    <t>732995738025</t>
  </si>
  <si>
    <t>732996108957</t>
  </si>
  <si>
    <t>732996503639</t>
  </si>
  <si>
    <t>732996503660</t>
  </si>
  <si>
    <t>732996503684</t>
  </si>
  <si>
    <t>732995029796</t>
  </si>
  <si>
    <t>732995029888</t>
  </si>
  <si>
    <t>885779819745</t>
  </si>
  <si>
    <t>792831153863</t>
  </si>
  <si>
    <t>CROPPEDRINGERTLGO</t>
  </si>
  <si>
    <t>PT112D0275A</t>
  </si>
  <si>
    <t>4XL NO CUP</t>
  </si>
  <si>
    <t>732995254044</t>
  </si>
  <si>
    <t>S/S STRIPED DRESS</t>
  </si>
  <si>
    <t>100046091MS</t>
  </si>
  <si>
    <t>732995814040</t>
  </si>
  <si>
    <t>S/S BTN SHLDR SC DRS</t>
  </si>
  <si>
    <t>100050977PT</t>
  </si>
  <si>
    <t>732994551816</t>
  </si>
  <si>
    <t>732994580106</t>
  </si>
  <si>
    <t>732996109565</t>
  </si>
  <si>
    <t>732996109596</t>
  </si>
  <si>
    <t>732996109572</t>
  </si>
  <si>
    <t>732996096216</t>
  </si>
  <si>
    <t>IK OFF SHLDR SS TOP</t>
  </si>
  <si>
    <t>732996096186</t>
  </si>
  <si>
    <t>8864323723</t>
  </si>
  <si>
    <t>689439400577</t>
  </si>
  <si>
    <t>732994579803</t>
  </si>
  <si>
    <t>732996361079</t>
  </si>
  <si>
    <t>732995606188</t>
  </si>
  <si>
    <t>732995939835</t>
  </si>
  <si>
    <t>732995939712</t>
  </si>
  <si>
    <t>732995939743</t>
  </si>
  <si>
    <t>732996095318</t>
  </si>
  <si>
    <t>732996808680</t>
  </si>
  <si>
    <t>732994344654</t>
  </si>
  <si>
    <t>732994344647</t>
  </si>
  <si>
    <t>732994344609</t>
  </si>
  <si>
    <t>732994344333</t>
  </si>
  <si>
    <t>732995743012</t>
  </si>
  <si>
    <t>732995743128</t>
  </si>
  <si>
    <t>732995743173</t>
  </si>
  <si>
    <t>732995743180</t>
  </si>
  <si>
    <t>732995743098</t>
  </si>
  <si>
    <t>732995034189</t>
  </si>
  <si>
    <t>732995692396</t>
  </si>
  <si>
    <t>3/4 FOIL R/S MIRAGE</t>
  </si>
  <si>
    <t>100047648WN</t>
  </si>
  <si>
    <t>806864465753</t>
  </si>
  <si>
    <t>YOGA CAPRI LEGGING BASIC</t>
  </si>
  <si>
    <t>1130WHT805</t>
  </si>
  <si>
    <t>732995692402</t>
  </si>
  <si>
    <t>732995737097</t>
  </si>
  <si>
    <t>732995716696</t>
  </si>
  <si>
    <t>732995475296</t>
  </si>
  <si>
    <t>732996344058</t>
  </si>
  <si>
    <t>732995805321</t>
  </si>
  <si>
    <t>100053292MS</t>
  </si>
  <si>
    <t>768594150821</t>
  </si>
  <si>
    <t>22722MB805</t>
  </si>
  <si>
    <t>BRIGHT PUR</t>
  </si>
  <si>
    <t>768594150814</t>
  </si>
  <si>
    <t>732995145694</t>
  </si>
  <si>
    <t>100047172PT</t>
  </si>
  <si>
    <t>732996136226</t>
  </si>
  <si>
    <t>100055134WN</t>
  </si>
  <si>
    <t>732996236643</t>
  </si>
  <si>
    <t>732996236421</t>
  </si>
  <si>
    <t>706254485722</t>
  </si>
  <si>
    <t>INDU KNIT TWILL CAPRI</t>
  </si>
  <si>
    <t>54425IN805</t>
  </si>
  <si>
    <t>732995253566</t>
  </si>
  <si>
    <t>732996342689</t>
  </si>
  <si>
    <t>732996089904</t>
  </si>
  <si>
    <t>732996089898</t>
  </si>
  <si>
    <t>732995708615</t>
  </si>
  <si>
    <t>CK BTTN FRNT SHRTAIL BASIC</t>
  </si>
  <si>
    <t>100064739MS</t>
  </si>
  <si>
    <t>732996163925</t>
  </si>
  <si>
    <t>732994911573</t>
  </si>
  <si>
    <t>3/4 CLIMBING GARD SC</t>
  </si>
  <si>
    <t>100039193PT</t>
  </si>
  <si>
    <t>726895973259</t>
  </si>
  <si>
    <t>726895973266</t>
  </si>
  <si>
    <t>726895973235</t>
  </si>
  <si>
    <t>732995718324</t>
  </si>
  <si>
    <t>726895154580</t>
  </si>
  <si>
    <t>732994386883</t>
  </si>
  <si>
    <t>PRINTED PLEAT NECK BASIC</t>
  </si>
  <si>
    <t>732994922722</t>
  </si>
  <si>
    <t>3/4 STUD SLV BOATNCK</t>
  </si>
  <si>
    <t>100020349MS</t>
  </si>
  <si>
    <t>732995747751</t>
  </si>
  <si>
    <t>732995747850</t>
  </si>
  <si>
    <t>732995747799</t>
  </si>
  <si>
    <t>732995747355</t>
  </si>
  <si>
    <t>732994922357</t>
  </si>
  <si>
    <t>DRAGNFLY ESS SWTSHRT</t>
  </si>
  <si>
    <t>100039143MS</t>
  </si>
  <si>
    <t>732995747348</t>
  </si>
  <si>
    <t>732995795349</t>
  </si>
  <si>
    <t>732995794281</t>
  </si>
  <si>
    <t>732996027562</t>
  </si>
  <si>
    <t>732995722116</t>
  </si>
  <si>
    <t>100047576PT</t>
  </si>
  <si>
    <t>732995795356</t>
  </si>
  <si>
    <t>732995712377</t>
  </si>
  <si>
    <t>732996027524</t>
  </si>
  <si>
    <t>100060005MS</t>
  </si>
  <si>
    <t>732996601380</t>
  </si>
  <si>
    <t>100060009MS</t>
  </si>
  <si>
    <t>704976294752</t>
  </si>
  <si>
    <t>732995712551</t>
  </si>
  <si>
    <t>726895902341</t>
  </si>
  <si>
    <t>732995919257</t>
  </si>
  <si>
    <t>732995194814</t>
  </si>
  <si>
    <t>S/S LAYLA LEGEND SC</t>
  </si>
  <si>
    <t>100039186MS</t>
  </si>
  <si>
    <t>732996235271</t>
  </si>
  <si>
    <t>100055149MS</t>
  </si>
  <si>
    <t>732996436050</t>
  </si>
  <si>
    <t>S/L BUTTON FRONT TEE</t>
  </si>
  <si>
    <t>100049714MS</t>
  </si>
  <si>
    <t>732995743623</t>
  </si>
  <si>
    <t>732995743715</t>
  </si>
  <si>
    <t>732995743692</t>
  </si>
  <si>
    <t>732994926157</t>
  </si>
  <si>
    <t>3/4 RING HARDWARE SC</t>
  </si>
  <si>
    <t>100039102PT</t>
  </si>
  <si>
    <t>732996250519</t>
  </si>
  <si>
    <t>732996352978</t>
  </si>
  <si>
    <t>732996352985</t>
  </si>
  <si>
    <t>732996352954</t>
  </si>
  <si>
    <t>732995907087</t>
  </si>
  <si>
    <t>100049693MS</t>
  </si>
  <si>
    <t>732995922585</t>
  </si>
  <si>
    <t>100049947MS</t>
  </si>
  <si>
    <t>608356515126</t>
  </si>
  <si>
    <t>706256795331</t>
  </si>
  <si>
    <t>84987GH460</t>
  </si>
  <si>
    <t>732995846959</t>
  </si>
  <si>
    <t>732995907094</t>
  </si>
  <si>
    <t>732995846980</t>
  </si>
  <si>
    <t>726895404838</t>
  </si>
  <si>
    <t>706256795348</t>
  </si>
  <si>
    <t>706256795362</t>
  </si>
  <si>
    <t>732995643633</t>
  </si>
  <si>
    <t>COIN PKT SHORT</t>
  </si>
  <si>
    <t>100028601P</t>
  </si>
  <si>
    <t>732996300283</t>
  </si>
  <si>
    <t>732995702415</t>
  </si>
  <si>
    <t>732995702422</t>
  </si>
  <si>
    <t>732995741971</t>
  </si>
  <si>
    <t>732995790429</t>
  </si>
  <si>
    <t>S/S DUNE HANGDWN SC</t>
  </si>
  <si>
    <t>100049795MS</t>
  </si>
  <si>
    <t>BODY: COTTON/POLYESTER, TRIM: COTTON/MODAL</t>
  </si>
  <si>
    <t>732996385143</t>
  </si>
  <si>
    <t>726895124828</t>
  </si>
  <si>
    <t>636206339172</t>
  </si>
  <si>
    <t>726895124774</t>
  </si>
  <si>
    <t>732996299570</t>
  </si>
  <si>
    <t>732995195927</t>
  </si>
  <si>
    <t>732995927900</t>
  </si>
  <si>
    <t>732995274837</t>
  </si>
  <si>
    <t>100017611W</t>
  </si>
  <si>
    <t>706258798811</t>
  </si>
  <si>
    <t>SHARKBT BURN OUT TEE BASIC</t>
  </si>
  <si>
    <t>732995748956</t>
  </si>
  <si>
    <t>732994869683</t>
  </si>
  <si>
    <t>732995512014</t>
  </si>
  <si>
    <t>SS PTD R/S COLR WVS</t>
  </si>
  <si>
    <t>100054485MS</t>
  </si>
  <si>
    <t>732995443387</t>
  </si>
  <si>
    <t>732996258065</t>
  </si>
  <si>
    <t>706258700005</t>
  </si>
  <si>
    <t>636206918285</t>
  </si>
  <si>
    <t>732994934015</t>
  </si>
  <si>
    <t>732996218212</t>
  </si>
  <si>
    <t>ELB LIB LADYBUG BOAT</t>
  </si>
  <si>
    <t>100049917PT</t>
  </si>
  <si>
    <t>732995211948</t>
  </si>
  <si>
    <t>ELBOW DAISY DROP BT</t>
  </si>
  <si>
    <t>100039245PT</t>
  </si>
  <si>
    <t>732995845679</t>
  </si>
  <si>
    <t>732995802856</t>
  </si>
  <si>
    <t>732995275544</t>
  </si>
  <si>
    <t>88144LE472</t>
  </si>
  <si>
    <t>732996365060</t>
  </si>
  <si>
    <t>100055364MS</t>
  </si>
  <si>
    <t>689439125531</t>
  </si>
  <si>
    <t>100044140MS</t>
  </si>
  <si>
    <t>732994761437</t>
  </si>
  <si>
    <t>636206917981</t>
  </si>
  <si>
    <t>636206917707</t>
  </si>
  <si>
    <t>732994814805</t>
  </si>
  <si>
    <t>732994814546</t>
  </si>
  <si>
    <t>732994867610</t>
  </si>
  <si>
    <t>732994867542</t>
  </si>
  <si>
    <t>732996425764</t>
  </si>
  <si>
    <t>732995211672</t>
  </si>
  <si>
    <t>706254590099</t>
  </si>
  <si>
    <t>732995134100</t>
  </si>
  <si>
    <t>706254806664</t>
  </si>
  <si>
    <t>732994731508</t>
  </si>
  <si>
    <t>100043904MS</t>
  </si>
  <si>
    <t>732995047899</t>
  </si>
  <si>
    <t>706257317570</t>
  </si>
  <si>
    <t>VNCK SS BURN OUT TEE BASIC</t>
  </si>
  <si>
    <t>27028PZ805</t>
  </si>
  <si>
    <t>732995737547</t>
  </si>
  <si>
    <t>636206919268</t>
  </si>
  <si>
    <t>636206919343</t>
  </si>
  <si>
    <t>636206919466</t>
  </si>
  <si>
    <t>636206919411</t>
  </si>
  <si>
    <t>636206919398</t>
  </si>
  <si>
    <t>726895187717</t>
  </si>
  <si>
    <t>88144IN477</t>
  </si>
  <si>
    <t>RAYON/SPANEX</t>
  </si>
  <si>
    <t>732994725538</t>
  </si>
  <si>
    <t>SHARKBT SOLID TEE</t>
  </si>
  <si>
    <t>706254805100</t>
  </si>
  <si>
    <t>732996307138</t>
  </si>
  <si>
    <t>732996306988</t>
  </si>
  <si>
    <t>732996307145</t>
  </si>
  <si>
    <t>732996307022</t>
  </si>
  <si>
    <t>732996306957</t>
  </si>
  <si>
    <t>636202156988</t>
  </si>
  <si>
    <t>636202156971</t>
  </si>
  <si>
    <t>732995646566</t>
  </si>
  <si>
    <t>100037817PT</t>
  </si>
  <si>
    <t>706254727327</t>
  </si>
  <si>
    <t>732995145021</t>
  </si>
  <si>
    <t>732995740714</t>
  </si>
  <si>
    <t>706254763479</t>
  </si>
  <si>
    <t>732995455687</t>
  </si>
  <si>
    <t>100041720PT</t>
  </si>
  <si>
    <t>732996194752</t>
  </si>
  <si>
    <t>732996194721</t>
  </si>
  <si>
    <t>732996012070</t>
  </si>
  <si>
    <t>S/S BRISTOL BREEZ HN</t>
  </si>
  <si>
    <t>100045485MS</t>
  </si>
  <si>
    <t>732996012063</t>
  </si>
  <si>
    <t>732996012087</t>
  </si>
  <si>
    <t>732996012094</t>
  </si>
  <si>
    <t>732995441147</t>
  </si>
  <si>
    <t>732995441123</t>
  </si>
  <si>
    <t>732995848076</t>
  </si>
  <si>
    <t>OMBRE SPARKLE</t>
  </si>
  <si>
    <t>100045481PT</t>
  </si>
  <si>
    <t>732995441130</t>
  </si>
  <si>
    <t>732995441154</t>
  </si>
  <si>
    <t>732996194714</t>
  </si>
  <si>
    <t>726895181111</t>
  </si>
  <si>
    <t>IK SCPNK BURNOUT TEE BASIC</t>
  </si>
  <si>
    <t>100011993R</t>
  </si>
  <si>
    <t>689439250646</t>
  </si>
  <si>
    <t>100028124MS</t>
  </si>
  <si>
    <t>689439250684</t>
  </si>
  <si>
    <t>689439005727</t>
  </si>
  <si>
    <t>689439005604</t>
  </si>
  <si>
    <t>608381419505</t>
  </si>
  <si>
    <t>LS MOCKNECK</t>
  </si>
  <si>
    <t>100020279MS</t>
  </si>
  <si>
    <t>732995738315</t>
  </si>
  <si>
    <t>732994909037</t>
  </si>
  <si>
    <t>732995783933</t>
  </si>
  <si>
    <t>732994897549</t>
  </si>
  <si>
    <t>732994897525</t>
  </si>
  <si>
    <t>732994897518</t>
  </si>
  <si>
    <t>732994897532</t>
  </si>
  <si>
    <t>732994897501</t>
  </si>
  <si>
    <t>732995783919</t>
  </si>
  <si>
    <t>732995783957</t>
  </si>
  <si>
    <t>732995783872</t>
  </si>
  <si>
    <t>732994897617</t>
  </si>
  <si>
    <t>732995783902</t>
  </si>
  <si>
    <t>732995783889</t>
  </si>
  <si>
    <t>732995783896</t>
  </si>
  <si>
    <t>732994897570</t>
  </si>
  <si>
    <t>732994904353</t>
  </si>
  <si>
    <t>706254715959</t>
  </si>
  <si>
    <t>706254716833</t>
  </si>
  <si>
    <t>706254716819</t>
  </si>
  <si>
    <t>706254726016</t>
  </si>
  <si>
    <t>732995816600</t>
  </si>
  <si>
    <t>706254747790</t>
  </si>
  <si>
    <t>732996195308</t>
  </si>
  <si>
    <t>ELB BANDANA LACEV</t>
  </si>
  <si>
    <t>100045479MS</t>
  </si>
  <si>
    <t>732996195285</t>
  </si>
  <si>
    <t>732996195148</t>
  </si>
  <si>
    <t>732995504224</t>
  </si>
  <si>
    <t>732994904209</t>
  </si>
  <si>
    <t>732995196436</t>
  </si>
  <si>
    <t>S/S VISION TILE SCOP</t>
  </si>
  <si>
    <t>100036359MS</t>
  </si>
  <si>
    <t>732996223773</t>
  </si>
  <si>
    <t>732995503982</t>
  </si>
  <si>
    <t>S/S LISBON LUXE SCOP</t>
  </si>
  <si>
    <t>100041717MS</t>
  </si>
  <si>
    <t>706254755658</t>
  </si>
  <si>
    <t>732996195551</t>
  </si>
  <si>
    <t>732996195537</t>
  </si>
  <si>
    <t>732995503968</t>
  </si>
  <si>
    <t>732995196450</t>
  </si>
  <si>
    <t>732995196443</t>
  </si>
  <si>
    <t>732995504019</t>
  </si>
  <si>
    <t>732995504002</t>
  </si>
  <si>
    <t>732995503944</t>
  </si>
  <si>
    <t>732994907279</t>
  </si>
  <si>
    <t>732994907859</t>
  </si>
  <si>
    <t>732994907668</t>
  </si>
  <si>
    <t>732994907224</t>
  </si>
  <si>
    <t>726895353570</t>
  </si>
  <si>
    <t>RAYON TANK</t>
  </si>
  <si>
    <t>100007638R</t>
  </si>
  <si>
    <t>732994816830</t>
  </si>
  <si>
    <t>WVN SOLID EMBR TUNIC</t>
  </si>
  <si>
    <t>100041478MS</t>
  </si>
  <si>
    <t>706254622165</t>
  </si>
  <si>
    <t>KNT SL DOT V NECK</t>
  </si>
  <si>
    <t>100023742MS</t>
  </si>
  <si>
    <t>636206643750</t>
  </si>
  <si>
    <t>732996898704</t>
  </si>
  <si>
    <t>CM PRL COLLAR TWOFER</t>
  </si>
  <si>
    <t>100065351MS</t>
  </si>
  <si>
    <t>CC / PL CSHMR</t>
  </si>
  <si>
    <t>BODY; CASHMERE; TRIM: POLYESTER</t>
  </si>
  <si>
    <t>635273494135</t>
  </si>
  <si>
    <t>SS LACE FLORAL TSHIRT</t>
  </si>
  <si>
    <t>TLMS9WD036</t>
  </si>
  <si>
    <t>828659199438</t>
  </si>
  <si>
    <t>828659199421</t>
  </si>
  <si>
    <t>828659124973</t>
  </si>
  <si>
    <t>828659195164</t>
  </si>
  <si>
    <t>889648428267</t>
  </si>
  <si>
    <t>CS RUFFLE NCK CREPE MAXI</t>
  </si>
  <si>
    <t>JJ37528</t>
  </si>
  <si>
    <t>JULIA JORDAN/ZG APPAREL GROUP LLC</t>
  </si>
  <si>
    <t>889648428243</t>
  </si>
  <si>
    <t>889648388745</t>
  </si>
  <si>
    <t>TIE KNOT MAXI</t>
  </si>
  <si>
    <t>JJ37444</t>
  </si>
  <si>
    <t>10AV/MD/RG</t>
  </si>
  <si>
    <t>BODY AND LINING: POLYESTER</t>
  </si>
  <si>
    <t>755179381817</t>
  </si>
  <si>
    <t>V NECK JERSEY W RUFFLE</t>
  </si>
  <si>
    <t>1483M</t>
  </si>
  <si>
    <t>93487534687</t>
  </si>
  <si>
    <t>193623567002</t>
  </si>
  <si>
    <t>732996012407</t>
  </si>
  <si>
    <t>SLVLS RAINBOW MAXI</t>
  </si>
  <si>
    <t>100063903P</t>
  </si>
  <si>
    <t>732996637143</t>
  </si>
  <si>
    <t>732995413113</t>
  </si>
  <si>
    <t>PEARL HEM ANK STRAIG</t>
  </si>
  <si>
    <t>93487548240</t>
  </si>
  <si>
    <t>FLORAL PRINTED BLOUSE WI</t>
  </si>
  <si>
    <t>732995513790</t>
  </si>
  <si>
    <t>MONOCHROMATIC BLAZER</t>
  </si>
  <si>
    <t>100062110P</t>
  </si>
  <si>
    <t>732995513806</t>
  </si>
  <si>
    <t>732995513837</t>
  </si>
  <si>
    <t>732997120781</t>
  </si>
  <si>
    <t>190917237337</t>
  </si>
  <si>
    <t>EMPIRE WAIST LACE</t>
  </si>
  <si>
    <t>818-CSD303</t>
  </si>
  <si>
    <t>190917237351</t>
  </si>
  <si>
    <t>732995029178</t>
  </si>
  <si>
    <t>WVN RTB BICLR STP SH</t>
  </si>
  <si>
    <t>100051438MS</t>
  </si>
  <si>
    <t>732996339702</t>
  </si>
  <si>
    <t>190917259889</t>
  </si>
  <si>
    <t>732996148533</t>
  </si>
  <si>
    <t>732995759068</t>
  </si>
  <si>
    <t>PT WRAP ZIPPER DRESS</t>
  </si>
  <si>
    <t>100055176WN</t>
  </si>
  <si>
    <t>726895721072</t>
  </si>
  <si>
    <t>706256556956</t>
  </si>
  <si>
    <t>LONGER LENGTH ANORAK BASIC</t>
  </si>
  <si>
    <t>61823IN805</t>
  </si>
  <si>
    <t>732996277639</t>
  </si>
  <si>
    <t>732996277646</t>
  </si>
  <si>
    <t>732995222777</t>
  </si>
  <si>
    <t>732995222814</t>
  </si>
  <si>
    <t>732996001500</t>
  </si>
  <si>
    <t>726895759297</t>
  </si>
  <si>
    <t>190917256277</t>
  </si>
  <si>
    <t>732995538038</t>
  </si>
  <si>
    <t>KN PRT POINTED HEM</t>
  </si>
  <si>
    <t>100048212PT</t>
  </si>
  <si>
    <t>732996228846</t>
  </si>
  <si>
    <t>732995873153</t>
  </si>
  <si>
    <t>732996152530</t>
  </si>
  <si>
    <t>BTM STRP SOFT PANT</t>
  </si>
  <si>
    <t>100054574PT</t>
  </si>
  <si>
    <t>732995766547</t>
  </si>
  <si>
    <t>LT/PAS BWN</t>
  </si>
  <si>
    <t>732995921021</t>
  </si>
  <si>
    <t>706254457361</t>
  </si>
  <si>
    <t>732996360461</t>
  </si>
  <si>
    <t>KNT SL RUNWAY SHIFT</t>
  </si>
  <si>
    <t>100067416MS</t>
  </si>
  <si>
    <t>732996360430</t>
  </si>
  <si>
    <t>732994269308</t>
  </si>
  <si>
    <t>PN BSTR HW ANK</t>
  </si>
  <si>
    <t>100028633P</t>
  </si>
  <si>
    <t>732995756043</t>
  </si>
  <si>
    <t>KNT SL FLRL ICNC MID</t>
  </si>
  <si>
    <t>100054544MS</t>
  </si>
  <si>
    <t>732997385531</t>
  </si>
  <si>
    <t>DR SLD TIE FRT SHRT</t>
  </si>
  <si>
    <t>100065680PT</t>
  </si>
  <si>
    <t>732996709826</t>
  </si>
  <si>
    <t>706256684819</t>
  </si>
  <si>
    <t>CW HOLLYWOOD SKINNY</t>
  </si>
  <si>
    <t>69201P</t>
  </si>
  <si>
    <t>636206286124</t>
  </si>
  <si>
    <t>69201RP</t>
  </si>
  <si>
    <t>732995415643</t>
  </si>
  <si>
    <t>R RAW EDGE SKIRT</t>
  </si>
  <si>
    <t>732995818932</t>
  </si>
  <si>
    <t>DR SPLIT NCK MAXI</t>
  </si>
  <si>
    <t>100054065MS</t>
  </si>
  <si>
    <t>RAYON/SPANDEX; LINING: NYLON</t>
  </si>
  <si>
    <t>732995498080</t>
  </si>
  <si>
    <t>732995483031</t>
  </si>
  <si>
    <t>NOLITA STRIP WIDE LG</t>
  </si>
  <si>
    <t>100058757P</t>
  </si>
  <si>
    <t>636206554506</t>
  </si>
  <si>
    <t>WVN FT FLRL STP SHRT</t>
  </si>
  <si>
    <t>100041488MS</t>
  </si>
  <si>
    <t>190917257489</t>
  </si>
  <si>
    <t>732996074023</t>
  </si>
  <si>
    <t>BT PO CRCHT FRNG CRP</t>
  </si>
  <si>
    <t>BODY:POLYESTER/COTTON/RAYON/SPANDEX</t>
  </si>
  <si>
    <t>732995693300</t>
  </si>
  <si>
    <t>HTHR FOIL TIE SHLDR</t>
  </si>
  <si>
    <t>100047685WN</t>
  </si>
  <si>
    <t>BEIGEKHAKI</t>
  </si>
  <si>
    <t>884630130296</t>
  </si>
  <si>
    <t>ILL RHINESTONE JUMPSUIT</t>
  </si>
  <si>
    <t>PT42527</t>
  </si>
  <si>
    <t>SHELL: POLYESTER/SPANDEX; MESH: POLYESTER</t>
  </si>
  <si>
    <t>732995717464</t>
  </si>
  <si>
    <t>732996622071</t>
  </si>
  <si>
    <t>CRNKL BELL SLV JCKT</t>
  </si>
  <si>
    <t>100059501WN</t>
  </si>
  <si>
    <t>732995556988</t>
  </si>
  <si>
    <t>SPLT SLV KYHL PHNX</t>
  </si>
  <si>
    <t>100051620MS</t>
  </si>
  <si>
    <t>732994451604</t>
  </si>
  <si>
    <t>732995181012</t>
  </si>
  <si>
    <t>PT TRPL THREAT DRESS</t>
  </si>
  <si>
    <t>100051486WN</t>
  </si>
  <si>
    <t>732996257068</t>
  </si>
  <si>
    <t>KYHL SPLIT SLV TDYE</t>
  </si>
  <si>
    <t>100054925WN</t>
  </si>
  <si>
    <t>POLYESTER/SPANDEX; SLEEVES: POLYESTER</t>
  </si>
  <si>
    <t>732996257044</t>
  </si>
  <si>
    <t>732996257082</t>
  </si>
  <si>
    <t>732995717723</t>
  </si>
  <si>
    <t>608381255387</t>
  </si>
  <si>
    <t>100017753MS</t>
  </si>
  <si>
    <t>732996039787</t>
  </si>
  <si>
    <t>732996039763</t>
  </si>
  <si>
    <t>732996219929</t>
  </si>
  <si>
    <t>732995993707</t>
  </si>
  <si>
    <t>190917257021</t>
  </si>
  <si>
    <t>732995719864</t>
  </si>
  <si>
    <t>FW LYOCEL TASSEL TOP</t>
  </si>
  <si>
    <t>100055025MS</t>
  </si>
  <si>
    <t>COTTON/POLYESTER/LYOCELL</t>
  </si>
  <si>
    <t>732996460857</t>
  </si>
  <si>
    <t>732996023656</t>
  </si>
  <si>
    <t>PTD ONIN PNT VIN STR</t>
  </si>
  <si>
    <t>100034925MS</t>
  </si>
  <si>
    <t>732995481853</t>
  </si>
  <si>
    <t>NEW ARRIV SEAM FLARE</t>
  </si>
  <si>
    <t>100058026P</t>
  </si>
  <si>
    <t>732996566719</t>
  </si>
  <si>
    <t>TOGGLE HEM CAPRI</t>
  </si>
  <si>
    <t>100064368MS</t>
  </si>
  <si>
    <t>732995225662</t>
  </si>
  <si>
    <t>732995717815</t>
  </si>
  <si>
    <t>732995290332</t>
  </si>
  <si>
    <t>PT GGT PANTS</t>
  </si>
  <si>
    <t>100051280MS</t>
  </si>
  <si>
    <t>887650853893</t>
  </si>
  <si>
    <t>PN L PKT STRGHT</t>
  </si>
  <si>
    <t>100003515P</t>
  </si>
  <si>
    <t>732996117980</t>
  </si>
  <si>
    <t>732995905342</t>
  </si>
  <si>
    <t>887043460158</t>
  </si>
  <si>
    <t>INDI PULL ON JEGGING INDG</t>
  </si>
  <si>
    <t>60093ID112</t>
  </si>
  <si>
    <t>THALIA SODI-EDI/CELEBRITY PINK JEAN</t>
  </si>
  <si>
    <t>732996078472</t>
  </si>
  <si>
    <t>732995886535</t>
  </si>
  <si>
    <t>726895790573</t>
  </si>
  <si>
    <t>726895790528</t>
  </si>
  <si>
    <t>726895790559</t>
  </si>
  <si>
    <t>726895790542</t>
  </si>
  <si>
    <t>732996200828</t>
  </si>
  <si>
    <t>732996568867</t>
  </si>
  <si>
    <t>SWT FG TROP LRX CARD</t>
  </si>
  <si>
    <t>100065648PT</t>
  </si>
  <si>
    <t>RAYON/NYLON/POLYESTER/METALLIC THREADING</t>
  </si>
  <si>
    <t>732996079790</t>
  </si>
  <si>
    <t>732995060317</t>
  </si>
  <si>
    <t>732995753400</t>
  </si>
  <si>
    <t>732995753363</t>
  </si>
  <si>
    <t>732995753394</t>
  </si>
  <si>
    <t>732994452052</t>
  </si>
  <si>
    <t>DNM PASADENA PULL ON</t>
  </si>
  <si>
    <t>100038679MS</t>
  </si>
  <si>
    <t>732996237145</t>
  </si>
  <si>
    <t>732994141703</t>
  </si>
  <si>
    <t>STUDDED SIDE CVY SKY</t>
  </si>
  <si>
    <t>732995995046</t>
  </si>
  <si>
    <t>SQUAR HRDWRE INT PNT</t>
  </si>
  <si>
    <t>100059814MS</t>
  </si>
  <si>
    <t>BODY: RAYON/NYLON/SPANDEX</t>
  </si>
  <si>
    <t>732996257136</t>
  </si>
  <si>
    <t>TGGL CHN NCK RBBN SC</t>
  </si>
  <si>
    <t>100054927WN</t>
  </si>
  <si>
    <t>732995561425</t>
  </si>
  <si>
    <t>SMCK DLMN TOP SILHOU</t>
  </si>
  <si>
    <t>100049280MS</t>
  </si>
  <si>
    <t>732995905083</t>
  </si>
  <si>
    <t>CRNKL NCKLACE TOP</t>
  </si>
  <si>
    <t>100054945MS</t>
  </si>
  <si>
    <t>732995905021</t>
  </si>
  <si>
    <t>732995525458</t>
  </si>
  <si>
    <t>732996235691</t>
  </si>
  <si>
    <t>732996235721</t>
  </si>
  <si>
    <t>732996471396</t>
  </si>
  <si>
    <t>732994761147</t>
  </si>
  <si>
    <t>FLTTR SLV C/S DRESS</t>
  </si>
  <si>
    <t>732996262093</t>
  </si>
  <si>
    <t>887650912057</t>
  </si>
  <si>
    <t>706255960198</t>
  </si>
  <si>
    <t>DEEP DRAPE FRONT LS KNITBASIC</t>
  </si>
  <si>
    <t>62019DB805</t>
  </si>
  <si>
    <t>732995428292</t>
  </si>
  <si>
    <t>KNT SLD VNK PNTK TOP</t>
  </si>
  <si>
    <t>100048627MS</t>
  </si>
  <si>
    <t>POLYESTER/SPANDEX; FRONT: POLYESTER</t>
  </si>
  <si>
    <t>732995717402</t>
  </si>
  <si>
    <t>732995094633</t>
  </si>
  <si>
    <t>732995561531</t>
  </si>
  <si>
    <t>KYHL BELL SLV TUN HX</t>
  </si>
  <si>
    <t>100051591MS</t>
  </si>
  <si>
    <t>732995569797</t>
  </si>
  <si>
    <t>732995831283</t>
  </si>
  <si>
    <t>RUFFLE NECKLACE TOP</t>
  </si>
  <si>
    <t>100054917PT</t>
  </si>
  <si>
    <t>732996054537</t>
  </si>
  <si>
    <t>732996054520</t>
  </si>
  <si>
    <t>732996197180</t>
  </si>
  <si>
    <t>732996197234</t>
  </si>
  <si>
    <t>732996054513</t>
  </si>
  <si>
    <t>732996197166</t>
  </si>
  <si>
    <t>732995524161</t>
  </si>
  <si>
    <t>CNTRST LOOP HEM ANKL</t>
  </si>
  <si>
    <t>100047258MS</t>
  </si>
  <si>
    <t>608356431365</t>
  </si>
  <si>
    <t>21170DP472</t>
  </si>
  <si>
    <t>732994063593</t>
  </si>
  <si>
    <t>WVN SOLID GAUZE TOP</t>
  </si>
  <si>
    <t>100018391MS</t>
  </si>
  <si>
    <t>732996023298</t>
  </si>
  <si>
    <t>PT ZIP NECK DRESS BASIC</t>
  </si>
  <si>
    <t>100064748MS</t>
  </si>
  <si>
    <t>732996079080</t>
  </si>
  <si>
    <t>732996261867</t>
  </si>
  <si>
    <t>732995885972</t>
  </si>
  <si>
    <t>ZPPR CRG BERM CURVY</t>
  </si>
  <si>
    <t>806864895642</t>
  </si>
  <si>
    <t>732996261836</t>
  </si>
  <si>
    <t>732996261843</t>
  </si>
  <si>
    <t>806864895628</t>
  </si>
  <si>
    <t>190797359006</t>
  </si>
  <si>
    <t>57204LW819</t>
  </si>
  <si>
    <t>732996158648</t>
  </si>
  <si>
    <t>887650925781</t>
  </si>
  <si>
    <t>726895474916</t>
  </si>
  <si>
    <t>3/4 CHIFON SLV DRESS</t>
  </si>
  <si>
    <t>732996507583</t>
  </si>
  <si>
    <t>732996404622</t>
  </si>
  <si>
    <t>732996404820</t>
  </si>
  <si>
    <t>732995151879</t>
  </si>
  <si>
    <t>726895881219</t>
  </si>
  <si>
    <t>726895802023</t>
  </si>
  <si>
    <t>608356691578</t>
  </si>
  <si>
    <t>608356691561</t>
  </si>
  <si>
    <t>704976047716</t>
  </si>
  <si>
    <t>732996096865</t>
  </si>
  <si>
    <t>732996247892</t>
  </si>
  <si>
    <t>PRNT HL SKRT LEAF DY</t>
  </si>
  <si>
    <t>100070943MS</t>
  </si>
  <si>
    <t>806864669458</t>
  </si>
  <si>
    <t>806864679136</t>
  </si>
  <si>
    <t>806864669120</t>
  </si>
  <si>
    <t>806864995601</t>
  </si>
  <si>
    <t>806864669472</t>
  </si>
  <si>
    <t>806864669281</t>
  </si>
  <si>
    <t>732996178745</t>
  </si>
  <si>
    <t>WVN SLVS GHGM CNS SH</t>
  </si>
  <si>
    <t>100055560MS</t>
  </si>
  <si>
    <t>732995764994</t>
  </si>
  <si>
    <t>190917254181</t>
  </si>
  <si>
    <t>704625810098</t>
  </si>
  <si>
    <t>887650807278</t>
  </si>
  <si>
    <t>SPLIT CRCHT CAPRI BASIC</t>
  </si>
  <si>
    <t>732995722819</t>
  </si>
  <si>
    <t>100051589MS</t>
  </si>
  <si>
    <t>732995957617</t>
  </si>
  <si>
    <t>608381255608</t>
  </si>
  <si>
    <t>732996141541</t>
  </si>
  <si>
    <t>DR STRIPE MAXI</t>
  </si>
  <si>
    <t>100064821MS</t>
  </si>
  <si>
    <t>732996454658</t>
  </si>
  <si>
    <t>190797258866</t>
  </si>
  <si>
    <t>806864895581</t>
  </si>
  <si>
    <t>806864890678</t>
  </si>
  <si>
    <t>636193896672</t>
  </si>
  <si>
    <t>LG WSHD ZIP HD SWSHR</t>
  </si>
  <si>
    <t>806864890661</t>
  </si>
  <si>
    <t>608381471992</t>
  </si>
  <si>
    <t>732995839647</t>
  </si>
  <si>
    <t>732994064507</t>
  </si>
  <si>
    <t>732994064484</t>
  </si>
  <si>
    <t>732994064477</t>
  </si>
  <si>
    <t>887650654674</t>
  </si>
  <si>
    <t>SLD CMBRDG RNS SL LG</t>
  </si>
  <si>
    <t>47019KO143</t>
  </si>
  <si>
    <t>HONEY</t>
  </si>
  <si>
    <t>732995723175</t>
  </si>
  <si>
    <t>806864669915</t>
  </si>
  <si>
    <t>806864669922</t>
  </si>
  <si>
    <t>806864669939</t>
  </si>
  <si>
    <t>806864669946</t>
  </si>
  <si>
    <t>887650887324</t>
  </si>
  <si>
    <t>RNS RIVET PO REG</t>
  </si>
  <si>
    <t>51844CB460</t>
  </si>
  <si>
    <t>636206192265</t>
  </si>
  <si>
    <t>732996038773</t>
  </si>
  <si>
    <t>KYHL SHRKBT HLY BLSM</t>
  </si>
  <si>
    <t>100054883MS</t>
  </si>
  <si>
    <t>732996038919</t>
  </si>
  <si>
    <t>887650920670</t>
  </si>
  <si>
    <t>732996038780</t>
  </si>
  <si>
    <t>636206192296</t>
  </si>
  <si>
    <t>636206192289</t>
  </si>
  <si>
    <t>636206197062</t>
  </si>
  <si>
    <t>636206197079</t>
  </si>
  <si>
    <t>636206192937</t>
  </si>
  <si>
    <t>636206192272</t>
  </si>
  <si>
    <t>636206192913</t>
  </si>
  <si>
    <t>636206192227</t>
  </si>
  <si>
    <t>806864683355</t>
  </si>
  <si>
    <t>100013676P</t>
  </si>
  <si>
    <t>732996040059</t>
  </si>
  <si>
    <t>732995549928</t>
  </si>
  <si>
    <t>732995550870</t>
  </si>
  <si>
    <t>100026212P</t>
  </si>
  <si>
    <t>887650892151</t>
  </si>
  <si>
    <t>RNS CRISSCROSS CAPRI</t>
  </si>
  <si>
    <t>52125MU477</t>
  </si>
  <si>
    <t>732995766738</t>
  </si>
  <si>
    <t>FW LAYER SS TOP</t>
  </si>
  <si>
    <t>100060618MS</t>
  </si>
  <si>
    <t>NYLON/SPANDEX; LINING: POLYESTER</t>
  </si>
  <si>
    <t>706254449298</t>
  </si>
  <si>
    <t>706254449281</t>
  </si>
  <si>
    <t>765215693750</t>
  </si>
  <si>
    <t>765215693743</t>
  </si>
  <si>
    <t>765215693712</t>
  </si>
  <si>
    <t>765215693729</t>
  </si>
  <si>
    <t>765215693767</t>
  </si>
  <si>
    <t>887650925569</t>
  </si>
  <si>
    <t>51844BT460</t>
  </si>
  <si>
    <t>732996131504</t>
  </si>
  <si>
    <t>732995061932</t>
  </si>
  <si>
    <t>FW SLVLESS PRINT TOP</t>
  </si>
  <si>
    <t>100056628MS</t>
  </si>
  <si>
    <t>732995061925</t>
  </si>
  <si>
    <t>732995361292</t>
  </si>
  <si>
    <t>100054171P</t>
  </si>
  <si>
    <t>732996456195</t>
  </si>
  <si>
    <t>KN TEXT SL LYR TOP</t>
  </si>
  <si>
    <t>100059195PT</t>
  </si>
  <si>
    <t>732996357812</t>
  </si>
  <si>
    <t>FW EMB TANK</t>
  </si>
  <si>
    <t>100060628MS</t>
  </si>
  <si>
    <t>732996638683</t>
  </si>
  <si>
    <t>SOLID OVRLY NCKL TOP</t>
  </si>
  <si>
    <t>100069644MS</t>
  </si>
  <si>
    <t>SHELL: POLYESTER; SLEEVES: RAYON/SPANDEX</t>
  </si>
  <si>
    <t>732996638867</t>
  </si>
  <si>
    <t>732995026122</t>
  </si>
  <si>
    <t>726895807400</t>
  </si>
  <si>
    <t>190917259421</t>
  </si>
  <si>
    <t>732995460155</t>
  </si>
  <si>
    <t>732995039337</t>
  </si>
  <si>
    <t>FW FLOWER KIMONO</t>
  </si>
  <si>
    <t>100049549MS</t>
  </si>
  <si>
    <t>732995401943</t>
  </si>
  <si>
    <t>IK SPLTNK 3/4 WASH</t>
  </si>
  <si>
    <t>732995454567</t>
  </si>
  <si>
    <t>PLEAT BACK CREW BLO</t>
  </si>
  <si>
    <t>21170PY460</t>
  </si>
  <si>
    <t>732995426069</t>
  </si>
  <si>
    <t>732996121840</t>
  </si>
  <si>
    <t>636206181719</t>
  </si>
  <si>
    <t>KNT LS SNT COMPLETER</t>
  </si>
  <si>
    <t>100045421MS</t>
  </si>
  <si>
    <t>806864673943</t>
  </si>
  <si>
    <t>806864668468</t>
  </si>
  <si>
    <t>806864668772</t>
  </si>
  <si>
    <t>806864673912</t>
  </si>
  <si>
    <t>806864668536</t>
  </si>
  <si>
    <t>806864668741</t>
  </si>
  <si>
    <t>806864668789</t>
  </si>
  <si>
    <t>806864668697</t>
  </si>
  <si>
    <t>806864668703</t>
  </si>
  <si>
    <t>732996556215</t>
  </si>
  <si>
    <t>RUFFLE HEM W STUDS</t>
  </si>
  <si>
    <t>100034157P</t>
  </si>
  <si>
    <t>732995889758</t>
  </si>
  <si>
    <t>8865650620</t>
  </si>
  <si>
    <t>8865650613</t>
  </si>
  <si>
    <t>732996079028</t>
  </si>
  <si>
    <t>732996079042</t>
  </si>
  <si>
    <t>887650888628</t>
  </si>
  <si>
    <t>54445PC805</t>
  </si>
  <si>
    <t>706254221474</t>
  </si>
  <si>
    <t>732995957426</t>
  </si>
  <si>
    <t>100051587MS</t>
  </si>
  <si>
    <t>732995824513</t>
  </si>
  <si>
    <t>BT TIE WB SOFT PANT</t>
  </si>
  <si>
    <t>732995048964</t>
  </si>
  <si>
    <t>732995415971</t>
  </si>
  <si>
    <t>100047184MS</t>
  </si>
  <si>
    <t>732995048889</t>
  </si>
  <si>
    <t>732995416084</t>
  </si>
  <si>
    <t>732995048902</t>
  </si>
  <si>
    <t>732995048896</t>
  </si>
  <si>
    <t>732994893657</t>
  </si>
  <si>
    <t>732994893831</t>
  </si>
  <si>
    <t>704976351141</t>
  </si>
  <si>
    <t>OFFSHLDR LS CHN NK JMPST</t>
  </si>
  <si>
    <t>PITU7591</t>
  </si>
  <si>
    <t>704624049550</t>
  </si>
  <si>
    <t>704625333450</t>
  </si>
  <si>
    <t>704624060548</t>
  </si>
  <si>
    <t>STRETCH TUMMY BOOT R-NGFBASIC</t>
  </si>
  <si>
    <t>53392NW141</t>
  </si>
  <si>
    <t>190917252644</t>
  </si>
  <si>
    <t>CAP SLEEVE MIXED MEDIA S</t>
  </si>
  <si>
    <t>718-CSB376</t>
  </si>
  <si>
    <t>704624049604</t>
  </si>
  <si>
    <t>190917260632</t>
  </si>
  <si>
    <t>732996071886</t>
  </si>
  <si>
    <t>732996071862</t>
  </si>
  <si>
    <t>732996453538</t>
  </si>
  <si>
    <t>732996453477</t>
  </si>
  <si>
    <t>732995737318</t>
  </si>
  <si>
    <t>732996453521</t>
  </si>
  <si>
    <t>732995045291</t>
  </si>
  <si>
    <t>732994763844</t>
  </si>
  <si>
    <t>732994764353</t>
  </si>
  <si>
    <t>190797087923</t>
  </si>
  <si>
    <t>191594811285</t>
  </si>
  <si>
    <t>8865777549</t>
  </si>
  <si>
    <t>190797087930</t>
  </si>
  <si>
    <t>732994763851</t>
  </si>
  <si>
    <t>8865777563</t>
  </si>
  <si>
    <t>190917245080</t>
  </si>
  <si>
    <t>3/4 SLV TRICUT KNIT</t>
  </si>
  <si>
    <t>718-CSB003</t>
  </si>
  <si>
    <t>190917245103</t>
  </si>
  <si>
    <t>190917245097</t>
  </si>
  <si>
    <t>732996079165</t>
  </si>
  <si>
    <t>732995855302</t>
  </si>
  <si>
    <t>608356513924</t>
  </si>
  <si>
    <t>PULL ON FRAY SKORT</t>
  </si>
  <si>
    <t>100040989P</t>
  </si>
  <si>
    <t>609716514612</t>
  </si>
  <si>
    <t>TUMMY SLIM REG PRESTON</t>
  </si>
  <si>
    <t>732995255027</t>
  </si>
  <si>
    <t>726895777116</t>
  </si>
  <si>
    <t>726895378610</t>
  </si>
  <si>
    <t>726895378603</t>
  </si>
  <si>
    <t>726895378641</t>
  </si>
  <si>
    <t>732996742137</t>
  </si>
  <si>
    <t>SS JEWEL TEE</t>
  </si>
  <si>
    <t>100055205P</t>
  </si>
  <si>
    <t>732996009797</t>
  </si>
  <si>
    <t>C/S DIP DYE EMB SLUB</t>
  </si>
  <si>
    <t>100060309MS</t>
  </si>
  <si>
    <t>706257754092</t>
  </si>
  <si>
    <t>706257754115</t>
  </si>
  <si>
    <t>706257754122</t>
  </si>
  <si>
    <t>732996297170</t>
  </si>
  <si>
    <t>KNT WB BUNGEE CP CRV</t>
  </si>
  <si>
    <t>732996300979</t>
  </si>
  <si>
    <t>732994961622</t>
  </si>
  <si>
    <t>54676PC805</t>
  </si>
  <si>
    <t>732994961615</t>
  </si>
  <si>
    <t>732994961608</t>
  </si>
  <si>
    <t>732995364200</t>
  </si>
  <si>
    <t>732996144405</t>
  </si>
  <si>
    <t>54684TW819</t>
  </si>
  <si>
    <t>732996144412</t>
  </si>
  <si>
    <t>732996144399</t>
  </si>
  <si>
    <t>636189914014</t>
  </si>
  <si>
    <t>636189913093</t>
  </si>
  <si>
    <t>636189913253</t>
  </si>
  <si>
    <t>732994695213</t>
  </si>
  <si>
    <t>732994695220</t>
  </si>
  <si>
    <t>732995502619</t>
  </si>
  <si>
    <t>732995502633</t>
  </si>
  <si>
    <t>636206679001</t>
  </si>
  <si>
    <t>KNT FLTR FLR KYHL TP</t>
  </si>
  <si>
    <t>100046315MS</t>
  </si>
  <si>
    <t>732995273670</t>
  </si>
  <si>
    <t>732995273663</t>
  </si>
  <si>
    <t>732995273687</t>
  </si>
  <si>
    <t>732996321073</t>
  </si>
  <si>
    <t>887650598824</t>
  </si>
  <si>
    <t>887650598794</t>
  </si>
  <si>
    <t>732995618150</t>
  </si>
  <si>
    <t>SOLID TRIPLE THREAT</t>
  </si>
  <si>
    <t>100055165MS</t>
  </si>
  <si>
    <t>29408287387</t>
  </si>
  <si>
    <t>EDV GREY AVG PANT PET CLBASIC</t>
  </si>
  <si>
    <t>608356850159</t>
  </si>
  <si>
    <t>608356852085</t>
  </si>
  <si>
    <t>732996078823</t>
  </si>
  <si>
    <t>732994955850</t>
  </si>
  <si>
    <t>CW SL PRNT SWNG BLOU</t>
  </si>
  <si>
    <t>100047099PT</t>
  </si>
  <si>
    <t>191594811001</t>
  </si>
  <si>
    <t>732995716795</t>
  </si>
  <si>
    <t>100054222MS</t>
  </si>
  <si>
    <t>732995716788</t>
  </si>
  <si>
    <t>726895334593</t>
  </si>
  <si>
    <t>DR SLVLS TIERED DRS</t>
  </si>
  <si>
    <t>100052136PT</t>
  </si>
  <si>
    <t>8865650699</t>
  </si>
  <si>
    <t>190797890585</t>
  </si>
  <si>
    <t>190797827550</t>
  </si>
  <si>
    <t>689439462391</t>
  </si>
  <si>
    <t>732996079905</t>
  </si>
  <si>
    <t>732996080055</t>
  </si>
  <si>
    <t>732996080130</t>
  </si>
  <si>
    <t>732996080123</t>
  </si>
  <si>
    <t>8865956241</t>
  </si>
  <si>
    <t>706254462716</t>
  </si>
  <si>
    <t>706254462686</t>
  </si>
  <si>
    <t>8865956203</t>
  </si>
  <si>
    <t>8865730377</t>
  </si>
  <si>
    <t>8865730483</t>
  </si>
  <si>
    <t>191594813562</t>
  </si>
  <si>
    <t>636202740330</t>
  </si>
  <si>
    <t>8864334354</t>
  </si>
  <si>
    <t>8865749508</t>
  </si>
  <si>
    <t>636202738986</t>
  </si>
  <si>
    <t>608381456616</t>
  </si>
  <si>
    <t>732995855623</t>
  </si>
  <si>
    <t>732995855708</t>
  </si>
  <si>
    <t>732996079004</t>
  </si>
  <si>
    <t>732995722987</t>
  </si>
  <si>
    <t>732996813936</t>
  </si>
  <si>
    <t>ZIP NECK TANK</t>
  </si>
  <si>
    <t>100059346PT</t>
  </si>
  <si>
    <t>732996015248</t>
  </si>
  <si>
    <t>PT BANDED BOTTOM BASIC</t>
  </si>
  <si>
    <t>100059971MS</t>
  </si>
  <si>
    <t>SHELL &amp; LINING: POLYESTER; BAND: POLYESTER/SPANDEX</t>
  </si>
  <si>
    <t>732996015231</t>
  </si>
  <si>
    <t>190917251098</t>
  </si>
  <si>
    <t>SLVLSS RING TRIM</t>
  </si>
  <si>
    <t>818-CSB104</t>
  </si>
  <si>
    <t>732996501628</t>
  </si>
  <si>
    <t>S/S PLCD FOIL R/S CH</t>
  </si>
  <si>
    <t>100059921WN</t>
  </si>
  <si>
    <t>732996078304</t>
  </si>
  <si>
    <t>732995011067</t>
  </si>
  <si>
    <t>732996078366</t>
  </si>
  <si>
    <t>732995693744</t>
  </si>
  <si>
    <t>REG BERMUDA PULL ON</t>
  </si>
  <si>
    <t>100061072P</t>
  </si>
  <si>
    <t>689439297092</t>
  </si>
  <si>
    <t>732996078595</t>
  </si>
  <si>
    <t>689439171200</t>
  </si>
  <si>
    <t>SOLID BANDED BOTTOM BASIC</t>
  </si>
  <si>
    <t>21101UL472</t>
  </si>
  <si>
    <t>732996357461</t>
  </si>
  <si>
    <t>100055336PT</t>
  </si>
  <si>
    <t>732995065602</t>
  </si>
  <si>
    <t>732995065671</t>
  </si>
  <si>
    <t>732995065718</t>
  </si>
  <si>
    <t>732995065619</t>
  </si>
  <si>
    <t>732995065640</t>
  </si>
  <si>
    <t>732995065664</t>
  </si>
  <si>
    <t>732995065657</t>
  </si>
  <si>
    <t>732995065701</t>
  </si>
  <si>
    <t>732994935227</t>
  </si>
  <si>
    <t>SOLID FT HOOD JACKET</t>
  </si>
  <si>
    <t>100039268MS</t>
  </si>
  <si>
    <t>706256345147</t>
  </si>
  <si>
    <t>S/L FLAT FRONT PANT</t>
  </si>
  <si>
    <t>100048445MS</t>
  </si>
  <si>
    <t>732996235141</t>
  </si>
  <si>
    <t>STUD KYHL C/S R/S</t>
  </si>
  <si>
    <t>100055087MS</t>
  </si>
  <si>
    <t>732995265439</t>
  </si>
  <si>
    <t>100042372P</t>
  </si>
  <si>
    <t>732996206615</t>
  </si>
  <si>
    <t>732996206714</t>
  </si>
  <si>
    <t>689439398911</t>
  </si>
  <si>
    <t>732995815023</t>
  </si>
  <si>
    <t>689439398928</t>
  </si>
  <si>
    <t>689439502165</t>
  </si>
  <si>
    <t>CORDED STRIPE SKORT</t>
  </si>
  <si>
    <t>100041512MS</t>
  </si>
  <si>
    <t>689439501342</t>
  </si>
  <si>
    <t>CLIMBING GARDEN SKRT</t>
  </si>
  <si>
    <t>100041511MS</t>
  </si>
  <si>
    <t>732996361826</t>
  </si>
  <si>
    <t>KNT SL FLRL FSH VNCK</t>
  </si>
  <si>
    <t>100059572PT</t>
  </si>
  <si>
    <t>732995432626</t>
  </si>
  <si>
    <t>732996239651</t>
  </si>
  <si>
    <t>732996239620</t>
  </si>
  <si>
    <t>732996239613</t>
  </si>
  <si>
    <t>732996239637</t>
  </si>
  <si>
    <t>732995461374</t>
  </si>
  <si>
    <t>21101PY460</t>
  </si>
  <si>
    <t>SHELL AND LINING: POLYESTER; BAND: POLYESTER/SPANDEX</t>
  </si>
  <si>
    <t>732996094045</t>
  </si>
  <si>
    <t>636189561850</t>
  </si>
  <si>
    <t>689439502486</t>
  </si>
  <si>
    <t>FUN DOT SKORT</t>
  </si>
  <si>
    <t>100041516MS</t>
  </si>
  <si>
    <t>732995814996</t>
  </si>
  <si>
    <t>732995744064</t>
  </si>
  <si>
    <t>689439904204</t>
  </si>
  <si>
    <t>732994552875</t>
  </si>
  <si>
    <t>190917244519</t>
  </si>
  <si>
    <t>CS GRAPHIC TEE</t>
  </si>
  <si>
    <t>718-CSB250</t>
  </si>
  <si>
    <t>726895668384</t>
  </si>
  <si>
    <t>PT BANDED BOTTOM</t>
  </si>
  <si>
    <t>8864323747</t>
  </si>
  <si>
    <t>732995254884</t>
  </si>
  <si>
    <t>732994936613</t>
  </si>
  <si>
    <t>100039261PT</t>
  </si>
  <si>
    <t>689439400591</t>
  </si>
  <si>
    <t>732995898309</t>
  </si>
  <si>
    <t>CK SEAM TEE BASIC</t>
  </si>
  <si>
    <t>100066381MS</t>
  </si>
  <si>
    <t>732996361031</t>
  </si>
  <si>
    <t>732996360966</t>
  </si>
  <si>
    <t>732996095325</t>
  </si>
  <si>
    <t>732994934800</t>
  </si>
  <si>
    <t>636202289112</t>
  </si>
  <si>
    <t>LS LACE UP SWEATSHRT</t>
  </si>
  <si>
    <t>100028136MS</t>
  </si>
  <si>
    <t>732994344487</t>
  </si>
  <si>
    <t>706254081726</t>
  </si>
  <si>
    <t>732994810616</t>
  </si>
  <si>
    <t>732996344065</t>
  </si>
  <si>
    <t>732995740882</t>
  </si>
  <si>
    <t>732995475241</t>
  </si>
  <si>
    <t>732995401561</t>
  </si>
  <si>
    <t>732995727470</t>
  </si>
  <si>
    <t>732995401462</t>
  </si>
  <si>
    <t>732995805314</t>
  </si>
  <si>
    <t>732996385891</t>
  </si>
  <si>
    <t>732996385839</t>
  </si>
  <si>
    <t>768594212680</t>
  </si>
  <si>
    <t>SCPNK 3/4SLV WVN HEM</t>
  </si>
  <si>
    <t>22722BF151</t>
  </si>
  <si>
    <t>732996236483</t>
  </si>
  <si>
    <t>706254088633</t>
  </si>
  <si>
    <t>100040636MS</t>
  </si>
  <si>
    <t>636202166970</t>
  </si>
  <si>
    <t>100036038MS</t>
  </si>
  <si>
    <t>636202167007</t>
  </si>
  <si>
    <t>732994824804</t>
  </si>
  <si>
    <t>732995408461</t>
  </si>
  <si>
    <t>732996094120</t>
  </si>
  <si>
    <t>100054122MS</t>
  </si>
  <si>
    <t>732995806083</t>
  </si>
  <si>
    <t>732996089911</t>
  </si>
  <si>
    <t>732995708585</t>
  </si>
  <si>
    <t>732996298092</t>
  </si>
  <si>
    <t>732995804492</t>
  </si>
  <si>
    <t>KNT SS FAGTNG TR TEE</t>
  </si>
  <si>
    <t>100054620MS</t>
  </si>
  <si>
    <t>732996130569</t>
  </si>
  <si>
    <t>S/S PLCD FOIL R/S PB</t>
  </si>
  <si>
    <t>100055105MS</t>
  </si>
  <si>
    <t>732996130552</t>
  </si>
  <si>
    <t>732996130545</t>
  </si>
  <si>
    <t>732994964098</t>
  </si>
  <si>
    <t>100024685MS</t>
  </si>
  <si>
    <t>732996299129</t>
  </si>
  <si>
    <t>732995718409</t>
  </si>
  <si>
    <t>732995718416</t>
  </si>
  <si>
    <t>732995718485</t>
  </si>
  <si>
    <t>732995731866</t>
  </si>
  <si>
    <t>806864890739</t>
  </si>
  <si>
    <t>608356338589</t>
  </si>
  <si>
    <t>608356336752</t>
  </si>
  <si>
    <t>732995747812</t>
  </si>
  <si>
    <t>766380662114</t>
  </si>
  <si>
    <t>SOLID PLEAT NECK BASIC</t>
  </si>
  <si>
    <t>19702DB805</t>
  </si>
  <si>
    <t>766380662107</t>
  </si>
  <si>
    <t>732995711875</t>
  </si>
  <si>
    <t>SS VNK FWRD SM GRPHC</t>
  </si>
  <si>
    <t>100056280MS</t>
  </si>
  <si>
    <t>732995711776</t>
  </si>
  <si>
    <t>SS SCPNK SDPNL GRPHC</t>
  </si>
  <si>
    <t>100056278MS</t>
  </si>
  <si>
    <t>732995710908</t>
  </si>
  <si>
    <t>100057968MS</t>
  </si>
  <si>
    <t>732995795615</t>
  </si>
  <si>
    <t>100056289MS</t>
  </si>
  <si>
    <t>732995711745</t>
  </si>
  <si>
    <t>732995712407</t>
  </si>
  <si>
    <t>732996601670</t>
  </si>
  <si>
    <t>SS SCPNK HILO SWG GR</t>
  </si>
  <si>
    <t>100060021MS</t>
  </si>
  <si>
    <t>732996593067</t>
  </si>
  <si>
    <t>732996602240</t>
  </si>
  <si>
    <t>SL VNK SWNG TANK GR BASIC</t>
  </si>
  <si>
    <t>100060028MS</t>
  </si>
  <si>
    <t>732996602264</t>
  </si>
  <si>
    <t>732995712339</t>
  </si>
  <si>
    <t>100056287MS</t>
  </si>
  <si>
    <t>732996602257</t>
  </si>
  <si>
    <t>732995389548</t>
  </si>
  <si>
    <t>100056240MS</t>
  </si>
  <si>
    <t>732995711783</t>
  </si>
  <si>
    <t>732995794298</t>
  </si>
  <si>
    <t>732995389661</t>
  </si>
  <si>
    <t>732995388800</t>
  </si>
  <si>
    <t>SCPNK DOLMAN GRAPHIC</t>
  </si>
  <si>
    <t>100056242MS</t>
  </si>
  <si>
    <t>732995711523</t>
  </si>
  <si>
    <t>SS VNK HILO SWG GRPH</t>
  </si>
  <si>
    <t>100056259MS</t>
  </si>
  <si>
    <t>732995929485</t>
  </si>
  <si>
    <t>S/S WOVEN BIB SPLITN</t>
  </si>
  <si>
    <t>100049787MS</t>
  </si>
  <si>
    <t>726895972757</t>
  </si>
  <si>
    <t>732995784916</t>
  </si>
  <si>
    <t>732995784893</t>
  </si>
  <si>
    <t>689439504176</t>
  </si>
  <si>
    <t>PULL ON CHMBRY SKIRT</t>
  </si>
  <si>
    <t>100046427PT</t>
  </si>
  <si>
    <t>689439504008</t>
  </si>
  <si>
    <t>732995770315</t>
  </si>
  <si>
    <t>S/S RIBBON HARD SC</t>
  </si>
  <si>
    <t>100049769MS</t>
  </si>
  <si>
    <t>732995790917</t>
  </si>
  <si>
    <t>S/S BEACH BIKE SC</t>
  </si>
  <si>
    <t>100049871MS</t>
  </si>
  <si>
    <t>732996436364</t>
  </si>
  <si>
    <t>732996715810</t>
  </si>
  <si>
    <t>SOLID ESSNTL SWTSHRT</t>
  </si>
  <si>
    <t>100060766MS</t>
  </si>
  <si>
    <t>732995743548</t>
  </si>
  <si>
    <t>726895488845</t>
  </si>
  <si>
    <t>S/S VNECK BAND BTM</t>
  </si>
  <si>
    <t>88080WH472</t>
  </si>
  <si>
    <t>732995199161</t>
  </si>
  <si>
    <t>706256795355</t>
  </si>
  <si>
    <t>726895404661</t>
  </si>
  <si>
    <t>726895404821</t>
  </si>
  <si>
    <t>191608373891</t>
  </si>
  <si>
    <t>TEXTURED LACE NECK TUNIC</t>
  </si>
  <si>
    <t>61141OF</t>
  </si>
  <si>
    <t>732995199147</t>
  </si>
  <si>
    <t>732995643589</t>
  </si>
  <si>
    <t>732995662221</t>
  </si>
  <si>
    <t>100056269MS</t>
  </si>
  <si>
    <t>732996300290</t>
  </si>
  <si>
    <t>732995662863</t>
  </si>
  <si>
    <t>732996592466</t>
  </si>
  <si>
    <t>100060043MS</t>
  </si>
  <si>
    <t>732996300276</t>
  </si>
  <si>
    <t>732996300306</t>
  </si>
  <si>
    <t>732995189742</t>
  </si>
  <si>
    <t>732995189698</t>
  </si>
  <si>
    <t>732995189728</t>
  </si>
  <si>
    <t>732995189704</t>
  </si>
  <si>
    <t>732995401639</t>
  </si>
  <si>
    <t>732995702880</t>
  </si>
  <si>
    <t>732995702873</t>
  </si>
  <si>
    <t>732996005782</t>
  </si>
  <si>
    <t>100055101MS</t>
  </si>
  <si>
    <t>732996005751</t>
  </si>
  <si>
    <t>732995790962</t>
  </si>
  <si>
    <t>S/S OCEAN PUFF SC</t>
  </si>
  <si>
    <t>100049876MS</t>
  </si>
  <si>
    <t>732996385136</t>
  </si>
  <si>
    <t>732995728644</t>
  </si>
  <si>
    <t>25360RT805</t>
  </si>
  <si>
    <t>726895127218</t>
  </si>
  <si>
    <t>726895126051</t>
  </si>
  <si>
    <t>726895160475</t>
  </si>
  <si>
    <t>636206339226</t>
  </si>
  <si>
    <t>726895127164</t>
  </si>
  <si>
    <t>732995809572</t>
  </si>
  <si>
    <t>ELBOW CUT OUT BOAT</t>
  </si>
  <si>
    <t>100056339MS</t>
  </si>
  <si>
    <t>732994899727</t>
  </si>
  <si>
    <t>732996425993</t>
  </si>
  <si>
    <t>732995195903</t>
  </si>
  <si>
    <t>608356953959</t>
  </si>
  <si>
    <t>732994318327</t>
  </si>
  <si>
    <t>732994318235</t>
  </si>
  <si>
    <t>636206759697</t>
  </si>
  <si>
    <t>732995779868</t>
  </si>
  <si>
    <t>S/S CARMEN STRP SCOP</t>
  </si>
  <si>
    <t>100056088MS</t>
  </si>
  <si>
    <t>732995748901</t>
  </si>
  <si>
    <t>706258707936</t>
  </si>
  <si>
    <t>636206918896</t>
  </si>
  <si>
    <t>636206918346</t>
  </si>
  <si>
    <t>636189183717</t>
  </si>
  <si>
    <t>636189201916</t>
  </si>
  <si>
    <t>636189219676</t>
  </si>
  <si>
    <t>732995845709</t>
  </si>
  <si>
    <t>732996426129</t>
  </si>
  <si>
    <t>ELB GABRL TILES BOAT</t>
  </si>
  <si>
    <t>100050964PT</t>
  </si>
  <si>
    <t>732996426099</t>
  </si>
  <si>
    <t>732996218205</t>
  </si>
  <si>
    <t>732995196993</t>
  </si>
  <si>
    <t>ELBOW MICRO BLM BOAT</t>
  </si>
  <si>
    <t>100039266MS</t>
  </si>
  <si>
    <t>732995211924</t>
  </si>
  <si>
    <t>732995211818</t>
  </si>
  <si>
    <t>100039208PT</t>
  </si>
  <si>
    <t>689439125548</t>
  </si>
  <si>
    <t>732995133080</t>
  </si>
  <si>
    <t>84987FA460</t>
  </si>
  <si>
    <t>636206918001</t>
  </si>
  <si>
    <t>732994814584</t>
  </si>
  <si>
    <t>732994867566</t>
  </si>
  <si>
    <t>732994868136</t>
  </si>
  <si>
    <t>732994867436</t>
  </si>
  <si>
    <t>636202435595</t>
  </si>
  <si>
    <t>732996425795</t>
  </si>
  <si>
    <t>732994900645</t>
  </si>
  <si>
    <t>689439043323</t>
  </si>
  <si>
    <t>689439043316</t>
  </si>
  <si>
    <t>689439043309</t>
  </si>
  <si>
    <t>689439043439</t>
  </si>
  <si>
    <t>726895187304</t>
  </si>
  <si>
    <t>84987WH477</t>
  </si>
  <si>
    <t>732995123586</t>
  </si>
  <si>
    <t>732995134094</t>
  </si>
  <si>
    <t>732996234434</t>
  </si>
  <si>
    <t>88144LE460</t>
  </si>
  <si>
    <t>732995416480</t>
  </si>
  <si>
    <t>100047208MS</t>
  </si>
  <si>
    <t>636206919442</t>
  </si>
  <si>
    <t>636206919381</t>
  </si>
  <si>
    <t>732995171501</t>
  </si>
  <si>
    <t>EDV SHORT</t>
  </si>
  <si>
    <t>100037421PT</t>
  </si>
  <si>
    <t>732995171242</t>
  </si>
  <si>
    <t>732995171334</t>
  </si>
  <si>
    <t>732995171327</t>
  </si>
  <si>
    <t>732995171303</t>
  </si>
  <si>
    <t>732995171259</t>
  </si>
  <si>
    <t>732995171266</t>
  </si>
  <si>
    <t>732995171273</t>
  </si>
  <si>
    <t>732995171495</t>
  </si>
  <si>
    <t>732995171532</t>
  </si>
  <si>
    <t>608356372040</t>
  </si>
  <si>
    <t>SHARKBT SOLID TEE BASIC</t>
  </si>
  <si>
    <t>608356372088</t>
  </si>
  <si>
    <t>608356372033</t>
  </si>
  <si>
    <t>608356372125</t>
  </si>
  <si>
    <t>732996424590</t>
  </si>
  <si>
    <t>3/4 MAUI MAZE HEN</t>
  </si>
  <si>
    <t>100050945PT</t>
  </si>
  <si>
    <t>636206634499</t>
  </si>
  <si>
    <t>CK CREWNECK LS TOP BASIC</t>
  </si>
  <si>
    <t>100032374MS</t>
  </si>
  <si>
    <t>732994952309</t>
  </si>
  <si>
    <t>732994952286</t>
  </si>
  <si>
    <t>706254727723</t>
  </si>
  <si>
    <t>608356009458</t>
  </si>
  <si>
    <t>LS BUTTON HENLEY</t>
  </si>
  <si>
    <t>100020276RM</t>
  </si>
  <si>
    <t>706254727273</t>
  </si>
  <si>
    <t>732995781977</t>
  </si>
  <si>
    <t>EDV STUD LATTICE TAN</t>
  </si>
  <si>
    <t>100046089MS</t>
  </si>
  <si>
    <t>689439171149</t>
  </si>
  <si>
    <t>732995145014</t>
  </si>
  <si>
    <t>689439249800</t>
  </si>
  <si>
    <t>732994769129</t>
  </si>
  <si>
    <t>732994756518</t>
  </si>
  <si>
    <t>732995439502</t>
  </si>
  <si>
    <t>STUDDED TANK</t>
  </si>
  <si>
    <t>100046088MS</t>
  </si>
  <si>
    <t>706254741484</t>
  </si>
  <si>
    <t>732994897587</t>
  </si>
  <si>
    <t>732994897907</t>
  </si>
  <si>
    <t>732994897297</t>
  </si>
  <si>
    <t>732994897105</t>
  </si>
  <si>
    <t>732996424866</t>
  </si>
  <si>
    <t>3/4 SCOOP</t>
  </si>
  <si>
    <t>100055767PT</t>
  </si>
  <si>
    <t>732995810653</t>
  </si>
  <si>
    <t>EB SUNNY STRIP V</t>
  </si>
  <si>
    <t>100045489MS</t>
  </si>
  <si>
    <t>732995196665</t>
  </si>
  <si>
    <t>ELB TULLIE FIELD VNK</t>
  </si>
  <si>
    <t>100036400MS</t>
  </si>
  <si>
    <t>732995504255</t>
  </si>
  <si>
    <t>732995197112</t>
  </si>
  <si>
    <t>ELB CHVRN LEGEND VNK</t>
  </si>
  <si>
    <t>100041722MS</t>
  </si>
  <si>
    <t>689439022342</t>
  </si>
  <si>
    <t>689439022373</t>
  </si>
  <si>
    <t>689439022366</t>
  </si>
  <si>
    <t>689439022380</t>
  </si>
  <si>
    <t>732994902175</t>
  </si>
  <si>
    <t>732996195759</t>
  </si>
  <si>
    <t>S/S SUM TILESC</t>
  </si>
  <si>
    <t>100045506MS</t>
  </si>
  <si>
    <t>732995810479</t>
  </si>
  <si>
    <t>732994907613</t>
  </si>
  <si>
    <t>732996259949</t>
  </si>
  <si>
    <t>100064089PT</t>
  </si>
  <si>
    <t>732994806770</t>
  </si>
  <si>
    <t>3/4 ZAHARA STRP SCP</t>
  </si>
  <si>
    <t>100039301MS</t>
  </si>
  <si>
    <t>726895696448</t>
  </si>
  <si>
    <t>S/S OLIVIA STR SC</t>
  </si>
  <si>
    <t>193623804534</t>
  </si>
  <si>
    <t>193623804497</t>
  </si>
  <si>
    <t>635273494999</t>
  </si>
  <si>
    <t>828659124980</t>
  </si>
  <si>
    <t>828659195140</t>
  </si>
  <si>
    <t>889648428281</t>
  </si>
  <si>
    <t>889648430451</t>
  </si>
  <si>
    <t>V NECK STRIPED MAXI</t>
  </si>
  <si>
    <t>JJ37562</t>
  </si>
  <si>
    <t>93487535028</t>
  </si>
  <si>
    <t>V NCK MIDI W PLEAT SKIRT</t>
  </si>
  <si>
    <t>681283068316</t>
  </si>
  <si>
    <t>SUKI BOOTCUT</t>
  </si>
  <si>
    <t>L93719ASC233</t>
  </si>
  <si>
    <t>SILVERJUNIORS</t>
  </si>
  <si>
    <t>SILVER/WESTERN GLOVE WORKS</t>
  </si>
  <si>
    <t>732997319680</t>
  </si>
  <si>
    <t>JK TXTR JCQD OPEN</t>
  </si>
  <si>
    <t>100065214PT</t>
  </si>
  <si>
    <t>755179435213</t>
  </si>
  <si>
    <t>190466028806</t>
  </si>
  <si>
    <t>LINEN PANT</t>
  </si>
  <si>
    <t>S93PA841</t>
  </si>
  <si>
    <t>193623943646</t>
  </si>
  <si>
    <t>93487364918</t>
  </si>
  <si>
    <t>93487364970</t>
  </si>
  <si>
    <t>93487252956</t>
  </si>
  <si>
    <t>L/S WRAP TOP WITH TIE DE</t>
  </si>
  <si>
    <t>636206065903</t>
  </si>
  <si>
    <t>REG SNAP BTM BOOT</t>
  </si>
  <si>
    <t>100041934P</t>
  </si>
  <si>
    <t>636206066047</t>
  </si>
  <si>
    <t>190917254525</t>
  </si>
  <si>
    <t>ASYM TIE DRESS</t>
  </si>
  <si>
    <t>618-CSD421</t>
  </si>
  <si>
    <t>732995312850</t>
  </si>
  <si>
    <t>689439440092</t>
  </si>
  <si>
    <t>100041480PT</t>
  </si>
  <si>
    <t>732995474848</t>
  </si>
  <si>
    <t>732995509472</t>
  </si>
  <si>
    <t>732995793635</t>
  </si>
  <si>
    <t>WVN CNVTBLE EMBR TOP</t>
  </si>
  <si>
    <t>100051434MS</t>
  </si>
  <si>
    <t>SHELL: COTTON; EMBROIDERY: POLYESTER</t>
  </si>
  <si>
    <t>732995890211</t>
  </si>
  <si>
    <t>732996339719</t>
  </si>
  <si>
    <t>732996148540</t>
  </si>
  <si>
    <t>732996824741</t>
  </si>
  <si>
    <t>26W AVER</t>
  </si>
  <si>
    <t>726895721089</t>
  </si>
  <si>
    <t>732995831955</t>
  </si>
  <si>
    <t>732995832105</t>
  </si>
  <si>
    <t>732995580617</t>
  </si>
  <si>
    <t>726895880519</t>
  </si>
  <si>
    <t>DK VNK DOLMAN MAXI</t>
  </si>
  <si>
    <t>726895880939</t>
  </si>
  <si>
    <t>732995838343</t>
  </si>
  <si>
    <t>WVN FLR TIE FRNT SHR</t>
  </si>
  <si>
    <t>100054584MS</t>
  </si>
  <si>
    <t>732996351124</t>
  </si>
  <si>
    <t>BL SLD CRCHT TIE FRT</t>
  </si>
  <si>
    <t>100059161PT</t>
  </si>
  <si>
    <t>190917254433</t>
  </si>
  <si>
    <t>WOVEN DRAPE OUTERWEAR</t>
  </si>
  <si>
    <t>614-B099</t>
  </si>
  <si>
    <t>732995838923</t>
  </si>
  <si>
    <t>732996052137</t>
  </si>
  <si>
    <t>732995296457</t>
  </si>
  <si>
    <t>DNM DEL BOU JAC CAPR</t>
  </si>
  <si>
    <t>100051343MS</t>
  </si>
  <si>
    <t>732997069455</t>
  </si>
  <si>
    <t>732995830385</t>
  </si>
  <si>
    <t>PT CAPELET PONCHO</t>
  </si>
  <si>
    <t>100054935MS</t>
  </si>
  <si>
    <t>732995771664</t>
  </si>
  <si>
    <t>WVN LIN RTAB LTC SHR</t>
  </si>
  <si>
    <t>100054764PT</t>
  </si>
  <si>
    <t>732995757712</t>
  </si>
  <si>
    <t>732995412673</t>
  </si>
  <si>
    <t>732995749281</t>
  </si>
  <si>
    <t>100055514MS</t>
  </si>
  <si>
    <t>SHELL: POLYESTER; TRIM: COTTON/NYLON</t>
  </si>
  <si>
    <t>732995412628</t>
  </si>
  <si>
    <t>190917258295</t>
  </si>
  <si>
    <t>WIDE LEG PANT WITH SLIT</t>
  </si>
  <si>
    <t>718-P498</t>
  </si>
  <si>
    <t>732995300420</t>
  </si>
  <si>
    <t>732995066265</t>
  </si>
  <si>
    <t>732996577647</t>
  </si>
  <si>
    <t>636189810286</t>
  </si>
  <si>
    <t>BASIC DENIM JACKET</t>
  </si>
  <si>
    <t>732996074016</t>
  </si>
  <si>
    <t>887650925330</t>
  </si>
  <si>
    <t>52123CB472</t>
  </si>
  <si>
    <t>732996051673</t>
  </si>
  <si>
    <t>732995563603</t>
  </si>
  <si>
    <t>SHRT LINEN SLB CARDI</t>
  </si>
  <si>
    <t>74640P</t>
  </si>
  <si>
    <t>732996219974</t>
  </si>
  <si>
    <t>732996219943</t>
  </si>
  <si>
    <t>732996460871</t>
  </si>
  <si>
    <t>732996460888</t>
  </si>
  <si>
    <t>732995489521</t>
  </si>
  <si>
    <t>732995489491</t>
  </si>
  <si>
    <t>732995321678</t>
  </si>
  <si>
    <t>887650915669</t>
  </si>
  <si>
    <t>732996236902</t>
  </si>
  <si>
    <t>DIAMNTE SHLDR PONCHO BASIC</t>
  </si>
  <si>
    <t>100054932MS</t>
  </si>
  <si>
    <t>732995225679</t>
  </si>
  <si>
    <t>190917261400</t>
  </si>
  <si>
    <t>SOFT BLAZER</t>
  </si>
  <si>
    <t>618-J459</t>
  </si>
  <si>
    <t>732996262758</t>
  </si>
  <si>
    <t>100055159PT</t>
  </si>
  <si>
    <t>732995091304</t>
  </si>
  <si>
    <t>KNT 3/4SL EMB LACE T</t>
  </si>
  <si>
    <t>100052977PT</t>
  </si>
  <si>
    <t>726895916331</t>
  </si>
  <si>
    <t>WT ECCNTRC VYGE TUNC</t>
  </si>
  <si>
    <t>SHELL: RAYON; CROCHET TRIM: COTTON</t>
  </si>
  <si>
    <t>732995635836</t>
  </si>
  <si>
    <t>100048927PT</t>
  </si>
  <si>
    <t>SKIRT: COTTON/SPANDEX; SHORT: POLYESTER</t>
  </si>
  <si>
    <t>732995060423</t>
  </si>
  <si>
    <t>732996237138</t>
  </si>
  <si>
    <t>887650382669</t>
  </si>
  <si>
    <t>732995811650</t>
  </si>
  <si>
    <t>DR SPLIT ASYM SHORT BASIC</t>
  </si>
  <si>
    <t>100054067MS</t>
  </si>
  <si>
    <t>732995410259</t>
  </si>
  <si>
    <t>732995720860</t>
  </si>
  <si>
    <t>100054228PT</t>
  </si>
  <si>
    <t>SHELL: NYLON; TRIM: COTTON</t>
  </si>
  <si>
    <t>732995905014</t>
  </si>
  <si>
    <t>732995820058</t>
  </si>
  <si>
    <t>732995720143</t>
  </si>
  <si>
    <t>732996235707</t>
  </si>
  <si>
    <t>732995406153</t>
  </si>
  <si>
    <t>732996262109</t>
  </si>
  <si>
    <t>732995717426</t>
  </si>
  <si>
    <t>732995749984</t>
  </si>
  <si>
    <t>732995750010</t>
  </si>
  <si>
    <t>732996262178</t>
  </si>
  <si>
    <t>732995524154</t>
  </si>
  <si>
    <t>732995094725</t>
  </si>
  <si>
    <t>732996404875</t>
  </si>
  <si>
    <t>806864669694</t>
  </si>
  <si>
    <t>732996080901</t>
  </si>
  <si>
    <t>190917253832</t>
  </si>
  <si>
    <t>DENIM PENCIL SKIRT</t>
  </si>
  <si>
    <t>918-CSS050</t>
  </si>
  <si>
    <t>190917253856</t>
  </si>
  <si>
    <t>726895802672</t>
  </si>
  <si>
    <t>726895802030</t>
  </si>
  <si>
    <t>726895802689</t>
  </si>
  <si>
    <t>726895877939</t>
  </si>
  <si>
    <t>704976173675</t>
  </si>
  <si>
    <t>PRT CAP SLV 36IN H P</t>
  </si>
  <si>
    <t>PITD3902</t>
  </si>
  <si>
    <t>732994765442</t>
  </si>
  <si>
    <t>WT SOLAR CURRNTS TOP</t>
  </si>
  <si>
    <t>732995840209</t>
  </si>
  <si>
    <t>100054575WN</t>
  </si>
  <si>
    <t>732996314433</t>
  </si>
  <si>
    <t>BTM GINGHAM CHLS CPR</t>
  </si>
  <si>
    <t>100054493MS</t>
  </si>
  <si>
    <t>732995456783</t>
  </si>
  <si>
    <t>806864669373</t>
  </si>
  <si>
    <t>806864679167</t>
  </si>
  <si>
    <t>806864669434</t>
  </si>
  <si>
    <t>806864669076</t>
  </si>
  <si>
    <t>806864669441</t>
  </si>
  <si>
    <t>732996235950</t>
  </si>
  <si>
    <t>STUDDED CRINKLE TOP</t>
  </si>
  <si>
    <t>100063972MS</t>
  </si>
  <si>
    <t>RAYON/POLYESTER/SPANDEX; STUDS: METAL</t>
  </si>
  <si>
    <t>732995608243</t>
  </si>
  <si>
    <t>BTM CHARC CAMB SK FL</t>
  </si>
  <si>
    <t>100049314MS</t>
  </si>
  <si>
    <t>806864670065</t>
  </si>
  <si>
    <t>732996091556</t>
  </si>
  <si>
    <t>SHORT CRNKLE PANT</t>
  </si>
  <si>
    <t>100063347MS</t>
  </si>
  <si>
    <t>S SM</t>
  </si>
  <si>
    <t>POLYESTER/RAYON/SPANDEX; TRIM: METAL</t>
  </si>
  <si>
    <t>732996091587</t>
  </si>
  <si>
    <t>XL SM</t>
  </si>
  <si>
    <t>190917254136</t>
  </si>
  <si>
    <t>190917254143</t>
  </si>
  <si>
    <t>885779850045</t>
  </si>
  <si>
    <t>885779849971</t>
  </si>
  <si>
    <t>887650807292</t>
  </si>
  <si>
    <t>887650807285</t>
  </si>
  <si>
    <t>732996570167</t>
  </si>
  <si>
    <t>732996454641</t>
  </si>
  <si>
    <t>732996454665</t>
  </si>
  <si>
    <t>726895730975</t>
  </si>
  <si>
    <t>85680 SS ILLSN DOT T</t>
  </si>
  <si>
    <t>100021163P</t>
  </si>
  <si>
    <t>POLYESTER/NYLON; MESH: POLYESTER</t>
  </si>
  <si>
    <t>806864890685</t>
  </si>
  <si>
    <t>806864890708</t>
  </si>
  <si>
    <t>608381467469</t>
  </si>
  <si>
    <t>732996143347</t>
  </si>
  <si>
    <t>BTN SATEEN 10IN SHRT</t>
  </si>
  <si>
    <t>100056106MS</t>
  </si>
  <si>
    <t>732994064460</t>
  </si>
  <si>
    <t>887650654704</t>
  </si>
  <si>
    <t>732996110110</t>
  </si>
  <si>
    <t>806864669892</t>
  </si>
  <si>
    <t>806864669908</t>
  </si>
  <si>
    <t>732996008417</t>
  </si>
  <si>
    <t>732996038797</t>
  </si>
  <si>
    <t>806864683348</t>
  </si>
  <si>
    <t>732995836356</t>
  </si>
  <si>
    <t>732994395366</t>
  </si>
  <si>
    <t>732995836288</t>
  </si>
  <si>
    <t>732994395380</t>
  </si>
  <si>
    <t>732996238173</t>
  </si>
  <si>
    <t>100054927MS</t>
  </si>
  <si>
    <t>704976400382</t>
  </si>
  <si>
    <t>732995752038</t>
  </si>
  <si>
    <t>PRINTED PLEAT BACK</t>
  </si>
  <si>
    <t>732995044218</t>
  </si>
  <si>
    <t>100047284MS</t>
  </si>
  <si>
    <t>732995938920</t>
  </si>
  <si>
    <t>191594814330</t>
  </si>
  <si>
    <t>191594814323</t>
  </si>
  <si>
    <t>765215693668</t>
  </si>
  <si>
    <t>765215693637</t>
  </si>
  <si>
    <t>765215693651</t>
  </si>
  <si>
    <t>765215649641</t>
  </si>
  <si>
    <t>765215693613</t>
  </si>
  <si>
    <t>8864249528</t>
  </si>
  <si>
    <t>SEAMLESS HR ANKLE BASIC</t>
  </si>
  <si>
    <t>8864249603</t>
  </si>
  <si>
    <t>8864249535</t>
  </si>
  <si>
    <t>887650925545</t>
  </si>
  <si>
    <t>608381788304</t>
  </si>
  <si>
    <t>SOLID RIBBED FLYAWAY</t>
  </si>
  <si>
    <t>91091CP477</t>
  </si>
  <si>
    <t>190797091425</t>
  </si>
  <si>
    <t>608381788861</t>
  </si>
  <si>
    <t>608381788335</t>
  </si>
  <si>
    <t>732996638676</t>
  </si>
  <si>
    <t>732996638669</t>
  </si>
  <si>
    <t>732996638836</t>
  </si>
  <si>
    <t>732996638720</t>
  </si>
  <si>
    <t>732994977081</t>
  </si>
  <si>
    <t>SS VNECK TUNIC</t>
  </si>
  <si>
    <t>100056041P</t>
  </si>
  <si>
    <t>732994764780</t>
  </si>
  <si>
    <t>732995030112</t>
  </si>
  <si>
    <t>732995029963</t>
  </si>
  <si>
    <t>887650869351</t>
  </si>
  <si>
    <t>100010668P</t>
  </si>
  <si>
    <t>726895182248</t>
  </si>
  <si>
    <t>726895182231</t>
  </si>
  <si>
    <t>887650887836</t>
  </si>
  <si>
    <t>52126ST477</t>
  </si>
  <si>
    <t>887650887843</t>
  </si>
  <si>
    <t>732996306636</t>
  </si>
  <si>
    <t>726895455977</t>
  </si>
  <si>
    <t>726895456226</t>
  </si>
  <si>
    <t>726895807387</t>
  </si>
  <si>
    <t>726895456240</t>
  </si>
  <si>
    <t>732996113616</t>
  </si>
  <si>
    <t>KNT SL MSH TIE TANK</t>
  </si>
  <si>
    <t>100054534MS</t>
  </si>
  <si>
    <t>732995462203</t>
  </si>
  <si>
    <t>887650796176</t>
  </si>
  <si>
    <t>732996121826</t>
  </si>
  <si>
    <t>732996121871</t>
  </si>
  <si>
    <t>732996121857</t>
  </si>
  <si>
    <t>732995763201</t>
  </si>
  <si>
    <t>WVN SLVS SOLD CNS SH</t>
  </si>
  <si>
    <t>100055562MS</t>
  </si>
  <si>
    <t>732996121888</t>
  </si>
  <si>
    <t>806864668529</t>
  </si>
  <si>
    <t>806864668499</t>
  </si>
  <si>
    <t>806864668673</t>
  </si>
  <si>
    <t>806864673981</t>
  </si>
  <si>
    <t>806864668802</t>
  </si>
  <si>
    <t>732996556260</t>
  </si>
  <si>
    <t>732996053189</t>
  </si>
  <si>
    <t>732996238050</t>
  </si>
  <si>
    <t>YNCK EMBL FAN PLM IS</t>
  </si>
  <si>
    <t>100054924MS</t>
  </si>
  <si>
    <t>732995957433</t>
  </si>
  <si>
    <t>732995824520</t>
  </si>
  <si>
    <t>732995891386</t>
  </si>
  <si>
    <t>191594329797</t>
  </si>
  <si>
    <t>53566BW141</t>
  </si>
  <si>
    <t>732995416930</t>
  </si>
  <si>
    <t>704624049420</t>
  </si>
  <si>
    <t>53391RI819</t>
  </si>
  <si>
    <t>732995938869</t>
  </si>
  <si>
    <t>3/4 MAX STRP WING JT</t>
  </si>
  <si>
    <t>100049963MS</t>
  </si>
  <si>
    <t>732996071961</t>
  </si>
  <si>
    <t>732996071954</t>
  </si>
  <si>
    <t>732995416152</t>
  </si>
  <si>
    <t>732995045260</t>
  </si>
  <si>
    <t>732996453507</t>
  </si>
  <si>
    <t>732995416145</t>
  </si>
  <si>
    <t>732996174877</t>
  </si>
  <si>
    <t>191594970562</t>
  </si>
  <si>
    <t>100011962P</t>
  </si>
  <si>
    <t>726895918021</t>
  </si>
  <si>
    <t>726895917970</t>
  </si>
  <si>
    <t>732995905250</t>
  </si>
  <si>
    <t>PT KNIT TO WOVEN C/S</t>
  </si>
  <si>
    <t>100054994MS</t>
  </si>
  <si>
    <t>FRONT BODY: POLYESTER; BACK BODY: RAYON/SPANDEX</t>
  </si>
  <si>
    <t>787165236832</t>
  </si>
  <si>
    <t>TUMMY SLIM SHORT BASIC</t>
  </si>
  <si>
    <t>53970SZ141</t>
  </si>
  <si>
    <t>24X4.5</t>
  </si>
  <si>
    <t>726895378658</t>
  </si>
  <si>
    <t>732996107325</t>
  </si>
  <si>
    <t>732996268798</t>
  </si>
  <si>
    <t>732995803518</t>
  </si>
  <si>
    <t>706257754108</t>
  </si>
  <si>
    <t>732995092783</t>
  </si>
  <si>
    <t>732994758185</t>
  </si>
  <si>
    <t>CUTOUT SHLDR ASYM TP</t>
  </si>
  <si>
    <t>69717P</t>
  </si>
  <si>
    <t>706257549490</t>
  </si>
  <si>
    <t>732997350478</t>
  </si>
  <si>
    <t>732995152760</t>
  </si>
  <si>
    <t>TRIPLE THREAT CRBBN</t>
  </si>
  <si>
    <t>100055595MS</t>
  </si>
  <si>
    <t>NYLON, POLYESTER</t>
  </si>
  <si>
    <t>732995049589</t>
  </si>
  <si>
    <t>100049819MS</t>
  </si>
  <si>
    <t>732995757385</t>
  </si>
  <si>
    <t>636189916964</t>
  </si>
  <si>
    <t>8864350934</t>
  </si>
  <si>
    <t>732996326139</t>
  </si>
  <si>
    <t>806864996158</t>
  </si>
  <si>
    <t>706257303597</t>
  </si>
  <si>
    <t>732996078786</t>
  </si>
  <si>
    <t>191594810639</t>
  </si>
  <si>
    <t>732995767445</t>
  </si>
  <si>
    <t>191594162011</t>
  </si>
  <si>
    <t>54719RT141</t>
  </si>
  <si>
    <t>190797827451</t>
  </si>
  <si>
    <t>54719RT819</t>
  </si>
  <si>
    <t>190797827543</t>
  </si>
  <si>
    <t>8865898916</t>
  </si>
  <si>
    <t>54719AQ141</t>
  </si>
  <si>
    <t>689439461417</t>
  </si>
  <si>
    <t>689439461530</t>
  </si>
  <si>
    <t>689439485222</t>
  </si>
  <si>
    <t>100041510MS</t>
  </si>
  <si>
    <t>732996908632</t>
  </si>
  <si>
    <t>732996080093</t>
  </si>
  <si>
    <t>8865730490</t>
  </si>
  <si>
    <t>608381456562</t>
  </si>
  <si>
    <t>191594810851</t>
  </si>
  <si>
    <t>191594810868</t>
  </si>
  <si>
    <t>636202740132</t>
  </si>
  <si>
    <t>8865749485</t>
  </si>
  <si>
    <t>8865730384</t>
  </si>
  <si>
    <t>8865730360</t>
  </si>
  <si>
    <t>8864334323</t>
  </si>
  <si>
    <t>8865730391</t>
  </si>
  <si>
    <t>8865730452</t>
  </si>
  <si>
    <t>191594810905</t>
  </si>
  <si>
    <t>8865749492</t>
  </si>
  <si>
    <t>608381467025</t>
  </si>
  <si>
    <t>608381466998</t>
  </si>
  <si>
    <t>191594330953</t>
  </si>
  <si>
    <t>191594817713</t>
  </si>
  <si>
    <t>191594817676</t>
  </si>
  <si>
    <t>636202740316</t>
  </si>
  <si>
    <t>732996163178</t>
  </si>
  <si>
    <t>732995855616</t>
  </si>
  <si>
    <t>732996264745</t>
  </si>
  <si>
    <t>732996264196</t>
  </si>
  <si>
    <t>DR CROSS BK PRINTED</t>
  </si>
  <si>
    <t>100058347MS</t>
  </si>
  <si>
    <t>732995814156</t>
  </si>
  <si>
    <t>100050981PT</t>
  </si>
  <si>
    <t>732995957488</t>
  </si>
  <si>
    <t>732995957495</t>
  </si>
  <si>
    <t>732995957501</t>
  </si>
  <si>
    <t>704976350410</t>
  </si>
  <si>
    <t>732995722895</t>
  </si>
  <si>
    <t>100053274MS</t>
  </si>
  <si>
    <t>732995828405</t>
  </si>
  <si>
    <t>706256469263</t>
  </si>
  <si>
    <t>91091GH477</t>
  </si>
  <si>
    <t>732996141114</t>
  </si>
  <si>
    <t>RAILROAD CUFFED SHRT BASIC</t>
  </si>
  <si>
    <t>732995644128</t>
  </si>
  <si>
    <t>732995093124</t>
  </si>
  <si>
    <t>732996078328</t>
  </si>
  <si>
    <t>190917250305</t>
  </si>
  <si>
    <t>SS NECK DETAIL</t>
  </si>
  <si>
    <t>1018-CSB030</t>
  </si>
  <si>
    <t>732996078335</t>
  </si>
  <si>
    <t>689439297085</t>
  </si>
  <si>
    <t>689439297368</t>
  </si>
  <si>
    <t>689439300532</t>
  </si>
  <si>
    <t>732995553925</t>
  </si>
  <si>
    <t>732996078601</t>
  </si>
  <si>
    <t>706257302934</t>
  </si>
  <si>
    <t>706257302873</t>
  </si>
  <si>
    <t>706257302781</t>
  </si>
  <si>
    <t>732994935265</t>
  </si>
  <si>
    <t>704976331235</t>
  </si>
  <si>
    <t>3/4BBLESLV ELSTICHEM TOP</t>
  </si>
  <si>
    <t>PCCU0883</t>
  </si>
  <si>
    <t>SHELL: POLYESTER; LINING: POLYESTER</t>
  </si>
  <si>
    <t>732994935258</t>
  </si>
  <si>
    <t>732995265408</t>
  </si>
  <si>
    <t>887650555186</t>
  </si>
  <si>
    <t>887650555193</t>
  </si>
  <si>
    <t>732995815245</t>
  </si>
  <si>
    <t>732995772944</t>
  </si>
  <si>
    <t>100050975MS</t>
  </si>
  <si>
    <t>732995772920</t>
  </si>
  <si>
    <t>732996503653</t>
  </si>
  <si>
    <t>732996136431</t>
  </si>
  <si>
    <t>100055142WN</t>
  </si>
  <si>
    <t>732996094069</t>
  </si>
  <si>
    <t>732995050004</t>
  </si>
  <si>
    <t>732996094083</t>
  </si>
  <si>
    <t>732995553475</t>
  </si>
  <si>
    <t>732995687248</t>
  </si>
  <si>
    <t>100023895P</t>
  </si>
  <si>
    <t>732995813777</t>
  </si>
  <si>
    <t>732995813791</t>
  </si>
  <si>
    <t>732994552066</t>
  </si>
  <si>
    <t>689439502455</t>
  </si>
  <si>
    <t>100041515MS</t>
  </si>
  <si>
    <t>732995813876</t>
  </si>
  <si>
    <t>732995813890</t>
  </si>
  <si>
    <t>732995813869</t>
  </si>
  <si>
    <t>732994074995</t>
  </si>
  <si>
    <t>100041542PT</t>
  </si>
  <si>
    <t>732995813760</t>
  </si>
  <si>
    <t>732994088442</t>
  </si>
  <si>
    <t>100041541MS</t>
  </si>
  <si>
    <t>732996109602</t>
  </si>
  <si>
    <t>732994300988</t>
  </si>
  <si>
    <t>732996096223</t>
  </si>
  <si>
    <t>732996096209</t>
  </si>
  <si>
    <t>732996096193</t>
  </si>
  <si>
    <t>8864323716</t>
  </si>
  <si>
    <t>8864323839</t>
  </si>
  <si>
    <t>8864323792</t>
  </si>
  <si>
    <t>732994579858</t>
  </si>
  <si>
    <t>732996361000</t>
  </si>
  <si>
    <t>732996360997</t>
  </si>
  <si>
    <t>732995606720</t>
  </si>
  <si>
    <t>732995939828</t>
  </si>
  <si>
    <t>732995938289</t>
  </si>
  <si>
    <t>726895585636</t>
  </si>
  <si>
    <t>732995939767</t>
  </si>
  <si>
    <t>732995939705</t>
  </si>
  <si>
    <t>732994344715</t>
  </si>
  <si>
    <t>732994344340</t>
  </si>
  <si>
    <t>732994344517</t>
  </si>
  <si>
    <t>732994344913</t>
  </si>
  <si>
    <t>706255989274</t>
  </si>
  <si>
    <t>100037293MS</t>
  </si>
  <si>
    <t>704976308206</t>
  </si>
  <si>
    <t>3/4 SLV Y NCK PLT FRNT</t>
  </si>
  <si>
    <t>PNKU2129</t>
  </si>
  <si>
    <t>732994344661</t>
  </si>
  <si>
    <t>726895588897</t>
  </si>
  <si>
    <t>732995526394</t>
  </si>
  <si>
    <t>S/S EYELET SHIRT BASIC</t>
  </si>
  <si>
    <t>100047724PT</t>
  </si>
  <si>
    <t>806864465777</t>
  </si>
  <si>
    <t>732994810647</t>
  </si>
  <si>
    <t>732996344072</t>
  </si>
  <si>
    <t>732995740905</t>
  </si>
  <si>
    <t>732995475302</t>
  </si>
  <si>
    <t>732996344041</t>
  </si>
  <si>
    <t>732995145106</t>
  </si>
  <si>
    <t>732995162301</t>
  </si>
  <si>
    <t>732995401455</t>
  </si>
  <si>
    <t>732994805988</t>
  </si>
  <si>
    <t>726895791174</t>
  </si>
  <si>
    <t>726895791303</t>
  </si>
  <si>
    <t>636202166994</t>
  </si>
  <si>
    <t>636206650918</t>
  </si>
  <si>
    <t>732994810050</t>
  </si>
  <si>
    <t>732996352275</t>
  </si>
  <si>
    <t>PMA 3/4SL CNDY ST BT</t>
  </si>
  <si>
    <t>100059677PT</t>
  </si>
  <si>
    <t>732996352299</t>
  </si>
  <si>
    <t>732996352305</t>
  </si>
  <si>
    <t>732996352282</t>
  </si>
  <si>
    <t>732996352268</t>
  </si>
  <si>
    <t>732996130538</t>
  </si>
  <si>
    <t>732994964050</t>
  </si>
  <si>
    <t>732994964074</t>
  </si>
  <si>
    <t>732996385723</t>
  </si>
  <si>
    <t>732995718287</t>
  </si>
  <si>
    <t>732995718317</t>
  </si>
  <si>
    <t>732996330310</t>
  </si>
  <si>
    <t>732996330303</t>
  </si>
  <si>
    <t>732995409413</t>
  </si>
  <si>
    <t>608356338572</t>
  </si>
  <si>
    <t>732995747317</t>
  </si>
  <si>
    <t>732995388763</t>
  </si>
  <si>
    <t>732995795295</t>
  </si>
  <si>
    <t>732995711790</t>
  </si>
  <si>
    <t>732996601847</t>
  </si>
  <si>
    <t>100060024MS</t>
  </si>
  <si>
    <t>732996602165</t>
  </si>
  <si>
    <t>732995712322</t>
  </si>
  <si>
    <t>732996027500</t>
  </si>
  <si>
    <t>732996131726</t>
  </si>
  <si>
    <t>S/S PLCD R/S GRD MYS</t>
  </si>
  <si>
    <t>100055109PT</t>
  </si>
  <si>
    <t>732996602776</t>
  </si>
  <si>
    <t>706254772426</t>
  </si>
  <si>
    <t>S/S PTD R/S ROM RIBB</t>
  </si>
  <si>
    <t>100045860WN</t>
  </si>
  <si>
    <t>704976178908</t>
  </si>
  <si>
    <t>SLEEVELESS CROCHET FRONT</t>
  </si>
  <si>
    <t>PRJD0299</t>
  </si>
  <si>
    <t>RAYON/POLYESTER; LINING, TRIM: POLYESTER</t>
  </si>
  <si>
    <t>726895164121</t>
  </si>
  <si>
    <t>732995712544</t>
  </si>
  <si>
    <t>732995847130</t>
  </si>
  <si>
    <t>S/S BUTTFLY OMBRE SC</t>
  </si>
  <si>
    <t>100049694PT</t>
  </si>
  <si>
    <t>732995743425</t>
  </si>
  <si>
    <t>732995743784</t>
  </si>
  <si>
    <t>732995743555</t>
  </si>
  <si>
    <t>732995743388</t>
  </si>
  <si>
    <t>732995743760</t>
  </si>
  <si>
    <t>732995743418</t>
  </si>
  <si>
    <t>732995420692</t>
  </si>
  <si>
    <t>100056258MS</t>
  </si>
  <si>
    <t>732996250502</t>
  </si>
  <si>
    <t>732994928519</t>
  </si>
  <si>
    <t>3/4 KEYHOLE TIPIN SC</t>
  </si>
  <si>
    <t>100039101PT</t>
  </si>
  <si>
    <t>706256795379</t>
  </si>
  <si>
    <t>732996592381</t>
  </si>
  <si>
    <t>732995389982</t>
  </si>
  <si>
    <t>732995662160</t>
  </si>
  <si>
    <t>100056268MS</t>
  </si>
  <si>
    <t>732995189711</t>
  </si>
  <si>
    <t>636202069844</t>
  </si>
  <si>
    <t>732994129428</t>
  </si>
  <si>
    <t>EDV SHORT KNIT PANT BASIC</t>
  </si>
  <si>
    <t>732995702910</t>
  </si>
  <si>
    <t>732995702903</t>
  </si>
  <si>
    <t>732995702897</t>
  </si>
  <si>
    <t>732996005768</t>
  </si>
  <si>
    <t>732995744316</t>
  </si>
  <si>
    <t>732995744309</t>
  </si>
  <si>
    <t>732995741858</t>
  </si>
  <si>
    <t>689439106752</t>
  </si>
  <si>
    <t>KNT SS VNECK POLO</t>
  </si>
  <si>
    <t>100044116PT</t>
  </si>
  <si>
    <t>732995918441</t>
  </si>
  <si>
    <t>S/S SCALLOP VNECK</t>
  </si>
  <si>
    <t>100049780MS</t>
  </si>
  <si>
    <t>732996385563</t>
  </si>
  <si>
    <t>732996385556</t>
  </si>
  <si>
    <t>732995121292</t>
  </si>
  <si>
    <t>3/4 PTD R/S FLRL SPL</t>
  </si>
  <si>
    <t>100047644MS</t>
  </si>
  <si>
    <t>732995208061</t>
  </si>
  <si>
    <t>732995405484</t>
  </si>
  <si>
    <t>732995405576</t>
  </si>
  <si>
    <t>732995208078</t>
  </si>
  <si>
    <t>726895124873</t>
  </si>
  <si>
    <t>636206339134</t>
  </si>
  <si>
    <t>636206339493</t>
  </si>
  <si>
    <t>636206339158</t>
  </si>
  <si>
    <t>732996511504</t>
  </si>
  <si>
    <t>732996511481</t>
  </si>
  <si>
    <t>732996511498</t>
  </si>
  <si>
    <t>732996511511</t>
  </si>
  <si>
    <t>732996511528</t>
  </si>
  <si>
    <t>732995770766</t>
  </si>
  <si>
    <t>S/S STRPE RIBBON SC</t>
  </si>
  <si>
    <t>100049779MS</t>
  </si>
  <si>
    <t>732995927924</t>
  </si>
  <si>
    <t>732996250199</t>
  </si>
  <si>
    <t>S/S STAR STUD SC</t>
  </si>
  <si>
    <t>100049810PT</t>
  </si>
  <si>
    <t>732996037677</t>
  </si>
  <si>
    <t>S/S C/S R/S BLCKD BR</t>
  </si>
  <si>
    <t>100060592MS</t>
  </si>
  <si>
    <t>732995748826</t>
  </si>
  <si>
    <t>732995604917</t>
  </si>
  <si>
    <t>S/S WOVEN COLLAR POL</t>
  </si>
  <si>
    <t>100039147MS</t>
  </si>
  <si>
    <t>732994869690</t>
  </si>
  <si>
    <t>732995447156</t>
  </si>
  <si>
    <t>732995447187</t>
  </si>
  <si>
    <t>732995443349</t>
  </si>
  <si>
    <t>636206918636</t>
  </si>
  <si>
    <t>636206919114</t>
  </si>
  <si>
    <t>636206919121</t>
  </si>
  <si>
    <t>636189183694</t>
  </si>
  <si>
    <t>636189215913</t>
  </si>
  <si>
    <t>636189219188</t>
  </si>
  <si>
    <t>732994933957</t>
  </si>
  <si>
    <t>732995802597</t>
  </si>
  <si>
    <t>732995440874</t>
  </si>
  <si>
    <t>732995194876</t>
  </si>
  <si>
    <t>732996364896</t>
  </si>
  <si>
    <t>689439125524</t>
  </si>
  <si>
    <t>689439125500</t>
  </si>
  <si>
    <t>689439125517</t>
  </si>
  <si>
    <t>732996353555</t>
  </si>
  <si>
    <t>PMA SL TEXTURED TNK</t>
  </si>
  <si>
    <t>100065228PT</t>
  </si>
  <si>
    <t>100% SUPIMA COTTON</t>
  </si>
  <si>
    <t>732995133073</t>
  </si>
  <si>
    <t>689439400522</t>
  </si>
  <si>
    <t>100017611P</t>
  </si>
  <si>
    <t>732994867429</t>
  </si>
  <si>
    <t>732995735574</t>
  </si>
  <si>
    <t>732997265543</t>
  </si>
  <si>
    <t>PUFF SLEEVE TEE</t>
  </si>
  <si>
    <t>100074234P</t>
  </si>
  <si>
    <t>732995211696</t>
  </si>
  <si>
    <t>689439042937</t>
  </si>
  <si>
    <t>732994900676</t>
  </si>
  <si>
    <t>732995784381</t>
  </si>
  <si>
    <t>732995737523</t>
  </si>
  <si>
    <t>732995737530</t>
  </si>
  <si>
    <t>636206919497</t>
  </si>
  <si>
    <t>636206919459</t>
  </si>
  <si>
    <t>636206919435</t>
  </si>
  <si>
    <t>636206919565</t>
  </si>
  <si>
    <t>636206919473</t>
  </si>
  <si>
    <t>636206919619</t>
  </si>
  <si>
    <t>636189497296</t>
  </si>
  <si>
    <t>732994754569</t>
  </si>
  <si>
    <t>732995781991</t>
  </si>
  <si>
    <t>608356122430</t>
  </si>
  <si>
    <t>608356122447</t>
  </si>
  <si>
    <t>636206647611</t>
  </si>
  <si>
    <t>732995439380</t>
  </si>
  <si>
    <t>TEXTURED TANK</t>
  </si>
  <si>
    <t>100039204MS</t>
  </si>
  <si>
    <t>732995439304</t>
  </si>
  <si>
    <t>732995474947</t>
  </si>
  <si>
    <t>732995145007</t>
  </si>
  <si>
    <t>732994963589</t>
  </si>
  <si>
    <t>VNCK SS BURN OUT TEE</t>
  </si>
  <si>
    <t>27028SG151</t>
  </si>
  <si>
    <t>706254824996</t>
  </si>
  <si>
    <t>732994768184</t>
  </si>
  <si>
    <t>S/S PALOMA SEQ HENLY</t>
  </si>
  <si>
    <t>100036345MS</t>
  </si>
  <si>
    <t>732995440973</t>
  </si>
  <si>
    <t>732994802550</t>
  </si>
  <si>
    <t>S/S GLORY GARDEN HEN</t>
  </si>
  <si>
    <t>100036355PT</t>
  </si>
  <si>
    <t>732995197372</t>
  </si>
  <si>
    <t>S/S FRESH POPPY HENL</t>
  </si>
  <si>
    <t>100036399MS</t>
  </si>
  <si>
    <t>732994768313</t>
  </si>
  <si>
    <t>100036355MS</t>
  </si>
  <si>
    <t>732994768221</t>
  </si>
  <si>
    <t>732995848205</t>
  </si>
  <si>
    <t>BRISTOL BREEZE</t>
  </si>
  <si>
    <t>100045485PT</t>
  </si>
  <si>
    <t>732995848229</t>
  </si>
  <si>
    <t>732996195100</t>
  </si>
  <si>
    <t>S/S CHERRY STRI HN</t>
  </si>
  <si>
    <t>100045493MS</t>
  </si>
  <si>
    <t>732995197341</t>
  </si>
  <si>
    <t>706255799316</t>
  </si>
  <si>
    <t>706255799323</t>
  </si>
  <si>
    <t>732994908702</t>
  </si>
  <si>
    <t>732994908306</t>
  </si>
  <si>
    <t>732994908719</t>
  </si>
  <si>
    <t>689439077571</t>
  </si>
  <si>
    <t>100028125MS</t>
  </si>
  <si>
    <t>732994908672</t>
  </si>
  <si>
    <t>732994908931</t>
  </si>
  <si>
    <t>689439077595</t>
  </si>
  <si>
    <t>732994908955</t>
  </si>
  <si>
    <t>732994908689</t>
  </si>
  <si>
    <t>732994908535</t>
  </si>
  <si>
    <t>732994755511</t>
  </si>
  <si>
    <t>732994897341</t>
  </si>
  <si>
    <t>732995783964</t>
  </si>
  <si>
    <t>732994897440</t>
  </si>
  <si>
    <t>732995194296</t>
  </si>
  <si>
    <t>732994897464</t>
  </si>
  <si>
    <t>732995194326</t>
  </si>
  <si>
    <t>732994897457</t>
  </si>
  <si>
    <t>732994897631</t>
  </si>
  <si>
    <t>732994897839</t>
  </si>
  <si>
    <t>706254725484</t>
  </si>
  <si>
    <t>706254724845</t>
  </si>
  <si>
    <t>732995816631</t>
  </si>
  <si>
    <t>732994754279</t>
  </si>
  <si>
    <t>706254726269</t>
  </si>
  <si>
    <t>732994904360</t>
  </si>
  <si>
    <t>706254726221</t>
  </si>
  <si>
    <t>732994754262</t>
  </si>
  <si>
    <t>732994754255</t>
  </si>
  <si>
    <t>706254725903</t>
  </si>
  <si>
    <t>636202439562</t>
  </si>
  <si>
    <t>100020272PT</t>
  </si>
  <si>
    <t>732996195391</t>
  </si>
  <si>
    <t>ELB MUMBAI MEADO V</t>
  </si>
  <si>
    <t>100045491MS</t>
  </si>
  <si>
    <t>732995810769</t>
  </si>
  <si>
    <t>ELB DANC BUTTER V</t>
  </si>
  <si>
    <t>100045492MS</t>
  </si>
  <si>
    <t>732995197099</t>
  </si>
  <si>
    <t>732996195674</t>
  </si>
  <si>
    <t>ELB WAV WATERCOLOR V</t>
  </si>
  <si>
    <t>100045505MS</t>
  </si>
  <si>
    <t>732996195315</t>
  </si>
  <si>
    <t>732994902205</t>
  </si>
  <si>
    <t>732995504118</t>
  </si>
  <si>
    <t>689439021628</t>
  </si>
  <si>
    <t>S/S NORTH SAIL SCOOP</t>
  </si>
  <si>
    <t>100028089MS</t>
  </si>
  <si>
    <t>732994902243</t>
  </si>
  <si>
    <t>732996195612</t>
  </si>
  <si>
    <t>S/ SGING LADY BUG SC</t>
  </si>
  <si>
    <t>100045504MS</t>
  </si>
  <si>
    <t>732995810158</t>
  </si>
  <si>
    <t>S/S PALM SPARKLE SC</t>
  </si>
  <si>
    <t>100045477MS</t>
  </si>
  <si>
    <t>732995508291</t>
  </si>
  <si>
    <t>100041715PT</t>
  </si>
  <si>
    <t>689439021444</t>
  </si>
  <si>
    <t>732995810202</t>
  </si>
  <si>
    <t>706258990529</t>
  </si>
  <si>
    <t>S/S SOLID SCOOPNECK</t>
  </si>
  <si>
    <t>61018M243R</t>
  </si>
  <si>
    <t>732996259918</t>
  </si>
  <si>
    <t>732996142166</t>
  </si>
  <si>
    <t>828659139861</t>
  </si>
  <si>
    <t>SLV V NECK EMBROID MIDI</t>
  </si>
  <si>
    <t>VC9M9855</t>
  </si>
  <si>
    <t>828659199476</t>
  </si>
  <si>
    <t>193623671112</t>
  </si>
  <si>
    <t>SOFT CREPE ASSYM JACKET</t>
  </si>
  <si>
    <t>S95JC752</t>
  </si>
  <si>
    <t>SHELL, LINING: POLYESTER/SPANDEX</t>
  </si>
  <si>
    <t>887345229453</t>
  </si>
  <si>
    <t>TEXTURED PEPLUM JACKET</t>
  </si>
  <si>
    <t>S92J2559</t>
  </si>
  <si>
    <t>635273561042</t>
  </si>
  <si>
    <t>828659191883</t>
  </si>
  <si>
    <t>HLTR MULTI STRAP SIDE RU</t>
  </si>
  <si>
    <t>VC9M8699</t>
  </si>
  <si>
    <t>828659195324</t>
  </si>
  <si>
    <t>828659189644</t>
  </si>
  <si>
    <t>889648430468</t>
  </si>
  <si>
    <t>828659188241</t>
  </si>
  <si>
    <t>SLV CROP JUMP</t>
  </si>
  <si>
    <t>VC9M2896</t>
  </si>
  <si>
    <t>828659219389</t>
  </si>
  <si>
    <t>755179403472</t>
  </si>
  <si>
    <t>SLV VNECK ZIMMY PRINTED</t>
  </si>
  <si>
    <t>1355M</t>
  </si>
  <si>
    <t>889648425556</t>
  </si>
  <si>
    <t>889648425532</t>
  </si>
  <si>
    <t>732997003183</t>
  </si>
  <si>
    <t>190466025492</t>
  </si>
  <si>
    <t>93487385272</t>
  </si>
  <si>
    <t>STRIPED LINEN SKIRIT WIT</t>
  </si>
  <si>
    <t>93487252710</t>
  </si>
  <si>
    <t>PANT BASIC</t>
  </si>
  <si>
    <t>POLYESTER/VISCOSE/ELASTANE; POCKET BAGS: POLYESTER</t>
  </si>
  <si>
    <t>93487365274</t>
  </si>
  <si>
    <t>RUFFLE SLEEVE BLOUSE</t>
  </si>
  <si>
    <t>732995830941</t>
  </si>
  <si>
    <t>WVN SS SLF TI PRT DR</t>
  </si>
  <si>
    <t>100057541MS</t>
  </si>
  <si>
    <t>732997039656</t>
  </si>
  <si>
    <t>100065105PT</t>
  </si>
  <si>
    <t>732996410296</t>
  </si>
  <si>
    <t>PT S/L STUD DRESS</t>
  </si>
  <si>
    <t>100059535WN</t>
  </si>
  <si>
    <t>POLYESTER/SPANDEX; TRIM: POLYESTER</t>
  </si>
  <si>
    <t>732995753660</t>
  </si>
  <si>
    <t>WVN TILE VOILE TUNIC</t>
  </si>
  <si>
    <t>100015901MS</t>
  </si>
  <si>
    <t>732996012117</t>
  </si>
  <si>
    <t>732997120842</t>
  </si>
  <si>
    <t>732995812954</t>
  </si>
  <si>
    <t>732996141039</t>
  </si>
  <si>
    <t>DR SPLIT POMPOM MIDI</t>
  </si>
  <si>
    <t>100054075PT</t>
  </si>
  <si>
    <t>726895921113</t>
  </si>
  <si>
    <t>PN LACE HEM SLM ANK</t>
  </si>
  <si>
    <t>100015400P</t>
  </si>
  <si>
    <t>732995312904</t>
  </si>
  <si>
    <t>732995294828</t>
  </si>
  <si>
    <t>SW PTRN DRP FRNT CZY</t>
  </si>
  <si>
    <t>79601P</t>
  </si>
  <si>
    <t>732996127606</t>
  </si>
  <si>
    <t>DOUBLE V MAXI BASIC</t>
  </si>
  <si>
    <t>100061461MS</t>
  </si>
  <si>
    <t>732995911985</t>
  </si>
  <si>
    <t>88408 LACE INSET PO</t>
  </si>
  <si>
    <t>100029460P</t>
  </si>
  <si>
    <t>BODY: COTTON/POLYESTER/SPANDEX; SLEEVES: COTTON; LACE: POLYESTER; RIB TRIM: COTTON/NYLON</t>
  </si>
  <si>
    <t>732996338750</t>
  </si>
  <si>
    <t>732995755909</t>
  </si>
  <si>
    <t>WVN SOLID LINEN PANT</t>
  </si>
  <si>
    <t>100041532MS</t>
  </si>
  <si>
    <t>732996456065</t>
  </si>
  <si>
    <t>KN PRT POINT HEM</t>
  </si>
  <si>
    <t>100059221PT</t>
  </si>
  <si>
    <t>POLYESTER/SPANDEX; HEM: POLYESTER</t>
  </si>
  <si>
    <t>732995045017</t>
  </si>
  <si>
    <t>ONE BUTTON JACKET</t>
  </si>
  <si>
    <t>100051977MS</t>
  </si>
  <si>
    <t>732996050225</t>
  </si>
  <si>
    <t>WVN LIN SL RICRAC TN</t>
  </si>
  <si>
    <t>100054615MS</t>
  </si>
  <si>
    <t>732995766493</t>
  </si>
  <si>
    <t>732995507928</t>
  </si>
  <si>
    <t>SLIT LEG CREPE PANT BASIC</t>
  </si>
  <si>
    <t>100052166WN</t>
  </si>
  <si>
    <t>JM COLLECTION-EDI/INTL DIRECT GROUP</t>
  </si>
  <si>
    <t>732996396903</t>
  </si>
  <si>
    <t>732996155357</t>
  </si>
  <si>
    <t>KNT SL SCRF SHFT DRS</t>
  </si>
  <si>
    <t>100054542MS</t>
  </si>
  <si>
    <t>732995755817</t>
  </si>
  <si>
    <t>KNT SL FLRL SHFT DRS</t>
  </si>
  <si>
    <t>100054543MS</t>
  </si>
  <si>
    <t>887650842392</t>
  </si>
  <si>
    <t>24W PETITE</t>
  </si>
  <si>
    <t>732995771473</t>
  </si>
  <si>
    <t>100054764MS</t>
  </si>
  <si>
    <t>732995749274</t>
  </si>
  <si>
    <t>732995083897</t>
  </si>
  <si>
    <t>732995066203</t>
  </si>
  <si>
    <t>732995302479</t>
  </si>
  <si>
    <t>732996351032</t>
  </si>
  <si>
    <t>732995829648</t>
  </si>
  <si>
    <t>DR CLEO SOLID MAXI</t>
  </si>
  <si>
    <t>100059025MS</t>
  </si>
  <si>
    <t>SHELL:RAYON/POLYESTER LINING:POLYESTER</t>
  </si>
  <si>
    <t>732996290867</t>
  </si>
  <si>
    <t>732996290966</t>
  </si>
  <si>
    <t>C LEOPARD SKINNY ANK</t>
  </si>
  <si>
    <t>636193749015</t>
  </si>
  <si>
    <t>SECOND SKIN SKINNY BASIC</t>
  </si>
  <si>
    <t>100023298P</t>
  </si>
  <si>
    <t>732996290942</t>
  </si>
  <si>
    <t>732997832363</t>
  </si>
  <si>
    <t>SW SHERPA O/C</t>
  </si>
  <si>
    <t>100069169MS</t>
  </si>
  <si>
    <t>ACRYLIC; SHERPA: POLYESTER</t>
  </si>
  <si>
    <t>732996073996</t>
  </si>
  <si>
    <t>732996074030</t>
  </si>
  <si>
    <t>732995509427</t>
  </si>
  <si>
    <t>732995430646</t>
  </si>
  <si>
    <t>706257059463</t>
  </si>
  <si>
    <t>BTM BOBBIN STRIPE FL</t>
  </si>
  <si>
    <t>100040450MS</t>
  </si>
  <si>
    <t>732996711836</t>
  </si>
  <si>
    <t>KNT SL STRP SLB DRS</t>
  </si>
  <si>
    <t>100066597MS</t>
  </si>
  <si>
    <t>732995428193</t>
  </si>
  <si>
    <t>KNT SLD CLIPDOT PNTK</t>
  </si>
  <si>
    <t>100048618MS</t>
  </si>
  <si>
    <t>732995485110</t>
  </si>
  <si>
    <t>732994239318</t>
  </si>
  <si>
    <t>RNS SMFRONT PO PANT</t>
  </si>
  <si>
    <t>100035778WN</t>
  </si>
  <si>
    <t>732996219905</t>
  </si>
  <si>
    <t>732996219899</t>
  </si>
  <si>
    <t>732995754520</t>
  </si>
  <si>
    <t>KNT 3/4 SLV FLRL BAT</t>
  </si>
  <si>
    <t>100054503MS</t>
  </si>
  <si>
    <t>732996460895</t>
  </si>
  <si>
    <t>732995273076</t>
  </si>
  <si>
    <t>732996405179</t>
  </si>
  <si>
    <t>732996257594</t>
  </si>
  <si>
    <t>732995717846</t>
  </si>
  <si>
    <t>732996117935</t>
  </si>
  <si>
    <t>732995636703</t>
  </si>
  <si>
    <t>732996803241</t>
  </si>
  <si>
    <t>97415 PRINTED PO</t>
  </si>
  <si>
    <t>100074880P</t>
  </si>
  <si>
    <t>RAYON/POLYESTER/METALLIC THREADING</t>
  </si>
  <si>
    <t>732996262765</t>
  </si>
  <si>
    <t>732995119954</t>
  </si>
  <si>
    <t>BELL SLV CARDIGAN BASIC</t>
  </si>
  <si>
    <t>100048021MS</t>
  </si>
  <si>
    <t>POLYESTER/RAYON/SPANDEX; TRIM: POLYESTER</t>
  </si>
  <si>
    <t>822982492631</t>
  </si>
  <si>
    <t>CC S SLT GREY LEXNGTN SH</t>
  </si>
  <si>
    <t>732995905427</t>
  </si>
  <si>
    <t>732995905410</t>
  </si>
  <si>
    <t>732995400199</t>
  </si>
  <si>
    <t>100047735MS</t>
  </si>
  <si>
    <t>732996078465</t>
  </si>
  <si>
    <t>732995424140</t>
  </si>
  <si>
    <t>732996197562</t>
  </si>
  <si>
    <t>732995088144</t>
  </si>
  <si>
    <t>KNT LS LACE FRNT TOP</t>
  </si>
  <si>
    <t>100048796MS</t>
  </si>
  <si>
    <t>887650667551</t>
  </si>
  <si>
    <t>51846EO472</t>
  </si>
  <si>
    <t>732995635805</t>
  </si>
  <si>
    <t>732997047583</t>
  </si>
  <si>
    <t>KN SLD V NCK PNT HEM</t>
  </si>
  <si>
    <t>100065558PT</t>
  </si>
  <si>
    <t>732995062045</t>
  </si>
  <si>
    <t>DNM WHITE LEX SH</t>
  </si>
  <si>
    <t>100051251PT</t>
  </si>
  <si>
    <t>732996411569</t>
  </si>
  <si>
    <t>CAVIER BF TOP</t>
  </si>
  <si>
    <t>100059444MS</t>
  </si>
  <si>
    <t>887650608264</t>
  </si>
  <si>
    <t>732995757897</t>
  </si>
  <si>
    <t>732995757880</t>
  </si>
  <si>
    <t>732995636505</t>
  </si>
  <si>
    <t>732995561449</t>
  </si>
  <si>
    <t>887650923442</t>
  </si>
  <si>
    <t>51931IN477</t>
  </si>
  <si>
    <t>732995720136</t>
  </si>
  <si>
    <t>732996061504</t>
  </si>
  <si>
    <t>LEOPARD SKIRT</t>
  </si>
  <si>
    <t>732996479422</t>
  </si>
  <si>
    <t>SOLID MIX STCH CARDI</t>
  </si>
  <si>
    <t>100059365MS</t>
  </si>
  <si>
    <t>732996565651</t>
  </si>
  <si>
    <t>100059141MS</t>
  </si>
  <si>
    <t>732995906646</t>
  </si>
  <si>
    <t>100054945PT</t>
  </si>
  <si>
    <t>732995726305</t>
  </si>
  <si>
    <t>732995561395</t>
  </si>
  <si>
    <t>TOGGLE CHN TUNIC MRK</t>
  </si>
  <si>
    <t>100049279MS</t>
  </si>
  <si>
    <t>887650912132</t>
  </si>
  <si>
    <t>52123PW477</t>
  </si>
  <si>
    <t>732996197210</t>
  </si>
  <si>
    <t>732995524147</t>
  </si>
  <si>
    <t>732996638959</t>
  </si>
  <si>
    <t>732994063661</t>
  </si>
  <si>
    <t>704625804585</t>
  </si>
  <si>
    <t>EX BF CRVY ANKLE ROL</t>
  </si>
  <si>
    <t>53458CN141</t>
  </si>
  <si>
    <t>732996261720</t>
  </si>
  <si>
    <t>732996471242</t>
  </si>
  <si>
    <t>732995297546</t>
  </si>
  <si>
    <t>DNM ASPEN SKIMMER</t>
  </si>
  <si>
    <t>100053851MS</t>
  </si>
  <si>
    <t>726895800203</t>
  </si>
  <si>
    <t>732995089929</t>
  </si>
  <si>
    <t>KNT 3/4 SL SLUB TOP</t>
  </si>
  <si>
    <t>100052944MS</t>
  </si>
  <si>
    <t>636189393208</t>
  </si>
  <si>
    <t>BTM SLD LEX CORDUROY</t>
  </si>
  <si>
    <t>100025654PT</t>
  </si>
  <si>
    <t>704976127890</t>
  </si>
  <si>
    <t>COLORBLOCK LACE SLEEVELE</t>
  </si>
  <si>
    <t>PRJD0263</t>
  </si>
  <si>
    <t>RAYON/POLYESTER; LINING, LACE: POLYESTER</t>
  </si>
  <si>
    <t>887650602989</t>
  </si>
  <si>
    <t>WAVERLY DENIM 5PKT BASIC</t>
  </si>
  <si>
    <t>52155WD477</t>
  </si>
  <si>
    <t>732996096872</t>
  </si>
  <si>
    <t>732996327488</t>
  </si>
  <si>
    <t>732995792560</t>
  </si>
  <si>
    <t>732996428970</t>
  </si>
  <si>
    <t>CRSS C/S FLTTR MRSSA</t>
  </si>
  <si>
    <t>100059327MS</t>
  </si>
  <si>
    <t>POLYESTER/SPANDEX; RUFFLE: POLYESTER</t>
  </si>
  <si>
    <t>732996026848</t>
  </si>
  <si>
    <t>100054607MS</t>
  </si>
  <si>
    <t>732996532523</t>
  </si>
  <si>
    <t>732996026862</t>
  </si>
  <si>
    <t>732996026817</t>
  </si>
  <si>
    <t>732995719598</t>
  </si>
  <si>
    <t>732995227239</t>
  </si>
  <si>
    <t>PN HW BSTR SKNY</t>
  </si>
  <si>
    <t>78214P</t>
  </si>
  <si>
    <t>732996247878</t>
  </si>
  <si>
    <t>806864669304</t>
  </si>
  <si>
    <t>806864669113</t>
  </si>
  <si>
    <t>726895847857</t>
  </si>
  <si>
    <t>887650607922</t>
  </si>
  <si>
    <t>51920BC477</t>
  </si>
  <si>
    <t>806864670072</t>
  </si>
  <si>
    <t>806864670041</t>
  </si>
  <si>
    <t>806864670348</t>
  </si>
  <si>
    <t>732996091570</t>
  </si>
  <si>
    <t>885779849988</t>
  </si>
  <si>
    <t>636193230865</t>
  </si>
  <si>
    <t>732995043693</t>
  </si>
  <si>
    <t>100049948PT</t>
  </si>
  <si>
    <t>732994943345</t>
  </si>
  <si>
    <t>732994943314</t>
  </si>
  <si>
    <t>706254460729</t>
  </si>
  <si>
    <t>706254457842</t>
  </si>
  <si>
    <t>704625810142</t>
  </si>
  <si>
    <t>732995400830</t>
  </si>
  <si>
    <t>706254808743</t>
  </si>
  <si>
    <t>L-PKT PANT</t>
  </si>
  <si>
    <t>100036079MS</t>
  </si>
  <si>
    <t>706254808736</t>
  </si>
  <si>
    <t>732995457377</t>
  </si>
  <si>
    <t>732996554952</t>
  </si>
  <si>
    <t>732996141510</t>
  </si>
  <si>
    <t>190797258934</t>
  </si>
  <si>
    <t>190797258910</t>
  </si>
  <si>
    <t>732996026992</t>
  </si>
  <si>
    <t>732995728965</t>
  </si>
  <si>
    <t>636202749081</t>
  </si>
  <si>
    <t>732995840001</t>
  </si>
  <si>
    <t>100054594PT</t>
  </si>
  <si>
    <t>732995839982</t>
  </si>
  <si>
    <t>732995839968</t>
  </si>
  <si>
    <t>732995839975</t>
  </si>
  <si>
    <t>732995723168</t>
  </si>
  <si>
    <t>732995723106</t>
  </si>
  <si>
    <t>FW AMERICANO TOP</t>
  </si>
  <si>
    <t>100060616MS</t>
  </si>
  <si>
    <t>SHELL: POLYESTER/SPANDEX; SLEEVES: POLYESTER; TRIM: COTTON</t>
  </si>
  <si>
    <t>732996316468</t>
  </si>
  <si>
    <t>BTM STRIPE RNS SHORT</t>
  </si>
  <si>
    <t>100062360MS</t>
  </si>
  <si>
    <t>732996262208</t>
  </si>
  <si>
    <t>806864683331</t>
  </si>
  <si>
    <t>732995533163</t>
  </si>
  <si>
    <t>732995550139</t>
  </si>
  <si>
    <t>732995549942</t>
  </si>
  <si>
    <t>732995549966</t>
  </si>
  <si>
    <t>732995723267</t>
  </si>
  <si>
    <t>100060616PT</t>
  </si>
  <si>
    <t>732995088700</t>
  </si>
  <si>
    <t>KNT 3/4SLV LC TRM TO</t>
  </si>
  <si>
    <t>100048815MS</t>
  </si>
  <si>
    <t>887650602422</t>
  </si>
  <si>
    <t>887650743576</t>
  </si>
  <si>
    <t>887650608417</t>
  </si>
  <si>
    <t>732995752076</t>
  </si>
  <si>
    <t>732995752083</t>
  </si>
  <si>
    <t>732995044225</t>
  </si>
  <si>
    <t>190917255423</t>
  </si>
  <si>
    <t>CRISS CROSS TANK</t>
  </si>
  <si>
    <t>732996252704</t>
  </si>
  <si>
    <t>100049964PT</t>
  </si>
  <si>
    <t>732996252674</t>
  </si>
  <si>
    <t>732995550757</t>
  </si>
  <si>
    <t>732995550733</t>
  </si>
  <si>
    <t>732995550696</t>
  </si>
  <si>
    <t>732995550726</t>
  </si>
  <si>
    <t>732996081144</t>
  </si>
  <si>
    <t>FK EMB BUBBLESLV TOP</t>
  </si>
  <si>
    <t>100054230PT</t>
  </si>
  <si>
    <t>732995361315</t>
  </si>
  <si>
    <t>732996237404</t>
  </si>
  <si>
    <t>PTD DLMN TOP GEO</t>
  </si>
  <si>
    <t>100054928MS</t>
  </si>
  <si>
    <t>732996492445</t>
  </si>
  <si>
    <t>732996638645</t>
  </si>
  <si>
    <t>732996168074</t>
  </si>
  <si>
    <t>SWT CHMR SHRT SLV PO</t>
  </si>
  <si>
    <t>100054423MS</t>
  </si>
  <si>
    <t>636193212359</t>
  </si>
  <si>
    <t>732996133812</t>
  </si>
  <si>
    <t>KYHL RFL SLV IRIS IM</t>
  </si>
  <si>
    <t>100054878PT</t>
  </si>
  <si>
    <t>SHELL: POLYESTER/SPANDEX; TRIM: POLYESTER</t>
  </si>
  <si>
    <t>732996334172</t>
  </si>
  <si>
    <t>636193194754</t>
  </si>
  <si>
    <t>732995233001</t>
  </si>
  <si>
    <t>SLD ITY ZIP SLV TOP</t>
  </si>
  <si>
    <t>100050476MS</t>
  </si>
  <si>
    <t>887650887782</t>
  </si>
  <si>
    <t>726895231649</t>
  </si>
  <si>
    <t>DCK PLD ROLTB SHIRT</t>
  </si>
  <si>
    <t>100011751P</t>
  </si>
  <si>
    <t>732995717648</t>
  </si>
  <si>
    <t>726895455991</t>
  </si>
  <si>
    <t>726895807394</t>
  </si>
  <si>
    <t>726895456028</t>
  </si>
  <si>
    <t>732996113609</t>
  </si>
  <si>
    <t>806864668505</t>
  </si>
  <si>
    <t>806864668512</t>
  </si>
  <si>
    <t>608381264112</t>
  </si>
  <si>
    <t>732995043631</t>
  </si>
  <si>
    <t>689439495245</t>
  </si>
  <si>
    <t>732996079035</t>
  </si>
  <si>
    <t>732996079615</t>
  </si>
  <si>
    <t>FK EMB SLVLESS TOP</t>
  </si>
  <si>
    <t>100054279MS</t>
  </si>
  <si>
    <t>732996079066</t>
  </si>
  <si>
    <t>732995474688</t>
  </si>
  <si>
    <t>732996238081</t>
  </si>
  <si>
    <t>732995785074</t>
  </si>
  <si>
    <t>732994152396</t>
  </si>
  <si>
    <t>732995400465</t>
  </si>
  <si>
    <t>CW PRINT SWNG BLOUSE</t>
  </si>
  <si>
    <t>100047102MS</t>
  </si>
  <si>
    <t>732995957440</t>
  </si>
  <si>
    <t>732994893466</t>
  </si>
  <si>
    <t>732994893855</t>
  </si>
  <si>
    <t>732996586618</t>
  </si>
  <si>
    <t>100063787WN</t>
  </si>
  <si>
    <t>SHELL: POLYESTER; HEMLINE BAND: POLYESTER/SPANDEX; LINING: POLYESTER; TRIM: POLYESTER</t>
  </si>
  <si>
    <t>732994942812</t>
  </si>
  <si>
    <t>732995938852</t>
  </si>
  <si>
    <t>732995939897</t>
  </si>
  <si>
    <t>100049963PT</t>
  </si>
  <si>
    <t>732995939927</t>
  </si>
  <si>
    <t>732995939903</t>
  </si>
  <si>
    <t>732996071992</t>
  </si>
  <si>
    <t>732996071930</t>
  </si>
  <si>
    <t>732996071909</t>
  </si>
  <si>
    <t>732994204903</t>
  </si>
  <si>
    <t>732994203975</t>
  </si>
  <si>
    <t>BT ZIP SKINNY SHORT</t>
  </si>
  <si>
    <t>732994204866</t>
  </si>
  <si>
    <t>L T/L</t>
  </si>
  <si>
    <t>190917244908</t>
  </si>
  <si>
    <t>732995855326</t>
  </si>
  <si>
    <t>732995855265</t>
  </si>
  <si>
    <t>732995855340</t>
  </si>
  <si>
    <t>887650750475</t>
  </si>
  <si>
    <t>DBL LP CRVY TRSR S</t>
  </si>
  <si>
    <t>61208SP</t>
  </si>
  <si>
    <t>20X5</t>
  </si>
  <si>
    <t>732996119588</t>
  </si>
  <si>
    <t>190797599211</t>
  </si>
  <si>
    <t>732995959666</t>
  </si>
  <si>
    <t>100054423PT</t>
  </si>
  <si>
    <t>732995750416</t>
  </si>
  <si>
    <t>BTM TWILL L-PKT SHRT</t>
  </si>
  <si>
    <t>100055019MS</t>
  </si>
  <si>
    <t>726895585162</t>
  </si>
  <si>
    <t>726895378566</t>
  </si>
  <si>
    <t>726895378689</t>
  </si>
  <si>
    <t>732994405874</t>
  </si>
  <si>
    <t>BT HTR SNP BTTM PNT</t>
  </si>
  <si>
    <t>704976152816</t>
  </si>
  <si>
    <t>SHORT FLUTTER SLEEVE JUM</t>
  </si>
  <si>
    <t>PITU7301</t>
  </si>
  <si>
    <t>704976351011</t>
  </si>
  <si>
    <t>732996268781</t>
  </si>
  <si>
    <t>732995803631</t>
  </si>
  <si>
    <t>706257754023</t>
  </si>
  <si>
    <t>636206183157</t>
  </si>
  <si>
    <t>FAUX FLY SKINNY</t>
  </si>
  <si>
    <t>732995364224</t>
  </si>
  <si>
    <t>732996301075</t>
  </si>
  <si>
    <t>732996301112</t>
  </si>
  <si>
    <t>706257549421</t>
  </si>
  <si>
    <t>636189913413</t>
  </si>
  <si>
    <t>636189913406</t>
  </si>
  <si>
    <t>636189916919</t>
  </si>
  <si>
    <t>636189896693</t>
  </si>
  <si>
    <t>636189916926</t>
  </si>
  <si>
    <t>636189896686</t>
  </si>
  <si>
    <t>732995364583</t>
  </si>
  <si>
    <t>54676OV151</t>
  </si>
  <si>
    <t>732994820349</t>
  </si>
  <si>
    <t>732995364590</t>
  </si>
  <si>
    <t>191594335613</t>
  </si>
  <si>
    <t>636193597210</t>
  </si>
  <si>
    <t>100046282P</t>
  </si>
  <si>
    <t>636193597265</t>
  </si>
  <si>
    <t>732996900070</t>
  </si>
  <si>
    <t>KNT 3/4 FLRL MSH BTU</t>
  </si>
  <si>
    <t>100059594MS</t>
  </si>
  <si>
    <t>732995939019</t>
  </si>
  <si>
    <t>3/4 FT WING CLR JCKT</t>
  </si>
  <si>
    <t>100049965MS</t>
  </si>
  <si>
    <t>732995939026</t>
  </si>
  <si>
    <t>732995939040</t>
  </si>
  <si>
    <t>732995939057</t>
  </si>
  <si>
    <t>887650598800</t>
  </si>
  <si>
    <t>732997079768</t>
  </si>
  <si>
    <t>KNT ELBW RFL KYHL</t>
  </si>
  <si>
    <t>100066433MS</t>
  </si>
  <si>
    <t>732994034869</t>
  </si>
  <si>
    <t>IK PSNT SL MIX PRNT BASIC</t>
  </si>
  <si>
    <t>100018058P</t>
  </si>
  <si>
    <t>732994034906</t>
  </si>
  <si>
    <t>732994034890</t>
  </si>
  <si>
    <t>732994034883</t>
  </si>
  <si>
    <t>636189850886</t>
  </si>
  <si>
    <t>732994027168</t>
  </si>
  <si>
    <t>8865650705</t>
  </si>
  <si>
    <t>190797827437</t>
  </si>
  <si>
    <t>190797890684</t>
  </si>
  <si>
    <t>8 S</t>
  </si>
  <si>
    <t>190797890677</t>
  </si>
  <si>
    <t>190797827529</t>
  </si>
  <si>
    <t>191594817683</t>
  </si>
  <si>
    <t>8864334378</t>
  </si>
  <si>
    <t>608381456593</t>
  </si>
  <si>
    <t>732995855784</t>
  </si>
  <si>
    <t>732995855890</t>
  </si>
  <si>
    <t>732996119663</t>
  </si>
  <si>
    <t>100054389MS</t>
  </si>
  <si>
    <t>732996119670</t>
  </si>
  <si>
    <t>732996119656</t>
  </si>
  <si>
    <t>732996078991</t>
  </si>
  <si>
    <t>704975951809</t>
  </si>
  <si>
    <t>LS CREW NK PULLOVER WITH</t>
  </si>
  <si>
    <t>PSVU1506</t>
  </si>
  <si>
    <t>732996265773</t>
  </si>
  <si>
    <t>DR SLVLS PRINTED</t>
  </si>
  <si>
    <t>100058344PT</t>
  </si>
  <si>
    <t>732995860290</t>
  </si>
  <si>
    <t>100054383PT</t>
  </si>
  <si>
    <t>732996302560</t>
  </si>
  <si>
    <t>732996095455</t>
  </si>
  <si>
    <t>732996306698</t>
  </si>
  <si>
    <t>732996557304</t>
  </si>
  <si>
    <t>689439300549</t>
  </si>
  <si>
    <t>689439300525</t>
  </si>
  <si>
    <t>689439300488</t>
  </si>
  <si>
    <t>689439300495</t>
  </si>
  <si>
    <t>689439297078</t>
  </si>
  <si>
    <t>689439297054</t>
  </si>
  <si>
    <t>689439297061</t>
  </si>
  <si>
    <t>689439300518</t>
  </si>
  <si>
    <t>732996320588</t>
  </si>
  <si>
    <t>732995534863</t>
  </si>
  <si>
    <t>PATRIOT GARDEN CARDI</t>
  </si>
  <si>
    <t>100049680PT</t>
  </si>
  <si>
    <t>732994892346</t>
  </si>
  <si>
    <t>732996041704</t>
  </si>
  <si>
    <t>887650555209</t>
  </si>
  <si>
    <t>732995737592</t>
  </si>
  <si>
    <t>100051584MS</t>
  </si>
  <si>
    <t>732995737585</t>
  </si>
  <si>
    <t>732996087887</t>
  </si>
  <si>
    <t>732995737578</t>
  </si>
  <si>
    <t>732996206769</t>
  </si>
  <si>
    <t>732996206578</t>
  </si>
  <si>
    <t>732996206509</t>
  </si>
  <si>
    <t>732996206783</t>
  </si>
  <si>
    <t>732995815047</t>
  </si>
  <si>
    <t>732995815061</t>
  </si>
  <si>
    <t>732995813678</t>
  </si>
  <si>
    <t>732995813685</t>
  </si>
  <si>
    <t>689439508846</t>
  </si>
  <si>
    <t>100041511PT</t>
  </si>
  <si>
    <t>732995813661</t>
  </si>
  <si>
    <t>732995815054</t>
  </si>
  <si>
    <t>732996020129</t>
  </si>
  <si>
    <t>732995052077</t>
  </si>
  <si>
    <t>CK PSNTNK SS PRNT MX</t>
  </si>
  <si>
    <t>100015681PT</t>
  </si>
  <si>
    <t>732995052121</t>
  </si>
  <si>
    <t>732995052138</t>
  </si>
  <si>
    <t>732996503691</t>
  </si>
  <si>
    <t>732995029789</t>
  </si>
  <si>
    <t>732995029802</t>
  </si>
  <si>
    <t>732995029826</t>
  </si>
  <si>
    <t>732995029819</t>
  </si>
  <si>
    <t>885779819752</t>
  </si>
  <si>
    <t>885779819769</t>
  </si>
  <si>
    <t>885779819561</t>
  </si>
  <si>
    <t>732994088688</t>
  </si>
  <si>
    <t>S/S SOLID WOVN DRESS</t>
  </si>
  <si>
    <t>100046843MS</t>
  </si>
  <si>
    <t>689439502332</t>
  </si>
  <si>
    <t>732995813883</t>
  </si>
  <si>
    <t>732994066297</t>
  </si>
  <si>
    <t>732995643572</t>
  </si>
  <si>
    <t>732994917063</t>
  </si>
  <si>
    <t>732994552790</t>
  </si>
  <si>
    <t>732994579834</t>
  </si>
  <si>
    <t>706255405934</t>
  </si>
  <si>
    <t>CRVY SMFRNT PNT LGN</t>
  </si>
  <si>
    <t>732996361062</t>
  </si>
  <si>
    <t>732996365763</t>
  </si>
  <si>
    <t>100060066MS</t>
  </si>
  <si>
    <t>732996360805</t>
  </si>
  <si>
    <t>732996360799</t>
  </si>
  <si>
    <t>732994344500</t>
  </si>
  <si>
    <t>732994344319</t>
  </si>
  <si>
    <t>732995265323</t>
  </si>
  <si>
    <t>BT PD RLS HEM SHORT</t>
  </si>
  <si>
    <t>726895851779</t>
  </si>
  <si>
    <t>732995736878</t>
  </si>
  <si>
    <t>732995727456</t>
  </si>
  <si>
    <t>732995805291</t>
  </si>
  <si>
    <t>706254487351</t>
  </si>
  <si>
    <t>54425IN151</t>
  </si>
  <si>
    <t>732995145663</t>
  </si>
  <si>
    <t>768594212673</t>
  </si>
  <si>
    <t>726895668575</t>
  </si>
  <si>
    <t>21101RA460</t>
  </si>
  <si>
    <t>732996236414</t>
  </si>
  <si>
    <t>706254485746</t>
  </si>
  <si>
    <t>732994810296</t>
  </si>
  <si>
    <t>732994810302</t>
  </si>
  <si>
    <t>732994810364</t>
  </si>
  <si>
    <t>732994810272</t>
  </si>
  <si>
    <t>732994810067</t>
  </si>
  <si>
    <t>706254487108</t>
  </si>
  <si>
    <t>706254487078</t>
  </si>
  <si>
    <t>706254487092</t>
  </si>
  <si>
    <t>706254485845</t>
  </si>
  <si>
    <t>706254485739</t>
  </si>
  <si>
    <t>706254485838</t>
  </si>
  <si>
    <t>732996094144</t>
  </si>
  <si>
    <t>768594042218</t>
  </si>
  <si>
    <t>22722CP805</t>
  </si>
  <si>
    <t>608356679484</t>
  </si>
  <si>
    <t>84987SU472</t>
  </si>
  <si>
    <t>732996298085</t>
  </si>
  <si>
    <t>732996298078</t>
  </si>
  <si>
    <t>732995744408</t>
  </si>
  <si>
    <t>732995718331</t>
  </si>
  <si>
    <t>732995742510</t>
  </si>
  <si>
    <t>732995747898</t>
  </si>
  <si>
    <t>732995580921</t>
  </si>
  <si>
    <t>732996601717</t>
  </si>
  <si>
    <t>732996601373</t>
  </si>
  <si>
    <t>732995795769</t>
  </si>
  <si>
    <t>732995388749</t>
  </si>
  <si>
    <t>732996601656</t>
  </si>
  <si>
    <t>732996602103</t>
  </si>
  <si>
    <t>732995712254</t>
  </si>
  <si>
    <t>732996027432</t>
  </si>
  <si>
    <t>100060004MS</t>
  </si>
  <si>
    <t>732995929584</t>
  </si>
  <si>
    <t>689439504183</t>
  </si>
  <si>
    <t>704976350939</t>
  </si>
  <si>
    <t>3/4 SLV RUCHED SIDE TOP</t>
  </si>
  <si>
    <t>PITU7532</t>
  </si>
  <si>
    <t>732996602752</t>
  </si>
  <si>
    <t>704976222984</t>
  </si>
  <si>
    <t>732995275360</t>
  </si>
  <si>
    <t>88080LE472</t>
  </si>
  <si>
    <t>732996436074</t>
  </si>
  <si>
    <t>732995743531</t>
  </si>
  <si>
    <t>732995743500</t>
  </si>
  <si>
    <t>732995743401</t>
  </si>
  <si>
    <t>706257779705</t>
  </si>
  <si>
    <t>88080WR472</t>
  </si>
  <si>
    <t>732995056143</t>
  </si>
  <si>
    <t>732996391564</t>
  </si>
  <si>
    <t>726895531596</t>
  </si>
  <si>
    <t>3/4 SLV BUTTON FRONT BASIC</t>
  </si>
  <si>
    <t>25360YB805</t>
  </si>
  <si>
    <t>191608369962</t>
  </si>
  <si>
    <t>FLAT FRONT PROPORTIONED</t>
  </si>
  <si>
    <t>57100OB</t>
  </si>
  <si>
    <t>732996300214</t>
  </si>
  <si>
    <t>100060012MS</t>
  </si>
  <si>
    <t>732995389999</t>
  </si>
  <si>
    <t>732995390001</t>
  </si>
  <si>
    <t>732995702859</t>
  </si>
  <si>
    <t>732995744651</t>
  </si>
  <si>
    <t>ANCHOR CAPRI</t>
  </si>
  <si>
    <t>100056085MS</t>
  </si>
  <si>
    <t>732994758833</t>
  </si>
  <si>
    <t>3/4 PTD R/S TOSS LIN</t>
  </si>
  <si>
    <t>100046071MS</t>
  </si>
  <si>
    <t>732995790979</t>
  </si>
  <si>
    <t>732996235455</t>
  </si>
  <si>
    <t>3/4 PTD JQD TIE DYE</t>
  </si>
  <si>
    <t>100055163MS</t>
  </si>
  <si>
    <t>732995532159</t>
  </si>
  <si>
    <t>3/4 PTD JQD LNR LUXE</t>
  </si>
  <si>
    <t>100049023MS</t>
  </si>
  <si>
    <t>732995532142</t>
  </si>
  <si>
    <t>636206339165</t>
  </si>
  <si>
    <t>726895158052</t>
  </si>
  <si>
    <t>726895160512</t>
  </si>
  <si>
    <t>726895158304</t>
  </si>
  <si>
    <t>726895158243</t>
  </si>
  <si>
    <t>726895124958</t>
  </si>
  <si>
    <t>726895124750</t>
  </si>
  <si>
    <t>732995927665</t>
  </si>
  <si>
    <t>732995917345</t>
  </si>
  <si>
    <t>S/S LACE UP SCOOP</t>
  </si>
  <si>
    <t>100049774MS</t>
  </si>
  <si>
    <t>732994318372</t>
  </si>
  <si>
    <t>732994318402</t>
  </si>
  <si>
    <t>732995748925</t>
  </si>
  <si>
    <t>732995748840</t>
  </si>
  <si>
    <t>732995122978</t>
  </si>
  <si>
    <t>SS PTD R/S CRBBN BRZ</t>
  </si>
  <si>
    <t>100054562MS</t>
  </si>
  <si>
    <t>732996728162</t>
  </si>
  <si>
    <t>84987JB472</t>
  </si>
  <si>
    <t>732995447170</t>
  </si>
  <si>
    <t>732996524351</t>
  </si>
  <si>
    <t>732996524337</t>
  </si>
  <si>
    <t>732994937191</t>
  </si>
  <si>
    <t>EDV</t>
  </si>
  <si>
    <t>100047491PT</t>
  </si>
  <si>
    <t>726895960051</t>
  </si>
  <si>
    <t>7197AFU677</t>
  </si>
  <si>
    <t>706258698005</t>
  </si>
  <si>
    <t>636206918353</t>
  </si>
  <si>
    <t>636206918599</t>
  </si>
  <si>
    <t>732994933995</t>
  </si>
  <si>
    <t>689439444731</t>
  </si>
  <si>
    <t>IK SCPNK SL SOL TANK BASIC</t>
  </si>
  <si>
    <t>732996364872</t>
  </si>
  <si>
    <t>732996365527</t>
  </si>
  <si>
    <t>706254802697</t>
  </si>
  <si>
    <t>100049852MS</t>
  </si>
  <si>
    <t>636202069929</t>
  </si>
  <si>
    <t>732994761444</t>
  </si>
  <si>
    <t>732995133035</t>
  </si>
  <si>
    <t>732994814751</t>
  </si>
  <si>
    <t>636206917752</t>
  </si>
  <si>
    <t>732994867955</t>
  </si>
  <si>
    <t>732994867948</t>
  </si>
  <si>
    <t>732994900515</t>
  </si>
  <si>
    <t>732994900331</t>
  </si>
  <si>
    <t>732995784350</t>
  </si>
  <si>
    <t>636202433706</t>
  </si>
  <si>
    <t>706254590082</t>
  </si>
  <si>
    <t>732994731515</t>
  </si>
  <si>
    <t>706257353417</t>
  </si>
  <si>
    <t>VNK SS SOLID TEE BASIC</t>
  </si>
  <si>
    <t>27020CP805</t>
  </si>
  <si>
    <t>732995701685</t>
  </si>
  <si>
    <t>KNIT SHORT</t>
  </si>
  <si>
    <t>636206919251</t>
  </si>
  <si>
    <t>636206919503</t>
  </si>
  <si>
    <t>732996363356</t>
  </si>
  <si>
    <t>706254804950</t>
  </si>
  <si>
    <t>706254805094</t>
  </si>
  <si>
    <t>732995044003</t>
  </si>
  <si>
    <t>732995646580</t>
  </si>
  <si>
    <t>732994769617</t>
  </si>
  <si>
    <t>100046090PT</t>
  </si>
  <si>
    <t>732996383828</t>
  </si>
  <si>
    <t>MOCKNECK TANK</t>
  </si>
  <si>
    <t>100057989MS</t>
  </si>
  <si>
    <t>732995004892</t>
  </si>
  <si>
    <t>KNT SL SOLID BATEAU</t>
  </si>
  <si>
    <t>100024929MS</t>
  </si>
  <si>
    <t>732996508108</t>
  </si>
  <si>
    <t>732996508115</t>
  </si>
  <si>
    <t>732995474886</t>
  </si>
  <si>
    <t>732996508085</t>
  </si>
  <si>
    <t>732994841443</t>
  </si>
  <si>
    <t>732995441178</t>
  </si>
  <si>
    <t>732996194851</t>
  </si>
  <si>
    <t>S/S ANCHOR GEO HEN</t>
  </si>
  <si>
    <t>100045490MS</t>
  </si>
  <si>
    <t>732995197259</t>
  </si>
  <si>
    <t>S/S GLITERY GRDN HEN</t>
  </si>
  <si>
    <t>100036396MS</t>
  </si>
  <si>
    <t>732995848199</t>
  </si>
  <si>
    <t>689439005734</t>
  </si>
  <si>
    <t>732996640129</t>
  </si>
  <si>
    <t>732995194333</t>
  </si>
  <si>
    <t>732995827521</t>
  </si>
  <si>
    <t>100028127PT</t>
  </si>
  <si>
    <t>732994897402</t>
  </si>
  <si>
    <t>732995210071</t>
  </si>
  <si>
    <t>732994897082</t>
  </si>
  <si>
    <t>732994897075</t>
  </si>
  <si>
    <t>732994752923</t>
  </si>
  <si>
    <t>732994754293</t>
  </si>
  <si>
    <t>732996384160</t>
  </si>
  <si>
    <t>100055767MS</t>
  </si>
  <si>
    <t>732994906050</t>
  </si>
  <si>
    <t>732996195193</t>
  </si>
  <si>
    <t>732995197105</t>
  </si>
  <si>
    <t>732994904223</t>
  </si>
  <si>
    <t>732994904216</t>
  </si>
  <si>
    <t>732994904230</t>
  </si>
  <si>
    <t>706254756884</t>
  </si>
  <si>
    <t>706254756877</t>
  </si>
  <si>
    <t>732995809084</t>
  </si>
  <si>
    <t>732994902298</t>
  </si>
  <si>
    <t>732995196429</t>
  </si>
  <si>
    <t>732995196467</t>
  </si>
  <si>
    <t>732995508406</t>
  </si>
  <si>
    <t>100041717PT</t>
  </si>
  <si>
    <t>732994908351</t>
  </si>
  <si>
    <t>732994908368</t>
  </si>
  <si>
    <t>732995288247</t>
  </si>
  <si>
    <t>SS STRP SLUB CRW NCK</t>
  </si>
  <si>
    <t>100054092MS</t>
  </si>
  <si>
    <t>732994908344</t>
  </si>
  <si>
    <t>726895357066</t>
  </si>
  <si>
    <t>SOLID SCOOP TANK</t>
  </si>
  <si>
    <t>732994907545</t>
  </si>
  <si>
    <t>732994907552</t>
  </si>
  <si>
    <t>706257185735</t>
  </si>
  <si>
    <t>732995254372</t>
  </si>
  <si>
    <t>828659130417</t>
  </si>
  <si>
    <t>828659199568</t>
  </si>
  <si>
    <t>828659270403</t>
  </si>
  <si>
    <t>TIER SLV CHIF SHIFT</t>
  </si>
  <si>
    <t>VC9M8715</t>
  </si>
  <si>
    <t>635273561103</t>
  </si>
  <si>
    <t>828659127455</t>
  </si>
  <si>
    <t>93487252529</t>
  </si>
  <si>
    <t>JACKET</t>
  </si>
  <si>
    <t>POLYESTER/VISCOSE/ELASTANE</t>
  </si>
  <si>
    <t>635273558318</t>
  </si>
  <si>
    <t>828659188234</t>
  </si>
  <si>
    <t>828659199735</t>
  </si>
  <si>
    <t>635273567440</t>
  </si>
  <si>
    <t>755179437644</t>
  </si>
  <si>
    <t>SLV BONDED LACE MAX</t>
  </si>
  <si>
    <t>1400M</t>
  </si>
  <si>
    <t>COTTON/POLYESTER; LINING: COTTON</t>
  </si>
  <si>
    <t>190466028820</t>
  </si>
  <si>
    <t>193623841829</t>
  </si>
  <si>
    <t>SOFT CREPE PENCIL SKIRT</t>
  </si>
  <si>
    <t>S95SC140</t>
  </si>
  <si>
    <t>732996062037</t>
  </si>
  <si>
    <t>R EYELET CROP BF</t>
  </si>
  <si>
    <t>636206630668</t>
  </si>
  <si>
    <t>WVN LIN FLR EMB POP</t>
  </si>
  <si>
    <t>100046076MS</t>
  </si>
  <si>
    <t>SHELL: LINEN; TRIM: COTTON</t>
  </si>
  <si>
    <t>732996180731</t>
  </si>
  <si>
    <t>732995056884</t>
  </si>
  <si>
    <t>DNM GRNWCH 4 PKT JKT</t>
  </si>
  <si>
    <t>100049444MS</t>
  </si>
  <si>
    <t>190917254518</t>
  </si>
  <si>
    <t>608381954815</t>
  </si>
  <si>
    <t>LACE INSET CROP BASIC</t>
  </si>
  <si>
    <t>100023404P</t>
  </si>
  <si>
    <t>RAYON/NYLON/SPANDEX; LACE: POLYESTER</t>
  </si>
  <si>
    <t>636206444395</t>
  </si>
  <si>
    <t>732996606569</t>
  </si>
  <si>
    <t>HNKY HEM BORDER DR</t>
  </si>
  <si>
    <t>100072233P</t>
  </si>
  <si>
    <t>190917256833</t>
  </si>
  <si>
    <t>193623667764</t>
  </si>
  <si>
    <t>SS TEXTURED STRIPE TOP</t>
  </si>
  <si>
    <t>S95TS85A</t>
  </si>
  <si>
    <t>190917256475</t>
  </si>
  <si>
    <t>SCUBA RUFFLE FRONT DRESS</t>
  </si>
  <si>
    <t>918-CSD071</t>
  </si>
  <si>
    <t>732995539806</t>
  </si>
  <si>
    <t>KN PRT TIE SURPLICE</t>
  </si>
  <si>
    <t>100048317PT</t>
  </si>
  <si>
    <t>732997700228</t>
  </si>
  <si>
    <t>SW PTRN SQR SLV P/O</t>
  </si>
  <si>
    <t>100066590PT</t>
  </si>
  <si>
    <t>732997700242</t>
  </si>
  <si>
    <t>190917256208</t>
  </si>
  <si>
    <t>732995414028</t>
  </si>
  <si>
    <t>C PEEK-A-BOO LACE BF</t>
  </si>
  <si>
    <t>COTTON/SPANDEX; TRIM: POLYESTER</t>
  </si>
  <si>
    <t>732996149868</t>
  </si>
  <si>
    <t>RNG NCK TUN FLTNG</t>
  </si>
  <si>
    <t>100054877WN</t>
  </si>
  <si>
    <t>732996136837</t>
  </si>
  <si>
    <t>732996464626</t>
  </si>
  <si>
    <t>SW OPEN STITCH KIMON</t>
  </si>
  <si>
    <t>100059130PT</t>
  </si>
  <si>
    <t>LINEN/VISCOSE/COTTON</t>
  </si>
  <si>
    <t>636206614880</t>
  </si>
  <si>
    <t>WVN BELL SLV LIN TOP</t>
  </si>
  <si>
    <t>100041521MS</t>
  </si>
  <si>
    <t>PINKOVERFL</t>
  </si>
  <si>
    <t>190917259797</t>
  </si>
  <si>
    <t>732995889840</t>
  </si>
  <si>
    <t>8864341611</t>
  </si>
  <si>
    <t>S/L FRAYED BF DRESS</t>
  </si>
  <si>
    <t>706258843306</t>
  </si>
  <si>
    <t>PN CW HW SKNY</t>
  </si>
  <si>
    <t>100002734P</t>
  </si>
  <si>
    <t>732996578415</t>
  </si>
  <si>
    <t>SWT OPN MLT STCH COM BASIC</t>
  </si>
  <si>
    <t>100059648MS</t>
  </si>
  <si>
    <t>VISCOSE/ACRYLIC</t>
  </si>
  <si>
    <t>732996578354</t>
  </si>
  <si>
    <t>732995111699</t>
  </si>
  <si>
    <t>ZIP NEW ARRIVAL SK</t>
  </si>
  <si>
    <t>100055274P</t>
  </si>
  <si>
    <t>726895880953</t>
  </si>
  <si>
    <t>732995755930</t>
  </si>
  <si>
    <t>732995873177</t>
  </si>
  <si>
    <t>636206498251</t>
  </si>
  <si>
    <t>732996906072</t>
  </si>
  <si>
    <t>SS BATTENBURG LACE</t>
  </si>
  <si>
    <t>100074857P</t>
  </si>
  <si>
    <t>732996829340</t>
  </si>
  <si>
    <t>FLORAL PT GAUZE SKRT BASIC</t>
  </si>
  <si>
    <t>100059493WN</t>
  </si>
  <si>
    <t>732995550436</t>
  </si>
  <si>
    <t>BL PRT RUF TRIM TOP</t>
  </si>
  <si>
    <t>100047901PT</t>
  </si>
  <si>
    <t>732996256894</t>
  </si>
  <si>
    <t>100054918WN</t>
  </si>
  <si>
    <t>732995749304</t>
  </si>
  <si>
    <t>732995749298</t>
  </si>
  <si>
    <t>732995066166</t>
  </si>
  <si>
    <t>FW RUFFLE NECK TOP</t>
  </si>
  <si>
    <t>100047458PT</t>
  </si>
  <si>
    <t>RAYON; TRIM: COTTON</t>
  </si>
  <si>
    <t>706256684789</t>
  </si>
  <si>
    <t>732995873054</t>
  </si>
  <si>
    <t>100054945WN</t>
  </si>
  <si>
    <t>732995083873</t>
  </si>
  <si>
    <t>190917257922</t>
  </si>
  <si>
    <t>732995834406</t>
  </si>
  <si>
    <t>732995066180</t>
  </si>
  <si>
    <t>8865926626</t>
  </si>
  <si>
    <t>732996556345</t>
  </si>
  <si>
    <t>732996507835</t>
  </si>
  <si>
    <t>732995061635</t>
  </si>
  <si>
    <t>732994802321</t>
  </si>
  <si>
    <t>KNT 3/4 FLRL BTEAU</t>
  </si>
  <si>
    <t>100040220PT</t>
  </si>
  <si>
    <t>732995993738</t>
  </si>
  <si>
    <t>732996693514</t>
  </si>
  <si>
    <t>KN PRT WVN HEM TANK</t>
  </si>
  <si>
    <t>100059211PT</t>
  </si>
  <si>
    <t>732995719840</t>
  </si>
  <si>
    <t>732997203682</t>
  </si>
  <si>
    <t>SWT DIAMOND PNTL CMP</t>
  </si>
  <si>
    <t>100059645MS</t>
  </si>
  <si>
    <t>732996587196</t>
  </si>
  <si>
    <t>GROMMET SIDE DRESS</t>
  </si>
  <si>
    <t>100059556WN</t>
  </si>
  <si>
    <t>732994766609</t>
  </si>
  <si>
    <t>CALALILY CVY SKNY</t>
  </si>
  <si>
    <t>732994766593</t>
  </si>
  <si>
    <t>732996363585</t>
  </si>
  <si>
    <t>STRIPED CRY SKNY</t>
  </si>
  <si>
    <t>732996363554</t>
  </si>
  <si>
    <t>755179435633</t>
  </si>
  <si>
    <t>726895892888</t>
  </si>
  <si>
    <t>726895892895</t>
  </si>
  <si>
    <t>732996140469</t>
  </si>
  <si>
    <t>BANDANA CURVY BF</t>
  </si>
  <si>
    <t>732995225693</t>
  </si>
  <si>
    <t>732996328003</t>
  </si>
  <si>
    <t>FW ELECTRIC GARD TOP</t>
  </si>
  <si>
    <t>100058929PT</t>
  </si>
  <si>
    <t>COTTON/LYOCELL</t>
  </si>
  <si>
    <t>732996328010</t>
  </si>
  <si>
    <t>732995719451</t>
  </si>
  <si>
    <t>732996803210</t>
  </si>
  <si>
    <t>732995886498</t>
  </si>
  <si>
    <t>732996078410</t>
  </si>
  <si>
    <t>732995886559</t>
  </si>
  <si>
    <t>190917255355</t>
  </si>
  <si>
    <t>TIE FRONT DEEP V HALTER</t>
  </si>
  <si>
    <t>818-B434</t>
  </si>
  <si>
    <t>732995276022</t>
  </si>
  <si>
    <t>TOGGLE TUNIC BORACAY</t>
  </si>
  <si>
    <t>100049263WN</t>
  </si>
  <si>
    <t>732996079738</t>
  </si>
  <si>
    <t>732996237169</t>
  </si>
  <si>
    <t>732996313399</t>
  </si>
  <si>
    <t>PRINTED CROP WIDELEG</t>
  </si>
  <si>
    <t>100062170P</t>
  </si>
  <si>
    <t>POLYESTER/SPADEX</t>
  </si>
  <si>
    <t>732996082028</t>
  </si>
  <si>
    <t>732996082011</t>
  </si>
  <si>
    <t>732995420067</t>
  </si>
  <si>
    <t>DOUBLE RUFF HEM ANKL</t>
  </si>
  <si>
    <t>100057469P</t>
  </si>
  <si>
    <t>732995207996</t>
  </si>
  <si>
    <t>DNM SOLID WSH ANK</t>
  </si>
  <si>
    <t>100041377MS</t>
  </si>
  <si>
    <t>732995819991</t>
  </si>
  <si>
    <t>732995720129</t>
  </si>
  <si>
    <t>29408642889</t>
  </si>
  <si>
    <t>EDV BROWN POLY PO AVE PA</t>
  </si>
  <si>
    <t>706255187434</t>
  </si>
  <si>
    <t>887650387060</t>
  </si>
  <si>
    <t>732995720051</t>
  </si>
  <si>
    <t>887650912729</t>
  </si>
  <si>
    <t>52123FA460</t>
  </si>
  <si>
    <t>726895352238</t>
  </si>
  <si>
    <t>C ASYM FRINGE CROP</t>
  </si>
  <si>
    <t>100019159M</t>
  </si>
  <si>
    <t>887650912309</t>
  </si>
  <si>
    <t>52126FA477</t>
  </si>
  <si>
    <t>732995094664</t>
  </si>
  <si>
    <t>732995749960</t>
  </si>
  <si>
    <t>732997080047</t>
  </si>
  <si>
    <t>KNT 3/4 SLV ICNC TNC</t>
  </si>
  <si>
    <t>100066435MS</t>
  </si>
  <si>
    <t>732996500409</t>
  </si>
  <si>
    <t>100059335PT</t>
  </si>
  <si>
    <t>732996500416</t>
  </si>
  <si>
    <t>732996638973</t>
  </si>
  <si>
    <t>726895918403</t>
  </si>
  <si>
    <t>100018391PT</t>
  </si>
  <si>
    <t>636206854712</t>
  </si>
  <si>
    <t>CHORUS CURVY SKINNY</t>
  </si>
  <si>
    <t>5F714CH142</t>
  </si>
  <si>
    <t>732996158617</t>
  </si>
  <si>
    <t>887650925767</t>
  </si>
  <si>
    <t>726895878936</t>
  </si>
  <si>
    <t>726895802016</t>
  </si>
  <si>
    <t>732995758375</t>
  </si>
  <si>
    <t>100015471P</t>
  </si>
  <si>
    <t>732994995801</t>
  </si>
  <si>
    <t>R ANGLED MOP HEM BASIC</t>
  </si>
  <si>
    <t>732994995795</t>
  </si>
  <si>
    <t>704971628910</t>
  </si>
  <si>
    <t>SLD SLVLSS JUMPSUIT BASIC</t>
  </si>
  <si>
    <t>YQIU0004</t>
  </si>
  <si>
    <t>704971628903</t>
  </si>
  <si>
    <t>732996137322</t>
  </si>
  <si>
    <t>732996137223</t>
  </si>
  <si>
    <t>732996137247</t>
  </si>
  <si>
    <t>732995457032</t>
  </si>
  <si>
    <t>732995457087</t>
  </si>
  <si>
    <t>732995457049</t>
  </si>
  <si>
    <t>805004105825</t>
  </si>
  <si>
    <t>732995014785</t>
  </si>
  <si>
    <t>FK SCP LS SMOCK HEM</t>
  </si>
  <si>
    <t>100047526MS</t>
  </si>
  <si>
    <t>732995821833</t>
  </si>
  <si>
    <t>SW BLOOMS JACQ TANK</t>
  </si>
  <si>
    <t>100054085MS</t>
  </si>
  <si>
    <t>732995821857</t>
  </si>
  <si>
    <t>732995709636</t>
  </si>
  <si>
    <t>CRISS CROSS NECK TOP BASIC</t>
  </si>
  <si>
    <t>100051378MS</t>
  </si>
  <si>
    <t>SHELL: RAYON/POLYESTER; CONTRAST: RAYON/SPANDEX</t>
  </si>
  <si>
    <t>732995457254</t>
  </si>
  <si>
    <t>806864679181</t>
  </si>
  <si>
    <t>732995043556</t>
  </si>
  <si>
    <t>806864669403</t>
  </si>
  <si>
    <t>806864669250</t>
  </si>
  <si>
    <t>806864669243</t>
  </si>
  <si>
    <t>704625334518</t>
  </si>
  <si>
    <t>53566TO819</t>
  </si>
  <si>
    <t>704625334501</t>
  </si>
  <si>
    <t>732996178752</t>
  </si>
  <si>
    <t>806864670102</t>
  </si>
  <si>
    <t>732996091624</t>
  </si>
  <si>
    <t>732995714739</t>
  </si>
  <si>
    <t>FK PEASANT EMB TOP</t>
  </si>
  <si>
    <t>100054216MS</t>
  </si>
  <si>
    <t>193623665487</t>
  </si>
  <si>
    <t>VNECK TRIBAL PRINT</t>
  </si>
  <si>
    <t>S95TM31H</t>
  </si>
  <si>
    <t>706254458825</t>
  </si>
  <si>
    <t>732995750058</t>
  </si>
  <si>
    <t>887650807254</t>
  </si>
  <si>
    <t>822982521232</t>
  </si>
  <si>
    <t>732995400762</t>
  </si>
  <si>
    <t>100047229MS</t>
  </si>
  <si>
    <t>732995957624</t>
  </si>
  <si>
    <t>706254454247</t>
  </si>
  <si>
    <t>706254454254</t>
  </si>
  <si>
    <t>732995457360</t>
  </si>
  <si>
    <t>732996454610</t>
  </si>
  <si>
    <t>765215666440</t>
  </si>
  <si>
    <t>732996027197</t>
  </si>
  <si>
    <t>887650714934</t>
  </si>
  <si>
    <t>887650714958</t>
  </si>
  <si>
    <t>887650751762</t>
  </si>
  <si>
    <t>P2943SE677</t>
  </si>
  <si>
    <t>887650751809</t>
  </si>
  <si>
    <t>887650751779</t>
  </si>
  <si>
    <t>887650751748</t>
  </si>
  <si>
    <t>887650714910</t>
  </si>
  <si>
    <t>887650751786</t>
  </si>
  <si>
    <t>887650714941</t>
  </si>
  <si>
    <t>732996525136</t>
  </si>
  <si>
    <t>CRISS CROSS HALTER</t>
  </si>
  <si>
    <t>100067250P</t>
  </si>
  <si>
    <t>887650714972</t>
  </si>
  <si>
    <t>887650751755</t>
  </si>
  <si>
    <t>887650751793</t>
  </si>
  <si>
    <t>887650714927</t>
  </si>
  <si>
    <t>732995839654</t>
  </si>
  <si>
    <t>732995839722</t>
  </si>
  <si>
    <t>732995839951</t>
  </si>
  <si>
    <t>732995839999</t>
  </si>
  <si>
    <t>732995839760</t>
  </si>
  <si>
    <t>732995400939</t>
  </si>
  <si>
    <t>726895772654</t>
  </si>
  <si>
    <t>765215970950</t>
  </si>
  <si>
    <t>732995480900</t>
  </si>
  <si>
    <t>SECOND SKIN SKINNY</t>
  </si>
  <si>
    <t>608381474832</t>
  </si>
  <si>
    <t>732996110035</t>
  </si>
  <si>
    <t>100054639MS</t>
  </si>
  <si>
    <t>732995729177</t>
  </si>
  <si>
    <t>100055912PT</t>
  </si>
  <si>
    <t>NYLON; TRIM: ENGRAVED METAL BEADS</t>
  </si>
  <si>
    <t>732995208665</t>
  </si>
  <si>
    <t>732995426182</t>
  </si>
  <si>
    <t>DR LACE UP SRT SLV S</t>
  </si>
  <si>
    <t>100048490MS</t>
  </si>
  <si>
    <t>732995426175</t>
  </si>
  <si>
    <t>732995426205</t>
  </si>
  <si>
    <t>732994156127</t>
  </si>
  <si>
    <t>704976400399</t>
  </si>
  <si>
    <t>732996142104</t>
  </si>
  <si>
    <t>732996142111</t>
  </si>
  <si>
    <t>732996141954</t>
  </si>
  <si>
    <t>732995454376</t>
  </si>
  <si>
    <t>100047285MS</t>
  </si>
  <si>
    <t>190917255430</t>
  </si>
  <si>
    <t>732995978414</t>
  </si>
  <si>
    <t>SWT PONCHO</t>
  </si>
  <si>
    <t>100053900MS</t>
  </si>
  <si>
    <t>OSFA</t>
  </si>
  <si>
    <t>706254449328</t>
  </si>
  <si>
    <t>706254449373</t>
  </si>
  <si>
    <t>765215693644</t>
  </si>
  <si>
    <t>732995361322</t>
  </si>
  <si>
    <t>726895884029</t>
  </si>
  <si>
    <t>190917259247</t>
  </si>
  <si>
    <t>COWL NECK TANK</t>
  </si>
  <si>
    <t>818-B421</t>
  </si>
  <si>
    <t>732996192406</t>
  </si>
  <si>
    <t>DNM WHT 5PK CUF SHRT</t>
  </si>
  <si>
    <t>100059898MS</t>
  </si>
  <si>
    <t>636193195546</t>
  </si>
  <si>
    <t>190917255065</t>
  </si>
  <si>
    <t>SLVLESS BAR CHAIN TRIM T</t>
  </si>
  <si>
    <t>818-B232</t>
  </si>
  <si>
    <t>SHELL: POLYESTER, LINING: POLYESTER</t>
  </si>
  <si>
    <t>190917254983</t>
  </si>
  <si>
    <t>732996039916</t>
  </si>
  <si>
    <t>732996416502</t>
  </si>
  <si>
    <t>732996151236</t>
  </si>
  <si>
    <t>732995097429</t>
  </si>
  <si>
    <t>732996556222</t>
  </si>
  <si>
    <t>190917258462</t>
  </si>
  <si>
    <t>TRIPLE THREAT C/S UPDATE</t>
  </si>
  <si>
    <t>818-B102</t>
  </si>
  <si>
    <t>732996079622</t>
  </si>
  <si>
    <t>732996079059</t>
  </si>
  <si>
    <t>887650888635</t>
  </si>
  <si>
    <t>706254221467</t>
  </si>
  <si>
    <t>706254221450</t>
  </si>
  <si>
    <t>732995957464</t>
  </si>
  <si>
    <t>732995758986</t>
  </si>
  <si>
    <t>190917245127</t>
  </si>
  <si>
    <t>CS KNIT TOP</t>
  </si>
  <si>
    <t>718-CSB002</t>
  </si>
  <si>
    <t>8865650552</t>
  </si>
  <si>
    <t>732996071848</t>
  </si>
  <si>
    <t>732995045307</t>
  </si>
  <si>
    <t>191594811292</t>
  </si>
  <si>
    <t>190797087947</t>
  </si>
  <si>
    <t>887650750444</t>
  </si>
  <si>
    <t>16X4.5</t>
  </si>
  <si>
    <t>190797085073</t>
  </si>
  <si>
    <t>726895584950</t>
  </si>
  <si>
    <t>732996135441</t>
  </si>
  <si>
    <t>100055087WN</t>
  </si>
  <si>
    <t>190917238167</t>
  </si>
  <si>
    <t>ELBOW SV BAR TOP</t>
  </si>
  <si>
    <t>818-CSB412</t>
  </si>
  <si>
    <t>706257754146</t>
  </si>
  <si>
    <t>636206172885</t>
  </si>
  <si>
    <t>732995014303</t>
  </si>
  <si>
    <t>FK SPLT NK SS</t>
  </si>
  <si>
    <t>100047898MS</t>
  </si>
  <si>
    <t>732996297187</t>
  </si>
  <si>
    <t>732996301044</t>
  </si>
  <si>
    <t>732996301006</t>
  </si>
  <si>
    <t>732996255156</t>
  </si>
  <si>
    <t>ZIG ZAG SHORT CURVY</t>
  </si>
  <si>
    <t>SHELL: COTTON/SPANDEX</t>
  </si>
  <si>
    <t>732996076010</t>
  </si>
  <si>
    <t>706257549520</t>
  </si>
  <si>
    <t>706257549537</t>
  </si>
  <si>
    <t>732995653502</t>
  </si>
  <si>
    <t>608356824563</t>
  </si>
  <si>
    <t>DR SLVLS MAXI</t>
  </si>
  <si>
    <t>100037951PT</t>
  </si>
  <si>
    <t>732995822090</t>
  </si>
  <si>
    <t>732995822113</t>
  </si>
  <si>
    <t>732995744682</t>
  </si>
  <si>
    <t>SIDE TAPE SHORT</t>
  </si>
  <si>
    <t>706256881683</t>
  </si>
  <si>
    <t>3/4 SLV SWING DRESS</t>
  </si>
  <si>
    <t>72042IK151</t>
  </si>
  <si>
    <t>732995721270</t>
  </si>
  <si>
    <t>732996078731</t>
  </si>
  <si>
    <t>191594810981</t>
  </si>
  <si>
    <t>732995716856</t>
  </si>
  <si>
    <t>8865650736</t>
  </si>
  <si>
    <t>190797890578</t>
  </si>
  <si>
    <t>8865650743</t>
  </si>
  <si>
    <t>190797890592</t>
  </si>
  <si>
    <t>190797890547</t>
  </si>
  <si>
    <t>190797827567</t>
  </si>
  <si>
    <t>887650920601</t>
  </si>
  <si>
    <t>732996080031</t>
  </si>
  <si>
    <t>732996430058</t>
  </si>
  <si>
    <t>100059346MS</t>
  </si>
  <si>
    <t>8864334316</t>
  </si>
  <si>
    <t>191594817720</t>
  </si>
  <si>
    <t>706254397322</t>
  </si>
  <si>
    <t>8865749478</t>
  </si>
  <si>
    <t>732995855876</t>
  </si>
  <si>
    <t>732996264691</t>
  </si>
  <si>
    <t>732996119823</t>
  </si>
  <si>
    <t>732996265278</t>
  </si>
  <si>
    <t>SLVLS SLD SWNG DRS</t>
  </si>
  <si>
    <t>732995938548</t>
  </si>
  <si>
    <t>L/S OPEN FRT HOODY</t>
  </si>
  <si>
    <t>100049962MS</t>
  </si>
  <si>
    <t>732995957525</t>
  </si>
  <si>
    <t>732995321180</t>
  </si>
  <si>
    <t>BTM SLD RNS SKORT</t>
  </si>
  <si>
    <t>100053471MS</t>
  </si>
  <si>
    <t>RAYON/NYLON/SPANDEX; LINING: POLYESTER</t>
  </si>
  <si>
    <t>732996028972</t>
  </si>
  <si>
    <t>732996265803</t>
  </si>
  <si>
    <t>732995033892</t>
  </si>
  <si>
    <t>DR SL KNOT SHORT FF</t>
  </si>
  <si>
    <t>100050521PT</t>
  </si>
  <si>
    <t>732995860344</t>
  </si>
  <si>
    <t>732996683065</t>
  </si>
  <si>
    <t>DR CROSS BACK PRINT</t>
  </si>
  <si>
    <t>100058354PT</t>
  </si>
  <si>
    <t>732996141145</t>
  </si>
  <si>
    <t>706255136982</t>
  </si>
  <si>
    <t>732995010961</t>
  </si>
  <si>
    <t>732996306629</t>
  </si>
  <si>
    <t>726895775853</t>
  </si>
  <si>
    <t>54665RY805</t>
  </si>
  <si>
    <t>689439300556</t>
  </si>
  <si>
    <t>732996097688</t>
  </si>
  <si>
    <t>732994930628</t>
  </si>
  <si>
    <t>3/4 TWRL PTL SWTSHRT</t>
  </si>
  <si>
    <t>100039180MS</t>
  </si>
  <si>
    <t>732994089982</t>
  </si>
  <si>
    <t>732995065589</t>
  </si>
  <si>
    <t>732994892612</t>
  </si>
  <si>
    <t>732995065558</t>
  </si>
  <si>
    <t>706257302835</t>
  </si>
  <si>
    <t>732995777499</t>
  </si>
  <si>
    <t>S/S LACE UP DRESS</t>
  </si>
  <si>
    <t>100057308MS</t>
  </si>
  <si>
    <t>732995777697</t>
  </si>
  <si>
    <t>732995416732</t>
  </si>
  <si>
    <t>100049024MS</t>
  </si>
  <si>
    <t>732995409048</t>
  </si>
  <si>
    <t>CK PRNTED LS KNOT TE</t>
  </si>
  <si>
    <t>100047112PT</t>
  </si>
  <si>
    <t>732996206523</t>
  </si>
  <si>
    <t>732996206844</t>
  </si>
  <si>
    <t>732996206486</t>
  </si>
  <si>
    <t>732996206493</t>
  </si>
  <si>
    <t>689439398782</t>
  </si>
  <si>
    <t>732995738032</t>
  </si>
  <si>
    <t>732996108926</t>
  </si>
  <si>
    <t>732996136424</t>
  </si>
  <si>
    <t>732995408317</t>
  </si>
  <si>
    <t>CK PRNTED SS KNOT TE</t>
  </si>
  <si>
    <t>100047175MS</t>
  </si>
  <si>
    <t>732995553437</t>
  </si>
  <si>
    <t>885779819585</t>
  </si>
  <si>
    <t>885779819554</t>
  </si>
  <si>
    <t>732995717037</t>
  </si>
  <si>
    <t>FK SHORT COMPLETER</t>
  </si>
  <si>
    <t>100054227MS</t>
  </si>
  <si>
    <t>732995717044</t>
  </si>
  <si>
    <t>732995717013</t>
  </si>
  <si>
    <t>732995717051</t>
  </si>
  <si>
    <t>706256064512</t>
  </si>
  <si>
    <t>100042667MS</t>
  </si>
  <si>
    <t>732994551939</t>
  </si>
  <si>
    <t>732995744095</t>
  </si>
  <si>
    <t>732996198491</t>
  </si>
  <si>
    <t>100050977MS</t>
  </si>
  <si>
    <t>706257521816</t>
  </si>
  <si>
    <t>732996096179</t>
  </si>
  <si>
    <t>732994552745</t>
  </si>
  <si>
    <t>689439400607</t>
  </si>
  <si>
    <t>732994819664</t>
  </si>
  <si>
    <t>732996360980</t>
  </si>
  <si>
    <t>732995805376</t>
  </si>
  <si>
    <t>100053293MS</t>
  </si>
  <si>
    <t>732995805390</t>
  </si>
  <si>
    <t>726895588873</t>
  </si>
  <si>
    <t>732995524758</t>
  </si>
  <si>
    <t>S/S EYELET SHIRT</t>
  </si>
  <si>
    <t>100047724MS</t>
  </si>
  <si>
    <t>732995011180</t>
  </si>
  <si>
    <t>732995736861</t>
  </si>
  <si>
    <t>732994810524</t>
  </si>
  <si>
    <t>732996363264</t>
  </si>
  <si>
    <t>100056027PT</t>
  </si>
  <si>
    <t>POLYESTER/RAYON; BUTTONS AND TASSEL: POLYESTER; CROCHET: COTTON</t>
  </si>
  <si>
    <t>190917251296</t>
  </si>
  <si>
    <t>732995955132</t>
  </si>
  <si>
    <t>PMA 3/4 SL GR STR BT</t>
  </si>
  <si>
    <t>100056403PT</t>
  </si>
  <si>
    <t>732995955088</t>
  </si>
  <si>
    <t>732995048858</t>
  </si>
  <si>
    <t>190917251418</t>
  </si>
  <si>
    <t>RUCHED FRONT TEE</t>
  </si>
  <si>
    <t>818-CSB310</t>
  </si>
  <si>
    <t>732995476132</t>
  </si>
  <si>
    <t>732995503067</t>
  </si>
  <si>
    <t>S/S PAIS STRPE SPT</t>
  </si>
  <si>
    <t>100039088MS</t>
  </si>
  <si>
    <t>726895668568</t>
  </si>
  <si>
    <t>732996256764</t>
  </si>
  <si>
    <t>726895791280</t>
  </si>
  <si>
    <t>732996236513</t>
  </si>
  <si>
    <t>732994810258</t>
  </si>
  <si>
    <t>732994813310</t>
  </si>
  <si>
    <t>100040634MS</t>
  </si>
  <si>
    <t>732996342856</t>
  </si>
  <si>
    <t>732996094212</t>
  </si>
  <si>
    <t>732995443585</t>
  </si>
  <si>
    <t>100055742MS</t>
  </si>
  <si>
    <t>732995443561</t>
  </si>
  <si>
    <t>732995443554</t>
  </si>
  <si>
    <t>732995443547</t>
  </si>
  <si>
    <t>706258975014</t>
  </si>
  <si>
    <t>88144NR472</t>
  </si>
  <si>
    <t>732996204789</t>
  </si>
  <si>
    <t>732996135137</t>
  </si>
  <si>
    <t>732996385730</t>
  </si>
  <si>
    <t>732995744347</t>
  </si>
  <si>
    <t>732995747638</t>
  </si>
  <si>
    <t>732995747805</t>
  </si>
  <si>
    <t>732996027586</t>
  </si>
  <si>
    <t>726895972795</t>
  </si>
  <si>
    <t>726895972917</t>
  </si>
  <si>
    <t>726895972788</t>
  </si>
  <si>
    <t>704976222908</t>
  </si>
  <si>
    <t>704976223608</t>
  </si>
  <si>
    <t>RUFFLE HEM TIE FRONT SKI</t>
  </si>
  <si>
    <t>PRJK0164</t>
  </si>
  <si>
    <t>704976178892</t>
  </si>
  <si>
    <t>732996134871</t>
  </si>
  <si>
    <t>S/S VNCK HMMRHD R/S</t>
  </si>
  <si>
    <t>100055088WN</t>
  </si>
  <si>
    <t>732996134888</t>
  </si>
  <si>
    <t>732996235264</t>
  </si>
  <si>
    <t>732996235233</t>
  </si>
  <si>
    <t>706255362145</t>
  </si>
  <si>
    <t>CK SS SUB</t>
  </si>
  <si>
    <t>100049412MS</t>
  </si>
  <si>
    <t>732995847017</t>
  </si>
  <si>
    <t>732996072104</t>
  </si>
  <si>
    <t>PMA 3/4SL PGE PLD BT</t>
  </si>
  <si>
    <t>100054656MS</t>
  </si>
  <si>
    <t>100% PIMA COTTON</t>
  </si>
  <si>
    <t>732995921946</t>
  </si>
  <si>
    <t>706257580745</t>
  </si>
  <si>
    <t>84987UL460</t>
  </si>
  <si>
    <t>706257581001</t>
  </si>
  <si>
    <t>CR SS RYNSPN SCOOP</t>
  </si>
  <si>
    <t>88144DP460</t>
  </si>
  <si>
    <t>732996592473</t>
  </si>
  <si>
    <t>732996300207</t>
  </si>
  <si>
    <t>732995389883</t>
  </si>
  <si>
    <t>100056260MS</t>
  </si>
  <si>
    <t>732995389814</t>
  </si>
  <si>
    <t>100049411MS</t>
  </si>
  <si>
    <t>732996005799</t>
  </si>
  <si>
    <t>732995918694</t>
  </si>
  <si>
    <t>636206339967</t>
  </si>
  <si>
    <t>726895124965</t>
  </si>
  <si>
    <t>732995809558</t>
  </si>
  <si>
    <t>732996250366</t>
  </si>
  <si>
    <t>732995930078</t>
  </si>
  <si>
    <t>732995196085</t>
  </si>
  <si>
    <t>732996250311</t>
  </si>
  <si>
    <t>732995921892</t>
  </si>
  <si>
    <t>732995512090</t>
  </si>
  <si>
    <t>SS PTD R/S MODA ANIM</t>
  </si>
  <si>
    <t>100054486MS</t>
  </si>
  <si>
    <t>636206918643</t>
  </si>
  <si>
    <t>706255445572</t>
  </si>
  <si>
    <t>732996426037</t>
  </si>
  <si>
    <t>732996218182</t>
  </si>
  <si>
    <t>732995802535</t>
  </si>
  <si>
    <t>ELB PATCHWK TER BOAT</t>
  </si>
  <si>
    <t>100049899MS</t>
  </si>
  <si>
    <t>732996365718</t>
  </si>
  <si>
    <t>100064578MS</t>
  </si>
  <si>
    <t>726895473674</t>
  </si>
  <si>
    <t>732995133127</t>
  </si>
  <si>
    <t>732995133059</t>
  </si>
  <si>
    <t>636206917776</t>
  </si>
  <si>
    <t>732994867801</t>
  </si>
  <si>
    <t>732994867788</t>
  </si>
  <si>
    <t>636202434604</t>
  </si>
  <si>
    <t>689439043446</t>
  </si>
  <si>
    <t>732995784411</t>
  </si>
  <si>
    <t>732995784329</t>
  </si>
  <si>
    <t>732995709216</t>
  </si>
  <si>
    <t>27020DE805</t>
  </si>
  <si>
    <t>732995133943</t>
  </si>
  <si>
    <t>88144FA460</t>
  </si>
  <si>
    <t>636206919404</t>
  </si>
  <si>
    <t>706254805162</t>
  </si>
  <si>
    <t>732996307039</t>
  </si>
  <si>
    <t>732996381121</t>
  </si>
  <si>
    <t>706254727389</t>
  </si>
  <si>
    <t>732994244480</t>
  </si>
  <si>
    <t>706254727846</t>
  </si>
  <si>
    <t>732994754514</t>
  </si>
  <si>
    <t>732995474961</t>
  </si>
  <si>
    <t>732995197358</t>
  </si>
  <si>
    <t>732996011738</t>
  </si>
  <si>
    <t>732996194837</t>
  </si>
  <si>
    <t>732994768191</t>
  </si>
  <si>
    <t>732994461788</t>
  </si>
  <si>
    <t>27028P</t>
  </si>
  <si>
    <t>689439005710</t>
  </si>
  <si>
    <t>732995783971</t>
  </si>
  <si>
    <t>732994897396</t>
  </si>
  <si>
    <t>732994897914</t>
  </si>
  <si>
    <t>732994897099</t>
  </si>
  <si>
    <t>732995783940</t>
  </si>
  <si>
    <t>732994897662</t>
  </si>
  <si>
    <t>732994904520</t>
  </si>
  <si>
    <t>706254743587</t>
  </si>
  <si>
    <t>636202395707</t>
  </si>
  <si>
    <t>732995810080</t>
  </si>
  <si>
    <t>ELB BUTTER FIELD VNK</t>
  </si>
  <si>
    <t>100045476MS</t>
  </si>
  <si>
    <t>732995810684</t>
  </si>
  <si>
    <t>732995810110</t>
  </si>
  <si>
    <t>732996195407</t>
  </si>
  <si>
    <t>732995810677</t>
  </si>
  <si>
    <t>732995810646</t>
  </si>
  <si>
    <t>732995810660</t>
  </si>
  <si>
    <t>732995196573</t>
  </si>
  <si>
    <t>732995196559</t>
  </si>
  <si>
    <t>732995196542</t>
  </si>
  <si>
    <t>689439022144</t>
  </si>
  <si>
    <t>732995196580</t>
  </si>
  <si>
    <t>732994902212</t>
  </si>
  <si>
    <t>732996223797</t>
  </si>
  <si>
    <t>732994902090</t>
  </si>
  <si>
    <t>S/S LOVE WASH SCOOP</t>
  </si>
  <si>
    <t>100036356MS</t>
  </si>
  <si>
    <t>689439077588</t>
  </si>
  <si>
    <t>732994907194</t>
  </si>
  <si>
    <t>706254715652</t>
  </si>
  <si>
    <t>706254726238</t>
  </si>
  <si>
    <t>732996259901</t>
  </si>
  <si>
    <t>732996142142</t>
  </si>
  <si>
    <t>732996142159</t>
  </si>
  <si>
    <t>706257185766</t>
  </si>
  <si>
    <t>828659131292</t>
  </si>
  <si>
    <t>DOT MAXI W SHARK HEM</t>
  </si>
  <si>
    <t>VC9M9539</t>
  </si>
  <si>
    <t>93487253434</t>
  </si>
  <si>
    <t>3/4 SLEEVE SOFT CREPE TO</t>
  </si>
  <si>
    <t>193623804527</t>
  </si>
  <si>
    <t>635273523071</t>
  </si>
  <si>
    <t>889648425525</t>
  </si>
  <si>
    <t>193623663629</t>
  </si>
  <si>
    <t>PULL ON SKINNY PANT</t>
  </si>
  <si>
    <t>S95P7839</t>
  </si>
  <si>
    <t>RAYON/POLYESTER/NYLON/SPANDEX</t>
  </si>
  <si>
    <t>887345123683</t>
  </si>
  <si>
    <t>93487385890</t>
  </si>
  <si>
    <t>93487534618</t>
  </si>
  <si>
    <t>732995418279</t>
  </si>
  <si>
    <t>EMBROIDERED BOOT</t>
  </si>
  <si>
    <t>93487365571</t>
  </si>
  <si>
    <t>732996062099</t>
  </si>
  <si>
    <t>732997039700</t>
  </si>
  <si>
    <t>732996292106</t>
  </si>
  <si>
    <t>732996071503</t>
  </si>
  <si>
    <t>RAINBOW RAW ED SHORT</t>
  </si>
  <si>
    <t>636206560712</t>
  </si>
  <si>
    <t>706257511787</t>
  </si>
  <si>
    <t>SWT RIBBD NCK CMPLTR</t>
  </si>
  <si>
    <t>100046621MS</t>
  </si>
  <si>
    <t>RAYON/ACRYLIC/NYLON</t>
  </si>
  <si>
    <t>706257511862</t>
  </si>
  <si>
    <t>732996404523</t>
  </si>
  <si>
    <t>WRAP DRESS W STUDS</t>
  </si>
  <si>
    <t>100059534MS</t>
  </si>
  <si>
    <t>732996292649</t>
  </si>
  <si>
    <t>732996127613</t>
  </si>
  <si>
    <t>732996354408</t>
  </si>
  <si>
    <t>KNT LS WTRCLR HOODIE</t>
  </si>
  <si>
    <t>100059672MS</t>
  </si>
  <si>
    <t>732996339726</t>
  </si>
  <si>
    <t>732996824789</t>
  </si>
  <si>
    <t>732996506807</t>
  </si>
  <si>
    <t>SLD CULOTTE JUMPSUIT</t>
  </si>
  <si>
    <t>100067040P</t>
  </si>
  <si>
    <t>636206621925</t>
  </si>
  <si>
    <t>WVN SHORT LIN PANT</t>
  </si>
  <si>
    <t>100042022MS</t>
  </si>
  <si>
    <t>732996491325</t>
  </si>
  <si>
    <t>732996339924</t>
  </si>
  <si>
    <t>732996059709</t>
  </si>
  <si>
    <t>190917234565</t>
  </si>
  <si>
    <t>SOFT WL RFFL PANT</t>
  </si>
  <si>
    <t>818-P308</t>
  </si>
  <si>
    <t>732996396866</t>
  </si>
  <si>
    <t>732995921014</t>
  </si>
  <si>
    <t>887650842385</t>
  </si>
  <si>
    <t>22W PETITE</t>
  </si>
  <si>
    <t>732995066142</t>
  </si>
  <si>
    <t>732995061857</t>
  </si>
  <si>
    <t>732995061871</t>
  </si>
  <si>
    <t>732995717778</t>
  </si>
  <si>
    <t>FW MIRROR EMB TOP</t>
  </si>
  <si>
    <t>100053995MS</t>
  </si>
  <si>
    <t>732996290843</t>
  </si>
  <si>
    <t>732995847826</t>
  </si>
  <si>
    <t>636193899796</t>
  </si>
  <si>
    <t>SOLID BLOUSON SLV BL</t>
  </si>
  <si>
    <t>100044792P</t>
  </si>
  <si>
    <t>887650925231</t>
  </si>
  <si>
    <t>52123BT472</t>
  </si>
  <si>
    <t>732995061666</t>
  </si>
  <si>
    <t>732996691787</t>
  </si>
  <si>
    <t>732996263496</t>
  </si>
  <si>
    <t>GROMMET SLIT HEM CAP</t>
  </si>
  <si>
    <t>100059815PT</t>
  </si>
  <si>
    <t>805004078129</t>
  </si>
  <si>
    <t>732995993721</t>
  </si>
  <si>
    <t>732995993660</t>
  </si>
  <si>
    <t>732995562019</t>
  </si>
  <si>
    <t>BTM GINGHAM NEWPORT</t>
  </si>
  <si>
    <t>100048922MS</t>
  </si>
  <si>
    <t>732996113098</t>
  </si>
  <si>
    <t>KNT 3/4 SLV NTCL BTU</t>
  </si>
  <si>
    <t>100054522MS</t>
  </si>
  <si>
    <t>732996693491</t>
  </si>
  <si>
    <t>732996023649</t>
  </si>
  <si>
    <t>732995618624</t>
  </si>
  <si>
    <t>SK SCUBA MIDI</t>
  </si>
  <si>
    <t>100048058PT</t>
  </si>
  <si>
    <t>732996566726</t>
  </si>
  <si>
    <t>732995994049</t>
  </si>
  <si>
    <t>706257857168</t>
  </si>
  <si>
    <t>CW HOLLYWOOD CAPRI</t>
  </si>
  <si>
    <t>72207P</t>
  </si>
  <si>
    <t>732995036152</t>
  </si>
  <si>
    <t>FW KNOT FRONT TOP</t>
  </si>
  <si>
    <t>100047441PT</t>
  </si>
  <si>
    <t>732995905403</t>
  </si>
  <si>
    <t>732994023627</t>
  </si>
  <si>
    <t>732995451863</t>
  </si>
  <si>
    <t>WVN LS FLR SMCK BLS</t>
  </si>
  <si>
    <t>100043363MS</t>
  </si>
  <si>
    <t>706254255240</t>
  </si>
  <si>
    <t>KNT 3/4 ICNC TUNIC</t>
  </si>
  <si>
    <t>100045547MS</t>
  </si>
  <si>
    <t>706254255479</t>
  </si>
  <si>
    <t>732996079769</t>
  </si>
  <si>
    <t>732995045727</t>
  </si>
  <si>
    <t>732996082059</t>
  </si>
  <si>
    <t>887650608257</t>
  </si>
  <si>
    <t>636206927263</t>
  </si>
  <si>
    <t>STUD CS CRINKLE TOP</t>
  </si>
  <si>
    <t>100034446MS</t>
  </si>
  <si>
    <t>732995410266</t>
  </si>
  <si>
    <t>732996033976</t>
  </si>
  <si>
    <t>LACE INSET CROP</t>
  </si>
  <si>
    <t>732996034027</t>
  </si>
  <si>
    <t>732996471402</t>
  </si>
  <si>
    <t>732995895605</t>
  </si>
  <si>
    <t>100059016MS</t>
  </si>
  <si>
    <t>732995530957</t>
  </si>
  <si>
    <t>732996444758</t>
  </si>
  <si>
    <t>887650887690</t>
  </si>
  <si>
    <t>52126HH460</t>
  </si>
  <si>
    <t>732995750003</t>
  </si>
  <si>
    <t>732995169591</t>
  </si>
  <si>
    <t>STRIPE SOFT PANT</t>
  </si>
  <si>
    <t>100058335P</t>
  </si>
  <si>
    <t>732996197197</t>
  </si>
  <si>
    <t>806864010311</t>
  </si>
  <si>
    <t>726895918380</t>
  </si>
  <si>
    <t>732995714852</t>
  </si>
  <si>
    <t>806864895611</t>
  </si>
  <si>
    <t>732995885934</t>
  </si>
  <si>
    <t>732994086356</t>
  </si>
  <si>
    <t>ITY DRESS W NECKLACE</t>
  </si>
  <si>
    <t>732997069424</t>
  </si>
  <si>
    <t>732996404646</t>
  </si>
  <si>
    <t>732996404813</t>
  </si>
  <si>
    <t>732995297577</t>
  </si>
  <si>
    <t>732996455884</t>
  </si>
  <si>
    <t>732994995856</t>
  </si>
  <si>
    <t>732995786293</t>
  </si>
  <si>
    <t>100017298MS</t>
  </si>
  <si>
    <t>732996202396</t>
  </si>
  <si>
    <t>KNT SL SOLID PINTUCK</t>
  </si>
  <si>
    <t>100054520MS</t>
  </si>
  <si>
    <t>732996026855</t>
  </si>
  <si>
    <t>805004105832</t>
  </si>
  <si>
    <t>805004105818</t>
  </si>
  <si>
    <t>732996025919</t>
  </si>
  <si>
    <t>636189974063</t>
  </si>
  <si>
    <t>EDV PO CAPRI HTR</t>
  </si>
  <si>
    <t>100035307PT</t>
  </si>
  <si>
    <t>732995073478</t>
  </si>
  <si>
    <t>732994751926</t>
  </si>
  <si>
    <t>806864669267</t>
  </si>
  <si>
    <t>806864669137</t>
  </si>
  <si>
    <t>806864669090</t>
  </si>
  <si>
    <t>887650607892</t>
  </si>
  <si>
    <t>732995765021</t>
  </si>
  <si>
    <t>806864670317</t>
  </si>
  <si>
    <t>732995457148</t>
  </si>
  <si>
    <t>765215861883</t>
  </si>
  <si>
    <t>765215861913</t>
  </si>
  <si>
    <t>726895916119</t>
  </si>
  <si>
    <t>190797258873</t>
  </si>
  <si>
    <t>636202749067</t>
  </si>
  <si>
    <t>732996143132</t>
  </si>
  <si>
    <t>732996691527</t>
  </si>
  <si>
    <t>KNT 3/4SL EMB FL KTA</t>
  </si>
  <si>
    <t>100059524PT</t>
  </si>
  <si>
    <t>732994037167</t>
  </si>
  <si>
    <t>732995480962</t>
  </si>
  <si>
    <t>806864669571</t>
  </si>
  <si>
    <t>806864683393</t>
  </si>
  <si>
    <t>806864683386</t>
  </si>
  <si>
    <t>806864683317</t>
  </si>
  <si>
    <t>887650709503</t>
  </si>
  <si>
    <t>52125WH460</t>
  </si>
  <si>
    <t>704976073913</t>
  </si>
  <si>
    <t>732996492438</t>
  </si>
  <si>
    <t>887650771937</t>
  </si>
  <si>
    <t>887650798989</t>
  </si>
  <si>
    <t>R PULLON CAREER SHRT</t>
  </si>
  <si>
    <t>732994764797</t>
  </si>
  <si>
    <t>887650887720</t>
  </si>
  <si>
    <t>732996415390</t>
  </si>
  <si>
    <t>732996415406</t>
  </si>
  <si>
    <t>732996151243</t>
  </si>
  <si>
    <t>726895456196</t>
  </si>
  <si>
    <t>726895807424</t>
  </si>
  <si>
    <t>732996113593</t>
  </si>
  <si>
    <t>732996084473</t>
  </si>
  <si>
    <t>100061138MS</t>
  </si>
  <si>
    <t>887650796244</t>
  </si>
  <si>
    <t>732995866438</t>
  </si>
  <si>
    <t>SWT 3/4 SLV LEAF COM</t>
  </si>
  <si>
    <t>100016722MS</t>
  </si>
  <si>
    <t>806864668710</t>
  </si>
  <si>
    <t>732996556277</t>
  </si>
  <si>
    <t>732996556208</t>
  </si>
  <si>
    <t>732996285450</t>
  </si>
  <si>
    <t>732996268026</t>
  </si>
  <si>
    <t>732995048926</t>
  </si>
  <si>
    <t>732995758955</t>
  </si>
  <si>
    <t>704976157392</t>
  </si>
  <si>
    <t>SS NECKLACE DRESS</t>
  </si>
  <si>
    <t>732995891393</t>
  </si>
  <si>
    <t>732995891362</t>
  </si>
  <si>
    <t>732994893596</t>
  </si>
  <si>
    <t>732995891379</t>
  </si>
  <si>
    <t>726895714050</t>
  </si>
  <si>
    <t>21170RA460</t>
  </si>
  <si>
    <t>704976350779</t>
  </si>
  <si>
    <t>PITU7435</t>
  </si>
  <si>
    <t>732996079240</t>
  </si>
  <si>
    <t>822982520679</t>
  </si>
  <si>
    <t>53391LR819</t>
  </si>
  <si>
    <t>822982520761</t>
  </si>
  <si>
    <t>732996071824</t>
  </si>
  <si>
    <t>732995045277</t>
  </si>
  <si>
    <t>887650897613</t>
  </si>
  <si>
    <t>608356513948</t>
  </si>
  <si>
    <t>726895683639</t>
  </si>
  <si>
    <t>726895777093</t>
  </si>
  <si>
    <t>726895378535</t>
  </si>
  <si>
    <t>726895585100</t>
  </si>
  <si>
    <t>726895378573</t>
  </si>
  <si>
    <t>608381912464</t>
  </si>
  <si>
    <t>636202338391</t>
  </si>
  <si>
    <t>54665SS805</t>
  </si>
  <si>
    <t>636202338384</t>
  </si>
  <si>
    <t>636202338377</t>
  </si>
  <si>
    <t>732995783223</t>
  </si>
  <si>
    <t>732996604954</t>
  </si>
  <si>
    <t>SOLID ITY ZIP FRONT</t>
  </si>
  <si>
    <t>732995429978</t>
  </si>
  <si>
    <t>KNT WVN SLV SLD TOP</t>
  </si>
  <si>
    <t>100048644MS</t>
  </si>
  <si>
    <t>732995653670</t>
  </si>
  <si>
    <t>765215393643</t>
  </si>
  <si>
    <t>53693KR151</t>
  </si>
  <si>
    <t>636193981057</t>
  </si>
  <si>
    <t>CK SPLTNK 3/4 SOL</t>
  </si>
  <si>
    <t>100027346PT</t>
  </si>
  <si>
    <t>COTTON; LACE: COTTON/NYLON</t>
  </si>
  <si>
    <t>732995514537</t>
  </si>
  <si>
    <t>732994820486</t>
  </si>
  <si>
    <t>732995364675</t>
  </si>
  <si>
    <t>636189916957</t>
  </si>
  <si>
    <t>732994820080</t>
  </si>
  <si>
    <t>54665TE805</t>
  </si>
  <si>
    <t>732994820073</t>
  </si>
  <si>
    <t>732995061192</t>
  </si>
  <si>
    <t>54665BL805</t>
  </si>
  <si>
    <t>732994820097</t>
  </si>
  <si>
    <t>732995061185</t>
  </si>
  <si>
    <t>732994820066</t>
  </si>
  <si>
    <t>608356850166</t>
  </si>
  <si>
    <t>732995152654</t>
  </si>
  <si>
    <t>732996532134</t>
  </si>
  <si>
    <t>191594810561</t>
  </si>
  <si>
    <t>191594810578</t>
  </si>
  <si>
    <t>191594810622</t>
  </si>
  <si>
    <t>191594810592</t>
  </si>
  <si>
    <t>732996113456</t>
  </si>
  <si>
    <t>732996113388</t>
  </si>
  <si>
    <t>732996113425</t>
  </si>
  <si>
    <t>732996238968</t>
  </si>
  <si>
    <t>732994156851</t>
  </si>
  <si>
    <t>689439462384</t>
  </si>
  <si>
    <t>8865730506</t>
  </si>
  <si>
    <t>8865730308</t>
  </si>
  <si>
    <t>8865956227</t>
  </si>
  <si>
    <t>191594817669</t>
  </si>
  <si>
    <t>732995625943</t>
  </si>
  <si>
    <t>KNT SS PAISLEY POLO</t>
  </si>
  <si>
    <t>100048640MS</t>
  </si>
  <si>
    <t>732996585949</t>
  </si>
  <si>
    <t>732995860245</t>
  </si>
  <si>
    <t>732995860269</t>
  </si>
  <si>
    <t>732996265865</t>
  </si>
  <si>
    <t>100058345PT</t>
  </si>
  <si>
    <t>732996141138</t>
  </si>
  <si>
    <t>732996141107</t>
  </si>
  <si>
    <t>732995644050</t>
  </si>
  <si>
    <t>732995644081</t>
  </si>
  <si>
    <t>732996302614</t>
  </si>
  <si>
    <t>732995754971</t>
  </si>
  <si>
    <t>726895265415</t>
  </si>
  <si>
    <t>54665RS805</t>
  </si>
  <si>
    <t>726895265439</t>
  </si>
  <si>
    <t>732995535129</t>
  </si>
  <si>
    <t>BUTTRCUP FIELD CARDI</t>
  </si>
  <si>
    <t>100049665MS</t>
  </si>
  <si>
    <t>732995535136</t>
  </si>
  <si>
    <t>732994892629</t>
  </si>
  <si>
    <t>732995065695</t>
  </si>
  <si>
    <t>706257302897</t>
  </si>
  <si>
    <t>732995265415</t>
  </si>
  <si>
    <t>732995773002</t>
  </si>
  <si>
    <t>689439398751</t>
  </si>
  <si>
    <t>689439398744</t>
  </si>
  <si>
    <t>689439398768</t>
  </si>
  <si>
    <t>689439398737</t>
  </si>
  <si>
    <t>732996433165</t>
  </si>
  <si>
    <t>KNT SS EMBR STR TOP</t>
  </si>
  <si>
    <t>100059669MS</t>
  </si>
  <si>
    <t>732996094038</t>
  </si>
  <si>
    <t>732994551908</t>
  </si>
  <si>
    <t>732994552134</t>
  </si>
  <si>
    <t>732995526691</t>
  </si>
  <si>
    <t>100046843PT</t>
  </si>
  <si>
    <t>726895017403</t>
  </si>
  <si>
    <t>DENIM PULL ON PANT BASIC</t>
  </si>
  <si>
    <t>100007949P</t>
  </si>
  <si>
    <t>726895017366</t>
  </si>
  <si>
    <t>732994580113</t>
  </si>
  <si>
    <t>732995814057</t>
  </si>
  <si>
    <t>732995773231</t>
  </si>
  <si>
    <t>732995643541</t>
  </si>
  <si>
    <t>8864323877</t>
  </si>
  <si>
    <t>732994552561</t>
  </si>
  <si>
    <t>732994580038</t>
  </si>
  <si>
    <t>732994552639</t>
  </si>
  <si>
    <t>732996134666</t>
  </si>
  <si>
    <t>100055109WN</t>
  </si>
  <si>
    <t>732994344531</t>
  </si>
  <si>
    <t>732994344388</t>
  </si>
  <si>
    <t>732994344869</t>
  </si>
  <si>
    <t>732995742954</t>
  </si>
  <si>
    <t>732994835589</t>
  </si>
  <si>
    <t>732995526547</t>
  </si>
  <si>
    <t>732995034196</t>
  </si>
  <si>
    <t>732995807899</t>
  </si>
  <si>
    <t>100053293PT</t>
  </si>
  <si>
    <t>732995476118</t>
  </si>
  <si>
    <t>732995266504</t>
  </si>
  <si>
    <t>3/4 HRZT POINT CARDI</t>
  </si>
  <si>
    <t>100056084MS</t>
  </si>
  <si>
    <t>KAREN SCOTT-EDI/BY DESIGN</t>
  </si>
  <si>
    <t>732995447125</t>
  </si>
  <si>
    <t>636189178867</t>
  </si>
  <si>
    <t>PMA LS LILY WLPR CRW</t>
  </si>
  <si>
    <t>100036546MS</t>
  </si>
  <si>
    <t>732996298061</t>
  </si>
  <si>
    <t>732996298153</t>
  </si>
  <si>
    <t>732995804706</t>
  </si>
  <si>
    <t>726895973242</t>
  </si>
  <si>
    <t>608356346027</t>
  </si>
  <si>
    <t>100020349PT</t>
  </si>
  <si>
    <t>732996645995</t>
  </si>
  <si>
    <t>732995795776</t>
  </si>
  <si>
    <t>732996027593</t>
  </si>
  <si>
    <t>732996593135</t>
  </si>
  <si>
    <t>732995929386</t>
  </si>
  <si>
    <t>636206344206</t>
  </si>
  <si>
    <t>636206344190</t>
  </si>
  <si>
    <t>726895164145</t>
  </si>
  <si>
    <t>636202031803</t>
  </si>
  <si>
    <t>PMA 3/4 LILY WLPR BT</t>
  </si>
  <si>
    <t>100036547MS</t>
  </si>
  <si>
    <t>636193998017</t>
  </si>
  <si>
    <t>PMA 3/4 WLPR PRNT BT</t>
  </si>
  <si>
    <t>100036371MS</t>
  </si>
  <si>
    <t>732996204611</t>
  </si>
  <si>
    <t>S/S FLIPFLOPS SC</t>
  </si>
  <si>
    <t>100049865PT</t>
  </si>
  <si>
    <t>732995790870</t>
  </si>
  <si>
    <t>100049865MS</t>
  </si>
  <si>
    <t>732995790849</t>
  </si>
  <si>
    <t>732996436302</t>
  </si>
  <si>
    <t>732995746112</t>
  </si>
  <si>
    <t>S/S ANCHOR SHIRT</t>
  </si>
  <si>
    <t>100056086MS</t>
  </si>
  <si>
    <t>732995511826</t>
  </si>
  <si>
    <t>732995511802</t>
  </si>
  <si>
    <t>732994926126</t>
  </si>
  <si>
    <t>732995445886</t>
  </si>
  <si>
    <t>PMA 3/4SL RMNTC ST B</t>
  </si>
  <si>
    <t>100048848PT</t>
  </si>
  <si>
    <t>732995916409</t>
  </si>
  <si>
    <t>732995786613</t>
  </si>
  <si>
    <t>S/S STRPE EMBROD SPT</t>
  </si>
  <si>
    <t>100049788MS</t>
  </si>
  <si>
    <t>732995922301</t>
  </si>
  <si>
    <t>732995445862</t>
  </si>
  <si>
    <t>732995440102</t>
  </si>
  <si>
    <t>ELBOW HOTFX HEM TUNC</t>
  </si>
  <si>
    <t>100039155MS</t>
  </si>
  <si>
    <t>732995662184</t>
  </si>
  <si>
    <t>726895366341</t>
  </si>
  <si>
    <t>EDV KNIT PANT</t>
  </si>
  <si>
    <t>10004707P</t>
  </si>
  <si>
    <t>732995741995</t>
  </si>
  <si>
    <t>732995254235</t>
  </si>
  <si>
    <t>732996235486</t>
  </si>
  <si>
    <t>726895124934</t>
  </si>
  <si>
    <t>726895125245</t>
  </si>
  <si>
    <t>726895127195</t>
  </si>
  <si>
    <t>732996507347</t>
  </si>
  <si>
    <t>PTD JQD TANK TECTNC</t>
  </si>
  <si>
    <t>100063486WN</t>
  </si>
  <si>
    <t>732995605938</t>
  </si>
  <si>
    <t>S/S SCOOP SPORT TOP</t>
  </si>
  <si>
    <t>100039237MS</t>
  </si>
  <si>
    <t>732996217369</t>
  </si>
  <si>
    <t>S/S C/S R/S SEA FANS</t>
  </si>
  <si>
    <t>100055122MS</t>
  </si>
  <si>
    <t>732996201979</t>
  </si>
  <si>
    <t>S/S DANIELLE STRP SC</t>
  </si>
  <si>
    <t>100056087MS</t>
  </si>
  <si>
    <t>689439402021</t>
  </si>
  <si>
    <t>88080DP477</t>
  </si>
  <si>
    <t>732994937184</t>
  </si>
  <si>
    <t>732994937207</t>
  </si>
  <si>
    <t>636202779378</t>
  </si>
  <si>
    <t>636202779385</t>
  </si>
  <si>
    <t>636202779187</t>
  </si>
  <si>
    <t>636206918537</t>
  </si>
  <si>
    <t>732996436999</t>
  </si>
  <si>
    <t>ELBOW RING CUTOUT SC</t>
  </si>
  <si>
    <t>100049812MS</t>
  </si>
  <si>
    <t>732995702071</t>
  </si>
  <si>
    <t>732995803006</t>
  </si>
  <si>
    <t>732995845747</t>
  </si>
  <si>
    <t>100049909PT</t>
  </si>
  <si>
    <t>732995213034</t>
  </si>
  <si>
    <t>732995806359</t>
  </si>
  <si>
    <t>732995845662</t>
  </si>
  <si>
    <t>636202069875</t>
  </si>
  <si>
    <t>732994761413</t>
  </si>
  <si>
    <t>732994814638</t>
  </si>
  <si>
    <t>636206918025</t>
  </si>
  <si>
    <t>732994868310</t>
  </si>
  <si>
    <t>732994867634</t>
  </si>
  <si>
    <t>689439043415</t>
  </si>
  <si>
    <t>732995784336</t>
  </si>
  <si>
    <t>636202432990</t>
  </si>
  <si>
    <t>732994900799</t>
  </si>
  <si>
    <t>732996006567</t>
  </si>
  <si>
    <t>732996363363</t>
  </si>
  <si>
    <t>636202157145</t>
  </si>
  <si>
    <t>732996639154</t>
  </si>
  <si>
    <t>732996381084</t>
  </si>
  <si>
    <t>732995474909</t>
  </si>
  <si>
    <t>732994841412</t>
  </si>
  <si>
    <t>732994768436</t>
  </si>
  <si>
    <t>S/S CAT SWEATER HEN</t>
  </si>
  <si>
    <t>100036362MS</t>
  </si>
  <si>
    <t>732996011721</t>
  </si>
  <si>
    <t>706254742177</t>
  </si>
  <si>
    <t>S/S LEAFY OASIS HENL</t>
  </si>
  <si>
    <t>100036364MS</t>
  </si>
  <si>
    <t>732994770927</t>
  </si>
  <si>
    <t>100036345PT</t>
  </si>
  <si>
    <t>732994770910</t>
  </si>
  <si>
    <t>732994770941</t>
  </si>
  <si>
    <t>732994756501</t>
  </si>
  <si>
    <t>732996640334</t>
  </si>
  <si>
    <t>732994904704</t>
  </si>
  <si>
    <t>100039112PT</t>
  </si>
  <si>
    <t>732995816617</t>
  </si>
  <si>
    <t>732994910606</t>
  </si>
  <si>
    <t>100036357PT</t>
  </si>
  <si>
    <t>732995508390</t>
  </si>
  <si>
    <t>732995508376</t>
  </si>
  <si>
    <t>732994902007</t>
  </si>
  <si>
    <t>732994910583</t>
  </si>
  <si>
    <t>689439077564</t>
  </si>
  <si>
    <t>732994907903</t>
  </si>
  <si>
    <t>732995302820</t>
  </si>
  <si>
    <t>828659267816</t>
  </si>
  <si>
    <t>SLV FLOUNCE EMBRD SHEATH</t>
  </si>
  <si>
    <t>VC9M9049</t>
  </si>
  <si>
    <t>NYLON; LINING: POLYESTER</t>
  </si>
  <si>
    <t>635273552385</t>
  </si>
  <si>
    <t>SLV BOW DRESS FNF</t>
  </si>
  <si>
    <t>TLMS9WD041</t>
  </si>
  <si>
    <t>828659195201</t>
  </si>
  <si>
    <t>635273567396</t>
  </si>
  <si>
    <t>193623663612</t>
  </si>
  <si>
    <t>193623663667</t>
  </si>
  <si>
    <t>755179435244</t>
  </si>
  <si>
    <t>887345123645</t>
  </si>
  <si>
    <t>732995559651</t>
  </si>
  <si>
    <t>GROMMET SHLDR CARDI BASIC</t>
  </si>
  <si>
    <t>100047764WN</t>
  </si>
  <si>
    <t>JM COLLECTION/MMG-THE RESOURCE CLUB</t>
  </si>
  <si>
    <t>93487366561</t>
  </si>
  <si>
    <t>SCOOP NECK SWEATER</t>
  </si>
  <si>
    <t>93487548233</t>
  </si>
  <si>
    <t>732995649321</t>
  </si>
  <si>
    <t>SK NOVELTY POINT HEM</t>
  </si>
  <si>
    <t>100048055PT</t>
  </si>
  <si>
    <t>732996071442</t>
  </si>
  <si>
    <t>732997120798</t>
  </si>
  <si>
    <t>732995348378</t>
  </si>
  <si>
    <t>92448 CHVRN SQN P/O</t>
  </si>
  <si>
    <t>100059371P</t>
  </si>
  <si>
    <t>732995029123</t>
  </si>
  <si>
    <t>732995666939</t>
  </si>
  <si>
    <t>PN WWB RUFFLE HM ANK</t>
  </si>
  <si>
    <t>100048030PT</t>
  </si>
  <si>
    <t>732995461862</t>
  </si>
  <si>
    <t>MIXED PRINT JACKET</t>
  </si>
  <si>
    <t>100056492WN</t>
  </si>
  <si>
    <t>190917259858</t>
  </si>
  <si>
    <t>732995759051</t>
  </si>
  <si>
    <t>732995095920</t>
  </si>
  <si>
    <t>JT SCP SHTSLV STRIPE</t>
  </si>
  <si>
    <t>100055761PT</t>
  </si>
  <si>
    <t>732995778427</t>
  </si>
  <si>
    <t>190917256284</t>
  </si>
  <si>
    <t>29408733358</t>
  </si>
  <si>
    <t>SWEATER</t>
  </si>
  <si>
    <t>732996339887</t>
  </si>
  <si>
    <t>732996052120</t>
  </si>
  <si>
    <t>732995853728</t>
  </si>
  <si>
    <t>BL PRT JACQRD BBL</t>
  </si>
  <si>
    <t>100054176PT</t>
  </si>
  <si>
    <t>193623600358</t>
  </si>
  <si>
    <t>732996290874</t>
  </si>
  <si>
    <t>732994708029</t>
  </si>
  <si>
    <t>BASIC DENIM JACKET BASIC</t>
  </si>
  <si>
    <t>732996218441</t>
  </si>
  <si>
    <t>689439474295</t>
  </si>
  <si>
    <t>732996119304</t>
  </si>
  <si>
    <t>732996127347</t>
  </si>
  <si>
    <t>732996291499</t>
  </si>
  <si>
    <t>R HR BTTN FLY SHORT</t>
  </si>
  <si>
    <t>732995225648</t>
  </si>
  <si>
    <t>8864112037</t>
  </si>
  <si>
    <t>DARLING DAISY EMB BF</t>
  </si>
  <si>
    <t>8864112082</t>
  </si>
  <si>
    <t>732995636680</t>
  </si>
  <si>
    <t>732996262741</t>
  </si>
  <si>
    <t>732996262789</t>
  </si>
  <si>
    <t>732994023658</t>
  </si>
  <si>
    <t>732995451856</t>
  </si>
  <si>
    <t>726895916348</t>
  </si>
  <si>
    <t>732996200835</t>
  </si>
  <si>
    <t>732995857733</t>
  </si>
  <si>
    <t>100054430P</t>
  </si>
  <si>
    <t>732996285894</t>
  </si>
  <si>
    <t>PAPER BAG SHORT</t>
  </si>
  <si>
    <t>LYOCELL/COTTON/SPANDEX</t>
  </si>
  <si>
    <t>732996035390</t>
  </si>
  <si>
    <t>STRIPE PRNTD SFT PNT</t>
  </si>
  <si>
    <t>100064280P</t>
  </si>
  <si>
    <t>732995618761</t>
  </si>
  <si>
    <t>SK CRVY WWB SCU MID</t>
  </si>
  <si>
    <t>100048377PT</t>
  </si>
  <si>
    <t>732995755152</t>
  </si>
  <si>
    <t>732995755145</t>
  </si>
  <si>
    <t>190917234855</t>
  </si>
  <si>
    <t>29408132618</t>
  </si>
  <si>
    <t>PULL ON POLYESTER SKIRT</t>
  </si>
  <si>
    <t>29408132526</t>
  </si>
  <si>
    <t>SKIRT</t>
  </si>
  <si>
    <t>732994691659</t>
  </si>
  <si>
    <t>732995539745</t>
  </si>
  <si>
    <t>KN PRT TIE SLV</t>
  </si>
  <si>
    <t>100047870PT</t>
  </si>
  <si>
    <t>732995720068</t>
  </si>
  <si>
    <t>887650912712</t>
  </si>
  <si>
    <t>732995717433</t>
  </si>
  <si>
    <t>732995094640</t>
  </si>
  <si>
    <t>732996113661</t>
  </si>
  <si>
    <t>KNT MIX RFL ROPE TOP</t>
  </si>
  <si>
    <t>100054538MS</t>
  </si>
  <si>
    <t>FRONT: POLYESTER; BACK: POLYESTER/SPANDEX</t>
  </si>
  <si>
    <t>732996404905</t>
  </si>
  <si>
    <t>732996574530</t>
  </si>
  <si>
    <t>608356689766</t>
  </si>
  <si>
    <t>608356686574</t>
  </si>
  <si>
    <t>732995839562</t>
  </si>
  <si>
    <t>SWT FG TIPPED ICONIC</t>
  </si>
  <si>
    <t>100061714MS</t>
  </si>
  <si>
    <t>732996137230</t>
  </si>
  <si>
    <t>732996902326</t>
  </si>
  <si>
    <t>PRNT TULIP SKIRT FIO BASIC</t>
  </si>
  <si>
    <t>100076103MS</t>
  </si>
  <si>
    <t>732996532462</t>
  </si>
  <si>
    <t>732995073454</t>
  </si>
  <si>
    <t>806864669366</t>
  </si>
  <si>
    <t>806864669069</t>
  </si>
  <si>
    <t>806864669274</t>
  </si>
  <si>
    <t>732996235929</t>
  </si>
  <si>
    <t>726895611038</t>
  </si>
  <si>
    <t>IK PRNT CLDSHLDR DRS</t>
  </si>
  <si>
    <t>RAYON/SPANDEX (EXCLUSIVE OF EMBROIDERY)</t>
  </si>
  <si>
    <t>190917254082</t>
  </si>
  <si>
    <t>636193230841</t>
  </si>
  <si>
    <t>636193233019</t>
  </si>
  <si>
    <t>636193230896</t>
  </si>
  <si>
    <t>726895316919</t>
  </si>
  <si>
    <t>732996375861</t>
  </si>
  <si>
    <t>706257633267</t>
  </si>
  <si>
    <t>SWT STRP FLORL CARDI</t>
  </si>
  <si>
    <t>100048342MS</t>
  </si>
  <si>
    <t>806864890647</t>
  </si>
  <si>
    <t>806864895550</t>
  </si>
  <si>
    <t>732995839746</t>
  </si>
  <si>
    <t>732995839678</t>
  </si>
  <si>
    <t>806864669663</t>
  </si>
  <si>
    <t>732995208672</t>
  </si>
  <si>
    <t>887650887331</t>
  </si>
  <si>
    <t>732996316482</t>
  </si>
  <si>
    <t>636206192258</t>
  </si>
  <si>
    <t>732996040066</t>
  </si>
  <si>
    <t>792831028116</t>
  </si>
  <si>
    <t>2 PKT BOOTCUT PANT</t>
  </si>
  <si>
    <t>N882GL</t>
  </si>
  <si>
    <t>887650602446</t>
  </si>
  <si>
    <t>732995715965</t>
  </si>
  <si>
    <t>FK PEASNT FLUTR TOP</t>
  </si>
  <si>
    <t>100054481MS</t>
  </si>
  <si>
    <t>732996456157</t>
  </si>
  <si>
    <t>887650771869</t>
  </si>
  <si>
    <t>636193194761</t>
  </si>
  <si>
    <t>636193195355</t>
  </si>
  <si>
    <t>726895231656</t>
  </si>
  <si>
    <t>887650524540</t>
  </si>
  <si>
    <t>CW ZIP FRONT SKINNY</t>
  </si>
  <si>
    <t>54518CG151</t>
  </si>
  <si>
    <t>190917259490</t>
  </si>
  <si>
    <t>732995460179</t>
  </si>
  <si>
    <t>732995426083</t>
  </si>
  <si>
    <t>732995841480</t>
  </si>
  <si>
    <t>C CASUAL SHORT</t>
  </si>
  <si>
    <t>732995841503</t>
  </si>
  <si>
    <t>732994777278</t>
  </si>
  <si>
    <t>732996079707</t>
  </si>
  <si>
    <t>732996267982</t>
  </si>
  <si>
    <t>190797084687</t>
  </si>
  <si>
    <t>732995093520</t>
  </si>
  <si>
    <t>732995093537</t>
  </si>
  <si>
    <t>732996355955</t>
  </si>
  <si>
    <t>732994942805</t>
  </si>
  <si>
    <t>732994942775</t>
  </si>
  <si>
    <t>704624049543</t>
  </si>
  <si>
    <t>191594811315</t>
  </si>
  <si>
    <t>732996079141</t>
  </si>
  <si>
    <t>732995855487</t>
  </si>
  <si>
    <t>726895683615</t>
  </si>
  <si>
    <t>726895777109</t>
  </si>
  <si>
    <t>732995751017</t>
  </si>
  <si>
    <t>732995750508</t>
  </si>
  <si>
    <t>732995750539</t>
  </si>
  <si>
    <t>726895378375</t>
  </si>
  <si>
    <t>726895378597</t>
  </si>
  <si>
    <t>726895378504</t>
  </si>
  <si>
    <t>732994425124</t>
  </si>
  <si>
    <t>BTM SOLID 5PKT PONTE</t>
  </si>
  <si>
    <t>100025013MS</t>
  </si>
  <si>
    <t>706255136432</t>
  </si>
  <si>
    <t>BT DOUBLE PKT CAPRI</t>
  </si>
  <si>
    <t>732994961592</t>
  </si>
  <si>
    <t>732995653618</t>
  </si>
  <si>
    <t>732995514575</t>
  </si>
  <si>
    <t>732996045139</t>
  </si>
  <si>
    <t>636193597258</t>
  </si>
  <si>
    <t>732996061320</t>
  </si>
  <si>
    <t>732996825182</t>
  </si>
  <si>
    <t>732995258691</t>
  </si>
  <si>
    <t>732996325668</t>
  </si>
  <si>
    <t>8865730414</t>
  </si>
  <si>
    <t>732994974936</t>
  </si>
  <si>
    <t>732995855586</t>
  </si>
  <si>
    <t>732996264547</t>
  </si>
  <si>
    <t>732996078960</t>
  </si>
  <si>
    <t>732996585932</t>
  </si>
  <si>
    <t>732996585918</t>
  </si>
  <si>
    <t>732996141077</t>
  </si>
  <si>
    <t>706255137125</t>
  </si>
  <si>
    <t>732995010992</t>
  </si>
  <si>
    <t>732996306582</t>
  </si>
  <si>
    <t>706257303863</t>
  </si>
  <si>
    <t>706257303870</t>
  </si>
  <si>
    <t>732995553888</t>
  </si>
  <si>
    <t>732995535235</t>
  </si>
  <si>
    <t>PALM REVIVAL CARDI</t>
  </si>
  <si>
    <t>100049677MS</t>
  </si>
  <si>
    <t>732994359054</t>
  </si>
  <si>
    <t>WILDFLOWER CARDI</t>
  </si>
  <si>
    <t>100047256PT</t>
  </si>
  <si>
    <t>732995534412</t>
  </si>
  <si>
    <t>732994892537</t>
  </si>
  <si>
    <t>732994892575</t>
  </si>
  <si>
    <t>706257302880</t>
  </si>
  <si>
    <t>732995431476</t>
  </si>
  <si>
    <t>KNT SL SLD SHRTL TOP</t>
  </si>
  <si>
    <t>100053165MS</t>
  </si>
  <si>
    <t>706257185636</t>
  </si>
  <si>
    <t>732996087856</t>
  </si>
  <si>
    <t>732996206356</t>
  </si>
  <si>
    <t>732996206417</t>
  </si>
  <si>
    <t>732996206684</t>
  </si>
  <si>
    <t>732995813715</t>
  </si>
  <si>
    <t>732995738049</t>
  </si>
  <si>
    <t>732995738001</t>
  </si>
  <si>
    <t>636189561836</t>
  </si>
  <si>
    <t>885779819523</t>
  </si>
  <si>
    <t>732997886793</t>
  </si>
  <si>
    <t>LS REINDR GALOP FLCE</t>
  </si>
  <si>
    <t>100068667PT</t>
  </si>
  <si>
    <t>732994552899</t>
  </si>
  <si>
    <t>732994551885</t>
  </si>
  <si>
    <t>732995526776</t>
  </si>
  <si>
    <t>732995814019</t>
  </si>
  <si>
    <t>732994552707</t>
  </si>
  <si>
    <t>732994344739</t>
  </si>
  <si>
    <t>732995265330</t>
  </si>
  <si>
    <t>732995524789</t>
  </si>
  <si>
    <t>732995526479</t>
  </si>
  <si>
    <t>732994835473</t>
  </si>
  <si>
    <t>732995740929</t>
  </si>
  <si>
    <t>190917251302</t>
  </si>
  <si>
    <t>732996236537</t>
  </si>
  <si>
    <t>732994810043</t>
  </si>
  <si>
    <t>732995085822</t>
  </si>
  <si>
    <t>PMA 3/4 PATRN DOT BT</t>
  </si>
  <si>
    <t>100055739MS</t>
  </si>
  <si>
    <t>100% SUPIMA® COTTON</t>
  </si>
  <si>
    <t>732996089881</t>
  </si>
  <si>
    <t>732996089935</t>
  </si>
  <si>
    <t>732996649818</t>
  </si>
  <si>
    <t>LS STUDDED CARDIGAN</t>
  </si>
  <si>
    <t>100067890MS</t>
  </si>
  <si>
    <t>732995804478</t>
  </si>
  <si>
    <t>732996385785</t>
  </si>
  <si>
    <t>732996385716</t>
  </si>
  <si>
    <t>732996387567</t>
  </si>
  <si>
    <t>3/4 SINCHED BEAD SC</t>
  </si>
  <si>
    <t>100058151MS</t>
  </si>
  <si>
    <t>732995718492</t>
  </si>
  <si>
    <t>706257953464</t>
  </si>
  <si>
    <t>706257953471</t>
  </si>
  <si>
    <t>732995794267</t>
  </si>
  <si>
    <t>732996601977</t>
  </si>
  <si>
    <t>732995712186</t>
  </si>
  <si>
    <t>732996378848</t>
  </si>
  <si>
    <t>S/S PLCD R/S GRDN CR</t>
  </si>
  <si>
    <t>100059922MS</t>
  </si>
  <si>
    <t>732995711882</t>
  </si>
  <si>
    <t>732996601953</t>
  </si>
  <si>
    <t>732995711752</t>
  </si>
  <si>
    <t>732995712124</t>
  </si>
  <si>
    <t>732995711837</t>
  </si>
  <si>
    <t>732995929652</t>
  </si>
  <si>
    <t>726895972825</t>
  </si>
  <si>
    <t>726895972870</t>
  </si>
  <si>
    <t>732996301921</t>
  </si>
  <si>
    <t>SS SCPNK DOLMAN GR</t>
  </si>
  <si>
    <t>100060000PT</t>
  </si>
  <si>
    <t>732994921237</t>
  </si>
  <si>
    <t>PAISLEY ESS SWTSHRT</t>
  </si>
  <si>
    <t>100039141MS</t>
  </si>
  <si>
    <t>732995748437</t>
  </si>
  <si>
    <t>S/S SEERSUCKER SHIRT</t>
  </si>
  <si>
    <t>100049757PT</t>
  </si>
  <si>
    <t>732995748505</t>
  </si>
  <si>
    <t>732995743753</t>
  </si>
  <si>
    <t>732995958737</t>
  </si>
  <si>
    <t>608356513030</t>
  </si>
  <si>
    <t>726895183900</t>
  </si>
  <si>
    <t>88144SA460</t>
  </si>
  <si>
    <t>732996592404</t>
  </si>
  <si>
    <t>732995662177</t>
  </si>
  <si>
    <t>732995788259</t>
  </si>
  <si>
    <t>732996235493</t>
  </si>
  <si>
    <t>732994928434</t>
  </si>
  <si>
    <t>726895124842</t>
  </si>
  <si>
    <t>636206339103</t>
  </si>
  <si>
    <t>636206339202</t>
  </si>
  <si>
    <t>636206339196</t>
  </si>
  <si>
    <t>726895124941</t>
  </si>
  <si>
    <t>884918843962</t>
  </si>
  <si>
    <t>22722DB805</t>
  </si>
  <si>
    <t>732994318242</t>
  </si>
  <si>
    <t>732994318259</t>
  </si>
  <si>
    <t>732994318228</t>
  </si>
  <si>
    <t>732995780154</t>
  </si>
  <si>
    <t>S/S TISH STRIPE SCOP</t>
  </si>
  <si>
    <t>100056089MS</t>
  </si>
  <si>
    <t>636206918278</t>
  </si>
  <si>
    <t>732995928198</t>
  </si>
  <si>
    <t>S/S RAILRD STRIP SPT</t>
  </si>
  <si>
    <t>100049773MS</t>
  </si>
  <si>
    <t>636206918551</t>
  </si>
  <si>
    <t>636206918315</t>
  </si>
  <si>
    <t>706258716440</t>
  </si>
  <si>
    <t>636189183724</t>
  </si>
  <si>
    <t>636189183663</t>
  </si>
  <si>
    <t>732996365688</t>
  </si>
  <si>
    <t>636206917721</t>
  </si>
  <si>
    <t>636202433713</t>
  </si>
  <si>
    <t>706254806657</t>
  </si>
  <si>
    <t>636206919640</t>
  </si>
  <si>
    <t>732995171457</t>
  </si>
  <si>
    <t>706254805223</t>
  </si>
  <si>
    <t>732996307008</t>
  </si>
  <si>
    <t>732996307701</t>
  </si>
  <si>
    <t>732994244466</t>
  </si>
  <si>
    <t>732995781786</t>
  </si>
  <si>
    <t>732995781809</t>
  </si>
  <si>
    <t>689439171156</t>
  </si>
  <si>
    <t>732996194738</t>
  </si>
  <si>
    <t>689439005741</t>
  </si>
  <si>
    <t>689439079025</t>
  </si>
  <si>
    <t>3/4 SLEEVE VNECK</t>
  </si>
  <si>
    <t>100034899MS</t>
  </si>
  <si>
    <t>732994078627</t>
  </si>
  <si>
    <t>100020274MS</t>
  </si>
  <si>
    <t>706254741392</t>
  </si>
  <si>
    <t>706254741200</t>
  </si>
  <si>
    <t>732994897174</t>
  </si>
  <si>
    <t>732994897280</t>
  </si>
  <si>
    <t>732994897693</t>
  </si>
  <si>
    <t>732994897044</t>
  </si>
  <si>
    <t>732994897112</t>
  </si>
  <si>
    <t>636202395714</t>
  </si>
  <si>
    <t>732996195155</t>
  </si>
  <si>
    <t>732995810103</t>
  </si>
  <si>
    <t>732996195520</t>
  </si>
  <si>
    <t>732995810264</t>
  </si>
  <si>
    <t>732995504132</t>
  </si>
  <si>
    <t>732994901253</t>
  </si>
  <si>
    <t>S/S STRIPE HEART SCP</t>
  </si>
  <si>
    <t>100036352MS</t>
  </si>
  <si>
    <t>732994908337</t>
  </si>
  <si>
    <t>732994908320</t>
  </si>
  <si>
    <t>732994907248</t>
  </si>
  <si>
    <t>706254726023</t>
  </si>
  <si>
    <t>706254726207</t>
  </si>
  <si>
    <t>732996142180</t>
  </si>
  <si>
    <t>652933017497</t>
  </si>
  <si>
    <t>HALTER FLORAL HANDKERCH</t>
  </si>
  <si>
    <t>AP1D103281</t>
  </si>
  <si>
    <t>828659131230</t>
  </si>
  <si>
    <t>SLV FLORAL CHIFFON MIDI</t>
  </si>
  <si>
    <t>VC9M9879</t>
  </si>
  <si>
    <t>828659131254</t>
  </si>
  <si>
    <t>828659131261</t>
  </si>
  <si>
    <t>889648430444</t>
  </si>
  <si>
    <t>828659188197</t>
  </si>
  <si>
    <t>828659188258</t>
  </si>
  <si>
    <t>755179468952</t>
  </si>
  <si>
    <t>1PC FULLY LINED DRESS</t>
  </si>
  <si>
    <t>1430M</t>
  </si>
  <si>
    <t>SHELL: COTTON, LINING: POLYESTER</t>
  </si>
  <si>
    <t>93487397213</t>
  </si>
  <si>
    <t>LS FLORAL MAXI W/ SASH W</t>
  </si>
  <si>
    <t>93487397275</t>
  </si>
  <si>
    <t>716357777907</t>
  </si>
  <si>
    <t>SLVLSS ASYM JUMP</t>
  </si>
  <si>
    <t>NINE WEST/KASPER GROUP LLC</t>
  </si>
  <si>
    <t>755179356143</t>
  </si>
  <si>
    <t>TIERED PALM CREPE SHIFT</t>
  </si>
  <si>
    <t>1507M</t>
  </si>
  <si>
    <t>732997319703</t>
  </si>
  <si>
    <t>887345123652</t>
  </si>
  <si>
    <t>190466028776</t>
  </si>
  <si>
    <t>93487252727</t>
  </si>
  <si>
    <t>93487534632</t>
  </si>
  <si>
    <t>193623841782</t>
  </si>
  <si>
    <t>732996165462</t>
  </si>
  <si>
    <t>681283081537</t>
  </si>
  <si>
    <t>FRISCO SHORT</t>
  </si>
  <si>
    <t>L54605RCS245</t>
  </si>
  <si>
    <t>732995829228</t>
  </si>
  <si>
    <t>WVN SL BELTD FLR DRS</t>
  </si>
  <si>
    <t>100057540PT</t>
  </si>
  <si>
    <t>732996410302</t>
  </si>
  <si>
    <t>732995832853</t>
  </si>
  <si>
    <t>732995832822</t>
  </si>
  <si>
    <t>732995832839</t>
  </si>
  <si>
    <t>732995812985</t>
  </si>
  <si>
    <t>732995890501</t>
  </si>
  <si>
    <t>SS SHINE EMBELL SKIN</t>
  </si>
  <si>
    <t>732995890549</t>
  </si>
  <si>
    <t>190917253955</t>
  </si>
  <si>
    <t>726895106848</t>
  </si>
  <si>
    <t>RAINY DAY ANORAK BASIC</t>
  </si>
  <si>
    <t>61890A</t>
  </si>
  <si>
    <t>SHELL: COTTON/NYLON; LINING: POLYESTER</t>
  </si>
  <si>
    <t>732995028003</t>
  </si>
  <si>
    <t>732996354392</t>
  </si>
  <si>
    <t>732996824758</t>
  </si>
  <si>
    <t>28W AVER</t>
  </si>
  <si>
    <t>732996824796</t>
  </si>
  <si>
    <t>732996824819</t>
  </si>
  <si>
    <t>732995831962</t>
  </si>
  <si>
    <t>608356003210</t>
  </si>
  <si>
    <t>DISCHARGE FLOWER SKY</t>
  </si>
  <si>
    <t>COTTON/POLYESTER/LYOCELL/RAYON</t>
  </si>
  <si>
    <t>608356003227</t>
  </si>
  <si>
    <t>636206615115</t>
  </si>
  <si>
    <t>732995778434</t>
  </si>
  <si>
    <t>732996340074</t>
  </si>
  <si>
    <t>190917256260</t>
  </si>
  <si>
    <t>732996143026</t>
  </si>
  <si>
    <t>732996069692</t>
  </si>
  <si>
    <t>608381599603</t>
  </si>
  <si>
    <t>C 5 POCKET SKINNY</t>
  </si>
  <si>
    <t>7FD54D142</t>
  </si>
  <si>
    <t>732995873191</t>
  </si>
  <si>
    <t>191608390195</t>
  </si>
  <si>
    <t>PETITE FLAT FRONT PROPOR</t>
  </si>
  <si>
    <t>55300NZ</t>
  </si>
  <si>
    <t>636193004008</t>
  </si>
  <si>
    <t>SIDE STUD PONTE PANT</t>
  </si>
  <si>
    <t>100038914MS</t>
  </si>
  <si>
    <t>732995771633</t>
  </si>
  <si>
    <t>732997385678</t>
  </si>
  <si>
    <t>732995061864</t>
  </si>
  <si>
    <t>732995302462</t>
  </si>
  <si>
    <t>732995829655</t>
  </si>
  <si>
    <t>732995487831</t>
  </si>
  <si>
    <t>SW MARL POINTELL O/C</t>
  </si>
  <si>
    <t>100047772MS</t>
  </si>
  <si>
    <t>29408138320</t>
  </si>
  <si>
    <t>EDV STONE TWILL PO AVE P</t>
  </si>
  <si>
    <t>636193749008</t>
  </si>
  <si>
    <t>732995186277</t>
  </si>
  <si>
    <t>732995436730</t>
  </si>
  <si>
    <t>KNT RFL DTSY FLR PNT</t>
  </si>
  <si>
    <t>100048615PT</t>
  </si>
  <si>
    <t>732996507866</t>
  </si>
  <si>
    <t>732995717488</t>
  </si>
  <si>
    <t>732995717457</t>
  </si>
  <si>
    <t>636193901901</t>
  </si>
  <si>
    <t>83624124208</t>
  </si>
  <si>
    <t>MADELYN INDIGO RINSE</t>
  </si>
  <si>
    <t>P502152</t>
  </si>
  <si>
    <t>689439398492</t>
  </si>
  <si>
    <t>WT PERCY PLD SWN PSN</t>
  </si>
  <si>
    <t>100021904P</t>
  </si>
  <si>
    <t>805004079812</t>
  </si>
  <si>
    <t>732995993646</t>
  </si>
  <si>
    <t>732995438222</t>
  </si>
  <si>
    <t>KNT 3/4 FLRL BATEAU</t>
  </si>
  <si>
    <t>100048646PT</t>
  </si>
  <si>
    <t>732995430479</t>
  </si>
  <si>
    <t>KNT 3/4 PTCH BATEAU</t>
  </si>
  <si>
    <t>100048647MS</t>
  </si>
  <si>
    <t>732995017564</t>
  </si>
  <si>
    <t>KNT 3/4 BORDR BATEAU</t>
  </si>
  <si>
    <t>100048620MS</t>
  </si>
  <si>
    <t>732996587134</t>
  </si>
  <si>
    <t>732995489637</t>
  </si>
  <si>
    <t>732996140322</t>
  </si>
  <si>
    <t>732996222004</t>
  </si>
  <si>
    <t>100058859WN</t>
  </si>
  <si>
    <t>SHELL: RAYON/POLYESTER; LINING: POLYESTER/SPANDEX</t>
  </si>
  <si>
    <t>732995462500</t>
  </si>
  <si>
    <t>EMBLLSHD CS DRESS</t>
  </si>
  <si>
    <t>100051490MS</t>
  </si>
  <si>
    <t>732995525373</t>
  </si>
  <si>
    <t>RING ZIPPER PO CAPRI</t>
  </si>
  <si>
    <t>100053373MS</t>
  </si>
  <si>
    <t>732996197579</t>
  </si>
  <si>
    <t>726895916324</t>
  </si>
  <si>
    <t>732996200781</t>
  </si>
  <si>
    <t>732996692807</t>
  </si>
  <si>
    <t>KN PRT SUPER TUNIC</t>
  </si>
  <si>
    <t>100059218PT</t>
  </si>
  <si>
    <t>732995857689</t>
  </si>
  <si>
    <t>732995890389</t>
  </si>
  <si>
    <t>732995568837</t>
  </si>
  <si>
    <t>100051291MS</t>
  </si>
  <si>
    <t>732995568844</t>
  </si>
  <si>
    <t>732995165159</t>
  </si>
  <si>
    <t>732996814704</t>
  </si>
  <si>
    <t>WAISTBAND ZIPPER CAP</t>
  </si>
  <si>
    <t>100059137PT</t>
  </si>
  <si>
    <t>732995995077</t>
  </si>
  <si>
    <t>732995757828</t>
  </si>
  <si>
    <t>732995895667</t>
  </si>
  <si>
    <t>732995895650</t>
  </si>
  <si>
    <t>732995895681</t>
  </si>
  <si>
    <t>732995720877</t>
  </si>
  <si>
    <t>732995720846</t>
  </si>
  <si>
    <t>732996008769</t>
  </si>
  <si>
    <t>RCHD BELL SLV CALLEY</t>
  </si>
  <si>
    <t>100054881MS</t>
  </si>
  <si>
    <t>887650923473</t>
  </si>
  <si>
    <t>20X4</t>
  </si>
  <si>
    <t>732996263588</t>
  </si>
  <si>
    <t>100054043MS</t>
  </si>
  <si>
    <t>732995009583</t>
  </si>
  <si>
    <t>LATTICE HEM LEGGING</t>
  </si>
  <si>
    <t>100045474WN</t>
  </si>
  <si>
    <t>732996255958</t>
  </si>
  <si>
    <t>SLD SIDE TIE RCHD</t>
  </si>
  <si>
    <t>100055064PT</t>
  </si>
  <si>
    <t>732994819183</t>
  </si>
  <si>
    <t>KNT DBL RFL SLD PNTK</t>
  </si>
  <si>
    <t>100005877M</t>
  </si>
  <si>
    <t>732995568622</t>
  </si>
  <si>
    <t>STDED KEYHOLE CRNKLE</t>
  </si>
  <si>
    <t>100051285MS</t>
  </si>
  <si>
    <t>732995568608</t>
  </si>
  <si>
    <t>732995568615</t>
  </si>
  <si>
    <t>732994625678</t>
  </si>
  <si>
    <t>PTD ZIP DRESS MIT ZB</t>
  </si>
  <si>
    <t>100037125MS</t>
  </si>
  <si>
    <t>732994625654</t>
  </si>
  <si>
    <t>887650266495</t>
  </si>
  <si>
    <t>EDV MDRN PULL ON PNT</t>
  </si>
  <si>
    <t>P2947SW677</t>
  </si>
  <si>
    <t>732995842937</t>
  </si>
  <si>
    <t>732996197159</t>
  </si>
  <si>
    <t>732995094701</t>
  </si>
  <si>
    <t>732994063562</t>
  </si>
  <si>
    <t>732996399072</t>
  </si>
  <si>
    <t>CAPRI W/ SCARF BELT</t>
  </si>
  <si>
    <t>100060503P</t>
  </si>
  <si>
    <t>COTTON/VISCOSE; BELT: POLYESTER/ELASTANE</t>
  </si>
  <si>
    <t>191594811889</t>
  </si>
  <si>
    <t>STITCH POCKET FLARE</t>
  </si>
  <si>
    <t>732997069417</t>
  </si>
  <si>
    <t>732995222821</t>
  </si>
  <si>
    <t>726895877977</t>
  </si>
  <si>
    <t>726895878950</t>
  </si>
  <si>
    <t>608356689858</t>
  </si>
  <si>
    <t>704976127289</t>
  </si>
  <si>
    <t>STRIPED SIDE LACEUP JUMP</t>
  </si>
  <si>
    <t>PITU7087</t>
  </si>
  <si>
    <t>732994995849</t>
  </si>
  <si>
    <t>704976150331</t>
  </si>
  <si>
    <t>SLD S/L TRD V NCK MA</t>
  </si>
  <si>
    <t>704976077966</t>
  </si>
  <si>
    <t>PRT ELBW CAGE FR FT FLR</t>
  </si>
  <si>
    <t>PITD3787</t>
  </si>
  <si>
    <t>732996137339</t>
  </si>
  <si>
    <t>732996137346</t>
  </si>
  <si>
    <t>732996327518</t>
  </si>
  <si>
    <t>806864007724</t>
  </si>
  <si>
    <t>732996532486</t>
  </si>
  <si>
    <t>887650911012</t>
  </si>
  <si>
    <t>P2943FP677</t>
  </si>
  <si>
    <t>805004105863</t>
  </si>
  <si>
    <t>732995456738</t>
  </si>
  <si>
    <t>732996247885</t>
  </si>
  <si>
    <t>806864669106</t>
  </si>
  <si>
    <t>806864669311</t>
  </si>
  <si>
    <t>732996178721</t>
  </si>
  <si>
    <t>806864670324</t>
  </si>
  <si>
    <t>806864670355</t>
  </si>
  <si>
    <t>806864670089</t>
  </si>
  <si>
    <t>190917254174</t>
  </si>
  <si>
    <t>190917240498</t>
  </si>
  <si>
    <t>LS BANDED KNIT2WOV</t>
  </si>
  <si>
    <t>818-B103</t>
  </si>
  <si>
    <t>190917240559</t>
  </si>
  <si>
    <t>704976219892</t>
  </si>
  <si>
    <t>704976127463</t>
  </si>
  <si>
    <t>765215666457</t>
  </si>
  <si>
    <t>765215666402</t>
  </si>
  <si>
    <t>732995148930</t>
  </si>
  <si>
    <t>100049263MS</t>
  </si>
  <si>
    <t>732995432718</t>
  </si>
  <si>
    <t>732995728934</t>
  </si>
  <si>
    <t>732995148718</t>
  </si>
  <si>
    <t>BT SLIT HEM CP CRVY</t>
  </si>
  <si>
    <t>636202749074</t>
  </si>
  <si>
    <t>732995839685</t>
  </si>
  <si>
    <t>732995839753</t>
  </si>
  <si>
    <t>726895772623</t>
  </si>
  <si>
    <t>732996841502</t>
  </si>
  <si>
    <t>SOLID PKT WL AKL PNT</t>
  </si>
  <si>
    <t>100074845P</t>
  </si>
  <si>
    <t>RAYON/NYLON/SPANDEX; TRIM: FAUX LEATHER BUTTONS</t>
  </si>
  <si>
    <t>732996266732</t>
  </si>
  <si>
    <t>732995836370</t>
  </si>
  <si>
    <t>732996040073</t>
  </si>
  <si>
    <t>706255662771</t>
  </si>
  <si>
    <t>IK EDV SDYE JACKET</t>
  </si>
  <si>
    <t>887650709480</t>
  </si>
  <si>
    <t>704976202054</t>
  </si>
  <si>
    <t>704976202078</t>
  </si>
  <si>
    <t>704976041967</t>
  </si>
  <si>
    <t>PRT 3/4 PLEATED TUCK DRE</t>
  </si>
  <si>
    <t>PITD3786</t>
  </si>
  <si>
    <t>887650608424</t>
  </si>
  <si>
    <t>887650757092</t>
  </si>
  <si>
    <t>706254449304</t>
  </si>
  <si>
    <t>732995550672</t>
  </si>
  <si>
    <t>732995361339</t>
  </si>
  <si>
    <t>608356850555</t>
  </si>
  <si>
    <t>732995652277</t>
  </si>
  <si>
    <t>190917255072</t>
  </si>
  <si>
    <t>726895182200</t>
  </si>
  <si>
    <t>726895231663</t>
  </si>
  <si>
    <t>726895231625</t>
  </si>
  <si>
    <t>732996151205</t>
  </si>
  <si>
    <t>726895456004</t>
  </si>
  <si>
    <t>732996257389</t>
  </si>
  <si>
    <t>100059346WN</t>
  </si>
  <si>
    <t>732995056082</t>
  </si>
  <si>
    <t>CK SPTNK 3/4 CROCHET</t>
  </si>
  <si>
    <t>100049818MS</t>
  </si>
  <si>
    <t>887650796190</t>
  </si>
  <si>
    <t>806864668734</t>
  </si>
  <si>
    <t>732995889703</t>
  </si>
  <si>
    <t>732996237848</t>
  </si>
  <si>
    <t>YNCK EMBELL MJLC BLM</t>
  </si>
  <si>
    <t>100054921MS</t>
  </si>
  <si>
    <t>732995276657</t>
  </si>
  <si>
    <t>ITY 3/4 LATTICE NECK</t>
  </si>
  <si>
    <t>100003605W</t>
  </si>
  <si>
    <t>732995715996</t>
  </si>
  <si>
    <t>806864010298</t>
  </si>
  <si>
    <t>732995758962</t>
  </si>
  <si>
    <t>732994893428</t>
  </si>
  <si>
    <t>732994893480</t>
  </si>
  <si>
    <t>732994893473</t>
  </si>
  <si>
    <t>732994893435</t>
  </si>
  <si>
    <t>190917260762</t>
  </si>
  <si>
    <t>732996355931</t>
  </si>
  <si>
    <t>704624049598</t>
  </si>
  <si>
    <t>704624049383</t>
  </si>
  <si>
    <t>822982520839</t>
  </si>
  <si>
    <t>704624049369</t>
  </si>
  <si>
    <t>732994204798</t>
  </si>
  <si>
    <t>S T/L</t>
  </si>
  <si>
    <t>887650600046</t>
  </si>
  <si>
    <t>CW PULLON ZIP CAPRI</t>
  </si>
  <si>
    <t>54634WT151</t>
  </si>
  <si>
    <t>732996270180</t>
  </si>
  <si>
    <t>LEOPARD MIX HALF PLA</t>
  </si>
  <si>
    <t>100062044P</t>
  </si>
  <si>
    <t>POLYESTER; SECONDARY: RAYON</t>
  </si>
  <si>
    <t>732995751031</t>
  </si>
  <si>
    <t>726895378368</t>
  </si>
  <si>
    <t>726895585186</t>
  </si>
  <si>
    <t>726895378672</t>
  </si>
  <si>
    <t>732996256610</t>
  </si>
  <si>
    <t>732996135434</t>
  </si>
  <si>
    <t>732995783360</t>
  </si>
  <si>
    <t>100015976P</t>
  </si>
  <si>
    <t>732996120355</t>
  </si>
  <si>
    <t>689439492343</t>
  </si>
  <si>
    <t>DR ON OFF SHLDR DRS</t>
  </si>
  <si>
    <t>100052134PT</t>
  </si>
  <si>
    <t>689439233250</t>
  </si>
  <si>
    <t>HALF PLACKET SHIRT</t>
  </si>
  <si>
    <t>53692GB485</t>
  </si>
  <si>
    <t>732996009766</t>
  </si>
  <si>
    <t>706255136111</t>
  </si>
  <si>
    <t>706255136500</t>
  </si>
  <si>
    <t>732996141428</t>
  </si>
  <si>
    <t>190917296297</t>
  </si>
  <si>
    <t>COWL NECK SWEATER</t>
  </si>
  <si>
    <t>319-MS182</t>
  </si>
  <si>
    <t>636202241547</t>
  </si>
  <si>
    <t>636206182853</t>
  </si>
  <si>
    <t>732995364248</t>
  </si>
  <si>
    <t>706257549445</t>
  </si>
  <si>
    <t>732996144375</t>
  </si>
  <si>
    <t>732994820196</t>
  </si>
  <si>
    <t>54665DC151</t>
  </si>
  <si>
    <t>732996045108</t>
  </si>
  <si>
    <t>8864350910</t>
  </si>
  <si>
    <t>732996321080</t>
  </si>
  <si>
    <t>636193612425</t>
  </si>
  <si>
    <t>LS ZIP VELOUR MK JKT</t>
  </si>
  <si>
    <t>100025418MS</t>
  </si>
  <si>
    <t>732996326399</t>
  </si>
  <si>
    <t>RAW EDGE BERMUDA</t>
  </si>
  <si>
    <t>732997079805</t>
  </si>
  <si>
    <t>732996825175</t>
  </si>
  <si>
    <t>726895334685</t>
  </si>
  <si>
    <t>190797890523</t>
  </si>
  <si>
    <t>4 S</t>
  </si>
  <si>
    <t>689439424429</t>
  </si>
  <si>
    <t>DR CRW NK SLV SWING</t>
  </si>
  <si>
    <t>100048020MS</t>
  </si>
  <si>
    <t>689439462360</t>
  </si>
  <si>
    <t>689439424443</t>
  </si>
  <si>
    <t>732994936361</t>
  </si>
  <si>
    <t>3/4 LOVE BLM SWTSHRT</t>
  </si>
  <si>
    <t>100039215PT</t>
  </si>
  <si>
    <t>732996080017</t>
  </si>
  <si>
    <t>706254397445</t>
  </si>
  <si>
    <t>732995028874</t>
  </si>
  <si>
    <t>726895878585</t>
  </si>
  <si>
    <t>732996078953</t>
  </si>
  <si>
    <t>732996078984</t>
  </si>
  <si>
    <t>732994845038</t>
  </si>
  <si>
    <t>CK SCP PRINT TWISTFN</t>
  </si>
  <si>
    <t>100050191PT</t>
  </si>
  <si>
    <t>732996585901</t>
  </si>
  <si>
    <t>732996120867</t>
  </si>
  <si>
    <t>732996265513</t>
  </si>
  <si>
    <t>DR VNK CRSS BCK DRS</t>
  </si>
  <si>
    <t>100022370PT</t>
  </si>
  <si>
    <t>732995644180</t>
  </si>
  <si>
    <t>732995693966</t>
  </si>
  <si>
    <t>706257303696</t>
  </si>
  <si>
    <t>706257303887</t>
  </si>
  <si>
    <t>732995553857</t>
  </si>
  <si>
    <t>732996078526</t>
  </si>
  <si>
    <t>732994358613</t>
  </si>
  <si>
    <t>PETAL RAINS CARDIGAN</t>
  </si>
  <si>
    <t>100047255PT</t>
  </si>
  <si>
    <t>732994358798</t>
  </si>
  <si>
    <t>732994358699</t>
  </si>
  <si>
    <t>732994358811</t>
  </si>
  <si>
    <t>806864047607</t>
  </si>
  <si>
    <t>TUMMY CNTRL LEGGING BASIC</t>
  </si>
  <si>
    <t>8459IDB697</t>
  </si>
  <si>
    <t>732994892261</t>
  </si>
  <si>
    <t>732994892483</t>
  </si>
  <si>
    <t>706256261799</t>
  </si>
  <si>
    <t>FLAT FRNT PULLON PNT</t>
  </si>
  <si>
    <t>100041539MS</t>
  </si>
  <si>
    <t>887650922759</t>
  </si>
  <si>
    <t>732996206837</t>
  </si>
  <si>
    <t>191057407284</t>
  </si>
  <si>
    <t>PULL ON CARGO BERMUDA</t>
  </si>
  <si>
    <t>689439502929</t>
  </si>
  <si>
    <t>732996503707</t>
  </si>
  <si>
    <t>190917253610</t>
  </si>
  <si>
    <t>ASYMMETRICAL SHIRRED TRI</t>
  </si>
  <si>
    <t>918-CSB090</t>
  </si>
  <si>
    <t>732996430850</t>
  </si>
  <si>
    <t>PTD JQD SKRT TCTN ST</t>
  </si>
  <si>
    <t>100063488MS</t>
  </si>
  <si>
    <t>732996430881</t>
  </si>
  <si>
    <t>732996430867</t>
  </si>
  <si>
    <t>885779819578</t>
  </si>
  <si>
    <t>689439495283</t>
  </si>
  <si>
    <t>MCRODITSY PRNTD SKRT</t>
  </si>
  <si>
    <t>100041505MS</t>
  </si>
  <si>
    <t>732994074964</t>
  </si>
  <si>
    <t>732995814026</t>
  </si>
  <si>
    <t>732995814101</t>
  </si>
  <si>
    <t>706256088358</t>
  </si>
  <si>
    <t>S/L DNM POLY PULLON</t>
  </si>
  <si>
    <t>100046844PT</t>
  </si>
  <si>
    <t>732994551946</t>
  </si>
  <si>
    <t>732994551755</t>
  </si>
  <si>
    <t>732994552035</t>
  </si>
  <si>
    <t>706256084862</t>
  </si>
  <si>
    <t>190917250459</t>
  </si>
  <si>
    <t>732995643503</t>
  </si>
  <si>
    <t>8864323815</t>
  </si>
  <si>
    <t>732994552714</t>
  </si>
  <si>
    <t>732995898347</t>
  </si>
  <si>
    <t>732995898293</t>
  </si>
  <si>
    <t>732995606751</t>
  </si>
  <si>
    <t>732995606775</t>
  </si>
  <si>
    <t>732996095394</t>
  </si>
  <si>
    <t>732996095370</t>
  </si>
  <si>
    <t>732996360836</t>
  </si>
  <si>
    <t>704976381902</t>
  </si>
  <si>
    <t>732994343657</t>
  </si>
  <si>
    <t>704976381896</t>
  </si>
  <si>
    <t>726895589016</t>
  </si>
  <si>
    <t>732995011289</t>
  </si>
  <si>
    <t>732995736854</t>
  </si>
  <si>
    <t>732995350807</t>
  </si>
  <si>
    <t>100025439MS</t>
  </si>
  <si>
    <t>732995145205</t>
  </si>
  <si>
    <t>732995401486</t>
  </si>
  <si>
    <t>768594212482</t>
  </si>
  <si>
    <t>22722BF805</t>
  </si>
  <si>
    <t>768594150845</t>
  </si>
  <si>
    <t>732994805971</t>
  </si>
  <si>
    <t>732996385976</t>
  </si>
  <si>
    <t>732994824828</t>
  </si>
  <si>
    <t>732994804905</t>
  </si>
  <si>
    <t>732995085853</t>
  </si>
  <si>
    <t>732995085839</t>
  </si>
  <si>
    <t>636206660009</t>
  </si>
  <si>
    <t>732996707075</t>
  </si>
  <si>
    <t>3/4 PLCD R/S LNWORK</t>
  </si>
  <si>
    <t>100068077MS</t>
  </si>
  <si>
    <t>732996163918</t>
  </si>
  <si>
    <t>732996163901</t>
  </si>
  <si>
    <t>732996298191</t>
  </si>
  <si>
    <t>732996135274</t>
  </si>
  <si>
    <t>732996387390</t>
  </si>
  <si>
    <t>732995745405</t>
  </si>
  <si>
    <t>100049764PT</t>
  </si>
  <si>
    <t>732995718263</t>
  </si>
  <si>
    <t>732995718584</t>
  </si>
  <si>
    <t>732995598131</t>
  </si>
  <si>
    <t>100039087PT</t>
  </si>
  <si>
    <t>732995746914</t>
  </si>
  <si>
    <t>12 INCH WOVEN SHORT</t>
  </si>
  <si>
    <t>100057301MS</t>
  </si>
  <si>
    <t>689439267743</t>
  </si>
  <si>
    <t>732996601687</t>
  </si>
  <si>
    <t>732995794311</t>
  </si>
  <si>
    <t>732995712353</t>
  </si>
  <si>
    <t>732995711899</t>
  </si>
  <si>
    <t>732996027487</t>
  </si>
  <si>
    <t>732996602233</t>
  </si>
  <si>
    <t>732996601632</t>
  </si>
  <si>
    <t>732996601618</t>
  </si>
  <si>
    <t>732995389647</t>
  </si>
  <si>
    <t>732995389289</t>
  </si>
  <si>
    <t>SCPNK SD PNL GRAPHIC</t>
  </si>
  <si>
    <t>100056248PT</t>
  </si>
  <si>
    <t>732996602707</t>
  </si>
  <si>
    <t>704976223820</t>
  </si>
  <si>
    <t>ELBOW BELL SLEEVE PINTUC</t>
  </si>
  <si>
    <t>PRJU0700</t>
  </si>
  <si>
    <t>732995907131</t>
  </si>
  <si>
    <t>100049694MS</t>
  </si>
  <si>
    <t>704976222373</t>
  </si>
  <si>
    <t>732996256443</t>
  </si>
  <si>
    <t>S/S PTD R/S CHROM BL</t>
  </si>
  <si>
    <t>100055120WN</t>
  </si>
  <si>
    <t>732996436357</t>
  </si>
  <si>
    <t>732996436180</t>
  </si>
  <si>
    <t>636193630399</t>
  </si>
  <si>
    <t>VELOUR BASIC PANT</t>
  </si>
  <si>
    <t>100025423MS</t>
  </si>
  <si>
    <t>732995788808</t>
  </si>
  <si>
    <t>732995958768</t>
  </si>
  <si>
    <t>SS SCPNK SHRKBT GR</t>
  </si>
  <si>
    <t>100060001MS</t>
  </si>
  <si>
    <t>732995056129</t>
  </si>
  <si>
    <t>732995921915</t>
  </si>
  <si>
    <t>732995922813</t>
  </si>
  <si>
    <t>732995505597</t>
  </si>
  <si>
    <t>S/S STRIPE BUT PUFF</t>
  </si>
  <si>
    <t>100043753PT</t>
  </si>
  <si>
    <t>706256508719</t>
  </si>
  <si>
    <t>84987IV460</t>
  </si>
  <si>
    <t>732995921953</t>
  </si>
  <si>
    <t>732994898355</t>
  </si>
  <si>
    <t>3/4 FLOWERY HANGDOWN</t>
  </si>
  <si>
    <t>100039092MS</t>
  </si>
  <si>
    <t>191608447097</t>
  </si>
  <si>
    <t>PETITE PROPORTION SHORT</t>
  </si>
  <si>
    <t>72300OQ</t>
  </si>
  <si>
    <t>191608447080</t>
  </si>
  <si>
    <t>732995662191</t>
  </si>
  <si>
    <t>732994928427</t>
  </si>
  <si>
    <t>732995405590</t>
  </si>
  <si>
    <t>726895128581</t>
  </si>
  <si>
    <t>732995917482</t>
  </si>
  <si>
    <t>732995920369</t>
  </si>
  <si>
    <t>100049810MS</t>
  </si>
  <si>
    <t>732995196108</t>
  </si>
  <si>
    <t>608356953942</t>
  </si>
  <si>
    <t>732995779455</t>
  </si>
  <si>
    <t>732995512083</t>
  </si>
  <si>
    <t>732996217321</t>
  </si>
  <si>
    <t>100055120MS</t>
  </si>
  <si>
    <t>732996217291</t>
  </si>
  <si>
    <t>732996005454</t>
  </si>
  <si>
    <t>S/S PTD R/S SPTTD PL</t>
  </si>
  <si>
    <t>100055112MS</t>
  </si>
  <si>
    <t>732995920055</t>
  </si>
  <si>
    <t>706258698937</t>
  </si>
  <si>
    <t>732996437583</t>
  </si>
  <si>
    <t>732995845785</t>
  </si>
  <si>
    <t>100049914PT</t>
  </si>
  <si>
    <t>732995275537</t>
  </si>
  <si>
    <t>732995275506</t>
  </si>
  <si>
    <t>732995275513</t>
  </si>
  <si>
    <t>732996365671</t>
  </si>
  <si>
    <t>732996365701</t>
  </si>
  <si>
    <t>732996365091</t>
  </si>
  <si>
    <t>732996365046</t>
  </si>
  <si>
    <t>732996365077</t>
  </si>
  <si>
    <t>732996365053</t>
  </si>
  <si>
    <t>636206917738</t>
  </si>
  <si>
    <t>732995735550</t>
  </si>
  <si>
    <t>732996006581</t>
  </si>
  <si>
    <t>732994731409</t>
  </si>
  <si>
    <t>732996087832</t>
  </si>
  <si>
    <t>732995737554</t>
  </si>
  <si>
    <t>732995047875</t>
  </si>
  <si>
    <t>732995416565</t>
  </si>
  <si>
    <t>636206919350</t>
  </si>
  <si>
    <t>732995701654</t>
  </si>
  <si>
    <t>732995171488</t>
  </si>
  <si>
    <t>732995738148</t>
  </si>
  <si>
    <t>608356420215</t>
  </si>
  <si>
    <t>LS SOLID TURTLENECK</t>
  </si>
  <si>
    <t>M1042</t>
  </si>
  <si>
    <t>STYLE &amp; CO-MMG/BASICS</t>
  </si>
  <si>
    <t>732996381145</t>
  </si>
  <si>
    <t>732995740783</t>
  </si>
  <si>
    <t>732995740806</t>
  </si>
  <si>
    <t>732996224459</t>
  </si>
  <si>
    <t>732994802598</t>
  </si>
  <si>
    <t>732995197365</t>
  </si>
  <si>
    <t>732995197310</t>
  </si>
  <si>
    <t>732994965378</t>
  </si>
  <si>
    <t>689439079247</t>
  </si>
  <si>
    <t>732994904872</t>
  </si>
  <si>
    <t>732994897648</t>
  </si>
  <si>
    <t>732994897655</t>
  </si>
  <si>
    <t>732994897679</t>
  </si>
  <si>
    <t>732994897051</t>
  </si>
  <si>
    <t>732994897822</t>
  </si>
  <si>
    <t>732994897686</t>
  </si>
  <si>
    <t>732994897389</t>
  </si>
  <si>
    <t>732994904537</t>
  </si>
  <si>
    <t>706254747059</t>
  </si>
  <si>
    <t>706258343486</t>
  </si>
  <si>
    <t>732995508154</t>
  </si>
  <si>
    <t>ELB GEO BUTERFLY VNK</t>
  </si>
  <si>
    <t>100036397PT</t>
  </si>
  <si>
    <t>732996195414</t>
  </si>
  <si>
    <t>732995196634</t>
  </si>
  <si>
    <t>732995810097</t>
  </si>
  <si>
    <t>732996195650</t>
  </si>
  <si>
    <t>732994902199</t>
  </si>
  <si>
    <t>732996223667</t>
  </si>
  <si>
    <t>S/S DITZY DUNE SCOOP</t>
  </si>
  <si>
    <t>100045482PT</t>
  </si>
  <si>
    <t>732995196399</t>
  </si>
  <si>
    <t>732994902182</t>
  </si>
  <si>
    <t>732995196382</t>
  </si>
  <si>
    <t>732995846768</t>
  </si>
  <si>
    <t>S/S FLORAL FLOW SC</t>
  </si>
  <si>
    <t>100045488PT</t>
  </si>
  <si>
    <t>732995846751</t>
  </si>
  <si>
    <t>732994908276</t>
  </si>
  <si>
    <t>689439075874</t>
  </si>
  <si>
    <t>100028122MS</t>
  </si>
  <si>
    <t>706254726009</t>
  </si>
  <si>
    <t>190392536192</t>
  </si>
  <si>
    <t>CROPPED STRAIGHT WITH DE</t>
  </si>
  <si>
    <t>GS8630187</t>
  </si>
  <si>
    <t>JEN 7/SEVEN FOR ALL MANKIND</t>
  </si>
  <si>
    <t>732994806824</t>
  </si>
  <si>
    <t>492608132250</t>
  </si>
  <si>
    <t>BLAC BLACK TIE FRNT GAUCH</t>
  </si>
  <si>
    <t>M4099-13225</t>
  </si>
  <si>
    <t>NO SIZE</t>
  </si>
  <si>
    <t>MB MODER SPRT</t>
  </si>
  <si>
    <t>ZOE &amp; PHOEBE/FASHIONLAND NYC INC</t>
  </si>
  <si>
    <t>652933160803</t>
  </si>
  <si>
    <t>SLVLS BODYCON PLACEMENT</t>
  </si>
  <si>
    <t>AP1D103415</t>
  </si>
  <si>
    <t>652933160810</t>
  </si>
  <si>
    <t>828659135733</t>
  </si>
  <si>
    <t>SLV MOC NECK JUMP</t>
  </si>
  <si>
    <t>VC9M9823</t>
  </si>
  <si>
    <t>635273495354</t>
  </si>
  <si>
    <t>889648426034</t>
  </si>
  <si>
    <t>1PC HALTER NECKLACE</t>
  </si>
  <si>
    <t>DR50760</t>
  </si>
  <si>
    <t>889648425983</t>
  </si>
  <si>
    <t>828659129664</t>
  </si>
  <si>
    <t>CAP SLV CREPE OTS SHEATH</t>
  </si>
  <si>
    <t>VC9M9679</t>
  </si>
  <si>
    <t>828659126939</t>
  </si>
  <si>
    <t>SS ANIMAL JERSEY SHEATH</t>
  </si>
  <si>
    <t>VC9M9820</t>
  </si>
  <si>
    <t>828659190626</t>
  </si>
  <si>
    <t>828659585194</t>
  </si>
  <si>
    <t>SL SEAMED APRN NECK FNF</t>
  </si>
  <si>
    <t>VC8M7059</t>
  </si>
  <si>
    <t>93487386101</t>
  </si>
  <si>
    <t>SOFT CREPE CARDIGAN</t>
  </si>
  <si>
    <t>93487386095</t>
  </si>
  <si>
    <t>93487386118</t>
  </si>
  <si>
    <t>93487386088</t>
  </si>
  <si>
    <t>93487534892</t>
  </si>
  <si>
    <t>FLNCE NECK FLORAL MAXI</t>
  </si>
  <si>
    <t>93487534830</t>
  </si>
  <si>
    <t>193623952396</t>
  </si>
  <si>
    <t>DENIM BELT LOOPED SKIRT</t>
  </si>
  <si>
    <t>S93SD531</t>
  </si>
  <si>
    <t>POLYESTER/RAYON/SPANDEX; LINING: POLYESTER/SPANDEX</t>
  </si>
  <si>
    <t>190466028769</t>
  </si>
  <si>
    <t>193623975012</t>
  </si>
  <si>
    <t>93487385852</t>
  </si>
  <si>
    <t>93487385906</t>
  </si>
  <si>
    <t>93487385920</t>
  </si>
  <si>
    <t>93487385845</t>
  </si>
  <si>
    <t>706258567028</t>
  </si>
  <si>
    <t>WVN FLR RVRS QLT JKT</t>
  </si>
  <si>
    <t>100039748MS</t>
  </si>
  <si>
    <t>636206065996</t>
  </si>
  <si>
    <t>636206065910</t>
  </si>
  <si>
    <t>732995559644</t>
  </si>
  <si>
    <t>732996071428</t>
  </si>
  <si>
    <t>732995347302</t>
  </si>
  <si>
    <t>92413 OMBRE STRP P/O</t>
  </si>
  <si>
    <t>100054141P</t>
  </si>
  <si>
    <t>732995300529</t>
  </si>
  <si>
    <t>100053342PT</t>
  </si>
  <si>
    <t>732995300475</t>
  </si>
  <si>
    <t>732995300512</t>
  </si>
  <si>
    <t>732995300499</t>
  </si>
  <si>
    <t>732995300482</t>
  </si>
  <si>
    <t>732995300505</t>
  </si>
  <si>
    <t>732995300543</t>
  </si>
  <si>
    <t>732995028966</t>
  </si>
  <si>
    <t>100051436PT</t>
  </si>
  <si>
    <t>POLYESTER; TRIM: COTTON</t>
  </si>
  <si>
    <t>732996692715</t>
  </si>
  <si>
    <t>KN TEXT VNCK TOP</t>
  </si>
  <si>
    <t>100059194PT</t>
  </si>
  <si>
    <t>190917236231</t>
  </si>
  <si>
    <t>732994535519</t>
  </si>
  <si>
    <t>R DESTRUCTED BF</t>
  </si>
  <si>
    <t>732995840186</t>
  </si>
  <si>
    <t>BL NVTY CHVRN BBL</t>
  </si>
  <si>
    <t>100055253PT</t>
  </si>
  <si>
    <t>732995831795</t>
  </si>
  <si>
    <t>732995831498</t>
  </si>
  <si>
    <t>636206621918</t>
  </si>
  <si>
    <t>636206615122</t>
  </si>
  <si>
    <t>636206614941</t>
  </si>
  <si>
    <t>636206621901</t>
  </si>
  <si>
    <t>636206615108</t>
  </si>
  <si>
    <t>190917259964</t>
  </si>
  <si>
    <t>RUFFLE TIERED MAXI SKIRT</t>
  </si>
  <si>
    <t>732995617856</t>
  </si>
  <si>
    <t>93424 OMBRE COMPLTR</t>
  </si>
  <si>
    <t>100061646P</t>
  </si>
  <si>
    <t>COTTON/ACRYLIC/POLYESTER/METALLIC</t>
  </si>
  <si>
    <t>732995617832</t>
  </si>
  <si>
    <t>732995617818</t>
  </si>
  <si>
    <t>732995617825</t>
  </si>
  <si>
    <t>732995617849</t>
  </si>
  <si>
    <t>732995755916</t>
  </si>
  <si>
    <t>732995103281</t>
  </si>
  <si>
    <t>COLD SHOULDER WITH T</t>
  </si>
  <si>
    <t>100049690P</t>
  </si>
  <si>
    <t>INC-EDI/PADDY LEE</t>
  </si>
  <si>
    <t>191056371821</t>
  </si>
  <si>
    <t>RINS 360 DEFY RINSE (DARK) SK</t>
  </si>
  <si>
    <t>P001470</t>
  </si>
  <si>
    <t>COTTON/POLYESTER/ALGODON</t>
  </si>
  <si>
    <t>889648398836</t>
  </si>
  <si>
    <t>TIE SLV SHRUG</t>
  </si>
  <si>
    <t>JJ37435</t>
  </si>
  <si>
    <t>732996360515</t>
  </si>
  <si>
    <t>KNT SL PALMAR MIDI</t>
  </si>
  <si>
    <t>100068010MS</t>
  </si>
  <si>
    <t>732996009353</t>
  </si>
  <si>
    <t>SEQUIN MESH BELL SLV</t>
  </si>
  <si>
    <t>100038928MS</t>
  </si>
  <si>
    <t>POLYESTER/SPANDEX; MESH INSERTS: NYLON</t>
  </si>
  <si>
    <t>732995415612</t>
  </si>
  <si>
    <t>732995818956</t>
  </si>
  <si>
    <t>29408021820</t>
  </si>
  <si>
    <t>EDV NAVY TWILL PO AVE PA</t>
  </si>
  <si>
    <t>732995045956</t>
  </si>
  <si>
    <t>100049461MS</t>
  </si>
  <si>
    <t>636193134101</t>
  </si>
  <si>
    <t>DNM WASH PINTUCK ANK</t>
  </si>
  <si>
    <t>100033417MS</t>
  </si>
  <si>
    <t>636193134118</t>
  </si>
  <si>
    <t>732995994469</t>
  </si>
  <si>
    <t>DOUBLE TIER EMBL CAP</t>
  </si>
  <si>
    <t>100055157MS</t>
  </si>
  <si>
    <t>732995994476</t>
  </si>
  <si>
    <t>191056771485</t>
  </si>
  <si>
    <t>ENJO LEE MISSES BASIC JEA</t>
  </si>
  <si>
    <t>P00512D</t>
  </si>
  <si>
    <t>CAS DNM SEP P</t>
  </si>
  <si>
    <t>732994893220</t>
  </si>
  <si>
    <t>BT PD EYELET EMB CAP</t>
  </si>
  <si>
    <t>732995300130</t>
  </si>
  <si>
    <t>DNM SLD WIDE LG CRP</t>
  </si>
  <si>
    <t>100049452PT</t>
  </si>
  <si>
    <t>732996039794</t>
  </si>
  <si>
    <t>732995300208</t>
  </si>
  <si>
    <t>732996262543</t>
  </si>
  <si>
    <t>100059815MS</t>
  </si>
  <si>
    <t>POLYESTER/SPANDEX; PANEL: NYLON/SPANDEX</t>
  </si>
  <si>
    <t>732996262550</t>
  </si>
  <si>
    <t>732996262529</t>
  </si>
  <si>
    <t>732996262536</t>
  </si>
  <si>
    <t>732995438192</t>
  </si>
  <si>
    <t>732995348736</t>
  </si>
  <si>
    <t>MOLESKIN TOPPER</t>
  </si>
  <si>
    <t>7X495P</t>
  </si>
  <si>
    <t>BACK SHELL: RAYON/NYLON; FAUX SUEDE SHELL: POLYESTER/SPANDEX</t>
  </si>
  <si>
    <t>732996127330</t>
  </si>
  <si>
    <t>726895907001</t>
  </si>
  <si>
    <t>SOLID SWING TOP</t>
  </si>
  <si>
    <t>7999AFU677</t>
  </si>
  <si>
    <t>732996291819</t>
  </si>
  <si>
    <t>C HR BTTN FLY SHORT</t>
  </si>
  <si>
    <t>732995114706</t>
  </si>
  <si>
    <t>WVN DBL PKT TNCL SHR BASIC</t>
  </si>
  <si>
    <t>100053276PT</t>
  </si>
  <si>
    <t>732995719703</t>
  </si>
  <si>
    <t>732996118000</t>
  </si>
  <si>
    <t>732996118017</t>
  </si>
  <si>
    <t>732996117997</t>
  </si>
  <si>
    <t>732995527810</t>
  </si>
  <si>
    <t>SWT LS AO GEO COMP BASIC</t>
  </si>
  <si>
    <t>100048424MS</t>
  </si>
  <si>
    <t>732996313405</t>
  </si>
  <si>
    <t>732995481549</t>
  </si>
  <si>
    <t>CNTRST PATCH PKT SK</t>
  </si>
  <si>
    <t>100056121P</t>
  </si>
  <si>
    <t>732995420036</t>
  </si>
  <si>
    <t>822980369157</t>
  </si>
  <si>
    <t>BRIG WHITE BRISTOL ANKLE</t>
  </si>
  <si>
    <t>68005WH894</t>
  </si>
  <si>
    <t>732994691628</t>
  </si>
  <si>
    <t>732996823652</t>
  </si>
  <si>
    <t>887650752196</t>
  </si>
  <si>
    <t>BTM PICK CHCK PO SLM</t>
  </si>
  <si>
    <t>100016719M</t>
  </si>
  <si>
    <t>RAYON/NYLON/POLYESTER/SPANDEX</t>
  </si>
  <si>
    <t>887650752202</t>
  </si>
  <si>
    <t>887650752226</t>
  </si>
  <si>
    <t>732995094695</t>
  </si>
  <si>
    <t>732995717235</t>
  </si>
  <si>
    <t>100053244MS</t>
  </si>
  <si>
    <t>732996262369</t>
  </si>
  <si>
    <t>689439468027</t>
  </si>
  <si>
    <t>CROSSHATCH SKIRT</t>
  </si>
  <si>
    <t>100045871MS</t>
  </si>
  <si>
    <t>732996197920</t>
  </si>
  <si>
    <t>CRCHT SLV CRSSHTCH</t>
  </si>
  <si>
    <t>100058857MS</t>
  </si>
  <si>
    <t>SHELL, TRIM: RAYON/POLYESTER; LINING: POLYESTER/SPANDEX</t>
  </si>
  <si>
    <t>732996197913</t>
  </si>
  <si>
    <t>732995302196</t>
  </si>
  <si>
    <t>BTM DBWV SLM STR FL</t>
  </si>
  <si>
    <t>100048920MS</t>
  </si>
  <si>
    <t>POLYESTER/VISCOSE/SPANDEX</t>
  </si>
  <si>
    <t>887650878940</t>
  </si>
  <si>
    <t>RUFFLE HEM CP</t>
  </si>
  <si>
    <t>100010232P</t>
  </si>
  <si>
    <t>732995886184</t>
  </si>
  <si>
    <t>732996340180</t>
  </si>
  <si>
    <t>FW LACE UP TOP</t>
  </si>
  <si>
    <t>100063422MS</t>
  </si>
  <si>
    <t>732995706178</t>
  </si>
  <si>
    <t>PRINTED KNIT PANT</t>
  </si>
  <si>
    <t>100057739P</t>
  </si>
  <si>
    <t>732995706192</t>
  </si>
  <si>
    <t>732995736564</t>
  </si>
  <si>
    <t>RIB SLIT DUSTER</t>
  </si>
  <si>
    <t>69481P485</t>
  </si>
  <si>
    <t>732996030289</t>
  </si>
  <si>
    <t>BTM DT ATTN CHLS CPR</t>
  </si>
  <si>
    <t>100054499PT</t>
  </si>
  <si>
    <t>732996030265</t>
  </si>
  <si>
    <t>732996030258</t>
  </si>
  <si>
    <t>887650751731</t>
  </si>
  <si>
    <t>704975889188</t>
  </si>
  <si>
    <t>3/4 SLV ZIPP FR JMPST</t>
  </si>
  <si>
    <t>PITU6846</t>
  </si>
  <si>
    <t>732995821864</t>
  </si>
  <si>
    <t>732995457247</t>
  </si>
  <si>
    <t>887650382607</t>
  </si>
  <si>
    <t>636193230872</t>
  </si>
  <si>
    <t>636193230858</t>
  </si>
  <si>
    <t>636193230889</t>
  </si>
  <si>
    <t>732994978118</t>
  </si>
  <si>
    <t>PLEAT VNK WVN KT TNK</t>
  </si>
  <si>
    <t>100055213P</t>
  </si>
  <si>
    <t>SHELL: POLYESTER; TRIM: RAYON</t>
  </si>
  <si>
    <t>732994978057</t>
  </si>
  <si>
    <t>706254458610</t>
  </si>
  <si>
    <t>190917239508</t>
  </si>
  <si>
    <t>RING CS RUFFLE WOV</t>
  </si>
  <si>
    <t>818-B386</t>
  </si>
  <si>
    <t>887650751816</t>
  </si>
  <si>
    <t>732995729030</t>
  </si>
  <si>
    <t>689439359516</t>
  </si>
  <si>
    <t>FK SCP DRP SHLDR WFF</t>
  </si>
  <si>
    <t>100048911MS</t>
  </si>
  <si>
    <t>POLYESTER/RAYON/SPANDEX; TRIM: COTTON</t>
  </si>
  <si>
    <t>689439359561</t>
  </si>
  <si>
    <t>689439359523</t>
  </si>
  <si>
    <t>608381474771</t>
  </si>
  <si>
    <t>608356946555</t>
  </si>
  <si>
    <t>COTTON/VISCOSE/POLEYSTER/ELASTANE</t>
  </si>
  <si>
    <t>806864669625</t>
  </si>
  <si>
    <t>806864669588</t>
  </si>
  <si>
    <t>806864669656</t>
  </si>
  <si>
    <t>636202611333</t>
  </si>
  <si>
    <t>LONG LENGTH RVET PNT</t>
  </si>
  <si>
    <t>100040500MS</t>
  </si>
  <si>
    <t>2XL T/L</t>
  </si>
  <si>
    <t>732995185607</t>
  </si>
  <si>
    <t>BODY: VISCOSE/POLYESTER; MESH: NYLON</t>
  </si>
  <si>
    <t>732996252711</t>
  </si>
  <si>
    <t>636202363126</t>
  </si>
  <si>
    <t>IK TIERED MESH BIG</t>
  </si>
  <si>
    <t>190797091487</t>
  </si>
  <si>
    <t>190797091494</t>
  </si>
  <si>
    <t>726895084658</t>
  </si>
  <si>
    <t>732994764773</t>
  </si>
  <si>
    <t>732995556940</t>
  </si>
  <si>
    <t>SHRKBT KYHL NEON BR</t>
  </si>
  <si>
    <t>100051618MS</t>
  </si>
  <si>
    <t>636193216364</t>
  </si>
  <si>
    <t>636193210935</t>
  </si>
  <si>
    <t>732995438789</t>
  </si>
  <si>
    <t>KNT SL FLRL BRDR TOP</t>
  </si>
  <si>
    <t>100052947PT</t>
  </si>
  <si>
    <t>732996076591</t>
  </si>
  <si>
    <t>ZPRE CRGO CHAM CURVY</t>
  </si>
  <si>
    <t>806864668482</t>
  </si>
  <si>
    <t>732995841541</t>
  </si>
  <si>
    <t>732995889734</t>
  </si>
  <si>
    <t>732995043617</t>
  </si>
  <si>
    <t>636202663738</t>
  </si>
  <si>
    <t>KEYHOLE HALTER</t>
  </si>
  <si>
    <t>100016946P</t>
  </si>
  <si>
    <t>636202721087</t>
  </si>
  <si>
    <t>FK SPLT BBYDLL SNIT</t>
  </si>
  <si>
    <t>100047337MS</t>
  </si>
  <si>
    <t>VISCOSE/POLYESTER/SPANDEX</t>
  </si>
  <si>
    <t>636202660201</t>
  </si>
  <si>
    <t>704976350809</t>
  </si>
  <si>
    <t>704976350786</t>
  </si>
  <si>
    <t>732995093414</t>
  </si>
  <si>
    <t>732996071923</t>
  </si>
  <si>
    <t>732995045253</t>
  </si>
  <si>
    <t>726895777147</t>
  </si>
  <si>
    <t>726895585049</t>
  </si>
  <si>
    <t>726895378498</t>
  </si>
  <si>
    <t>732996135502</t>
  </si>
  <si>
    <t>732995803655</t>
  </si>
  <si>
    <t>732994935128</t>
  </si>
  <si>
    <t>732995510522</t>
  </si>
  <si>
    <t>732994272872</t>
  </si>
  <si>
    <t>IK SCPNK SS TIE TOP</t>
  </si>
  <si>
    <t>732995939033</t>
  </si>
  <si>
    <t>732995939002</t>
  </si>
  <si>
    <t>732995719482</t>
  </si>
  <si>
    <t>FK SHIRTTAIL TOP</t>
  </si>
  <si>
    <t>100054220MS</t>
  </si>
  <si>
    <t>706256881690</t>
  </si>
  <si>
    <t>732994936057</t>
  </si>
  <si>
    <t>732994936101</t>
  </si>
  <si>
    <t>732994936132</t>
  </si>
  <si>
    <t>732994936095</t>
  </si>
  <si>
    <t>887650728863</t>
  </si>
  <si>
    <t>706254462495</t>
  </si>
  <si>
    <t>636202284261</t>
  </si>
  <si>
    <t>726895333992</t>
  </si>
  <si>
    <t>DR TIERED TIE FRONT</t>
  </si>
  <si>
    <t>100052135PT</t>
  </si>
  <si>
    <t>726895336603</t>
  </si>
  <si>
    <t>DR SLVLESS BABYDOLL</t>
  </si>
  <si>
    <t>100052137PT</t>
  </si>
  <si>
    <t>732995778304</t>
  </si>
  <si>
    <t>S/S CLMB GARDEN DRES</t>
  </si>
  <si>
    <t>100050987MS</t>
  </si>
  <si>
    <t>732996028989</t>
  </si>
  <si>
    <t>732995828658</t>
  </si>
  <si>
    <t>732996120713</t>
  </si>
  <si>
    <t>636202710401</t>
  </si>
  <si>
    <t>RAYON/NYLON/SPANDEX; TRIM: POLYESTER/SPANDEX</t>
  </si>
  <si>
    <t>636193341035</t>
  </si>
  <si>
    <t>100003670W</t>
  </si>
  <si>
    <t>732995064254</t>
  </si>
  <si>
    <t>732994358705</t>
  </si>
  <si>
    <t>732994935234</t>
  </si>
  <si>
    <t>706257185643</t>
  </si>
  <si>
    <t>706257185568</t>
  </si>
  <si>
    <t>706257185599</t>
  </si>
  <si>
    <t>706257185544</t>
  </si>
  <si>
    <t>706257185681</t>
  </si>
  <si>
    <t>706257185667</t>
  </si>
  <si>
    <t>706257185650</t>
  </si>
  <si>
    <t>706257185698</t>
  </si>
  <si>
    <t>732995265477</t>
  </si>
  <si>
    <t>689439508464</t>
  </si>
  <si>
    <t>689439503094</t>
  </si>
  <si>
    <t>732995813722</t>
  </si>
  <si>
    <t>732996239699</t>
  </si>
  <si>
    <t>PTD JQD SKRT GRDN PT</t>
  </si>
  <si>
    <t>100061403MS</t>
  </si>
  <si>
    <t>732996239705</t>
  </si>
  <si>
    <t>732996239682</t>
  </si>
  <si>
    <t>732995416817</t>
  </si>
  <si>
    <t>100049024PT</t>
  </si>
  <si>
    <t>732995573664</t>
  </si>
  <si>
    <t>ITY RING RCHD TOP</t>
  </si>
  <si>
    <t>100047692MS</t>
  </si>
  <si>
    <t>732995029840</t>
  </si>
  <si>
    <t>732996196084</t>
  </si>
  <si>
    <t>732994551922</t>
  </si>
  <si>
    <t>732994551786</t>
  </si>
  <si>
    <t>732994551892</t>
  </si>
  <si>
    <t>682173196010</t>
  </si>
  <si>
    <t>JPR SKIRT</t>
  </si>
  <si>
    <t>MG103921J</t>
  </si>
  <si>
    <t>MOD CLASSIFIC</t>
  </si>
  <si>
    <t>JOHN PAUL RICHARD INC</t>
  </si>
  <si>
    <t>704976229334</t>
  </si>
  <si>
    <t>PRINTED GUACHO PANT</t>
  </si>
  <si>
    <t>PITP0767</t>
  </si>
  <si>
    <t>689439904211</t>
  </si>
  <si>
    <t>732995292084</t>
  </si>
  <si>
    <t>SLVLSS MIXD GGT TOP</t>
  </si>
  <si>
    <t>100051279PT</t>
  </si>
  <si>
    <t>732995292046</t>
  </si>
  <si>
    <t>732996808956</t>
  </si>
  <si>
    <t>732994930925</t>
  </si>
  <si>
    <t>FT COLORBLCK PULLOVR</t>
  </si>
  <si>
    <t>100039232MS</t>
  </si>
  <si>
    <t>732994344975</t>
  </si>
  <si>
    <t>732994345026</t>
  </si>
  <si>
    <t>732995343229</t>
  </si>
  <si>
    <t>VNK ZIP FRONT TANK</t>
  </si>
  <si>
    <t>100056135P</t>
  </si>
  <si>
    <t>732995343298</t>
  </si>
  <si>
    <t>726895433777</t>
  </si>
  <si>
    <t>FRONT SEAM CAPRI</t>
  </si>
  <si>
    <t>636202340653</t>
  </si>
  <si>
    <t>IK SCPNK SS EMB TEE BASIC</t>
  </si>
  <si>
    <t>636202340646</t>
  </si>
  <si>
    <t>704975667472</t>
  </si>
  <si>
    <t>LS PLEATED SLV HIGH LOW</t>
  </si>
  <si>
    <t>MSVU1471</t>
  </si>
  <si>
    <t>190917251364</t>
  </si>
  <si>
    <t>768594150838</t>
  </si>
  <si>
    <t>884918942481</t>
  </si>
  <si>
    <t>22722UE805</t>
  </si>
  <si>
    <t>732995085846</t>
  </si>
  <si>
    <t>732996072937</t>
  </si>
  <si>
    <t>PMA 3/4 SL LP BRD BT</t>
  </si>
  <si>
    <t>100056402MS</t>
  </si>
  <si>
    <t>732995085860</t>
  </si>
  <si>
    <t>732996649887</t>
  </si>
  <si>
    <t>732995804607</t>
  </si>
  <si>
    <t>732996330365</t>
  </si>
  <si>
    <t>732995742138</t>
  </si>
  <si>
    <t>732995747263</t>
  </si>
  <si>
    <t>732995795639</t>
  </si>
  <si>
    <t>636202031797</t>
  </si>
  <si>
    <t>732996436289</t>
  </si>
  <si>
    <t>732996436166</t>
  </si>
  <si>
    <t>732995743456</t>
  </si>
  <si>
    <t>732995922776</t>
  </si>
  <si>
    <t>732996072067</t>
  </si>
  <si>
    <t>706257580738</t>
  </si>
  <si>
    <t>732995732139</t>
  </si>
  <si>
    <t>732995728637</t>
  </si>
  <si>
    <t>726895129274</t>
  </si>
  <si>
    <t>636202275160</t>
  </si>
  <si>
    <t>PMA 3/4 HTHR SDR BTN</t>
  </si>
  <si>
    <t>54700HM814</t>
  </si>
  <si>
    <t>636202275153</t>
  </si>
  <si>
    <t>732995586985</t>
  </si>
  <si>
    <t>732994585415</t>
  </si>
  <si>
    <t>SWT SOLID VNECK</t>
  </si>
  <si>
    <t>100030987MS</t>
  </si>
  <si>
    <t>732994869669</t>
  </si>
  <si>
    <t>636189201909</t>
  </si>
  <si>
    <t>732995845907</t>
  </si>
  <si>
    <t>732995213003</t>
  </si>
  <si>
    <t>732995845716</t>
  </si>
  <si>
    <t>732997102053</t>
  </si>
  <si>
    <t>88144SQ472</t>
  </si>
  <si>
    <t>732996133256</t>
  </si>
  <si>
    <t>100060594PT</t>
  </si>
  <si>
    <t>732996133270</t>
  </si>
  <si>
    <t>732996499437</t>
  </si>
  <si>
    <t>100063486PT</t>
  </si>
  <si>
    <t>732996006208</t>
  </si>
  <si>
    <t>84987PW460</t>
  </si>
  <si>
    <t>732994814652</t>
  </si>
  <si>
    <t>732994814836</t>
  </si>
  <si>
    <t>732994814683</t>
  </si>
  <si>
    <t>710978296502</t>
  </si>
  <si>
    <t>LAYERING TANK</t>
  </si>
  <si>
    <t>7589EBK677</t>
  </si>
  <si>
    <t>732996006512</t>
  </si>
  <si>
    <t>706257171226</t>
  </si>
  <si>
    <t>27028DB805</t>
  </si>
  <si>
    <t>706257317617</t>
  </si>
  <si>
    <t>732995171471</t>
  </si>
  <si>
    <t>706254805209</t>
  </si>
  <si>
    <t>726895162905</t>
  </si>
  <si>
    <t>PMA 3/4 RPLN SDR BTN BASIC</t>
  </si>
  <si>
    <t>54700RM814</t>
  </si>
  <si>
    <t>732995043853</t>
  </si>
  <si>
    <t>706254621700</t>
  </si>
  <si>
    <t>CLOU SL LAYERING TANK BASIC</t>
  </si>
  <si>
    <t>10125LC814</t>
  </si>
  <si>
    <t>732995782035</t>
  </si>
  <si>
    <t>732994769631</t>
  </si>
  <si>
    <t>732995705447</t>
  </si>
  <si>
    <t>706255669114</t>
  </si>
  <si>
    <t>706255669176</t>
  </si>
  <si>
    <t>706255669190</t>
  </si>
  <si>
    <t>732996011882</t>
  </si>
  <si>
    <t>SLS CAT PETAL HN</t>
  </si>
  <si>
    <t>100045483MS</t>
  </si>
  <si>
    <t>732995441321</t>
  </si>
  <si>
    <t>732996011905</t>
  </si>
  <si>
    <t>706254741576</t>
  </si>
  <si>
    <t>706254741606</t>
  </si>
  <si>
    <t>732995441338</t>
  </si>
  <si>
    <t>732994768320</t>
  </si>
  <si>
    <t>732996011899</t>
  </si>
  <si>
    <t>732995197327</t>
  </si>
  <si>
    <t>732996381909</t>
  </si>
  <si>
    <t>732994904742</t>
  </si>
  <si>
    <t>706254747257</t>
  </si>
  <si>
    <t>732994902366</t>
  </si>
  <si>
    <t>706254755627</t>
  </si>
  <si>
    <t>S/S VINTAGE SCRL SCP</t>
  </si>
  <si>
    <t>100036358MS</t>
  </si>
  <si>
    <t>732995288261</t>
  </si>
  <si>
    <t>732994907262</t>
  </si>
  <si>
    <t>706254715942</t>
  </si>
  <si>
    <t>732994817400</t>
  </si>
  <si>
    <t>WVN ICNC VOILE TUNIC</t>
  </si>
  <si>
    <t>100046077MS</t>
  </si>
  <si>
    <t>732994374644</t>
  </si>
  <si>
    <t>DR VNK TIE WAIST MID</t>
  </si>
  <si>
    <t>100034904MS</t>
  </si>
  <si>
    <t>706257185742</t>
  </si>
  <si>
    <t>706257185759</t>
  </si>
  <si>
    <t>191608376298</t>
  </si>
  <si>
    <t>PULL ON SOLID SHORT</t>
  </si>
  <si>
    <t>652933160735</t>
  </si>
  <si>
    <t>OPNG PRC DAY</t>
  </si>
  <si>
    <t>ADRIANNA PAPELL INC</t>
  </si>
  <si>
    <t>191937915311</t>
  </si>
  <si>
    <t>SS RUFFLE VNCK MAXI</t>
  </si>
  <si>
    <t>AP1D103188</t>
  </si>
  <si>
    <t>828659140935</t>
  </si>
  <si>
    <t>CHEETAH VARISTY STRIP JU</t>
  </si>
  <si>
    <t>VC9M9573</t>
  </si>
  <si>
    <t>828659119276</t>
  </si>
  <si>
    <t>APRON NECK FNF</t>
  </si>
  <si>
    <t>VC9M9870</t>
  </si>
  <si>
    <t>828659325585</t>
  </si>
  <si>
    <t>OTS JUMP</t>
  </si>
  <si>
    <t>VC9M3193</t>
  </si>
  <si>
    <t>828659189699</t>
  </si>
  <si>
    <t>828659191753</t>
  </si>
  <si>
    <t>828659141918</t>
  </si>
  <si>
    <t>MOCK NECK SHIFT</t>
  </si>
  <si>
    <t>VC9M9832</t>
  </si>
  <si>
    <t>635273558264</t>
  </si>
  <si>
    <t>889648404063</t>
  </si>
  <si>
    <t>HLTR CHAIN NCK JUMP</t>
  </si>
  <si>
    <t>889648427420</t>
  </si>
  <si>
    <t>1PC CAP SLEEVE DRESS</t>
  </si>
  <si>
    <t>JJ36445</t>
  </si>
  <si>
    <t>828659112277</t>
  </si>
  <si>
    <t>755179403526</t>
  </si>
  <si>
    <t>889648425730</t>
  </si>
  <si>
    <t>V NCK SCUBA W LASER CUT</t>
  </si>
  <si>
    <t>DR51370</t>
  </si>
  <si>
    <t>93487397336</t>
  </si>
  <si>
    <t>V NECK CROPPED FLORAL JU</t>
  </si>
  <si>
    <t>93487397381</t>
  </si>
  <si>
    <t>93487397343</t>
  </si>
  <si>
    <t>755179356723</t>
  </si>
  <si>
    <t>FLORAL MAXI W RUFF NCK</t>
  </si>
  <si>
    <t>1499M</t>
  </si>
  <si>
    <t>747941388841</t>
  </si>
  <si>
    <t>NATALIE BOOTCUT</t>
  </si>
  <si>
    <t>KP258PA1</t>
  </si>
  <si>
    <t>KUT/SWAT FAME</t>
  </si>
  <si>
    <t>755179357232</t>
  </si>
  <si>
    <t>FLORAL SCUBA FNF</t>
  </si>
  <si>
    <t>1534M</t>
  </si>
  <si>
    <t>192891085973</t>
  </si>
  <si>
    <t>ZUMA VELOUR PANT</t>
  </si>
  <si>
    <t>WTKB88683</t>
  </si>
  <si>
    <t>JUICY COUTURE/PACIFIC ALLIANCE</t>
  </si>
  <si>
    <t>192891085966</t>
  </si>
  <si>
    <t>732996062471</t>
  </si>
  <si>
    <t>C EYELET CROP BF</t>
  </si>
  <si>
    <t>732996284569</t>
  </si>
  <si>
    <t>ANGLE SPARKL HEM ANK</t>
  </si>
  <si>
    <t>732996827933</t>
  </si>
  <si>
    <t>ALT PO PRNT COULOTTE</t>
  </si>
  <si>
    <t>100059394PT</t>
  </si>
  <si>
    <t>732996452234</t>
  </si>
  <si>
    <t>DR PRT TULIP MAXI</t>
  </si>
  <si>
    <t>100069655PT</t>
  </si>
  <si>
    <t>732995649352</t>
  </si>
  <si>
    <t>887368614915</t>
  </si>
  <si>
    <t>SHORTSLEEVE PEPLUM SHIRT</t>
  </si>
  <si>
    <t>74639375959A</t>
  </si>
  <si>
    <t>ECI/SHANGHAI SHENDA II LLC</t>
  </si>
  <si>
    <t>732996827926</t>
  </si>
  <si>
    <t>ALT PO COULOTTE</t>
  </si>
  <si>
    <t>100059393PT</t>
  </si>
  <si>
    <t>732994507110</t>
  </si>
  <si>
    <t>C EMBEL DESTRUCTD AN</t>
  </si>
  <si>
    <t>732996140957</t>
  </si>
  <si>
    <t>100054075MS</t>
  </si>
  <si>
    <t>732996140988</t>
  </si>
  <si>
    <t>732996140995</t>
  </si>
  <si>
    <t>732996360140</t>
  </si>
  <si>
    <t>KNT SL REEF MXI DRS</t>
  </si>
  <si>
    <t>100059676MS</t>
  </si>
  <si>
    <t>190917259902</t>
  </si>
  <si>
    <t>PALM NECKLACE SHIFT SHEER</t>
  </si>
  <si>
    <t>732996284903</t>
  </si>
  <si>
    <t>TIE DYE MOP HEM ANK</t>
  </si>
  <si>
    <t>732995312843</t>
  </si>
  <si>
    <t>190917256772</t>
  </si>
  <si>
    <t>732996491127</t>
  </si>
  <si>
    <t>96404 BLTD MIDI DRS</t>
  </si>
  <si>
    <t>100066649P</t>
  </si>
  <si>
    <t>VISCOSE/POLYESTER/METALLIC THREADING; TRIM: POLYESTER</t>
  </si>
  <si>
    <t>732996326504</t>
  </si>
  <si>
    <t>100059775P</t>
  </si>
  <si>
    <t>792831178033</t>
  </si>
  <si>
    <t>DENIM CARPENTER PANT</t>
  </si>
  <si>
    <t>PCP20RD</t>
  </si>
  <si>
    <t>726895880571</t>
  </si>
  <si>
    <t>SHELL: POLYESTER/SPANDEX</t>
  </si>
  <si>
    <t>732996068725</t>
  </si>
  <si>
    <t>R COULOTTE CROP</t>
  </si>
  <si>
    <t>732995831917</t>
  </si>
  <si>
    <t>JT VNECK SHORT SLV</t>
  </si>
  <si>
    <t>100054080MS</t>
  </si>
  <si>
    <t>732996339511</t>
  </si>
  <si>
    <t>WVN SL OMBRE LIN SHR</t>
  </si>
  <si>
    <t>100059751MS</t>
  </si>
  <si>
    <t>732996338354</t>
  </si>
  <si>
    <t>100059041PT</t>
  </si>
  <si>
    <t>732996338385</t>
  </si>
  <si>
    <t>732996338392</t>
  </si>
  <si>
    <t>732995296235</t>
  </si>
  <si>
    <t>DNM ATL WIDE LG CRP</t>
  </si>
  <si>
    <t>100049455MS</t>
  </si>
  <si>
    <t>732995296211</t>
  </si>
  <si>
    <t>732995296167</t>
  </si>
  <si>
    <t>732995296198</t>
  </si>
  <si>
    <t>726895135596</t>
  </si>
  <si>
    <t>TC WIDE WAIST SLIM</t>
  </si>
  <si>
    <t>72208P</t>
  </si>
  <si>
    <t>732996142951</t>
  </si>
  <si>
    <t>732997514740</t>
  </si>
  <si>
    <t>BL PRT BTTN DOWN</t>
  </si>
  <si>
    <t>100065431PT</t>
  </si>
  <si>
    <t>792831177258</t>
  </si>
  <si>
    <t>HICKORY STRIPE CARPENTER</t>
  </si>
  <si>
    <t>PCP20R</t>
  </si>
  <si>
    <t>732996824901</t>
  </si>
  <si>
    <t>HAMMRD BTN TRIM ANKL</t>
  </si>
  <si>
    <t>100059138WN</t>
  </si>
  <si>
    <t>706258415626</t>
  </si>
  <si>
    <t>732996269764</t>
  </si>
  <si>
    <t>DR SLVLS EMB SHORT BASIC</t>
  </si>
  <si>
    <t>100059470MS</t>
  </si>
  <si>
    <t>732996001692</t>
  </si>
  <si>
    <t>732995766622</t>
  </si>
  <si>
    <t>732996058788</t>
  </si>
  <si>
    <t>WVN SHELL PRT TSL TN</t>
  </si>
  <si>
    <t>100055842MS</t>
  </si>
  <si>
    <t>792831178453</t>
  </si>
  <si>
    <t>CARPENTER PANT</t>
  </si>
  <si>
    <t>PCP20</t>
  </si>
  <si>
    <t>792831178330</t>
  </si>
  <si>
    <t>732995781366</t>
  </si>
  <si>
    <t>WVN SL LIN MX STP TP</t>
  </si>
  <si>
    <t>100054766MS</t>
  </si>
  <si>
    <t>732995755855</t>
  </si>
  <si>
    <t>732995029512</t>
  </si>
  <si>
    <t>732995534061</t>
  </si>
  <si>
    <t>732997034071</t>
  </si>
  <si>
    <t>100065423PT</t>
  </si>
  <si>
    <t>732996003801</t>
  </si>
  <si>
    <t>DNM SLD LACE GNG CRP</t>
  </si>
  <si>
    <t>100055821PT</t>
  </si>
  <si>
    <t>29408021554</t>
  </si>
  <si>
    <t>NAVY TWILL PO PET PA</t>
  </si>
  <si>
    <t>29408021370</t>
  </si>
  <si>
    <t>EDV BLACK TWILL PO PET P</t>
  </si>
  <si>
    <t>732996824963</t>
  </si>
  <si>
    <t>METLLIC SLT HEM CAPR</t>
  </si>
  <si>
    <t>100059139WN</t>
  </si>
  <si>
    <t>732995578430</t>
  </si>
  <si>
    <t>BNDLDR CAPRI PET PLU</t>
  </si>
  <si>
    <t>100061222WN</t>
  </si>
  <si>
    <t>3X SMALL</t>
  </si>
  <si>
    <t>732996253497</t>
  </si>
  <si>
    <t>732997316375</t>
  </si>
  <si>
    <t>ANML BRNT NCKLC TUN</t>
  </si>
  <si>
    <t>100072487WN</t>
  </si>
  <si>
    <t>POLYESTER/NYLON</t>
  </si>
  <si>
    <t>732996103860</t>
  </si>
  <si>
    <t>732995405897</t>
  </si>
  <si>
    <t>SW VNK POINTELLE P/O</t>
  </si>
  <si>
    <t>100046055MS</t>
  </si>
  <si>
    <t>COTTON/POLYESTER/NYLON</t>
  </si>
  <si>
    <t>732996577401</t>
  </si>
  <si>
    <t>100059135WN</t>
  </si>
  <si>
    <t>732995300154</t>
  </si>
  <si>
    <t>732996455143</t>
  </si>
  <si>
    <t>BT 3 TIER WVN MSH MX</t>
  </si>
  <si>
    <t>732996173696</t>
  </si>
  <si>
    <t>732995296631</t>
  </si>
  <si>
    <t>DNM FOUNTN GRDN ANK</t>
  </si>
  <si>
    <t>100051804MS</t>
  </si>
  <si>
    <t>732996119373</t>
  </si>
  <si>
    <t>732996460550</t>
  </si>
  <si>
    <t>100059582MS</t>
  </si>
  <si>
    <t>732997203699</t>
  </si>
  <si>
    <t>732997203798</t>
  </si>
  <si>
    <t>732996127354</t>
  </si>
  <si>
    <t>732995321685</t>
  </si>
  <si>
    <t>732996625195</t>
  </si>
  <si>
    <t>WVN DLB PRT FLR TUNC</t>
  </si>
  <si>
    <t>100059790MS</t>
  </si>
  <si>
    <t>732996625188</t>
  </si>
  <si>
    <t>732996625171</t>
  </si>
  <si>
    <t>732996625300</t>
  </si>
  <si>
    <t>732996092775</t>
  </si>
  <si>
    <t>732996092751</t>
  </si>
  <si>
    <t>732996140308</t>
  </si>
  <si>
    <t>732996222059</t>
  </si>
  <si>
    <t>732994996068</t>
  </si>
  <si>
    <t>732996357768</t>
  </si>
  <si>
    <t>FD SCOOP TASSEL TANK</t>
  </si>
  <si>
    <t>100066527MS</t>
  </si>
  <si>
    <t>SHELL: RAYON/SPANDEX; TRIM: COTTON</t>
  </si>
  <si>
    <t>732996357775</t>
  </si>
  <si>
    <t>732996357751</t>
  </si>
  <si>
    <t>732996357744</t>
  </si>
  <si>
    <t>732995636796</t>
  </si>
  <si>
    <t>608381441124</t>
  </si>
  <si>
    <t>726895958461</t>
  </si>
  <si>
    <t>IK SCPNK SS MAXI DRS</t>
  </si>
  <si>
    <t>885402536018</t>
  </si>
  <si>
    <t>UPDATED GAUZE PANT</t>
  </si>
  <si>
    <t>THALIA SODI-EDI/BYER</t>
  </si>
  <si>
    <t>732995055399</t>
  </si>
  <si>
    <t>R ANGLED MOP HEM</t>
  </si>
  <si>
    <t>732995055412</t>
  </si>
  <si>
    <t>732996858562</t>
  </si>
  <si>
    <t>KNT SL CLF PSLY PNTK</t>
  </si>
  <si>
    <t>100067793MS</t>
  </si>
  <si>
    <t>732996657653</t>
  </si>
  <si>
    <t>100059138MS</t>
  </si>
  <si>
    <t>732996575216</t>
  </si>
  <si>
    <t>100059493MS</t>
  </si>
  <si>
    <t>RAYON; LINING: POLYESTER</t>
  </si>
  <si>
    <t>732996575223</t>
  </si>
  <si>
    <t>732996330938</t>
  </si>
  <si>
    <t>WVN TI KNT BK BFT SH</t>
  </si>
  <si>
    <t>100037690MS</t>
  </si>
  <si>
    <t>732995635881</t>
  </si>
  <si>
    <t>732996330969</t>
  </si>
  <si>
    <t>732996340227</t>
  </si>
  <si>
    <t>FW COLD SHLDR TOP</t>
  </si>
  <si>
    <t>100063423MS</t>
  </si>
  <si>
    <t>732996340234</t>
  </si>
  <si>
    <t>732996340210</t>
  </si>
  <si>
    <t>732995524208</t>
  </si>
  <si>
    <t>SDE GRMT WIDE CRP CP</t>
  </si>
  <si>
    <t>100047259MS</t>
  </si>
  <si>
    <t>BODY: POLYESTER/RAYON/SPANDEX; PANEL: NYLON/SPANDEX</t>
  </si>
  <si>
    <t>732996291970</t>
  </si>
  <si>
    <t>RAINBOW SEQUIN CAMI</t>
  </si>
  <si>
    <t>100048097P</t>
  </si>
  <si>
    <t>732996778709</t>
  </si>
  <si>
    <t>PT BTTN CRNKLE SKIRT</t>
  </si>
  <si>
    <t>100059563MS</t>
  </si>
  <si>
    <t>SHELL: RAYON/POLYESTER/SPANDEX; LINING: POLYESTER</t>
  </si>
  <si>
    <t>732995820010</t>
  </si>
  <si>
    <t>732996327310</t>
  </si>
  <si>
    <t>100058929MS</t>
  </si>
  <si>
    <t>732996327327</t>
  </si>
  <si>
    <t>732996117782</t>
  </si>
  <si>
    <t>DR OTS PRINTED SHORT BASIC</t>
  </si>
  <si>
    <t>100061457MS</t>
  </si>
  <si>
    <t>732996117836</t>
  </si>
  <si>
    <t>732996117843</t>
  </si>
  <si>
    <t>732996117775</t>
  </si>
  <si>
    <t>190917242379</t>
  </si>
  <si>
    <t>COLD SHLDR GROMMET</t>
  </si>
  <si>
    <t>718-MS091</t>
  </si>
  <si>
    <t>732995684063</t>
  </si>
  <si>
    <t>SK CREPE PENCIL</t>
  </si>
  <si>
    <t>100048044PT</t>
  </si>
  <si>
    <t>732996568300</t>
  </si>
  <si>
    <t>BUTTON DTM HEM CAPRI</t>
  </si>
  <si>
    <t>100059144MS</t>
  </si>
  <si>
    <t>887650887638</t>
  </si>
  <si>
    <t>52126CB460</t>
  </si>
  <si>
    <t>732996327372</t>
  </si>
  <si>
    <t>FW GEORGIA GEM TOP</t>
  </si>
  <si>
    <t>100058930MS</t>
  </si>
  <si>
    <t>732996261898</t>
  </si>
  <si>
    <t>FW CINCHED SIDE TANK</t>
  </si>
  <si>
    <t>100058946MS</t>
  </si>
  <si>
    <t>732996339993</t>
  </si>
  <si>
    <t>FW BRIG STRIPE TOP</t>
  </si>
  <si>
    <t>100058926MS</t>
  </si>
  <si>
    <t>732996339979</t>
  </si>
  <si>
    <t>732996575155</t>
  </si>
  <si>
    <t>FLORAL PT GAUZE TOP BASIC</t>
  </si>
  <si>
    <t>100059458MS</t>
  </si>
  <si>
    <t>RAYON; CROCHET TRIM: RAYON</t>
  </si>
  <si>
    <t>732996575162</t>
  </si>
  <si>
    <t>732996664514</t>
  </si>
  <si>
    <t>FW TASSEL HEM TOP</t>
  </si>
  <si>
    <t>100064115MS</t>
  </si>
  <si>
    <t>732996664521</t>
  </si>
  <si>
    <t>732996262437</t>
  </si>
  <si>
    <t>732996618296</t>
  </si>
  <si>
    <t>100059501MS</t>
  </si>
  <si>
    <t>732997644478</t>
  </si>
  <si>
    <t>ANIMAL PRNT WRAP TOP</t>
  </si>
  <si>
    <t>100074224P</t>
  </si>
  <si>
    <t>POLYESTER; TRIM: PLASTIC</t>
  </si>
  <si>
    <t>732996566146</t>
  </si>
  <si>
    <t>100059135MS</t>
  </si>
  <si>
    <t>732997398142</t>
  </si>
  <si>
    <t>TIE WD TAPPERED PT</t>
  </si>
  <si>
    <t>732996404844</t>
  </si>
  <si>
    <t>732995179767</t>
  </si>
  <si>
    <t>DNM LYON WSH SKIMMER</t>
  </si>
  <si>
    <t>100053575MS</t>
  </si>
  <si>
    <t>732995222838</t>
  </si>
  <si>
    <t>608356685317</t>
  </si>
  <si>
    <t>732995433388</t>
  </si>
  <si>
    <t>SWT FG STRIPE FRINGE</t>
  </si>
  <si>
    <t>100053896MS</t>
  </si>
  <si>
    <t>732996168234</t>
  </si>
  <si>
    <t>636189865446</t>
  </si>
  <si>
    <t>3/4 SLV TOGGLE NECK</t>
  </si>
  <si>
    <t>732996097046</t>
  </si>
  <si>
    <t>100060496P</t>
  </si>
  <si>
    <t>732996237299</t>
  </si>
  <si>
    <t>LATTICE C/S GRDN STA</t>
  </si>
  <si>
    <t>100054920MS</t>
  </si>
  <si>
    <t>806864919560</t>
  </si>
  <si>
    <t>806864919546</t>
  </si>
  <si>
    <t>732996340135</t>
  </si>
  <si>
    <t>FW HIBISCUS MIX TOP</t>
  </si>
  <si>
    <t>100058932MS</t>
  </si>
  <si>
    <t>732996340111</t>
  </si>
  <si>
    <t>732996340098</t>
  </si>
  <si>
    <t>732996340104</t>
  </si>
  <si>
    <t>732996340128</t>
  </si>
  <si>
    <t>732996460055</t>
  </si>
  <si>
    <t>732996320823</t>
  </si>
  <si>
    <t>FK SLVLES LURX STRP</t>
  </si>
  <si>
    <t>100058814MS</t>
  </si>
  <si>
    <t>RAYON/METALLIC</t>
  </si>
  <si>
    <t>732996320816</t>
  </si>
  <si>
    <t>806864669151</t>
  </si>
  <si>
    <t>732995761627</t>
  </si>
  <si>
    <t>100055557MS</t>
  </si>
  <si>
    <t>732995761597</t>
  </si>
  <si>
    <t>732995759402</t>
  </si>
  <si>
    <t>WVN SLVS DTSY CNS SH</t>
  </si>
  <si>
    <t>100055554MS</t>
  </si>
  <si>
    <t>732995247473</t>
  </si>
  <si>
    <t>732996475479</t>
  </si>
  <si>
    <t>CRCHT NCK CRSSHATCH BASIC</t>
  </si>
  <si>
    <t>100059460MS</t>
  </si>
  <si>
    <t>SHELL: RAYON/POLYESTER; TRIM: RAYON/SPANDEX</t>
  </si>
  <si>
    <t>732996327433</t>
  </si>
  <si>
    <t>FW ADIEU STRIPE TOP</t>
  </si>
  <si>
    <t>100058936MS</t>
  </si>
  <si>
    <t>732996327419</t>
  </si>
  <si>
    <t>732996327426</t>
  </si>
  <si>
    <t>732996355740</t>
  </si>
  <si>
    <t>100055401MS</t>
  </si>
  <si>
    <t>732996355849</t>
  </si>
  <si>
    <t>100055402MS</t>
  </si>
  <si>
    <t>732996355856</t>
  </si>
  <si>
    <t>884630148376</t>
  </si>
  <si>
    <t>SLVLS STRIPED V NK DRESS</t>
  </si>
  <si>
    <t>PT59999</t>
  </si>
  <si>
    <t>SHELL: RAYON/LINEN; LINING: POLYESTER</t>
  </si>
  <si>
    <t>732996027159</t>
  </si>
  <si>
    <t>190797089125</t>
  </si>
  <si>
    <t>54661AH819</t>
  </si>
  <si>
    <t>COTTON/POYESTER/ELASTANE</t>
  </si>
  <si>
    <t>732996691459</t>
  </si>
  <si>
    <t>100059524MS</t>
  </si>
  <si>
    <t>732996691442</t>
  </si>
  <si>
    <t>636189470367</t>
  </si>
  <si>
    <t>636189470329</t>
  </si>
  <si>
    <t>732995166804</t>
  </si>
  <si>
    <t>DNM BRT WHT SKIMMER</t>
  </si>
  <si>
    <t>100049449MS</t>
  </si>
  <si>
    <t>726895811360</t>
  </si>
  <si>
    <t>GEORGETTE PANTS</t>
  </si>
  <si>
    <t>806864671888</t>
  </si>
  <si>
    <t>WT SLD 2PKT SS SHIRT</t>
  </si>
  <si>
    <t>806864671857</t>
  </si>
  <si>
    <t>732996262215</t>
  </si>
  <si>
    <t>806864671956</t>
  </si>
  <si>
    <t>806864671895</t>
  </si>
  <si>
    <t>806864671871</t>
  </si>
  <si>
    <t>636202213889</t>
  </si>
  <si>
    <t>100033104P</t>
  </si>
  <si>
    <t>732995836271</t>
  </si>
  <si>
    <t>732996663487</t>
  </si>
  <si>
    <t>732995836332</t>
  </si>
  <si>
    <t>732995835304</t>
  </si>
  <si>
    <t>732995836295</t>
  </si>
  <si>
    <t>726895885071</t>
  </si>
  <si>
    <t>726895885064</t>
  </si>
  <si>
    <t>726895885088</t>
  </si>
  <si>
    <t>726895885095</t>
  </si>
  <si>
    <t>887650887447</t>
  </si>
  <si>
    <t>RNS RIVET PO SHORT</t>
  </si>
  <si>
    <t>51846WH477</t>
  </si>
  <si>
    <t>682173111501</t>
  </si>
  <si>
    <t>M DLB RUFFLE SLV DRE</t>
  </si>
  <si>
    <t>MD615385J</t>
  </si>
  <si>
    <t>706258782087</t>
  </si>
  <si>
    <t>732995890846</t>
  </si>
  <si>
    <t>732995890907</t>
  </si>
  <si>
    <t>608381444378</t>
  </si>
  <si>
    <t>BT CONVERTIBLE SHORT</t>
  </si>
  <si>
    <t>608381436564</t>
  </si>
  <si>
    <t>608381445344</t>
  </si>
  <si>
    <t>608381444408</t>
  </si>
  <si>
    <t>608381436984</t>
  </si>
  <si>
    <t>608381444392</t>
  </si>
  <si>
    <t>887650945895</t>
  </si>
  <si>
    <t>51844RD460</t>
  </si>
  <si>
    <t>732996444680</t>
  </si>
  <si>
    <t>100059642MS</t>
  </si>
  <si>
    <t>732996444703</t>
  </si>
  <si>
    <t>732996311999</t>
  </si>
  <si>
    <t>FRINGE HEM ANKLE</t>
  </si>
  <si>
    <t>100062173P</t>
  </si>
  <si>
    <t>732997770887</t>
  </si>
  <si>
    <t>732996019529</t>
  </si>
  <si>
    <t>SWT FG SHADOW STRIPE</t>
  </si>
  <si>
    <t>100061718MS</t>
  </si>
  <si>
    <t>732996357997</t>
  </si>
  <si>
    <t>100066626MS</t>
  </si>
  <si>
    <t>732996358017</t>
  </si>
  <si>
    <t>732996358000</t>
  </si>
  <si>
    <t>732994594745</t>
  </si>
  <si>
    <t>732996358024</t>
  </si>
  <si>
    <t>732996357973</t>
  </si>
  <si>
    <t>732994594721</t>
  </si>
  <si>
    <t>732996357980</t>
  </si>
  <si>
    <t>726895219760</t>
  </si>
  <si>
    <t>100002345W</t>
  </si>
  <si>
    <t>726895219654</t>
  </si>
  <si>
    <t>726895219661</t>
  </si>
  <si>
    <t>732994655385</t>
  </si>
  <si>
    <t>SW TIE FRONT P/O</t>
  </si>
  <si>
    <t>100029710MS</t>
  </si>
  <si>
    <t>732996334165</t>
  </si>
  <si>
    <t>732996859965</t>
  </si>
  <si>
    <t>100070716P</t>
  </si>
  <si>
    <t>POLYESTER/METALLIC THREADING; LINING: NYLON</t>
  </si>
  <si>
    <t>732996697765</t>
  </si>
  <si>
    <t>CK WSH CRCHT FLTRSLV</t>
  </si>
  <si>
    <t>100059373PT</t>
  </si>
  <si>
    <t>732996022802</t>
  </si>
  <si>
    <t>SPLICED GOMEZ DRESS</t>
  </si>
  <si>
    <t>100051451MS</t>
  </si>
  <si>
    <t>887650524557</t>
  </si>
  <si>
    <t>732995785661</t>
  </si>
  <si>
    <t>636193794848</t>
  </si>
  <si>
    <t>IK SPLTNK 3/4 EMB TP BASIC</t>
  </si>
  <si>
    <t>636193794831</t>
  </si>
  <si>
    <t>636193794855</t>
  </si>
  <si>
    <t>636193794695</t>
  </si>
  <si>
    <t>887650709916</t>
  </si>
  <si>
    <t>191432257350</t>
  </si>
  <si>
    <t>3/4 SLV OPEN FRT CAR</t>
  </si>
  <si>
    <t>LSM26012P</t>
  </si>
  <si>
    <t>LOVE SCARLETT/NYC ALLIANCE COMPANY</t>
  </si>
  <si>
    <t>682173167966</t>
  </si>
  <si>
    <t>P GROMMET STRAP DRES</t>
  </si>
  <si>
    <t>P6565430J</t>
  </si>
  <si>
    <t>682173166464</t>
  </si>
  <si>
    <t>M GROMMET STRAP DRES</t>
  </si>
  <si>
    <t>M6565430J</t>
  </si>
  <si>
    <t>732996320861</t>
  </si>
  <si>
    <t>FK SS PSNT EMB TOP</t>
  </si>
  <si>
    <t>100058824MS</t>
  </si>
  <si>
    <t>COTTON; TRIM: POLYESTER</t>
  </si>
  <si>
    <t>732996320878</t>
  </si>
  <si>
    <t>732996320885</t>
  </si>
  <si>
    <t>732995462210</t>
  </si>
  <si>
    <t>732995866384</t>
  </si>
  <si>
    <t>732995762693</t>
  </si>
  <si>
    <t>732995763270</t>
  </si>
  <si>
    <t>706258386513</t>
  </si>
  <si>
    <t>732997007730</t>
  </si>
  <si>
    <t>732995889673</t>
  </si>
  <si>
    <t>BTTN FRNT SLIT SKIRT</t>
  </si>
  <si>
    <t>732995959253</t>
  </si>
  <si>
    <t>191057265877</t>
  </si>
  <si>
    <t>726895972238</t>
  </si>
  <si>
    <t>608381560771</t>
  </si>
  <si>
    <t>726895972092</t>
  </si>
  <si>
    <t>726895972122</t>
  </si>
  <si>
    <t>726895972184</t>
  </si>
  <si>
    <t>726895972191</t>
  </si>
  <si>
    <t>726895972221</t>
  </si>
  <si>
    <t>732997316818</t>
  </si>
  <si>
    <t>100070934PT</t>
  </si>
  <si>
    <t>726895972214</t>
  </si>
  <si>
    <t>726895972207</t>
  </si>
  <si>
    <t>732994152242</t>
  </si>
  <si>
    <t>732994152273</t>
  </si>
  <si>
    <t>732996003337</t>
  </si>
  <si>
    <t>DNM WHITE SKIRT</t>
  </si>
  <si>
    <t>100053858PT</t>
  </si>
  <si>
    <t>726895714128</t>
  </si>
  <si>
    <t>21170UL460</t>
  </si>
  <si>
    <t>726895714067</t>
  </si>
  <si>
    <t>191594812275</t>
  </si>
  <si>
    <t>8865893102</t>
  </si>
  <si>
    <t>53566MH141</t>
  </si>
  <si>
    <t>191594812350</t>
  </si>
  <si>
    <t>8 T/L</t>
  </si>
  <si>
    <t>732994942614</t>
  </si>
  <si>
    <t>R SKINNY CROP</t>
  </si>
  <si>
    <t>732994942607</t>
  </si>
  <si>
    <t>704624060562</t>
  </si>
  <si>
    <t>704624049567</t>
  </si>
  <si>
    <t>636193997416</t>
  </si>
  <si>
    <t>5 PKT ULTRA SKINNY BASIC</t>
  </si>
  <si>
    <t>822982522376</t>
  </si>
  <si>
    <t>CURVY TUMMY SKINNY L BASIC</t>
  </si>
  <si>
    <t>53509LB819</t>
  </si>
  <si>
    <t>822982522468</t>
  </si>
  <si>
    <t>RINS CURVY TUMMY SKINNY BASIC</t>
  </si>
  <si>
    <t>53510LR819</t>
  </si>
  <si>
    <t>822982522413</t>
  </si>
  <si>
    <t>190797085202</t>
  </si>
  <si>
    <t>50246RO141</t>
  </si>
  <si>
    <t>191594820133</t>
  </si>
  <si>
    <t>50246OL141</t>
  </si>
  <si>
    <t>73% COTTON, 25% POLYESTER, 2% SPANDEX</t>
  </si>
  <si>
    <t>732995254976</t>
  </si>
  <si>
    <t>732995750713</t>
  </si>
  <si>
    <t>732994425575</t>
  </si>
  <si>
    <t>732996120317</t>
  </si>
  <si>
    <t>191594241235</t>
  </si>
  <si>
    <t>5 POCKET JEGGING BASIC</t>
  </si>
  <si>
    <t>732995887143</t>
  </si>
  <si>
    <t>732995887136</t>
  </si>
  <si>
    <t>732995887112</t>
  </si>
  <si>
    <t>726895885309</t>
  </si>
  <si>
    <t>100015592A</t>
  </si>
  <si>
    <t>726895885293</t>
  </si>
  <si>
    <t>726895885316</t>
  </si>
  <si>
    <t>726895885330</t>
  </si>
  <si>
    <t>732998351429</t>
  </si>
  <si>
    <t>WIDE CROP LINEN PANT</t>
  </si>
  <si>
    <t>100089589P</t>
  </si>
  <si>
    <t>706255136425</t>
  </si>
  <si>
    <t>636206183256</t>
  </si>
  <si>
    <t>732996808482</t>
  </si>
  <si>
    <t>732995092929</t>
  </si>
  <si>
    <t>732995092837</t>
  </si>
  <si>
    <t>732996876856</t>
  </si>
  <si>
    <t>54676PS805</t>
  </si>
  <si>
    <t>732996876832</t>
  </si>
  <si>
    <t>191057265235</t>
  </si>
  <si>
    <t>WALKSHORT</t>
  </si>
  <si>
    <t>732996430317</t>
  </si>
  <si>
    <t>VNECK KNOT FRONT TOP</t>
  </si>
  <si>
    <t>100059347MS</t>
  </si>
  <si>
    <t>732996816548</t>
  </si>
  <si>
    <t>8864350668</t>
  </si>
  <si>
    <t>732996325934</t>
  </si>
  <si>
    <t>732995859959</t>
  </si>
  <si>
    <t>100054062PT</t>
  </si>
  <si>
    <t>732996691152</t>
  </si>
  <si>
    <t>KNT ATL STR SPLT NK</t>
  </si>
  <si>
    <t>100059517MS</t>
  </si>
  <si>
    <t>887650444749</t>
  </si>
  <si>
    <t>54445WT805</t>
  </si>
  <si>
    <t>191432084468</t>
  </si>
  <si>
    <t>D BU SELF RUFFLE HEM TEE</t>
  </si>
  <si>
    <t>LKF11102P</t>
  </si>
  <si>
    <t>732996321127</t>
  </si>
  <si>
    <t>FK BOHO TRAVEKS TANK</t>
  </si>
  <si>
    <t>100064085MS</t>
  </si>
  <si>
    <t>732996321141</t>
  </si>
  <si>
    <t>732996321134</t>
  </si>
  <si>
    <t>732996321158</t>
  </si>
  <si>
    <t>732996238784</t>
  </si>
  <si>
    <t>732997469941</t>
  </si>
  <si>
    <t>ZP NORDIC DUSK JACKT</t>
  </si>
  <si>
    <t>100064167MS</t>
  </si>
  <si>
    <t>8865898923</t>
  </si>
  <si>
    <t>190797890448</t>
  </si>
  <si>
    <t>732995889536</t>
  </si>
  <si>
    <t>KNT SL SLD SURPLICE</t>
  </si>
  <si>
    <t>100045332MS</t>
  </si>
  <si>
    <t>887650729006</t>
  </si>
  <si>
    <t>887650920625</t>
  </si>
  <si>
    <t>732996817736</t>
  </si>
  <si>
    <t>732995764031</t>
  </si>
  <si>
    <t>KNT SS TILE POLO</t>
  </si>
  <si>
    <t>100054516MS</t>
  </si>
  <si>
    <t>704975710659</t>
  </si>
  <si>
    <t>ELBOW SLV LACE PNL DRSS</t>
  </si>
  <si>
    <t>MNKD0426</t>
  </si>
  <si>
    <t>POLYESTER/SPANDEX; LACE: POLYESTER; LINING: POLYESTER</t>
  </si>
  <si>
    <t>704975716798</t>
  </si>
  <si>
    <t>3/4 SLV FIT AND FLARE PO</t>
  </si>
  <si>
    <t>MDKD0399</t>
  </si>
  <si>
    <t>704975710666</t>
  </si>
  <si>
    <t>726895336382</t>
  </si>
  <si>
    <t>732995777406</t>
  </si>
  <si>
    <t>100050993MS</t>
  </si>
  <si>
    <t>682173162671</t>
  </si>
  <si>
    <t>M HATCHI TOP</t>
  </si>
  <si>
    <t>MC630015J</t>
  </si>
  <si>
    <t>POLYESTER, RAYON, SPANDEX</t>
  </si>
  <si>
    <t>732994060486</t>
  </si>
  <si>
    <t>IK OFF SHLDR SS TOP BASIC</t>
  </si>
  <si>
    <t>732996831411</t>
  </si>
  <si>
    <t>732996831398</t>
  </si>
  <si>
    <t>732996831428</t>
  </si>
  <si>
    <t>732995828436</t>
  </si>
  <si>
    <t>732995828429</t>
  </si>
  <si>
    <t>732995842609</t>
  </si>
  <si>
    <t>732996568676</t>
  </si>
  <si>
    <t>SWT FG POINTELLE CRD</t>
  </si>
  <si>
    <t>100065647MS</t>
  </si>
  <si>
    <t>732996568645</t>
  </si>
  <si>
    <t>732996120850</t>
  </si>
  <si>
    <t>732997076972</t>
  </si>
  <si>
    <t>DR VNK 3/4 SLV SWNG</t>
  </si>
  <si>
    <t>100079212PT</t>
  </si>
  <si>
    <t>732996320649</t>
  </si>
  <si>
    <t>FK SLVLS RGEO TOP</t>
  </si>
  <si>
    <t>100058821MS</t>
  </si>
  <si>
    <t>732996320656</t>
  </si>
  <si>
    <t>732996568508</t>
  </si>
  <si>
    <t>100065647PT</t>
  </si>
  <si>
    <t>732996078397</t>
  </si>
  <si>
    <t>726895775877</t>
  </si>
  <si>
    <t>732998175988</t>
  </si>
  <si>
    <t>PLACED RAYON SPAN</t>
  </si>
  <si>
    <t>100080719WN</t>
  </si>
  <si>
    <t>732998175964</t>
  </si>
  <si>
    <t>732995535402</t>
  </si>
  <si>
    <t>LIBERTY DREAM CARDI</t>
  </si>
  <si>
    <t>100049681MS</t>
  </si>
  <si>
    <t>689439274512</t>
  </si>
  <si>
    <t>100039166MS</t>
  </si>
  <si>
    <t>732994198110</t>
  </si>
  <si>
    <t>SPRINGTIME POSY CRDI</t>
  </si>
  <si>
    <t>100041501MS</t>
  </si>
  <si>
    <t>732994193139</t>
  </si>
  <si>
    <t>LINEWORK LEGEND CRDI</t>
  </si>
  <si>
    <t>100039200MS</t>
  </si>
  <si>
    <t>732994207508</t>
  </si>
  <si>
    <t>732995535150</t>
  </si>
  <si>
    <t>732994215466</t>
  </si>
  <si>
    <t>PETAL RAINS CARDI</t>
  </si>
  <si>
    <t>100047255MS</t>
  </si>
  <si>
    <t>732996325767</t>
  </si>
  <si>
    <t>732996325729</t>
  </si>
  <si>
    <t>732996325743</t>
  </si>
  <si>
    <t>706257302750</t>
  </si>
  <si>
    <t>EDV KNIT WB BUNGEE CAPRIBASIC</t>
  </si>
  <si>
    <t>54665MH805</t>
  </si>
  <si>
    <t>704976331228</t>
  </si>
  <si>
    <t>732994935913</t>
  </si>
  <si>
    <t>704976349926</t>
  </si>
  <si>
    <t>LS ROLLTAB ZIPFRNT UTLTY</t>
  </si>
  <si>
    <t>PCRU0943</t>
  </si>
  <si>
    <t>732996007199</t>
  </si>
  <si>
    <t>887650565666</t>
  </si>
  <si>
    <t>54634DB805</t>
  </si>
  <si>
    <t>887650565659</t>
  </si>
  <si>
    <t>887650555254</t>
  </si>
  <si>
    <t>54634SW805</t>
  </si>
  <si>
    <t>887650555285</t>
  </si>
  <si>
    <t>887650555278</t>
  </si>
  <si>
    <t>887650565628</t>
  </si>
  <si>
    <t>887650565635</t>
  </si>
  <si>
    <t>732996301365</t>
  </si>
  <si>
    <t>100058183P</t>
  </si>
  <si>
    <t>732996206592</t>
  </si>
  <si>
    <t>732997886809</t>
  </si>
  <si>
    <t>LS FESTV FAVRT FLECE</t>
  </si>
  <si>
    <t>100068668PT</t>
  </si>
  <si>
    <t>732997886816</t>
  </si>
  <si>
    <t>682173163036</t>
  </si>
  <si>
    <t>M PRINTED KNOT TOP</t>
  </si>
  <si>
    <t>M6568083J</t>
  </si>
  <si>
    <t>732996108933</t>
  </si>
  <si>
    <t>732997303139</t>
  </si>
  <si>
    <t>LS DEER DECOR SCOOP</t>
  </si>
  <si>
    <t>100068641MS</t>
  </si>
  <si>
    <t>732996343242</t>
  </si>
  <si>
    <t>CK PRNT KNT FRNT TEE</t>
  </si>
  <si>
    <t>100059370MS</t>
  </si>
  <si>
    <t>636189561775</t>
  </si>
  <si>
    <t>732996343129</t>
  </si>
  <si>
    <t>732996714813</t>
  </si>
  <si>
    <t>3/4 STUD BOATNCK DRS</t>
  </si>
  <si>
    <t>100059802MS</t>
  </si>
  <si>
    <t>704976350687</t>
  </si>
  <si>
    <t>ALLOVR ITY PNT W HRDWRE</t>
  </si>
  <si>
    <t>PITP0785</t>
  </si>
  <si>
    <t>704976229396</t>
  </si>
  <si>
    <t>732995526752</t>
  </si>
  <si>
    <t>732996198453</t>
  </si>
  <si>
    <t>732997063668</t>
  </si>
  <si>
    <t>LS BABY CABLE KEYHLE</t>
  </si>
  <si>
    <t>100069076MS</t>
  </si>
  <si>
    <t>732996714912</t>
  </si>
  <si>
    <t>732996198514</t>
  </si>
  <si>
    <t>732995773125</t>
  </si>
  <si>
    <t>S/S JUNGLE JV SCP DR</t>
  </si>
  <si>
    <t>100050976MS</t>
  </si>
  <si>
    <t>732996198446</t>
  </si>
  <si>
    <t>732997658765</t>
  </si>
  <si>
    <t>SANTA'S SLEIGH PO BASIC</t>
  </si>
  <si>
    <t>100076801PT</t>
  </si>
  <si>
    <t>732994300971</t>
  </si>
  <si>
    <t>732995273397</t>
  </si>
  <si>
    <t>BT STCHD FLORA LEGN</t>
  </si>
  <si>
    <t>732995273410</t>
  </si>
  <si>
    <t>732996623344</t>
  </si>
  <si>
    <t>732996096247</t>
  </si>
  <si>
    <t>732996096285</t>
  </si>
  <si>
    <t>732996651675</t>
  </si>
  <si>
    <t>LS SATIN TRIM SCP</t>
  </si>
  <si>
    <t>100068178MS</t>
  </si>
  <si>
    <t>COTTON/VISCOSE/SPANDEX</t>
  </si>
  <si>
    <t>689439210121</t>
  </si>
  <si>
    <t>PMA 3/4 SL BIRDS BT</t>
  </si>
  <si>
    <t>100048781MS</t>
  </si>
  <si>
    <t>636202720363</t>
  </si>
  <si>
    <t>FRENCH TERRY PANT</t>
  </si>
  <si>
    <t>100028128PT</t>
  </si>
  <si>
    <t>732996591995</t>
  </si>
  <si>
    <t>S/L MOCK NECK SWTR</t>
  </si>
  <si>
    <t>91239JM</t>
  </si>
  <si>
    <t>732996592046</t>
  </si>
  <si>
    <t>732997281505</t>
  </si>
  <si>
    <t>ZIPPER DTAIL LEGGING BASIC</t>
  </si>
  <si>
    <t>100067136MS</t>
  </si>
  <si>
    <t>MMG-JM COLLECTION/PADDY LEE</t>
  </si>
  <si>
    <t>732997633717</t>
  </si>
  <si>
    <t>UNIQUE SNOWFLAKE PO BASIC</t>
  </si>
  <si>
    <t>100076798PT</t>
  </si>
  <si>
    <t>732996360928</t>
  </si>
  <si>
    <t>100056027MS</t>
  </si>
  <si>
    <t>POLYESTER/RAYON; CROCHET: COTTON</t>
  </si>
  <si>
    <t>732996360942</t>
  </si>
  <si>
    <t>732996360959</t>
  </si>
  <si>
    <t>732996360904</t>
  </si>
  <si>
    <t>788545784363</t>
  </si>
  <si>
    <t>732996949147</t>
  </si>
  <si>
    <t>LS FT LACE UP SWTSHT</t>
  </si>
  <si>
    <t>100068518MS</t>
  </si>
  <si>
    <t>636189709634</t>
  </si>
  <si>
    <t>636189710432</t>
  </si>
  <si>
    <t>636189717264</t>
  </si>
  <si>
    <t>636189703311</t>
  </si>
  <si>
    <t>732995737080</t>
  </si>
  <si>
    <t>732995350623</t>
  </si>
  <si>
    <t>732996090344</t>
  </si>
  <si>
    <t>732996990644</t>
  </si>
  <si>
    <t>100059691MS</t>
  </si>
  <si>
    <t>706254485241</t>
  </si>
  <si>
    <t>54425DB805</t>
  </si>
  <si>
    <t>706254485234</t>
  </si>
  <si>
    <t>706254485227</t>
  </si>
  <si>
    <t>706254485401</t>
  </si>
  <si>
    <t>732995162271</t>
  </si>
  <si>
    <t>732995162264</t>
  </si>
  <si>
    <t>732996987729</t>
  </si>
  <si>
    <t>100060067MS</t>
  </si>
  <si>
    <t>768594342615</t>
  </si>
  <si>
    <t>DK SCP 3/4SLV WVN HM BASIC</t>
  </si>
  <si>
    <t>22722RO805</t>
  </si>
  <si>
    <t>732997312650</t>
  </si>
  <si>
    <t>PUFFER PLAID VEST</t>
  </si>
  <si>
    <t>100068656MS</t>
  </si>
  <si>
    <t>732997179222</t>
  </si>
  <si>
    <t>LS BUTTON FRNT POLO</t>
  </si>
  <si>
    <t>100061298MS</t>
  </si>
  <si>
    <t>732997179345</t>
  </si>
  <si>
    <t>726895433593</t>
  </si>
  <si>
    <t>732996236735</t>
  </si>
  <si>
    <t>732996236759</t>
  </si>
  <si>
    <t>706254485517</t>
  </si>
  <si>
    <t>54425WT805</t>
  </si>
  <si>
    <t>706254485487</t>
  </si>
  <si>
    <t>706254485524</t>
  </si>
  <si>
    <t>706254485500</t>
  </si>
  <si>
    <t>706254485470</t>
  </si>
  <si>
    <t>706254485494</t>
  </si>
  <si>
    <t>732996320991</t>
  </si>
  <si>
    <t>FK SRTSLV 3 PRNT TOP</t>
  </si>
  <si>
    <t>100058831MS</t>
  </si>
  <si>
    <t>732997229538</t>
  </si>
  <si>
    <t>BRIDGE HEM PULLOVER</t>
  </si>
  <si>
    <t>15440P</t>
  </si>
  <si>
    <t>706258720935</t>
  </si>
  <si>
    <t>LS CASCADE CARDGIAN</t>
  </si>
  <si>
    <t>100039195MS</t>
  </si>
  <si>
    <t>732996870496</t>
  </si>
  <si>
    <t>3/4 EYELT FRONT HENL</t>
  </si>
  <si>
    <t>100061294MS</t>
  </si>
  <si>
    <t>COTTON; TRIM: COTTON/NYLON</t>
  </si>
  <si>
    <t>884630153356</t>
  </si>
  <si>
    <t>FLUTTER SLV VNCK PEPLUM</t>
  </si>
  <si>
    <t>PT29136</t>
  </si>
  <si>
    <t>884630153370</t>
  </si>
  <si>
    <t>XL PETITE</t>
  </si>
  <si>
    <t>732996075754</t>
  </si>
  <si>
    <t>732995804713</t>
  </si>
  <si>
    <t>732995804812</t>
  </si>
  <si>
    <t>726895000511</t>
  </si>
  <si>
    <t>732994487214</t>
  </si>
  <si>
    <t>704976040199</t>
  </si>
  <si>
    <t>PRT 3/4 PLC W PNTKS</t>
  </si>
  <si>
    <t>PCRU0935</t>
  </si>
  <si>
    <t>732997052563</t>
  </si>
  <si>
    <t>NEP CRSSOVER V-NK PO</t>
  </si>
  <si>
    <t>100064962MS</t>
  </si>
  <si>
    <t>732996507460</t>
  </si>
  <si>
    <t>3/4 PTD JQD ADB IKAT</t>
  </si>
  <si>
    <t>100059888WN</t>
  </si>
  <si>
    <t>732995718003</t>
  </si>
  <si>
    <t>FK WOVEN YOKE TOP</t>
  </si>
  <si>
    <t>100054213MS</t>
  </si>
  <si>
    <t>732996437873</t>
  </si>
  <si>
    <t>ELB MAJSTC PALM VNCK</t>
  </si>
  <si>
    <t>100050966MS</t>
  </si>
  <si>
    <t>768594454332</t>
  </si>
  <si>
    <t>DK SCP 3/4SLV WVN HM</t>
  </si>
  <si>
    <t>22722RF805</t>
  </si>
  <si>
    <t>689439163007</t>
  </si>
  <si>
    <t>732996646008</t>
  </si>
  <si>
    <t>732995742275</t>
  </si>
  <si>
    <t>732996645018</t>
  </si>
  <si>
    <t>3/4 TIP STUD BOATNCK</t>
  </si>
  <si>
    <t>100061243MS</t>
  </si>
  <si>
    <t>732996961224</t>
  </si>
  <si>
    <t>IK SCP SS TWST TOP</t>
  </si>
  <si>
    <t>732996602196</t>
  </si>
  <si>
    <t>100060027MS</t>
  </si>
  <si>
    <t>732996027265</t>
  </si>
  <si>
    <t>100059995MS</t>
  </si>
  <si>
    <t>732996602219</t>
  </si>
  <si>
    <t>732996847740</t>
  </si>
  <si>
    <t>100060031MS</t>
  </si>
  <si>
    <t>BRGHT YELL</t>
  </si>
  <si>
    <t>732996847689</t>
  </si>
  <si>
    <t>732996706450</t>
  </si>
  <si>
    <t>S/S PLCD R/S LNWORK</t>
  </si>
  <si>
    <t>100059930MS</t>
  </si>
  <si>
    <t>732996593432</t>
  </si>
  <si>
    <t>100060020MS</t>
  </si>
  <si>
    <t>732996947600</t>
  </si>
  <si>
    <t>3/4 GROMMET CHAIN SC</t>
  </si>
  <si>
    <t>100061252MS</t>
  </si>
  <si>
    <t>704976223226</t>
  </si>
  <si>
    <t>704976178922</t>
  </si>
  <si>
    <t>704976223219</t>
  </si>
  <si>
    <t>732996646800</t>
  </si>
  <si>
    <t>3/4 DBL STUD SCOOPNK</t>
  </si>
  <si>
    <t>100061253MS</t>
  </si>
  <si>
    <t>732996602745</t>
  </si>
  <si>
    <t>732996716022</t>
  </si>
  <si>
    <t>732995746051</t>
  </si>
  <si>
    <t>100049758MS</t>
  </si>
  <si>
    <t>732995746075</t>
  </si>
  <si>
    <t>732995746044</t>
  </si>
  <si>
    <t>732997780985</t>
  </si>
  <si>
    <t>3/4 DNCG SNWFLK BOAT</t>
  </si>
  <si>
    <t>100077068MS</t>
  </si>
  <si>
    <t>732997335505</t>
  </si>
  <si>
    <t>88080TM472</t>
  </si>
  <si>
    <t>732996697277</t>
  </si>
  <si>
    <t>SS VNK SHRKBT GR</t>
  </si>
  <si>
    <t>100060032MS</t>
  </si>
  <si>
    <t>732996697383</t>
  </si>
  <si>
    <t>100060035MS</t>
  </si>
  <si>
    <t>732997782101</t>
  </si>
  <si>
    <t>3/4 DEER DECOR SCOOP</t>
  </si>
  <si>
    <t>100077065MS</t>
  </si>
  <si>
    <t>732996697352</t>
  </si>
  <si>
    <t>732996697345</t>
  </si>
  <si>
    <t>732995921618</t>
  </si>
  <si>
    <t>100049868MS</t>
  </si>
  <si>
    <t>732997304822</t>
  </si>
  <si>
    <t>LS CANDY CANE SCOOP</t>
  </si>
  <si>
    <t>100068599MS</t>
  </si>
  <si>
    <t>732997881767</t>
  </si>
  <si>
    <t>3/4 HOLIDAY TRUCK SC</t>
  </si>
  <si>
    <t>100077069MS</t>
  </si>
  <si>
    <t>732996075563</t>
  </si>
  <si>
    <t>PMA 3/4 SAIL SCNE BT</t>
  </si>
  <si>
    <t>100056405MS</t>
  </si>
  <si>
    <t>732996868530</t>
  </si>
  <si>
    <t>3/4 TIPPED FRNT SPLT</t>
  </si>
  <si>
    <t>100060793MS</t>
  </si>
  <si>
    <t>732997305003</t>
  </si>
  <si>
    <t>LS HOLIDAY FAV SCOOP</t>
  </si>
  <si>
    <t>100068604MS</t>
  </si>
  <si>
    <t>732995921236</t>
  </si>
  <si>
    <t>S/S PATRIOTC BALL SC</t>
  </si>
  <si>
    <t>100049866MS</t>
  </si>
  <si>
    <t>732996649016</t>
  </si>
  <si>
    <t>3/4 CROCHET SQURNECK</t>
  </si>
  <si>
    <t>100061303MS</t>
  </si>
  <si>
    <t>732996868165</t>
  </si>
  <si>
    <t>3/4 TRIPLE STP BOAT</t>
  </si>
  <si>
    <t>100060768MS</t>
  </si>
  <si>
    <t>732997304983</t>
  </si>
  <si>
    <t>732996868028</t>
  </si>
  <si>
    <t>732997880913</t>
  </si>
  <si>
    <t>3/4 HOLIDAY HANG SCP</t>
  </si>
  <si>
    <t>100077077PT</t>
  </si>
  <si>
    <t>732997881019</t>
  </si>
  <si>
    <t>732997881002</t>
  </si>
  <si>
    <t>732997179741</t>
  </si>
  <si>
    <t>3/4 SHAWL NECK</t>
  </si>
  <si>
    <t>100068173MS</t>
  </si>
  <si>
    <t>732995662214</t>
  </si>
  <si>
    <t>732996794709</t>
  </si>
  <si>
    <t>100060048MS</t>
  </si>
  <si>
    <t>732996592596</t>
  </si>
  <si>
    <t>SS VNK SET-IN SUB</t>
  </si>
  <si>
    <t>100060045MS</t>
  </si>
  <si>
    <t>732995662252</t>
  </si>
  <si>
    <t>100056270MS</t>
  </si>
  <si>
    <t>732996300344</t>
  </si>
  <si>
    <t>100060015MS</t>
  </si>
  <si>
    <t>732997880852</t>
  </si>
  <si>
    <t>3/4 MERRY LIGHTS SCP</t>
  </si>
  <si>
    <t>100077064PT</t>
  </si>
  <si>
    <t>732997880883</t>
  </si>
  <si>
    <t>732997880890</t>
  </si>
  <si>
    <t>732997881651</t>
  </si>
  <si>
    <t>100077064MS</t>
  </si>
  <si>
    <t>732997305416</t>
  </si>
  <si>
    <t>LS MERRY LIGHTS SCOP</t>
  </si>
  <si>
    <t>100068615MS</t>
  </si>
  <si>
    <t>732995732283</t>
  </si>
  <si>
    <t>732995732245</t>
  </si>
  <si>
    <t>732995583342</t>
  </si>
  <si>
    <t>S/S SCALLOP BOAT</t>
  </si>
  <si>
    <t>100039145MS</t>
  </si>
  <si>
    <t>732995254242</t>
  </si>
  <si>
    <t>732997883532</t>
  </si>
  <si>
    <t>3/4 WINTER FORST SCP</t>
  </si>
  <si>
    <t>100077061MS</t>
  </si>
  <si>
    <t>732997305584</t>
  </si>
  <si>
    <t>LS POLKA PENGUIN SCP</t>
  </si>
  <si>
    <t>100068631MS</t>
  </si>
  <si>
    <t>732997883594</t>
  </si>
  <si>
    <t>732997883464</t>
  </si>
  <si>
    <t>3/4 SNOWFLK GLTR SCP</t>
  </si>
  <si>
    <t>100077060MS</t>
  </si>
  <si>
    <t>732997883525</t>
  </si>
  <si>
    <t>732995203325</t>
  </si>
  <si>
    <t>ELBOW WOVEN LACE UP</t>
  </si>
  <si>
    <t>100046249MS</t>
  </si>
  <si>
    <t>732995790436</t>
  </si>
  <si>
    <t>732997305096</t>
  </si>
  <si>
    <t>LS WINTER FOREST SCP</t>
  </si>
  <si>
    <t>100068607MS</t>
  </si>
  <si>
    <t>732996715643</t>
  </si>
  <si>
    <t>3/4 SERENA STRIPE SC</t>
  </si>
  <si>
    <t>100068516MS</t>
  </si>
  <si>
    <t>732996715636</t>
  </si>
  <si>
    <t>732996385174</t>
  </si>
  <si>
    <t>732997880692</t>
  </si>
  <si>
    <t>3/4 WINTER FLOPS SC</t>
  </si>
  <si>
    <t>100068632PT</t>
  </si>
  <si>
    <t>732997305102</t>
  </si>
  <si>
    <t>636206339271</t>
  </si>
  <si>
    <t>732996728575</t>
  </si>
  <si>
    <t>3/4 PTD JQD CBBL CHR</t>
  </si>
  <si>
    <t>100059892MS</t>
  </si>
  <si>
    <t>732996728476</t>
  </si>
  <si>
    <t>3/4 PTD JQD FL AMBSH</t>
  </si>
  <si>
    <t>100059891MS</t>
  </si>
  <si>
    <t>732997099827</t>
  </si>
  <si>
    <t>3/4 SOLID VNECK R/S</t>
  </si>
  <si>
    <t>732997099889</t>
  </si>
  <si>
    <t>732997099919</t>
  </si>
  <si>
    <t>732997099858</t>
  </si>
  <si>
    <t>732996437767</t>
  </si>
  <si>
    <t>ELB FLAMINGO FOLY SC</t>
  </si>
  <si>
    <t>100049872MS</t>
  </si>
  <si>
    <t>732996948256</t>
  </si>
  <si>
    <t>3/4 STUD KEY SWETHAR</t>
  </si>
  <si>
    <t>100061293MS</t>
  </si>
  <si>
    <t>732996437743</t>
  </si>
  <si>
    <t>732996437750</t>
  </si>
  <si>
    <t>732996437736</t>
  </si>
  <si>
    <t>732997034729</t>
  </si>
  <si>
    <t>3/4 C/S PTD R/S LFY</t>
  </si>
  <si>
    <t>100075552MS</t>
  </si>
  <si>
    <t>732997034712</t>
  </si>
  <si>
    <t>732994318389</t>
  </si>
  <si>
    <t>732996258638</t>
  </si>
  <si>
    <t>3/4 SPACEDYE TUNIC</t>
  </si>
  <si>
    <t>100056092MS</t>
  </si>
  <si>
    <t>732997471739</t>
  </si>
  <si>
    <t>LS SOLID MICROFLEECE</t>
  </si>
  <si>
    <t>100076625MS</t>
  </si>
  <si>
    <t>732996706412</t>
  </si>
  <si>
    <t>S/S PTD R/S PSN FLRL</t>
  </si>
  <si>
    <t>100059929MS</t>
  </si>
  <si>
    <t>732996706832</t>
  </si>
  <si>
    <t>S/S PTD R/S SLN STRP</t>
  </si>
  <si>
    <t>100059932MS</t>
  </si>
  <si>
    <t>732995118124</t>
  </si>
  <si>
    <t>732995963991</t>
  </si>
  <si>
    <t>732995964004</t>
  </si>
  <si>
    <t>732997428313</t>
  </si>
  <si>
    <t>L/S SOLID TURTLENECK</t>
  </si>
  <si>
    <t>84873GT460</t>
  </si>
  <si>
    <t>732995166392</t>
  </si>
  <si>
    <t>732997302217</t>
  </si>
  <si>
    <t>LS HENLEY</t>
  </si>
  <si>
    <t>100059768MS</t>
  </si>
  <si>
    <t>636202779361</t>
  </si>
  <si>
    <t>732996257983</t>
  </si>
  <si>
    <t>706258707875</t>
  </si>
  <si>
    <t>732996258164</t>
  </si>
  <si>
    <t>706258699996</t>
  </si>
  <si>
    <t>636202699355</t>
  </si>
  <si>
    <t>732995807134</t>
  </si>
  <si>
    <t>100050964MS</t>
  </si>
  <si>
    <t>732996426068</t>
  </si>
  <si>
    <t>732995845761</t>
  </si>
  <si>
    <t>732996426136</t>
  </si>
  <si>
    <t>732996194158</t>
  </si>
  <si>
    <t>732995802610</t>
  </si>
  <si>
    <t>732995802351</t>
  </si>
  <si>
    <t>ELB VENIC VINES BOAT</t>
  </si>
  <si>
    <t>100049898MS</t>
  </si>
  <si>
    <t>689439442669</t>
  </si>
  <si>
    <t>732996365510</t>
  </si>
  <si>
    <t>732996365015</t>
  </si>
  <si>
    <t>732996364971</t>
  </si>
  <si>
    <t>100055362MS</t>
  </si>
  <si>
    <t>732996364957</t>
  </si>
  <si>
    <t>732996364926</t>
  </si>
  <si>
    <t>732996365442</t>
  </si>
  <si>
    <t>100055365MS</t>
  </si>
  <si>
    <t>636193515405</t>
  </si>
  <si>
    <t>732996379999</t>
  </si>
  <si>
    <t>PTD JQD TANK GEO BST</t>
  </si>
  <si>
    <t>100063503MS</t>
  </si>
  <si>
    <t>732996353326</t>
  </si>
  <si>
    <t>100065228MS</t>
  </si>
  <si>
    <t>732996632957</t>
  </si>
  <si>
    <t>732997099377</t>
  </si>
  <si>
    <t>732997099384</t>
  </si>
  <si>
    <t>732997099438</t>
  </si>
  <si>
    <t>732996867915</t>
  </si>
  <si>
    <t>100039196MS</t>
  </si>
  <si>
    <t>732994928069</t>
  </si>
  <si>
    <t>732996006147</t>
  </si>
  <si>
    <t>84987MT460</t>
  </si>
  <si>
    <t>732994814829</t>
  </si>
  <si>
    <t>636206918193</t>
  </si>
  <si>
    <t>732995784695</t>
  </si>
  <si>
    <t>732994901024</t>
  </si>
  <si>
    <t>732994901109</t>
  </si>
  <si>
    <t>732995211726</t>
  </si>
  <si>
    <t>732996425801</t>
  </si>
  <si>
    <t>636202432563</t>
  </si>
  <si>
    <t>732994900447</t>
  </si>
  <si>
    <t>732997303320</t>
  </si>
  <si>
    <t>LS SCOOP</t>
  </si>
  <si>
    <t>100059766MS</t>
  </si>
  <si>
    <t>732995709285</t>
  </si>
  <si>
    <t>27020BW805</t>
  </si>
  <si>
    <t>732995709315</t>
  </si>
  <si>
    <t>732997099308</t>
  </si>
  <si>
    <t>732997099315</t>
  </si>
  <si>
    <t>636193518321</t>
  </si>
  <si>
    <t>88144BR460</t>
  </si>
  <si>
    <t>732994761949</t>
  </si>
  <si>
    <t>88144CB460</t>
  </si>
  <si>
    <t>732996234366</t>
  </si>
  <si>
    <t>88144HY460</t>
  </si>
  <si>
    <t>732996234380</t>
  </si>
  <si>
    <t>706254806640</t>
  </si>
  <si>
    <t>732995045246</t>
  </si>
  <si>
    <t>100052894MS</t>
  </si>
  <si>
    <t>732996088013</t>
  </si>
  <si>
    <t>100054134MS</t>
  </si>
  <si>
    <t>732995416541</t>
  </si>
  <si>
    <t>636189878378</t>
  </si>
  <si>
    <t>27020LG151</t>
  </si>
  <si>
    <t>636189877852</t>
  </si>
  <si>
    <t>636189878361</t>
  </si>
  <si>
    <t>636189878385</t>
  </si>
  <si>
    <t>732994760645</t>
  </si>
  <si>
    <t>RPL ELBS TXTRD BOAT</t>
  </si>
  <si>
    <t>100049177RM</t>
  </si>
  <si>
    <t>732994760560</t>
  </si>
  <si>
    <t>732994760751</t>
  </si>
  <si>
    <t>732994760669</t>
  </si>
  <si>
    <t>732994760553</t>
  </si>
  <si>
    <t>732994760706</t>
  </si>
  <si>
    <t>732994760638</t>
  </si>
  <si>
    <t>732994760577</t>
  </si>
  <si>
    <t>706257400494</t>
  </si>
  <si>
    <t>54740DB143</t>
  </si>
  <si>
    <t>732994730778</t>
  </si>
  <si>
    <t>636193734462</t>
  </si>
  <si>
    <t>732996386652</t>
  </si>
  <si>
    <t>3/4 WATERCLR STP HEN</t>
  </si>
  <si>
    <t>100050944MS</t>
  </si>
  <si>
    <t>732996386669</t>
  </si>
  <si>
    <t>732996386799</t>
  </si>
  <si>
    <t>3/4 FRNDS FLTTER HEN</t>
  </si>
  <si>
    <t>100050950MS</t>
  </si>
  <si>
    <t>732996386645</t>
  </si>
  <si>
    <t>732996386775</t>
  </si>
  <si>
    <t>732996386751</t>
  </si>
  <si>
    <t>732996386768</t>
  </si>
  <si>
    <t>732996386782</t>
  </si>
  <si>
    <t>732996653556</t>
  </si>
  <si>
    <t>L/S TOSSED GIRAFFE H</t>
  </si>
  <si>
    <t>100067679MS</t>
  </si>
  <si>
    <t>726895162974</t>
  </si>
  <si>
    <t>726895162981</t>
  </si>
  <si>
    <t>636189497265</t>
  </si>
  <si>
    <t>732995044065</t>
  </si>
  <si>
    <t>732996361314</t>
  </si>
  <si>
    <t>732996639611</t>
  </si>
  <si>
    <t>SLEEVELSS STUD TANK</t>
  </si>
  <si>
    <t>100067894MS</t>
  </si>
  <si>
    <t>732996639604</t>
  </si>
  <si>
    <t>732996639727</t>
  </si>
  <si>
    <t>732996343396</t>
  </si>
  <si>
    <t>CK SHRKBT BRNOUT TEE</t>
  </si>
  <si>
    <t>100007535MS</t>
  </si>
  <si>
    <t>732994964227</t>
  </si>
  <si>
    <t>636202060230</t>
  </si>
  <si>
    <t>726895473520</t>
  </si>
  <si>
    <t>88226DP477</t>
  </si>
  <si>
    <t>732996306780</t>
  </si>
  <si>
    <t>732996639192</t>
  </si>
  <si>
    <t>732996381169</t>
  </si>
  <si>
    <t>732996381367</t>
  </si>
  <si>
    <t>608381324809</t>
  </si>
  <si>
    <t>608381324878</t>
  </si>
  <si>
    <t>732997336274</t>
  </si>
  <si>
    <t>SOLID FLEECE CREW</t>
  </si>
  <si>
    <t>100059811MS</t>
  </si>
  <si>
    <t>732996643830</t>
  </si>
  <si>
    <t>706254727891</t>
  </si>
  <si>
    <t>636202396230</t>
  </si>
  <si>
    <t>636202396100</t>
  </si>
  <si>
    <t>732996643922</t>
  </si>
  <si>
    <t>636202396643</t>
  </si>
  <si>
    <t>732996383682</t>
  </si>
  <si>
    <t>732996383699</t>
  </si>
  <si>
    <t>732995439397</t>
  </si>
  <si>
    <t>732995408874</t>
  </si>
  <si>
    <t>27028VV151</t>
  </si>
  <si>
    <t>636202078914</t>
  </si>
  <si>
    <t>636202061244</t>
  </si>
  <si>
    <t>636202078907</t>
  </si>
  <si>
    <t>636202078884</t>
  </si>
  <si>
    <t>636206649776</t>
  </si>
  <si>
    <t>732995188417</t>
  </si>
  <si>
    <t>TUNIC TANK</t>
  </si>
  <si>
    <t>100039115MS</t>
  </si>
  <si>
    <t>732996388885</t>
  </si>
  <si>
    <t>3/4 JUNGLE JIVE SC</t>
  </si>
  <si>
    <t>100050947MS</t>
  </si>
  <si>
    <t>732996388618</t>
  </si>
  <si>
    <t>732996389066</t>
  </si>
  <si>
    <t>3/4 HAVANA BOUQUET S</t>
  </si>
  <si>
    <t>100050948MS</t>
  </si>
  <si>
    <t>732996389288</t>
  </si>
  <si>
    <t>732996388595</t>
  </si>
  <si>
    <t>732996011660</t>
  </si>
  <si>
    <t>732996389264</t>
  </si>
  <si>
    <t>732996388915</t>
  </si>
  <si>
    <t>732996388922</t>
  </si>
  <si>
    <t>732996388892</t>
  </si>
  <si>
    <t>732996388908</t>
  </si>
  <si>
    <t>732997780305</t>
  </si>
  <si>
    <t>LS STARBURST SCOOP</t>
  </si>
  <si>
    <t>100064141MS</t>
  </si>
  <si>
    <t>732997781173</t>
  </si>
  <si>
    <t>LS FLORNC FLOW SCOOP</t>
  </si>
  <si>
    <t>100064143MS</t>
  </si>
  <si>
    <t>732995197228</t>
  </si>
  <si>
    <t>732996389073</t>
  </si>
  <si>
    <t>732996987170</t>
  </si>
  <si>
    <t>732996987187</t>
  </si>
  <si>
    <t>732996987194</t>
  </si>
  <si>
    <t>689439006564</t>
  </si>
  <si>
    <t>706255799422</t>
  </si>
  <si>
    <t>732994756570</t>
  </si>
  <si>
    <t>608381365321</t>
  </si>
  <si>
    <t>LS CREW W/ HILOW</t>
  </si>
  <si>
    <t>100030932R</t>
  </si>
  <si>
    <t>608381365314</t>
  </si>
  <si>
    <t>608381364454</t>
  </si>
  <si>
    <t>732996381657</t>
  </si>
  <si>
    <t>732996381664</t>
  </si>
  <si>
    <t>732997021118</t>
  </si>
  <si>
    <t>CK ONE PKT SLD TEE</t>
  </si>
  <si>
    <t>27020SG151</t>
  </si>
  <si>
    <t>706254741187</t>
  </si>
  <si>
    <t>706254741453</t>
  </si>
  <si>
    <t>706254737302</t>
  </si>
  <si>
    <t>732994904735</t>
  </si>
  <si>
    <t>732996642802</t>
  </si>
  <si>
    <t>732996642505</t>
  </si>
  <si>
    <t>732996643014</t>
  </si>
  <si>
    <t>732996642710</t>
  </si>
  <si>
    <t>706254746731</t>
  </si>
  <si>
    <t>608356562861</t>
  </si>
  <si>
    <t>L/S SCOOP</t>
  </si>
  <si>
    <t>100020275RM</t>
  </si>
  <si>
    <t>732996384368</t>
  </si>
  <si>
    <t>608356562854</t>
  </si>
  <si>
    <t>706254743518</t>
  </si>
  <si>
    <t>732996642413</t>
  </si>
  <si>
    <t>732995196641</t>
  </si>
  <si>
    <t>732995508772</t>
  </si>
  <si>
    <t>ELB POETIC WASH VNCK</t>
  </si>
  <si>
    <t>100044061PT</t>
  </si>
  <si>
    <t>732994904193</t>
  </si>
  <si>
    <t>608356275228</t>
  </si>
  <si>
    <t>3/4 SLV SOLID SCOOP BASIC</t>
  </si>
  <si>
    <t>60000R</t>
  </si>
  <si>
    <t>706258343271</t>
  </si>
  <si>
    <t>608356284411</t>
  </si>
  <si>
    <t>732995196764</t>
  </si>
  <si>
    <t>S/S DRAGONFLY SCOOP</t>
  </si>
  <si>
    <t>100036401MS</t>
  </si>
  <si>
    <t>732995504071</t>
  </si>
  <si>
    <t>732995810295</t>
  </si>
  <si>
    <t>706254754064</t>
  </si>
  <si>
    <t>732995503999</t>
  </si>
  <si>
    <t>732996176666</t>
  </si>
  <si>
    <t>SS STRP RINGR CRWNCK</t>
  </si>
  <si>
    <t>100059659MS</t>
  </si>
  <si>
    <t>732996176604</t>
  </si>
  <si>
    <t>887822055490</t>
  </si>
  <si>
    <t>SHRT DNM BRMD DARK</t>
  </si>
  <si>
    <t>95238-97</t>
  </si>
  <si>
    <t>NO COLOR</t>
  </si>
  <si>
    <t>MATERNITY</t>
  </si>
  <si>
    <t>DESTINATION MATERNITY CORP-LEASED</t>
  </si>
  <si>
    <t>732995907391</t>
  </si>
  <si>
    <t>732995907407</t>
  </si>
  <si>
    <t>732995907353</t>
  </si>
  <si>
    <t>732994755962</t>
  </si>
  <si>
    <t>732995283099</t>
  </si>
  <si>
    <t>SS SKNNY STRP VNCK</t>
  </si>
  <si>
    <t>100054091MS</t>
  </si>
  <si>
    <t>732995283105</t>
  </si>
  <si>
    <t>732995283051</t>
  </si>
  <si>
    <t>732995283020</t>
  </si>
  <si>
    <t>732995283013</t>
  </si>
  <si>
    <t>732996175959</t>
  </si>
  <si>
    <t>732995288315</t>
  </si>
  <si>
    <t>706258990635</t>
  </si>
  <si>
    <t>732995178456</t>
  </si>
  <si>
    <t>732995178487</t>
  </si>
  <si>
    <t>732995178432</t>
  </si>
  <si>
    <t>732996176918</t>
  </si>
  <si>
    <t>706254726047</t>
  </si>
  <si>
    <t>706254725927</t>
  </si>
  <si>
    <t>726895141795</t>
  </si>
  <si>
    <t>SOLID SLUB CREWNECK</t>
  </si>
  <si>
    <t>100007650R</t>
  </si>
  <si>
    <t>726895141818</t>
  </si>
  <si>
    <t>732995355062</t>
  </si>
  <si>
    <t>191608442894</t>
  </si>
  <si>
    <t>68300OM</t>
  </si>
  <si>
    <t>191608443051</t>
  </si>
  <si>
    <t>PETITE PROPORTION MEDIUM</t>
  </si>
  <si>
    <t>68301OM</t>
  </si>
  <si>
    <t>732996585499</t>
  </si>
  <si>
    <t>21101JB460</t>
  </si>
  <si>
    <t>828659268271</t>
  </si>
  <si>
    <t>SS CHIFFON MAXI</t>
  </si>
  <si>
    <t>VC9M9041</t>
  </si>
  <si>
    <t>828659119306</t>
  </si>
  <si>
    <t>93487253595</t>
  </si>
  <si>
    <t>NOTCH COLLAR PLAID JKT</t>
  </si>
  <si>
    <t>POLYESTER/ELASTANE; LINING: POLYESTER</t>
  </si>
  <si>
    <t>93487253625</t>
  </si>
  <si>
    <t>889648425938</t>
  </si>
  <si>
    <t>889648426027</t>
  </si>
  <si>
    <t>636189147450</t>
  </si>
  <si>
    <t>CM OPEN RIB CMPLTR</t>
  </si>
  <si>
    <t>100025557M</t>
  </si>
  <si>
    <t>100% PURE CASHMERE</t>
  </si>
  <si>
    <t>828659195331</t>
  </si>
  <si>
    <t>828659191784</t>
  </si>
  <si>
    <t>828659327374</t>
  </si>
  <si>
    <t>HLTR BOW NECK</t>
  </si>
  <si>
    <t>VC9M3404</t>
  </si>
  <si>
    <t>SHELL; POLYESTER/SPANDEX; LINING: POLYESTER</t>
  </si>
  <si>
    <t>889648314720</t>
  </si>
  <si>
    <t>1PC SLVLS JUMPSUIT</t>
  </si>
  <si>
    <t>JJ36624</t>
  </si>
  <si>
    <t>889648389087</t>
  </si>
  <si>
    <t>SS WRAP FRL DOT MAXI</t>
  </si>
  <si>
    <t>JJ37441</t>
  </si>
  <si>
    <t>889648414215</t>
  </si>
  <si>
    <t>SLV DOT JUMP</t>
  </si>
  <si>
    <t>DR51190</t>
  </si>
  <si>
    <t>828659112031</t>
  </si>
  <si>
    <t>828659112048</t>
  </si>
  <si>
    <t>889648323265</t>
  </si>
  <si>
    <t>SL CUPCAKE</t>
  </si>
  <si>
    <t>DR50636</t>
  </si>
  <si>
    <t>889648430383</t>
  </si>
  <si>
    <t>FLORAL BOWBACK SCUBA</t>
  </si>
  <si>
    <t>DR51330</t>
  </si>
  <si>
    <t>93487397367</t>
  </si>
  <si>
    <t>889648425389</t>
  </si>
  <si>
    <t>RUFFLE VNK CHIFFON BURNO</t>
  </si>
  <si>
    <t>JJ37500</t>
  </si>
  <si>
    <t>BODY: POLYESTER; LINING: POLYESTER</t>
  </si>
  <si>
    <t>755179357041</t>
  </si>
  <si>
    <t>755179381770</t>
  </si>
  <si>
    <t>887368579979</t>
  </si>
  <si>
    <t>WRAP RUFFLE DRESS</t>
  </si>
  <si>
    <t>72002375851A</t>
  </si>
  <si>
    <t>887368612409</t>
  </si>
  <si>
    <t>SHORTSLEEVE COLLAR NECK</t>
  </si>
  <si>
    <t>732996661391</t>
  </si>
  <si>
    <t>732996062518</t>
  </si>
  <si>
    <t>732996284576</t>
  </si>
  <si>
    <t>732996164083</t>
  </si>
  <si>
    <t>DR PRNT HILO MAXI</t>
  </si>
  <si>
    <t>100056326PT</t>
  </si>
  <si>
    <t>POLYESTER; LINING: POLYESTER/SPANDEX</t>
  </si>
  <si>
    <t>732996452210</t>
  </si>
  <si>
    <t>636193804370</t>
  </si>
  <si>
    <t>ECO-FRIENDLY</t>
  </si>
  <si>
    <t>100035134M</t>
  </si>
  <si>
    <t>COTTON/ REPREVE® RECYCLED POLYESTER/SPANDEX</t>
  </si>
  <si>
    <t>732996284750</t>
  </si>
  <si>
    <t>732996591612</t>
  </si>
  <si>
    <t>732995833324</t>
  </si>
  <si>
    <t>LACE GODET FLARE</t>
  </si>
  <si>
    <t>732996151342</t>
  </si>
  <si>
    <t>OT CHMBY DRAPE FRNT</t>
  </si>
  <si>
    <t>732995827194</t>
  </si>
  <si>
    <t>WVN SL BELT DOT DRS</t>
  </si>
  <si>
    <t>100057137MS</t>
  </si>
  <si>
    <t>732995827309</t>
  </si>
  <si>
    <t>732996477237</t>
  </si>
  <si>
    <t>SLVLS BUTTON DRESS</t>
  </si>
  <si>
    <t>191432413220</t>
  </si>
  <si>
    <t>PLEATED RUFFLE DRESS</t>
  </si>
  <si>
    <t>LSF91032P</t>
  </si>
  <si>
    <t>RAYON/NYLON/POLYESTER</t>
  </si>
  <si>
    <t>732996476698</t>
  </si>
  <si>
    <t>RAW HEM GOMMET CROP</t>
  </si>
  <si>
    <t>732995312898</t>
  </si>
  <si>
    <t>636206444425</t>
  </si>
  <si>
    <t>732996294131</t>
  </si>
  <si>
    <t>BTN FRNT Y/D SR MAXI</t>
  </si>
  <si>
    <t>100067968P</t>
  </si>
  <si>
    <t>COTTON/VISCOSE/METALLIC THREADS; LINING: 100% COTTON</t>
  </si>
  <si>
    <t>732996294155</t>
  </si>
  <si>
    <t>732996294148</t>
  </si>
  <si>
    <t>732995045802</t>
  </si>
  <si>
    <t>DNM SLD WSH DNM JKT</t>
  </si>
  <si>
    <t>100049447MS</t>
  </si>
  <si>
    <t>732996625126</t>
  </si>
  <si>
    <t>WVN LS EMBR FRNG BLS</t>
  </si>
  <si>
    <t>100059784MS</t>
  </si>
  <si>
    <t>732996464671</t>
  </si>
  <si>
    <t>732998005377</t>
  </si>
  <si>
    <t>MIX STCH LUREX TUNIC</t>
  </si>
  <si>
    <t>100080297MS</t>
  </si>
  <si>
    <t>RAYON/POLYESTER/METALLIC</t>
  </si>
  <si>
    <t>732994535441</t>
  </si>
  <si>
    <t>792831178040</t>
  </si>
  <si>
    <t>732995833775</t>
  </si>
  <si>
    <t>SEQUIN SS SKIRT</t>
  </si>
  <si>
    <t>732995831924</t>
  </si>
  <si>
    <t>732995831900</t>
  </si>
  <si>
    <t>732995831696</t>
  </si>
  <si>
    <t>732996338378</t>
  </si>
  <si>
    <t>732996148380</t>
  </si>
  <si>
    <t>BL PIPED FLUTTER SLV</t>
  </si>
  <si>
    <t>100015253P</t>
  </si>
  <si>
    <t>732996585161</t>
  </si>
  <si>
    <t>100059560WN</t>
  </si>
  <si>
    <t>732996590219</t>
  </si>
  <si>
    <t>SMCKD CHFFN SLV DRES</t>
  </si>
  <si>
    <t>100059546MS</t>
  </si>
  <si>
    <t>706254572194</t>
  </si>
  <si>
    <t>KNT LS STRP HALF ZIP BASIC</t>
  </si>
  <si>
    <t>100040177MS</t>
  </si>
  <si>
    <t>732996001784</t>
  </si>
  <si>
    <t>DNM STRP WIDE LG CRP</t>
  </si>
  <si>
    <t>100055827MS</t>
  </si>
  <si>
    <t>732996841977</t>
  </si>
  <si>
    <t>PRINTED MAXI SKIRT</t>
  </si>
  <si>
    <t>100069885P</t>
  </si>
  <si>
    <t>732996069661</t>
  </si>
  <si>
    <t>732996824871</t>
  </si>
  <si>
    <t>732996824840</t>
  </si>
  <si>
    <t>732995838862</t>
  </si>
  <si>
    <t>732996824864</t>
  </si>
  <si>
    <t>732995838879</t>
  </si>
  <si>
    <t>732996052182</t>
  </si>
  <si>
    <t>732996906119</t>
  </si>
  <si>
    <t>732996023014</t>
  </si>
  <si>
    <t>FLTTR SLV C/S DRESS BASIC</t>
  </si>
  <si>
    <t>100055181MS</t>
  </si>
  <si>
    <t>732996264431</t>
  </si>
  <si>
    <t>100055159WN</t>
  </si>
  <si>
    <t>792831178538</t>
  </si>
  <si>
    <t>792831178361</t>
  </si>
  <si>
    <t>732995781359</t>
  </si>
  <si>
    <t>732995781380</t>
  </si>
  <si>
    <t>636206603754</t>
  </si>
  <si>
    <t>LACE UP SPLT DRESS</t>
  </si>
  <si>
    <t>100038948MS</t>
  </si>
  <si>
    <t>636206603730</t>
  </si>
  <si>
    <t>887650842286</t>
  </si>
  <si>
    <t>SQUARE CRVY RNS REG</t>
  </si>
  <si>
    <t>51920LR472</t>
  </si>
  <si>
    <t>732994269315</t>
  </si>
  <si>
    <t>732995029468</t>
  </si>
  <si>
    <t>732995749458</t>
  </si>
  <si>
    <t>WVN LIN RTAB FLR SHR</t>
  </si>
  <si>
    <t>100054757MS</t>
  </si>
  <si>
    <t>732996817033</t>
  </si>
  <si>
    <t>100059137WN</t>
  </si>
  <si>
    <t>732996817057</t>
  </si>
  <si>
    <t>805004095577</t>
  </si>
  <si>
    <t>7FD79D142</t>
  </si>
  <si>
    <t>732996656717</t>
  </si>
  <si>
    <t>KNT SL ETCH MIDI DRS</t>
  </si>
  <si>
    <t>100066603MS</t>
  </si>
  <si>
    <t>732997385708</t>
  </si>
  <si>
    <t>732995412680</t>
  </si>
  <si>
    <t>732996709802</t>
  </si>
  <si>
    <t>732997194133</t>
  </si>
  <si>
    <t>3 BTN TEXTURED JKT</t>
  </si>
  <si>
    <t>100076076MS</t>
  </si>
  <si>
    <t>706258195016</t>
  </si>
  <si>
    <t>C WHITE CROP BASIC</t>
  </si>
  <si>
    <t>7S785D142</t>
  </si>
  <si>
    <t>732995302448</t>
  </si>
  <si>
    <t>732997034057</t>
  </si>
  <si>
    <t>732996290850</t>
  </si>
  <si>
    <t>732996824956</t>
  </si>
  <si>
    <t>732996074009</t>
  </si>
  <si>
    <t>636193667715</t>
  </si>
  <si>
    <t>FOIL SCUBA</t>
  </si>
  <si>
    <t>100039008PT</t>
  </si>
  <si>
    <t>POLYESTER/SPANDEX; CUFFS: POLYESTER</t>
  </si>
  <si>
    <t>732996058740</t>
  </si>
  <si>
    <t>WVN LIN FLRL RTAB SH</t>
  </si>
  <si>
    <t>100055841MS</t>
  </si>
  <si>
    <t>732997650738</t>
  </si>
  <si>
    <t>GROMMET SLIM ANK PNT</t>
  </si>
  <si>
    <t>100067138WN</t>
  </si>
  <si>
    <t>732996693026</t>
  </si>
  <si>
    <t>732996693002</t>
  </si>
  <si>
    <t>732995994513</t>
  </si>
  <si>
    <t>732996654959</t>
  </si>
  <si>
    <t>KNT RFL SLV GLBL BTU</t>
  </si>
  <si>
    <t>100059591MS</t>
  </si>
  <si>
    <t>732995994520</t>
  </si>
  <si>
    <t>732995166897</t>
  </si>
  <si>
    <t>OPEN SLEEVE PONCHO</t>
  </si>
  <si>
    <t>100047234MS</t>
  </si>
  <si>
    <t>732995061741</t>
  </si>
  <si>
    <t>732995296099</t>
  </si>
  <si>
    <t>DNM WHT WIDE LG CRP</t>
  </si>
  <si>
    <t>100049453MS</t>
  </si>
  <si>
    <t>732996248301</t>
  </si>
  <si>
    <t>FLOCKED EMBROID SURP</t>
  </si>
  <si>
    <t>100064698P</t>
  </si>
  <si>
    <t>792831185406</t>
  </si>
  <si>
    <t>WORK CROP ROLL HEM</t>
  </si>
  <si>
    <t>P5001OT</t>
  </si>
  <si>
    <t>732996577333</t>
  </si>
  <si>
    <t>732996455112</t>
  </si>
  <si>
    <t>732996173658</t>
  </si>
  <si>
    <t>732996173689</t>
  </si>
  <si>
    <t>732996173665</t>
  </si>
  <si>
    <t>732995300147</t>
  </si>
  <si>
    <t>732995300161</t>
  </si>
  <si>
    <t>706257783962</t>
  </si>
  <si>
    <t>GROMMET HEM STR CROP</t>
  </si>
  <si>
    <t>732996460512</t>
  </si>
  <si>
    <t>732996405117</t>
  </si>
  <si>
    <t>732996566665</t>
  </si>
  <si>
    <t>732996092690</t>
  </si>
  <si>
    <t>732994996082</t>
  </si>
  <si>
    <t>732994996075</t>
  </si>
  <si>
    <t>636193005531</t>
  </si>
  <si>
    <t>DIAMND KNEE CRVY SKN</t>
  </si>
  <si>
    <t>732995636550</t>
  </si>
  <si>
    <t>608381441117</t>
  </si>
  <si>
    <t>732995091151</t>
  </si>
  <si>
    <t>732995525366</t>
  </si>
  <si>
    <t>732995886429</t>
  </si>
  <si>
    <t>732996078427</t>
  </si>
  <si>
    <t>732996657660</t>
  </si>
  <si>
    <t>887650667537</t>
  </si>
  <si>
    <t>14W PETITE</t>
  </si>
  <si>
    <t>732995857634</t>
  </si>
  <si>
    <t>887650667568</t>
  </si>
  <si>
    <t>887650667544</t>
  </si>
  <si>
    <t>732996327747</t>
  </si>
  <si>
    <t>805004089293</t>
  </si>
  <si>
    <t>C TIKGLO CROP BASIC</t>
  </si>
  <si>
    <t>7S778D142</t>
  </si>
  <si>
    <t>732996223186</t>
  </si>
  <si>
    <t>BT WSH SIDE SLIT MX</t>
  </si>
  <si>
    <t>732996141237</t>
  </si>
  <si>
    <t>DR GEO MEDLEY SHORT</t>
  </si>
  <si>
    <t>100054076MS</t>
  </si>
  <si>
    <t>732997047576</t>
  </si>
  <si>
    <t>732995524215</t>
  </si>
  <si>
    <t>732995524628</t>
  </si>
  <si>
    <t>DOUBLE RING WTB PANT</t>
  </si>
  <si>
    <t>100052822MS</t>
  </si>
  <si>
    <t>732995524635</t>
  </si>
  <si>
    <t>689439102082</t>
  </si>
  <si>
    <t>3/4 DOLMAN CHAIN SLV</t>
  </si>
  <si>
    <t>100033080MS</t>
  </si>
  <si>
    <t>689439102099</t>
  </si>
  <si>
    <t>689439102075</t>
  </si>
  <si>
    <t>732996040189</t>
  </si>
  <si>
    <t>FW CROCHET SS TOP</t>
  </si>
  <si>
    <t>100060632MS</t>
  </si>
  <si>
    <t>SHELL: POLYESTER/RAYON; YOKE: NYLON; TRIM: COTTON</t>
  </si>
  <si>
    <t>887650382676</t>
  </si>
  <si>
    <t>887650608271</t>
  </si>
  <si>
    <t>732995694444</t>
  </si>
  <si>
    <t>PTD SHINE TIENCK TOP BASIC</t>
  </si>
  <si>
    <t>100053278MS</t>
  </si>
  <si>
    <t>POLYESTER/LUREX® METALLIC THREADS/SPANDEX; TRIM: METAL</t>
  </si>
  <si>
    <t>732996034072</t>
  </si>
  <si>
    <t>29408394146</t>
  </si>
  <si>
    <t>EDV TAN POLY PO AVE PANT</t>
  </si>
  <si>
    <t>29408244540</t>
  </si>
  <si>
    <t>29408935189</t>
  </si>
  <si>
    <t>EDV WHITE POLY PO PANT</t>
  </si>
  <si>
    <t>726895076912</t>
  </si>
  <si>
    <t>3/4 SLV TWIN PRNT</t>
  </si>
  <si>
    <t>POLYESTER/SPANDEX; CHIFFON: POLYESTER</t>
  </si>
  <si>
    <t>732996117799</t>
  </si>
  <si>
    <t>732996008554</t>
  </si>
  <si>
    <t>BELL SLV KYHL ORCHD</t>
  </si>
  <si>
    <t>100054880MS</t>
  </si>
  <si>
    <t>732997398845</t>
  </si>
  <si>
    <t>CW SOLID BIG SHIRT</t>
  </si>
  <si>
    <t>100066079MS</t>
  </si>
  <si>
    <t>732996962269</t>
  </si>
  <si>
    <t>FK TIE SLV/NECK TOP</t>
  </si>
  <si>
    <t>100065728PT</t>
  </si>
  <si>
    <t>NYLON; SECONDARY: COTTON/NYLON</t>
  </si>
  <si>
    <t>732996977171</t>
  </si>
  <si>
    <t>5 PKT SKINNY-COLORED</t>
  </si>
  <si>
    <t>732994631204</t>
  </si>
  <si>
    <t>100038068WN</t>
  </si>
  <si>
    <t>732994631174</t>
  </si>
  <si>
    <t>887650752158</t>
  </si>
  <si>
    <t>732995694918</t>
  </si>
  <si>
    <t>BTN HEM CRSSHTCH PNT BASIC</t>
  </si>
  <si>
    <t>100051695MS</t>
  </si>
  <si>
    <t>732995866834</t>
  </si>
  <si>
    <t>SWT LS CHAMB PKT COM</t>
  </si>
  <si>
    <t>100054424MS</t>
  </si>
  <si>
    <t>732996405056</t>
  </si>
  <si>
    <t>732996822051</t>
  </si>
  <si>
    <t>YNCK TUN ARTSTC BRSH</t>
  </si>
  <si>
    <t>100059345WN</t>
  </si>
  <si>
    <t>190797359051</t>
  </si>
  <si>
    <t>190797358931</t>
  </si>
  <si>
    <t>732996471228</t>
  </si>
  <si>
    <t>190797358924</t>
  </si>
  <si>
    <t>732997398197</t>
  </si>
  <si>
    <t>732997398203</t>
  </si>
  <si>
    <t>732997398364</t>
  </si>
  <si>
    <t>732997398210</t>
  </si>
  <si>
    <t>732996188065</t>
  </si>
  <si>
    <t>100049451MS</t>
  </si>
  <si>
    <t>732995222753</t>
  </si>
  <si>
    <t>732995179804</t>
  </si>
  <si>
    <t>608356685652</t>
  </si>
  <si>
    <t>732996585758</t>
  </si>
  <si>
    <t>100059556MS</t>
  </si>
  <si>
    <t>887650621515</t>
  </si>
  <si>
    <t>887650667605</t>
  </si>
  <si>
    <t>28W PETITE</t>
  </si>
  <si>
    <t>732995424324</t>
  </si>
  <si>
    <t>29408625394</t>
  </si>
  <si>
    <t>SKIRT PET</t>
  </si>
  <si>
    <t>29408476453</t>
  </si>
  <si>
    <t>732996193410</t>
  </si>
  <si>
    <t>806864919621</t>
  </si>
  <si>
    <t>732995789355</t>
  </si>
  <si>
    <t>KNT SS EMB STRP TOP</t>
  </si>
  <si>
    <t>100054617MS</t>
  </si>
  <si>
    <t>806864669175</t>
  </si>
  <si>
    <t>806864669182</t>
  </si>
  <si>
    <t>732996291215</t>
  </si>
  <si>
    <t>C FRAY TRIM SKIRT</t>
  </si>
  <si>
    <t>732996430737</t>
  </si>
  <si>
    <t>732997199091</t>
  </si>
  <si>
    <t>SWT SHORT SLEEVE PO</t>
  </si>
  <si>
    <t>100067382MS</t>
  </si>
  <si>
    <t>806864668925</t>
  </si>
  <si>
    <t>806864668918</t>
  </si>
  <si>
    <t>806864668888</t>
  </si>
  <si>
    <t>732995750287</t>
  </si>
  <si>
    <t>887650807230</t>
  </si>
  <si>
    <t>704625810074</t>
  </si>
  <si>
    <t>LR CURVY BOOT BASIC</t>
  </si>
  <si>
    <t>732995357516</t>
  </si>
  <si>
    <t>100040729P</t>
  </si>
  <si>
    <t>732996297507</t>
  </si>
  <si>
    <t>765215861821</t>
  </si>
  <si>
    <t>732996026985</t>
  </si>
  <si>
    <t>732995808636</t>
  </si>
  <si>
    <t>732996691510</t>
  </si>
  <si>
    <t>682173144646</t>
  </si>
  <si>
    <t>PAISLEY PRINT DRESS</t>
  </si>
  <si>
    <t>M1035226J</t>
  </si>
  <si>
    <t>636189470336</t>
  </si>
  <si>
    <t>887650654667</t>
  </si>
  <si>
    <t>806864680385</t>
  </si>
  <si>
    <t>806864671925</t>
  </si>
  <si>
    <t>806864671864</t>
  </si>
  <si>
    <t>806864671932</t>
  </si>
  <si>
    <t>732994156110</t>
  </si>
  <si>
    <t>732995835328</t>
  </si>
  <si>
    <t>732995835298</t>
  </si>
  <si>
    <t>732995088410</t>
  </si>
  <si>
    <t>732995088854</t>
  </si>
  <si>
    <t>726895885057</t>
  </si>
  <si>
    <t>887650824084</t>
  </si>
  <si>
    <t>52123OL460</t>
  </si>
  <si>
    <t>636193753883</t>
  </si>
  <si>
    <t>887650602309</t>
  </si>
  <si>
    <t>682173144776</t>
  </si>
  <si>
    <t>PRNTDKNTDRSM6565363J</t>
  </si>
  <si>
    <t>M1035413J</t>
  </si>
  <si>
    <t>887650602545</t>
  </si>
  <si>
    <t>52123ST460</t>
  </si>
  <si>
    <t>608381444491</t>
  </si>
  <si>
    <t>732995361308</t>
  </si>
  <si>
    <t>732994594769</t>
  </si>
  <si>
    <t>732994594752</t>
  </si>
  <si>
    <t>732996962016</t>
  </si>
  <si>
    <t>FK LACEUP LS TOP</t>
  </si>
  <si>
    <t>100066099PT</t>
  </si>
  <si>
    <t>732996961958</t>
  </si>
  <si>
    <t>732995026351</t>
  </si>
  <si>
    <t>726895219722</t>
  </si>
  <si>
    <t>732995026344</t>
  </si>
  <si>
    <t>732995026108</t>
  </si>
  <si>
    <t>732995758924</t>
  </si>
  <si>
    <t>FW HILO SLVLESS TOP</t>
  </si>
  <si>
    <t>100054040MS</t>
  </si>
  <si>
    <t>732995150322</t>
  </si>
  <si>
    <t>ZIPNCK FOIL TUNIC BR</t>
  </si>
  <si>
    <t>100049270MS</t>
  </si>
  <si>
    <t>726895084719</t>
  </si>
  <si>
    <t>636206782787</t>
  </si>
  <si>
    <t>DIAMONTE ZIP HEM TOP</t>
  </si>
  <si>
    <t>100032952MS</t>
  </si>
  <si>
    <t>636206782817</t>
  </si>
  <si>
    <t>636206782800</t>
  </si>
  <si>
    <t>636206782794</t>
  </si>
  <si>
    <t>732996415215</t>
  </si>
  <si>
    <t>732997024249</t>
  </si>
  <si>
    <t>FW TEXTRD SS TOP</t>
  </si>
  <si>
    <t>100065484PT</t>
  </si>
  <si>
    <t>MODAL</t>
  </si>
  <si>
    <t>732997024140</t>
  </si>
  <si>
    <t>636193794862</t>
  </si>
  <si>
    <t>732996860688</t>
  </si>
  <si>
    <t>RUFFLE COLD SHOULDER</t>
  </si>
  <si>
    <t>100070384P</t>
  </si>
  <si>
    <t>887650709923</t>
  </si>
  <si>
    <t>682173135927</t>
  </si>
  <si>
    <t>M WRAP DRESS</t>
  </si>
  <si>
    <t>M1035404J</t>
  </si>
  <si>
    <t>POLYESTER, SPAN</t>
  </si>
  <si>
    <t>682173166471</t>
  </si>
  <si>
    <t>732995044430</t>
  </si>
  <si>
    <t>21170WV460</t>
  </si>
  <si>
    <t>732995044416</t>
  </si>
  <si>
    <t>732995044423</t>
  </si>
  <si>
    <t>732995097351</t>
  </si>
  <si>
    <t>732997007761</t>
  </si>
  <si>
    <t>732995841435</t>
  </si>
  <si>
    <t>R CASUAL SHORT</t>
  </si>
  <si>
    <t>732994410779</t>
  </si>
  <si>
    <t>DRP FRNT HVY ITY TOP</t>
  </si>
  <si>
    <t>6X717P</t>
  </si>
  <si>
    <t>732996449746</t>
  </si>
  <si>
    <t>ITY PTD SKRT MTRD BL</t>
  </si>
  <si>
    <t>100063475MS</t>
  </si>
  <si>
    <t>191056750701</t>
  </si>
  <si>
    <t>SCULPTING DNM P/0 CAPRI</t>
  </si>
  <si>
    <t>338090A</t>
  </si>
  <si>
    <t>191057455827</t>
  </si>
  <si>
    <t>FLEX P/O CARGO CAPRI</t>
  </si>
  <si>
    <t>338133G</t>
  </si>
  <si>
    <t>726895972078</t>
  </si>
  <si>
    <t>726895972139</t>
  </si>
  <si>
    <t>887650923794</t>
  </si>
  <si>
    <t>54445PS805</t>
  </si>
  <si>
    <t>732994152365</t>
  </si>
  <si>
    <t>732996003320</t>
  </si>
  <si>
    <t>732995716009</t>
  </si>
  <si>
    <t>732995416077</t>
  </si>
  <si>
    <t>732995891355</t>
  </si>
  <si>
    <t>726895714197</t>
  </si>
  <si>
    <t>732996333540</t>
  </si>
  <si>
    <t>682173214066</t>
  </si>
  <si>
    <t>JPR TUNIC</t>
  </si>
  <si>
    <t>MC631137J</t>
  </si>
  <si>
    <t>732994942522</t>
  </si>
  <si>
    <t>704625333467</t>
  </si>
  <si>
    <t>704624060623</t>
  </si>
  <si>
    <t>732995737356</t>
  </si>
  <si>
    <t>100054380MS</t>
  </si>
  <si>
    <t>732994204101</t>
  </si>
  <si>
    <t>M SM</t>
  </si>
  <si>
    <t>887650599647</t>
  </si>
  <si>
    <t>54518WT805</t>
  </si>
  <si>
    <t>190797087817</t>
  </si>
  <si>
    <t>732994204859</t>
  </si>
  <si>
    <t>732995839289</t>
  </si>
  <si>
    <t>100054575PT</t>
  </si>
  <si>
    <t>822982522499</t>
  </si>
  <si>
    <t>887650897620</t>
  </si>
  <si>
    <t>732994942676</t>
  </si>
  <si>
    <t>732996525105</t>
  </si>
  <si>
    <t>TIE FRONT TEE</t>
  </si>
  <si>
    <t>100067244P</t>
  </si>
  <si>
    <t>726895683745</t>
  </si>
  <si>
    <t>732995750843</t>
  </si>
  <si>
    <t>732995750881</t>
  </si>
  <si>
    <t>732994425148</t>
  </si>
  <si>
    <t>636189537572</t>
  </si>
  <si>
    <t>54665LI805</t>
  </si>
  <si>
    <t>636189537510</t>
  </si>
  <si>
    <t>636189537534</t>
  </si>
  <si>
    <t>636202338360</t>
  </si>
  <si>
    <t>636189537541</t>
  </si>
  <si>
    <t>726895885323</t>
  </si>
  <si>
    <t>732996847382</t>
  </si>
  <si>
    <t>CK SS FLUTTER SLV</t>
  </si>
  <si>
    <t>100027119MS</t>
  </si>
  <si>
    <t>732996703862</t>
  </si>
  <si>
    <t>100065985MS</t>
  </si>
  <si>
    <t>706257754009</t>
  </si>
  <si>
    <t>726895738391</t>
  </si>
  <si>
    <t>732997421291</t>
  </si>
  <si>
    <t>FK LSCP DBL TIER SNT</t>
  </si>
  <si>
    <t>100040469PT</t>
  </si>
  <si>
    <t>732995092820</t>
  </si>
  <si>
    <t>887650719120</t>
  </si>
  <si>
    <t>PULLON ULTRA SKINNY</t>
  </si>
  <si>
    <t>100001097P</t>
  </si>
  <si>
    <t>732996876863</t>
  </si>
  <si>
    <t>732994309943</t>
  </si>
  <si>
    <t>732997446287</t>
  </si>
  <si>
    <t>CK LS EMB THERMAL</t>
  </si>
  <si>
    <t>100078114PT</t>
  </si>
  <si>
    <t>732997446164</t>
  </si>
  <si>
    <t>100077397PT</t>
  </si>
  <si>
    <t>887650566090</t>
  </si>
  <si>
    <t>CW PULLON ZIP SKIMME BASIC</t>
  </si>
  <si>
    <t>54635DB805</t>
  </si>
  <si>
    <t>887650566069</t>
  </si>
  <si>
    <t>54635WT805</t>
  </si>
  <si>
    <t>887650566120</t>
  </si>
  <si>
    <t>732996962160</t>
  </si>
  <si>
    <t>FK FLTR SLV SS TOP</t>
  </si>
  <si>
    <t>100065718PT</t>
  </si>
  <si>
    <t>732996962177</t>
  </si>
  <si>
    <t>732994695169</t>
  </si>
  <si>
    <t>732995502602</t>
  </si>
  <si>
    <t>732994820332</t>
  </si>
  <si>
    <t>636189916933</t>
  </si>
  <si>
    <t>8864350545</t>
  </si>
  <si>
    <t>8864350996</t>
  </si>
  <si>
    <t>732995696752</t>
  </si>
  <si>
    <t>WHT CRCHT HEM SHRT</t>
  </si>
  <si>
    <t>732995696745</t>
  </si>
  <si>
    <t>732995696738</t>
  </si>
  <si>
    <t>636206226427</t>
  </si>
  <si>
    <t>PWR SCULPT ULT SKNY</t>
  </si>
  <si>
    <t>100037767P</t>
  </si>
  <si>
    <t>732997443927</t>
  </si>
  <si>
    <t>KNT 3/4 SL BUTTN TOP</t>
  </si>
  <si>
    <t>100066570MS</t>
  </si>
  <si>
    <t>732996691145</t>
  </si>
  <si>
    <t>732997443910</t>
  </si>
  <si>
    <t>732997185810</t>
  </si>
  <si>
    <t>682173167812</t>
  </si>
  <si>
    <t>M GINGHAM TOP</t>
  </si>
  <si>
    <t>MF978976J</t>
  </si>
  <si>
    <t>191432084482</t>
  </si>
  <si>
    <t>706256881676</t>
  </si>
  <si>
    <t>682173167089</t>
  </si>
  <si>
    <t>M CREPON ROLL TAB BL</t>
  </si>
  <si>
    <t>M9998976J</t>
  </si>
  <si>
    <t>190917296389</t>
  </si>
  <si>
    <t>732995982183</t>
  </si>
  <si>
    <t>KNIT WB BUNGEE CAPRI</t>
  </si>
  <si>
    <t>54665RY151</t>
  </si>
  <si>
    <t>732995982190</t>
  </si>
  <si>
    <t>732995982145</t>
  </si>
  <si>
    <t>706257303573</t>
  </si>
  <si>
    <t>732995982138</t>
  </si>
  <si>
    <t>732996061269</t>
  </si>
  <si>
    <t>732996321110</t>
  </si>
  <si>
    <t>732996080840</t>
  </si>
  <si>
    <t>100054280PT</t>
  </si>
  <si>
    <t>COTTON/MODAL; TRIM: POLYESTER</t>
  </si>
  <si>
    <t>732996080819</t>
  </si>
  <si>
    <t>732994844024</t>
  </si>
  <si>
    <t>CK OFF SHLDR FLNC TP</t>
  </si>
  <si>
    <t>100004808MS</t>
  </si>
  <si>
    <t>190797828632</t>
  </si>
  <si>
    <t>54717AO819</t>
  </si>
  <si>
    <t>689439461400</t>
  </si>
  <si>
    <t>887650924920</t>
  </si>
  <si>
    <t>887650924838</t>
  </si>
  <si>
    <t>887650929826</t>
  </si>
  <si>
    <t>887650929802</t>
  </si>
  <si>
    <t>887650929833</t>
  </si>
  <si>
    <t>887650924814</t>
  </si>
  <si>
    <t>732997332665</t>
  </si>
  <si>
    <t>732996817729</t>
  </si>
  <si>
    <t>8865730551</t>
  </si>
  <si>
    <t>8865749546</t>
  </si>
  <si>
    <t>689439292905</t>
  </si>
  <si>
    <t>8865730513</t>
  </si>
  <si>
    <t>732994976190</t>
  </si>
  <si>
    <t>732995764352</t>
  </si>
  <si>
    <t>100054547MS</t>
  </si>
  <si>
    <t>704975020321</t>
  </si>
  <si>
    <t>MESH DRESS</t>
  </si>
  <si>
    <t>XMED0155</t>
  </si>
  <si>
    <t>732996681832</t>
  </si>
  <si>
    <t>100058354MS</t>
  </si>
  <si>
    <t>732996265056</t>
  </si>
  <si>
    <t>DR SLVL PRINTED FF</t>
  </si>
  <si>
    <t>100058348MS</t>
  </si>
  <si>
    <t>732995938661</t>
  </si>
  <si>
    <t>732994626965</t>
  </si>
  <si>
    <t>SW 3/4 SLV SWING FF BASIC</t>
  </si>
  <si>
    <t>72042PT</t>
  </si>
  <si>
    <t>732994626958</t>
  </si>
  <si>
    <t>732995777109</t>
  </si>
  <si>
    <t>S/S FLORAL BRZ DRESS</t>
  </si>
  <si>
    <t>100050986MS</t>
  </si>
  <si>
    <t>704976350083</t>
  </si>
  <si>
    <t>3/4 SLV SIDETWST RFL DRS</t>
  </si>
  <si>
    <t>PITD3956</t>
  </si>
  <si>
    <t>682173111556</t>
  </si>
  <si>
    <t>M CREPE KNIT WRAP TO</t>
  </si>
  <si>
    <t>ME641150J</t>
  </si>
  <si>
    <t>RAYON, SPANDEX</t>
  </si>
  <si>
    <t>704976350441</t>
  </si>
  <si>
    <t>704976350434</t>
  </si>
  <si>
    <t>732996831527</t>
  </si>
  <si>
    <t>732996682990</t>
  </si>
  <si>
    <t>100058350PT</t>
  </si>
  <si>
    <t>732996320625</t>
  </si>
  <si>
    <t>732996320618</t>
  </si>
  <si>
    <t>732996320632</t>
  </si>
  <si>
    <t>636206782886</t>
  </si>
  <si>
    <t>ASYM FOIL HEM TOP</t>
  </si>
  <si>
    <t>100032960MS</t>
  </si>
  <si>
    <t>732995093117</t>
  </si>
  <si>
    <t>726895775839</t>
  </si>
  <si>
    <t>726895775808</t>
  </si>
  <si>
    <t>726895265392</t>
  </si>
  <si>
    <t>726895265422</t>
  </si>
  <si>
    <t>726895775846</t>
  </si>
  <si>
    <t>732998175957</t>
  </si>
  <si>
    <t>732998175940</t>
  </si>
  <si>
    <t>732997663387</t>
  </si>
  <si>
    <t>EMBROIDERY SNOWFLAKE</t>
  </si>
  <si>
    <t>100071576MS</t>
  </si>
  <si>
    <t>732995535334</t>
  </si>
  <si>
    <t>100049680MS</t>
  </si>
  <si>
    <t>689439274604</t>
  </si>
  <si>
    <t>732996325781</t>
  </si>
  <si>
    <t>732996325712</t>
  </si>
  <si>
    <t>732996325774</t>
  </si>
  <si>
    <t>732994892407</t>
  </si>
  <si>
    <t>706257302699</t>
  </si>
  <si>
    <t>732997058350</t>
  </si>
  <si>
    <t>BALLETNECK BABY CBLE</t>
  </si>
  <si>
    <t>100060755MS</t>
  </si>
  <si>
    <t>732995722352</t>
  </si>
  <si>
    <t>88939RT805</t>
  </si>
  <si>
    <t>732995329155</t>
  </si>
  <si>
    <t>LS TIE FRONT SNIT</t>
  </si>
  <si>
    <t>100057724P</t>
  </si>
  <si>
    <t>POLYESTER/RAYON/METALLIC/SPANDEX</t>
  </si>
  <si>
    <t>732996206561</t>
  </si>
  <si>
    <t>732997302996</t>
  </si>
  <si>
    <t>LS WINTER WNDRLND SC</t>
  </si>
  <si>
    <t>100068614MS</t>
  </si>
  <si>
    <t>689439508495</t>
  </si>
  <si>
    <t>732996655093</t>
  </si>
  <si>
    <t>KNT SL FLRL VNCK</t>
  </si>
  <si>
    <t>100059592MS</t>
  </si>
  <si>
    <t>732997303146</t>
  </si>
  <si>
    <t>732997303092</t>
  </si>
  <si>
    <t>732997621929</t>
  </si>
  <si>
    <t>SEQUIN REINDEER PO BASIC</t>
  </si>
  <si>
    <t>100076832MS</t>
  </si>
  <si>
    <t>ACRYLIC/POLYESTER/SPANDEX</t>
  </si>
  <si>
    <t>732997658727</t>
  </si>
  <si>
    <t>TANGLED REINDEER PO BASIC</t>
  </si>
  <si>
    <t>100076800PT</t>
  </si>
  <si>
    <t>732996623375</t>
  </si>
  <si>
    <t>732996623368</t>
  </si>
  <si>
    <t>732994936545</t>
  </si>
  <si>
    <t>732994936590</t>
  </si>
  <si>
    <t>732996591858</t>
  </si>
  <si>
    <t>732996893389</t>
  </si>
  <si>
    <t>FT MARL TEXT SWTSHRT</t>
  </si>
  <si>
    <t>100060824MS</t>
  </si>
  <si>
    <t>732996893334</t>
  </si>
  <si>
    <t>732997633694</t>
  </si>
  <si>
    <t>732997177136</t>
  </si>
  <si>
    <t>3/4 WVN BIB SCOOPNK</t>
  </si>
  <si>
    <t>100061259MS</t>
  </si>
  <si>
    <t>732996266299</t>
  </si>
  <si>
    <t>SWT FG SOLID CARDI</t>
  </si>
  <si>
    <t>100043652MS</t>
  </si>
  <si>
    <t>732996266275</t>
  </si>
  <si>
    <t>732996360935</t>
  </si>
  <si>
    <t>732994309271</t>
  </si>
  <si>
    <t>TT BALLET NECK TUNIC</t>
  </si>
  <si>
    <t>100027443MS</t>
  </si>
  <si>
    <t>ACRYLIC/POLYESTER</t>
  </si>
  <si>
    <t>732994309332</t>
  </si>
  <si>
    <t>732996949215</t>
  </si>
  <si>
    <t>732996949031</t>
  </si>
  <si>
    <t>732996949123</t>
  </si>
  <si>
    <t>636189703304</t>
  </si>
  <si>
    <t>636189709900</t>
  </si>
  <si>
    <t>704972047260</t>
  </si>
  <si>
    <t>REPLEN SHORT LENGTH BASIC</t>
  </si>
  <si>
    <t>PQIP0010</t>
  </si>
  <si>
    <t>732995011197</t>
  </si>
  <si>
    <t>732995350708</t>
  </si>
  <si>
    <t>732996990675</t>
  </si>
  <si>
    <t>732995162288</t>
  </si>
  <si>
    <t>732996987736</t>
  </si>
  <si>
    <t>768594212505</t>
  </si>
  <si>
    <t>768594342592</t>
  </si>
  <si>
    <t>732996869254</t>
  </si>
  <si>
    <t>3/4 GROMMET BOATNECK</t>
  </si>
  <si>
    <t>100061248MS</t>
  </si>
  <si>
    <t>726895613919</t>
  </si>
  <si>
    <t>732997034194</t>
  </si>
  <si>
    <t>3/4 PLCD FOIL R/S PR</t>
  </si>
  <si>
    <t>100068255MS</t>
  </si>
  <si>
    <t>732997178928</t>
  </si>
  <si>
    <t>732996697864</t>
  </si>
  <si>
    <t>SCPNK LANTRN SLV TOP</t>
  </si>
  <si>
    <t>27013RR151</t>
  </si>
  <si>
    <t>732996256788</t>
  </si>
  <si>
    <t>706257775684</t>
  </si>
  <si>
    <t>21101HH460</t>
  </si>
  <si>
    <t>732996236742</t>
  </si>
  <si>
    <t>732996236407</t>
  </si>
  <si>
    <t>732997223017</t>
  </si>
  <si>
    <t>FB PRINTED HALF ZIP</t>
  </si>
  <si>
    <t>100062893PT</t>
  </si>
  <si>
    <t>732997472927</t>
  </si>
  <si>
    <t>3/4 PLCD JQD GRWNG</t>
  </si>
  <si>
    <t>100068268WN</t>
  </si>
  <si>
    <t>732994424608</t>
  </si>
  <si>
    <t>636202698273</t>
  </si>
  <si>
    <t>100020386PT</t>
  </si>
  <si>
    <t>636202699140</t>
  </si>
  <si>
    <t>732996868844</t>
  </si>
  <si>
    <t>3/4 LACE TRM BOATNCK</t>
  </si>
  <si>
    <t>100061247MS</t>
  </si>
  <si>
    <t>732996868981</t>
  </si>
  <si>
    <t>732996869018</t>
  </si>
  <si>
    <t>732995937749</t>
  </si>
  <si>
    <t>PMA 3/4 DOT PRNT BT</t>
  </si>
  <si>
    <t>100022014P</t>
  </si>
  <si>
    <t>608356679002</t>
  </si>
  <si>
    <t>706257581049</t>
  </si>
  <si>
    <t>88144IN472</t>
  </si>
  <si>
    <t>732995689693</t>
  </si>
  <si>
    <t>100049021PT</t>
  </si>
  <si>
    <t>732996893860</t>
  </si>
  <si>
    <t>3/4 FT COZY CARDIGAN</t>
  </si>
  <si>
    <t>100068488MS</t>
  </si>
  <si>
    <t>732995804683</t>
  </si>
  <si>
    <t>732995804690</t>
  </si>
  <si>
    <t>732996987408</t>
  </si>
  <si>
    <t>100058170MS</t>
  </si>
  <si>
    <t>732996385747</t>
  </si>
  <si>
    <t>732996387536</t>
  </si>
  <si>
    <t>689439203161</t>
  </si>
  <si>
    <t>PMA 3/4 FLRL SDR BTN</t>
  </si>
  <si>
    <t>100048780PT</t>
  </si>
  <si>
    <t>SUPIMA COTTON</t>
  </si>
  <si>
    <t>840060424718</t>
  </si>
  <si>
    <t>CAPRI LEGGINGS</t>
  </si>
  <si>
    <t>205-10S</t>
  </si>
  <si>
    <t>VDF COLLECTION/WHITE MARK UNIVERSAL</t>
  </si>
  <si>
    <t>732996378770</t>
  </si>
  <si>
    <t>100059921MS</t>
  </si>
  <si>
    <t>732996256719</t>
  </si>
  <si>
    <t>3/4 PTD JQD DECO RN</t>
  </si>
  <si>
    <t>100055146WN</t>
  </si>
  <si>
    <t>732996330396</t>
  </si>
  <si>
    <t>732994812993</t>
  </si>
  <si>
    <t>732997043806</t>
  </si>
  <si>
    <t>3/4 PTD JQD PNTD GEO</t>
  </si>
  <si>
    <t>100068245WN</t>
  </si>
  <si>
    <t>768594454349</t>
  </si>
  <si>
    <t>732996961156</t>
  </si>
  <si>
    <t>732996706474</t>
  </si>
  <si>
    <t>768594488092</t>
  </si>
  <si>
    <t>CK SCP 3/4SLV WVN HM</t>
  </si>
  <si>
    <t>22722PT151</t>
  </si>
  <si>
    <t>BODY: POLYESTER/RAYON/SPANDEX;</t>
  </si>
  <si>
    <t>732996601731</t>
  </si>
  <si>
    <t>100060022MS</t>
  </si>
  <si>
    <t>732995712391</t>
  </si>
  <si>
    <t>732995711813</t>
  </si>
  <si>
    <t>732996601458</t>
  </si>
  <si>
    <t>100060016MS</t>
  </si>
  <si>
    <t>732995931556</t>
  </si>
  <si>
    <t>100049787PT</t>
  </si>
  <si>
    <t>BODY AND TRIM: COTTON</t>
  </si>
  <si>
    <t>732995807370</t>
  </si>
  <si>
    <t>100015577P</t>
  </si>
  <si>
    <t>732995807325</t>
  </si>
  <si>
    <t>732996947594</t>
  </si>
  <si>
    <t>704976350922</t>
  </si>
  <si>
    <t>704976223844</t>
  </si>
  <si>
    <t>704976223530</t>
  </si>
  <si>
    <t>732995389302</t>
  </si>
  <si>
    <t>732995712841</t>
  </si>
  <si>
    <t>100056280PT</t>
  </si>
  <si>
    <t>704976294691</t>
  </si>
  <si>
    <t>PSTB1457</t>
  </si>
  <si>
    <t>732995928594</t>
  </si>
  <si>
    <t>S/S STRPE LAC NCK SC</t>
  </si>
  <si>
    <t>100049782MS</t>
  </si>
  <si>
    <t>732996501710</t>
  </si>
  <si>
    <t>S/S PTD R/S ANML WND</t>
  </si>
  <si>
    <t>100059925WN</t>
  </si>
  <si>
    <t>732997780992</t>
  </si>
  <si>
    <t>732997781050</t>
  </si>
  <si>
    <t>732996715834</t>
  </si>
  <si>
    <t>706257584354</t>
  </si>
  <si>
    <t>88080DP472</t>
  </si>
  <si>
    <t>732997782149</t>
  </si>
  <si>
    <t>732996946078</t>
  </si>
  <si>
    <t>3/4 PLET RING KEY SC</t>
  </si>
  <si>
    <t>100061302MS</t>
  </si>
  <si>
    <t>732996946085</t>
  </si>
  <si>
    <t>732996946283</t>
  </si>
  <si>
    <t>732997883785</t>
  </si>
  <si>
    <t>3/4 GLISTEN TREE SCP</t>
  </si>
  <si>
    <t>100077066MS</t>
  </si>
  <si>
    <t>732997304846</t>
  </si>
  <si>
    <t>732997883778</t>
  </si>
  <si>
    <t>732997881781</t>
  </si>
  <si>
    <t>732995505528</t>
  </si>
  <si>
    <t>S/S FLORAL STRIP PUF</t>
  </si>
  <si>
    <t>100043751PT</t>
  </si>
  <si>
    <t>732994898645</t>
  </si>
  <si>
    <t>726895638585</t>
  </si>
  <si>
    <t>88144RA460</t>
  </si>
  <si>
    <t>732995922806</t>
  </si>
  <si>
    <t>732996872544</t>
  </si>
  <si>
    <t>? WVN COLLAR POLO</t>
  </si>
  <si>
    <t>100067892MS</t>
  </si>
  <si>
    <t>732997181355</t>
  </si>
  <si>
    <t>3/4 CRYST PUMPKN SCP</t>
  </si>
  <si>
    <t>100060696PT</t>
  </si>
  <si>
    <t>732996632254</t>
  </si>
  <si>
    <t>PMA 3/4 FLRL PSLY BT</t>
  </si>
  <si>
    <t>100044130MS</t>
  </si>
  <si>
    <t>732996870243</t>
  </si>
  <si>
    <t>3/4 CUTOUT BEAD SCOP</t>
  </si>
  <si>
    <t>100061254MS</t>
  </si>
  <si>
    <t>732997305287</t>
  </si>
  <si>
    <t>LS WINTER RALLY SCOP</t>
  </si>
  <si>
    <t>100068612MS</t>
  </si>
  <si>
    <t>732996946443</t>
  </si>
  <si>
    <t>LS LACE UP SCOOP</t>
  </si>
  <si>
    <t>100068175MS</t>
  </si>
  <si>
    <t>732996872704</t>
  </si>
  <si>
    <t>732996947891</t>
  </si>
  <si>
    <t>3/4 TWIST CUT OUT SC</t>
  </si>
  <si>
    <t>100061255MS</t>
  </si>
  <si>
    <t>732995922103</t>
  </si>
  <si>
    <t>732996649047</t>
  </si>
  <si>
    <t>732996870205</t>
  </si>
  <si>
    <t>706256795324</t>
  </si>
  <si>
    <t>732994087094</t>
  </si>
  <si>
    <t>88144OL477</t>
  </si>
  <si>
    <t>732994084444</t>
  </si>
  <si>
    <t>84987OL460</t>
  </si>
  <si>
    <t>689439354689</t>
  </si>
  <si>
    <t>S/S PRTD R/S CRINKLE</t>
  </si>
  <si>
    <t>732996794693</t>
  </si>
  <si>
    <t>732997881668</t>
  </si>
  <si>
    <t>732996005836</t>
  </si>
  <si>
    <t>732995741957</t>
  </si>
  <si>
    <t>732995741803</t>
  </si>
  <si>
    <t>732997883549</t>
  </si>
  <si>
    <t>732997883471</t>
  </si>
  <si>
    <t>732997883518</t>
  </si>
  <si>
    <t>732996385303</t>
  </si>
  <si>
    <t>732997883457</t>
  </si>
  <si>
    <t>732994812405</t>
  </si>
  <si>
    <t>3/4 PTD R/S IRIS GAR</t>
  </si>
  <si>
    <t>100040004PT</t>
  </si>
  <si>
    <t>732997034378</t>
  </si>
  <si>
    <t>3/4 PTD R/S GEO SCRT</t>
  </si>
  <si>
    <t>100068262MS</t>
  </si>
  <si>
    <t>884918843955</t>
  </si>
  <si>
    <t>608356161804</t>
  </si>
  <si>
    <t>EDV FLEECE PANT</t>
  </si>
  <si>
    <t>41003P</t>
  </si>
  <si>
    <t>732997099643</t>
  </si>
  <si>
    <t>732997099629</t>
  </si>
  <si>
    <t>732997099841</t>
  </si>
  <si>
    <t>732997099896</t>
  </si>
  <si>
    <t>732997099605</t>
  </si>
  <si>
    <t>732997099810</t>
  </si>
  <si>
    <t>732995196153</t>
  </si>
  <si>
    <t>ELBOW CALLA STP BOAT</t>
  </si>
  <si>
    <t>100039244MS</t>
  </si>
  <si>
    <t>732997788936</t>
  </si>
  <si>
    <t>LS SOLID VELR SWSHRT</t>
  </si>
  <si>
    <t>100064164MS</t>
  </si>
  <si>
    <t>732994899703</t>
  </si>
  <si>
    <t>732994318303</t>
  </si>
  <si>
    <t>732994318310</t>
  </si>
  <si>
    <t>732997302439</t>
  </si>
  <si>
    <t>LS GLITTER VINES HEN</t>
  </si>
  <si>
    <t>100064137MS</t>
  </si>
  <si>
    <t>732997191521</t>
  </si>
  <si>
    <t>NEP FLEECE CREW</t>
  </si>
  <si>
    <t>100059809MS</t>
  </si>
  <si>
    <t>732995779899</t>
  </si>
  <si>
    <t>732996004501</t>
  </si>
  <si>
    <t>S/S PTD R/S SILHO BL</t>
  </si>
  <si>
    <t>100053478MS</t>
  </si>
  <si>
    <t>732996258621</t>
  </si>
  <si>
    <t>732997471654</t>
  </si>
  <si>
    <t>732997471692</t>
  </si>
  <si>
    <t>732994937153</t>
  </si>
  <si>
    <t>732994937269</t>
  </si>
  <si>
    <t>EDV FLCE DITSY HNGDW</t>
  </si>
  <si>
    <t>100047493PT</t>
  </si>
  <si>
    <t>732994937214</t>
  </si>
  <si>
    <t>EDV FLCE FOLIAG BRST</t>
  </si>
  <si>
    <t>100047492PT</t>
  </si>
  <si>
    <t>732994937146</t>
  </si>
  <si>
    <t>732994937115</t>
  </si>
  <si>
    <t>732994937276</t>
  </si>
  <si>
    <t>732995254686</t>
  </si>
  <si>
    <t>FLCE DITSY HNGDW</t>
  </si>
  <si>
    <t>100047493MS</t>
  </si>
  <si>
    <t>732994937245</t>
  </si>
  <si>
    <t>732995118155</t>
  </si>
  <si>
    <t>732998007746</t>
  </si>
  <si>
    <t>84873BD460</t>
  </si>
  <si>
    <t>732995132021</t>
  </si>
  <si>
    <t>732995443196</t>
  </si>
  <si>
    <t>732995132014</t>
  </si>
  <si>
    <t>732995166422</t>
  </si>
  <si>
    <t>732997115633</t>
  </si>
  <si>
    <t>3/4 TULIP HEM SCOOP</t>
  </si>
  <si>
    <t>100061260MS</t>
  </si>
  <si>
    <t>706258707905</t>
  </si>
  <si>
    <t>706258707912</t>
  </si>
  <si>
    <t>706258707899</t>
  </si>
  <si>
    <t>732996257976</t>
  </si>
  <si>
    <t>732997115688</t>
  </si>
  <si>
    <t>732996258225</t>
  </si>
  <si>
    <t>706258716471</t>
  </si>
  <si>
    <t>706258707882</t>
  </si>
  <si>
    <t>732996258171</t>
  </si>
  <si>
    <t>732996258195</t>
  </si>
  <si>
    <t>732994934022</t>
  </si>
  <si>
    <t>608381868624</t>
  </si>
  <si>
    <t>100020319PT</t>
  </si>
  <si>
    <t>608381868570</t>
  </si>
  <si>
    <t>608381868631</t>
  </si>
  <si>
    <t>608381868617</t>
  </si>
  <si>
    <t>732996194134</t>
  </si>
  <si>
    <t>732996426211</t>
  </si>
  <si>
    <t>732995505375</t>
  </si>
  <si>
    <t>ELBOW SPRG LUXE BOAT</t>
  </si>
  <si>
    <t>100039243PT</t>
  </si>
  <si>
    <t>732995806625</t>
  </si>
  <si>
    <t>732996362595</t>
  </si>
  <si>
    <t>100055362PT</t>
  </si>
  <si>
    <t>732997303481</t>
  </si>
  <si>
    <t>LS HOLLY PLAID SCOOP</t>
  </si>
  <si>
    <t>100064142MS</t>
  </si>
  <si>
    <t>732997303603</t>
  </si>
  <si>
    <t>636193515412</t>
  </si>
  <si>
    <t>732996632940</t>
  </si>
  <si>
    <t>732997099360</t>
  </si>
  <si>
    <t>732996236346</t>
  </si>
  <si>
    <t>732996236377</t>
  </si>
  <si>
    <t>732996867878</t>
  </si>
  <si>
    <t>706255436372</t>
  </si>
  <si>
    <t>732997091630</t>
  </si>
  <si>
    <t>84987VP460</t>
  </si>
  <si>
    <t>732995784824</t>
  </si>
  <si>
    <t>732995784831</t>
  </si>
  <si>
    <t>732997303306</t>
  </si>
  <si>
    <t>732997099339</t>
  </si>
  <si>
    <t>732994761956</t>
  </si>
  <si>
    <t>636193518512</t>
  </si>
  <si>
    <t>636193518338</t>
  </si>
  <si>
    <t>732996234359</t>
  </si>
  <si>
    <t>732997307069</t>
  </si>
  <si>
    <t>88144SQ460</t>
  </si>
  <si>
    <t>732997020210</t>
  </si>
  <si>
    <t>CK PRINT SCPNK TEE</t>
  </si>
  <si>
    <t>100063262MS</t>
  </si>
  <si>
    <t>732996705569</t>
  </si>
  <si>
    <t>100058033MS</t>
  </si>
  <si>
    <t>732994760737</t>
  </si>
  <si>
    <t>732994760812</t>
  </si>
  <si>
    <t>732997122839</t>
  </si>
  <si>
    <t>LS WOODLND WND HENL</t>
  </si>
  <si>
    <t>100067359MS</t>
  </si>
  <si>
    <t>732994964340</t>
  </si>
  <si>
    <t>732994964302</t>
  </si>
  <si>
    <t>732997020814</t>
  </si>
  <si>
    <t>CK SLD SHARKBITE TEE</t>
  </si>
  <si>
    <t>100007532PT</t>
  </si>
  <si>
    <t>636202060490</t>
  </si>
  <si>
    <t>726895473544</t>
  </si>
  <si>
    <t>88226WH477</t>
  </si>
  <si>
    <t>732996382616</t>
  </si>
  <si>
    <t>3/4 HENLEY</t>
  </si>
  <si>
    <t>100055764MS</t>
  </si>
  <si>
    <t>732996382388</t>
  </si>
  <si>
    <t>706254727426</t>
  </si>
  <si>
    <t>706254727440</t>
  </si>
  <si>
    <t>732994077545</t>
  </si>
  <si>
    <t>100020273RM</t>
  </si>
  <si>
    <t>732997113721</t>
  </si>
  <si>
    <t>732996383200</t>
  </si>
  <si>
    <t>732996383712</t>
  </si>
  <si>
    <t>732997113776</t>
  </si>
  <si>
    <t>732997447352</t>
  </si>
  <si>
    <t>LS AUTMN WND TURTLNK</t>
  </si>
  <si>
    <t>100060878MS</t>
  </si>
  <si>
    <t>732995405422</t>
  </si>
  <si>
    <t>706254741583</t>
  </si>
  <si>
    <t>732996011639</t>
  </si>
  <si>
    <t>732996011912</t>
  </si>
  <si>
    <t>732997468814</t>
  </si>
  <si>
    <t>LS FOIL BUNCHES SCOO</t>
  </si>
  <si>
    <t>100067360MS</t>
  </si>
  <si>
    <t>732996389899</t>
  </si>
  <si>
    <t>3/4 LIIANI LINGR VNK</t>
  </si>
  <si>
    <t>100050951MS</t>
  </si>
  <si>
    <t>732996388601</t>
  </si>
  <si>
    <t>732996011653</t>
  </si>
  <si>
    <t>732996654461</t>
  </si>
  <si>
    <t>LS CAMEL SHIMMER SCO</t>
  </si>
  <si>
    <t>100067354MS</t>
  </si>
  <si>
    <t>732996388571</t>
  </si>
  <si>
    <t>732995212495</t>
  </si>
  <si>
    <t>100036346PT</t>
  </si>
  <si>
    <t>732996389660</t>
  </si>
  <si>
    <t>732996654485</t>
  </si>
  <si>
    <t>732995455656</t>
  </si>
  <si>
    <t>732995455595</t>
  </si>
  <si>
    <t>732996011646</t>
  </si>
  <si>
    <t>732994771092</t>
  </si>
  <si>
    <t>S/S DONATLA FLOR HEN</t>
  </si>
  <si>
    <t>100036347PT</t>
  </si>
  <si>
    <t>732994756747</t>
  </si>
  <si>
    <t>732997452899</t>
  </si>
  <si>
    <t>732997114964</t>
  </si>
  <si>
    <t>100059767MS</t>
  </si>
  <si>
    <t>689439078981</t>
  </si>
  <si>
    <t>689439079216</t>
  </si>
  <si>
    <t>732996381978</t>
  </si>
  <si>
    <t>689439078967</t>
  </si>
  <si>
    <t>732996381640</t>
  </si>
  <si>
    <t>689439078752</t>
  </si>
  <si>
    <t>732996381930</t>
  </si>
  <si>
    <t>689439079230</t>
  </si>
  <si>
    <t>732994078634</t>
  </si>
  <si>
    <t>732997021088</t>
  </si>
  <si>
    <t>706254741194</t>
  </si>
  <si>
    <t>706254741217</t>
  </si>
  <si>
    <t>732995783803</t>
  </si>
  <si>
    <t>732994897167</t>
  </si>
  <si>
    <t>732995783759</t>
  </si>
  <si>
    <t>732996642185</t>
  </si>
  <si>
    <t>732996642789</t>
  </si>
  <si>
    <t>706254746724</t>
  </si>
  <si>
    <t>706254743556</t>
  </si>
  <si>
    <t>732996643106</t>
  </si>
  <si>
    <t>732996642215</t>
  </si>
  <si>
    <t>732996195438</t>
  </si>
  <si>
    <t>732995504316</t>
  </si>
  <si>
    <t>ELB CITRUS LUXE VNCK</t>
  </si>
  <si>
    <t>100041723MS</t>
  </si>
  <si>
    <t>732995504323</t>
  </si>
  <si>
    <t>732995504415</t>
  </si>
  <si>
    <t>100044061MS</t>
  </si>
  <si>
    <t>732995504293</t>
  </si>
  <si>
    <t>732995504408</t>
  </si>
  <si>
    <t>732995504491</t>
  </si>
  <si>
    <t>706258343110</t>
  </si>
  <si>
    <t>732995508338</t>
  </si>
  <si>
    <t>732995508345</t>
  </si>
  <si>
    <t>732995212952</t>
  </si>
  <si>
    <t>100036401PT</t>
  </si>
  <si>
    <t>732995508277</t>
  </si>
  <si>
    <t>732995508352</t>
  </si>
  <si>
    <t>732995508314</t>
  </si>
  <si>
    <t>732996653839</t>
  </si>
  <si>
    <t>S/S FALL MELODY SC</t>
  </si>
  <si>
    <t>100057172MS</t>
  </si>
  <si>
    <t>732996653822</t>
  </si>
  <si>
    <t>732995810226</t>
  </si>
  <si>
    <t>732995508321</t>
  </si>
  <si>
    <t>732995846515</t>
  </si>
  <si>
    <t>100045477PT</t>
  </si>
  <si>
    <t>732994910668</t>
  </si>
  <si>
    <t>100036363PT</t>
  </si>
  <si>
    <t>732995846522</t>
  </si>
  <si>
    <t>732995907384</t>
  </si>
  <si>
    <t>732994755948</t>
  </si>
  <si>
    <t>689439077601</t>
  </si>
  <si>
    <t>608381415781</t>
  </si>
  <si>
    <t>SOLID SCOOP TEE</t>
  </si>
  <si>
    <t>732995283396</t>
  </si>
  <si>
    <t>732994908658</t>
  </si>
  <si>
    <t>732994909068</t>
  </si>
  <si>
    <t>732994908832</t>
  </si>
  <si>
    <t>732994909044</t>
  </si>
  <si>
    <t>732994909051</t>
  </si>
  <si>
    <t>732994909020</t>
  </si>
  <si>
    <t>732994908641</t>
  </si>
  <si>
    <t>732994908665</t>
  </si>
  <si>
    <t>732994908627</t>
  </si>
  <si>
    <t>732995288322</t>
  </si>
  <si>
    <t>732995169881</t>
  </si>
  <si>
    <t>732995288148</t>
  </si>
  <si>
    <t>732994908634</t>
  </si>
  <si>
    <t>732994908849</t>
  </si>
  <si>
    <t>706258990581</t>
  </si>
  <si>
    <t>732995178494</t>
  </si>
  <si>
    <t>726895353495</t>
  </si>
  <si>
    <t>726895353556</t>
  </si>
  <si>
    <t>732994907798</t>
  </si>
  <si>
    <t>726895141801</t>
  </si>
  <si>
    <t>191608444164</t>
  </si>
  <si>
    <t>69300ON</t>
  </si>
  <si>
    <t>22X5</t>
  </si>
  <si>
    <t>732995783599</t>
  </si>
  <si>
    <t>732995276374</t>
  </si>
  <si>
    <t>CM COLORBLOCK RUANA BASIC</t>
  </si>
  <si>
    <t>100052115MS</t>
  </si>
  <si>
    <t>CASHMERE</t>
  </si>
  <si>
    <t>828659140904</t>
  </si>
  <si>
    <t>828659126953</t>
  </si>
  <si>
    <t>889648314690</t>
  </si>
  <si>
    <t>889648425716</t>
  </si>
  <si>
    <t>93487407516</t>
  </si>
  <si>
    <t>LS FLRL WRAP MAXI</t>
  </si>
  <si>
    <t>755179357225</t>
  </si>
  <si>
    <t>93487365649</t>
  </si>
  <si>
    <t>732996661315</t>
  </si>
  <si>
    <t>732996062464</t>
  </si>
  <si>
    <t>732996284514</t>
  </si>
  <si>
    <t>732997392430</t>
  </si>
  <si>
    <t>100076562PT</t>
  </si>
  <si>
    <t>732997392447</t>
  </si>
  <si>
    <t>732995509335</t>
  </si>
  <si>
    <t>WVN LIN EMB MNTL TNC</t>
  </si>
  <si>
    <t>100051429MS</t>
  </si>
  <si>
    <t>732996341767</t>
  </si>
  <si>
    <t>805004101278</t>
  </si>
  <si>
    <t>RUFFLE PEPLUM JKT</t>
  </si>
  <si>
    <t>100012977M</t>
  </si>
  <si>
    <t>608381954648</t>
  </si>
  <si>
    <t>732996340326</t>
  </si>
  <si>
    <t>WVN FLR EMBROIDR TNC</t>
  </si>
  <si>
    <t>100059799MS</t>
  </si>
  <si>
    <t>608356599201</t>
  </si>
  <si>
    <t>PN PO LACE HEM ANK</t>
  </si>
  <si>
    <t>100008559P</t>
  </si>
  <si>
    <t>COTTON/RAYON/SPANDEX; LACE: NYLON</t>
  </si>
  <si>
    <t>732995035155</t>
  </si>
  <si>
    <t>61823EM805</t>
  </si>
  <si>
    <t>706258600954</t>
  </si>
  <si>
    <t>PULL ON SEAM SKINNY BASIC</t>
  </si>
  <si>
    <t>732996028705</t>
  </si>
  <si>
    <t>SWT LS MIX STCH COMP</t>
  </si>
  <si>
    <t>100054411MS</t>
  </si>
  <si>
    <t>732995569612</t>
  </si>
  <si>
    <t>732995476422</t>
  </si>
  <si>
    <t>732996338347</t>
  </si>
  <si>
    <t>JT DOUBLE V PRINTED</t>
  </si>
  <si>
    <t>100059476MS</t>
  </si>
  <si>
    <t>732995811506</t>
  </si>
  <si>
    <t>732996028484</t>
  </si>
  <si>
    <t>732995296228</t>
  </si>
  <si>
    <t>732995296174</t>
  </si>
  <si>
    <t>732996053080</t>
  </si>
  <si>
    <t>WVN LIN SS STRP SHR</t>
  </si>
  <si>
    <t>100055835MS</t>
  </si>
  <si>
    <t>732995838305</t>
  </si>
  <si>
    <t>29408642469</t>
  </si>
  <si>
    <t>EDV DENIM PO AVE PANT</t>
  </si>
  <si>
    <t>732994989718</t>
  </si>
  <si>
    <t>GRMMENT WTB ANKLE PT</t>
  </si>
  <si>
    <t>100052823WN</t>
  </si>
  <si>
    <t>732996288536</t>
  </si>
  <si>
    <t>WVN SL CLPDT LIN TNC</t>
  </si>
  <si>
    <t>100072967MS</t>
  </si>
  <si>
    <t>732996269757</t>
  </si>
  <si>
    <t>732995766554</t>
  </si>
  <si>
    <t>732996052199</t>
  </si>
  <si>
    <t>732995781397</t>
  </si>
  <si>
    <t>792831178507</t>
  </si>
  <si>
    <t>732996476377</t>
  </si>
  <si>
    <t>GROMMET SKIRT</t>
  </si>
  <si>
    <t>732996476407</t>
  </si>
  <si>
    <t>732996655826</t>
  </si>
  <si>
    <t>100066593MS</t>
  </si>
  <si>
    <t>732994269322</t>
  </si>
  <si>
    <t>732995839388</t>
  </si>
  <si>
    <t>R INCFINITY CROP</t>
  </si>
  <si>
    <t>732994452656</t>
  </si>
  <si>
    <t>DNM FRAY HEM ANK</t>
  </si>
  <si>
    <t>100030735MS</t>
  </si>
  <si>
    <t>805004095591</t>
  </si>
  <si>
    <t>805004095584</t>
  </si>
  <si>
    <t>732994979399</t>
  </si>
  <si>
    <t>JACQUARD PULL ON PNT</t>
  </si>
  <si>
    <t>100047262PT</t>
  </si>
  <si>
    <t>RAYON/POLYESTER/NYLON/METALLIC THREADING/SPANDEX</t>
  </si>
  <si>
    <t>732994996198</t>
  </si>
  <si>
    <t>732994995627</t>
  </si>
  <si>
    <t>732994996181</t>
  </si>
  <si>
    <t>732994995672</t>
  </si>
  <si>
    <t>732994961530</t>
  </si>
  <si>
    <t>BT CHMBY EMB CROP</t>
  </si>
  <si>
    <t>732994961523</t>
  </si>
  <si>
    <t>732995302769</t>
  </si>
  <si>
    <t>29408138290</t>
  </si>
  <si>
    <t>732996471082</t>
  </si>
  <si>
    <t>PT GAUZE DRESS</t>
  </si>
  <si>
    <t>100059464MS</t>
  </si>
  <si>
    <t>732996290973</t>
  </si>
  <si>
    <t>732996471105</t>
  </si>
  <si>
    <t>732995045925</t>
  </si>
  <si>
    <t>732996058733</t>
  </si>
  <si>
    <t>732995534115</t>
  </si>
  <si>
    <t>732996655017</t>
  </si>
  <si>
    <t>732996253510</t>
  </si>
  <si>
    <t>732995296136</t>
  </si>
  <si>
    <t>732996410494</t>
  </si>
  <si>
    <t>100063838WN</t>
  </si>
  <si>
    <t>732996691732</t>
  </si>
  <si>
    <t>732996577388</t>
  </si>
  <si>
    <t>732996577371</t>
  </si>
  <si>
    <t>732996359441</t>
  </si>
  <si>
    <t>KNT 3/4 FLRL BTU</t>
  </si>
  <si>
    <t>100059570MS</t>
  </si>
  <si>
    <t>732996291611</t>
  </si>
  <si>
    <t>732996291598</t>
  </si>
  <si>
    <t>636193745888</t>
  </si>
  <si>
    <t>VNK SVLS MX CLEO LUK</t>
  </si>
  <si>
    <t>100042389PT</t>
  </si>
  <si>
    <t>732995841893</t>
  </si>
  <si>
    <t>732995890006</t>
  </si>
  <si>
    <t>732994996037</t>
  </si>
  <si>
    <t>726895958454</t>
  </si>
  <si>
    <t>732995091229</t>
  </si>
  <si>
    <t>732995524703</t>
  </si>
  <si>
    <t>FORWARD GRMT HEM CPR</t>
  </si>
  <si>
    <t>100052825MS</t>
  </si>
  <si>
    <t>732996822662</t>
  </si>
  <si>
    <t>FLUTTER SLV C/S TOP</t>
  </si>
  <si>
    <t>100043668WN</t>
  </si>
  <si>
    <t>732996822617</t>
  </si>
  <si>
    <t>732997372494</t>
  </si>
  <si>
    <t>S/S TWST FRNT NVLTY BASIC</t>
  </si>
  <si>
    <t>100075592WN</t>
  </si>
  <si>
    <t>732996858586</t>
  </si>
  <si>
    <t>732996460291</t>
  </si>
  <si>
    <t>KNT SL FLRL PNTK</t>
  </si>
  <si>
    <t>100059573MS</t>
  </si>
  <si>
    <t>190917255386</t>
  </si>
  <si>
    <t>732996433318</t>
  </si>
  <si>
    <t>KNT LS MLTI EMB KRTA</t>
  </si>
  <si>
    <t>100059532MS</t>
  </si>
  <si>
    <t>732996657639</t>
  </si>
  <si>
    <t>732996261386</t>
  </si>
  <si>
    <t>732995527834</t>
  </si>
  <si>
    <t>732996824147</t>
  </si>
  <si>
    <t>C/S PALM BRNT OVRLY</t>
  </si>
  <si>
    <t>100061945MS</t>
  </si>
  <si>
    <t>SHELL: POLYESTER/NYLON; LINING: POLYESTER</t>
  </si>
  <si>
    <t>732995272024</t>
  </si>
  <si>
    <t>732995271997</t>
  </si>
  <si>
    <t>732996340258</t>
  </si>
  <si>
    <t>732996141169</t>
  </si>
  <si>
    <t>726895218831</t>
  </si>
  <si>
    <t>STUD FRNT STRGHT LEG</t>
  </si>
  <si>
    <t>100042052PT</t>
  </si>
  <si>
    <t>732995181111</t>
  </si>
  <si>
    <t>DNM JET WASH PULL ON</t>
  </si>
  <si>
    <t>100053888MS</t>
  </si>
  <si>
    <t>732995165180</t>
  </si>
  <si>
    <t>732996313412</t>
  </si>
  <si>
    <t>732996141336</t>
  </si>
  <si>
    <t>100054076PT</t>
  </si>
  <si>
    <t>887650923435</t>
  </si>
  <si>
    <t>14X4</t>
  </si>
  <si>
    <t>732996002040</t>
  </si>
  <si>
    <t>732995597486</t>
  </si>
  <si>
    <t>OTS BLOUSE</t>
  </si>
  <si>
    <t>100061561P</t>
  </si>
  <si>
    <t>732996002026</t>
  </si>
  <si>
    <t>732996002019</t>
  </si>
  <si>
    <t>732996263663</t>
  </si>
  <si>
    <t>FW LYOCELL SS TOP</t>
  </si>
  <si>
    <t>100054055MS</t>
  </si>
  <si>
    <t>732996524276</t>
  </si>
  <si>
    <t>BT TRD WOVEN MIDI SK</t>
  </si>
  <si>
    <t>100063477P</t>
  </si>
  <si>
    <t>POLYESTER; LINING: COTTON</t>
  </si>
  <si>
    <t>732996033877</t>
  </si>
  <si>
    <t>29408394153</t>
  </si>
  <si>
    <t>822980369188</t>
  </si>
  <si>
    <t>732996327303</t>
  </si>
  <si>
    <t>732996117829</t>
  </si>
  <si>
    <t>732996568195</t>
  </si>
  <si>
    <t>732996568188</t>
  </si>
  <si>
    <t>887650912194</t>
  </si>
  <si>
    <t>52126IL460</t>
  </si>
  <si>
    <t>887650905943</t>
  </si>
  <si>
    <t>52126PY460</t>
  </si>
  <si>
    <t>732996261904</t>
  </si>
  <si>
    <t>732996261935</t>
  </si>
  <si>
    <t>732996262413</t>
  </si>
  <si>
    <t>732996500386</t>
  </si>
  <si>
    <t>732996500447</t>
  </si>
  <si>
    <t>887650926573</t>
  </si>
  <si>
    <t>52123SF460</t>
  </si>
  <si>
    <t>732996238111</t>
  </si>
  <si>
    <t>100054925MS</t>
  </si>
  <si>
    <t>732994623957</t>
  </si>
  <si>
    <t>VOLUME SLV SURPLICE BASIC</t>
  </si>
  <si>
    <t>100014656P</t>
  </si>
  <si>
    <t>732995652987</t>
  </si>
  <si>
    <t>BTM CRD PORKCHP SHRT</t>
  </si>
  <si>
    <t>100062767MS</t>
  </si>
  <si>
    <t>732995179927</t>
  </si>
  <si>
    <t>732995179750</t>
  </si>
  <si>
    <t>732995179798</t>
  </si>
  <si>
    <t>608356686598</t>
  </si>
  <si>
    <t>732995840742</t>
  </si>
  <si>
    <t>SWT FG 3D FLRL APP</t>
  </si>
  <si>
    <t>100061720MS</t>
  </si>
  <si>
    <t>732996585710</t>
  </si>
  <si>
    <t>732996455921</t>
  </si>
  <si>
    <t>732995424317</t>
  </si>
  <si>
    <t>682173132124</t>
  </si>
  <si>
    <t>M DRAPED JUMPSUIT</t>
  </si>
  <si>
    <t>M1032730J</t>
  </si>
  <si>
    <t>806864919584</t>
  </si>
  <si>
    <t>732996202358</t>
  </si>
  <si>
    <t>732996202341</t>
  </si>
  <si>
    <t>732995456813</t>
  </si>
  <si>
    <t>732995869699</t>
  </si>
  <si>
    <t>KN SLD CROSS FRNT TP</t>
  </si>
  <si>
    <t>100054768PT</t>
  </si>
  <si>
    <t>732996320793</t>
  </si>
  <si>
    <t>732996320847</t>
  </si>
  <si>
    <t>732996261669</t>
  </si>
  <si>
    <t>100058945MS</t>
  </si>
  <si>
    <t>806864669168</t>
  </si>
  <si>
    <t>732996026480</t>
  </si>
  <si>
    <t>BTM HTHR CAM SKNY FL</t>
  </si>
  <si>
    <t>100054496MS</t>
  </si>
  <si>
    <t>732994967099</t>
  </si>
  <si>
    <t>KNT 3/4 SLD SRPLC TP</t>
  </si>
  <si>
    <t>100045333MS</t>
  </si>
  <si>
    <t>OVERLAY AND BACK: POLYESTER; BODY: POLYESTER/SPANDEX</t>
  </si>
  <si>
    <t>806864670058</t>
  </si>
  <si>
    <t>806864668857</t>
  </si>
  <si>
    <t>806864668833</t>
  </si>
  <si>
    <t>706254458597</t>
  </si>
  <si>
    <t>704625810159</t>
  </si>
  <si>
    <t>704625810111</t>
  </si>
  <si>
    <t>732996355825</t>
  </si>
  <si>
    <t>732996355818</t>
  </si>
  <si>
    <t>732996355757</t>
  </si>
  <si>
    <t>732996454603</t>
  </si>
  <si>
    <t>608381467476</t>
  </si>
  <si>
    <t>732995839937</t>
  </si>
  <si>
    <t>732996691428</t>
  </si>
  <si>
    <t>732996691435</t>
  </si>
  <si>
    <t>191057452826</t>
  </si>
  <si>
    <t>338093I</t>
  </si>
  <si>
    <t>682173144660</t>
  </si>
  <si>
    <t>608381474511</t>
  </si>
  <si>
    <t>732995480917</t>
  </si>
  <si>
    <t>732996328300</t>
  </si>
  <si>
    <t>FW FLUTTER TANK</t>
  </si>
  <si>
    <t>100058960MS</t>
  </si>
  <si>
    <t>806864680309</t>
  </si>
  <si>
    <t>732995166491</t>
  </si>
  <si>
    <t>100049448MS</t>
  </si>
  <si>
    <t>732995166736</t>
  </si>
  <si>
    <t>732995995466</t>
  </si>
  <si>
    <t>732996585802</t>
  </si>
  <si>
    <t>TBD SOLID DRESS</t>
  </si>
  <si>
    <t>100070329MS</t>
  </si>
  <si>
    <t>806864671949</t>
  </si>
  <si>
    <t>806864680415</t>
  </si>
  <si>
    <t>732994156103</t>
  </si>
  <si>
    <t>732995550085</t>
  </si>
  <si>
    <t>732996040110</t>
  </si>
  <si>
    <t>732995454154</t>
  </si>
  <si>
    <t>FK SPLT NK LS</t>
  </si>
  <si>
    <t>100047897MS</t>
  </si>
  <si>
    <t>BODY: COTTON/POLYESTER; LACE: COTTON; TRIM: COTTON</t>
  </si>
  <si>
    <t>726895885101</t>
  </si>
  <si>
    <t>682173080807</t>
  </si>
  <si>
    <t>M SPLIT SLV RIB DRES</t>
  </si>
  <si>
    <t>MB565078J</t>
  </si>
  <si>
    <t>732995890853</t>
  </si>
  <si>
    <t>608381456746</t>
  </si>
  <si>
    <t>608381441858</t>
  </si>
  <si>
    <t>608381444453</t>
  </si>
  <si>
    <t>608381456401</t>
  </si>
  <si>
    <t>608381444385</t>
  </si>
  <si>
    <t>732996444475</t>
  </si>
  <si>
    <t>732996444482</t>
  </si>
  <si>
    <t>732996266626</t>
  </si>
  <si>
    <t>100059466MS</t>
  </si>
  <si>
    <t>732995026337</t>
  </si>
  <si>
    <t>732995026092</t>
  </si>
  <si>
    <t>732995758931</t>
  </si>
  <si>
    <t>8865810109</t>
  </si>
  <si>
    <t>887650887829</t>
  </si>
  <si>
    <t>887650887751</t>
  </si>
  <si>
    <t>732997319772</t>
  </si>
  <si>
    <t>B/W STRIPE TWST FRNT</t>
  </si>
  <si>
    <t>100075726P</t>
  </si>
  <si>
    <t>732995791945</t>
  </si>
  <si>
    <t>732996431932</t>
  </si>
  <si>
    <t>732995841848</t>
  </si>
  <si>
    <t>732996320908</t>
  </si>
  <si>
    <t>732995763218</t>
  </si>
  <si>
    <t>732995765311</t>
  </si>
  <si>
    <t>100055562PT</t>
  </si>
  <si>
    <t>732995765298</t>
  </si>
  <si>
    <t>806864668796</t>
  </si>
  <si>
    <t>732996285351</t>
  </si>
  <si>
    <t>HR BTTN FRONT SHORT</t>
  </si>
  <si>
    <t>689439495252</t>
  </si>
  <si>
    <t>191056750695</t>
  </si>
  <si>
    <t>191057453922</t>
  </si>
  <si>
    <t>FLEX TO GO CARGO CAPRI</t>
  </si>
  <si>
    <t>460024I</t>
  </si>
  <si>
    <t>608381551809</t>
  </si>
  <si>
    <t>726895972177</t>
  </si>
  <si>
    <t>608381561532</t>
  </si>
  <si>
    <t>608381551663</t>
  </si>
  <si>
    <t>726895972160</t>
  </si>
  <si>
    <t>887650923800</t>
  </si>
  <si>
    <t>887650923756</t>
  </si>
  <si>
    <t>887650923763</t>
  </si>
  <si>
    <t>887650923770</t>
  </si>
  <si>
    <t>732995824537</t>
  </si>
  <si>
    <t>732995822380</t>
  </si>
  <si>
    <t>BT YARN DYE TSLE PNT</t>
  </si>
  <si>
    <t>732995822397</t>
  </si>
  <si>
    <t>732995785203</t>
  </si>
  <si>
    <t>100021730PT</t>
  </si>
  <si>
    <t>704976157439</t>
  </si>
  <si>
    <t>732997788301</t>
  </si>
  <si>
    <t>LS BG PLAID MOCK JKT</t>
  </si>
  <si>
    <t>100064156MS</t>
  </si>
  <si>
    <t>726895714104</t>
  </si>
  <si>
    <t>682173214059</t>
  </si>
  <si>
    <t>726895714142</t>
  </si>
  <si>
    <t>704976351158</t>
  </si>
  <si>
    <t>191594812299</t>
  </si>
  <si>
    <t>732997788486</t>
  </si>
  <si>
    <t>LS FLORAL WING JKT</t>
  </si>
  <si>
    <t>100064158MS</t>
  </si>
  <si>
    <t>704624060654</t>
  </si>
  <si>
    <t>822982520693</t>
  </si>
  <si>
    <t>732996453552</t>
  </si>
  <si>
    <t>732994204095</t>
  </si>
  <si>
    <t>636193997430</t>
  </si>
  <si>
    <t>822982522383</t>
  </si>
  <si>
    <t>732994942966</t>
  </si>
  <si>
    <t>732994942867</t>
  </si>
  <si>
    <t>732994942850</t>
  </si>
  <si>
    <t>190797085141</t>
  </si>
  <si>
    <t>636189530061</t>
  </si>
  <si>
    <t>TUMMY SLIM LEG</t>
  </si>
  <si>
    <t>100039647P</t>
  </si>
  <si>
    <t>190797085165</t>
  </si>
  <si>
    <t>732995767377</t>
  </si>
  <si>
    <t>732997192955</t>
  </si>
  <si>
    <t>QUILTED FLEECE JACKT</t>
  </si>
  <si>
    <t>100059820MS</t>
  </si>
  <si>
    <t>SHELL: COTTON/POLYESTER; FILL: POLYESTER</t>
  </si>
  <si>
    <t>732996681665</t>
  </si>
  <si>
    <t>100058352MS</t>
  </si>
  <si>
    <t>732996847252</t>
  </si>
  <si>
    <t>732996268743</t>
  </si>
  <si>
    <t>732996268804</t>
  </si>
  <si>
    <t>706257754016</t>
  </si>
  <si>
    <t>732997422076</t>
  </si>
  <si>
    <t>732996876870</t>
  </si>
  <si>
    <t>765215016610</t>
  </si>
  <si>
    <t>TMMY COMFORT STRAIGH BASIC</t>
  </si>
  <si>
    <t>53693ER151</t>
  </si>
  <si>
    <t>887650566250</t>
  </si>
  <si>
    <t>54635SW805</t>
  </si>
  <si>
    <t>887650566199</t>
  </si>
  <si>
    <t>54635IN805</t>
  </si>
  <si>
    <t>636189896709</t>
  </si>
  <si>
    <t>732996045122</t>
  </si>
  <si>
    <t>8864350620</t>
  </si>
  <si>
    <t>732997185841</t>
  </si>
  <si>
    <t>732997185858</t>
  </si>
  <si>
    <t>682173133886</t>
  </si>
  <si>
    <t>M WRAPPED BLOUSE</t>
  </si>
  <si>
    <t>ME791150J</t>
  </si>
  <si>
    <t>682173213991</t>
  </si>
  <si>
    <t>M BOAT NECK BLOUSE</t>
  </si>
  <si>
    <t>M9998207J</t>
  </si>
  <si>
    <t>608356852047</t>
  </si>
  <si>
    <t>732996263892</t>
  </si>
  <si>
    <t>DNM SOLID TWILL CAP</t>
  </si>
  <si>
    <t>100038842MS</t>
  </si>
  <si>
    <t>8865640812</t>
  </si>
  <si>
    <t>732994893947</t>
  </si>
  <si>
    <t>636189842195</t>
  </si>
  <si>
    <t>54676BF805</t>
  </si>
  <si>
    <t>732996532189</t>
  </si>
  <si>
    <t>191594810950</t>
  </si>
  <si>
    <t>191594810967</t>
  </si>
  <si>
    <t>732996321103</t>
  </si>
  <si>
    <t>636189850893</t>
  </si>
  <si>
    <t>726895334609</t>
  </si>
  <si>
    <t>732994843966</t>
  </si>
  <si>
    <t>8865898848</t>
  </si>
  <si>
    <t>887650920618</t>
  </si>
  <si>
    <t>887650924968</t>
  </si>
  <si>
    <t>732995889543</t>
  </si>
  <si>
    <t>732997332719</t>
  </si>
  <si>
    <t>732995889352</t>
  </si>
  <si>
    <t>887650920656</t>
  </si>
  <si>
    <t>887650924722</t>
  </si>
  <si>
    <t>732996817743</t>
  </si>
  <si>
    <t>732996817712</t>
  </si>
  <si>
    <t>732996817750</t>
  </si>
  <si>
    <t>732995855654</t>
  </si>
  <si>
    <t>732996681825</t>
  </si>
  <si>
    <t>732995938678</t>
  </si>
  <si>
    <t>732994626941</t>
  </si>
  <si>
    <t>732994060462</t>
  </si>
  <si>
    <t>732994060479</t>
  </si>
  <si>
    <t>732996831381</t>
  </si>
  <si>
    <t>732996831343</t>
  </si>
  <si>
    <t>732995752694</t>
  </si>
  <si>
    <t>100059970MS</t>
  </si>
  <si>
    <t>732996682976</t>
  </si>
  <si>
    <t>732996683034</t>
  </si>
  <si>
    <t>732996683041</t>
  </si>
  <si>
    <t>732996683232</t>
  </si>
  <si>
    <t>DR FLOUNCE PRNT FF</t>
  </si>
  <si>
    <t>100058358PT</t>
  </si>
  <si>
    <t>732996302515</t>
  </si>
  <si>
    <t>BODY: RAYON/SPANDEX; FRONT LINING: RAYON; CONTRAST: POLYESTER</t>
  </si>
  <si>
    <t>732995093179</t>
  </si>
  <si>
    <t>191056758370</t>
  </si>
  <si>
    <t>RELAX LYRIC PROMO SKIM</t>
  </si>
  <si>
    <t>337891J</t>
  </si>
  <si>
    <t>732996357317</t>
  </si>
  <si>
    <t>100055336MS</t>
  </si>
  <si>
    <t>732996357362</t>
  </si>
  <si>
    <t>706257195611</t>
  </si>
  <si>
    <t>706257202029</t>
  </si>
  <si>
    <t>726895869835</t>
  </si>
  <si>
    <t>CS W CHIFFN FLTR SLV</t>
  </si>
  <si>
    <t>30777TS</t>
  </si>
  <si>
    <t>THALIA SODI-EDI/POONG IN</t>
  </si>
  <si>
    <t>RAYON/SPANDEX; SLEEVES: POLYESTER</t>
  </si>
  <si>
    <t>732994358576</t>
  </si>
  <si>
    <t>100039200PT</t>
  </si>
  <si>
    <t>732994205191</t>
  </si>
  <si>
    <t>732994215459</t>
  </si>
  <si>
    <t>732996325750</t>
  </si>
  <si>
    <t>732994892315</t>
  </si>
  <si>
    <t>732994892506</t>
  </si>
  <si>
    <t>732994892322</t>
  </si>
  <si>
    <t>706257302798</t>
  </si>
  <si>
    <t>706257302811</t>
  </si>
  <si>
    <t>706256155210</t>
  </si>
  <si>
    <t>726895760873</t>
  </si>
  <si>
    <t>KNT 3/4 DOT PLT VNK</t>
  </si>
  <si>
    <t>100011033P</t>
  </si>
  <si>
    <t>732996655246</t>
  </si>
  <si>
    <t>KNT 3/4 GLBL VNCK</t>
  </si>
  <si>
    <t>100059600MS</t>
  </si>
  <si>
    <t>732996087924</t>
  </si>
  <si>
    <t>732997886823</t>
  </si>
  <si>
    <t>732996715391</t>
  </si>
  <si>
    <t>3/4 KAY GARDEN DRESS</t>
  </si>
  <si>
    <t>100060794MS</t>
  </si>
  <si>
    <t>732995777123</t>
  </si>
  <si>
    <t>100050988MS</t>
  </si>
  <si>
    <t>732995777147</t>
  </si>
  <si>
    <t>732995777130</t>
  </si>
  <si>
    <t>191057452062</t>
  </si>
  <si>
    <t>FLEX P/O PROMO BERMUDA</t>
  </si>
  <si>
    <t>462241D</t>
  </si>
  <si>
    <t>191057407604</t>
  </si>
  <si>
    <t>462240A</t>
  </si>
  <si>
    <t>732996655079</t>
  </si>
  <si>
    <t>732997282151</t>
  </si>
  <si>
    <t>SIDE STUDDED LEGGING BASIC</t>
  </si>
  <si>
    <t>100078737MS</t>
  </si>
  <si>
    <t>732996009940</t>
  </si>
  <si>
    <t>PTD JQD SKRT REP ABS</t>
  </si>
  <si>
    <t>100060660MS</t>
  </si>
  <si>
    <t>636189561805</t>
  </si>
  <si>
    <t>792831153771</t>
  </si>
  <si>
    <t>VINTAGE T RETRO SCREEN</t>
  </si>
  <si>
    <t>PT101D0254A</t>
  </si>
  <si>
    <t>704976415041</t>
  </si>
  <si>
    <t>689439511167</t>
  </si>
  <si>
    <t>FLORAL SKETCH SKORT</t>
  </si>
  <si>
    <t>100041513PT</t>
  </si>
  <si>
    <t>732997658710</t>
  </si>
  <si>
    <t>689439906406</t>
  </si>
  <si>
    <t>704975245519</t>
  </si>
  <si>
    <t>CAP SLV VNCK PRNCSS SM D</t>
  </si>
  <si>
    <t>PLAD0258</t>
  </si>
  <si>
    <t>732997304037</t>
  </si>
  <si>
    <t>LS DANCE SNWFLK BOAT</t>
  </si>
  <si>
    <t>100068602MS</t>
  </si>
  <si>
    <t>732996893037</t>
  </si>
  <si>
    <t>QUILTED FLEECE VEST</t>
  </si>
  <si>
    <t>100059812MS</t>
  </si>
  <si>
    <t>732996096278</t>
  </si>
  <si>
    <t>732996096254</t>
  </si>
  <si>
    <t>732996623382</t>
  </si>
  <si>
    <t>732996623337</t>
  </si>
  <si>
    <t>732996651750</t>
  </si>
  <si>
    <t>732996652078</t>
  </si>
  <si>
    <t>732996588087</t>
  </si>
  <si>
    <t>ZEROPROOF SOLID JCKT</t>
  </si>
  <si>
    <t>100059821MS</t>
  </si>
  <si>
    <t>636206940309</t>
  </si>
  <si>
    <t>SEAMFRONT PONTE LEGG BASIC</t>
  </si>
  <si>
    <t>53706PB805</t>
  </si>
  <si>
    <t>SHELL: RAYON/NYLON/SPANDEX</t>
  </si>
  <si>
    <t>732997177129</t>
  </si>
  <si>
    <t>732996266244</t>
  </si>
  <si>
    <t>732996266251</t>
  </si>
  <si>
    <t>608356212773</t>
  </si>
  <si>
    <t>732996360911</t>
  </si>
  <si>
    <t>732996808888</t>
  </si>
  <si>
    <t>732996949154</t>
  </si>
  <si>
    <t>732996949130</t>
  </si>
  <si>
    <t>704972047277</t>
  </si>
  <si>
    <t>788545784332</t>
  </si>
  <si>
    <t>732994344968</t>
  </si>
  <si>
    <t>726895588903</t>
  </si>
  <si>
    <t>732995748666</t>
  </si>
  <si>
    <t>100049730MS</t>
  </si>
  <si>
    <t>704975645241</t>
  </si>
  <si>
    <t>PONCHO PROGRAM</t>
  </si>
  <si>
    <t>MSVU1464</t>
  </si>
  <si>
    <t>704975656384</t>
  </si>
  <si>
    <t>LS RUFFLE DETAIL HILO TP</t>
  </si>
  <si>
    <t>MRSU1688</t>
  </si>
  <si>
    <t>806864465791</t>
  </si>
  <si>
    <t>806864465784</t>
  </si>
  <si>
    <t>732995807882</t>
  </si>
  <si>
    <t>732997575628</t>
  </si>
  <si>
    <t>732997575574</t>
  </si>
  <si>
    <t>706254485258</t>
  </si>
  <si>
    <t>732996987767</t>
  </si>
  <si>
    <t>768594342585</t>
  </si>
  <si>
    <t>768594185151</t>
  </si>
  <si>
    <t>22722DJ805</t>
  </si>
  <si>
    <t>732996869278</t>
  </si>
  <si>
    <t>732996869117</t>
  </si>
  <si>
    <t>732997034170</t>
  </si>
  <si>
    <t>732997179000</t>
  </si>
  <si>
    <t>732996236728</t>
  </si>
  <si>
    <t>732996236704</t>
  </si>
  <si>
    <t>732994805261</t>
  </si>
  <si>
    <t>732994805254</t>
  </si>
  <si>
    <t>706254084925</t>
  </si>
  <si>
    <t>100040633MS</t>
  </si>
  <si>
    <t>732997472910</t>
  </si>
  <si>
    <t>706254084963</t>
  </si>
  <si>
    <t>706254478779</t>
  </si>
  <si>
    <t>3/4 FOIL JQD AUTUMN</t>
  </si>
  <si>
    <t>100045959MS</t>
  </si>
  <si>
    <t>732996321028</t>
  </si>
  <si>
    <t>732996320984</t>
  </si>
  <si>
    <t>732996321011</t>
  </si>
  <si>
    <t>732994424592</t>
  </si>
  <si>
    <t>732996869070</t>
  </si>
  <si>
    <t>732995085792</t>
  </si>
  <si>
    <t>PMA 3/4 FLR SHWR BT</t>
  </si>
  <si>
    <t>100055738MS</t>
  </si>
  <si>
    <t>732995447132</t>
  </si>
  <si>
    <t>732995085723</t>
  </si>
  <si>
    <t>732996258393</t>
  </si>
  <si>
    <t>732996595931</t>
  </si>
  <si>
    <t>706258718642</t>
  </si>
  <si>
    <t>768594042195</t>
  </si>
  <si>
    <t>732996649429</t>
  </si>
  <si>
    <t>884630153363</t>
  </si>
  <si>
    <t>732996651323</t>
  </si>
  <si>
    <t>S/S SATINT TRIM SCP</t>
  </si>
  <si>
    <t>100068177MS</t>
  </si>
  <si>
    <t>726895040241</t>
  </si>
  <si>
    <t>84987WH472</t>
  </si>
  <si>
    <t>608356679033</t>
  </si>
  <si>
    <t>732996075792</t>
  </si>
  <si>
    <t>732996944203</t>
  </si>
  <si>
    <t>1/2 ZIP MOCKNECK</t>
  </si>
  <si>
    <t>100067893MS</t>
  </si>
  <si>
    <t>732996135281</t>
  </si>
  <si>
    <t>732995804751</t>
  </si>
  <si>
    <t>732996387482</t>
  </si>
  <si>
    <t>732996385778</t>
  </si>
  <si>
    <t>732996387499</t>
  </si>
  <si>
    <t>732996387475</t>
  </si>
  <si>
    <t>732996648187</t>
  </si>
  <si>
    <t>3/4 STUD TRIM VNECK</t>
  </si>
  <si>
    <t>100061291MS</t>
  </si>
  <si>
    <t>732995742480</t>
  </si>
  <si>
    <t>768594454516</t>
  </si>
  <si>
    <t>22722GC151</t>
  </si>
  <si>
    <t>732996601465</t>
  </si>
  <si>
    <t>732996847566</t>
  </si>
  <si>
    <t>732996602271</t>
  </si>
  <si>
    <t>732996593050</t>
  </si>
  <si>
    <t>732996601434</t>
  </si>
  <si>
    <t>732996847672</t>
  </si>
  <si>
    <t>732995929539</t>
  </si>
  <si>
    <t>732997778449</t>
  </si>
  <si>
    <t>LS MISTLETOE MIX SCP</t>
  </si>
  <si>
    <t>100068644PT</t>
  </si>
  <si>
    <t>732996646299</t>
  </si>
  <si>
    <t>3/4 MARNIE MRK SCOP</t>
  </si>
  <si>
    <t>100060705MS</t>
  </si>
  <si>
    <t>732996646268</t>
  </si>
  <si>
    <t>732995735239</t>
  </si>
  <si>
    <t>RUCHED LAYERING TANK</t>
  </si>
  <si>
    <t>100024359P</t>
  </si>
  <si>
    <t>732997881989</t>
  </si>
  <si>
    <t>3/4 ICE SKATES SCOOP</t>
  </si>
  <si>
    <t>100077105MS</t>
  </si>
  <si>
    <t>732996436234</t>
  </si>
  <si>
    <t>732996436241</t>
  </si>
  <si>
    <t>732997781111</t>
  </si>
  <si>
    <t>732997881316</t>
  </si>
  <si>
    <t>LS THE CATWALK SCOOP</t>
  </si>
  <si>
    <t>100068628MS</t>
  </si>
  <si>
    <t>732996697260</t>
  </si>
  <si>
    <t>732996946290</t>
  </si>
  <si>
    <t>732996946269</t>
  </si>
  <si>
    <t>732997881774</t>
  </si>
  <si>
    <t>732996649191</t>
  </si>
  <si>
    <t>732996870212</t>
  </si>
  <si>
    <t>732997305300</t>
  </si>
  <si>
    <t>732996648743</t>
  </si>
  <si>
    <t>732996649375</t>
  </si>
  <si>
    <t>732996871288</t>
  </si>
  <si>
    <t>3/4 LACE UP WVN COLR</t>
  </si>
  <si>
    <t>100061297MS</t>
  </si>
  <si>
    <t>732996871332</t>
  </si>
  <si>
    <t>732995786606</t>
  </si>
  <si>
    <t>732995786590</t>
  </si>
  <si>
    <t>732996947907</t>
  </si>
  <si>
    <t>732996872575</t>
  </si>
  <si>
    <t>732996869773</t>
  </si>
  <si>
    <t>3/4 STRP LACE SQRNCK</t>
  </si>
  <si>
    <t>100061250MS</t>
  </si>
  <si>
    <t>732995598193</t>
  </si>
  <si>
    <t>S/S FLORAL NECK SC</t>
  </si>
  <si>
    <t>100039144PT</t>
  </si>
  <si>
    <t>732997880906</t>
  </si>
  <si>
    <t>732997176689</t>
  </si>
  <si>
    <t>3/4 SIDE BUT BT TNIC</t>
  </si>
  <si>
    <t>100061246MS</t>
  </si>
  <si>
    <t>732996868615</t>
  </si>
  <si>
    <t>732996300337</t>
  </si>
  <si>
    <t>732996795126</t>
  </si>
  <si>
    <t>100060052MS</t>
  </si>
  <si>
    <t>732996795119</t>
  </si>
  <si>
    <t>732996794600</t>
  </si>
  <si>
    <t>100060047MS</t>
  </si>
  <si>
    <t>732997698327</t>
  </si>
  <si>
    <t>ZEROPROOF SOLID VEST</t>
  </si>
  <si>
    <t>100059822MS</t>
  </si>
  <si>
    <t>732997881590</t>
  </si>
  <si>
    <t>732997880869</t>
  </si>
  <si>
    <t>732997305409</t>
  </si>
  <si>
    <t>636206636066</t>
  </si>
  <si>
    <t>25360MS</t>
  </si>
  <si>
    <t>732997305423</t>
  </si>
  <si>
    <t>732997880876</t>
  </si>
  <si>
    <t>636189039106</t>
  </si>
  <si>
    <t>3/4 FRESIA SCOOP</t>
  </si>
  <si>
    <t>100035683PT</t>
  </si>
  <si>
    <t>732995790672</t>
  </si>
  <si>
    <t>636202400579</t>
  </si>
  <si>
    <t>3/4 HOLIDAY PALM SC</t>
  </si>
  <si>
    <t>100027198MS</t>
  </si>
  <si>
    <t>732997305119</t>
  </si>
  <si>
    <t>732995790313</t>
  </si>
  <si>
    <t>732997883723</t>
  </si>
  <si>
    <t>3/4 POLKA PENGN SCOP</t>
  </si>
  <si>
    <t>100077063MS</t>
  </si>
  <si>
    <t>732997305232</t>
  </si>
  <si>
    <t>LS SNWFLK GLITTER SC</t>
  </si>
  <si>
    <t>100068609MS</t>
  </si>
  <si>
    <t>732997883587</t>
  </si>
  <si>
    <t>732997883730</t>
  </si>
  <si>
    <t>732997878026</t>
  </si>
  <si>
    <t>LS SPARKLE TREE SCOP</t>
  </si>
  <si>
    <t>100068611MS</t>
  </si>
  <si>
    <t>732997883600</t>
  </si>
  <si>
    <t>788545700141</t>
  </si>
  <si>
    <t>CARDI BODY 1</t>
  </si>
  <si>
    <t>MSSR0701</t>
  </si>
  <si>
    <t>732995728842</t>
  </si>
  <si>
    <t>732997472187</t>
  </si>
  <si>
    <t>3/4 PTD JQD DOT SWRL</t>
  </si>
  <si>
    <t>100068276MS</t>
  </si>
  <si>
    <t>636202275146</t>
  </si>
  <si>
    <t>732997789131</t>
  </si>
  <si>
    <t>732996948201</t>
  </si>
  <si>
    <t>732996948263</t>
  </si>
  <si>
    <t>636206766831</t>
  </si>
  <si>
    <t>636206766848</t>
  </si>
  <si>
    <t>732996706580</t>
  </si>
  <si>
    <t>S/S C/S R/S MOD FLGE</t>
  </si>
  <si>
    <t>100059931MS</t>
  </si>
  <si>
    <t>732995779882</t>
  </si>
  <si>
    <t>732996258607</t>
  </si>
  <si>
    <t>706257583654</t>
  </si>
  <si>
    <t>COM VNECK BAND BTTM</t>
  </si>
  <si>
    <t>88080RE460</t>
  </si>
  <si>
    <t>732995919905</t>
  </si>
  <si>
    <t>732996706429</t>
  </si>
  <si>
    <t>732996378978</t>
  </si>
  <si>
    <t>S/S PTD R/S MPHS STR</t>
  </si>
  <si>
    <t>100059923MS</t>
  </si>
  <si>
    <t>732997190715</t>
  </si>
  <si>
    <t>RUSTC MEDLN FLC CREW</t>
  </si>
  <si>
    <t>100059805MS</t>
  </si>
  <si>
    <t>732997191088</t>
  </si>
  <si>
    <t>732994937351</t>
  </si>
  <si>
    <t>EDV FLCE STRIP SPRIG</t>
  </si>
  <si>
    <t>100047494PT</t>
  </si>
  <si>
    <t>732994937320</t>
  </si>
  <si>
    <t>732995118131</t>
  </si>
  <si>
    <t>732995118148</t>
  </si>
  <si>
    <t>732995118117</t>
  </si>
  <si>
    <t>732995131994</t>
  </si>
  <si>
    <t>732995132007</t>
  </si>
  <si>
    <t>732997115213</t>
  </si>
  <si>
    <t>706258707868</t>
  </si>
  <si>
    <t>636206918223</t>
  </si>
  <si>
    <t>732997115701</t>
  </si>
  <si>
    <t>732997115428</t>
  </si>
  <si>
    <t>732996257860</t>
  </si>
  <si>
    <t>732997115220</t>
  </si>
  <si>
    <t>608381868457</t>
  </si>
  <si>
    <t>608381868006</t>
  </si>
  <si>
    <t>608381867979</t>
  </si>
  <si>
    <t>732994933926</t>
  </si>
  <si>
    <t>636189203095</t>
  </si>
  <si>
    <t>732994933896</t>
  </si>
  <si>
    <t>636189201886</t>
  </si>
  <si>
    <t>732994933865</t>
  </si>
  <si>
    <t>636189201893</t>
  </si>
  <si>
    <t>732994933872</t>
  </si>
  <si>
    <t>732994933889</t>
  </si>
  <si>
    <t>608381868518</t>
  </si>
  <si>
    <t>608381867962</t>
  </si>
  <si>
    <t>608381868501</t>
  </si>
  <si>
    <t>608381868549</t>
  </si>
  <si>
    <t>732996194271</t>
  </si>
  <si>
    <t>100050965MS</t>
  </si>
  <si>
    <t>732996194301</t>
  </si>
  <si>
    <t>732996426228</t>
  </si>
  <si>
    <t>732996194127</t>
  </si>
  <si>
    <t>732995806342</t>
  </si>
  <si>
    <t>732995806335</t>
  </si>
  <si>
    <t>732995211474</t>
  </si>
  <si>
    <t>ELBOW SPACE DOT BOAT</t>
  </si>
  <si>
    <t>100028097PT</t>
  </si>
  <si>
    <t>732996364964</t>
  </si>
  <si>
    <t>732994760232</t>
  </si>
  <si>
    <t>732994760256</t>
  </si>
  <si>
    <t>636202070741</t>
  </si>
  <si>
    <t>636202070758</t>
  </si>
  <si>
    <t>636202076057</t>
  </si>
  <si>
    <t>732996632995</t>
  </si>
  <si>
    <t>732997099575</t>
  </si>
  <si>
    <t>732997099391</t>
  </si>
  <si>
    <t>732997099568</t>
  </si>
  <si>
    <t>732997099551</t>
  </si>
  <si>
    <t>732995132953</t>
  </si>
  <si>
    <t>84987MU460</t>
  </si>
  <si>
    <t>732995133257</t>
  </si>
  <si>
    <t>84987HH460</t>
  </si>
  <si>
    <t>706255436426</t>
  </si>
  <si>
    <t>732994867405</t>
  </si>
  <si>
    <t>732994900423</t>
  </si>
  <si>
    <t>732994900591</t>
  </si>
  <si>
    <t>636202432624</t>
  </si>
  <si>
    <t>732994900997</t>
  </si>
  <si>
    <t>636202432525</t>
  </si>
  <si>
    <t>732995784688</t>
  </si>
  <si>
    <t>636202432617</t>
  </si>
  <si>
    <t>732994812658</t>
  </si>
  <si>
    <t>84987LM477</t>
  </si>
  <si>
    <t>636193500388</t>
  </si>
  <si>
    <t>636193500517</t>
  </si>
  <si>
    <t>732994761932</t>
  </si>
  <si>
    <t>732995134049</t>
  </si>
  <si>
    <t>88144PY460</t>
  </si>
  <si>
    <t>706254805568</t>
  </si>
  <si>
    <t>732995737493</t>
  </si>
  <si>
    <t>732995737479</t>
  </si>
  <si>
    <t>732995737462</t>
  </si>
  <si>
    <t>732994760461</t>
  </si>
  <si>
    <t>732994760546</t>
  </si>
  <si>
    <t>732994760782</t>
  </si>
  <si>
    <t>732994760775</t>
  </si>
  <si>
    <t>732994760744</t>
  </si>
  <si>
    <t>732994760447</t>
  </si>
  <si>
    <t>732994760324</t>
  </si>
  <si>
    <t>732994760331</t>
  </si>
  <si>
    <t>732994730761</t>
  </si>
  <si>
    <t>706254804912</t>
  </si>
  <si>
    <t>732996386744</t>
  </si>
  <si>
    <t>726895162967</t>
  </si>
  <si>
    <t>732995736731</t>
  </si>
  <si>
    <t>732995044072</t>
  </si>
  <si>
    <t>732995044058</t>
  </si>
  <si>
    <t>732995736762</t>
  </si>
  <si>
    <t>732996343389</t>
  </si>
  <si>
    <t>732996343402</t>
  </si>
  <si>
    <t>726895473575</t>
  </si>
  <si>
    <t>732996381442</t>
  </si>
  <si>
    <t>732996639253</t>
  </si>
  <si>
    <t>732996458021</t>
  </si>
  <si>
    <t>706254727419</t>
  </si>
  <si>
    <t>732996641768</t>
  </si>
  <si>
    <t>732996643915</t>
  </si>
  <si>
    <t>636202396636</t>
  </si>
  <si>
    <t>608381429504</t>
  </si>
  <si>
    <t>LS VNECK DROP SHLDR</t>
  </si>
  <si>
    <t>100030935MS</t>
  </si>
  <si>
    <t>732996383705</t>
  </si>
  <si>
    <t>732994757492</t>
  </si>
  <si>
    <t>732995405446</t>
  </si>
  <si>
    <t>732995405439</t>
  </si>
  <si>
    <t>732996390352</t>
  </si>
  <si>
    <t>732996389882</t>
  </si>
  <si>
    <t>732996194769</t>
  </si>
  <si>
    <t>732996389233</t>
  </si>
  <si>
    <t>732996389868</t>
  </si>
  <si>
    <t>732996654416</t>
  </si>
  <si>
    <t>732996388588</t>
  </si>
  <si>
    <t>636206637025</t>
  </si>
  <si>
    <t>732994756723</t>
  </si>
  <si>
    <t>732994756693</t>
  </si>
  <si>
    <t>689439005376</t>
  </si>
  <si>
    <t>689439005338</t>
  </si>
  <si>
    <t>689439005345</t>
  </si>
  <si>
    <t>732994771078</t>
  </si>
  <si>
    <t>689439006571</t>
  </si>
  <si>
    <t>732994756730</t>
  </si>
  <si>
    <t>689439005369</t>
  </si>
  <si>
    <t>732995439519</t>
  </si>
  <si>
    <t>608381364119</t>
  </si>
  <si>
    <t>732996705286</t>
  </si>
  <si>
    <t>732997452943</t>
  </si>
  <si>
    <t>689439078783</t>
  </si>
  <si>
    <t>689439078776</t>
  </si>
  <si>
    <t>732996642987</t>
  </si>
  <si>
    <t>732996643182</t>
  </si>
  <si>
    <t>732996642826</t>
  </si>
  <si>
    <t>732996643120</t>
  </si>
  <si>
    <t>732996643052</t>
  </si>
  <si>
    <t>732996643113</t>
  </si>
  <si>
    <t>732996642512</t>
  </si>
  <si>
    <t>732996642338</t>
  </si>
  <si>
    <t>732996640754</t>
  </si>
  <si>
    <t>732996642734</t>
  </si>
  <si>
    <t>732996642154</t>
  </si>
  <si>
    <t>732996642994</t>
  </si>
  <si>
    <t>732996384016</t>
  </si>
  <si>
    <t>689439249374</t>
  </si>
  <si>
    <t>732996195131</t>
  </si>
  <si>
    <t>732995197037</t>
  </si>
  <si>
    <t>732995197075</t>
  </si>
  <si>
    <t>689439017010</t>
  </si>
  <si>
    <t>S/S WATERVIEW STR SC</t>
  </si>
  <si>
    <t>100027371MS</t>
  </si>
  <si>
    <t>732994910613</t>
  </si>
  <si>
    <t>732996223988</t>
  </si>
  <si>
    <t>CITRUS CRAZE</t>
  </si>
  <si>
    <t>100045507PT</t>
  </si>
  <si>
    <t>732994755931</t>
  </si>
  <si>
    <t>732995283419</t>
  </si>
  <si>
    <t>732995283457</t>
  </si>
  <si>
    <t>732995288179</t>
  </si>
  <si>
    <t>706254751551</t>
  </si>
  <si>
    <t>706254750899</t>
  </si>
  <si>
    <t>706254750240</t>
  </si>
  <si>
    <t>732995178562</t>
  </si>
  <si>
    <t>726895141825</t>
  </si>
  <si>
    <t>732994496674</t>
  </si>
  <si>
    <t>CM SLD PKT JOGGER</t>
  </si>
  <si>
    <t>100026175P</t>
  </si>
  <si>
    <t>828659136167</t>
  </si>
  <si>
    <t>VC9M9822</t>
  </si>
  <si>
    <t>828659140867</t>
  </si>
  <si>
    <t>889648425907</t>
  </si>
  <si>
    <t>828659141956</t>
  </si>
  <si>
    <t>889648403035</t>
  </si>
  <si>
    <t>CS FNF SASH WAIST</t>
  </si>
  <si>
    <t>DR51277</t>
  </si>
  <si>
    <t>SHELL: COTTON/SPANDEX; COMBINATION AND LINING: POLYESTER</t>
  </si>
  <si>
    <t>828659112307</t>
  </si>
  <si>
    <t>828659112024</t>
  </si>
  <si>
    <t>755179356693</t>
  </si>
  <si>
    <t>TIERED STRIPED MAXI</t>
  </si>
  <si>
    <t>1512M</t>
  </si>
  <si>
    <t>732995818819</t>
  </si>
  <si>
    <t>RHINESTONE CROP</t>
  </si>
  <si>
    <t>194124007493</t>
  </si>
  <si>
    <t>GENEVIEVE DRESS</t>
  </si>
  <si>
    <t>972-166804</t>
  </si>
  <si>
    <t>MOMO BABY INC</t>
  </si>
  <si>
    <t>COTTON, POLYESTER, SPANDEX</t>
  </si>
  <si>
    <t>732994391184</t>
  </si>
  <si>
    <t>CM LS SOLID CREWNECK</t>
  </si>
  <si>
    <t>100020240P</t>
  </si>
  <si>
    <t>706258567035</t>
  </si>
  <si>
    <t>747941280923</t>
  </si>
  <si>
    <t>CATHERINE BOYFRIEND</t>
  </si>
  <si>
    <t>KP142PB6</t>
  </si>
  <si>
    <t>732996637136</t>
  </si>
  <si>
    <t>706258565383</t>
  </si>
  <si>
    <t>WVN LS QUILT JKT</t>
  </si>
  <si>
    <t>100039745MS</t>
  </si>
  <si>
    <t>SHELL, FILL AND LINING: POLYESTER</t>
  </si>
  <si>
    <t>706258565369</t>
  </si>
  <si>
    <t>732996059402</t>
  </si>
  <si>
    <t>732997025666</t>
  </si>
  <si>
    <t>TIE DYE RUFFLE MIDI</t>
  </si>
  <si>
    <t>100070537P</t>
  </si>
  <si>
    <t>732997614570</t>
  </si>
  <si>
    <t>SK PRNT BLK PLT MID</t>
  </si>
  <si>
    <t>100065193PT</t>
  </si>
  <si>
    <t>732996193335</t>
  </si>
  <si>
    <t>WVN 3/4 SL SHIFLY TP</t>
  </si>
  <si>
    <t>100016624MS</t>
  </si>
  <si>
    <t>732996284699</t>
  </si>
  <si>
    <t>732996508870</t>
  </si>
  <si>
    <t>CLD SHLR SURP MIDI D</t>
  </si>
  <si>
    <t>100066402P</t>
  </si>
  <si>
    <t>POLYESTER; TRIM: POLYESTER; LINING: POLYESTER</t>
  </si>
  <si>
    <t>732996410289</t>
  </si>
  <si>
    <t>732995827224</t>
  </si>
  <si>
    <t>732996991610</t>
  </si>
  <si>
    <t>FRAY TRIM JACKET</t>
  </si>
  <si>
    <t>732996827872</t>
  </si>
  <si>
    <t>732996827858</t>
  </si>
  <si>
    <t>732995415841</t>
  </si>
  <si>
    <t>DUO WASH SKINNY</t>
  </si>
  <si>
    <t>COTTON/POLYESTER/SPANDEX; WHITE TRIM: COTTON/SPANDEX</t>
  </si>
  <si>
    <t>732995366051</t>
  </si>
  <si>
    <t>OT WSHD DRAPE FRNT</t>
  </si>
  <si>
    <t>732995433586</t>
  </si>
  <si>
    <t>KNT RUFFLE MIX SHIFT</t>
  </si>
  <si>
    <t>100048670MS</t>
  </si>
  <si>
    <t>732997156155</t>
  </si>
  <si>
    <t>ALT SAH BELT CULOTTE</t>
  </si>
  <si>
    <t>100065179PT</t>
  </si>
  <si>
    <t>732997156186</t>
  </si>
  <si>
    <t>732997156148</t>
  </si>
  <si>
    <t>732996682303</t>
  </si>
  <si>
    <t>C INCFINITY SKINNY</t>
  </si>
  <si>
    <t>732998003427</t>
  </si>
  <si>
    <t>ALT STITCHED CULOTTE BASIC</t>
  </si>
  <si>
    <t>100076091PT</t>
  </si>
  <si>
    <t>732998003465</t>
  </si>
  <si>
    <t>732998003564</t>
  </si>
  <si>
    <t>732998003472</t>
  </si>
  <si>
    <t>732998003434</t>
  </si>
  <si>
    <t>732998003458</t>
  </si>
  <si>
    <t>732998003441</t>
  </si>
  <si>
    <t>732998003496</t>
  </si>
  <si>
    <t>732998003571</t>
  </si>
  <si>
    <t>732995666953</t>
  </si>
  <si>
    <t>732997680476</t>
  </si>
  <si>
    <t>SW MIX STITCH CARDI</t>
  </si>
  <si>
    <t>100048190PT</t>
  </si>
  <si>
    <t>732997680445</t>
  </si>
  <si>
    <t>732996692739</t>
  </si>
  <si>
    <t>732997596685</t>
  </si>
  <si>
    <t>ALT TIE WST CULOTTE</t>
  </si>
  <si>
    <t>100065180PT</t>
  </si>
  <si>
    <t>POLYESTER/SPANDEX/NYLON</t>
  </si>
  <si>
    <t>732997596746</t>
  </si>
  <si>
    <t>732997596708</t>
  </si>
  <si>
    <t>608356426446</t>
  </si>
  <si>
    <t>WAFFLE SIDE ZIP SWTR</t>
  </si>
  <si>
    <t>100035879P</t>
  </si>
  <si>
    <t>ACRYLIC/NYLON/WOOL</t>
  </si>
  <si>
    <t>706258600947</t>
  </si>
  <si>
    <t>732997003404</t>
  </si>
  <si>
    <t>BL PRT RUFL RAGLAN</t>
  </si>
  <si>
    <t>100065417PT</t>
  </si>
  <si>
    <t>732996476865</t>
  </si>
  <si>
    <t>RAW HEM GOMMET CRP</t>
  </si>
  <si>
    <t>732996824833</t>
  </si>
  <si>
    <t>732996028811</t>
  </si>
  <si>
    <t>732997989043</t>
  </si>
  <si>
    <t>SW STRPE FUR CUFF PO</t>
  </si>
  <si>
    <t>100038662PT</t>
  </si>
  <si>
    <t>BODY: RAYON/NYLON; FAUX FUR: ACRYLIC/MODACRYLIC/POLYESTER</t>
  </si>
  <si>
    <t>706254220392</t>
  </si>
  <si>
    <t>LS SEQUIN CLD SHLDR</t>
  </si>
  <si>
    <t>100045173P</t>
  </si>
  <si>
    <t>SHELL: RAYON/SPANDEX; LINING: NYLON</t>
  </si>
  <si>
    <t>706254220255</t>
  </si>
  <si>
    <t>706254220248</t>
  </si>
  <si>
    <t>732995833744</t>
  </si>
  <si>
    <t>732995831931</t>
  </si>
  <si>
    <t>732996338330</t>
  </si>
  <si>
    <t>732997533710</t>
  </si>
  <si>
    <t>C STUDDED TRIM SKIRT</t>
  </si>
  <si>
    <t>732997533772</t>
  </si>
  <si>
    <t>608356003234</t>
  </si>
  <si>
    <t>732997514566</t>
  </si>
  <si>
    <t>BL NOV ANGEL SLV BBL</t>
  </si>
  <si>
    <t>100065446PT</t>
  </si>
  <si>
    <t>732997514573</t>
  </si>
  <si>
    <t>636206806797</t>
  </si>
  <si>
    <t>LS CREWNECK P/O BASIC</t>
  </si>
  <si>
    <t>732996556420</t>
  </si>
  <si>
    <t>96410 SNAKE SLUB CMP</t>
  </si>
  <si>
    <t>100066562P</t>
  </si>
  <si>
    <t>VISCOSE/POLYESTER</t>
  </si>
  <si>
    <t>732996028491</t>
  </si>
  <si>
    <t>732997370957</t>
  </si>
  <si>
    <t>PN FRINGE HEM ANK</t>
  </si>
  <si>
    <t>100065157PT</t>
  </si>
  <si>
    <t>732997370926</t>
  </si>
  <si>
    <t>732997003282</t>
  </si>
  <si>
    <t>BL SLD TWIST SHIRT</t>
  </si>
  <si>
    <t>100065418PT</t>
  </si>
  <si>
    <t>190917256246</t>
  </si>
  <si>
    <t>190917256239</t>
  </si>
  <si>
    <t>732997988848</t>
  </si>
  <si>
    <t>KN MJ COLLAR SS TOP</t>
  </si>
  <si>
    <t>100077366PT</t>
  </si>
  <si>
    <t>732997988862</t>
  </si>
  <si>
    <t>732997988855</t>
  </si>
  <si>
    <t>29408642438</t>
  </si>
  <si>
    <t>29408642452</t>
  </si>
  <si>
    <t>191057084843</t>
  </si>
  <si>
    <t>FLEX MOTION STRAIGHTLEG</t>
  </si>
  <si>
    <t>P50160A</t>
  </si>
  <si>
    <t>732996005652</t>
  </si>
  <si>
    <t>GROMMET CRCHT CAPRI</t>
  </si>
  <si>
    <t>100022657W</t>
  </si>
  <si>
    <t>732997385586</t>
  </si>
  <si>
    <t>732996709833</t>
  </si>
  <si>
    <t>732996709857</t>
  </si>
  <si>
    <t>732996709819</t>
  </si>
  <si>
    <t>706256322964</t>
  </si>
  <si>
    <t>732995872569</t>
  </si>
  <si>
    <t>100054415PT</t>
  </si>
  <si>
    <t>732994995702</t>
  </si>
  <si>
    <t>732996556352</t>
  </si>
  <si>
    <t>29408021608</t>
  </si>
  <si>
    <t>EDV BLACK TWILL PO AVE P</t>
  </si>
  <si>
    <t>732995873443</t>
  </si>
  <si>
    <t>KNT RFL FLRL PINTUCK</t>
  </si>
  <si>
    <t>100054511MS</t>
  </si>
  <si>
    <t>FRONT OVERLAY, SLEEVES, AND LINING: POLYESTER; BACK: POLYESTER/SPANDEX</t>
  </si>
  <si>
    <t>732996622064</t>
  </si>
  <si>
    <t>732996693033</t>
  </si>
  <si>
    <t>732996113296</t>
  </si>
  <si>
    <t>KNT ELB SLV ICNC BTU</t>
  </si>
  <si>
    <t>100054524MS</t>
  </si>
  <si>
    <t>732996995298</t>
  </si>
  <si>
    <t>SMOCKED SPLIT SLEEVE</t>
  </si>
  <si>
    <t>100074875P</t>
  </si>
  <si>
    <t>732997712917</t>
  </si>
  <si>
    <t>BRICK STITCH TOPPER</t>
  </si>
  <si>
    <t>100076418MS</t>
  </si>
  <si>
    <t>732997712849</t>
  </si>
  <si>
    <t>732996992020</t>
  </si>
  <si>
    <t>LEOPARD MINI</t>
  </si>
  <si>
    <t>83624124055</t>
  </si>
  <si>
    <t>732996410487</t>
  </si>
  <si>
    <t>83624030226</t>
  </si>
  <si>
    <t>MADELYN FALCON HEATHER</t>
  </si>
  <si>
    <t>P502118</t>
  </si>
  <si>
    <t>83624124123</t>
  </si>
  <si>
    <t>83624140512</t>
  </si>
  <si>
    <t>MADELYN JET BLACK</t>
  </si>
  <si>
    <t>P502122</t>
  </si>
  <si>
    <t>83624140543</t>
  </si>
  <si>
    <t>83624124086</t>
  </si>
  <si>
    <t>83624029961</t>
  </si>
  <si>
    <t>MADELYN TROUSER LT FAWN</t>
  </si>
  <si>
    <t>P502112</t>
  </si>
  <si>
    <t>83624124062</t>
  </si>
  <si>
    <t>83624124093</t>
  </si>
  <si>
    <t>83622786163</t>
  </si>
  <si>
    <t>GWEN CLASSIC FIT</t>
  </si>
  <si>
    <t>P00001C</t>
  </si>
  <si>
    <t>191056362058</t>
  </si>
  <si>
    <t>NELLIE BARELY BOOT</t>
  </si>
  <si>
    <t>P00330A</t>
  </si>
  <si>
    <t>191056288488</t>
  </si>
  <si>
    <t>MADELYN TROUSER</t>
  </si>
  <si>
    <t>P50211G</t>
  </si>
  <si>
    <t>83622786200</t>
  </si>
  <si>
    <t>83622786248</t>
  </si>
  <si>
    <t>83624124963</t>
  </si>
  <si>
    <t>NG MADELYN TROUSER</t>
  </si>
  <si>
    <t>P502162</t>
  </si>
  <si>
    <t>732996410524</t>
  </si>
  <si>
    <t>732997316344</t>
  </si>
  <si>
    <t>732996026169</t>
  </si>
  <si>
    <t>732996712093</t>
  </si>
  <si>
    <t>732995171723</t>
  </si>
  <si>
    <t>100047234PT</t>
  </si>
  <si>
    <t>732995563542</t>
  </si>
  <si>
    <t>732997975473</t>
  </si>
  <si>
    <t>TIE SLV NCKLCE DRESS BASIC</t>
  </si>
  <si>
    <t>100051492MS</t>
  </si>
  <si>
    <t>792831185376</t>
  </si>
  <si>
    <t>732997048184</t>
  </si>
  <si>
    <t>KN SLD BOX MOCK TOP</t>
  </si>
  <si>
    <t>100065607PT</t>
  </si>
  <si>
    <t>732996622187</t>
  </si>
  <si>
    <t>BTTN CRNKLE SKIRT</t>
  </si>
  <si>
    <t>100059504WN</t>
  </si>
  <si>
    <t>732997203804</t>
  </si>
  <si>
    <t>732997203675</t>
  </si>
  <si>
    <t>732996587103</t>
  </si>
  <si>
    <t>51071789974</t>
  </si>
  <si>
    <t>STRAIGHT LEG PANT</t>
  </si>
  <si>
    <t>732997302002</t>
  </si>
  <si>
    <t>DK CLEO SL HILO DRS</t>
  </si>
  <si>
    <t>SHELL &amp; LINING: RAYON/POLYESTER</t>
  </si>
  <si>
    <t>732995449013</t>
  </si>
  <si>
    <t>WVN SS SLD POPVR BLS</t>
  </si>
  <si>
    <t>100016721MS</t>
  </si>
  <si>
    <t>732996291482</t>
  </si>
  <si>
    <t>732995321609</t>
  </si>
  <si>
    <t>636193300193</t>
  </si>
  <si>
    <t>VNCK EMBELL TUNIC</t>
  </si>
  <si>
    <t>100038812MS</t>
  </si>
  <si>
    <t>732996026763</t>
  </si>
  <si>
    <t>BTM BLOOM CHLS ANK</t>
  </si>
  <si>
    <t>100054497MS</t>
  </si>
  <si>
    <t>732996026756</t>
  </si>
  <si>
    <t>732995890167</t>
  </si>
  <si>
    <t>732995719475</t>
  </si>
  <si>
    <t>732995636727</t>
  </si>
  <si>
    <t>732995636598</t>
  </si>
  <si>
    <t>732996192123</t>
  </si>
  <si>
    <t>732996192093</t>
  </si>
  <si>
    <t>732996192079</t>
  </si>
  <si>
    <t>732996693743</t>
  </si>
  <si>
    <t>KN CLRBLK OVERLAY TP</t>
  </si>
  <si>
    <t>100059222PT</t>
  </si>
  <si>
    <t>732996261171</t>
  </si>
  <si>
    <t>732996285825</t>
  </si>
  <si>
    <t>732995887686</t>
  </si>
  <si>
    <t>732996340203</t>
  </si>
  <si>
    <t>636189946688</t>
  </si>
  <si>
    <t>R HI WAIST SKINNY</t>
  </si>
  <si>
    <t>7K722P485</t>
  </si>
  <si>
    <t>822980790333</t>
  </si>
  <si>
    <t>SATU SAT BLK LEXINGTN SH</t>
  </si>
  <si>
    <t>66009SA143</t>
  </si>
  <si>
    <t>732997577653</t>
  </si>
  <si>
    <t>KN PRT DOLMAN TOP</t>
  </si>
  <si>
    <t>100065671PT</t>
  </si>
  <si>
    <t>732997909485</t>
  </si>
  <si>
    <t>JQD STRAIGHT LEG PO</t>
  </si>
  <si>
    <t>100074189MS</t>
  </si>
  <si>
    <t>732997450352</t>
  </si>
  <si>
    <t>CW PRINTED SPLT NK</t>
  </si>
  <si>
    <t>100066662MS</t>
  </si>
  <si>
    <t>732995425048</t>
  </si>
  <si>
    <t>C ANGLED MOP HEM</t>
  </si>
  <si>
    <t>704974138317</t>
  </si>
  <si>
    <t>3/4 SLV SLD JUMPSUIT</t>
  </si>
  <si>
    <t>YQIU0013</t>
  </si>
  <si>
    <t>29408244809</t>
  </si>
  <si>
    <t>EDV BLACK AVG PANT PET CBASIC</t>
  </si>
  <si>
    <t>732996537375</t>
  </si>
  <si>
    <t>SWT FG DIP DYE CARD</t>
  </si>
  <si>
    <t>100065649MS</t>
  </si>
  <si>
    <t>732997398852</t>
  </si>
  <si>
    <t>732996962252</t>
  </si>
  <si>
    <t>732996568133</t>
  </si>
  <si>
    <t>732996636924</t>
  </si>
  <si>
    <t>732997048030</t>
  </si>
  <si>
    <t>KN SLD H/L HRDWR TOP</t>
  </si>
  <si>
    <t>100003534P</t>
  </si>
  <si>
    <t>732996500836</t>
  </si>
  <si>
    <t>100059335MS</t>
  </si>
  <si>
    <t>732995049442</t>
  </si>
  <si>
    <t>DNM SOLID TROUSR RG</t>
  </si>
  <si>
    <t>100053571MS</t>
  </si>
  <si>
    <t>732995717228</t>
  </si>
  <si>
    <t>732996327389</t>
  </si>
  <si>
    <t>732996575148</t>
  </si>
  <si>
    <t>732997646557</t>
  </si>
  <si>
    <t>KATZ SCRATCH PANT</t>
  </si>
  <si>
    <t>100038937MS</t>
  </si>
  <si>
    <t>732994578578</t>
  </si>
  <si>
    <t>FK SCP LS BBL EMB BASIC</t>
  </si>
  <si>
    <t>100030697P</t>
  </si>
  <si>
    <t>BASE/LACE: COTTON; COTTON/NYLON</t>
  </si>
  <si>
    <t>732997797655</t>
  </si>
  <si>
    <t>TWIST HEM BLOUSE BASIC</t>
  </si>
  <si>
    <t>100067067MS</t>
  </si>
  <si>
    <t>732998132325</t>
  </si>
  <si>
    <t>GEL DOT PLEAT BACK</t>
  </si>
  <si>
    <t>100074717MS</t>
  </si>
  <si>
    <t>608356683214</t>
  </si>
  <si>
    <t>LATTICE DLMN DRESS</t>
  </si>
  <si>
    <t>732997398326</t>
  </si>
  <si>
    <t>732997398357</t>
  </si>
  <si>
    <t>732996340197</t>
  </si>
  <si>
    <t>732997398333</t>
  </si>
  <si>
    <t>636206668289</t>
  </si>
  <si>
    <t>GOLDEN SS CVY SKINNY</t>
  </si>
  <si>
    <t>100030165P</t>
  </si>
  <si>
    <t>732996188119</t>
  </si>
  <si>
    <t>732997397954</t>
  </si>
  <si>
    <t>100065799P</t>
  </si>
  <si>
    <t>884630153080</t>
  </si>
  <si>
    <t>SL VNECK PLEATED SKIRT D</t>
  </si>
  <si>
    <t>PT500025</t>
  </si>
  <si>
    <t>884630153103</t>
  </si>
  <si>
    <t>884630153097</t>
  </si>
  <si>
    <t>666805372904</t>
  </si>
  <si>
    <t>PROP SHORT PANT</t>
  </si>
  <si>
    <t>822982521256</t>
  </si>
  <si>
    <t>806864919577</t>
  </si>
  <si>
    <t>805004105603</t>
  </si>
  <si>
    <t>TIKGLO CASUAL SHORT BASIC</t>
  </si>
  <si>
    <t>100020666M</t>
  </si>
  <si>
    <t>636193442527</t>
  </si>
  <si>
    <t>CK TXT SCARF TEE</t>
  </si>
  <si>
    <t>100044530MS</t>
  </si>
  <si>
    <t>732996631783</t>
  </si>
  <si>
    <t>FK PRNT MESH TOP</t>
  </si>
  <si>
    <t>100064082MS</t>
  </si>
  <si>
    <t>732996631776</t>
  </si>
  <si>
    <t>732996631806</t>
  </si>
  <si>
    <t>732996631790</t>
  </si>
  <si>
    <t>732996980669</t>
  </si>
  <si>
    <t>CW PLAID PINTUCK</t>
  </si>
  <si>
    <t>100073959MS</t>
  </si>
  <si>
    <t>732996081816</t>
  </si>
  <si>
    <t>732995789317</t>
  </si>
  <si>
    <t>726895611595</t>
  </si>
  <si>
    <t>732997137888</t>
  </si>
  <si>
    <t>WVN LS 2 PKT RTAB SH</t>
  </si>
  <si>
    <t>100067608MS</t>
  </si>
  <si>
    <t>732996219233</t>
  </si>
  <si>
    <t>732997351321</t>
  </si>
  <si>
    <t>SOLID MIDI SKIRT</t>
  </si>
  <si>
    <t>100081782P</t>
  </si>
  <si>
    <t>732995563382</t>
  </si>
  <si>
    <t>ZIP NCK TUNC MRBLIZD</t>
  </si>
  <si>
    <t>100051597MS</t>
  </si>
  <si>
    <t>706258037446</t>
  </si>
  <si>
    <t>ASSYM FRINGE HEM CRO BASIC</t>
  </si>
  <si>
    <t>7S754D142</t>
  </si>
  <si>
    <t>732996355832</t>
  </si>
  <si>
    <t>608381255653</t>
  </si>
  <si>
    <t>732996141503</t>
  </si>
  <si>
    <t>765215666464</t>
  </si>
  <si>
    <t>765215861784</t>
  </si>
  <si>
    <t>732996027173</t>
  </si>
  <si>
    <t>732996637372</t>
  </si>
  <si>
    <t>FK SS BIB SCLP BM TP</t>
  </si>
  <si>
    <t>100058826MS</t>
  </si>
  <si>
    <t>732996637358</t>
  </si>
  <si>
    <t>732996637365</t>
  </si>
  <si>
    <t>706254863513</t>
  </si>
  <si>
    <t>100036079PT</t>
  </si>
  <si>
    <t>POLYESTER/NYLON/SPANDEX</t>
  </si>
  <si>
    <t>706254863483</t>
  </si>
  <si>
    <t>732996691466</t>
  </si>
  <si>
    <t>887650654698</t>
  </si>
  <si>
    <t>732995166477</t>
  </si>
  <si>
    <t>732997449578</t>
  </si>
  <si>
    <t>CW 3/4 SWING BLOUSE</t>
  </si>
  <si>
    <t>100047103PT</t>
  </si>
  <si>
    <t>732994594738</t>
  </si>
  <si>
    <t>732996961262</t>
  </si>
  <si>
    <t>100066099MS</t>
  </si>
  <si>
    <t>732996961255</t>
  </si>
  <si>
    <t>732996961293</t>
  </si>
  <si>
    <t>682173144769</t>
  </si>
  <si>
    <t>704976398610</t>
  </si>
  <si>
    <t>LONG SLEEVE FAUX WRAP DR</t>
  </si>
  <si>
    <t>PHAD0055</t>
  </si>
  <si>
    <t>706258782056</t>
  </si>
  <si>
    <t>608381445351</t>
  </si>
  <si>
    <t>608381436748</t>
  </si>
  <si>
    <t>732995044355</t>
  </si>
  <si>
    <t>100049632MS</t>
  </si>
  <si>
    <t>8864348245</t>
  </si>
  <si>
    <t>765215649436</t>
  </si>
  <si>
    <t>732997770870</t>
  </si>
  <si>
    <t>732997960998</t>
  </si>
  <si>
    <t>LACEUP SNIT</t>
  </si>
  <si>
    <t>100032455BP</t>
  </si>
  <si>
    <t>RAYON/POLYESTER/NYLON; TRIM: POLYESTER</t>
  </si>
  <si>
    <t>732996251004</t>
  </si>
  <si>
    <t>SWT FG EMBRDRD DOT</t>
  </si>
  <si>
    <t>100061717MS</t>
  </si>
  <si>
    <t>732997449981</t>
  </si>
  <si>
    <t>100065484MS</t>
  </si>
  <si>
    <t>8865810086</t>
  </si>
  <si>
    <t>726895084726</t>
  </si>
  <si>
    <t>190917254938</t>
  </si>
  <si>
    <t>732996685984</t>
  </si>
  <si>
    <t>100059480MS</t>
  </si>
  <si>
    <t>887650905776</t>
  </si>
  <si>
    <t>52126MU477</t>
  </si>
  <si>
    <t>726895575453</t>
  </si>
  <si>
    <t>84674 SS RUFFLE SLV</t>
  </si>
  <si>
    <t>100016188P</t>
  </si>
  <si>
    <t>732995460445</t>
  </si>
  <si>
    <t>732994410144</t>
  </si>
  <si>
    <t>54892BA819</t>
  </si>
  <si>
    <t>732996860640</t>
  </si>
  <si>
    <t>732995056068</t>
  </si>
  <si>
    <t>732995056037</t>
  </si>
  <si>
    <t>732995866254</t>
  </si>
  <si>
    <t>732995889642</t>
  </si>
  <si>
    <t>191057422072</t>
  </si>
  <si>
    <t>FLEX TO GO CARGO CARPI</t>
  </si>
  <si>
    <t>191057265808</t>
  </si>
  <si>
    <t>608381573290</t>
  </si>
  <si>
    <t>706254608374</t>
  </si>
  <si>
    <t>100024170MS</t>
  </si>
  <si>
    <t>732994152549</t>
  </si>
  <si>
    <t>732994893558</t>
  </si>
  <si>
    <t>732994893541</t>
  </si>
  <si>
    <t>732994893503</t>
  </si>
  <si>
    <t>732997789513</t>
  </si>
  <si>
    <t>LS SYD SCRLS MCK JKT</t>
  </si>
  <si>
    <t>100065156MS</t>
  </si>
  <si>
    <t>726895714074</t>
  </si>
  <si>
    <t>887650483182</t>
  </si>
  <si>
    <t>SHY RNS RIVET PO REG BASIC</t>
  </si>
  <si>
    <t>51844SH477</t>
  </si>
  <si>
    <t>682173173684</t>
  </si>
  <si>
    <t>W BTN DOWN TIE FRT T</t>
  </si>
  <si>
    <t>W7068969J</t>
  </si>
  <si>
    <t>704976400344</t>
  </si>
  <si>
    <t>732994262057</t>
  </si>
  <si>
    <t>21170CP460</t>
  </si>
  <si>
    <t>732996078830</t>
  </si>
  <si>
    <t>732994942546</t>
  </si>
  <si>
    <t>732994204118</t>
  </si>
  <si>
    <t>706257550021</t>
  </si>
  <si>
    <t>732995750485</t>
  </si>
  <si>
    <t>732995750850</t>
  </si>
  <si>
    <t>704625333566</t>
  </si>
  <si>
    <t>732997192962</t>
  </si>
  <si>
    <t>732996197890</t>
  </si>
  <si>
    <t>190917233780</t>
  </si>
  <si>
    <t>SCUBA SKIRT</t>
  </si>
  <si>
    <t>918-CSS049</t>
  </si>
  <si>
    <t>732996239576</t>
  </si>
  <si>
    <t>732997904787</t>
  </si>
  <si>
    <t>LS TWIST WVN KNIT</t>
  </si>
  <si>
    <t>100046046P</t>
  </si>
  <si>
    <t>BODY: POLYESTER; BACK: RAYON</t>
  </si>
  <si>
    <t>822982522482</t>
  </si>
  <si>
    <t>704976351035</t>
  </si>
  <si>
    <t>704976350229</t>
  </si>
  <si>
    <t>704976351042</t>
  </si>
  <si>
    <t>732996703855</t>
  </si>
  <si>
    <t>887650711056</t>
  </si>
  <si>
    <t>100001097B</t>
  </si>
  <si>
    <t>636206197734</t>
  </si>
  <si>
    <t>732997351253</t>
  </si>
  <si>
    <t>STRPE WL PJ PANT</t>
  </si>
  <si>
    <t>100071669P</t>
  </si>
  <si>
    <t>732997351277</t>
  </si>
  <si>
    <t>636193595940</t>
  </si>
  <si>
    <t>BASIC DENIM SKIRT BASIC</t>
  </si>
  <si>
    <t>100046281P</t>
  </si>
  <si>
    <t>732997446188</t>
  </si>
  <si>
    <t>732995889949</t>
  </si>
  <si>
    <t>C ZIP FRONT SKIRT</t>
  </si>
  <si>
    <t>765215455006</t>
  </si>
  <si>
    <t>636202055724</t>
  </si>
  <si>
    <t>51246BL819</t>
  </si>
  <si>
    <t>732994695176</t>
  </si>
  <si>
    <t>732996907956</t>
  </si>
  <si>
    <t>EXTND CAP TWST FRNT BASIC</t>
  </si>
  <si>
    <t>100065237P</t>
  </si>
  <si>
    <t>732996907994</t>
  </si>
  <si>
    <t>608356824495</t>
  </si>
  <si>
    <t>8864350521</t>
  </si>
  <si>
    <t>732997234938</t>
  </si>
  <si>
    <t>KNT 3/4 SLV CRP POLO</t>
  </si>
  <si>
    <t>100076621MS</t>
  </si>
  <si>
    <t>732997443941</t>
  </si>
  <si>
    <t>608356853044</t>
  </si>
  <si>
    <t>682173109157</t>
  </si>
  <si>
    <t>M CRPN W/DIPDYE TRIM</t>
  </si>
  <si>
    <t>M9991216J</t>
  </si>
  <si>
    <t>682173109133</t>
  </si>
  <si>
    <t>732995982169</t>
  </si>
  <si>
    <t>732996500263</t>
  </si>
  <si>
    <t>100059330PT</t>
  </si>
  <si>
    <t>732996326375</t>
  </si>
  <si>
    <t>608381203685</t>
  </si>
  <si>
    <t>IK VNK SLVLS TOP</t>
  </si>
  <si>
    <t>732997287132</t>
  </si>
  <si>
    <t>CK LS SHRTL SNIT</t>
  </si>
  <si>
    <t>100066697MS</t>
  </si>
  <si>
    <t>732995889277</t>
  </si>
  <si>
    <t>732995889376</t>
  </si>
  <si>
    <t>887650728993</t>
  </si>
  <si>
    <t>887650924685</t>
  </si>
  <si>
    <t>887650728870</t>
  </si>
  <si>
    <t>190917250374</t>
  </si>
  <si>
    <t>704975710765</t>
  </si>
  <si>
    <t>704975710703</t>
  </si>
  <si>
    <t>704975710376</t>
  </si>
  <si>
    <t>3/4SLV WRP HTSL TRM JMPS</t>
  </si>
  <si>
    <t>MITU6510</t>
  </si>
  <si>
    <t>732996264608</t>
  </si>
  <si>
    <t>704976350052</t>
  </si>
  <si>
    <t>682173216411</t>
  </si>
  <si>
    <t>P BTN DOWN TIE FRT T</t>
  </si>
  <si>
    <t>P7068969J</t>
  </si>
  <si>
    <t>732996831336</t>
  </si>
  <si>
    <t>732996831480</t>
  </si>
  <si>
    <t>190797828625</t>
  </si>
  <si>
    <t>732996404189</t>
  </si>
  <si>
    <t>100063755MS</t>
  </si>
  <si>
    <t>636189290859</t>
  </si>
  <si>
    <t>FX LTH FRNT SKINNY</t>
  </si>
  <si>
    <t>7K743P485</t>
  </si>
  <si>
    <t>RAYON/NYLON/SPANDEX; FAUX LEATHER: POLYURETHANE</t>
  </si>
  <si>
    <t>732996208916</t>
  </si>
  <si>
    <t>732997663271</t>
  </si>
  <si>
    <t>732997663264</t>
  </si>
  <si>
    <t>732995535419</t>
  </si>
  <si>
    <t>732994892636</t>
  </si>
  <si>
    <t>732994487016</t>
  </si>
  <si>
    <t>FLUTTRING FIELD CRDI</t>
  </si>
  <si>
    <t>100037495MS</t>
  </si>
  <si>
    <t>704976349933</t>
  </si>
  <si>
    <t>704976349940</t>
  </si>
  <si>
    <t>732997302958</t>
  </si>
  <si>
    <t>LS CAROLING DOGS SCP</t>
  </si>
  <si>
    <t>100068606MS</t>
  </si>
  <si>
    <t>682173163524</t>
  </si>
  <si>
    <t>M TIE FRONT TOP</t>
  </si>
  <si>
    <t>M7660492J</t>
  </si>
  <si>
    <t>191057452109</t>
  </si>
  <si>
    <t>732996655147</t>
  </si>
  <si>
    <t>732996655086</t>
  </si>
  <si>
    <t>732996655574</t>
  </si>
  <si>
    <t>732997621271</t>
  </si>
  <si>
    <t>COLORBLOCK TWST FRNT</t>
  </si>
  <si>
    <t>100080182P</t>
  </si>
  <si>
    <t>732997672204</t>
  </si>
  <si>
    <t>100031725PT</t>
  </si>
  <si>
    <t>608381068659</t>
  </si>
  <si>
    <t>SEAMFRONT PONTE LEGG</t>
  </si>
  <si>
    <t>53706GR805</t>
  </si>
  <si>
    <t>732996651927</t>
  </si>
  <si>
    <t>732996592039</t>
  </si>
  <si>
    <t>732996591988</t>
  </si>
  <si>
    <t>732996591810</t>
  </si>
  <si>
    <t>732996778051</t>
  </si>
  <si>
    <t>TRB 3/4 SLV HM PNTL BASIC</t>
  </si>
  <si>
    <t>100065945MS</t>
  </si>
  <si>
    <t>732995606157</t>
  </si>
  <si>
    <t>732995352856</t>
  </si>
  <si>
    <t>732995352849</t>
  </si>
  <si>
    <t>732996808932</t>
  </si>
  <si>
    <t>732994344951</t>
  </si>
  <si>
    <t>704976128507</t>
  </si>
  <si>
    <t>RUFFLE SLEEVE SCOOP NECK</t>
  </si>
  <si>
    <t>PRSU1752</t>
  </si>
  <si>
    <t>666805373277</t>
  </si>
  <si>
    <t>PROP MED PANT</t>
  </si>
  <si>
    <t>732996949222</t>
  </si>
  <si>
    <t>636189710807</t>
  </si>
  <si>
    <t>732996806402</t>
  </si>
  <si>
    <t>CORDUROY PULLON PANT</t>
  </si>
  <si>
    <t>100065848MS</t>
  </si>
  <si>
    <t>732996806372</t>
  </si>
  <si>
    <t>732994343114</t>
  </si>
  <si>
    <t>732996925554</t>
  </si>
  <si>
    <t>3/4 SLD RIB YOKE CRD</t>
  </si>
  <si>
    <t>100060739MS</t>
  </si>
  <si>
    <t>732994027427</t>
  </si>
  <si>
    <t>IK SCPNK SL SOUTASH BASIC</t>
  </si>
  <si>
    <t>704975795045</t>
  </si>
  <si>
    <t>MCRU0842</t>
  </si>
  <si>
    <t>POLYESTER/SPANDEX/METALLIC FIBERS</t>
  </si>
  <si>
    <t>732995011241</t>
  </si>
  <si>
    <t>732995011401</t>
  </si>
  <si>
    <t>732996568935</t>
  </si>
  <si>
    <t>732996990682</t>
  </si>
  <si>
    <t>732996869247</t>
  </si>
  <si>
    <t>732996869230</t>
  </si>
  <si>
    <t>706254487368</t>
  </si>
  <si>
    <t>768594212734</t>
  </si>
  <si>
    <t>22722UE151</t>
  </si>
  <si>
    <t>884918942474</t>
  </si>
  <si>
    <t>636202096833</t>
  </si>
  <si>
    <t>100038973MS</t>
  </si>
  <si>
    <t>732996236438</t>
  </si>
  <si>
    <t>732996198392</t>
  </si>
  <si>
    <t>732996868820</t>
  </si>
  <si>
    <t>732996868967</t>
  </si>
  <si>
    <t>732995142389</t>
  </si>
  <si>
    <t>3/4 GEL DOT JQD CHIC</t>
  </si>
  <si>
    <t>100049017MS</t>
  </si>
  <si>
    <t>732996596082</t>
  </si>
  <si>
    <t>732996649801</t>
  </si>
  <si>
    <t>732996651309</t>
  </si>
  <si>
    <t>732995804676</t>
  </si>
  <si>
    <t>732996133362</t>
  </si>
  <si>
    <t>100055142PT</t>
  </si>
  <si>
    <t>732996385792</t>
  </si>
  <si>
    <t>732996387543</t>
  </si>
  <si>
    <t>732996299112</t>
  </si>
  <si>
    <t>726895000528</t>
  </si>
  <si>
    <t>726895000535</t>
  </si>
  <si>
    <t>732997052556</t>
  </si>
  <si>
    <t>732994465083</t>
  </si>
  <si>
    <t>HW WB PULL ON PONTE</t>
  </si>
  <si>
    <t>52169RP</t>
  </si>
  <si>
    <t>732996690063</t>
  </si>
  <si>
    <t>3/4 LILE PSLY BOATNK</t>
  </si>
  <si>
    <t>100060693PT</t>
  </si>
  <si>
    <t>732996690186</t>
  </si>
  <si>
    <t>732996601786</t>
  </si>
  <si>
    <t>732996593449</t>
  </si>
  <si>
    <t>732996027319</t>
  </si>
  <si>
    <t>100059996MS</t>
  </si>
  <si>
    <t>732996601762</t>
  </si>
  <si>
    <t>732995389500</t>
  </si>
  <si>
    <t>732996601519</t>
  </si>
  <si>
    <t>100060017MS</t>
  </si>
  <si>
    <t>732996593425</t>
  </si>
  <si>
    <t>732996947365</t>
  </si>
  <si>
    <t>732996646930</t>
  </si>
  <si>
    <t>706256345574</t>
  </si>
  <si>
    <t>84987IN477</t>
  </si>
  <si>
    <t>732996646282</t>
  </si>
  <si>
    <t>704976223837</t>
  </si>
  <si>
    <t>704976222397</t>
  </si>
  <si>
    <t>704976294738</t>
  </si>
  <si>
    <t>704976223172</t>
  </si>
  <si>
    <t>SLEEVELESS GROMMET JUMPS</t>
  </si>
  <si>
    <t>PITU7399</t>
  </si>
  <si>
    <t>704976223233</t>
  </si>
  <si>
    <t>689439200368</t>
  </si>
  <si>
    <t>PMA 3/4 FLRL DOT BT</t>
  </si>
  <si>
    <t>100045081MS</t>
  </si>
  <si>
    <t>732995928389</t>
  </si>
  <si>
    <t>732997881996</t>
  </si>
  <si>
    <t>732996727790</t>
  </si>
  <si>
    <t>100059929WN</t>
  </si>
  <si>
    <t>732996716015</t>
  </si>
  <si>
    <t>732997780978</t>
  </si>
  <si>
    <t>732997781104</t>
  </si>
  <si>
    <t>732997335444</t>
  </si>
  <si>
    <t>88080SQ472</t>
  </si>
  <si>
    <t>726895488739</t>
  </si>
  <si>
    <t>726895488647</t>
  </si>
  <si>
    <t>726895366822</t>
  </si>
  <si>
    <t>732995162240</t>
  </si>
  <si>
    <t>732997881743</t>
  </si>
  <si>
    <t>732996868158</t>
  </si>
  <si>
    <t>732996649054</t>
  </si>
  <si>
    <t>732995922820</t>
  </si>
  <si>
    <t>608356728908</t>
  </si>
  <si>
    <t>84987DU477</t>
  </si>
  <si>
    <t>732996648729</t>
  </si>
  <si>
    <t>732996869858</t>
  </si>
  <si>
    <t>732996868059</t>
  </si>
  <si>
    <t>732995921984</t>
  </si>
  <si>
    <t>732995662870</t>
  </si>
  <si>
    <t>732996794716</t>
  </si>
  <si>
    <t>732996794686</t>
  </si>
  <si>
    <t>732996795089</t>
  </si>
  <si>
    <t>100060051MS</t>
  </si>
  <si>
    <t>732997881583</t>
  </si>
  <si>
    <t>732997305195</t>
  </si>
  <si>
    <t>LS MERRY CREW SCOOP</t>
  </si>
  <si>
    <t>100068608MS</t>
  </si>
  <si>
    <t>732997305577</t>
  </si>
  <si>
    <t>732997305218</t>
  </si>
  <si>
    <t>732997879399</t>
  </si>
  <si>
    <t>100068609PT</t>
  </si>
  <si>
    <t>732997883709</t>
  </si>
  <si>
    <t>704975569028</t>
  </si>
  <si>
    <t>PRINTED GODET MIDI SKIRT</t>
  </si>
  <si>
    <t>MITK0834</t>
  </si>
  <si>
    <t>732996707419</t>
  </si>
  <si>
    <t>25360TU805</t>
  </si>
  <si>
    <t>732995405569</t>
  </si>
  <si>
    <t>636206339257</t>
  </si>
  <si>
    <t>636206339264</t>
  </si>
  <si>
    <t>732997102497</t>
  </si>
  <si>
    <t>3/4 PTD R/S SPTTD PL</t>
  </si>
  <si>
    <t>732997034286</t>
  </si>
  <si>
    <t>3/4 PTD R/S ABSTRCT</t>
  </si>
  <si>
    <t>100068261MS</t>
  </si>
  <si>
    <t>732997034217</t>
  </si>
  <si>
    <t>732997034439</t>
  </si>
  <si>
    <t>3/4 PTD R/S TXT HALF</t>
  </si>
  <si>
    <t>100068263MS</t>
  </si>
  <si>
    <t>732997098738</t>
  </si>
  <si>
    <t>3/4 PTD R/S HRZN MVS</t>
  </si>
  <si>
    <t>732997099902</t>
  </si>
  <si>
    <t>732997099834</t>
  </si>
  <si>
    <t>732995920352</t>
  </si>
  <si>
    <t>704976423008</t>
  </si>
  <si>
    <t>SHINY DOT KNIT TOP WITH</t>
  </si>
  <si>
    <t>PBDU0368</t>
  </si>
  <si>
    <t>732995199772</t>
  </si>
  <si>
    <t>732995770834</t>
  </si>
  <si>
    <t>732996650760</t>
  </si>
  <si>
    <t>3/4 GROM ENVEL NECK</t>
  </si>
  <si>
    <t>100068133MS</t>
  </si>
  <si>
    <t>732996426006</t>
  </si>
  <si>
    <t>732996706566</t>
  </si>
  <si>
    <t>732995920147</t>
  </si>
  <si>
    <t>732997190852</t>
  </si>
  <si>
    <t>732997190913</t>
  </si>
  <si>
    <t>732995964011</t>
  </si>
  <si>
    <t>732995963946</t>
  </si>
  <si>
    <t>732995443226</t>
  </si>
  <si>
    <t>732995443202</t>
  </si>
  <si>
    <t>732996596686</t>
  </si>
  <si>
    <t>3/4 WOVEN COLLAR 2FR</t>
  </si>
  <si>
    <t>100059797MS</t>
  </si>
  <si>
    <t>706258708049</t>
  </si>
  <si>
    <t>732996258133</t>
  </si>
  <si>
    <t>732996194141</t>
  </si>
  <si>
    <t>732996426020</t>
  </si>
  <si>
    <t>732996365459</t>
  </si>
  <si>
    <t>732996364933</t>
  </si>
  <si>
    <t>732997102077</t>
  </si>
  <si>
    <t>732995405309</t>
  </si>
  <si>
    <t>100047201MS</t>
  </si>
  <si>
    <t>732996362786</t>
  </si>
  <si>
    <t>100055366PT</t>
  </si>
  <si>
    <t>732996353319</t>
  </si>
  <si>
    <t>732996632926</t>
  </si>
  <si>
    <t>732997099582</t>
  </si>
  <si>
    <t>732994927796</t>
  </si>
  <si>
    <t>732996867991</t>
  </si>
  <si>
    <t>732996867939</t>
  </si>
  <si>
    <t>732994814645</t>
  </si>
  <si>
    <t>732995133691</t>
  </si>
  <si>
    <t>88144IV460</t>
  </si>
  <si>
    <t>732996087993</t>
  </si>
  <si>
    <t>732996361161</t>
  </si>
  <si>
    <t>100058032MS</t>
  </si>
  <si>
    <t>706257353387</t>
  </si>
  <si>
    <t>706257353400</t>
  </si>
  <si>
    <t>732996705583</t>
  </si>
  <si>
    <t>732995047912</t>
  </si>
  <si>
    <t>636189877845</t>
  </si>
  <si>
    <t>732998268604</t>
  </si>
  <si>
    <t>CK PRINT BO TEE</t>
  </si>
  <si>
    <t>100089569MS</t>
  </si>
  <si>
    <t>732998268574</t>
  </si>
  <si>
    <t>732998268581</t>
  </si>
  <si>
    <t>732998268598</t>
  </si>
  <si>
    <t>732994730723</t>
  </si>
  <si>
    <t>636193734448</t>
  </si>
  <si>
    <t>706254805179</t>
  </si>
  <si>
    <t>732997122815</t>
  </si>
  <si>
    <t>732997452714</t>
  </si>
  <si>
    <t>732997452783</t>
  </si>
  <si>
    <t>732996703985</t>
  </si>
  <si>
    <t>732997452776</t>
  </si>
  <si>
    <t>732996639451</t>
  </si>
  <si>
    <t>732996639734</t>
  </si>
  <si>
    <t>732996639543</t>
  </si>
  <si>
    <t>732996306834</t>
  </si>
  <si>
    <t>726895473582</t>
  </si>
  <si>
    <t>732996381220</t>
  </si>
  <si>
    <t>732996381206</t>
  </si>
  <si>
    <t>732997291368</t>
  </si>
  <si>
    <t>CK BO SHARKBITE TEE</t>
  </si>
  <si>
    <t>100007535PT</t>
  </si>
  <si>
    <t>762120707428</t>
  </si>
  <si>
    <t>SL POLISHED TANK</t>
  </si>
  <si>
    <t>10125BK814</t>
  </si>
  <si>
    <t>732997094792</t>
  </si>
  <si>
    <t>KNT SOLID SHIRT TAIL</t>
  </si>
  <si>
    <t>100065078MS</t>
  </si>
  <si>
    <t>732996383767</t>
  </si>
  <si>
    <t>732997113752</t>
  </si>
  <si>
    <t>732997113783</t>
  </si>
  <si>
    <t>732997783702</t>
  </si>
  <si>
    <t>LS WHEAT FLDS TURTLE</t>
  </si>
  <si>
    <t>100068593MS</t>
  </si>
  <si>
    <t>COTTON/POLYESTER/METALLIC</t>
  </si>
  <si>
    <t>636202054635</t>
  </si>
  <si>
    <t>636202078877</t>
  </si>
  <si>
    <t>636202061237</t>
  </si>
  <si>
    <t>608356451349</t>
  </si>
  <si>
    <t>732995405415</t>
  </si>
  <si>
    <t>732997123393</t>
  </si>
  <si>
    <t>LS GARDN LUX SCOOP</t>
  </si>
  <si>
    <t>100067356MS</t>
  </si>
  <si>
    <t>732995197143</t>
  </si>
  <si>
    <t>732996389608</t>
  </si>
  <si>
    <t>732996195124</t>
  </si>
  <si>
    <t>732995440997</t>
  </si>
  <si>
    <t>732996012056</t>
  </si>
  <si>
    <t>732996388878</t>
  </si>
  <si>
    <t>732997452998</t>
  </si>
  <si>
    <t>636202070703</t>
  </si>
  <si>
    <t>732997114988</t>
  </si>
  <si>
    <t>732997115008</t>
  </si>
  <si>
    <t>689439079001</t>
  </si>
  <si>
    <t>689439078745</t>
  </si>
  <si>
    <t>732996381961</t>
  </si>
  <si>
    <t>732994078702</t>
  </si>
  <si>
    <t>689439079223</t>
  </si>
  <si>
    <t>689439079261</t>
  </si>
  <si>
    <t>732994752756</t>
  </si>
  <si>
    <t>732996642222</t>
  </si>
  <si>
    <t>732996643007</t>
  </si>
  <si>
    <t>608356562984</t>
  </si>
  <si>
    <t>706254747868</t>
  </si>
  <si>
    <t>732996643175</t>
  </si>
  <si>
    <t>732996642819</t>
  </si>
  <si>
    <t>706254742245</t>
  </si>
  <si>
    <t>706254743501</t>
  </si>
  <si>
    <t>689439249459</t>
  </si>
  <si>
    <t>706258343257</t>
  </si>
  <si>
    <t>706258343233</t>
  </si>
  <si>
    <t>689439006588</t>
  </si>
  <si>
    <t>706258343264</t>
  </si>
  <si>
    <t>732995196597</t>
  </si>
  <si>
    <t>732995846355</t>
  </si>
  <si>
    <t>100028092PT</t>
  </si>
  <si>
    <t>732995846379</t>
  </si>
  <si>
    <t>689439021888</t>
  </si>
  <si>
    <t>732996175928</t>
  </si>
  <si>
    <t>732995288223</t>
  </si>
  <si>
    <t>732995288292</t>
  </si>
  <si>
    <t>732994908962</t>
  </si>
  <si>
    <t>706254751544</t>
  </si>
  <si>
    <t>732994907538</t>
  </si>
  <si>
    <t>732994908009</t>
  </si>
  <si>
    <t>732994907187</t>
  </si>
  <si>
    <t>191608442993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</si>
</sst>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_);[Red]\(&quot;$&quot;#,##0.00\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rgb="FF0000FF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wrapText="1"/>
    </xf>
    <xf numFmtId="1" fontId="19" fillId="0" borderId="0" xfId="0" applyNumberFormat="1" applyFont="1" applyAlignment="1">
      <alignment horizontal="center" wrapText="1"/>
    </xf>
    <xf numFmtId="49" fontId="19" fillId="0" borderId="0" xfId="0" applyNumberFormat="1" applyFont="1" applyAlignment="1">
      <alignment wrapText="1"/>
    </xf>
    <xf numFmtId="164" fontId="19" fillId="0" borderId="0" xfId="0" applyNumberFormat="1" applyFont="1" applyAlignment="1">
      <alignment horizontal="right" wrapText="1"/>
    </xf>
    <xf numFmtId="49" fontId="19" fillId="0" borderId="0" xfId="0" applyNumberFormat="1" applyFont="1" applyAlignment="1">
      <alignment horizontal="center" wrapText="1"/>
    </xf>
    <xf numFmtId="0" fontId="20" fillId="0" borderId="0" xfId="0" applyFont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2"/>
  <sheetViews>
    <sheetView tabSelected="1" workbookViewId="0">
      <selection activeCell="M5" sqref="M5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48.75" x14ac:dyDescent="0.25">
      <c r="A2" s="4" t="s">
        <v>12</v>
      </c>
      <c r="B2" s="2" t="s">
        <v>13</v>
      </c>
      <c r="C2" s="3">
        <v>1</v>
      </c>
      <c r="D2" s="5">
        <v>168</v>
      </c>
      <c r="E2" s="3" t="s">
        <v>14</v>
      </c>
      <c r="F2" s="2" t="s">
        <v>15</v>
      </c>
      <c r="G2" s="6" t="s">
        <v>16</v>
      </c>
      <c r="H2" s="2" t="s">
        <v>17</v>
      </c>
      <c r="I2" s="2" t="s">
        <v>18</v>
      </c>
      <c r="J2" s="2" t="s">
        <v>19</v>
      </c>
      <c r="K2" s="2" t="s">
        <v>20</v>
      </c>
      <c r="L2" s="7" t="str">
        <f>HYPERLINK("http://slimages.macys.com/is/image/MCY/12876842 ")</f>
        <v xml:space="preserve">http://slimages.macys.com/is/image/MCY/12876842 </v>
      </c>
    </row>
    <row r="3" spans="1:12" ht="48.75" x14ac:dyDescent="0.25">
      <c r="A3" s="4" t="s">
        <v>21</v>
      </c>
      <c r="B3" s="2" t="s">
        <v>13</v>
      </c>
      <c r="C3" s="3">
        <v>1</v>
      </c>
      <c r="D3" s="5">
        <v>168</v>
      </c>
      <c r="E3" s="3" t="s">
        <v>14</v>
      </c>
      <c r="F3" s="2" t="s">
        <v>15</v>
      </c>
      <c r="G3" s="6" t="s">
        <v>22</v>
      </c>
      <c r="H3" s="2" t="s">
        <v>17</v>
      </c>
      <c r="I3" s="2" t="s">
        <v>18</v>
      </c>
      <c r="J3" s="2" t="s">
        <v>19</v>
      </c>
      <c r="K3" s="2" t="s">
        <v>20</v>
      </c>
      <c r="L3" s="7" t="str">
        <f>HYPERLINK("http://slimages.macys.com/is/image/MCY/12876842 ")</f>
        <v xml:space="preserve">http://slimages.macys.com/is/image/MCY/12876842 </v>
      </c>
    </row>
    <row r="4" spans="1:12" ht="48.75" x14ac:dyDescent="0.25">
      <c r="A4" s="4" t="s">
        <v>23</v>
      </c>
      <c r="B4" s="2" t="s">
        <v>24</v>
      </c>
      <c r="C4" s="3">
        <v>1</v>
      </c>
      <c r="D4" s="5">
        <v>149</v>
      </c>
      <c r="E4" s="3" t="s">
        <v>25</v>
      </c>
      <c r="F4" s="2" t="s">
        <v>26</v>
      </c>
      <c r="G4" s="6" t="s">
        <v>27</v>
      </c>
      <c r="H4" s="2" t="s">
        <v>17</v>
      </c>
      <c r="I4" s="2" t="s">
        <v>28</v>
      </c>
      <c r="J4" s="2" t="s">
        <v>19</v>
      </c>
      <c r="K4" s="2" t="s">
        <v>29</v>
      </c>
      <c r="L4" s="7" t="str">
        <f>HYPERLINK("http://slimages.macys.com/is/image/MCY/12150022 ")</f>
        <v xml:space="preserve">http://slimages.macys.com/is/image/MCY/12150022 </v>
      </c>
    </row>
    <row r="5" spans="1:12" ht="24.75" x14ac:dyDescent="0.25">
      <c r="A5" s="4" t="s">
        <v>30</v>
      </c>
      <c r="B5" s="2" t="s">
        <v>31</v>
      </c>
      <c r="C5" s="3">
        <v>1</v>
      </c>
      <c r="D5" s="5">
        <v>158</v>
      </c>
      <c r="E5" s="3" t="s">
        <v>32</v>
      </c>
      <c r="F5" s="2" t="s">
        <v>33</v>
      </c>
      <c r="G5" s="6" t="s">
        <v>16</v>
      </c>
      <c r="H5" s="2" t="s">
        <v>17</v>
      </c>
      <c r="I5" s="2" t="s">
        <v>18</v>
      </c>
      <c r="J5" s="2" t="s">
        <v>19</v>
      </c>
      <c r="K5" s="2" t="s">
        <v>34</v>
      </c>
      <c r="L5" s="7" t="str">
        <f>HYPERLINK("http://slimages.macys.com/is/image/MCY/13289754 ")</f>
        <v xml:space="preserve">http://slimages.macys.com/is/image/MCY/13289754 </v>
      </c>
    </row>
    <row r="6" spans="1:12" ht="24.75" x14ac:dyDescent="0.25">
      <c r="A6" s="4" t="s">
        <v>35</v>
      </c>
      <c r="B6" s="2" t="s">
        <v>36</v>
      </c>
      <c r="C6" s="3">
        <v>1</v>
      </c>
      <c r="D6" s="5">
        <v>168</v>
      </c>
      <c r="E6" s="3" t="s">
        <v>37</v>
      </c>
      <c r="F6" s="2" t="s">
        <v>38</v>
      </c>
      <c r="G6" s="6" t="s">
        <v>39</v>
      </c>
      <c r="H6" s="2" t="s">
        <v>17</v>
      </c>
      <c r="I6" s="2" t="s">
        <v>40</v>
      </c>
      <c r="J6" s="2" t="s">
        <v>19</v>
      </c>
      <c r="K6" s="2" t="s">
        <v>41</v>
      </c>
      <c r="L6" s="7" t="str">
        <f>HYPERLINK("http://slimages.macys.com/is/image/MCY/11453695 ")</f>
        <v xml:space="preserve">http://slimages.macys.com/is/image/MCY/11453695 </v>
      </c>
    </row>
    <row r="7" spans="1:12" ht="24.75" x14ac:dyDescent="0.25">
      <c r="A7" s="4" t="s">
        <v>42</v>
      </c>
      <c r="B7" s="2" t="s">
        <v>43</v>
      </c>
      <c r="C7" s="3">
        <v>1</v>
      </c>
      <c r="D7" s="5">
        <v>148</v>
      </c>
      <c r="E7" s="3" t="s">
        <v>44</v>
      </c>
      <c r="F7" s="2" t="s">
        <v>15</v>
      </c>
      <c r="G7" s="6" t="s">
        <v>16</v>
      </c>
      <c r="H7" s="2" t="s">
        <v>17</v>
      </c>
      <c r="I7" s="2" t="s">
        <v>18</v>
      </c>
      <c r="J7" s="2" t="s">
        <v>19</v>
      </c>
      <c r="K7" s="2" t="s">
        <v>34</v>
      </c>
      <c r="L7" s="7" t="str">
        <f>HYPERLINK("http://slimages.macys.com/is/image/MCY/12145349 ")</f>
        <v xml:space="preserve">http://slimages.macys.com/is/image/MCY/12145349 </v>
      </c>
    </row>
    <row r="8" spans="1:12" ht="36.75" x14ac:dyDescent="0.25">
      <c r="A8" s="4" t="s">
        <v>45</v>
      </c>
      <c r="B8" s="2" t="s">
        <v>46</v>
      </c>
      <c r="C8" s="3">
        <v>1</v>
      </c>
      <c r="D8" s="5">
        <v>158</v>
      </c>
      <c r="E8" s="3" t="s">
        <v>47</v>
      </c>
      <c r="F8" s="2" t="s">
        <v>48</v>
      </c>
      <c r="G8" s="6" t="s">
        <v>22</v>
      </c>
      <c r="H8" s="2" t="s">
        <v>17</v>
      </c>
      <c r="I8" s="2" t="s">
        <v>40</v>
      </c>
      <c r="J8" s="2" t="s">
        <v>19</v>
      </c>
      <c r="K8" s="2" t="s">
        <v>49</v>
      </c>
      <c r="L8" s="7" t="str">
        <f>HYPERLINK("http://slimages.macys.com/is/image/MCY/11948396 ")</f>
        <v xml:space="preserve">http://slimages.macys.com/is/image/MCY/11948396 </v>
      </c>
    </row>
    <row r="9" spans="1:12" ht="24.75" x14ac:dyDescent="0.25">
      <c r="A9" s="4" t="s">
        <v>50</v>
      </c>
      <c r="B9" s="2" t="s">
        <v>51</v>
      </c>
      <c r="C9" s="3">
        <v>1</v>
      </c>
      <c r="D9" s="5">
        <v>138</v>
      </c>
      <c r="E9" s="3" t="s">
        <v>52</v>
      </c>
      <c r="F9" s="2" t="s">
        <v>53</v>
      </c>
      <c r="G9" s="6" t="s">
        <v>16</v>
      </c>
      <c r="H9" s="2" t="s">
        <v>17</v>
      </c>
      <c r="I9" s="2" t="s">
        <v>18</v>
      </c>
      <c r="J9" s="2" t="s">
        <v>19</v>
      </c>
      <c r="K9" s="2" t="s">
        <v>34</v>
      </c>
      <c r="L9" s="7" t="str">
        <f>HYPERLINK("http://slimages.macys.com/is/image/MCY/12649079 ")</f>
        <v xml:space="preserve">http://slimages.macys.com/is/image/MCY/12649079 </v>
      </c>
    </row>
    <row r="10" spans="1:12" ht="24.75" x14ac:dyDescent="0.25">
      <c r="A10" s="4" t="s">
        <v>54</v>
      </c>
      <c r="B10" s="2" t="s">
        <v>55</v>
      </c>
      <c r="C10" s="3">
        <v>1</v>
      </c>
      <c r="D10" s="5">
        <v>138</v>
      </c>
      <c r="E10" s="3" t="s">
        <v>56</v>
      </c>
      <c r="F10" s="2" t="s">
        <v>57</v>
      </c>
      <c r="G10" s="6" t="s">
        <v>58</v>
      </c>
      <c r="H10" s="2" t="s">
        <v>17</v>
      </c>
      <c r="I10" s="2" t="s">
        <v>18</v>
      </c>
      <c r="J10" s="2" t="s">
        <v>19</v>
      </c>
      <c r="K10" s="2" t="s">
        <v>59</v>
      </c>
      <c r="L10" s="7" t="str">
        <f>HYPERLINK("http://slimages.macys.com/is/image/MCY/12231779 ")</f>
        <v xml:space="preserve">http://slimages.macys.com/is/image/MCY/12231779 </v>
      </c>
    </row>
    <row r="11" spans="1:12" ht="24.75" x14ac:dyDescent="0.25">
      <c r="A11" s="4" t="s">
        <v>60</v>
      </c>
      <c r="B11" s="2" t="s">
        <v>51</v>
      </c>
      <c r="C11" s="3">
        <v>1</v>
      </c>
      <c r="D11" s="5">
        <v>138</v>
      </c>
      <c r="E11" s="3" t="s">
        <v>52</v>
      </c>
      <c r="F11" s="2" t="s">
        <v>53</v>
      </c>
      <c r="G11" s="6" t="s">
        <v>27</v>
      </c>
      <c r="H11" s="2" t="s">
        <v>17</v>
      </c>
      <c r="I11" s="2" t="s">
        <v>18</v>
      </c>
      <c r="J11" s="2" t="s">
        <v>19</v>
      </c>
      <c r="K11" s="2" t="s">
        <v>34</v>
      </c>
      <c r="L11" s="7" t="str">
        <f>HYPERLINK("http://slimages.macys.com/is/image/MCY/12649079 ")</f>
        <v xml:space="preserve">http://slimages.macys.com/is/image/MCY/12649079 </v>
      </c>
    </row>
    <row r="12" spans="1:12" ht="24.75" x14ac:dyDescent="0.25">
      <c r="A12" s="4" t="s">
        <v>61</v>
      </c>
      <c r="B12" s="2" t="s">
        <v>62</v>
      </c>
      <c r="C12" s="3">
        <v>1</v>
      </c>
      <c r="D12" s="5">
        <v>148</v>
      </c>
      <c r="E12" s="3" t="s">
        <v>63</v>
      </c>
      <c r="F12" s="2" t="s">
        <v>64</v>
      </c>
      <c r="G12" s="6" t="s">
        <v>65</v>
      </c>
      <c r="H12" s="2" t="s">
        <v>17</v>
      </c>
      <c r="I12" s="2" t="s">
        <v>40</v>
      </c>
      <c r="J12" s="2" t="s">
        <v>19</v>
      </c>
      <c r="K12" s="2" t="s">
        <v>66</v>
      </c>
      <c r="L12" s="7" t="str">
        <f>HYPERLINK("http://slimages.macys.com/is/image/MCY/11454515 ")</f>
        <v xml:space="preserve">http://slimages.macys.com/is/image/MCY/11454515 </v>
      </c>
    </row>
    <row r="13" spans="1:12" ht="24.75" x14ac:dyDescent="0.25">
      <c r="A13" s="4" t="s">
        <v>67</v>
      </c>
      <c r="B13" s="2" t="s">
        <v>68</v>
      </c>
      <c r="C13" s="3">
        <v>1</v>
      </c>
      <c r="D13" s="5">
        <v>148</v>
      </c>
      <c r="E13" s="3" t="s">
        <v>69</v>
      </c>
      <c r="F13" s="2" t="s">
        <v>70</v>
      </c>
      <c r="G13" s="6" t="s">
        <v>58</v>
      </c>
      <c r="H13" s="2" t="s">
        <v>17</v>
      </c>
      <c r="I13" s="2" t="s">
        <v>40</v>
      </c>
      <c r="J13" s="2" t="s">
        <v>19</v>
      </c>
      <c r="K13" s="2" t="s">
        <v>66</v>
      </c>
      <c r="L13" s="7" t="str">
        <f>HYPERLINK("http://slimages.macys.com/is/image/MCY/12645911 ")</f>
        <v xml:space="preserve">http://slimages.macys.com/is/image/MCY/12645911 </v>
      </c>
    </row>
    <row r="14" spans="1:12" ht="24.75" x14ac:dyDescent="0.25">
      <c r="A14" s="4" t="s">
        <v>71</v>
      </c>
      <c r="B14" s="2" t="s">
        <v>72</v>
      </c>
      <c r="C14" s="3">
        <v>1</v>
      </c>
      <c r="D14" s="5">
        <v>128</v>
      </c>
      <c r="E14" s="3" t="s">
        <v>73</v>
      </c>
      <c r="F14" s="2" t="s">
        <v>74</v>
      </c>
      <c r="G14" s="6" t="s">
        <v>16</v>
      </c>
      <c r="H14" s="2" t="s">
        <v>17</v>
      </c>
      <c r="I14" s="2" t="s">
        <v>18</v>
      </c>
      <c r="J14" s="2" t="s">
        <v>19</v>
      </c>
      <c r="K14" s="2" t="s">
        <v>75</v>
      </c>
      <c r="L14" s="7" t="str">
        <f>HYPERLINK("http://slimages.macys.com/is/image/MCY/12646967 ")</f>
        <v xml:space="preserve">http://slimages.macys.com/is/image/MCY/12646967 </v>
      </c>
    </row>
    <row r="15" spans="1:12" ht="24.75" x14ac:dyDescent="0.25">
      <c r="A15" s="4" t="s">
        <v>76</v>
      </c>
      <c r="B15" s="2" t="s">
        <v>77</v>
      </c>
      <c r="C15" s="3">
        <v>1</v>
      </c>
      <c r="D15" s="5">
        <v>128</v>
      </c>
      <c r="E15" s="3" t="s">
        <v>78</v>
      </c>
      <c r="F15" s="2" t="s">
        <v>79</v>
      </c>
      <c r="G15" s="6" t="s">
        <v>16</v>
      </c>
      <c r="H15" s="2" t="s">
        <v>17</v>
      </c>
      <c r="I15" s="2" t="s">
        <v>18</v>
      </c>
      <c r="J15" s="2" t="s">
        <v>19</v>
      </c>
      <c r="K15" s="2" t="s">
        <v>75</v>
      </c>
      <c r="L15" s="7" t="str">
        <f>HYPERLINK("http://slimages.macys.com/is/image/MCY/13061199 ")</f>
        <v xml:space="preserve">http://slimages.macys.com/is/image/MCY/13061199 </v>
      </c>
    </row>
    <row r="16" spans="1:12" ht="24.75" x14ac:dyDescent="0.25">
      <c r="A16" s="4" t="s">
        <v>80</v>
      </c>
      <c r="B16" s="2" t="s">
        <v>77</v>
      </c>
      <c r="C16" s="3">
        <v>1</v>
      </c>
      <c r="D16" s="5">
        <v>128</v>
      </c>
      <c r="E16" s="3" t="s">
        <v>78</v>
      </c>
      <c r="F16" s="2" t="s">
        <v>79</v>
      </c>
      <c r="G16" s="6" t="s">
        <v>58</v>
      </c>
      <c r="H16" s="2" t="s">
        <v>17</v>
      </c>
      <c r="I16" s="2" t="s">
        <v>18</v>
      </c>
      <c r="J16" s="2" t="s">
        <v>19</v>
      </c>
      <c r="K16" s="2" t="s">
        <v>75</v>
      </c>
      <c r="L16" s="7" t="str">
        <f>HYPERLINK("http://slimages.macys.com/is/image/MCY/13061199 ")</f>
        <v xml:space="preserve">http://slimages.macys.com/is/image/MCY/13061199 </v>
      </c>
    </row>
    <row r="17" spans="1:12" ht="24.75" x14ac:dyDescent="0.25">
      <c r="A17" s="4" t="s">
        <v>81</v>
      </c>
      <c r="B17" s="2" t="s">
        <v>77</v>
      </c>
      <c r="C17" s="3">
        <v>1</v>
      </c>
      <c r="D17" s="5">
        <v>128</v>
      </c>
      <c r="E17" s="3" t="s">
        <v>78</v>
      </c>
      <c r="F17" s="2" t="s">
        <v>79</v>
      </c>
      <c r="G17" s="6" t="s">
        <v>27</v>
      </c>
      <c r="H17" s="2" t="s">
        <v>17</v>
      </c>
      <c r="I17" s="2" t="s">
        <v>18</v>
      </c>
      <c r="J17" s="2" t="s">
        <v>19</v>
      </c>
      <c r="K17" s="2" t="s">
        <v>75</v>
      </c>
      <c r="L17" s="7" t="str">
        <f>HYPERLINK("http://slimages.macys.com/is/image/MCY/13061199 ")</f>
        <v xml:space="preserve">http://slimages.macys.com/is/image/MCY/13061199 </v>
      </c>
    </row>
    <row r="18" spans="1:12" ht="24.75" x14ac:dyDescent="0.25">
      <c r="A18" s="4" t="s">
        <v>82</v>
      </c>
      <c r="B18" s="2" t="s">
        <v>83</v>
      </c>
      <c r="C18" s="3">
        <v>1</v>
      </c>
      <c r="D18" s="5">
        <v>128</v>
      </c>
      <c r="E18" s="3" t="s">
        <v>84</v>
      </c>
      <c r="F18" s="2" t="s">
        <v>85</v>
      </c>
      <c r="G18" s="6" t="s">
        <v>22</v>
      </c>
      <c r="H18" s="2" t="s">
        <v>17</v>
      </c>
      <c r="I18" s="2" t="s">
        <v>18</v>
      </c>
      <c r="J18" s="2" t="s">
        <v>19</v>
      </c>
      <c r="K18" s="2" t="s">
        <v>34</v>
      </c>
      <c r="L18" s="7" t="str">
        <f>HYPERLINK("http://slimages.macys.com/is/image/MCY/12649145 ")</f>
        <v xml:space="preserve">http://slimages.macys.com/is/image/MCY/12649145 </v>
      </c>
    </row>
    <row r="19" spans="1:12" ht="24.75" x14ac:dyDescent="0.25">
      <c r="A19" s="4" t="s">
        <v>86</v>
      </c>
      <c r="B19" s="2" t="s">
        <v>87</v>
      </c>
      <c r="C19" s="3">
        <v>1</v>
      </c>
      <c r="D19" s="5">
        <v>128</v>
      </c>
      <c r="E19" s="3" t="s">
        <v>88</v>
      </c>
      <c r="F19" s="2" t="s">
        <v>89</v>
      </c>
      <c r="G19" s="6" t="s">
        <v>22</v>
      </c>
      <c r="H19" s="2" t="s">
        <v>17</v>
      </c>
      <c r="I19" s="2" t="s">
        <v>18</v>
      </c>
      <c r="J19" s="2" t="s">
        <v>19</v>
      </c>
      <c r="K19" s="2" t="s">
        <v>75</v>
      </c>
      <c r="L19" s="7" t="str">
        <f>HYPERLINK("http://slimages.macys.com/is/image/MCY/12877462 ")</f>
        <v xml:space="preserve">http://slimages.macys.com/is/image/MCY/12877462 </v>
      </c>
    </row>
    <row r="20" spans="1:12" ht="24.75" x14ac:dyDescent="0.25">
      <c r="A20" s="4" t="s">
        <v>90</v>
      </c>
      <c r="B20" s="2" t="s">
        <v>72</v>
      </c>
      <c r="C20" s="3">
        <v>1</v>
      </c>
      <c r="D20" s="5">
        <v>128</v>
      </c>
      <c r="E20" s="3" t="s">
        <v>73</v>
      </c>
      <c r="F20" s="2" t="s">
        <v>53</v>
      </c>
      <c r="G20" s="6" t="s">
        <v>16</v>
      </c>
      <c r="H20" s="2" t="s">
        <v>17</v>
      </c>
      <c r="I20" s="2" t="s">
        <v>18</v>
      </c>
      <c r="J20" s="2" t="s">
        <v>19</v>
      </c>
      <c r="K20" s="2" t="s">
        <v>75</v>
      </c>
      <c r="L20" s="7" t="str">
        <f>HYPERLINK("http://slimages.macys.com/is/image/MCY/12646967 ")</f>
        <v xml:space="preserve">http://slimages.macys.com/is/image/MCY/12646967 </v>
      </c>
    </row>
    <row r="21" spans="1:12" ht="24.75" x14ac:dyDescent="0.25">
      <c r="A21" s="4" t="s">
        <v>91</v>
      </c>
      <c r="B21" s="2" t="s">
        <v>92</v>
      </c>
      <c r="C21" s="3">
        <v>1</v>
      </c>
      <c r="D21" s="5">
        <v>129</v>
      </c>
      <c r="E21" s="3" t="s">
        <v>93</v>
      </c>
      <c r="F21" s="2" t="s">
        <v>94</v>
      </c>
      <c r="G21" s="6" t="s">
        <v>22</v>
      </c>
      <c r="H21" s="2" t="s">
        <v>95</v>
      </c>
      <c r="I21" s="2" t="s">
        <v>96</v>
      </c>
      <c r="J21" s="2" t="s">
        <v>19</v>
      </c>
      <c r="K21" s="2" t="s">
        <v>97</v>
      </c>
      <c r="L21" s="7" t="str">
        <f>HYPERLINK("http://slimages.macys.com/is/image/MCY/12794390 ")</f>
        <v xml:space="preserve">http://slimages.macys.com/is/image/MCY/12794390 </v>
      </c>
    </row>
    <row r="22" spans="1:12" ht="24.75" x14ac:dyDescent="0.25">
      <c r="A22" s="4" t="s">
        <v>98</v>
      </c>
      <c r="B22" s="2" t="s">
        <v>99</v>
      </c>
      <c r="C22" s="3">
        <v>1</v>
      </c>
      <c r="D22" s="5">
        <v>138</v>
      </c>
      <c r="E22" s="3" t="s">
        <v>100</v>
      </c>
      <c r="F22" s="2" t="s">
        <v>101</v>
      </c>
      <c r="G22" s="6" t="s">
        <v>22</v>
      </c>
      <c r="H22" s="2" t="s">
        <v>17</v>
      </c>
      <c r="I22" s="2" t="s">
        <v>40</v>
      </c>
      <c r="J22" s="2" t="s">
        <v>19</v>
      </c>
      <c r="K22" s="2" t="s">
        <v>75</v>
      </c>
      <c r="L22" s="7" t="str">
        <f>HYPERLINK("http://slimages.macys.com/is/image/MCY/12645823 ")</f>
        <v xml:space="preserve">http://slimages.macys.com/is/image/MCY/12645823 </v>
      </c>
    </row>
    <row r="23" spans="1:12" ht="24.75" x14ac:dyDescent="0.25">
      <c r="A23" s="4" t="s">
        <v>102</v>
      </c>
      <c r="B23" s="2" t="s">
        <v>99</v>
      </c>
      <c r="C23" s="3">
        <v>1</v>
      </c>
      <c r="D23" s="5">
        <v>138</v>
      </c>
      <c r="E23" s="3" t="s">
        <v>100</v>
      </c>
      <c r="F23" s="2" t="s">
        <v>101</v>
      </c>
      <c r="G23" s="6" t="s">
        <v>16</v>
      </c>
      <c r="H23" s="2" t="s">
        <v>17</v>
      </c>
      <c r="I23" s="2" t="s">
        <v>40</v>
      </c>
      <c r="J23" s="2" t="s">
        <v>19</v>
      </c>
      <c r="K23" s="2" t="s">
        <v>75</v>
      </c>
      <c r="L23" s="7" t="str">
        <f>HYPERLINK("http://slimages.macys.com/is/image/MCY/12645823 ")</f>
        <v xml:space="preserve">http://slimages.macys.com/is/image/MCY/12645823 </v>
      </c>
    </row>
    <row r="24" spans="1:12" ht="24.75" x14ac:dyDescent="0.25">
      <c r="A24" s="4" t="s">
        <v>103</v>
      </c>
      <c r="B24" s="2" t="s">
        <v>104</v>
      </c>
      <c r="C24" s="3">
        <v>2</v>
      </c>
      <c r="D24" s="5">
        <v>119</v>
      </c>
      <c r="E24" s="3" t="s">
        <v>105</v>
      </c>
      <c r="F24" s="2" t="s">
        <v>26</v>
      </c>
      <c r="G24" s="6" t="s">
        <v>106</v>
      </c>
      <c r="H24" s="2" t="s">
        <v>17</v>
      </c>
      <c r="I24" s="2" t="s">
        <v>18</v>
      </c>
      <c r="J24" s="2" t="s">
        <v>19</v>
      </c>
      <c r="K24" s="2" t="s">
        <v>107</v>
      </c>
      <c r="L24" s="7" t="str">
        <f>HYPERLINK("http://slimages.macys.com/is/image/MCY/12326948 ")</f>
        <v xml:space="preserve">http://slimages.macys.com/is/image/MCY/12326948 </v>
      </c>
    </row>
    <row r="25" spans="1:12" ht="24.75" x14ac:dyDescent="0.25">
      <c r="A25" s="4" t="s">
        <v>108</v>
      </c>
      <c r="B25" s="2" t="s">
        <v>109</v>
      </c>
      <c r="C25" s="3">
        <v>1</v>
      </c>
      <c r="D25" s="5">
        <v>128</v>
      </c>
      <c r="E25" s="3" t="s">
        <v>110</v>
      </c>
      <c r="F25" s="2" t="s">
        <v>111</v>
      </c>
      <c r="G25" s="6" t="s">
        <v>112</v>
      </c>
      <c r="H25" s="2" t="s">
        <v>17</v>
      </c>
      <c r="I25" s="2" t="s">
        <v>40</v>
      </c>
      <c r="J25" s="2" t="s">
        <v>19</v>
      </c>
      <c r="K25" s="2" t="s">
        <v>34</v>
      </c>
      <c r="L25" s="7" t="str">
        <f>HYPERLINK("http://slimages.macys.com/is/image/MCY/12898262 ")</f>
        <v xml:space="preserve">http://slimages.macys.com/is/image/MCY/12898262 </v>
      </c>
    </row>
    <row r="26" spans="1:12" ht="24.75" x14ac:dyDescent="0.25">
      <c r="A26" s="4" t="s">
        <v>113</v>
      </c>
      <c r="B26" s="2" t="s">
        <v>114</v>
      </c>
      <c r="C26" s="3">
        <v>1</v>
      </c>
      <c r="D26" s="5">
        <v>99</v>
      </c>
      <c r="E26" s="3" t="s">
        <v>115</v>
      </c>
      <c r="F26" s="2" t="s">
        <v>26</v>
      </c>
      <c r="G26" s="6" t="s">
        <v>116</v>
      </c>
      <c r="H26" s="2" t="s">
        <v>17</v>
      </c>
      <c r="I26" s="2" t="s">
        <v>117</v>
      </c>
      <c r="J26" s="2" t="s">
        <v>19</v>
      </c>
      <c r="K26" s="2" t="s">
        <v>118</v>
      </c>
      <c r="L26" s="7" t="str">
        <f>HYPERLINK("http://slimages.macys.com/is/image/MCY/12669592 ")</f>
        <v xml:space="preserve">http://slimages.macys.com/is/image/MCY/12669592 </v>
      </c>
    </row>
    <row r="27" spans="1:12" ht="24.75" x14ac:dyDescent="0.25">
      <c r="A27" s="4" t="s">
        <v>119</v>
      </c>
      <c r="B27" s="2" t="s">
        <v>120</v>
      </c>
      <c r="C27" s="3">
        <v>1</v>
      </c>
      <c r="D27" s="5">
        <v>99.5</v>
      </c>
      <c r="E27" s="3">
        <v>10723400</v>
      </c>
      <c r="F27" s="2" t="s">
        <v>26</v>
      </c>
      <c r="G27" s="6" t="s">
        <v>65</v>
      </c>
      <c r="H27" s="2" t="s">
        <v>17</v>
      </c>
      <c r="I27" s="2" t="s">
        <v>121</v>
      </c>
      <c r="J27" s="2" t="s">
        <v>19</v>
      </c>
      <c r="K27" s="2" t="s">
        <v>118</v>
      </c>
      <c r="L27" s="7" t="str">
        <f>HYPERLINK("http://slimages.macys.com/is/image/MCY/12645655 ")</f>
        <v xml:space="preserve">http://slimages.macys.com/is/image/MCY/12645655 </v>
      </c>
    </row>
    <row r="28" spans="1:12" ht="24.75" x14ac:dyDescent="0.25">
      <c r="A28" s="4" t="s">
        <v>122</v>
      </c>
      <c r="B28" s="2" t="s">
        <v>123</v>
      </c>
      <c r="C28" s="3">
        <v>1</v>
      </c>
      <c r="D28" s="5">
        <v>119.5</v>
      </c>
      <c r="E28" s="3" t="s">
        <v>124</v>
      </c>
      <c r="F28" s="2" t="s">
        <v>125</v>
      </c>
      <c r="G28" s="6" t="s">
        <v>126</v>
      </c>
      <c r="H28" s="2" t="s">
        <v>127</v>
      </c>
      <c r="I28" s="2" t="s">
        <v>128</v>
      </c>
      <c r="J28" s="2" t="s">
        <v>19</v>
      </c>
      <c r="K28" s="2" t="s">
        <v>34</v>
      </c>
      <c r="L28" s="7" t="str">
        <f>HYPERLINK("http://slimages.macys.com/is/image/MCY/13786706 ")</f>
        <v xml:space="preserve">http://slimages.macys.com/is/image/MCY/13786706 </v>
      </c>
    </row>
    <row r="29" spans="1:12" ht="24.75" x14ac:dyDescent="0.25">
      <c r="A29" s="4" t="s">
        <v>129</v>
      </c>
      <c r="B29" s="2" t="s">
        <v>130</v>
      </c>
      <c r="C29" s="3">
        <v>1</v>
      </c>
      <c r="D29" s="5">
        <v>98</v>
      </c>
      <c r="E29" s="3" t="s">
        <v>131</v>
      </c>
      <c r="F29" s="2" t="s">
        <v>132</v>
      </c>
      <c r="G29" s="6" t="s">
        <v>27</v>
      </c>
      <c r="H29" s="2" t="s">
        <v>17</v>
      </c>
      <c r="I29" s="2" t="s">
        <v>18</v>
      </c>
      <c r="J29" s="2" t="s">
        <v>19</v>
      </c>
      <c r="K29" s="2" t="s">
        <v>75</v>
      </c>
      <c r="L29" s="7" t="str">
        <f>HYPERLINK("http://slimages.macys.com/is/image/MCY/12331433 ")</f>
        <v xml:space="preserve">http://slimages.macys.com/is/image/MCY/12331433 </v>
      </c>
    </row>
    <row r="30" spans="1:12" ht="24.75" x14ac:dyDescent="0.25">
      <c r="A30" s="4" t="s">
        <v>133</v>
      </c>
      <c r="B30" s="2" t="s">
        <v>134</v>
      </c>
      <c r="C30" s="3">
        <v>1</v>
      </c>
      <c r="D30" s="5">
        <v>99</v>
      </c>
      <c r="E30" s="3" t="s">
        <v>135</v>
      </c>
      <c r="F30" s="2" t="s">
        <v>136</v>
      </c>
      <c r="G30" s="6" t="s">
        <v>22</v>
      </c>
      <c r="H30" s="2" t="s">
        <v>95</v>
      </c>
      <c r="I30" s="2" t="s">
        <v>96</v>
      </c>
      <c r="J30" s="2" t="s">
        <v>19</v>
      </c>
      <c r="K30" s="2" t="s">
        <v>137</v>
      </c>
      <c r="L30" s="7" t="str">
        <f>HYPERLINK("http://slimages.macys.com/is/image/MCY/12746916 ")</f>
        <v xml:space="preserve">http://slimages.macys.com/is/image/MCY/12746916 </v>
      </c>
    </row>
    <row r="31" spans="1:12" ht="24.75" x14ac:dyDescent="0.25">
      <c r="A31" s="4" t="s">
        <v>138</v>
      </c>
      <c r="B31" s="2" t="s">
        <v>139</v>
      </c>
      <c r="C31" s="3">
        <v>1</v>
      </c>
      <c r="D31" s="5">
        <v>99</v>
      </c>
      <c r="E31" s="3" t="s">
        <v>140</v>
      </c>
      <c r="F31" s="2" t="s">
        <v>64</v>
      </c>
      <c r="G31" s="6" t="s">
        <v>141</v>
      </c>
      <c r="H31" s="2" t="s">
        <v>95</v>
      </c>
      <c r="I31" s="2" t="s">
        <v>96</v>
      </c>
      <c r="J31" s="2" t="s">
        <v>19</v>
      </c>
      <c r="K31" s="2" t="s">
        <v>137</v>
      </c>
      <c r="L31" s="7" t="str">
        <f>HYPERLINK("http://slimages.macys.com/is/image/MCY/12794480 ")</f>
        <v xml:space="preserve">http://slimages.macys.com/is/image/MCY/12794480 </v>
      </c>
    </row>
    <row r="32" spans="1:12" ht="24.75" x14ac:dyDescent="0.25">
      <c r="A32" s="4" t="s">
        <v>142</v>
      </c>
      <c r="B32" s="2" t="s">
        <v>143</v>
      </c>
      <c r="C32" s="3">
        <v>1</v>
      </c>
      <c r="D32" s="5">
        <v>99</v>
      </c>
      <c r="E32" s="3" t="s">
        <v>144</v>
      </c>
      <c r="F32" s="2" t="s">
        <v>26</v>
      </c>
      <c r="G32" s="6" t="s">
        <v>116</v>
      </c>
      <c r="H32" s="2" t="s">
        <v>17</v>
      </c>
      <c r="I32" s="2" t="s">
        <v>145</v>
      </c>
      <c r="J32" s="2" t="s">
        <v>19</v>
      </c>
      <c r="K32" s="2" t="s">
        <v>75</v>
      </c>
      <c r="L32" s="7" t="str">
        <f>HYPERLINK("http://slimages.macys.com/is/image/MCY/12671553 ")</f>
        <v xml:space="preserve">http://slimages.macys.com/is/image/MCY/12671553 </v>
      </c>
    </row>
    <row r="33" spans="1:12" ht="24.75" x14ac:dyDescent="0.25">
      <c r="A33" s="4" t="s">
        <v>146</v>
      </c>
      <c r="B33" s="2" t="s">
        <v>143</v>
      </c>
      <c r="C33" s="3">
        <v>1</v>
      </c>
      <c r="D33" s="5">
        <v>99</v>
      </c>
      <c r="E33" s="3" t="s">
        <v>144</v>
      </c>
      <c r="F33" s="2" t="s">
        <v>26</v>
      </c>
      <c r="G33" s="6" t="s">
        <v>147</v>
      </c>
      <c r="H33" s="2" t="s">
        <v>17</v>
      </c>
      <c r="I33" s="2" t="s">
        <v>145</v>
      </c>
      <c r="J33" s="2" t="s">
        <v>19</v>
      </c>
      <c r="K33" s="2" t="s">
        <v>75</v>
      </c>
      <c r="L33" s="7" t="str">
        <f>HYPERLINK("http://slimages.macys.com/is/image/MCY/12671553 ")</f>
        <v xml:space="preserve">http://slimages.macys.com/is/image/MCY/12671553 </v>
      </c>
    </row>
    <row r="34" spans="1:12" ht="24.75" x14ac:dyDescent="0.25">
      <c r="A34" s="4" t="s">
        <v>148</v>
      </c>
      <c r="B34" s="2" t="s">
        <v>149</v>
      </c>
      <c r="C34" s="3">
        <v>1</v>
      </c>
      <c r="D34" s="5">
        <v>89</v>
      </c>
      <c r="E34" s="3" t="s">
        <v>150</v>
      </c>
      <c r="F34" s="2" t="s">
        <v>74</v>
      </c>
      <c r="G34" s="6" t="s">
        <v>16</v>
      </c>
      <c r="H34" s="2" t="s">
        <v>95</v>
      </c>
      <c r="I34" s="2" t="s">
        <v>96</v>
      </c>
      <c r="J34" s="2" t="s">
        <v>19</v>
      </c>
      <c r="K34" s="2" t="s">
        <v>151</v>
      </c>
      <c r="L34" s="7" t="str">
        <f>HYPERLINK("http://slimages.macys.com/is/image/MCY/12794413 ")</f>
        <v xml:space="preserve">http://slimages.macys.com/is/image/MCY/12794413 </v>
      </c>
    </row>
    <row r="35" spans="1:12" ht="24.75" x14ac:dyDescent="0.25">
      <c r="A35" s="4" t="s">
        <v>152</v>
      </c>
      <c r="B35" s="2" t="s">
        <v>153</v>
      </c>
      <c r="C35" s="3">
        <v>2</v>
      </c>
      <c r="D35" s="5">
        <v>79.5</v>
      </c>
      <c r="E35" s="3">
        <v>10719732</v>
      </c>
      <c r="F35" s="2" t="s">
        <v>33</v>
      </c>
      <c r="G35" s="6" t="s">
        <v>154</v>
      </c>
      <c r="H35" s="2" t="s">
        <v>17</v>
      </c>
      <c r="I35" s="2" t="s">
        <v>121</v>
      </c>
      <c r="J35" s="2" t="s">
        <v>19</v>
      </c>
      <c r="K35" s="2" t="s">
        <v>34</v>
      </c>
      <c r="L35" s="7" t="str">
        <f>HYPERLINK("http://slimages.macys.com/is/image/MCY/10534487 ")</f>
        <v xml:space="preserve">http://slimages.macys.com/is/image/MCY/10534487 </v>
      </c>
    </row>
    <row r="36" spans="1:12" ht="24.75" x14ac:dyDescent="0.25">
      <c r="A36" s="4" t="s">
        <v>155</v>
      </c>
      <c r="B36" s="2" t="s">
        <v>153</v>
      </c>
      <c r="C36" s="3">
        <v>1</v>
      </c>
      <c r="D36" s="5">
        <v>79.5</v>
      </c>
      <c r="E36" s="3">
        <v>10719732</v>
      </c>
      <c r="F36" s="2" t="s">
        <v>33</v>
      </c>
      <c r="G36" s="6" t="s">
        <v>156</v>
      </c>
      <c r="H36" s="2" t="s">
        <v>17</v>
      </c>
      <c r="I36" s="2" t="s">
        <v>121</v>
      </c>
      <c r="J36" s="2" t="s">
        <v>19</v>
      </c>
      <c r="K36" s="2" t="s">
        <v>34</v>
      </c>
      <c r="L36" s="7" t="str">
        <f>HYPERLINK("http://slimages.macys.com/is/image/MCY/10534487 ")</f>
        <v xml:space="preserve">http://slimages.macys.com/is/image/MCY/10534487 </v>
      </c>
    </row>
    <row r="37" spans="1:12" ht="24.75" x14ac:dyDescent="0.25">
      <c r="A37" s="4" t="s">
        <v>157</v>
      </c>
      <c r="B37" s="2" t="s">
        <v>158</v>
      </c>
      <c r="C37" s="3">
        <v>1</v>
      </c>
      <c r="D37" s="5">
        <v>99.5</v>
      </c>
      <c r="E37" s="3" t="s">
        <v>159</v>
      </c>
      <c r="F37" s="2"/>
      <c r="G37" s="6"/>
      <c r="H37" s="2" t="s">
        <v>127</v>
      </c>
      <c r="I37" s="2" t="s">
        <v>128</v>
      </c>
      <c r="J37" s="2" t="s">
        <v>19</v>
      </c>
      <c r="K37" s="2" t="s">
        <v>160</v>
      </c>
      <c r="L37" s="7" t="str">
        <f>HYPERLINK("http://slimages.macys.com/is/image/MCY/14607662 ")</f>
        <v xml:space="preserve">http://slimages.macys.com/is/image/MCY/14607662 </v>
      </c>
    </row>
    <row r="38" spans="1:12" ht="48.75" x14ac:dyDescent="0.25">
      <c r="A38" s="4" t="s">
        <v>161</v>
      </c>
      <c r="B38" s="2" t="s">
        <v>162</v>
      </c>
      <c r="C38" s="3">
        <v>1</v>
      </c>
      <c r="D38" s="5">
        <v>99.5</v>
      </c>
      <c r="E38" s="3" t="s">
        <v>163</v>
      </c>
      <c r="F38" s="2" t="s">
        <v>164</v>
      </c>
      <c r="G38" s="6" t="s">
        <v>165</v>
      </c>
      <c r="H38" s="2" t="s">
        <v>127</v>
      </c>
      <c r="I38" s="2" t="s">
        <v>128</v>
      </c>
      <c r="J38" s="2" t="s">
        <v>19</v>
      </c>
      <c r="K38" s="2" t="s">
        <v>166</v>
      </c>
      <c r="L38" s="7" t="str">
        <f>HYPERLINK("http://slimages.macys.com/is/image/MCY/13386163 ")</f>
        <v xml:space="preserve">http://slimages.macys.com/is/image/MCY/13386163 </v>
      </c>
    </row>
    <row r="39" spans="1:12" ht="24.75" x14ac:dyDescent="0.25">
      <c r="A39" s="4" t="s">
        <v>167</v>
      </c>
      <c r="B39" s="2" t="s">
        <v>168</v>
      </c>
      <c r="C39" s="3">
        <v>1</v>
      </c>
      <c r="D39" s="5">
        <v>99.5</v>
      </c>
      <c r="E39" s="3" t="s">
        <v>169</v>
      </c>
      <c r="F39" s="2" t="s">
        <v>170</v>
      </c>
      <c r="G39" s="6" t="s">
        <v>126</v>
      </c>
      <c r="H39" s="2" t="s">
        <v>127</v>
      </c>
      <c r="I39" s="2" t="s">
        <v>128</v>
      </c>
      <c r="J39" s="2" t="s">
        <v>19</v>
      </c>
      <c r="K39" s="2" t="s">
        <v>66</v>
      </c>
      <c r="L39" s="7" t="str">
        <f>HYPERLINK("http://slimages.macys.com/is/image/MCY/13397507 ")</f>
        <v xml:space="preserve">http://slimages.macys.com/is/image/MCY/13397507 </v>
      </c>
    </row>
    <row r="40" spans="1:12" ht="24.75" x14ac:dyDescent="0.25">
      <c r="A40" s="4" t="s">
        <v>171</v>
      </c>
      <c r="B40" s="2" t="s">
        <v>172</v>
      </c>
      <c r="C40" s="3">
        <v>1</v>
      </c>
      <c r="D40" s="5">
        <v>89.5</v>
      </c>
      <c r="E40" s="3" t="s">
        <v>173</v>
      </c>
      <c r="F40" s="2" t="s">
        <v>74</v>
      </c>
      <c r="G40" s="6"/>
      <c r="H40" s="2" t="s">
        <v>127</v>
      </c>
      <c r="I40" s="2" t="s">
        <v>128</v>
      </c>
      <c r="J40" s="2" t="s">
        <v>19</v>
      </c>
      <c r="K40" s="2" t="s">
        <v>66</v>
      </c>
      <c r="L40" s="7" t="str">
        <f>HYPERLINK("http://slimages.macys.com/is/image/MCY/12734139 ")</f>
        <v xml:space="preserve">http://slimages.macys.com/is/image/MCY/12734139 </v>
      </c>
    </row>
    <row r="41" spans="1:12" ht="24.75" x14ac:dyDescent="0.25">
      <c r="A41" s="4" t="s">
        <v>174</v>
      </c>
      <c r="B41" s="2" t="s">
        <v>175</v>
      </c>
      <c r="C41" s="3">
        <v>1</v>
      </c>
      <c r="D41" s="5">
        <v>89.5</v>
      </c>
      <c r="E41" s="3" t="s">
        <v>176</v>
      </c>
      <c r="F41" s="2" t="s">
        <v>74</v>
      </c>
      <c r="G41" s="6" t="s">
        <v>126</v>
      </c>
      <c r="H41" s="2" t="s">
        <v>127</v>
      </c>
      <c r="I41" s="2" t="s">
        <v>128</v>
      </c>
      <c r="J41" s="2" t="s">
        <v>19</v>
      </c>
      <c r="K41" s="2" t="s">
        <v>160</v>
      </c>
      <c r="L41" s="7" t="str">
        <f>HYPERLINK("http://slimages.macys.com/is/image/MCY/13290006 ")</f>
        <v xml:space="preserve">http://slimages.macys.com/is/image/MCY/13290006 </v>
      </c>
    </row>
    <row r="42" spans="1:12" ht="24.75" x14ac:dyDescent="0.25">
      <c r="A42" s="4" t="s">
        <v>177</v>
      </c>
      <c r="B42" s="2" t="s">
        <v>178</v>
      </c>
      <c r="C42" s="3">
        <v>1</v>
      </c>
      <c r="D42" s="5">
        <v>55.65</v>
      </c>
      <c r="E42" s="3" t="s">
        <v>179</v>
      </c>
      <c r="F42" s="2" t="s">
        <v>180</v>
      </c>
      <c r="G42" s="6" t="s">
        <v>181</v>
      </c>
      <c r="H42" s="2" t="s">
        <v>182</v>
      </c>
      <c r="I42" s="2" t="s">
        <v>183</v>
      </c>
      <c r="J42" s="2" t="s">
        <v>19</v>
      </c>
      <c r="K42" s="2" t="s">
        <v>34</v>
      </c>
      <c r="L42" s="7" t="str">
        <f>HYPERLINK("http://slimages.macys.com/is/image/MCY/12938423 ")</f>
        <v xml:space="preserve">http://slimages.macys.com/is/image/MCY/12938423 </v>
      </c>
    </row>
    <row r="43" spans="1:12" ht="24.75" x14ac:dyDescent="0.25">
      <c r="A43" s="4" t="s">
        <v>184</v>
      </c>
      <c r="B43" s="2" t="s">
        <v>185</v>
      </c>
      <c r="C43" s="3">
        <v>1</v>
      </c>
      <c r="D43" s="5">
        <v>82.13</v>
      </c>
      <c r="E43" s="3" t="s">
        <v>186</v>
      </c>
      <c r="F43" s="2" t="s">
        <v>26</v>
      </c>
      <c r="G43" s="6" t="s">
        <v>187</v>
      </c>
      <c r="H43" s="2" t="s">
        <v>188</v>
      </c>
      <c r="I43" s="2" t="s">
        <v>189</v>
      </c>
      <c r="J43" s="2" t="s">
        <v>19</v>
      </c>
      <c r="K43" s="2" t="s">
        <v>160</v>
      </c>
      <c r="L43" s="7" t="str">
        <f>HYPERLINK("http://slimages.macys.com/is/image/MCY/11680616 ")</f>
        <v xml:space="preserve">http://slimages.macys.com/is/image/MCY/11680616 </v>
      </c>
    </row>
    <row r="44" spans="1:12" ht="24.75" x14ac:dyDescent="0.25">
      <c r="A44" s="4" t="s">
        <v>190</v>
      </c>
      <c r="B44" s="2" t="s">
        <v>185</v>
      </c>
      <c r="C44" s="3">
        <v>2</v>
      </c>
      <c r="D44" s="5">
        <v>82.13</v>
      </c>
      <c r="E44" s="3" t="s">
        <v>186</v>
      </c>
      <c r="F44" s="2" t="s">
        <v>26</v>
      </c>
      <c r="G44" s="6"/>
      <c r="H44" s="2" t="s">
        <v>188</v>
      </c>
      <c r="I44" s="2" t="s">
        <v>189</v>
      </c>
      <c r="J44" s="2" t="s">
        <v>19</v>
      </c>
      <c r="K44" s="2" t="s">
        <v>160</v>
      </c>
      <c r="L44" s="7" t="str">
        <f>HYPERLINK("http://slimages.macys.com/is/image/MCY/11680616 ")</f>
        <v xml:space="preserve">http://slimages.macys.com/is/image/MCY/11680616 </v>
      </c>
    </row>
    <row r="45" spans="1:12" ht="48.75" x14ac:dyDescent="0.25">
      <c r="A45" s="4" t="s">
        <v>191</v>
      </c>
      <c r="B45" s="2" t="s">
        <v>192</v>
      </c>
      <c r="C45" s="3">
        <v>1</v>
      </c>
      <c r="D45" s="5">
        <v>59.5</v>
      </c>
      <c r="E45" s="3">
        <v>100036287</v>
      </c>
      <c r="F45" s="2" t="s">
        <v>193</v>
      </c>
      <c r="G45" s="6" t="s">
        <v>181</v>
      </c>
      <c r="H45" s="2" t="s">
        <v>194</v>
      </c>
      <c r="I45" s="2" t="s">
        <v>195</v>
      </c>
      <c r="J45" s="2" t="s">
        <v>19</v>
      </c>
      <c r="K45" s="2" t="s">
        <v>196</v>
      </c>
      <c r="L45" s="7" t="str">
        <f>HYPERLINK("http://slimages.macys.com/is/image/MCY/13121038 ")</f>
        <v xml:space="preserve">http://slimages.macys.com/is/image/MCY/13121038 </v>
      </c>
    </row>
    <row r="46" spans="1:12" ht="24.75" x14ac:dyDescent="0.25">
      <c r="A46" s="4" t="s">
        <v>197</v>
      </c>
      <c r="B46" s="2" t="s">
        <v>198</v>
      </c>
      <c r="C46" s="3">
        <v>1</v>
      </c>
      <c r="D46" s="5">
        <v>52.13</v>
      </c>
      <c r="E46" s="3">
        <v>100054438</v>
      </c>
      <c r="F46" s="2" t="s">
        <v>199</v>
      </c>
      <c r="G46" s="6" t="s">
        <v>200</v>
      </c>
      <c r="H46" s="2" t="s">
        <v>194</v>
      </c>
      <c r="I46" s="2" t="s">
        <v>195</v>
      </c>
      <c r="J46" s="2" t="s">
        <v>19</v>
      </c>
      <c r="K46" s="2" t="s">
        <v>201</v>
      </c>
      <c r="L46" s="7" t="str">
        <f>HYPERLINK("http://slimages.macys.com/is/image/MCY/12316594 ")</f>
        <v xml:space="preserve">http://slimages.macys.com/is/image/MCY/12316594 </v>
      </c>
    </row>
    <row r="47" spans="1:12" ht="24.75" x14ac:dyDescent="0.25">
      <c r="A47" s="4" t="s">
        <v>202</v>
      </c>
      <c r="B47" s="2" t="s">
        <v>203</v>
      </c>
      <c r="C47" s="3">
        <v>1</v>
      </c>
      <c r="D47" s="5">
        <v>119.5</v>
      </c>
      <c r="E47" s="3" t="s">
        <v>204</v>
      </c>
      <c r="F47" s="2" t="s">
        <v>74</v>
      </c>
      <c r="G47" s="6" t="s">
        <v>205</v>
      </c>
      <c r="H47" s="2" t="s">
        <v>206</v>
      </c>
      <c r="I47" s="2" t="s">
        <v>207</v>
      </c>
      <c r="J47" s="2" t="s">
        <v>19</v>
      </c>
      <c r="K47" s="2" t="s">
        <v>208</v>
      </c>
      <c r="L47" s="7" t="str">
        <f>HYPERLINK("http://slimages.macys.com/is/image/MCY/12319259 ")</f>
        <v xml:space="preserve">http://slimages.macys.com/is/image/MCY/12319259 </v>
      </c>
    </row>
    <row r="48" spans="1:12" ht="24.75" x14ac:dyDescent="0.25">
      <c r="A48" s="4" t="s">
        <v>209</v>
      </c>
      <c r="B48" s="2" t="s">
        <v>203</v>
      </c>
      <c r="C48" s="3">
        <v>2</v>
      </c>
      <c r="D48" s="5">
        <v>119.5</v>
      </c>
      <c r="E48" s="3" t="s">
        <v>204</v>
      </c>
      <c r="F48" s="2" t="s">
        <v>74</v>
      </c>
      <c r="G48" s="6" t="s">
        <v>126</v>
      </c>
      <c r="H48" s="2" t="s">
        <v>206</v>
      </c>
      <c r="I48" s="2" t="s">
        <v>207</v>
      </c>
      <c r="J48" s="2" t="s">
        <v>19</v>
      </c>
      <c r="K48" s="2" t="s">
        <v>208</v>
      </c>
      <c r="L48" s="7" t="str">
        <f>HYPERLINK("http://slimages.macys.com/is/image/MCY/12319259 ")</f>
        <v xml:space="preserve">http://slimages.macys.com/is/image/MCY/12319259 </v>
      </c>
    </row>
    <row r="49" spans="1:12" ht="24.75" x14ac:dyDescent="0.25">
      <c r="A49" s="4" t="s">
        <v>210</v>
      </c>
      <c r="B49" s="2" t="s">
        <v>211</v>
      </c>
      <c r="C49" s="3">
        <v>1</v>
      </c>
      <c r="D49" s="5">
        <v>66.5</v>
      </c>
      <c r="E49" s="3" t="s">
        <v>212</v>
      </c>
      <c r="F49" s="2" t="s">
        <v>64</v>
      </c>
      <c r="G49" s="6" t="s">
        <v>154</v>
      </c>
      <c r="H49" s="2" t="s">
        <v>213</v>
      </c>
      <c r="I49" s="2" t="s">
        <v>214</v>
      </c>
      <c r="J49" s="2" t="s">
        <v>19</v>
      </c>
      <c r="K49" s="2" t="s">
        <v>215</v>
      </c>
      <c r="L49" s="7" t="str">
        <f>HYPERLINK("http://slimages.macys.com/is/image/MCY/11030039 ")</f>
        <v xml:space="preserve">http://slimages.macys.com/is/image/MCY/11030039 </v>
      </c>
    </row>
    <row r="50" spans="1:12" ht="24.75" x14ac:dyDescent="0.25">
      <c r="A50" s="4" t="s">
        <v>216</v>
      </c>
      <c r="B50" s="2" t="s">
        <v>217</v>
      </c>
      <c r="C50" s="3">
        <v>1</v>
      </c>
      <c r="D50" s="5">
        <v>67.13</v>
      </c>
      <c r="E50" s="3" t="s">
        <v>218</v>
      </c>
      <c r="F50" s="2" t="s">
        <v>15</v>
      </c>
      <c r="G50" s="6" t="s">
        <v>219</v>
      </c>
      <c r="H50" s="2" t="s">
        <v>188</v>
      </c>
      <c r="I50" s="2" t="s">
        <v>189</v>
      </c>
      <c r="J50" s="2" t="s">
        <v>19</v>
      </c>
      <c r="K50" s="2" t="s">
        <v>220</v>
      </c>
      <c r="L50" s="7" t="str">
        <f>HYPERLINK("http://slimages.macys.com/is/image/MCY/9576606 ")</f>
        <v xml:space="preserve">http://slimages.macys.com/is/image/MCY/9576606 </v>
      </c>
    </row>
    <row r="51" spans="1:12" ht="24.75" x14ac:dyDescent="0.25">
      <c r="A51" s="4" t="s">
        <v>221</v>
      </c>
      <c r="B51" s="2" t="s">
        <v>222</v>
      </c>
      <c r="C51" s="3">
        <v>1</v>
      </c>
      <c r="D51" s="5">
        <v>79.5</v>
      </c>
      <c r="E51" s="3" t="s">
        <v>223</v>
      </c>
      <c r="F51" s="2" t="s">
        <v>74</v>
      </c>
      <c r="G51" s="6" t="s">
        <v>126</v>
      </c>
      <c r="H51" s="2" t="s">
        <v>127</v>
      </c>
      <c r="I51" s="2" t="s">
        <v>128</v>
      </c>
      <c r="J51" s="2" t="s">
        <v>19</v>
      </c>
      <c r="K51" s="2" t="s">
        <v>34</v>
      </c>
      <c r="L51" s="7" t="str">
        <f>HYPERLINK("http://slimages.macys.com/is/image/MCY/13838292 ")</f>
        <v xml:space="preserve">http://slimages.macys.com/is/image/MCY/13838292 </v>
      </c>
    </row>
    <row r="52" spans="1:12" ht="48.75" x14ac:dyDescent="0.25">
      <c r="A52" s="4" t="s">
        <v>224</v>
      </c>
      <c r="B52" s="2" t="s">
        <v>192</v>
      </c>
      <c r="C52" s="3">
        <v>1</v>
      </c>
      <c r="D52" s="5">
        <v>59.5</v>
      </c>
      <c r="E52" s="3">
        <v>100036287</v>
      </c>
      <c r="F52" s="2" t="s">
        <v>225</v>
      </c>
      <c r="G52" s="6" t="s">
        <v>154</v>
      </c>
      <c r="H52" s="2" t="s">
        <v>194</v>
      </c>
      <c r="I52" s="2" t="s">
        <v>195</v>
      </c>
      <c r="J52" s="2" t="s">
        <v>19</v>
      </c>
      <c r="K52" s="2" t="s">
        <v>196</v>
      </c>
      <c r="L52" s="7" t="str">
        <f>HYPERLINK("http://slimages.macys.com/is/image/MCY/13121038 ")</f>
        <v xml:space="preserve">http://slimages.macys.com/is/image/MCY/13121038 </v>
      </c>
    </row>
    <row r="53" spans="1:12" ht="24.75" x14ac:dyDescent="0.25">
      <c r="A53" s="4" t="s">
        <v>226</v>
      </c>
      <c r="B53" s="2" t="s">
        <v>227</v>
      </c>
      <c r="C53" s="3">
        <v>1</v>
      </c>
      <c r="D53" s="5">
        <v>51.75</v>
      </c>
      <c r="E53" s="3">
        <v>100069439</v>
      </c>
      <c r="F53" s="2" t="s">
        <v>33</v>
      </c>
      <c r="G53" s="6" t="s">
        <v>181</v>
      </c>
      <c r="H53" s="2" t="s">
        <v>228</v>
      </c>
      <c r="I53" s="2" t="s">
        <v>229</v>
      </c>
      <c r="J53" s="2" t="s">
        <v>19</v>
      </c>
      <c r="K53" s="2" t="s">
        <v>230</v>
      </c>
      <c r="L53" s="7" t="str">
        <f>HYPERLINK("http://slimages.macys.com/is/image/MCY/12667207 ")</f>
        <v xml:space="preserve">http://slimages.macys.com/is/image/MCY/12667207 </v>
      </c>
    </row>
    <row r="54" spans="1:12" x14ac:dyDescent="0.25">
      <c r="A54" s="4" t="s">
        <v>231</v>
      </c>
      <c r="B54" s="2" t="s">
        <v>178</v>
      </c>
      <c r="C54" s="3">
        <v>1</v>
      </c>
      <c r="D54" s="5">
        <v>55.65</v>
      </c>
      <c r="E54" s="3" t="s">
        <v>179</v>
      </c>
      <c r="F54" s="2" t="s">
        <v>74</v>
      </c>
      <c r="G54" s="6" t="s">
        <v>200</v>
      </c>
      <c r="H54" s="2" t="s">
        <v>182</v>
      </c>
      <c r="I54" s="2" t="s">
        <v>183</v>
      </c>
      <c r="J54" s="2" t="s">
        <v>19</v>
      </c>
      <c r="K54" s="2" t="s">
        <v>34</v>
      </c>
      <c r="L54" s="7" t="str">
        <f>HYPERLINK("http://slimages.macys.com/is/image/MCY/12935648 ")</f>
        <v xml:space="preserve">http://slimages.macys.com/is/image/MCY/12935648 </v>
      </c>
    </row>
    <row r="55" spans="1:12" x14ac:dyDescent="0.25">
      <c r="A55" s="4" t="s">
        <v>232</v>
      </c>
      <c r="B55" s="2" t="s">
        <v>178</v>
      </c>
      <c r="C55" s="3">
        <v>1</v>
      </c>
      <c r="D55" s="5">
        <v>55.65</v>
      </c>
      <c r="E55" s="3" t="s">
        <v>179</v>
      </c>
      <c r="F55" s="2" t="s">
        <v>74</v>
      </c>
      <c r="G55" s="6" t="s">
        <v>181</v>
      </c>
      <c r="H55" s="2" t="s">
        <v>182</v>
      </c>
      <c r="I55" s="2" t="s">
        <v>183</v>
      </c>
      <c r="J55" s="2" t="s">
        <v>19</v>
      </c>
      <c r="K55" s="2" t="s">
        <v>34</v>
      </c>
      <c r="L55" s="7" t="str">
        <f>HYPERLINK("http://slimages.macys.com/is/image/MCY/12935648 ")</f>
        <v xml:space="preserve">http://slimages.macys.com/is/image/MCY/12935648 </v>
      </c>
    </row>
    <row r="56" spans="1:12" x14ac:dyDescent="0.25">
      <c r="A56" s="4" t="s">
        <v>233</v>
      </c>
      <c r="B56" s="2" t="s">
        <v>178</v>
      </c>
      <c r="C56" s="3">
        <v>1</v>
      </c>
      <c r="D56" s="5">
        <v>55.65</v>
      </c>
      <c r="E56" s="3" t="s">
        <v>179</v>
      </c>
      <c r="F56" s="2" t="s">
        <v>74</v>
      </c>
      <c r="G56" s="6" t="s">
        <v>234</v>
      </c>
      <c r="H56" s="2" t="s">
        <v>182</v>
      </c>
      <c r="I56" s="2" t="s">
        <v>183</v>
      </c>
      <c r="J56" s="2" t="s">
        <v>19</v>
      </c>
      <c r="K56" s="2" t="s">
        <v>34</v>
      </c>
      <c r="L56" s="7" t="str">
        <f>HYPERLINK("http://slimages.macys.com/is/image/MCY/12935648 ")</f>
        <v xml:space="preserve">http://slimages.macys.com/is/image/MCY/12935648 </v>
      </c>
    </row>
    <row r="57" spans="1:12" ht="24.75" x14ac:dyDescent="0.25">
      <c r="A57" s="4" t="s">
        <v>235</v>
      </c>
      <c r="B57" s="2" t="s">
        <v>236</v>
      </c>
      <c r="C57" s="3">
        <v>1</v>
      </c>
      <c r="D57" s="5">
        <v>59.63</v>
      </c>
      <c r="E57" s="3" t="s">
        <v>237</v>
      </c>
      <c r="F57" s="2" t="s">
        <v>64</v>
      </c>
      <c r="G57" s="6" t="s">
        <v>238</v>
      </c>
      <c r="H57" s="2" t="s">
        <v>188</v>
      </c>
      <c r="I57" s="2" t="s">
        <v>189</v>
      </c>
      <c r="J57" s="2" t="s">
        <v>19</v>
      </c>
      <c r="K57" s="2" t="s">
        <v>34</v>
      </c>
      <c r="L57" s="7" t="str">
        <f>HYPERLINK("http://slimages.macys.com/is/image/MCY/12268114 ")</f>
        <v xml:space="preserve">http://slimages.macys.com/is/image/MCY/12268114 </v>
      </c>
    </row>
    <row r="58" spans="1:12" ht="24.75" x14ac:dyDescent="0.25">
      <c r="A58" s="4" t="s">
        <v>239</v>
      </c>
      <c r="B58" s="2" t="s">
        <v>240</v>
      </c>
      <c r="C58" s="3">
        <v>1</v>
      </c>
      <c r="D58" s="5">
        <v>59.63</v>
      </c>
      <c r="E58" s="3">
        <v>100047702</v>
      </c>
      <c r="F58" s="2" t="s">
        <v>64</v>
      </c>
      <c r="G58" s="6" t="s">
        <v>181</v>
      </c>
      <c r="H58" s="2" t="s">
        <v>194</v>
      </c>
      <c r="I58" s="2" t="s">
        <v>195</v>
      </c>
      <c r="J58" s="2" t="s">
        <v>19</v>
      </c>
      <c r="K58" s="2" t="s">
        <v>241</v>
      </c>
      <c r="L58" s="7" t="str">
        <f>HYPERLINK("http://slimages.macys.com/is/image/MCY/11935608 ")</f>
        <v xml:space="preserve">http://slimages.macys.com/is/image/MCY/11935608 </v>
      </c>
    </row>
    <row r="59" spans="1:12" ht="24.75" x14ac:dyDescent="0.25">
      <c r="A59" s="4" t="s">
        <v>242</v>
      </c>
      <c r="B59" s="2" t="s">
        <v>243</v>
      </c>
      <c r="C59" s="3">
        <v>1</v>
      </c>
      <c r="D59" s="5">
        <v>67.13</v>
      </c>
      <c r="E59" s="3" t="s">
        <v>244</v>
      </c>
      <c r="F59" s="2" t="s">
        <v>64</v>
      </c>
      <c r="G59" s="6" t="s">
        <v>245</v>
      </c>
      <c r="H59" s="2" t="s">
        <v>246</v>
      </c>
      <c r="I59" s="2" t="s">
        <v>189</v>
      </c>
      <c r="J59" s="2" t="s">
        <v>19</v>
      </c>
      <c r="K59" s="2" t="s">
        <v>247</v>
      </c>
      <c r="L59" s="7" t="str">
        <f>HYPERLINK("http://slimages.macys.com/is/image/MCY/11807730 ")</f>
        <v xml:space="preserve">http://slimages.macys.com/is/image/MCY/11807730 </v>
      </c>
    </row>
    <row r="60" spans="1:12" ht="24.75" x14ac:dyDescent="0.25">
      <c r="A60" s="4" t="s">
        <v>248</v>
      </c>
      <c r="B60" s="2" t="s">
        <v>243</v>
      </c>
      <c r="C60" s="3">
        <v>1</v>
      </c>
      <c r="D60" s="5">
        <v>67.13</v>
      </c>
      <c r="E60" s="3" t="s">
        <v>244</v>
      </c>
      <c r="F60" s="2" t="s">
        <v>64</v>
      </c>
      <c r="G60" s="6" t="s">
        <v>156</v>
      </c>
      <c r="H60" s="2" t="s">
        <v>246</v>
      </c>
      <c r="I60" s="2" t="s">
        <v>189</v>
      </c>
      <c r="J60" s="2" t="s">
        <v>19</v>
      </c>
      <c r="K60" s="2" t="s">
        <v>247</v>
      </c>
      <c r="L60" s="7" t="str">
        <f>HYPERLINK("http://slimages.macys.com/is/image/MCY/11807730 ")</f>
        <v xml:space="preserve">http://slimages.macys.com/is/image/MCY/11807730 </v>
      </c>
    </row>
    <row r="61" spans="1:12" ht="24.75" x14ac:dyDescent="0.25">
      <c r="A61" s="4" t="s">
        <v>249</v>
      </c>
      <c r="B61" s="2" t="s">
        <v>250</v>
      </c>
      <c r="C61" s="3">
        <v>1</v>
      </c>
      <c r="D61" s="5">
        <v>52.13</v>
      </c>
      <c r="E61" s="3" t="s">
        <v>251</v>
      </c>
      <c r="F61" s="2" t="s">
        <v>252</v>
      </c>
      <c r="G61" s="6" t="s">
        <v>112</v>
      </c>
      <c r="H61" s="2" t="s">
        <v>213</v>
      </c>
      <c r="I61" s="2" t="s">
        <v>214</v>
      </c>
      <c r="J61" s="2" t="s">
        <v>19</v>
      </c>
      <c r="K61" s="2" t="s">
        <v>253</v>
      </c>
      <c r="L61" s="7" t="str">
        <f>HYPERLINK("http://slimages.macys.com/is/image/MCY/12272766 ")</f>
        <v xml:space="preserve">http://slimages.macys.com/is/image/MCY/12272766 </v>
      </c>
    </row>
    <row r="62" spans="1:12" ht="24.75" x14ac:dyDescent="0.25">
      <c r="A62" s="4" t="s">
        <v>254</v>
      </c>
      <c r="B62" s="2" t="s">
        <v>255</v>
      </c>
      <c r="C62" s="3">
        <v>1</v>
      </c>
      <c r="D62" s="5">
        <v>62.15</v>
      </c>
      <c r="E62" s="3" t="s">
        <v>256</v>
      </c>
      <c r="F62" s="2" t="s">
        <v>257</v>
      </c>
      <c r="G62" s="6" t="s">
        <v>234</v>
      </c>
      <c r="H62" s="2" t="s">
        <v>182</v>
      </c>
      <c r="I62" s="2" t="s">
        <v>183</v>
      </c>
      <c r="J62" s="2" t="s">
        <v>19</v>
      </c>
      <c r="K62" s="2" t="s">
        <v>258</v>
      </c>
      <c r="L62" s="7" t="str">
        <f>HYPERLINK("http://slimages.macys.com/is/image/MCY/12851794 ")</f>
        <v xml:space="preserve">http://slimages.macys.com/is/image/MCY/12851794 </v>
      </c>
    </row>
    <row r="63" spans="1:12" ht="24.75" x14ac:dyDescent="0.25">
      <c r="A63" s="4" t="s">
        <v>259</v>
      </c>
      <c r="B63" s="2" t="s">
        <v>255</v>
      </c>
      <c r="C63" s="3">
        <v>1</v>
      </c>
      <c r="D63" s="5">
        <v>62.15</v>
      </c>
      <c r="E63" s="3" t="s">
        <v>256</v>
      </c>
      <c r="F63" s="2" t="s">
        <v>26</v>
      </c>
      <c r="G63" s="6" t="s">
        <v>156</v>
      </c>
      <c r="H63" s="2" t="s">
        <v>182</v>
      </c>
      <c r="I63" s="2" t="s">
        <v>183</v>
      </c>
      <c r="J63" s="2" t="s">
        <v>19</v>
      </c>
      <c r="K63" s="2" t="s">
        <v>258</v>
      </c>
      <c r="L63" s="7" t="str">
        <f>HYPERLINK("http://slimages.macys.com/is/image/MCY/12851794 ")</f>
        <v xml:space="preserve">http://slimages.macys.com/is/image/MCY/12851794 </v>
      </c>
    </row>
    <row r="64" spans="1:12" ht="24.75" x14ac:dyDescent="0.25">
      <c r="A64" s="4" t="s">
        <v>260</v>
      </c>
      <c r="B64" s="2" t="s">
        <v>261</v>
      </c>
      <c r="C64" s="3">
        <v>1</v>
      </c>
      <c r="D64" s="5">
        <v>52.13</v>
      </c>
      <c r="E64" s="3" t="s">
        <v>262</v>
      </c>
      <c r="F64" s="2" t="s">
        <v>33</v>
      </c>
      <c r="G64" s="6"/>
      <c r="H64" s="2" t="s">
        <v>188</v>
      </c>
      <c r="I64" s="2" t="s">
        <v>189</v>
      </c>
      <c r="J64" s="2" t="s">
        <v>19</v>
      </c>
      <c r="K64" s="2" t="s">
        <v>263</v>
      </c>
      <c r="L64" s="7" t="str">
        <f>HYPERLINK("http://slimages.macys.com/is/image/MCY/11975609 ")</f>
        <v xml:space="preserve">http://slimages.macys.com/is/image/MCY/11975609 </v>
      </c>
    </row>
    <row r="65" spans="1:12" ht="24.75" x14ac:dyDescent="0.25">
      <c r="A65" s="4" t="s">
        <v>264</v>
      </c>
      <c r="B65" s="2" t="s">
        <v>265</v>
      </c>
      <c r="C65" s="3">
        <v>1</v>
      </c>
      <c r="D65" s="5">
        <v>99.5</v>
      </c>
      <c r="E65" s="3" t="s">
        <v>266</v>
      </c>
      <c r="F65" s="2" t="s">
        <v>70</v>
      </c>
      <c r="G65" s="6"/>
      <c r="H65" s="2" t="s">
        <v>206</v>
      </c>
      <c r="I65" s="2" t="s">
        <v>207</v>
      </c>
      <c r="J65" s="2" t="s">
        <v>19</v>
      </c>
      <c r="K65" s="2" t="s">
        <v>267</v>
      </c>
      <c r="L65" s="7" t="str">
        <f>HYPERLINK("http://slimages.macys.com/is/image/MCY/11495688 ")</f>
        <v xml:space="preserve">http://slimages.macys.com/is/image/MCY/11495688 </v>
      </c>
    </row>
    <row r="66" spans="1:12" ht="24.75" x14ac:dyDescent="0.25">
      <c r="A66" s="4" t="s">
        <v>268</v>
      </c>
      <c r="B66" s="2" t="s">
        <v>269</v>
      </c>
      <c r="C66" s="3">
        <v>1</v>
      </c>
      <c r="D66" s="5">
        <v>50.65</v>
      </c>
      <c r="E66" s="3" t="s">
        <v>270</v>
      </c>
      <c r="F66" s="2" t="s">
        <v>252</v>
      </c>
      <c r="G66" s="6" t="s">
        <v>245</v>
      </c>
      <c r="H66" s="2" t="s">
        <v>182</v>
      </c>
      <c r="I66" s="2" t="s">
        <v>183</v>
      </c>
      <c r="J66" s="2" t="s">
        <v>19</v>
      </c>
      <c r="K66" s="2" t="s">
        <v>208</v>
      </c>
      <c r="L66" s="7" t="str">
        <f>HYPERLINK("http://slimages.macys.com/is/image/MCY/12465152 ")</f>
        <v xml:space="preserve">http://slimages.macys.com/is/image/MCY/12465152 </v>
      </c>
    </row>
    <row r="67" spans="1:12" ht="36.75" x14ac:dyDescent="0.25">
      <c r="A67" s="4" t="s">
        <v>271</v>
      </c>
      <c r="B67" s="2" t="s">
        <v>272</v>
      </c>
      <c r="C67" s="3">
        <v>1</v>
      </c>
      <c r="D67" s="5">
        <v>99.5</v>
      </c>
      <c r="E67" s="3" t="s">
        <v>273</v>
      </c>
      <c r="F67" s="2" t="s">
        <v>15</v>
      </c>
      <c r="G67" s="6" t="s">
        <v>187</v>
      </c>
      <c r="H67" s="2" t="s">
        <v>206</v>
      </c>
      <c r="I67" s="2" t="s">
        <v>207</v>
      </c>
      <c r="J67" s="2" t="s">
        <v>19</v>
      </c>
      <c r="K67" s="2" t="s">
        <v>274</v>
      </c>
      <c r="L67" s="7" t="str">
        <f>HYPERLINK("http://slimages.macys.com/is/image/MCY/12387675 ")</f>
        <v xml:space="preserve">http://slimages.macys.com/is/image/MCY/12387675 </v>
      </c>
    </row>
    <row r="68" spans="1:12" ht="24.75" x14ac:dyDescent="0.25">
      <c r="A68" s="4" t="s">
        <v>275</v>
      </c>
      <c r="B68" s="2" t="s">
        <v>276</v>
      </c>
      <c r="C68" s="3">
        <v>1</v>
      </c>
      <c r="D68" s="5">
        <v>62.65</v>
      </c>
      <c r="E68" s="3" t="s">
        <v>277</v>
      </c>
      <c r="F68" s="2" t="s">
        <v>257</v>
      </c>
      <c r="G68" s="6" t="s">
        <v>245</v>
      </c>
      <c r="H68" s="2" t="s">
        <v>182</v>
      </c>
      <c r="I68" s="2" t="s">
        <v>183</v>
      </c>
      <c r="J68" s="2" t="s">
        <v>19</v>
      </c>
      <c r="K68" s="2" t="s">
        <v>208</v>
      </c>
      <c r="L68" s="7" t="str">
        <f>HYPERLINK("http://slimages.macys.com/is/image/MCY/12670890 ")</f>
        <v xml:space="preserve">http://slimages.macys.com/is/image/MCY/12670890 </v>
      </c>
    </row>
    <row r="69" spans="1:12" ht="24.75" x14ac:dyDescent="0.25">
      <c r="A69" s="4" t="s">
        <v>278</v>
      </c>
      <c r="B69" s="2" t="s">
        <v>279</v>
      </c>
      <c r="C69" s="3">
        <v>1</v>
      </c>
      <c r="D69" s="5">
        <v>69.5</v>
      </c>
      <c r="E69" s="3" t="s">
        <v>280</v>
      </c>
      <c r="F69" s="2" t="s">
        <v>15</v>
      </c>
      <c r="G69" s="6" t="s">
        <v>187</v>
      </c>
      <c r="H69" s="2" t="s">
        <v>127</v>
      </c>
      <c r="I69" s="2" t="s">
        <v>128</v>
      </c>
      <c r="J69" s="2" t="s">
        <v>19</v>
      </c>
      <c r="K69" s="2" t="s">
        <v>34</v>
      </c>
      <c r="L69" s="7" t="str">
        <f>HYPERLINK("http://slimages.macys.com/is/image/MCY/12549690 ")</f>
        <v xml:space="preserve">http://slimages.macys.com/is/image/MCY/12549690 </v>
      </c>
    </row>
    <row r="70" spans="1:12" ht="24.75" x14ac:dyDescent="0.25">
      <c r="A70" s="4" t="s">
        <v>281</v>
      </c>
      <c r="B70" s="2" t="s">
        <v>282</v>
      </c>
      <c r="C70" s="3">
        <v>1</v>
      </c>
      <c r="D70" s="5">
        <v>44.63</v>
      </c>
      <c r="E70" s="3" t="s">
        <v>283</v>
      </c>
      <c r="F70" s="2" t="s">
        <v>111</v>
      </c>
      <c r="G70" s="6" t="s">
        <v>154</v>
      </c>
      <c r="H70" s="2" t="s">
        <v>284</v>
      </c>
      <c r="I70" s="2" t="s">
        <v>285</v>
      </c>
      <c r="J70" s="2" t="s">
        <v>19</v>
      </c>
      <c r="K70" s="2" t="s">
        <v>286</v>
      </c>
      <c r="L70" s="7" t="str">
        <f>HYPERLINK("http://slimages.macys.com/is/image/MCY/11859243 ")</f>
        <v xml:space="preserve">http://slimages.macys.com/is/image/MCY/11859243 </v>
      </c>
    </row>
    <row r="71" spans="1:12" ht="24.75" x14ac:dyDescent="0.25">
      <c r="A71" s="4" t="s">
        <v>287</v>
      </c>
      <c r="B71" s="2" t="s">
        <v>288</v>
      </c>
      <c r="C71" s="3">
        <v>1</v>
      </c>
      <c r="D71" s="5">
        <v>52.13</v>
      </c>
      <c r="E71" s="3" t="s">
        <v>289</v>
      </c>
      <c r="F71" s="2" t="s">
        <v>74</v>
      </c>
      <c r="G71" s="6" t="s">
        <v>234</v>
      </c>
      <c r="H71" s="2" t="s">
        <v>194</v>
      </c>
      <c r="I71" s="2" t="s">
        <v>195</v>
      </c>
      <c r="J71" s="2" t="s">
        <v>19</v>
      </c>
      <c r="K71" s="2" t="s">
        <v>247</v>
      </c>
      <c r="L71" s="7" t="str">
        <f>HYPERLINK("http://slimages.macys.com/is/image/MCY/12849982 ")</f>
        <v xml:space="preserve">http://slimages.macys.com/is/image/MCY/12849982 </v>
      </c>
    </row>
    <row r="72" spans="1:12" ht="24.75" x14ac:dyDescent="0.25">
      <c r="A72" s="4" t="s">
        <v>290</v>
      </c>
      <c r="B72" s="2" t="s">
        <v>288</v>
      </c>
      <c r="C72" s="3">
        <v>3</v>
      </c>
      <c r="D72" s="5">
        <v>52.13</v>
      </c>
      <c r="E72" s="3" t="s">
        <v>289</v>
      </c>
      <c r="F72" s="2" t="s">
        <v>74</v>
      </c>
      <c r="G72" s="6" t="s">
        <v>181</v>
      </c>
      <c r="H72" s="2" t="s">
        <v>194</v>
      </c>
      <c r="I72" s="2" t="s">
        <v>195</v>
      </c>
      <c r="J72" s="2" t="s">
        <v>19</v>
      </c>
      <c r="K72" s="2" t="s">
        <v>247</v>
      </c>
      <c r="L72" s="7" t="str">
        <f>HYPERLINK("http://slimages.macys.com/is/image/MCY/12849982 ")</f>
        <v xml:space="preserve">http://slimages.macys.com/is/image/MCY/12849982 </v>
      </c>
    </row>
    <row r="73" spans="1:12" ht="24.75" x14ac:dyDescent="0.25">
      <c r="A73" s="4" t="s">
        <v>291</v>
      </c>
      <c r="B73" s="2" t="s">
        <v>288</v>
      </c>
      <c r="C73" s="3">
        <v>2</v>
      </c>
      <c r="D73" s="5">
        <v>52.13</v>
      </c>
      <c r="E73" s="3" t="s">
        <v>289</v>
      </c>
      <c r="F73" s="2" t="s">
        <v>74</v>
      </c>
      <c r="G73" s="6" t="s">
        <v>154</v>
      </c>
      <c r="H73" s="2" t="s">
        <v>194</v>
      </c>
      <c r="I73" s="2" t="s">
        <v>195</v>
      </c>
      <c r="J73" s="2" t="s">
        <v>19</v>
      </c>
      <c r="K73" s="2" t="s">
        <v>247</v>
      </c>
      <c r="L73" s="7" t="str">
        <f>HYPERLINK("http://slimages.macys.com/is/image/MCY/12849982 ")</f>
        <v xml:space="preserve">http://slimages.macys.com/is/image/MCY/12849982 </v>
      </c>
    </row>
    <row r="74" spans="1:12" ht="24.75" x14ac:dyDescent="0.25">
      <c r="A74" s="4" t="s">
        <v>292</v>
      </c>
      <c r="B74" s="2" t="s">
        <v>293</v>
      </c>
      <c r="C74" s="3">
        <v>1</v>
      </c>
      <c r="D74" s="5">
        <v>52.13</v>
      </c>
      <c r="E74" s="3" t="s">
        <v>294</v>
      </c>
      <c r="F74" s="2" t="s">
        <v>26</v>
      </c>
      <c r="G74" s="6" t="s">
        <v>154</v>
      </c>
      <c r="H74" s="2" t="s">
        <v>194</v>
      </c>
      <c r="I74" s="2" t="s">
        <v>195</v>
      </c>
      <c r="J74" s="2" t="s">
        <v>19</v>
      </c>
      <c r="K74" s="2" t="s">
        <v>160</v>
      </c>
      <c r="L74" s="7" t="str">
        <f>HYPERLINK("http://slimages.macys.com/is/image/MCY/12143831 ")</f>
        <v xml:space="preserve">http://slimages.macys.com/is/image/MCY/12143831 </v>
      </c>
    </row>
    <row r="75" spans="1:12" ht="24.75" x14ac:dyDescent="0.25">
      <c r="A75" s="4" t="s">
        <v>295</v>
      </c>
      <c r="B75" s="2" t="s">
        <v>288</v>
      </c>
      <c r="C75" s="3">
        <v>1</v>
      </c>
      <c r="D75" s="5">
        <v>52.13</v>
      </c>
      <c r="E75" s="3" t="s">
        <v>289</v>
      </c>
      <c r="F75" s="2" t="s">
        <v>74</v>
      </c>
      <c r="G75" s="6" t="s">
        <v>200</v>
      </c>
      <c r="H75" s="2" t="s">
        <v>194</v>
      </c>
      <c r="I75" s="2" t="s">
        <v>195</v>
      </c>
      <c r="J75" s="2" t="s">
        <v>19</v>
      </c>
      <c r="K75" s="2" t="s">
        <v>247</v>
      </c>
      <c r="L75" s="7" t="str">
        <f>HYPERLINK("http://slimages.macys.com/is/image/MCY/12849982 ")</f>
        <v xml:space="preserve">http://slimages.macys.com/is/image/MCY/12849982 </v>
      </c>
    </row>
    <row r="76" spans="1:12" ht="24.75" x14ac:dyDescent="0.25">
      <c r="A76" s="4" t="s">
        <v>296</v>
      </c>
      <c r="B76" s="2" t="s">
        <v>297</v>
      </c>
      <c r="C76" s="3">
        <v>1</v>
      </c>
      <c r="D76" s="5">
        <v>59.63</v>
      </c>
      <c r="E76" s="3" t="s">
        <v>298</v>
      </c>
      <c r="F76" s="2" t="s">
        <v>74</v>
      </c>
      <c r="G76" s="6" t="s">
        <v>58</v>
      </c>
      <c r="H76" s="2" t="s">
        <v>246</v>
      </c>
      <c r="I76" s="2" t="s">
        <v>189</v>
      </c>
      <c r="J76" s="2" t="s">
        <v>19</v>
      </c>
      <c r="K76" s="2" t="s">
        <v>208</v>
      </c>
      <c r="L76" s="7" t="str">
        <f>HYPERLINK("http://slimages.macys.com/is/image/MCY/12158412 ")</f>
        <v xml:space="preserve">http://slimages.macys.com/is/image/MCY/12158412 </v>
      </c>
    </row>
    <row r="77" spans="1:12" ht="24.75" x14ac:dyDescent="0.25">
      <c r="A77" s="4" t="s">
        <v>299</v>
      </c>
      <c r="B77" s="2" t="s">
        <v>300</v>
      </c>
      <c r="C77" s="3">
        <v>1</v>
      </c>
      <c r="D77" s="5">
        <v>44.63</v>
      </c>
      <c r="E77" s="3">
        <v>100047682</v>
      </c>
      <c r="F77" s="2" t="s">
        <v>74</v>
      </c>
      <c r="G77" s="6" t="s">
        <v>181</v>
      </c>
      <c r="H77" s="2" t="s">
        <v>194</v>
      </c>
      <c r="I77" s="2" t="s">
        <v>195</v>
      </c>
      <c r="J77" s="2" t="s">
        <v>19</v>
      </c>
      <c r="K77" s="2" t="s">
        <v>301</v>
      </c>
      <c r="L77" s="7" t="str">
        <f>HYPERLINK("http://slimages.macys.com/is/image/MCY/12063734 ")</f>
        <v xml:space="preserve">http://slimages.macys.com/is/image/MCY/12063734 </v>
      </c>
    </row>
    <row r="78" spans="1:12" ht="24.75" x14ac:dyDescent="0.25">
      <c r="A78" s="4" t="s">
        <v>302</v>
      </c>
      <c r="B78" s="2" t="s">
        <v>303</v>
      </c>
      <c r="C78" s="3">
        <v>1</v>
      </c>
      <c r="D78" s="5">
        <v>44.63</v>
      </c>
      <c r="E78" s="3">
        <v>100055545</v>
      </c>
      <c r="F78" s="2" t="s">
        <v>225</v>
      </c>
      <c r="G78" s="6" t="s">
        <v>200</v>
      </c>
      <c r="H78" s="2" t="s">
        <v>194</v>
      </c>
      <c r="I78" s="2" t="s">
        <v>195</v>
      </c>
      <c r="J78" s="2" t="s">
        <v>19</v>
      </c>
      <c r="K78" s="2" t="s">
        <v>301</v>
      </c>
      <c r="L78" s="7" t="str">
        <f>HYPERLINK("http://slimages.macys.com/is/image/MCY/12279797 ")</f>
        <v xml:space="preserve">http://slimages.macys.com/is/image/MCY/12279797 </v>
      </c>
    </row>
    <row r="79" spans="1:12" ht="24.75" x14ac:dyDescent="0.25">
      <c r="A79" s="4" t="s">
        <v>304</v>
      </c>
      <c r="B79" s="2" t="s">
        <v>305</v>
      </c>
      <c r="C79" s="3">
        <v>1</v>
      </c>
      <c r="D79" s="5">
        <v>52.13</v>
      </c>
      <c r="E79" s="3" t="s">
        <v>306</v>
      </c>
      <c r="F79" s="2" t="s">
        <v>74</v>
      </c>
      <c r="G79" s="6" t="s">
        <v>200</v>
      </c>
      <c r="H79" s="2" t="s">
        <v>194</v>
      </c>
      <c r="I79" s="2" t="s">
        <v>307</v>
      </c>
      <c r="J79" s="2" t="s">
        <v>19</v>
      </c>
      <c r="K79" s="2" t="s">
        <v>247</v>
      </c>
      <c r="L79" s="7" t="str">
        <f>HYPERLINK("http://slimages.macys.com/is/image/MCY/11937882 ")</f>
        <v xml:space="preserve">http://slimages.macys.com/is/image/MCY/11937882 </v>
      </c>
    </row>
    <row r="80" spans="1:12" ht="24.75" x14ac:dyDescent="0.25">
      <c r="A80" s="4" t="s">
        <v>308</v>
      </c>
      <c r="B80" s="2" t="s">
        <v>305</v>
      </c>
      <c r="C80" s="3">
        <v>4</v>
      </c>
      <c r="D80" s="5">
        <v>52.13</v>
      </c>
      <c r="E80" s="3" t="s">
        <v>306</v>
      </c>
      <c r="F80" s="2" t="s">
        <v>74</v>
      </c>
      <c r="G80" s="6" t="s">
        <v>154</v>
      </c>
      <c r="H80" s="2" t="s">
        <v>194</v>
      </c>
      <c r="I80" s="2" t="s">
        <v>307</v>
      </c>
      <c r="J80" s="2" t="s">
        <v>19</v>
      </c>
      <c r="K80" s="2" t="s">
        <v>247</v>
      </c>
      <c r="L80" s="7" t="str">
        <f>HYPERLINK("http://slimages.macys.com/is/image/MCY/11937882 ")</f>
        <v xml:space="preserve">http://slimages.macys.com/is/image/MCY/11937882 </v>
      </c>
    </row>
    <row r="81" spans="1:12" ht="24.75" x14ac:dyDescent="0.25">
      <c r="A81" s="4" t="s">
        <v>309</v>
      </c>
      <c r="B81" s="2" t="s">
        <v>310</v>
      </c>
      <c r="C81" s="3">
        <v>1</v>
      </c>
      <c r="D81" s="5">
        <v>52.13</v>
      </c>
      <c r="E81" s="3" t="s">
        <v>311</v>
      </c>
      <c r="F81" s="2" t="s">
        <v>74</v>
      </c>
      <c r="G81" s="6"/>
      <c r="H81" s="2" t="s">
        <v>312</v>
      </c>
      <c r="I81" s="2" t="s">
        <v>307</v>
      </c>
      <c r="J81" s="2" t="s">
        <v>19</v>
      </c>
      <c r="K81" s="2" t="s">
        <v>247</v>
      </c>
      <c r="L81" s="7" t="str">
        <f>HYPERLINK("http://slimages.macys.com/is/image/MCY/11937882 ")</f>
        <v xml:space="preserve">http://slimages.macys.com/is/image/MCY/11937882 </v>
      </c>
    </row>
    <row r="82" spans="1:12" ht="24.75" x14ac:dyDescent="0.25">
      <c r="A82" s="4" t="s">
        <v>313</v>
      </c>
      <c r="B82" s="2" t="s">
        <v>314</v>
      </c>
      <c r="C82" s="3">
        <v>1</v>
      </c>
      <c r="D82" s="5">
        <v>52.13</v>
      </c>
      <c r="E82" s="3" t="s">
        <v>315</v>
      </c>
      <c r="F82" s="2" t="s">
        <v>26</v>
      </c>
      <c r="G82" s="6" t="s">
        <v>106</v>
      </c>
      <c r="H82" s="2" t="s">
        <v>213</v>
      </c>
      <c r="I82" s="2" t="s">
        <v>214</v>
      </c>
      <c r="J82" s="2" t="s">
        <v>19</v>
      </c>
      <c r="K82" s="2" t="s">
        <v>316</v>
      </c>
      <c r="L82" s="7" t="str">
        <f>HYPERLINK("http://slimages.macys.com/is/image/MCY/12402103 ")</f>
        <v xml:space="preserve">http://slimages.macys.com/is/image/MCY/12402103 </v>
      </c>
    </row>
    <row r="83" spans="1:12" ht="24.75" x14ac:dyDescent="0.25">
      <c r="A83" s="4" t="s">
        <v>317</v>
      </c>
      <c r="B83" s="2" t="s">
        <v>314</v>
      </c>
      <c r="C83" s="3">
        <v>1</v>
      </c>
      <c r="D83" s="5">
        <v>52.13</v>
      </c>
      <c r="E83" s="3" t="s">
        <v>315</v>
      </c>
      <c r="F83" s="2" t="s">
        <v>26</v>
      </c>
      <c r="G83" s="6" t="s">
        <v>112</v>
      </c>
      <c r="H83" s="2" t="s">
        <v>213</v>
      </c>
      <c r="I83" s="2" t="s">
        <v>214</v>
      </c>
      <c r="J83" s="2" t="s">
        <v>19</v>
      </c>
      <c r="K83" s="2" t="s">
        <v>316</v>
      </c>
      <c r="L83" s="7" t="str">
        <f>HYPERLINK("http://slimages.macys.com/is/image/MCY/12402103 ")</f>
        <v xml:space="preserve">http://slimages.macys.com/is/image/MCY/12402103 </v>
      </c>
    </row>
    <row r="84" spans="1:12" ht="24.75" x14ac:dyDescent="0.25">
      <c r="A84" s="4" t="s">
        <v>318</v>
      </c>
      <c r="B84" s="2" t="s">
        <v>319</v>
      </c>
      <c r="C84" s="3">
        <v>1</v>
      </c>
      <c r="D84" s="5">
        <v>44.63</v>
      </c>
      <c r="E84" s="3" t="s">
        <v>320</v>
      </c>
      <c r="F84" s="2" t="s">
        <v>26</v>
      </c>
      <c r="G84" s="6" t="s">
        <v>156</v>
      </c>
      <c r="H84" s="2" t="s">
        <v>194</v>
      </c>
      <c r="I84" s="2" t="s">
        <v>195</v>
      </c>
      <c r="J84" s="2" t="s">
        <v>19</v>
      </c>
      <c r="K84" s="2" t="s">
        <v>107</v>
      </c>
      <c r="L84" s="7" t="str">
        <f>HYPERLINK("http://slimages.macys.com/is/image/MCY/12794080 ")</f>
        <v xml:space="preserve">http://slimages.macys.com/is/image/MCY/12794080 </v>
      </c>
    </row>
    <row r="85" spans="1:12" ht="24.75" x14ac:dyDescent="0.25">
      <c r="A85" s="4" t="s">
        <v>321</v>
      </c>
      <c r="B85" s="2" t="s">
        <v>322</v>
      </c>
      <c r="C85" s="3">
        <v>1</v>
      </c>
      <c r="D85" s="5">
        <v>66.5</v>
      </c>
      <c r="E85" s="3">
        <v>100021857</v>
      </c>
      <c r="F85" s="2" t="s">
        <v>74</v>
      </c>
      <c r="G85" s="6" t="s">
        <v>200</v>
      </c>
      <c r="H85" s="2" t="s">
        <v>246</v>
      </c>
      <c r="I85" s="2" t="s">
        <v>189</v>
      </c>
      <c r="J85" s="2" t="s">
        <v>19</v>
      </c>
      <c r="K85" s="2" t="s">
        <v>323</v>
      </c>
      <c r="L85" s="7" t="str">
        <f>HYPERLINK("http://slimages.macys.com/is/image/MCY/9484303 ")</f>
        <v xml:space="preserve">http://slimages.macys.com/is/image/MCY/9484303 </v>
      </c>
    </row>
    <row r="86" spans="1:12" ht="24.75" x14ac:dyDescent="0.25">
      <c r="A86" s="4" t="s">
        <v>324</v>
      </c>
      <c r="B86" s="2" t="s">
        <v>325</v>
      </c>
      <c r="C86" s="3">
        <v>1</v>
      </c>
      <c r="D86" s="5">
        <v>52.13</v>
      </c>
      <c r="E86" s="3" t="s">
        <v>326</v>
      </c>
      <c r="F86" s="2" t="s">
        <v>74</v>
      </c>
      <c r="G86" s="6"/>
      <c r="H86" s="2" t="s">
        <v>312</v>
      </c>
      <c r="I86" s="2" t="s">
        <v>307</v>
      </c>
      <c r="J86" s="2" t="s">
        <v>19</v>
      </c>
      <c r="K86" s="2" t="s">
        <v>327</v>
      </c>
      <c r="L86" s="7" t="str">
        <f>HYPERLINK("http://slimages.macys.com/is/image/MCY/9484121 ")</f>
        <v xml:space="preserve">http://slimages.macys.com/is/image/MCY/9484121 </v>
      </c>
    </row>
    <row r="87" spans="1:12" ht="24.75" x14ac:dyDescent="0.25">
      <c r="A87" s="4" t="s">
        <v>328</v>
      </c>
      <c r="B87" s="2" t="s">
        <v>329</v>
      </c>
      <c r="C87" s="3">
        <v>1</v>
      </c>
      <c r="D87" s="5">
        <v>59.63</v>
      </c>
      <c r="E87" s="3" t="s">
        <v>330</v>
      </c>
      <c r="F87" s="2" t="s">
        <v>331</v>
      </c>
      <c r="G87" s="6" t="s">
        <v>219</v>
      </c>
      <c r="H87" s="2" t="s">
        <v>188</v>
      </c>
      <c r="I87" s="2" t="s">
        <v>189</v>
      </c>
      <c r="J87" s="2" t="s">
        <v>19</v>
      </c>
      <c r="K87" s="2" t="s">
        <v>332</v>
      </c>
      <c r="L87" s="7" t="str">
        <f>HYPERLINK("http://slimages.macys.com/is/image/MCY/12723020 ")</f>
        <v xml:space="preserve">http://slimages.macys.com/is/image/MCY/12723020 </v>
      </c>
    </row>
    <row r="88" spans="1:12" ht="24.75" x14ac:dyDescent="0.25">
      <c r="A88" s="4" t="s">
        <v>333</v>
      </c>
      <c r="B88" s="2" t="s">
        <v>334</v>
      </c>
      <c r="C88" s="3">
        <v>1</v>
      </c>
      <c r="D88" s="5">
        <v>79.5</v>
      </c>
      <c r="E88" s="3" t="s">
        <v>335</v>
      </c>
      <c r="F88" s="2" t="s">
        <v>64</v>
      </c>
      <c r="G88" s="6" t="s">
        <v>336</v>
      </c>
      <c r="H88" s="2" t="s">
        <v>206</v>
      </c>
      <c r="I88" s="2" t="s">
        <v>337</v>
      </c>
      <c r="J88" s="2" t="s">
        <v>19</v>
      </c>
      <c r="K88" s="2" t="s">
        <v>338</v>
      </c>
      <c r="L88" s="7" t="str">
        <f>HYPERLINK("http://slimages.macys.com/is/image/MCY/12231410 ")</f>
        <v xml:space="preserve">http://slimages.macys.com/is/image/MCY/12231410 </v>
      </c>
    </row>
    <row r="89" spans="1:12" ht="24.75" x14ac:dyDescent="0.25">
      <c r="A89" s="4" t="s">
        <v>339</v>
      </c>
      <c r="B89" s="2" t="s">
        <v>340</v>
      </c>
      <c r="C89" s="3">
        <v>1</v>
      </c>
      <c r="D89" s="5">
        <v>44.63</v>
      </c>
      <c r="E89" s="3" t="s">
        <v>341</v>
      </c>
      <c r="F89" s="2" t="s">
        <v>15</v>
      </c>
      <c r="G89" s="6" t="s">
        <v>156</v>
      </c>
      <c r="H89" s="2" t="s">
        <v>194</v>
      </c>
      <c r="I89" s="2" t="s">
        <v>195</v>
      </c>
      <c r="J89" s="2" t="s">
        <v>19</v>
      </c>
      <c r="K89" s="2" t="s">
        <v>201</v>
      </c>
      <c r="L89" s="7" t="str">
        <f>HYPERLINK("http://slimages.macys.com/is/image/MCY/12794062 ")</f>
        <v xml:space="preserve">http://slimages.macys.com/is/image/MCY/12794062 </v>
      </c>
    </row>
    <row r="90" spans="1:12" x14ac:dyDescent="0.25">
      <c r="A90" s="4" t="s">
        <v>342</v>
      </c>
      <c r="B90" s="2" t="s">
        <v>343</v>
      </c>
      <c r="C90" s="3">
        <v>1</v>
      </c>
      <c r="D90" s="5">
        <v>89.5</v>
      </c>
      <c r="E90" s="3" t="s">
        <v>344</v>
      </c>
      <c r="F90" s="2" t="s">
        <v>111</v>
      </c>
      <c r="G90" s="6"/>
      <c r="H90" s="2" t="s">
        <v>206</v>
      </c>
      <c r="I90" s="2" t="s">
        <v>207</v>
      </c>
      <c r="J90" s="2" t="s">
        <v>19</v>
      </c>
      <c r="K90" s="2" t="s">
        <v>201</v>
      </c>
      <c r="L90" s="7" t="str">
        <f>HYPERLINK("http://slimages.macys.com/is/image/MCY/9684804 ")</f>
        <v xml:space="preserve">http://slimages.macys.com/is/image/MCY/9684804 </v>
      </c>
    </row>
    <row r="91" spans="1:12" ht="24.75" x14ac:dyDescent="0.25">
      <c r="A91" s="4" t="s">
        <v>345</v>
      </c>
      <c r="B91" s="2" t="s">
        <v>346</v>
      </c>
      <c r="C91" s="3">
        <v>1</v>
      </c>
      <c r="D91" s="5">
        <v>48.38</v>
      </c>
      <c r="E91" s="3" t="s">
        <v>347</v>
      </c>
      <c r="F91" s="2" t="s">
        <v>15</v>
      </c>
      <c r="G91" s="6" t="s">
        <v>348</v>
      </c>
      <c r="H91" s="2" t="s">
        <v>349</v>
      </c>
      <c r="I91" s="2" t="s">
        <v>285</v>
      </c>
      <c r="J91" s="2" t="s">
        <v>19</v>
      </c>
      <c r="K91" s="2" t="s">
        <v>323</v>
      </c>
      <c r="L91" s="7" t="str">
        <f>HYPERLINK("http://slimages.macys.com/is/image/MCY/13580286 ")</f>
        <v xml:space="preserve">http://slimages.macys.com/is/image/MCY/13580286 </v>
      </c>
    </row>
    <row r="92" spans="1:12" ht="24.75" x14ac:dyDescent="0.25">
      <c r="A92" s="4" t="s">
        <v>350</v>
      </c>
      <c r="B92" s="2" t="s">
        <v>351</v>
      </c>
      <c r="C92" s="3">
        <v>1</v>
      </c>
      <c r="D92" s="5">
        <v>48.38</v>
      </c>
      <c r="E92" s="3" t="s">
        <v>352</v>
      </c>
      <c r="F92" s="2"/>
      <c r="G92" s="6" t="s">
        <v>27</v>
      </c>
      <c r="H92" s="2" t="s">
        <v>213</v>
      </c>
      <c r="I92" s="2" t="s">
        <v>214</v>
      </c>
      <c r="J92" s="2" t="s">
        <v>19</v>
      </c>
      <c r="K92" s="2" t="s">
        <v>353</v>
      </c>
      <c r="L92" s="7" t="str">
        <f>HYPERLINK("http://slimages.macys.com/is/image/MCY/11503421 ")</f>
        <v xml:space="preserve">http://slimages.macys.com/is/image/MCY/11503421 </v>
      </c>
    </row>
    <row r="93" spans="1:12" ht="24.75" x14ac:dyDescent="0.25">
      <c r="A93" s="4" t="s">
        <v>354</v>
      </c>
      <c r="B93" s="2" t="s">
        <v>355</v>
      </c>
      <c r="C93" s="3">
        <v>1</v>
      </c>
      <c r="D93" s="5">
        <v>48</v>
      </c>
      <c r="E93" s="3">
        <v>100053387</v>
      </c>
      <c r="F93" s="2" t="s">
        <v>111</v>
      </c>
      <c r="G93" s="6" t="s">
        <v>27</v>
      </c>
      <c r="H93" s="2" t="s">
        <v>228</v>
      </c>
      <c r="I93" s="2" t="s">
        <v>229</v>
      </c>
      <c r="J93" s="2" t="s">
        <v>19</v>
      </c>
      <c r="K93" s="2" t="s">
        <v>338</v>
      </c>
      <c r="L93" s="7" t="str">
        <f>HYPERLINK("http://slimages.macys.com/is/image/MCY/13829477 ")</f>
        <v xml:space="preserve">http://slimages.macys.com/is/image/MCY/13829477 </v>
      </c>
    </row>
    <row r="94" spans="1:12" ht="24.75" x14ac:dyDescent="0.25">
      <c r="A94" s="4" t="s">
        <v>356</v>
      </c>
      <c r="B94" s="2" t="s">
        <v>355</v>
      </c>
      <c r="C94" s="3">
        <v>1</v>
      </c>
      <c r="D94" s="5">
        <v>48</v>
      </c>
      <c r="E94" s="3">
        <v>100053387</v>
      </c>
      <c r="F94" s="2" t="s">
        <v>111</v>
      </c>
      <c r="G94" s="6" t="s">
        <v>65</v>
      </c>
      <c r="H94" s="2" t="s">
        <v>228</v>
      </c>
      <c r="I94" s="2" t="s">
        <v>229</v>
      </c>
      <c r="J94" s="2" t="s">
        <v>19</v>
      </c>
      <c r="K94" s="2" t="s">
        <v>338</v>
      </c>
      <c r="L94" s="7" t="str">
        <f>HYPERLINK("http://slimages.macys.com/is/image/MCY/13829477 ")</f>
        <v xml:space="preserve">http://slimages.macys.com/is/image/MCY/13829477 </v>
      </c>
    </row>
    <row r="95" spans="1:12" ht="24.75" x14ac:dyDescent="0.25">
      <c r="A95" s="4" t="s">
        <v>357</v>
      </c>
      <c r="B95" s="2" t="s">
        <v>355</v>
      </c>
      <c r="C95" s="3">
        <v>1</v>
      </c>
      <c r="D95" s="5">
        <v>48</v>
      </c>
      <c r="E95" s="3">
        <v>100053387</v>
      </c>
      <c r="F95" s="2" t="s">
        <v>111</v>
      </c>
      <c r="G95" s="6" t="s">
        <v>16</v>
      </c>
      <c r="H95" s="2" t="s">
        <v>228</v>
      </c>
      <c r="I95" s="2" t="s">
        <v>229</v>
      </c>
      <c r="J95" s="2" t="s">
        <v>19</v>
      </c>
      <c r="K95" s="2" t="s">
        <v>338</v>
      </c>
      <c r="L95" s="7" t="str">
        <f>HYPERLINK("http://slimages.macys.com/is/image/MCY/13829477 ")</f>
        <v xml:space="preserve">http://slimages.macys.com/is/image/MCY/13829477 </v>
      </c>
    </row>
    <row r="96" spans="1:12" ht="24.75" x14ac:dyDescent="0.25">
      <c r="A96" s="4" t="s">
        <v>358</v>
      </c>
      <c r="B96" s="2" t="s">
        <v>359</v>
      </c>
      <c r="C96" s="3">
        <v>1</v>
      </c>
      <c r="D96" s="5">
        <v>59.5</v>
      </c>
      <c r="E96" s="3" t="s">
        <v>360</v>
      </c>
      <c r="F96" s="2" t="s">
        <v>26</v>
      </c>
      <c r="G96" s="6" t="s">
        <v>205</v>
      </c>
      <c r="H96" s="2" t="s">
        <v>127</v>
      </c>
      <c r="I96" s="2" t="s">
        <v>128</v>
      </c>
      <c r="J96" s="2" t="s">
        <v>19</v>
      </c>
      <c r="K96" s="2" t="s">
        <v>361</v>
      </c>
      <c r="L96" s="7" t="str">
        <f>HYPERLINK("http://slimages.macys.com/is/image/MCY/10890960 ")</f>
        <v xml:space="preserve">http://slimages.macys.com/is/image/MCY/10890960 </v>
      </c>
    </row>
    <row r="97" spans="1:12" ht="24.75" x14ac:dyDescent="0.25">
      <c r="A97" s="4" t="s">
        <v>362</v>
      </c>
      <c r="B97" s="2" t="s">
        <v>359</v>
      </c>
      <c r="C97" s="3">
        <v>1</v>
      </c>
      <c r="D97" s="5">
        <v>59.5</v>
      </c>
      <c r="E97" s="3" t="s">
        <v>360</v>
      </c>
      <c r="F97" s="2" t="s">
        <v>26</v>
      </c>
      <c r="G97" s="6" t="s">
        <v>363</v>
      </c>
      <c r="H97" s="2" t="s">
        <v>127</v>
      </c>
      <c r="I97" s="2" t="s">
        <v>128</v>
      </c>
      <c r="J97" s="2" t="s">
        <v>19</v>
      </c>
      <c r="K97" s="2" t="s">
        <v>361</v>
      </c>
      <c r="L97" s="7" t="str">
        <f>HYPERLINK("http://slimages.macys.com/is/image/MCY/10890960 ")</f>
        <v xml:space="preserve">http://slimages.macys.com/is/image/MCY/10890960 </v>
      </c>
    </row>
    <row r="98" spans="1:12" ht="24.75" x14ac:dyDescent="0.25">
      <c r="A98" s="4" t="s">
        <v>364</v>
      </c>
      <c r="B98" s="2" t="s">
        <v>365</v>
      </c>
      <c r="C98" s="3">
        <v>1</v>
      </c>
      <c r="D98" s="5">
        <v>59.5</v>
      </c>
      <c r="E98" s="3" t="s">
        <v>366</v>
      </c>
      <c r="F98" s="2" t="s">
        <v>74</v>
      </c>
      <c r="G98" s="6" t="s">
        <v>219</v>
      </c>
      <c r="H98" s="2" t="s">
        <v>127</v>
      </c>
      <c r="I98" s="2" t="s">
        <v>128</v>
      </c>
      <c r="J98" s="2" t="s">
        <v>19</v>
      </c>
      <c r="K98" s="2" t="s">
        <v>34</v>
      </c>
      <c r="L98" s="7" t="str">
        <f>HYPERLINK("http://slimages.macys.com/is/image/MCY/11486743 ")</f>
        <v xml:space="preserve">http://slimages.macys.com/is/image/MCY/11486743 </v>
      </c>
    </row>
    <row r="99" spans="1:12" ht="24.75" x14ac:dyDescent="0.25">
      <c r="A99" s="4" t="s">
        <v>367</v>
      </c>
      <c r="B99" s="2" t="s">
        <v>368</v>
      </c>
      <c r="C99" s="3">
        <v>1</v>
      </c>
      <c r="D99" s="5">
        <v>52.13</v>
      </c>
      <c r="E99" s="3" t="s">
        <v>369</v>
      </c>
      <c r="F99" s="2" t="s">
        <v>64</v>
      </c>
      <c r="G99" s="6" t="s">
        <v>234</v>
      </c>
      <c r="H99" s="2" t="s">
        <v>246</v>
      </c>
      <c r="I99" s="2" t="s">
        <v>189</v>
      </c>
      <c r="J99" s="2" t="s">
        <v>19</v>
      </c>
      <c r="K99" s="2" t="s">
        <v>263</v>
      </c>
      <c r="L99" s="7" t="str">
        <f>HYPERLINK("http://slimages.macys.com/is/image/MCY/11471005 ")</f>
        <v xml:space="preserve">http://slimages.macys.com/is/image/MCY/11471005 </v>
      </c>
    </row>
    <row r="100" spans="1:12" ht="24.75" x14ac:dyDescent="0.25">
      <c r="A100" s="4" t="s">
        <v>370</v>
      </c>
      <c r="B100" s="2" t="s">
        <v>371</v>
      </c>
      <c r="C100" s="3">
        <v>1</v>
      </c>
      <c r="D100" s="5">
        <v>44.5</v>
      </c>
      <c r="E100" s="3" t="s">
        <v>372</v>
      </c>
      <c r="F100" s="2" t="s">
        <v>111</v>
      </c>
      <c r="G100" s="6" t="s">
        <v>181</v>
      </c>
      <c r="H100" s="2" t="s">
        <v>194</v>
      </c>
      <c r="I100" s="2" t="s">
        <v>195</v>
      </c>
      <c r="J100" s="2" t="s">
        <v>19</v>
      </c>
      <c r="K100" s="2" t="s">
        <v>107</v>
      </c>
      <c r="L100" s="7" t="str">
        <f>HYPERLINK("http://slimages.macys.com/is/image/MCY/12279939 ")</f>
        <v xml:space="preserve">http://slimages.macys.com/is/image/MCY/12279939 </v>
      </c>
    </row>
    <row r="101" spans="1:12" ht="24.75" x14ac:dyDescent="0.25">
      <c r="A101" s="4" t="s">
        <v>373</v>
      </c>
      <c r="B101" s="2" t="s">
        <v>374</v>
      </c>
      <c r="C101" s="3">
        <v>1</v>
      </c>
      <c r="D101" s="5">
        <v>52.13</v>
      </c>
      <c r="E101" s="3" t="s">
        <v>375</v>
      </c>
      <c r="F101" s="2" t="s">
        <v>376</v>
      </c>
      <c r="G101" s="6" t="s">
        <v>65</v>
      </c>
      <c r="H101" s="2" t="s">
        <v>246</v>
      </c>
      <c r="I101" s="2" t="s">
        <v>189</v>
      </c>
      <c r="J101" s="2" t="s">
        <v>19</v>
      </c>
      <c r="K101" s="2" t="s">
        <v>361</v>
      </c>
      <c r="L101" s="7" t="str">
        <f>HYPERLINK("http://slimages.macys.com/is/image/MCY/10676355 ")</f>
        <v xml:space="preserve">http://slimages.macys.com/is/image/MCY/10676355 </v>
      </c>
    </row>
    <row r="102" spans="1:12" ht="24.75" x14ac:dyDescent="0.25">
      <c r="A102" s="4" t="s">
        <v>377</v>
      </c>
      <c r="B102" s="2" t="s">
        <v>374</v>
      </c>
      <c r="C102" s="3">
        <v>1</v>
      </c>
      <c r="D102" s="5">
        <v>52.13</v>
      </c>
      <c r="E102" s="3" t="s">
        <v>375</v>
      </c>
      <c r="F102" s="2" t="s">
        <v>376</v>
      </c>
      <c r="G102" s="6" t="s">
        <v>106</v>
      </c>
      <c r="H102" s="2" t="s">
        <v>246</v>
      </c>
      <c r="I102" s="2" t="s">
        <v>189</v>
      </c>
      <c r="J102" s="2" t="s">
        <v>19</v>
      </c>
      <c r="K102" s="2" t="s">
        <v>361</v>
      </c>
      <c r="L102" s="7" t="str">
        <f>HYPERLINK("http://slimages.macys.com/is/image/MCY/10676355 ")</f>
        <v xml:space="preserve">http://slimages.macys.com/is/image/MCY/10676355 </v>
      </c>
    </row>
    <row r="103" spans="1:12" ht="24.75" x14ac:dyDescent="0.25">
      <c r="A103" s="4" t="s">
        <v>378</v>
      </c>
      <c r="B103" s="2" t="s">
        <v>374</v>
      </c>
      <c r="C103" s="3">
        <v>3</v>
      </c>
      <c r="D103" s="5">
        <v>52.13</v>
      </c>
      <c r="E103" s="3" t="s">
        <v>375</v>
      </c>
      <c r="F103" s="2" t="s">
        <v>376</v>
      </c>
      <c r="G103" s="6" t="s">
        <v>27</v>
      </c>
      <c r="H103" s="2" t="s">
        <v>246</v>
      </c>
      <c r="I103" s="2" t="s">
        <v>189</v>
      </c>
      <c r="J103" s="2" t="s">
        <v>19</v>
      </c>
      <c r="K103" s="2" t="s">
        <v>361</v>
      </c>
      <c r="L103" s="7" t="str">
        <f>HYPERLINK("http://slimages.macys.com/is/image/MCY/10676355 ")</f>
        <v xml:space="preserve">http://slimages.macys.com/is/image/MCY/10676355 </v>
      </c>
    </row>
    <row r="104" spans="1:12" ht="24.75" x14ac:dyDescent="0.25">
      <c r="A104" s="4" t="s">
        <v>379</v>
      </c>
      <c r="B104" s="2" t="s">
        <v>374</v>
      </c>
      <c r="C104" s="3">
        <v>1</v>
      </c>
      <c r="D104" s="5">
        <v>52.13</v>
      </c>
      <c r="E104" s="3" t="s">
        <v>375</v>
      </c>
      <c r="F104" s="2" t="s">
        <v>170</v>
      </c>
      <c r="G104" s="6" t="s">
        <v>112</v>
      </c>
      <c r="H104" s="2" t="s">
        <v>246</v>
      </c>
      <c r="I104" s="2" t="s">
        <v>189</v>
      </c>
      <c r="J104" s="2" t="s">
        <v>19</v>
      </c>
      <c r="K104" s="2" t="s">
        <v>361</v>
      </c>
      <c r="L104" s="7" t="str">
        <f>HYPERLINK("http://slimages.macys.com/is/image/MCY/10676355 ")</f>
        <v xml:space="preserve">http://slimages.macys.com/is/image/MCY/10676355 </v>
      </c>
    </row>
    <row r="105" spans="1:12" ht="24.75" x14ac:dyDescent="0.25">
      <c r="A105" s="4" t="s">
        <v>380</v>
      </c>
      <c r="B105" s="2" t="s">
        <v>381</v>
      </c>
      <c r="C105" s="3">
        <v>1</v>
      </c>
      <c r="D105" s="5">
        <v>48.38</v>
      </c>
      <c r="E105" s="3" t="s">
        <v>382</v>
      </c>
      <c r="F105" s="2"/>
      <c r="G105" s="6" t="s">
        <v>238</v>
      </c>
      <c r="H105" s="2" t="s">
        <v>188</v>
      </c>
      <c r="I105" s="2" t="s">
        <v>214</v>
      </c>
      <c r="J105" s="2" t="s">
        <v>19</v>
      </c>
      <c r="K105" s="2" t="s">
        <v>383</v>
      </c>
      <c r="L105" s="7" t="str">
        <f>HYPERLINK("http://slimages.macys.com/is/image/MCY/11420562 ")</f>
        <v xml:space="preserve">http://slimages.macys.com/is/image/MCY/11420562 </v>
      </c>
    </row>
    <row r="106" spans="1:12" ht="24.75" x14ac:dyDescent="0.25">
      <c r="A106" s="4" t="s">
        <v>384</v>
      </c>
      <c r="B106" s="2" t="s">
        <v>385</v>
      </c>
      <c r="C106" s="3">
        <v>1</v>
      </c>
      <c r="D106" s="5">
        <v>69.5</v>
      </c>
      <c r="E106" s="3">
        <v>100057476</v>
      </c>
      <c r="F106" s="2" t="s">
        <v>64</v>
      </c>
      <c r="G106" s="6" t="s">
        <v>22</v>
      </c>
      <c r="H106" s="2" t="s">
        <v>386</v>
      </c>
      <c r="I106" s="2" t="s">
        <v>207</v>
      </c>
      <c r="J106" s="2" t="s">
        <v>19</v>
      </c>
      <c r="K106" s="2" t="s">
        <v>387</v>
      </c>
      <c r="L106" s="7" t="str">
        <f>HYPERLINK("http://slimages.macys.com/is/image/MCY/11782675 ")</f>
        <v xml:space="preserve">http://slimages.macys.com/is/image/MCY/11782675 </v>
      </c>
    </row>
    <row r="107" spans="1:12" ht="24.75" x14ac:dyDescent="0.25">
      <c r="A107" s="4" t="s">
        <v>388</v>
      </c>
      <c r="B107" s="2" t="s">
        <v>385</v>
      </c>
      <c r="C107" s="3">
        <v>1</v>
      </c>
      <c r="D107" s="5">
        <v>69.5</v>
      </c>
      <c r="E107" s="3">
        <v>100057476</v>
      </c>
      <c r="F107" s="2" t="s">
        <v>64</v>
      </c>
      <c r="G107" s="6" t="s">
        <v>106</v>
      </c>
      <c r="H107" s="2" t="s">
        <v>386</v>
      </c>
      <c r="I107" s="2" t="s">
        <v>207</v>
      </c>
      <c r="J107" s="2" t="s">
        <v>19</v>
      </c>
      <c r="K107" s="2" t="s">
        <v>387</v>
      </c>
      <c r="L107" s="7" t="str">
        <f>HYPERLINK("http://slimages.macys.com/is/image/MCY/11782675 ")</f>
        <v xml:space="preserve">http://slimages.macys.com/is/image/MCY/11782675 </v>
      </c>
    </row>
    <row r="108" spans="1:12" ht="24.75" x14ac:dyDescent="0.25">
      <c r="A108" s="4" t="s">
        <v>389</v>
      </c>
      <c r="B108" s="2" t="s">
        <v>390</v>
      </c>
      <c r="C108" s="3">
        <v>1</v>
      </c>
      <c r="D108" s="5">
        <v>69.5</v>
      </c>
      <c r="E108" s="3">
        <v>100055524</v>
      </c>
      <c r="F108" s="2" t="s">
        <v>64</v>
      </c>
      <c r="G108" s="6" t="s">
        <v>58</v>
      </c>
      <c r="H108" s="2" t="s">
        <v>386</v>
      </c>
      <c r="I108" s="2" t="s">
        <v>391</v>
      </c>
      <c r="J108" s="2" t="s">
        <v>19</v>
      </c>
      <c r="K108" s="2" t="s">
        <v>392</v>
      </c>
      <c r="L108" s="7" t="str">
        <f>HYPERLINK("http://slimages.macys.com/is/image/MCY/11535527 ")</f>
        <v xml:space="preserve">http://slimages.macys.com/is/image/MCY/11535527 </v>
      </c>
    </row>
    <row r="109" spans="1:12" ht="36.75" x14ac:dyDescent="0.25">
      <c r="A109" s="4" t="s">
        <v>393</v>
      </c>
      <c r="B109" s="2" t="s">
        <v>374</v>
      </c>
      <c r="C109" s="3">
        <v>1</v>
      </c>
      <c r="D109" s="5">
        <v>52.13</v>
      </c>
      <c r="E109" s="3" t="s">
        <v>394</v>
      </c>
      <c r="F109" s="2" t="s">
        <v>74</v>
      </c>
      <c r="G109" s="6" t="s">
        <v>165</v>
      </c>
      <c r="H109" s="2" t="s">
        <v>188</v>
      </c>
      <c r="I109" s="2" t="s">
        <v>189</v>
      </c>
      <c r="J109" s="2" t="s">
        <v>19</v>
      </c>
      <c r="K109" s="2" t="s">
        <v>395</v>
      </c>
      <c r="L109" s="7" t="str">
        <f>HYPERLINK("http://slimages.macys.com/is/image/MCY/11626905 ")</f>
        <v xml:space="preserve">http://slimages.macys.com/is/image/MCY/11626905 </v>
      </c>
    </row>
    <row r="110" spans="1:12" ht="36.75" x14ac:dyDescent="0.25">
      <c r="A110" s="4" t="s">
        <v>396</v>
      </c>
      <c r="B110" s="2" t="s">
        <v>374</v>
      </c>
      <c r="C110" s="3">
        <v>1</v>
      </c>
      <c r="D110" s="5">
        <v>52.13</v>
      </c>
      <c r="E110" s="3" t="s">
        <v>394</v>
      </c>
      <c r="F110" s="2" t="s">
        <v>74</v>
      </c>
      <c r="G110" s="6" t="s">
        <v>363</v>
      </c>
      <c r="H110" s="2" t="s">
        <v>188</v>
      </c>
      <c r="I110" s="2" t="s">
        <v>189</v>
      </c>
      <c r="J110" s="2" t="s">
        <v>19</v>
      </c>
      <c r="K110" s="2" t="s">
        <v>395</v>
      </c>
      <c r="L110" s="7" t="str">
        <f>HYPERLINK("http://slimages.macys.com/is/image/MCY/11626905 ")</f>
        <v xml:space="preserve">http://slimages.macys.com/is/image/MCY/11626905 </v>
      </c>
    </row>
    <row r="111" spans="1:12" ht="24.75" x14ac:dyDescent="0.25">
      <c r="A111" s="4" t="s">
        <v>397</v>
      </c>
      <c r="B111" s="2" t="s">
        <v>374</v>
      </c>
      <c r="C111" s="3">
        <v>2</v>
      </c>
      <c r="D111" s="5">
        <v>52.13</v>
      </c>
      <c r="E111" s="3" t="s">
        <v>375</v>
      </c>
      <c r="F111" s="2" t="s">
        <v>74</v>
      </c>
      <c r="G111" s="6" t="s">
        <v>22</v>
      </c>
      <c r="H111" s="2" t="s">
        <v>246</v>
      </c>
      <c r="I111" s="2" t="s">
        <v>189</v>
      </c>
      <c r="J111" s="2" t="s">
        <v>19</v>
      </c>
      <c r="K111" s="2" t="s">
        <v>361</v>
      </c>
      <c r="L111" s="7" t="str">
        <f t="shared" ref="L111:L117" si="0">HYPERLINK("http://slimages.macys.com/is/image/MCY/10676355 ")</f>
        <v xml:space="preserve">http://slimages.macys.com/is/image/MCY/10676355 </v>
      </c>
    </row>
    <row r="112" spans="1:12" ht="24.75" x14ac:dyDescent="0.25">
      <c r="A112" s="4" t="s">
        <v>398</v>
      </c>
      <c r="B112" s="2" t="s">
        <v>374</v>
      </c>
      <c r="C112" s="3">
        <v>1</v>
      </c>
      <c r="D112" s="5">
        <v>52.13</v>
      </c>
      <c r="E112" s="3" t="s">
        <v>375</v>
      </c>
      <c r="F112" s="2" t="s">
        <v>74</v>
      </c>
      <c r="G112" s="6" t="s">
        <v>106</v>
      </c>
      <c r="H112" s="2" t="s">
        <v>246</v>
      </c>
      <c r="I112" s="2" t="s">
        <v>189</v>
      </c>
      <c r="J112" s="2" t="s">
        <v>19</v>
      </c>
      <c r="K112" s="2" t="s">
        <v>361</v>
      </c>
      <c r="L112" s="7" t="str">
        <f t="shared" si="0"/>
        <v xml:space="preserve">http://slimages.macys.com/is/image/MCY/10676355 </v>
      </c>
    </row>
    <row r="113" spans="1:12" ht="24.75" x14ac:dyDescent="0.25">
      <c r="A113" s="4" t="s">
        <v>399</v>
      </c>
      <c r="B113" s="2" t="s">
        <v>374</v>
      </c>
      <c r="C113" s="3">
        <v>1</v>
      </c>
      <c r="D113" s="5">
        <v>52.13</v>
      </c>
      <c r="E113" s="3" t="s">
        <v>375</v>
      </c>
      <c r="F113" s="2" t="s">
        <v>74</v>
      </c>
      <c r="G113" s="6" t="s">
        <v>141</v>
      </c>
      <c r="H113" s="2" t="s">
        <v>246</v>
      </c>
      <c r="I113" s="2" t="s">
        <v>189</v>
      </c>
      <c r="J113" s="2" t="s">
        <v>19</v>
      </c>
      <c r="K113" s="2" t="s">
        <v>361</v>
      </c>
      <c r="L113" s="7" t="str">
        <f t="shared" si="0"/>
        <v xml:space="preserve">http://slimages.macys.com/is/image/MCY/10676355 </v>
      </c>
    </row>
    <row r="114" spans="1:12" ht="24.75" x14ac:dyDescent="0.25">
      <c r="A114" s="4" t="s">
        <v>400</v>
      </c>
      <c r="B114" s="2" t="s">
        <v>374</v>
      </c>
      <c r="C114" s="3">
        <v>1</v>
      </c>
      <c r="D114" s="5">
        <v>52.13</v>
      </c>
      <c r="E114" s="3" t="s">
        <v>375</v>
      </c>
      <c r="F114" s="2" t="s">
        <v>74</v>
      </c>
      <c r="G114" s="6" t="s">
        <v>27</v>
      </c>
      <c r="H114" s="2" t="s">
        <v>246</v>
      </c>
      <c r="I114" s="2" t="s">
        <v>189</v>
      </c>
      <c r="J114" s="2" t="s">
        <v>19</v>
      </c>
      <c r="K114" s="2" t="s">
        <v>361</v>
      </c>
      <c r="L114" s="7" t="str">
        <f t="shared" si="0"/>
        <v xml:space="preserve">http://slimages.macys.com/is/image/MCY/10676355 </v>
      </c>
    </row>
    <row r="115" spans="1:12" ht="24.75" x14ac:dyDescent="0.25">
      <c r="A115" s="4" t="s">
        <v>401</v>
      </c>
      <c r="B115" s="2" t="s">
        <v>374</v>
      </c>
      <c r="C115" s="3">
        <v>1</v>
      </c>
      <c r="D115" s="5">
        <v>52.13</v>
      </c>
      <c r="E115" s="3" t="s">
        <v>375</v>
      </c>
      <c r="F115" s="2" t="s">
        <v>64</v>
      </c>
      <c r="G115" s="6" t="s">
        <v>27</v>
      </c>
      <c r="H115" s="2" t="s">
        <v>246</v>
      </c>
      <c r="I115" s="2" t="s">
        <v>189</v>
      </c>
      <c r="J115" s="2" t="s">
        <v>19</v>
      </c>
      <c r="K115" s="2" t="s">
        <v>361</v>
      </c>
      <c r="L115" s="7" t="str">
        <f t="shared" si="0"/>
        <v xml:space="preserve">http://slimages.macys.com/is/image/MCY/10676355 </v>
      </c>
    </row>
    <row r="116" spans="1:12" ht="24.75" x14ac:dyDescent="0.25">
      <c r="A116" s="4" t="s">
        <v>402</v>
      </c>
      <c r="B116" s="2" t="s">
        <v>374</v>
      </c>
      <c r="C116" s="3">
        <v>2</v>
      </c>
      <c r="D116" s="5">
        <v>52.13</v>
      </c>
      <c r="E116" s="3" t="s">
        <v>375</v>
      </c>
      <c r="F116" s="2" t="s">
        <v>74</v>
      </c>
      <c r="G116" s="6" t="s">
        <v>65</v>
      </c>
      <c r="H116" s="2" t="s">
        <v>246</v>
      </c>
      <c r="I116" s="2" t="s">
        <v>189</v>
      </c>
      <c r="J116" s="2" t="s">
        <v>19</v>
      </c>
      <c r="K116" s="2" t="s">
        <v>361</v>
      </c>
      <c r="L116" s="7" t="str">
        <f t="shared" si="0"/>
        <v xml:space="preserve">http://slimages.macys.com/is/image/MCY/10676355 </v>
      </c>
    </row>
    <row r="117" spans="1:12" ht="24.75" x14ac:dyDescent="0.25">
      <c r="A117" s="4" t="s">
        <v>403</v>
      </c>
      <c r="B117" s="2" t="s">
        <v>374</v>
      </c>
      <c r="C117" s="3">
        <v>1</v>
      </c>
      <c r="D117" s="5">
        <v>52.13</v>
      </c>
      <c r="E117" s="3" t="s">
        <v>375</v>
      </c>
      <c r="F117" s="2" t="s">
        <v>331</v>
      </c>
      <c r="G117" s="6" t="s">
        <v>112</v>
      </c>
      <c r="H117" s="2" t="s">
        <v>246</v>
      </c>
      <c r="I117" s="2" t="s">
        <v>189</v>
      </c>
      <c r="J117" s="2" t="s">
        <v>19</v>
      </c>
      <c r="K117" s="2" t="s">
        <v>361</v>
      </c>
      <c r="L117" s="7" t="str">
        <f t="shared" si="0"/>
        <v xml:space="preserve">http://slimages.macys.com/is/image/MCY/10676355 </v>
      </c>
    </row>
    <row r="118" spans="1:12" ht="24.75" x14ac:dyDescent="0.25">
      <c r="A118" s="4" t="s">
        <v>404</v>
      </c>
      <c r="B118" s="2" t="s">
        <v>405</v>
      </c>
      <c r="C118" s="3">
        <v>1</v>
      </c>
      <c r="D118" s="5">
        <v>44.63</v>
      </c>
      <c r="E118" s="3" t="s">
        <v>406</v>
      </c>
      <c r="F118" s="2" t="s">
        <v>74</v>
      </c>
      <c r="G118" s="6" t="s">
        <v>407</v>
      </c>
      <c r="H118" s="2" t="s">
        <v>349</v>
      </c>
      <c r="I118" s="2" t="s">
        <v>408</v>
      </c>
      <c r="J118" s="2" t="s">
        <v>19</v>
      </c>
      <c r="K118" s="2" t="s">
        <v>409</v>
      </c>
      <c r="L118" s="7" t="str">
        <f>HYPERLINK("http://slimages.macys.com/is/image/MCY/13534846 ")</f>
        <v xml:space="preserve">http://slimages.macys.com/is/image/MCY/13534846 </v>
      </c>
    </row>
    <row r="119" spans="1:12" ht="36.75" x14ac:dyDescent="0.25">
      <c r="A119" s="4" t="s">
        <v>410</v>
      </c>
      <c r="B119" s="2" t="s">
        <v>411</v>
      </c>
      <c r="C119" s="3">
        <v>1</v>
      </c>
      <c r="D119" s="5">
        <v>44.63</v>
      </c>
      <c r="E119" s="3" t="s">
        <v>412</v>
      </c>
      <c r="F119" s="2" t="s">
        <v>413</v>
      </c>
      <c r="G119" s="6" t="s">
        <v>181</v>
      </c>
      <c r="H119" s="2" t="s">
        <v>284</v>
      </c>
      <c r="I119" s="2" t="s">
        <v>285</v>
      </c>
      <c r="J119" s="2" t="s">
        <v>19</v>
      </c>
      <c r="K119" s="2" t="s">
        <v>274</v>
      </c>
      <c r="L119" s="7" t="str">
        <f>HYPERLINK("http://slimages.macys.com/is/image/MCY/12237188 ")</f>
        <v xml:space="preserve">http://slimages.macys.com/is/image/MCY/12237188 </v>
      </c>
    </row>
    <row r="120" spans="1:12" ht="24.75" x14ac:dyDescent="0.25">
      <c r="A120" s="4" t="s">
        <v>414</v>
      </c>
      <c r="B120" s="2" t="s">
        <v>415</v>
      </c>
      <c r="C120" s="3">
        <v>1</v>
      </c>
      <c r="D120" s="5">
        <v>44.5</v>
      </c>
      <c r="E120" s="3" t="s">
        <v>416</v>
      </c>
      <c r="F120" s="2" t="s">
        <v>417</v>
      </c>
      <c r="G120" s="6" t="s">
        <v>418</v>
      </c>
      <c r="H120" s="2" t="s">
        <v>188</v>
      </c>
      <c r="I120" s="2" t="s">
        <v>214</v>
      </c>
      <c r="J120" s="2" t="s">
        <v>19</v>
      </c>
      <c r="K120" s="2" t="s">
        <v>253</v>
      </c>
      <c r="L120" s="7" t="str">
        <f>HYPERLINK("http://slimages.macys.com/is/image/MCY/9886576 ")</f>
        <v xml:space="preserve">http://slimages.macys.com/is/image/MCY/9886576 </v>
      </c>
    </row>
    <row r="121" spans="1:12" ht="24.75" x14ac:dyDescent="0.25">
      <c r="A121" s="4" t="s">
        <v>419</v>
      </c>
      <c r="B121" s="2" t="s">
        <v>420</v>
      </c>
      <c r="C121" s="3">
        <v>1</v>
      </c>
      <c r="D121" s="5">
        <v>48.38</v>
      </c>
      <c r="E121" s="3" t="s">
        <v>421</v>
      </c>
      <c r="F121" s="2" t="s">
        <v>64</v>
      </c>
      <c r="G121" s="6"/>
      <c r="H121" s="2" t="s">
        <v>188</v>
      </c>
      <c r="I121" s="2" t="s">
        <v>189</v>
      </c>
      <c r="J121" s="2" t="s">
        <v>19</v>
      </c>
      <c r="K121" s="2" t="s">
        <v>422</v>
      </c>
      <c r="L121" s="7" t="str">
        <f>HYPERLINK("http://slimages.macys.com/is/image/MCY/11621982 ")</f>
        <v xml:space="preserve">http://slimages.macys.com/is/image/MCY/11621982 </v>
      </c>
    </row>
    <row r="122" spans="1:12" ht="24.75" x14ac:dyDescent="0.25">
      <c r="A122" s="4" t="s">
        <v>423</v>
      </c>
      <c r="B122" s="2" t="s">
        <v>424</v>
      </c>
      <c r="C122" s="3">
        <v>2</v>
      </c>
      <c r="D122" s="5">
        <v>51.75</v>
      </c>
      <c r="E122" s="3" t="s">
        <v>425</v>
      </c>
      <c r="F122" s="2" t="s">
        <v>252</v>
      </c>
      <c r="G122" s="6"/>
      <c r="H122" s="2" t="s">
        <v>426</v>
      </c>
      <c r="I122" s="2" t="s">
        <v>229</v>
      </c>
      <c r="J122" s="2" t="s">
        <v>19</v>
      </c>
      <c r="K122" s="2" t="s">
        <v>392</v>
      </c>
      <c r="L122" s="7" t="str">
        <f>HYPERLINK("http://slimages.macys.com/is/image/MCY/11606814 ")</f>
        <v xml:space="preserve">http://slimages.macys.com/is/image/MCY/11606814 </v>
      </c>
    </row>
    <row r="123" spans="1:12" ht="36.75" x14ac:dyDescent="0.25">
      <c r="A123" s="4" t="s">
        <v>427</v>
      </c>
      <c r="B123" s="2" t="s">
        <v>428</v>
      </c>
      <c r="C123" s="3">
        <v>1</v>
      </c>
      <c r="D123" s="5">
        <v>52.13</v>
      </c>
      <c r="E123" s="3" t="s">
        <v>429</v>
      </c>
      <c r="F123" s="2" t="s">
        <v>64</v>
      </c>
      <c r="G123" s="6"/>
      <c r="H123" s="2" t="s">
        <v>188</v>
      </c>
      <c r="I123" s="2" t="s">
        <v>189</v>
      </c>
      <c r="J123" s="2" t="s">
        <v>19</v>
      </c>
      <c r="K123" s="2" t="s">
        <v>430</v>
      </c>
      <c r="L123" s="7" t="str">
        <f>HYPERLINK("http://slimages.macys.com/is/image/MCY/11807576 ")</f>
        <v xml:space="preserve">http://slimages.macys.com/is/image/MCY/11807576 </v>
      </c>
    </row>
    <row r="124" spans="1:12" ht="24.75" x14ac:dyDescent="0.25">
      <c r="A124" s="4" t="s">
        <v>431</v>
      </c>
      <c r="B124" s="2" t="s">
        <v>432</v>
      </c>
      <c r="C124" s="3">
        <v>1</v>
      </c>
      <c r="D124" s="5">
        <v>44.63</v>
      </c>
      <c r="E124" s="3" t="s">
        <v>433</v>
      </c>
      <c r="F124" s="2" t="s">
        <v>331</v>
      </c>
      <c r="G124" s="6" t="s">
        <v>434</v>
      </c>
      <c r="H124" s="2" t="s">
        <v>349</v>
      </c>
      <c r="I124" s="2" t="s">
        <v>408</v>
      </c>
      <c r="J124" s="2" t="s">
        <v>19</v>
      </c>
      <c r="K124" s="2" t="s">
        <v>409</v>
      </c>
      <c r="L124" s="7" t="str">
        <f>HYPERLINK("http://slimages.macys.com/is/image/MCY/12672592 ")</f>
        <v xml:space="preserve">http://slimages.macys.com/is/image/MCY/12672592 </v>
      </c>
    </row>
    <row r="125" spans="1:12" ht="24.75" x14ac:dyDescent="0.25">
      <c r="A125" s="4" t="s">
        <v>435</v>
      </c>
      <c r="B125" s="2" t="s">
        <v>436</v>
      </c>
      <c r="C125" s="3">
        <v>1</v>
      </c>
      <c r="D125" s="5">
        <v>52.13</v>
      </c>
      <c r="E125" s="3" t="s">
        <v>437</v>
      </c>
      <c r="F125" s="2" t="s">
        <v>64</v>
      </c>
      <c r="G125" s="6"/>
      <c r="H125" s="2" t="s">
        <v>312</v>
      </c>
      <c r="I125" s="2" t="s">
        <v>195</v>
      </c>
      <c r="J125" s="2" t="s">
        <v>19</v>
      </c>
      <c r="K125" s="2" t="s">
        <v>438</v>
      </c>
      <c r="L125" s="7" t="str">
        <f>HYPERLINK("http://slimages.macys.com/is/image/MCY/12950192 ")</f>
        <v xml:space="preserve">http://slimages.macys.com/is/image/MCY/12950192 </v>
      </c>
    </row>
    <row r="126" spans="1:12" x14ac:dyDescent="0.25">
      <c r="A126" s="4" t="s">
        <v>439</v>
      </c>
      <c r="B126" s="2" t="s">
        <v>440</v>
      </c>
      <c r="C126" s="3">
        <v>1</v>
      </c>
      <c r="D126" s="5">
        <v>41.65</v>
      </c>
      <c r="E126" s="3" t="s">
        <v>441</v>
      </c>
      <c r="F126" s="2" t="s">
        <v>376</v>
      </c>
      <c r="G126" s="6" t="s">
        <v>181</v>
      </c>
      <c r="H126" s="2" t="s">
        <v>182</v>
      </c>
      <c r="I126" s="2" t="s">
        <v>183</v>
      </c>
      <c r="J126" s="2" t="s">
        <v>19</v>
      </c>
      <c r="K126" s="2" t="s">
        <v>442</v>
      </c>
      <c r="L126" s="7" t="str">
        <f>HYPERLINK("http://slimages.macys.com/is/image/MCY/12671298 ")</f>
        <v xml:space="preserve">http://slimages.macys.com/is/image/MCY/12671298 </v>
      </c>
    </row>
    <row r="127" spans="1:12" ht="24.75" x14ac:dyDescent="0.25">
      <c r="A127" s="4" t="s">
        <v>443</v>
      </c>
      <c r="B127" s="2" t="s">
        <v>444</v>
      </c>
      <c r="C127" s="3">
        <v>1</v>
      </c>
      <c r="D127" s="5">
        <v>70.59</v>
      </c>
      <c r="E127" s="3" t="s">
        <v>445</v>
      </c>
      <c r="F127" s="2" t="s">
        <v>26</v>
      </c>
      <c r="G127" s="6" t="s">
        <v>446</v>
      </c>
      <c r="H127" s="2" t="s">
        <v>447</v>
      </c>
      <c r="I127" s="2" t="s">
        <v>448</v>
      </c>
      <c r="J127" s="2" t="s">
        <v>19</v>
      </c>
      <c r="K127" s="2" t="s">
        <v>449</v>
      </c>
      <c r="L127" s="7" t="str">
        <f>HYPERLINK("http://slimages.macys.com/is/image/MCY/12330848 ")</f>
        <v xml:space="preserve">http://slimages.macys.com/is/image/MCY/12330848 </v>
      </c>
    </row>
    <row r="128" spans="1:12" ht="24.75" x14ac:dyDescent="0.25">
      <c r="A128" s="4" t="s">
        <v>450</v>
      </c>
      <c r="B128" s="2" t="s">
        <v>420</v>
      </c>
      <c r="C128" s="3">
        <v>1</v>
      </c>
      <c r="D128" s="5">
        <v>47.5</v>
      </c>
      <c r="E128" s="3" t="s">
        <v>451</v>
      </c>
      <c r="F128" s="2" t="s">
        <v>170</v>
      </c>
      <c r="G128" s="6" t="s">
        <v>154</v>
      </c>
      <c r="H128" s="2" t="s">
        <v>246</v>
      </c>
      <c r="I128" s="2" t="s">
        <v>189</v>
      </c>
      <c r="J128" s="2" t="s">
        <v>19</v>
      </c>
      <c r="K128" s="2" t="s">
        <v>422</v>
      </c>
      <c r="L128" s="7" t="str">
        <f>HYPERLINK("http://slimages.macys.com/is/image/MCY/11621982 ")</f>
        <v xml:space="preserve">http://slimages.macys.com/is/image/MCY/11621982 </v>
      </c>
    </row>
    <row r="129" spans="1:12" ht="24.75" x14ac:dyDescent="0.25">
      <c r="A129" s="4" t="s">
        <v>452</v>
      </c>
      <c r="B129" s="2" t="s">
        <v>453</v>
      </c>
      <c r="C129" s="3">
        <v>1</v>
      </c>
      <c r="D129" s="5">
        <v>44.63</v>
      </c>
      <c r="E129" s="3" t="s">
        <v>454</v>
      </c>
      <c r="F129" s="2" t="s">
        <v>74</v>
      </c>
      <c r="G129" s="6" t="s">
        <v>348</v>
      </c>
      <c r="H129" s="2" t="s">
        <v>349</v>
      </c>
      <c r="I129" s="2" t="s">
        <v>285</v>
      </c>
      <c r="J129" s="2" t="s">
        <v>19</v>
      </c>
      <c r="K129" s="2" t="s">
        <v>323</v>
      </c>
      <c r="L129" s="7" t="str">
        <f>HYPERLINK("http://slimages.macys.com/is/image/MCY/12343071 ")</f>
        <v xml:space="preserve">http://slimages.macys.com/is/image/MCY/12343071 </v>
      </c>
    </row>
    <row r="130" spans="1:12" ht="24.75" x14ac:dyDescent="0.25">
      <c r="A130" s="4" t="s">
        <v>455</v>
      </c>
      <c r="B130" s="2" t="s">
        <v>456</v>
      </c>
      <c r="C130" s="3">
        <v>1</v>
      </c>
      <c r="D130" s="5">
        <v>44.63</v>
      </c>
      <c r="E130" s="3" t="s">
        <v>457</v>
      </c>
      <c r="F130" s="2" t="s">
        <v>26</v>
      </c>
      <c r="G130" s="6" t="s">
        <v>348</v>
      </c>
      <c r="H130" s="2" t="s">
        <v>349</v>
      </c>
      <c r="I130" s="2" t="s">
        <v>458</v>
      </c>
      <c r="J130" s="2" t="s">
        <v>19</v>
      </c>
      <c r="K130" s="2" t="s">
        <v>459</v>
      </c>
      <c r="L130" s="7" t="str">
        <f>HYPERLINK("http://slimages.macys.com/is/image/MCY/11030035 ")</f>
        <v xml:space="preserve">http://slimages.macys.com/is/image/MCY/11030035 </v>
      </c>
    </row>
    <row r="131" spans="1:12" ht="24.75" x14ac:dyDescent="0.25">
      <c r="A131" s="4" t="s">
        <v>460</v>
      </c>
      <c r="B131" s="2" t="s">
        <v>461</v>
      </c>
      <c r="C131" s="3">
        <v>1</v>
      </c>
      <c r="D131" s="5">
        <v>59.5</v>
      </c>
      <c r="E131" s="3" t="s">
        <v>462</v>
      </c>
      <c r="F131" s="2" t="s">
        <v>74</v>
      </c>
      <c r="G131" s="6"/>
      <c r="H131" s="2" t="s">
        <v>127</v>
      </c>
      <c r="I131" s="2" t="s">
        <v>128</v>
      </c>
      <c r="J131" s="2" t="s">
        <v>19</v>
      </c>
      <c r="K131" s="2" t="s">
        <v>160</v>
      </c>
      <c r="L131" s="7" t="str">
        <f>HYPERLINK("http://slimages.macys.com/is/image/MCY/13758855 ")</f>
        <v xml:space="preserve">http://slimages.macys.com/is/image/MCY/13758855 </v>
      </c>
    </row>
    <row r="132" spans="1:12" ht="24.75" x14ac:dyDescent="0.25">
      <c r="A132" s="4" t="s">
        <v>463</v>
      </c>
      <c r="B132" s="2" t="s">
        <v>461</v>
      </c>
      <c r="C132" s="3">
        <v>1</v>
      </c>
      <c r="D132" s="5">
        <v>59.5</v>
      </c>
      <c r="E132" s="3" t="s">
        <v>462</v>
      </c>
      <c r="F132" s="2" t="s">
        <v>464</v>
      </c>
      <c r="G132" s="6"/>
      <c r="H132" s="2" t="s">
        <v>127</v>
      </c>
      <c r="I132" s="2" t="s">
        <v>128</v>
      </c>
      <c r="J132" s="2" t="s">
        <v>19</v>
      </c>
      <c r="K132" s="2" t="s">
        <v>160</v>
      </c>
      <c r="L132" s="7" t="str">
        <f>HYPERLINK("http://slimages.macys.com/is/image/MCY/13758855 ")</f>
        <v xml:space="preserve">http://slimages.macys.com/is/image/MCY/13758855 </v>
      </c>
    </row>
    <row r="133" spans="1:12" ht="24.75" x14ac:dyDescent="0.25">
      <c r="A133" s="4" t="s">
        <v>465</v>
      </c>
      <c r="B133" s="2" t="s">
        <v>461</v>
      </c>
      <c r="C133" s="3">
        <v>2</v>
      </c>
      <c r="D133" s="5">
        <v>59.5</v>
      </c>
      <c r="E133" s="3" t="s">
        <v>462</v>
      </c>
      <c r="F133" s="2" t="s">
        <v>74</v>
      </c>
      <c r="G133" s="6"/>
      <c r="H133" s="2" t="s">
        <v>127</v>
      </c>
      <c r="I133" s="2" t="s">
        <v>128</v>
      </c>
      <c r="J133" s="2" t="s">
        <v>19</v>
      </c>
      <c r="K133" s="2" t="s">
        <v>160</v>
      </c>
      <c r="L133" s="7" t="str">
        <f>HYPERLINK("http://slimages.macys.com/is/image/MCY/13758855 ")</f>
        <v xml:space="preserve">http://slimages.macys.com/is/image/MCY/13758855 </v>
      </c>
    </row>
    <row r="134" spans="1:12" ht="24.75" x14ac:dyDescent="0.25">
      <c r="A134" s="4" t="s">
        <v>466</v>
      </c>
      <c r="B134" s="2" t="s">
        <v>461</v>
      </c>
      <c r="C134" s="3">
        <v>1</v>
      </c>
      <c r="D134" s="5">
        <v>59.5</v>
      </c>
      <c r="E134" s="3" t="s">
        <v>462</v>
      </c>
      <c r="F134" s="2" t="s">
        <v>464</v>
      </c>
      <c r="G134" s="6" t="s">
        <v>187</v>
      </c>
      <c r="H134" s="2" t="s">
        <v>127</v>
      </c>
      <c r="I134" s="2" t="s">
        <v>128</v>
      </c>
      <c r="J134" s="2" t="s">
        <v>19</v>
      </c>
      <c r="K134" s="2" t="s">
        <v>160</v>
      </c>
      <c r="L134" s="7" t="str">
        <f>HYPERLINK("http://slimages.macys.com/is/image/MCY/13758855 ")</f>
        <v xml:space="preserve">http://slimages.macys.com/is/image/MCY/13758855 </v>
      </c>
    </row>
    <row r="135" spans="1:12" ht="24.75" x14ac:dyDescent="0.25">
      <c r="A135" s="4" t="s">
        <v>467</v>
      </c>
      <c r="B135" s="2" t="s">
        <v>468</v>
      </c>
      <c r="C135" s="3">
        <v>2</v>
      </c>
      <c r="D135" s="5">
        <v>44.63</v>
      </c>
      <c r="E135" s="3" t="s">
        <v>469</v>
      </c>
      <c r="F135" s="2" t="s">
        <v>15</v>
      </c>
      <c r="G135" s="6" t="s">
        <v>58</v>
      </c>
      <c r="H135" s="2" t="s">
        <v>213</v>
      </c>
      <c r="I135" s="2" t="s">
        <v>214</v>
      </c>
      <c r="J135" s="2" t="s">
        <v>19</v>
      </c>
      <c r="K135" s="2" t="s">
        <v>215</v>
      </c>
      <c r="L135" s="7" t="str">
        <f>HYPERLINK("http://slimages.macys.com/is/image/MCY/9910778 ")</f>
        <v xml:space="preserve">http://slimages.macys.com/is/image/MCY/9910778 </v>
      </c>
    </row>
    <row r="136" spans="1:12" ht="24.75" x14ac:dyDescent="0.25">
      <c r="A136" s="4" t="s">
        <v>470</v>
      </c>
      <c r="B136" s="2" t="s">
        <v>471</v>
      </c>
      <c r="C136" s="3">
        <v>1</v>
      </c>
      <c r="D136" s="5">
        <v>44.63</v>
      </c>
      <c r="E136" s="3" t="s">
        <v>472</v>
      </c>
      <c r="F136" s="2" t="s">
        <v>417</v>
      </c>
      <c r="G136" s="6" t="s">
        <v>473</v>
      </c>
      <c r="H136" s="2" t="s">
        <v>213</v>
      </c>
      <c r="I136" s="2" t="s">
        <v>214</v>
      </c>
      <c r="J136" s="2" t="s">
        <v>19</v>
      </c>
      <c r="K136" s="2" t="s">
        <v>215</v>
      </c>
      <c r="L136" s="7" t="str">
        <f>HYPERLINK("http://slimages.macys.com/is/image/MCY/9910778 ")</f>
        <v xml:space="preserve">http://slimages.macys.com/is/image/MCY/9910778 </v>
      </c>
    </row>
    <row r="137" spans="1:12" ht="24.75" x14ac:dyDescent="0.25">
      <c r="A137" s="4" t="s">
        <v>474</v>
      </c>
      <c r="B137" s="2" t="s">
        <v>475</v>
      </c>
      <c r="C137" s="3">
        <v>1</v>
      </c>
      <c r="D137" s="5">
        <v>48.38</v>
      </c>
      <c r="E137" s="3" t="s">
        <v>476</v>
      </c>
      <c r="F137" s="2" t="s">
        <v>111</v>
      </c>
      <c r="G137" s="6" t="s">
        <v>16</v>
      </c>
      <c r="H137" s="2" t="s">
        <v>213</v>
      </c>
      <c r="I137" s="2" t="s">
        <v>214</v>
      </c>
      <c r="J137" s="2" t="s">
        <v>19</v>
      </c>
      <c r="K137" s="2" t="s">
        <v>392</v>
      </c>
      <c r="L137" s="7" t="str">
        <f>HYPERLINK("http://slimages.macys.com/is/image/MCY/10679469 ")</f>
        <v xml:space="preserve">http://slimages.macys.com/is/image/MCY/10679469 </v>
      </c>
    </row>
    <row r="138" spans="1:12" ht="24.75" x14ac:dyDescent="0.25">
      <c r="A138" s="4" t="s">
        <v>477</v>
      </c>
      <c r="B138" s="2" t="s">
        <v>478</v>
      </c>
      <c r="C138" s="3">
        <v>1</v>
      </c>
      <c r="D138" s="5">
        <v>40.880000000000003</v>
      </c>
      <c r="E138" s="3" t="s">
        <v>479</v>
      </c>
      <c r="F138" s="2" t="s">
        <v>74</v>
      </c>
      <c r="G138" s="6" t="s">
        <v>181</v>
      </c>
      <c r="H138" s="2" t="s">
        <v>284</v>
      </c>
      <c r="I138" s="2" t="s">
        <v>285</v>
      </c>
      <c r="J138" s="2" t="s">
        <v>19</v>
      </c>
      <c r="K138" s="2" t="s">
        <v>480</v>
      </c>
      <c r="L138" s="7" t="str">
        <f>HYPERLINK("http://slimages.macys.com/is/image/MCY/15413871 ")</f>
        <v xml:space="preserve">http://slimages.macys.com/is/image/MCY/15413871 </v>
      </c>
    </row>
    <row r="139" spans="1:12" ht="24.75" x14ac:dyDescent="0.25">
      <c r="A139" s="4" t="s">
        <v>481</v>
      </c>
      <c r="B139" s="2" t="s">
        <v>482</v>
      </c>
      <c r="C139" s="3">
        <v>1</v>
      </c>
      <c r="D139" s="5">
        <v>48.65</v>
      </c>
      <c r="E139" s="3" t="s">
        <v>483</v>
      </c>
      <c r="F139" s="2" t="s">
        <v>252</v>
      </c>
      <c r="G139" s="6" t="s">
        <v>154</v>
      </c>
      <c r="H139" s="2" t="s">
        <v>182</v>
      </c>
      <c r="I139" s="2" t="s">
        <v>183</v>
      </c>
      <c r="J139" s="2" t="s">
        <v>19</v>
      </c>
      <c r="K139" s="2" t="s">
        <v>201</v>
      </c>
      <c r="L139" s="7" t="str">
        <f>HYPERLINK("http://slimages.macys.com/is/image/MCY/13401224 ")</f>
        <v xml:space="preserve">http://slimages.macys.com/is/image/MCY/13401224 </v>
      </c>
    </row>
    <row r="140" spans="1:12" ht="24.75" x14ac:dyDescent="0.25">
      <c r="A140" s="4" t="s">
        <v>484</v>
      </c>
      <c r="B140" s="2" t="s">
        <v>485</v>
      </c>
      <c r="C140" s="3">
        <v>1</v>
      </c>
      <c r="D140" s="5">
        <v>44.63</v>
      </c>
      <c r="E140" s="3" t="s">
        <v>486</v>
      </c>
      <c r="F140" s="2" t="s">
        <v>26</v>
      </c>
      <c r="G140" s="6" t="s">
        <v>22</v>
      </c>
      <c r="H140" s="2" t="s">
        <v>246</v>
      </c>
      <c r="I140" s="2" t="s">
        <v>487</v>
      </c>
      <c r="J140" s="2" t="s">
        <v>19</v>
      </c>
      <c r="K140" s="2" t="s">
        <v>409</v>
      </c>
      <c r="L140" s="7" t="str">
        <f>HYPERLINK("http://slimages.macys.com/is/image/MCY/11806851 ")</f>
        <v xml:space="preserve">http://slimages.macys.com/is/image/MCY/11806851 </v>
      </c>
    </row>
    <row r="141" spans="1:12" ht="24.75" x14ac:dyDescent="0.25">
      <c r="A141" s="4" t="s">
        <v>488</v>
      </c>
      <c r="B141" s="2" t="s">
        <v>489</v>
      </c>
      <c r="C141" s="3">
        <v>1</v>
      </c>
      <c r="D141" s="5">
        <v>69.5</v>
      </c>
      <c r="E141" s="3" t="s">
        <v>490</v>
      </c>
      <c r="F141" s="2" t="s">
        <v>64</v>
      </c>
      <c r="G141" s="6" t="s">
        <v>39</v>
      </c>
      <c r="H141" s="2" t="s">
        <v>386</v>
      </c>
      <c r="I141" s="2" t="s">
        <v>337</v>
      </c>
      <c r="J141" s="2" t="s">
        <v>19</v>
      </c>
      <c r="K141" s="2" t="s">
        <v>361</v>
      </c>
      <c r="L141" s="7" t="str">
        <f>HYPERLINK("http://slimages.macys.com/is/image/MCY/3962661 ")</f>
        <v xml:space="preserve">http://slimages.macys.com/is/image/MCY/3962661 </v>
      </c>
    </row>
    <row r="142" spans="1:12" ht="24.75" x14ac:dyDescent="0.25">
      <c r="A142" s="4" t="s">
        <v>491</v>
      </c>
      <c r="B142" s="2" t="s">
        <v>492</v>
      </c>
      <c r="C142" s="3">
        <v>1</v>
      </c>
      <c r="D142" s="5">
        <v>44.5</v>
      </c>
      <c r="E142" s="3" t="s">
        <v>493</v>
      </c>
      <c r="F142" s="2" t="s">
        <v>494</v>
      </c>
      <c r="G142" s="6" t="s">
        <v>154</v>
      </c>
      <c r="H142" s="2" t="s">
        <v>194</v>
      </c>
      <c r="I142" s="2" t="s">
        <v>195</v>
      </c>
      <c r="J142" s="2" t="s">
        <v>19</v>
      </c>
      <c r="K142" s="2" t="s">
        <v>495</v>
      </c>
      <c r="L142" s="7" t="str">
        <f>HYPERLINK("http://slimages.macys.com/is/image/MCY/11937857 ")</f>
        <v xml:space="preserve">http://slimages.macys.com/is/image/MCY/11937857 </v>
      </c>
    </row>
    <row r="143" spans="1:12" ht="36.75" x14ac:dyDescent="0.25">
      <c r="A143" s="4" t="s">
        <v>496</v>
      </c>
      <c r="B143" s="2" t="s">
        <v>497</v>
      </c>
      <c r="C143" s="3">
        <v>1</v>
      </c>
      <c r="D143" s="5">
        <v>43.5</v>
      </c>
      <c r="E143" s="3" t="s">
        <v>498</v>
      </c>
      <c r="F143" s="2" t="s">
        <v>64</v>
      </c>
      <c r="G143" s="6" t="s">
        <v>499</v>
      </c>
      <c r="H143" s="2" t="s">
        <v>349</v>
      </c>
      <c r="I143" s="2" t="s">
        <v>408</v>
      </c>
      <c r="J143" s="2" t="s">
        <v>19</v>
      </c>
      <c r="K143" s="2" t="s">
        <v>500</v>
      </c>
      <c r="L143" s="7" t="str">
        <f>HYPERLINK("http://slimages.macys.com/is/image/MCY/9468308 ")</f>
        <v xml:space="preserve">http://slimages.macys.com/is/image/MCY/9468308 </v>
      </c>
    </row>
    <row r="144" spans="1:12" ht="36.75" x14ac:dyDescent="0.25">
      <c r="A144" s="4" t="s">
        <v>501</v>
      </c>
      <c r="B144" s="2" t="s">
        <v>502</v>
      </c>
      <c r="C144" s="3">
        <v>1</v>
      </c>
      <c r="D144" s="5">
        <v>40.880000000000003</v>
      </c>
      <c r="E144" s="3">
        <v>100047671</v>
      </c>
      <c r="F144" s="2" t="s">
        <v>79</v>
      </c>
      <c r="G144" s="6" t="s">
        <v>58</v>
      </c>
      <c r="H144" s="2" t="s">
        <v>194</v>
      </c>
      <c r="I144" s="2" t="s">
        <v>503</v>
      </c>
      <c r="J144" s="2" t="s">
        <v>19</v>
      </c>
      <c r="K144" s="2" t="s">
        <v>504</v>
      </c>
      <c r="L144" s="7" t="str">
        <f>HYPERLINK("http://slimages.macys.com/is/image/MCY/11937756 ")</f>
        <v xml:space="preserve">http://slimages.macys.com/is/image/MCY/11937756 </v>
      </c>
    </row>
    <row r="145" spans="1:12" ht="36.75" x14ac:dyDescent="0.25">
      <c r="A145" s="4" t="s">
        <v>505</v>
      </c>
      <c r="B145" s="2" t="s">
        <v>502</v>
      </c>
      <c r="C145" s="3">
        <v>1</v>
      </c>
      <c r="D145" s="5">
        <v>40.880000000000003</v>
      </c>
      <c r="E145" s="3">
        <v>100047671</v>
      </c>
      <c r="F145" s="2" t="s">
        <v>506</v>
      </c>
      <c r="G145" s="6" t="s">
        <v>65</v>
      </c>
      <c r="H145" s="2" t="s">
        <v>194</v>
      </c>
      <c r="I145" s="2" t="s">
        <v>503</v>
      </c>
      <c r="J145" s="2" t="s">
        <v>19</v>
      </c>
      <c r="K145" s="2" t="s">
        <v>504</v>
      </c>
      <c r="L145" s="7" t="str">
        <f>HYPERLINK("http://slimages.macys.com/is/image/MCY/11937756 ")</f>
        <v xml:space="preserve">http://slimages.macys.com/is/image/MCY/11937756 </v>
      </c>
    </row>
    <row r="146" spans="1:12" ht="36.75" x14ac:dyDescent="0.25">
      <c r="A146" s="4" t="s">
        <v>507</v>
      </c>
      <c r="B146" s="2" t="s">
        <v>502</v>
      </c>
      <c r="C146" s="3">
        <v>2</v>
      </c>
      <c r="D146" s="5">
        <v>40.880000000000003</v>
      </c>
      <c r="E146" s="3">
        <v>100047671</v>
      </c>
      <c r="F146" s="2" t="s">
        <v>79</v>
      </c>
      <c r="G146" s="6" t="s">
        <v>16</v>
      </c>
      <c r="H146" s="2" t="s">
        <v>194</v>
      </c>
      <c r="I146" s="2" t="s">
        <v>503</v>
      </c>
      <c r="J146" s="2" t="s">
        <v>19</v>
      </c>
      <c r="K146" s="2" t="s">
        <v>504</v>
      </c>
      <c r="L146" s="7" t="str">
        <f>HYPERLINK("http://slimages.macys.com/is/image/MCY/11937756 ")</f>
        <v xml:space="preserve">http://slimages.macys.com/is/image/MCY/11937756 </v>
      </c>
    </row>
    <row r="147" spans="1:12" ht="24.75" x14ac:dyDescent="0.25">
      <c r="A147" s="4" t="s">
        <v>508</v>
      </c>
      <c r="B147" s="2" t="s">
        <v>509</v>
      </c>
      <c r="C147" s="3">
        <v>1</v>
      </c>
      <c r="D147" s="5">
        <v>40.880000000000003</v>
      </c>
      <c r="E147" s="3" t="s">
        <v>510</v>
      </c>
      <c r="F147" s="2" t="s">
        <v>74</v>
      </c>
      <c r="G147" s="6" t="s">
        <v>154</v>
      </c>
      <c r="H147" s="2" t="s">
        <v>284</v>
      </c>
      <c r="I147" s="2" t="s">
        <v>285</v>
      </c>
      <c r="J147" s="2" t="s">
        <v>19</v>
      </c>
      <c r="K147" s="2" t="s">
        <v>34</v>
      </c>
      <c r="L147" s="7" t="str">
        <f>HYPERLINK("http://slimages.macys.com/is/image/MCY/15141933 ")</f>
        <v xml:space="preserve">http://slimages.macys.com/is/image/MCY/15141933 </v>
      </c>
    </row>
    <row r="148" spans="1:12" ht="36.75" x14ac:dyDescent="0.25">
      <c r="A148" s="4" t="s">
        <v>511</v>
      </c>
      <c r="B148" s="2" t="s">
        <v>512</v>
      </c>
      <c r="C148" s="3">
        <v>1</v>
      </c>
      <c r="D148" s="5">
        <v>41.65</v>
      </c>
      <c r="E148" s="3" t="s">
        <v>513</v>
      </c>
      <c r="F148" s="2" t="s">
        <v>376</v>
      </c>
      <c r="G148" s="6" t="s">
        <v>154</v>
      </c>
      <c r="H148" s="2" t="s">
        <v>182</v>
      </c>
      <c r="I148" s="2" t="s">
        <v>183</v>
      </c>
      <c r="J148" s="2" t="s">
        <v>19</v>
      </c>
      <c r="K148" s="2" t="s">
        <v>514</v>
      </c>
      <c r="L148" s="7" t="str">
        <f>HYPERLINK("http://slimages.macys.com/is/image/MCY/13330052 ")</f>
        <v xml:space="preserve">http://slimages.macys.com/is/image/MCY/13330052 </v>
      </c>
    </row>
    <row r="149" spans="1:12" ht="24.75" x14ac:dyDescent="0.25">
      <c r="A149" s="4" t="s">
        <v>515</v>
      </c>
      <c r="B149" s="2" t="s">
        <v>502</v>
      </c>
      <c r="C149" s="3">
        <v>1</v>
      </c>
      <c r="D149" s="5">
        <v>39.5</v>
      </c>
      <c r="E149" s="3" t="s">
        <v>516</v>
      </c>
      <c r="F149" s="2" t="s">
        <v>79</v>
      </c>
      <c r="G149" s="6" t="s">
        <v>336</v>
      </c>
      <c r="H149" s="2" t="s">
        <v>312</v>
      </c>
      <c r="I149" s="2" t="s">
        <v>195</v>
      </c>
      <c r="J149" s="2" t="s">
        <v>19</v>
      </c>
      <c r="K149" s="2" t="s">
        <v>517</v>
      </c>
      <c r="L149" s="7" t="str">
        <f>HYPERLINK("http://slimages.macys.com/is/image/MCY/12272685 ")</f>
        <v xml:space="preserve">http://slimages.macys.com/is/image/MCY/12272685 </v>
      </c>
    </row>
    <row r="150" spans="1:12" ht="36.75" x14ac:dyDescent="0.25">
      <c r="A150" s="4" t="s">
        <v>518</v>
      </c>
      <c r="B150" s="2" t="s">
        <v>519</v>
      </c>
      <c r="C150" s="3">
        <v>1</v>
      </c>
      <c r="D150" s="5">
        <v>44.63</v>
      </c>
      <c r="E150" s="3" t="s">
        <v>520</v>
      </c>
      <c r="F150" s="2" t="s">
        <v>26</v>
      </c>
      <c r="G150" s="6" t="s">
        <v>234</v>
      </c>
      <c r="H150" s="2" t="s">
        <v>194</v>
      </c>
      <c r="I150" s="2" t="s">
        <v>195</v>
      </c>
      <c r="J150" s="2" t="s">
        <v>19</v>
      </c>
      <c r="K150" s="2" t="s">
        <v>521</v>
      </c>
      <c r="L150" s="7" t="str">
        <f>HYPERLINK("http://slimages.macys.com/is/image/MCY/12279320 ")</f>
        <v xml:space="preserve">http://slimages.macys.com/is/image/MCY/12279320 </v>
      </c>
    </row>
    <row r="151" spans="1:12" ht="24.75" x14ac:dyDescent="0.25">
      <c r="A151" s="4" t="s">
        <v>522</v>
      </c>
      <c r="B151" s="2" t="s">
        <v>523</v>
      </c>
      <c r="C151" s="3">
        <v>1</v>
      </c>
      <c r="D151" s="5">
        <v>44.63</v>
      </c>
      <c r="E151" s="3" t="s">
        <v>524</v>
      </c>
      <c r="F151" s="2" t="s">
        <v>33</v>
      </c>
      <c r="G151" s="6" t="s">
        <v>112</v>
      </c>
      <c r="H151" s="2" t="s">
        <v>246</v>
      </c>
      <c r="I151" s="2" t="s">
        <v>525</v>
      </c>
      <c r="J151" s="2" t="s">
        <v>19</v>
      </c>
      <c r="K151" s="2" t="s">
        <v>353</v>
      </c>
      <c r="L151" s="7" t="str">
        <f>HYPERLINK("http://slimages.macys.com/is/image/MCY/11992654 ")</f>
        <v xml:space="preserve">http://slimages.macys.com/is/image/MCY/11992654 </v>
      </c>
    </row>
    <row r="152" spans="1:12" ht="24.75" x14ac:dyDescent="0.25">
      <c r="A152" s="4" t="s">
        <v>526</v>
      </c>
      <c r="B152" s="2" t="s">
        <v>527</v>
      </c>
      <c r="C152" s="3">
        <v>1</v>
      </c>
      <c r="D152" s="5">
        <v>48.38</v>
      </c>
      <c r="E152" s="3" t="s">
        <v>528</v>
      </c>
      <c r="F152" s="2" t="s">
        <v>417</v>
      </c>
      <c r="G152" s="6"/>
      <c r="H152" s="2" t="s">
        <v>349</v>
      </c>
      <c r="I152" s="2" t="s">
        <v>285</v>
      </c>
      <c r="J152" s="2" t="s">
        <v>19</v>
      </c>
      <c r="K152" s="2" t="s">
        <v>160</v>
      </c>
      <c r="L152" s="7" t="str">
        <f>HYPERLINK("http://slimages.macys.com/is/image/MCY/12715708 ")</f>
        <v xml:space="preserve">http://slimages.macys.com/is/image/MCY/12715708 </v>
      </c>
    </row>
    <row r="153" spans="1:12" ht="24.75" x14ac:dyDescent="0.25">
      <c r="A153" s="4" t="s">
        <v>529</v>
      </c>
      <c r="B153" s="2" t="s">
        <v>530</v>
      </c>
      <c r="C153" s="3">
        <v>2</v>
      </c>
      <c r="D153" s="5">
        <v>44.63</v>
      </c>
      <c r="E153" s="3" t="s">
        <v>531</v>
      </c>
      <c r="F153" s="2" t="s">
        <v>532</v>
      </c>
      <c r="G153" s="6" t="s">
        <v>181</v>
      </c>
      <c r="H153" s="2" t="s">
        <v>194</v>
      </c>
      <c r="I153" s="2" t="s">
        <v>195</v>
      </c>
      <c r="J153" s="2" t="s">
        <v>19</v>
      </c>
      <c r="K153" s="2" t="s">
        <v>533</v>
      </c>
      <c r="L153" s="7" t="str">
        <f>HYPERLINK("http://slimages.macys.com/is/image/MCY/12316730 ")</f>
        <v xml:space="preserve">http://slimages.macys.com/is/image/MCY/12316730 </v>
      </c>
    </row>
    <row r="154" spans="1:12" ht="24.75" x14ac:dyDescent="0.25">
      <c r="A154" s="4" t="s">
        <v>534</v>
      </c>
      <c r="B154" s="2" t="s">
        <v>535</v>
      </c>
      <c r="C154" s="3">
        <v>1</v>
      </c>
      <c r="D154" s="5">
        <v>51.5</v>
      </c>
      <c r="E154" s="3" t="s">
        <v>536</v>
      </c>
      <c r="F154" s="2" t="s">
        <v>57</v>
      </c>
      <c r="G154" s="6" t="s">
        <v>154</v>
      </c>
      <c r="H154" s="2" t="s">
        <v>246</v>
      </c>
      <c r="I154" s="2" t="s">
        <v>189</v>
      </c>
      <c r="J154" s="2" t="s">
        <v>19</v>
      </c>
      <c r="K154" s="2" t="s">
        <v>537</v>
      </c>
      <c r="L154" s="7" t="str">
        <f>HYPERLINK("http://slimages.macys.com/is/image/MCY/11884249 ")</f>
        <v xml:space="preserve">http://slimages.macys.com/is/image/MCY/11884249 </v>
      </c>
    </row>
    <row r="155" spans="1:12" ht="24.75" x14ac:dyDescent="0.25">
      <c r="A155" s="4" t="s">
        <v>538</v>
      </c>
      <c r="B155" s="2" t="s">
        <v>539</v>
      </c>
      <c r="C155" s="3">
        <v>1</v>
      </c>
      <c r="D155" s="5">
        <v>49.99</v>
      </c>
      <c r="E155" s="3" t="s">
        <v>540</v>
      </c>
      <c r="F155" s="2"/>
      <c r="G155" s="6" t="s">
        <v>363</v>
      </c>
      <c r="H155" s="2" t="s">
        <v>127</v>
      </c>
      <c r="I155" s="2" t="s">
        <v>541</v>
      </c>
      <c r="J155" s="2" t="s">
        <v>19</v>
      </c>
      <c r="K155" s="2" t="s">
        <v>137</v>
      </c>
      <c r="L155" s="7" t="str">
        <f>HYPERLINK("http://slimages.macys.com/is/image/MCY/10438351 ")</f>
        <v xml:space="preserve">http://slimages.macys.com/is/image/MCY/10438351 </v>
      </c>
    </row>
    <row r="156" spans="1:12" ht="24.75" x14ac:dyDescent="0.25">
      <c r="A156" s="4" t="s">
        <v>542</v>
      </c>
      <c r="B156" s="2" t="s">
        <v>543</v>
      </c>
      <c r="C156" s="3">
        <v>1</v>
      </c>
      <c r="D156" s="5">
        <v>69.5</v>
      </c>
      <c r="E156" s="3">
        <v>100061565</v>
      </c>
      <c r="F156" s="2" t="s">
        <v>74</v>
      </c>
      <c r="G156" s="6" t="s">
        <v>58</v>
      </c>
      <c r="H156" s="2" t="s">
        <v>386</v>
      </c>
      <c r="I156" s="2" t="s">
        <v>207</v>
      </c>
      <c r="J156" s="2" t="s">
        <v>19</v>
      </c>
      <c r="K156" s="2" t="s">
        <v>338</v>
      </c>
      <c r="L156" s="7" t="str">
        <f>HYPERLINK("http://slimages.macys.com/is/image/MCY/11943173 ")</f>
        <v xml:space="preserve">http://slimages.macys.com/is/image/MCY/11943173 </v>
      </c>
    </row>
    <row r="157" spans="1:12" ht="24.75" x14ac:dyDescent="0.25">
      <c r="A157" s="4" t="s">
        <v>544</v>
      </c>
      <c r="B157" s="2" t="s">
        <v>545</v>
      </c>
      <c r="C157" s="3">
        <v>1</v>
      </c>
      <c r="D157" s="5">
        <v>44.63</v>
      </c>
      <c r="E157" s="3">
        <v>100058195</v>
      </c>
      <c r="F157" s="2" t="s">
        <v>33</v>
      </c>
      <c r="G157" s="6" t="s">
        <v>234</v>
      </c>
      <c r="H157" s="2" t="s">
        <v>194</v>
      </c>
      <c r="I157" s="2" t="s">
        <v>195</v>
      </c>
      <c r="J157" s="2" t="s">
        <v>19</v>
      </c>
      <c r="K157" s="2" t="s">
        <v>546</v>
      </c>
      <c r="L157" s="7" t="str">
        <f>HYPERLINK("http://slimages.macys.com/is/image/MCY/12950277 ")</f>
        <v xml:space="preserve">http://slimages.macys.com/is/image/MCY/12950277 </v>
      </c>
    </row>
    <row r="158" spans="1:12" ht="24.75" x14ac:dyDescent="0.25">
      <c r="A158" s="4" t="s">
        <v>547</v>
      </c>
      <c r="B158" s="2" t="s">
        <v>548</v>
      </c>
      <c r="C158" s="3">
        <v>1</v>
      </c>
      <c r="D158" s="5">
        <v>44.5</v>
      </c>
      <c r="E158" s="3" t="s">
        <v>549</v>
      </c>
      <c r="F158" s="2" t="s">
        <v>252</v>
      </c>
      <c r="G158" s="6" t="s">
        <v>181</v>
      </c>
      <c r="H158" s="2" t="s">
        <v>194</v>
      </c>
      <c r="I158" s="2" t="s">
        <v>195</v>
      </c>
      <c r="J158" s="2" t="s">
        <v>19</v>
      </c>
      <c r="K158" s="2" t="s">
        <v>34</v>
      </c>
      <c r="L158" s="7" t="str">
        <f>HYPERLINK("http://slimages.macys.com/is/image/MCY/11527016 ")</f>
        <v xml:space="preserve">http://slimages.macys.com/is/image/MCY/11527016 </v>
      </c>
    </row>
    <row r="159" spans="1:12" ht="48.75" x14ac:dyDescent="0.25">
      <c r="A159" s="4" t="s">
        <v>550</v>
      </c>
      <c r="B159" s="2" t="s">
        <v>551</v>
      </c>
      <c r="C159" s="3">
        <v>1</v>
      </c>
      <c r="D159" s="5">
        <v>48</v>
      </c>
      <c r="E159" s="3">
        <v>100053418</v>
      </c>
      <c r="F159" s="2" t="s">
        <v>26</v>
      </c>
      <c r="G159" s="6" t="s">
        <v>154</v>
      </c>
      <c r="H159" s="2" t="s">
        <v>228</v>
      </c>
      <c r="I159" s="2" t="s">
        <v>229</v>
      </c>
      <c r="J159" s="2" t="s">
        <v>19</v>
      </c>
      <c r="K159" s="2" t="s">
        <v>552</v>
      </c>
      <c r="L159" s="7" t="str">
        <f>HYPERLINK("http://slimages.macys.com/is/image/MCY/12158587 ")</f>
        <v xml:space="preserve">http://slimages.macys.com/is/image/MCY/12158587 </v>
      </c>
    </row>
    <row r="160" spans="1:12" ht="24.75" x14ac:dyDescent="0.25">
      <c r="A160" s="4" t="s">
        <v>553</v>
      </c>
      <c r="B160" s="2" t="s">
        <v>554</v>
      </c>
      <c r="C160" s="3">
        <v>1</v>
      </c>
      <c r="D160" s="5">
        <v>58.5</v>
      </c>
      <c r="E160" s="3" t="s">
        <v>555</v>
      </c>
      <c r="F160" s="2" t="s">
        <v>74</v>
      </c>
      <c r="G160" s="6" t="s">
        <v>154</v>
      </c>
      <c r="H160" s="2" t="s">
        <v>246</v>
      </c>
      <c r="I160" s="2" t="s">
        <v>189</v>
      </c>
      <c r="J160" s="2" t="s">
        <v>19</v>
      </c>
      <c r="K160" s="2" t="s">
        <v>160</v>
      </c>
      <c r="L160" s="7" t="str">
        <f>HYPERLINK("http://slimages.macys.com/is/image/MCY/13922953 ")</f>
        <v xml:space="preserve">http://slimages.macys.com/is/image/MCY/13922953 </v>
      </c>
    </row>
    <row r="161" spans="1:12" ht="24.75" x14ac:dyDescent="0.25">
      <c r="A161" s="4" t="s">
        <v>556</v>
      </c>
      <c r="B161" s="2" t="s">
        <v>557</v>
      </c>
      <c r="C161" s="3">
        <v>1</v>
      </c>
      <c r="D161" s="5">
        <v>79.5</v>
      </c>
      <c r="E161" s="3" t="s">
        <v>558</v>
      </c>
      <c r="F161" s="2" t="s">
        <v>464</v>
      </c>
      <c r="G161" s="6"/>
      <c r="H161" s="2" t="s">
        <v>206</v>
      </c>
      <c r="I161" s="2" t="s">
        <v>207</v>
      </c>
      <c r="J161" s="2" t="s">
        <v>19</v>
      </c>
      <c r="K161" s="2" t="s">
        <v>75</v>
      </c>
      <c r="L161" s="7" t="str">
        <f>HYPERLINK("http://slimages.macys.com/is/image/MCY/12953737 ")</f>
        <v xml:space="preserve">http://slimages.macys.com/is/image/MCY/12953737 </v>
      </c>
    </row>
    <row r="162" spans="1:12" ht="24.75" x14ac:dyDescent="0.25">
      <c r="A162" s="4" t="s">
        <v>559</v>
      </c>
      <c r="B162" s="2" t="s">
        <v>560</v>
      </c>
      <c r="C162" s="3">
        <v>1</v>
      </c>
      <c r="D162" s="5">
        <v>39.5</v>
      </c>
      <c r="E162" s="3" t="s">
        <v>561</v>
      </c>
      <c r="F162" s="2" t="s">
        <v>562</v>
      </c>
      <c r="G162" s="6" t="s">
        <v>154</v>
      </c>
      <c r="H162" s="2" t="s">
        <v>194</v>
      </c>
      <c r="I162" s="2" t="s">
        <v>195</v>
      </c>
      <c r="J162" s="2" t="s">
        <v>19</v>
      </c>
      <c r="K162" s="2" t="s">
        <v>151</v>
      </c>
      <c r="L162" s="7" t="str">
        <f>HYPERLINK("http://slimages.macys.com/is/image/MCY/11937879 ")</f>
        <v xml:space="preserve">http://slimages.macys.com/is/image/MCY/11937879 </v>
      </c>
    </row>
    <row r="163" spans="1:12" ht="24.75" x14ac:dyDescent="0.25">
      <c r="A163" s="4" t="s">
        <v>563</v>
      </c>
      <c r="B163" s="2" t="s">
        <v>564</v>
      </c>
      <c r="C163" s="3">
        <v>1</v>
      </c>
      <c r="D163" s="5">
        <v>40.880000000000003</v>
      </c>
      <c r="E163" s="3" t="s">
        <v>565</v>
      </c>
      <c r="F163" s="2" t="s">
        <v>566</v>
      </c>
      <c r="G163" s="6" t="s">
        <v>154</v>
      </c>
      <c r="H163" s="2" t="s">
        <v>194</v>
      </c>
      <c r="I163" s="2" t="s">
        <v>195</v>
      </c>
      <c r="J163" s="2" t="s">
        <v>19</v>
      </c>
      <c r="K163" s="2" t="s">
        <v>567</v>
      </c>
      <c r="L163" s="7" t="str">
        <f>HYPERLINK("http://slimages.macys.com/is/image/MCY/12064036 ")</f>
        <v xml:space="preserve">http://slimages.macys.com/is/image/MCY/12064036 </v>
      </c>
    </row>
    <row r="164" spans="1:12" ht="24.75" x14ac:dyDescent="0.25">
      <c r="A164" s="4" t="s">
        <v>568</v>
      </c>
      <c r="B164" s="2" t="s">
        <v>564</v>
      </c>
      <c r="C164" s="3">
        <v>1</v>
      </c>
      <c r="D164" s="5">
        <v>40.880000000000003</v>
      </c>
      <c r="E164" s="3" t="s">
        <v>565</v>
      </c>
      <c r="F164" s="2" t="s">
        <v>413</v>
      </c>
      <c r="G164" s="6" t="s">
        <v>154</v>
      </c>
      <c r="H164" s="2" t="s">
        <v>194</v>
      </c>
      <c r="I164" s="2" t="s">
        <v>195</v>
      </c>
      <c r="J164" s="2" t="s">
        <v>19</v>
      </c>
      <c r="K164" s="2" t="s">
        <v>567</v>
      </c>
      <c r="L164" s="7" t="str">
        <f>HYPERLINK("http://slimages.macys.com/is/image/MCY/12064036 ")</f>
        <v xml:space="preserve">http://slimages.macys.com/is/image/MCY/12064036 </v>
      </c>
    </row>
    <row r="165" spans="1:12" ht="24.75" x14ac:dyDescent="0.25">
      <c r="A165" s="4" t="s">
        <v>569</v>
      </c>
      <c r="B165" s="2" t="s">
        <v>570</v>
      </c>
      <c r="C165" s="3">
        <v>1</v>
      </c>
      <c r="D165" s="5">
        <v>40.880000000000003</v>
      </c>
      <c r="E165" s="3" t="s">
        <v>571</v>
      </c>
      <c r="F165" s="2" t="s">
        <v>572</v>
      </c>
      <c r="G165" s="6" t="s">
        <v>65</v>
      </c>
      <c r="H165" s="2" t="s">
        <v>246</v>
      </c>
      <c r="I165" s="2" t="s">
        <v>525</v>
      </c>
      <c r="J165" s="2" t="s">
        <v>19</v>
      </c>
      <c r="K165" s="2" t="s">
        <v>338</v>
      </c>
      <c r="L165" s="7" t="str">
        <f>HYPERLINK("http://slimages.macys.com/is/image/MCY/11746434 ")</f>
        <v xml:space="preserve">http://slimages.macys.com/is/image/MCY/11746434 </v>
      </c>
    </row>
    <row r="166" spans="1:12" ht="24.75" x14ac:dyDescent="0.25">
      <c r="A166" s="4" t="s">
        <v>573</v>
      </c>
      <c r="B166" s="2" t="s">
        <v>574</v>
      </c>
      <c r="C166" s="3">
        <v>1</v>
      </c>
      <c r="D166" s="5">
        <v>44.63</v>
      </c>
      <c r="E166" s="3" t="s">
        <v>575</v>
      </c>
      <c r="F166" s="2" t="s">
        <v>26</v>
      </c>
      <c r="G166" s="6" t="s">
        <v>156</v>
      </c>
      <c r="H166" s="2" t="s">
        <v>194</v>
      </c>
      <c r="I166" s="2" t="s">
        <v>195</v>
      </c>
      <c r="J166" s="2" t="s">
        <v>19</v>
      </c>
      <c r="K166" s="2" t="s">
        <v>160</v>
      </c>
      <c r="L166" s="7" t="str">
        <f>HYPERLINK("http://slimages.macys.com/is/image/MCY/12280016 ")</f>
        <v xml:space="preserve">http://slimages.macys.com/is/image/MCY/12280016 </v>
      </c>
    </row>
    <row r="167" spans="1:12" ht="24.75" x14ac:dyDescent="0.25">
      <c r="A167" s="4" t="s">
        <v>576</v>
      </c>
      <c r="B167" s="2" t="s">
        <v>577</v>
      </c>
      <c r="C167" s="3">
        <v>2</v>
      </c>
      <c r="D167" s="5">
        <v>44.63</v>
      </c>
      <c r="E167" s="3" t="s">
        <v>578</v>
      </c>
      <c r="F167" s="2" t="s">
        <v>579</v>
      </c>
      <c r="G167" s="6" t="s">
        <v>154</v>
      </c>
      <c r="H167" s="2" t="s">
        <v>194</v>
      </c>
      <c r="I167" s="2" t="s">
        <v>580</v>
      </c>
      <c r="J167" s="2" t="s">
        <v>19</v>
      </c>
      <c r="K167" s="2" t="s">
        <v>247</v>
      </c>
      <c r="L167" s="7" t="str">
        <f>HYPERLINK("http://slimages.macys.com/is/image/MCY/12743841 ")</f>
        <v xml:space="preserve">http://slimages.macys.com/is/image/MCY/12743841 </v>
      </c>
    </row>
    <row r="168" spans="1:12" ht="24.75" x14ac:dyDescent="0.25">
      <c r="A168" s="4" t="s">
        <v>581</v>
      </c>
      <c r="B168" s="2" t="s">
        <v>577</v>
      </c>
      <c r="C168" s="3">
        <v>1</v>
      </c>
      <c r="D168" s="5">
        <v>44.63</v>
      </c>
      <c r="E168" s="3" t="s">
        <v>578</v>
      </c>
      <c r="F168" s="2" t="s">
        <v>579</v>
      </c>
      <c r="G168" s="6" t="s">
        <v>181</v>
      </c>
      <c r="H168" s="2" t="s">
        <v>194</v>
      </c>
      <c r="I168" s="2" t="s">
        <v>580</v>
      </c>
      <c r="J168" s="2" t="s">
        <v>19</v>
      </c>
      <c r="K168" s="2" t="s">
        <v>247</v>
      </c>
      <c r="L168" s="7" t="str">
        <f>HYPERLINK("http://slimages.macys.com/is/image/MCY/12743841 ")</f>
        <v xml:space="preserve">http://slimages.macys.com/is/image/MCY/12743841 </v>
      </c>
    </row>
    <row r="169" spans="1:12" ht="24.75" x14ac:dyDescent="0.25">
      <c r="A169" s="4" t="s">
        <v>582</v>
      </c>
      <c r="B169" s="2" t="s">
        <v>577</v>
      </c>
      <c r="C169" s="3">
        <v>3</v>
      </c>
      <c r="D169" s="5">
        <v>44.63</v>
      </c>
      <c r="E169" s="3" t="s">
        <v>578</v>
      </c>
      <c r="F169" s="2" t="s">
        <v>579</v>
      </c>
      <c r="G169" s="6" t="s">
        <v>234</v>
      </c>
      <c r="H169" s="2" t="s">
        <v>194</v>
      </c>
      <c r="I169" s="2" t="s">
        <v>580</v>
      </c>
      <c r="J169" s="2" t="s">
        <v>19</v>
      </c>
      <c r="K169" s="2" t="s">
        <v>247</v>
      </c>
      <c r="L169" s="7" t="str">
        <f>HYPERLINK("http://slimages.macys.com/is/image/MCY/12743841 ")</f>
        <v xml:space="preserve">http://slimages.macys.com/is/image/MCY/12743841 </v>
      </c>
    </row>
    <row r="170" spans="1:12" ht="24.75" x14ac:dyDescent="0.25">
      <c r="A170" s="4" t="s">
        <v>583</v>
      </c>
      <c r="B170" s="2" t="s">
        <v>577</v>
      </c>
      <c r="C170" s="3">
        <v>1</v>
      </c>
      <c r="D170" s="5">
        <v>44.63</v>
      </c>
      <c r="E170" s="3" t="s">
        <v>578</v>
      </c>
      <c r="F170" s="2" t="s">
        <v>15</v>
      </c>
      <c r="G170" s="6" t="s">
        <v>154</v>
      </c>
      <c r="H170" s="2" t="s">
        <v>194</v>
      </c>
      <c r="I170" s="2" t="s">
        <v>580</v>
      </c>
      <c r="J170" s="2" t="s">
        <v>19</v>
      </c>
      <c r="K170" s="2" t="s">
        <v>247</v>
      </c>
      <c r="L170" s="7" t="str">
        <f>HYPERLINK("http://slimages.macys.com/is/image/MCY/12743841 ")</f>
        <v xml:space="preserve">http://slimages.macys.com/is/image/MCY/12743841 </v>
      </c>
    </row>
    <row r="171" spans="1:12" ht="24.75" x14ac:dyDescent="0.25">
      <c r="A171" s="4" t="s">
        <v>584</v>
      </c>
      <c r="B171" s="2" t="s">
        <v>574</v>
      </c>
      <c r="C171" s="3">
        <v>2</v>
      </c>
      <c r="D171" s="5">
        <v>44.63</v>
      </c>
      <c r="E171" s="3" t="s">
        <v>575</v>
      </c>
      <c r="F171" s="2" t="s">
        <v>26</v>
      </c>
      <c r="G171" s="6" t="s">
        <v>154</v>
      </c>
      <c r="H171" s="2" t="s">
        <v>194</v>
      </c>
      <c r="I171" s="2" t="s">
        <v>195</v>
      </c>
      <c r="J171" s="2" t="s">
        <v>19</v>
      </c>
      <c r="K171" s="2" t="s">
        <v>160</v>
      </c>
      <c r="L171" s="7" t="str">
        <f>HYPERLINK("http://slimages.macys.com/is/image/MCY/12280016 ")</f>
        <v xml:space="preserve">http://slimages.macys.com/is/image/MCY/12280016 </v>
      </c>
    </row>
    <row r="172" spans="1:12" ht="24.75" x14ac:dyDescent="0.25">
      <c r="A172" s="4" t="s">
        <v>585</v>
      </c>
      <c r="B172" s="2" t="s">
        <v>574</v>
      </c>
      <c r="C172" s="3">
        <v>1</v>
      </c>
      <c r="D172" s="5">
        <v>44.63</v>
      </c>
      <c r="E172" s="3" t="s">
        <v>575</v>
      </c>
      <c r="F172" s="2" t="s">
        <v>26</v>
      </c>
      <c r="G172" s="6" t="s">
        <v>245</v>
      </c>
      <c r="H172" s="2" t="s">
        <v>194</v>
      </c>
      <c r="I172" s="2" t="s">
        <v>195</v>
      </c>
      <c r="J172" s="2" t="s">
        <v>19</v>
      </c>
      <c r="K172" s="2" t="s">
        <v>160</v>
      </c>
      <c r="L172" s="7" t="str">
        <f>HYPERLINK("http://slimages.macys.com/is/image/MCY/12280016 ")</f>
        <v xml:space="preserve">http://slimages.macys.com/is/image/MCY/12280016 </v>
      </c>
    </row>
    <row r="173" spans="1:12" ht="24.75" x14ac:dyDescent="0.25">
      <c r="A173" s="4" t="s">
        <v>586</v>
      </c>
      <c r="B173" s="2" t="s">
        <v>574</v>
      </c>
      <c r="C173" s="3">
        <v>2</v>
      </c>
      <c r="D173" s="5">
        <v>44.63</v>
      </c>
      <c r="E173" s="3" t="s">
        <v>575</v>
      </c>
      <c r="F173" s="2" t="s">
        <v>26</v>
      </c>
      <c r="G173" s="6" t="s">
        <v>181</v>
      </c>
      <c r="H173" s="2" t="s">
        <v>194</v>
      </c>
      <c r="I173" s="2" t="s">
        <v>195</v>
      </c>
      <c r="J173" s="2" t="s">
        <v>19</v>
      </c>
      <c r="K173" s="2" t="s">
        <v>160</v>
      </c>
      <c r="L173" s="7" t="str">
        <f>HYPERLINK("http://slimages.macys.com/is/image/MCY/12280016 ")</f>
        <v xml:space="preserve">http://slimages.macys.com/is/image/MCY/12280016 </v>
      </c>
    </row>
    <row r="174" spans="1:12" ht="24.75" x14ac:dyDescent="0.25">
      <c r="A174" s="4" t="s">
        <v>587</v>
      </c>
      <c r="B174" s="2" t="s">
        <v>574</v>
      </c>
      <c r="C174" s="3">
        <v>3</v>
      </c>
      <c r="D174" s="5">
        <v>44.63</v>
      </c>
      <c r="E174" s="3" t="s">
        <v>575</v>
      </c>
      <c r="F174" s="2" t="s">
        <v>26</v>
      </c>
      <c r="G174" s="6" t="s">
        <v>234</v>
      </c>
      <c r="H174" s="2" t="s">
        <v>194</v>
      </c>
      <c r="I174" s="2" t="s">
        <v>195</v>
      </c>
      <c r="J174" s="2" t="s">
        <v>19</v>
      </c>
      <c r="K174" s="2" t="s">
        <v>160</v>
      </c>
      <c r="L174" s="7" t="str">
        <f>HYPERLINK("http://slimages.macys.com/is/image/MCY/12280016 ")</f>
        <v xml:space="preserve">http://slimages.macys.com/is/image/MCY/12280016 </v>
      </c>
    </row>
    <row r="175" spans="1:12" ht="24.75" x14ac:dyDescent="0.25">
      <c r="A175" s="4" t="s">
        <v>588</v>
      </c>
      <c r="B175" s="2" t="s">
        <v>570</v>
      </c>
      <c r="C175" s="3">
        <v>1</v>
      </c>
      <c r="D175" s="5">
        <v>40.880000000000003</v>
      </c>
      <c r="E175" s="3" t="s">
        <v>571</v>
      </c>
      <c r="F175" s="2" t="s">
        <v>572</v>
      </c>
      <c r="G175" s="6" t="s">
        <v>58</v>
      </c>
      <c r="H175" s="2" t="s">
        <v>246</v>
      </c>
      <c r="I175" s="2" t="s">
        <v>525</v>
      </c>
      <c r="J175" s="2" t="s">
        <v>19</v>
      </c>
      <c r="K175" s="2" t="s">
        <v>338</v>
      </c>
      <c r="L175" s="7" t="str">
        <f>HYPERLINK("http://slimages.macys.com/is/image/MCY/11746434 ")</f>
        <v xml:space="preserve">http://slimages.macys.com/is/image/MCY/11746434 </v>
      </c>
    </row>
    <row r="176" spans="1:12" ht="24.75" x14ac:dyDescent="0.25">
      <c r="A176" s="4" t="s">
        <v>589</v>
      </c>
      <c r="B176" s="2" t="s">
        <v>590</v>
      </c>
      <c r="C176" s="3">
        <v>1</v>
      </c>
      <c r="D176" s="5">
        <v>44.25</v>
      </c>
      <c r="E176" s="3">
        <v>100037392</v>
      </c>
      <c r="F176" s="2" t="s">
        <v>74</v>
      </c>
      <c r="G176" s="6" t="s">
        <v>27</v>
      </c>
      <c r="H176" s="2" t="s">
        <v>228</v>
      </c>
      <c r="I176" s="2" t="s">
        <v>229</v>
      </c>
      <c r="J176" s="2" t="s">
        <v>19</v>
      </c>
      <c r="K176" s="2" t="s">
        <v>338</v>
      </c>
      <c r="L176" s="7" t="str">
        <f>HYPERLINK("http://slimages.macys.com/is/image/MCY/10888725 ")</f>
        <v xml:space="preserve">http://slimages.macys.com/is/image/MCY/10888725 </v>
      </c>
    </row>
    <row r="177" spans="1:12" ht="24.75" x14ac:dyDescent="0.25">
      <c r="A177" s="4" t="s">
        <v>591</v>
      </c>
      <c r="B177" s="2" t="s">
        <v>592</v>
      </c>
      <c r="C177" s="3">
        <v>1</v>
      </c>
      <c r="D177" s="5">
        <v>44.63</v>
      </c>
      <c r="E177" s="3" t="s">
        <v>593</v>
      </c>
      <c r="F177" s="2" t="s">
        <v>15</v>
      </c>
      <c r="G177" s="6" t="s">
        <v>141</v>
      </c>
      <c r="H177" s="2" t="s">
        <v>213</v>
      </c>
      <c r="I177" s="2" t="s">
        <v>214</v>
      </c>
      <c r="J177" s="2" t="s">
        <v>19</v>
      </c>
      <c r="K177" s="2" t="s">
        <v>253</v>
      </c>
      <c r="L177" s="7" t="str">
        <f>HYPERLINK("http://slimages.macys.com/is/image/MCY/12773239 ")</f>
        <v xml:space="preserve">http://slimages.macys.com/is/image/MCY/12773239 </v>
      </c>
    </row>
    <row r="178" spans="1:12" ht="24.75" x14ac:dyDescent="0.25">
      <c r="A178" s="4" t="s">
        <v>594</v>
      </c>
      <c r="B178" s="2" t="s">
        <v>595</v>
      </c>
      <c r="C178" s="3">
        <v>1</v>
      </c>
      <c r="D178" s="5">
        <v>44.63</v>
      </c>
      <c r="E178" s="3">
        <v>100018127</v>
      </c>
      <c r="F178" s="2" t="s">
        <v>579</v>
      </c>
      <c r="G178" s="6" t="s">
        <v>245</v>
      </c>
      <c r="H178" s="2" t="s">
        <v>194</v>
      </c>
      <c r="I178" s="2" t="s">
        <v>195</v>
      </c>
      <c r="J178" s="2" t="s">
        <v>19</v>
      </c>
      <c r="K178" s="2" t="s">
        <v>34</v>
      </c>
      <c r="L178" s="7" t="str">
        <f>HYPERLINK("http://slimages.macys.com/is/image/MCY/9694255 ")</f>
        <v xml:space="preserve">http://slimages.macys.com/is/image/MCY/9694255 </v>
      </c>
    </row>
    <row r="179" spans="1:12" ht="24.75" x14ac:dyDescent="0.25">
      <c r="A179" s="4" t="s">
        <v>596</v>
      </c>
      <c r="B179" s="2" t="s">
        <v>595</v>
      </c>
      <c r="C179" s="3">
        <v>1</v>
      </c>
      <c r="D179" s="5">
        <v>44.63</v>
      </c>
      <c r="E179" s="3">
        <v>100018127</v>
      </c>
      <c r="F179" s="2" t="s">
        <v>579</v>
      </c>
      <c r="G179" s="6" t="s">
        <v>154</v>
      </c>
      <c r="H179" s="2" t="s">
        <v>194</v>
      </c>
      <c r="I179" s="2" t="s">
        <v>195</v>
      </c>
      <c r="J179" s="2" t="s">
        <v>19</v>
      </c>
      <c r="K179" s="2" t="s">
        <v>34</v>
      </c>
      <c r="L179" s="7" t="str">
        <f>HYPERLINK("http://slimages.macys.com/is/image/MCY/9694255 ")</f>
        <v xml:space="preserve">http://slimages.macys.com/is/image/MCY/9694255 </v>
      </c>
    </row>
    <row r="180" spans="1:12" ht="24.75" x14ac:dyDescent="0.25">
      <c r="A180" s="4" t="s">
        <v>597</v>
      </c>
      <c r="B180" s="2" t="s">
        <v>595</v>
      </c>
      <c r="C180" s="3">
        <v>3</v>
      </c>
      <c r="D180" s="5">
        <v>44.63</v>
      </c>
      <c r="E180" s="3">
        <v>100018127</v>
      </c>
      <c r="F180" s="2" t="s">
        <v>579</v>
      </c>
      <c r="G180" s="6" t="s">
        <v>181</v>
      </c>
      <c r="H180" s="2" t="s">
        <v>194</v>
      </c>
      <c r="I180" s="2" t="s">
        <v>195</v>
      </c>
      <c r="J180" s="2" t="s">
        <v>19</v>
      </c>
      <c r="K180" s="2" t="s">
        <v>34</v>
      </c>
      <c r="L180" s="7" t="str">
        <f>HYPERLINK("http://slimages.macys.com/is/image/MCY/9694255 ")</f>
        <v xml:space="preserve">http://slimages.macys.com/is/image/MCY/9694255 </v>
      </c>
    </row>
    <row r="181" spans="1:12" ht="48.75" x14ac:dyDescent="0.25">
      <c r="A181" s="4" t="s">
        <v>598</v>
      </c>
      <c r="B181" s="2" t="s">
        <v>599</v>
      </c>
      <c r="C181" s="3">
        <v>1</v>
      </c>
      <c r="D181" s="5">
        <v>37.130000000000003</v>
      </c>
      <c r="E181" s="3" t="s">
        <v>600</v>
      </c>
      <c r="F181" s="2" t="s">
        <v>15</v>
      </c>
      <c r="G181" s="6" t="s">
        <v>154</v>
      </c>
      <c r="H181" s="2" t="s">
        <v>194</v>
      </c>
      <c r="I181" s="2" t="s">
        <v>195</v>
      </c>
      <c r="J181" s="2" t="s">
        <v>19</v>
      </c>
      <c r="K181" s="2" t="s">
        <v>601</v>
      </c>
      <c r="L181" s="7" t="str">
        <f>HYPERLINK("http://slimages.macys.com/is/image/MCY/12734338 ")</f>
        <v xml:space="preserve">http://slimages.macys.com/is/image/MCY/12734338 </v>
      </c>
    </row>
    <row r="182" spans="1:12" ht="48.75" x14ac:dyDescent="0.25">
      <c r="A182" s="4" t="s">
        <v>602</v>
      </c>
      <c r="B182" s="2" t="s">
        <v>599</v>
      </c>
      <c r="C182" s="3">
        <v>2</v>
      </c>
      <c r="D182" s="5">
        <v>37.130000000000003</v>
      </c>
      <c r="E182" s="3" t="s">
        <v>600</v>
      </c>
      <c r="F182" s="2" t="s">
        <v>15</v>
      </c>
      <c r="G182" s="6" t="s">
        <v>181</v>
      </c>
      <c r="H182" s="2" t="s">
        <v>194</v>
      </c>
      <c r="I182" s="2" t="s">
        <v>195</v>
      </c>
      <c r="J182" s="2" t="s">
        <v>19</v>
      </c>
      <c r="K182" s="2" t="s">
        <v>601</v>
      </c>
      <c r="L182" s="7" t="str">
        <f>HYPERLINK("http://slimages.macys.com/is/image/MCY/12734338 ")</f>
        <v xml:space="preserve">http://slimages.macys.com/is/image/MCY/12734338 </v>
      </c>
    </row>
    <row r="183" spans="1:12" ht="48.75" x14ac:dyDescent="0.25">
      <c r="A183" s="4" t="s">
        <v>603</v>
      </c>
      <c r="B183" s="2" t="s">
        <v>599</v>
      </c>
      <c r="C183" s="3">
        <v>1</v>
      </c>
      <c r="D183" s="5">
        <v>37.130000000000003</v>
      </c>
      <c r="E183" s="3" t="s">
        <v>600</v>
      </c>
      <c r="F183" s="2" t="s">
        <v>125</v>
      </c>
      <c r="G183" s="6" t="s">
        <v>154</v>
      </c>
      <c r="H183" s="2" t="s">
        <v>194</v>
      </c>
      <c r="I183" s="2" t="s">
        <v>195</v>
      </c>
      <c r="J183" s="2" t="s">
        <v>19</v>
      </c>
      <c r="K183" s="2" t="s">
        <v>601</v>
      </c>
      <c r="L183" s="7" t="str">
        <f>HYPERLINK("http://slimages.macys.com/is/image/MCY/12734338 ")</f>
        <v xml:space="preserve">http://slimages.macys.com/is/image/MCY/12734338 </v>
      </c>
    </row>
    <row r="184" spans="1:12" ht="48.75" x14ac:dyDescent="0.25">
      <c r="A184" s="4" t="s">
        <v>604</v>
      </c>
      <c r="B184" s="2" t="s">
        <v>599</v>
      </c>
      <c r="C184" s="3">
        <v>1</v>
      </c>
      <c r="D184" s="5">
        <v>37.130000000000003</v>
      </c>
      <c r="E184" s="3" t="s">
        <v>600</v>
      </c>
      <c r="F184" s="2" t="s">
        <v>125</v>
      </c>
      <c r="G184" s="6" t="s">
        <v>234</v>
      </c>
      <c r="H184" s="2" t="s">
        <v>194</v>
      </c>
      <c r="I184" s="2" t="s">
        <v>195</v>
      </c>
      <c r="J184" s="2" t="s">
        <v>19</v>
      </c>
      <c r="K184" s="2" t="s">
        <v>601</v>
      </c>
      <c r="L184" s="7" t="str">
        <f>HYPERLINK("http://slimages.macys.com/is/image/MCY/12734338 ")</f>
        <v xml:space="preserve">http://slimages.macys.com/is/image/MCY/12734338 </v>
      </c>
    </row>
    <row r="185" spans="1:12" ht="24.75" x14ac:dyDescent="0.25">
      <c r="A185" s="4" t="s">
        <v>605</v>
      </c>
      <c r="B185" s="2" t="s">
        <v>606</v>
      </c>
      <c r="C185" s="3">
        <v>1</v>
      </c>
      <c r="D185" s="5">
        <v>37.130000000000003</v>
      </c>
      <c r="E185" s="3">
        <v>100054430</v>
      </c>
      <c r="F185" s="2" t="s">
        <v>15</v>
      </c>
      <c r="G185" s="6" t="s">
        <v>22</v>
      </c>
      <c r="H185" s="2" t="s">
        <v>194</v>
      </c>
      <c r="I185" s="2" t="s">
        <v>503</v>
      </c>
      <c r="J185" s="2" t="s">
        <v>19</v>
      </c>
      <c r="K185" s="2" t="s">
        <v>607</v>
      </c>
      <c r="L185" s="7" t="str">
        <f>HYPERLINK("http://slimages.macys.com/is/image/MCY/12063680 ")</f>
        <v xml:space="preserve">http://slimages.macys.com/is/image/MCY/12063680 </v>
      </c>
    </row>
    <row r="186" spans="1:12" ht="24.75" x14ac:dyDescent="0.25">
      <c r="A186" s="4" t="s">
        <v>608</v>
      </c>
      <c r="B186" s="2" t="s">
        <v>609</v>
      </c>
      <c r="C186" s="3">
        <v>1</v>
      </c>
      <c r="D186" s="5">
        <v>44.63</v>
      </c>
      <c r="E186" s="3">
        <v>100015690</v>
      </c>
      <c r="F186" s="2" t="s">
        <v>74</v>
      </c>
      <c r="G186" s="6" t="s">
        <v>156</v>
      </c>
      <c r="H186" s="2" t="s">
        <v>194</v>
      </c>
      <c r="I186" s="2" t="s">
        <v>195</v>
      </c>
      <c r="J186" s="2" t="s">
        <v>19</v>
      </c>
      <c r="K186" s="2" t="s">
        <v>610</v>
      </c>
      <c r="L186" s="7" t="str">
        <f>HYPERLINK("http://slimages.macys.com/is/image/MCY/9508600 ")</f>
        <v xml:space="preserve">http://slimages.macys.com/is/image/MCY/9508600 </v>
      </c>
    </row>
    <row r="187" spans="1:12" ht="24.75" x14ac:dyDescent="0.25">
      <c r="A187" s="4" t="s">
        <v>611</v>
      </c>
      <c r="B187" s="2" t="s">
        <v>612</v>
      </c>
      <c r="C187" s="3">
        <v>1</v>
      </c>
      <c r="D187" s="5">
        <v>37.130000000000003</v>
      </c>
      <c r="E187" s="3">
        <v>100042366</v>
      </c>
      <c r="F187" s="2" t="s">
        <v>111</v>
      </c>
      <c r="G187" s="6" t="s">
        <v>234</v>
      </c>
      <c r="H187" s="2" t="s">
        <v>194</v>
      </c>
      <c r="I187" s="2" t="s">
        <v>195</v>
      </c>
      <c r="J187" s="2" t="s">
        <v>19</v>
      </c>
      <c r="K187" s="2" t="s">
        <v>546</v>
      </c>
      <c r="L187" s="7" t="str">
        <f>HYPERLINK("http://slimages.macys.com/is/image/MCY/12734278 ")</f>
        <v xml:space="preserve">http://slimages.macys.com/is/image/MCY/12734278 </v>
      </c>
    </row>
    <row r="188" spans="1:12" ht="36.75" x14ac:dyDescent="0.25">
      <c r="A188" s="4" t="s">
        <v>613</v>
      </c>
      <c r="B188" s="2" t="s">
        <v>614</v>
      </c>
      <c r="C188" s="3">
        <v>1</v>
      </c>
      <c r="D188" s="5">
        <v>40.880000000000003</v>
      </c>
      <c r="E188" s="3" t="s">
        <v>615</v>
      </c>
      <c r="F188" s="2" t="s">
        <v>74</v>
      </c>
      <c r="G188" s="6" t="s">
        <v>154</v>
      </c>
      <c r="H188" s="2" t="s">
        <v>284</v>
      </c>
      <c r="I188" s="2" t="s">
        <v>408</v>
      </c>
      <c r="J188" s="2" t="s">
        <v>19</v>
      </c>
      <c r="K188" s="2" t="s">
        <v>500</v>
      </c>
      <c r="L188" s="7" t="str">
        <f>HYPERLINK("http://slimages.macys.com/is/image/MCY/12672193 ")</f>
        <v xml:space="preserve">http://slimages.macys.com/is/image/MCY/12672193 </v>
      </c>
    </row>
    <row r="189" spans="1:12" ht="24.75" x14ac:dyDescent="0.25">
      <c r="A189" s="4" t="s">
        <v>616</v>
      </c>
      <c r="B189" s="2" t="s">
        <v>617</v>
      </c>
      <c r="C189" s="3">
        <v>2</v>
      </c>
      <c r="D189" s="5">
        <v>44.63</v>
      </c>
      <c r="E189" s="3">
        <v>100054444</v>
      </c>
      <c r="F189" s="2" t="s">
        <v>111</v>
      </c>
      <c r="G189" s="6" t="s">
        <v>154</v>
      </c>
      <c r="H189" s="2" t="s">
        <v>194</v>
      </c>
      <c r="I189" s="2" t="s">
        <v>195</v>
      </c>
      <c r="J189" s="2" t="s">
        <v>19</v>
      </c>
      <c r="K189" s="2" t="s">
        <v>546</v>
      </c>
      <c r="L189" s="7" t="str">
        <f>HYPERLINK("http://slimages.macys.com/is/image/MCY/12279794 ")</f>
        <v xml:space="preserve">http://slimages.macys.com/is/image/MCY/12279794 </v>
      </c>
    </row>
    <row r="190" spans="1:12" ht="24.75" x14ac:dyDescent="0.25">
      <c r="A190" s="4" t="s">
        <v>618</v>
      </c>
      <c r="B190" s="2" t="s">
        <v>617</v>
      </c>
      <c r="C190" s="3">
        <v>1</v>
      </c>
      <c r="D190" s="5">
        <v>44.63</v>
      </c>
      <c r="E190" s="3">
        <v>100054444</v>
      </c>
      <c r="F190" s="2" t="s">
        <v>111</v>
      </c>
      <c r="G190" s="6" t="s">
        <v>200</v>
      </c>
      <c r="H190" s="2" t="s">
        <v>194</v>
      </c>
      <c r="I190" s="2" t="s">
        <v>195</v>
      </c>
      <c r="J190" s="2" t="s">
        <v>19</v>
      </c>
      <c r="K190" s="2" t="s">
        <v>546</v>
      </c>
      <c r="L190" s="7" t="str">
        <f>HYPERLINK("http://slimages.macys.com/is/image/MCY/12279794 ")</f>
        <v xml:space="preserve">http://slimages.macys.com/is/image/MCY/12279794 </v>
      </c>
    </row>
    <row r="191" spans="1:12" ht="24.75" x14ac:dyDescent="0.25">
      <c r="A191" s="4" t="s">
        <v>619</v>
      </c>
      <c r="B191" s="2" t="s">
        <v>617</v>
      </c>
      <c r="C191" s="3">
        <v>1</v>
      </c>
      <c r="D191" s="5">
        <v>44.63</v>
      </c>
      <c r="E191" s="3">
        <v>100054444</v>
      </c>
      <c r="F191" s="2" t="s">
        <v>111</v>
      </c>
      <c r="G191" s="6" t="s">
        <v>234</v>
      </c>
      <c r="H191" s="2" t="s">
        <v>194</v>
      </c>
      <c r="I191" s="2" t="s">
        <v>195</v>
      </c>
      <c r="J191" s="2" t="s">
        <v>19</v>
      </c>
      <c r="K191" s="2" t="s">
        <v>546</v>
      </c>
      <c r="L191" s="7" t="str">
        <f>HYPERLINK("http://slimages.macys.com/is/image/MCY/12279794 ")</f>
        <v xml:space="preserve">http://slimages.macys.com/is/image/MCY/12279794 </v>
      </c>
    </row>
    <row r="192" spans="1:12" ht="24.75" x14ac:dyDescent="0.25">
      <c r="A192" s="4" t="s">
        <v>620</v>
      </c>
      <c r="B192" s="2" t="s">
        <v>617</v>
      </c>
      <c r="C192" s="3">
        <v>2</v>
      </c>
      <c r="D192" s="5">
        <v>44.63</v>
      </c>
      <c r="E192" s="3">
        <v>100054444</v>
      </c>
      <c r="F192" s="2" t="s">
        <v>111</v>
      </c>
      <c r="G192" s="6" t="s">
        <v>181</v>
      </c>
      <c r="H192" s="2" t="s">
        <v>194</v>
      </c>
      <c r="I192" s="2" t="s">
        <v>195</v>
      </c>
      <c r="J192" s="2" t="s">
        <v>19</v>
      </c>
      <c r="K192" s="2" t="s">
        <v>546</v>
      </c>
      <c r="L192" s="7" t="str">
        <f>HYPERLINK("http://slimages.macys.com/is/image/MCY/12279794 ")</f>
        <v xml:space="preserve">http://slimages.macys.com/is/image/MCY/12279794 </v>
      </c>
    </row>
    <row r="193" spans="1:12" ht="24.75" x14ac:dyDescent="0.25">
      <c r="A193" s="4" t="s">
        <v>621</v>
      </c>
      <c r="B193" s="2" t="s">
        <v>617</v>
      </c>
      <c r="C193" s="3">
        <v>1</v>
      </c>
      <c r="D193" s="5">
        <v>44.63</v>
      </c>
      <c r="E193" s="3">
        <v>100054444</v>
      </c>
      <c r="F193" s="2" t="s">
        <v>111</v>
      </c>
      <c r="G193" s="6" t="s">
        <v>156</v>
      </c>
      <c r="H193" s="2" t="s">
        <v>194</v>
      </c>
      <c r="I193" s="2" t="s">
        <v>195</v>
      </c>
      <c r="J193" s="2" t="s">
        <v>19</v>
      </c>
      <c r="K193" s="2" t="s">
        <v>546</v>
      </c>
      <c r="L193" s="7" t="str">
        <f>HYPERLINK("http://slimages.macys.com/is/image/MCY/12279794 ")</f>
        <v xml:space="preserve">http://slimages.macys.com/is/image/MCY/12279794 </v>
      </c>
    </row>
    <row r="194" spans="1:12" ht="24.75" x14ac:dyDescent="0.25">
      <c r="A194" s="4" t="s">
        <v>622</v>
      </c>
      <c r="B194" s="2" t="s">
        <v>623</v>
      </c>
      <c r="C194" s="3">
        <v>1</v>
      </c>
      <c r="D194" s="5">
        <v>44.63</v>
      </c>
      <c r="E194" s="3" t="s">
        <v>624</v>
      </c>
      <c r="F194" s="2" t="s">
        <v>15</v>
      </c>
      <c r="G194" s="6" t="s">
        <v>234</v>
      </c>
      <c r="H194" s="2" t="s">
        <v>194</v>
      </c>
      <c r="I194" s="2" t="s">
        <v>195</v>
      </c>
      <c r="J194" s="2" t="s">
        <v>19</v>
      </c>
      <c r="K194" s="2" t="s">
        <v>495</v>
      </c>
      <c r="L194" s="7" t="str">
        <f>HYPERLINK("http://slimages.macys.com/is/image/MCY/12950234 ")</f>
        <v xml:space="preserve">http://slimages.macys.com/is/image/MCY/12950234 </v>
      </c>
    </row>
    <row r="195" spans="1:12" ht="24.75" x14ac:dyDescent="0.25">
      <c r="A195" s="4" t="s">
        <v>625</v>
      </c>
      <c r="B195" s="2" t="s">
        <v>626</v>
      </c>
      <c r="C195" s="3">
        <v>1</v>
      </c>
      <c r="D195" s="5">
        <v>40.880000000000003</v>
      </c>
      <c r="E195" s="3" t="s">
        <v>627</v>
      </c>
      <c r="F195" s="2" t="s">
        <v>572</v>
      </c>
      <c r="G195" s="6" t="s">
        <v>27</v>
      </c>
      <c r="H195" s="2" t="s">
        <v>246</v>
      </c>
      <c r="I195" s="2" t="s">
        <v>525</v>
      </c>
      <c r="J195" s="2" t="s">
        <v>19</v>
      </c>
      <c r="K195" s="2" t="s">
        <v>628</v>
      </c>
      <c r="L195" s="7" t="str">
        <f>HYPERLINK("http://slimages.macys.com/is/image/MCY/11620905 ")</f>
        <v xml:space="preserve">http://slimages.macys.com/is/image/MCY/11620905 </v>
      </c>
    </row>
    <row r="196" spans="1:12" ht="24.75" x14ac:dyDescent="0.25">
      <c r="A196" s="4" t="s">
        <v>629</v>
      </c>
      <c r="B196" s="2" t="s">
        <v>630</v>
      </c>
      <c r="C196" s="3">
        <v>1</v>
      </c>
      <c r="D196" s="5">
        <v>44.63</v>
      </c>
      <c r="E196" s="3" t="s">
        <v>631</v>
      </c>
      <c r="F196" s="2" t="s">
        <v>26</v>
      </c>
      <c r="G196" s="6"/>
      <c r="H196" s="2" t="s">
        <v>632</v>
      </c>
      <c r="I196" s="2" t="s">
        <v>285</v>
      </c>
      <c r="J196" s="2" t="s">
        <v>19</v>
      </c>
      <c r="K196" s="2" t="s">
        <v>633</v>
      </c>
      <c r="L196" s="7" t="str">
        <f>HYPERLINK("http://slimages.macys.com/is/image/MCY/9449926 ")</f>
        <v xml:space="preserve">http://slimages.macys.com/is/image/MCY/9449926 </v>
      </c>
    </row>
    <row r="197" spans="1:12" ht="24.75" x14ac:dyDescent="0.25">
      <c r="A197" s="4" t="s">
        <v>634</v>
      </c>
      <c r="B197" s="2" t="s">
        <v>635</v>
      </c>
      <c r="C197" s="3">
        <v>1</v>
      </c>
      <c r="D197" s="5">
        <v>44.5</v>
      </c>
      <c r="E197" s="3" t="s">
        <v>636</v>
      </c>
      <c r="F197" s="2" t="s">
        <v>417</v>
      </c>
      <c r="G197" s="6" t="s">
        <v>106</v>
      </c>
      <c r="H197" s="2" t="s">
        <v>213</v>
      </c>
      <c r="I197" s="2" t="s">
        <v>214</v>
      </c>
      <c r="J197" s="2" t="s">
        <v>19</v>
      </c>
      <c r="K197" s="2" t="s">
        <v>253</v>
      </c>
      <c r="L197" s="7" t="str">
        <f>HYPERLINK("http://slimages.macys.com/is/image/MCY/8486169 ")</f>
        <v xml:space="preserve">http://slimages.macys.com/is/image/MCY/8486169 </v>
      </c>
    </row>
    <row r="198" spans="1:12" ht="24.75" x14ac:dyDescent="0.25">
      <c r="A198" s="4" t="s">
        <v>637</v>
      </c>
      <c r="B198" s="2" t="s">
        <v>638</v>
      </c>
      <c r="C198" s="3">
        <v>1</v>
      </c>
      <c r="D198" s="5">
        <v>44.63</v>
      </c>
      <c r="E198" s="3" t="s">
        <v>639</v>
      </c>
      <c r="F198" s="2" t="s">
        <v>26</v>
      </c>
      <c r="G198" s="6" t="s">
        <v>181</v>
      </c>
      <c r="H198" s="2" t="s">
        <v>246</v>
      </c>
      <c r="I198" s="2" t="s">
        <v>189</v>
      </c>
      <c r="J198" s="2" t="s">
        <v>19</v>
      </c>
      <c r="K198" s="2" t="s">
        <v>160</v>
      </c>
      <c r="L198" s="7" t="str">
        <f>HYPERLINK("http://slimages.macys.com/is/image/MCY/11994891 ")</f>
        <v xml:space="preserve">http://slimages.macys.com/is/image/MCY/11994891 </v>
      </c>
    </row>
    <row r="199" spans="1:12" ht="24.75" x14ac:dyDescent="0.25">
      <c r="A199" s="4" t="s">
        <v>640</v>
      </c>
      <c r="B199" s="2" t="s">
        <v>641</v>
      </c>
      <c r="C199" s="3">
        <v>1</v>
      </c>
      <c r="D199" s="5">
        <v>34.99</v>
      </c>
      <c r="E199" s="3" t="s">
        <v>642</v>
      </c>
      <c r="F199" s="2" t="s">
        <v>64</v>
      </c>
      <c r="G199" s="6" t="s">
        <v>348</v>
      </c>
      <c r="H199" s="2" t="s">
        <v>349</v>
      </c>
      <c r="I199" s="2" t="s">
        <v>408</v>
      </c>
      <c r="J199" s="2" t="s">
        <v>19</v>
      </c>
      <c r="K199" s="2" t="s">
        <v>409</v>
      </c>
      <c r="L199" s="7" t="str">
        <f>HYPERLINK("http://slimages.macys.com/is/image/MCY/9297288 ")</f>
        <v xml:space="preserve">http://slimages.macys.com/is/image/MCY/9297288 </v>
      </c>
    </row>
    <row r="200" spans="1:12" ht="24.75" x14ac:dyDescent="0.25">
      <c r="A200" s="4" t="s">
        <v>643</v>
      </c>
      <c r="B200" s="2" t="s">
        <v>641</v>
      </c>
      <c r="C200" s="3">
        <v>1</v>
      </c>
      <c r="D200" s="5">
        <v>34.99</v>
      </c>
      <c r="E200" s="3" t="s">
        <v>644</v>
      </c>
      <c r="F200" s="2" t="s">
        <v>26</v>
      </c>
      <c r="G200" s="6" t="s">
        <v>348</v>
      </c>
      <c r="H200" s="2" t="s">
        <v>349</v>
      </c>
      <c r="I200" s="2" t="s">
        <v>408</v>
      </c>
      <c r="J200" s="2" t="s">
        <v>19</v>
      </c>
      <c r="K200" s="2" t="s">
        <v>409</v>
      </c>
      <c r="L200" s="7" t="str">
        <f>HYPERLINK("http://slimages.macys.com/is/image/MCY/9420343 ")</f>
        <v xml:space="preserve">http://slimages.macys.com/is/image/MCY/9420343 </v>
      </c>
    </row>
    <row r="201" spans="1:12" ht="24.75" x14ac:dyDescent="0.25">
      <c r="A201" s="4" t="s">
        <v>645</v>
      </c>
      <c r="B201" s="2" t="s">
        <v>646</v>
      </c>
      <c r="C201" s="3">
        <v>1</v>
      </c>
      <c r="D201" s="5">
        <v>39.5</v>
      </c>
      <c r="E201" s="3" t="s">
        <v>647</v>
      </c>
      <c r="F201" s="2" t="s">
        <v>33</v>
      </c>
      <c r="G201" s="6" t="s">
        <v>234</v>
      </c>
      <c r="H201" s="2" t="s">
        <v>194</v>
      </c>
      <c r="I201" s="2" t="s">
        <v>195</v>
      </c>
      <c r="J201" s="2" t="s">
        <v>19</v>
      </c>
      <c r="K201" s="2" t="s">
        <v>648</v>
      </c>
      <c r="L201" s="7" t="str">
        <f>HYPERLINK("http://slimages.macys.com/is/image/MCY/12404939 ")</f>
        <v xml:space="preserve">http://slimages.macys.com/is/image/MCY/12404939 </v>
      </c>
    </row>
    <row r="202" spans="1:12" ht="24.75" x14ac:dyDescent="0.25">
      <c r="A202" s="4" t="s">
        <v>649</v>
      </c>
      <c r="B202" s="2" t="s">
        <v>650</v>
      </c>
      <c r="C202" s="3">
        <v>1</v>
      </c>
      <c r="D202" s="5">
        <v>44.63</v>
      </c>
      <c r="E202" s="3" t="s">
        <v>651</v>
      </c>
      <c r="F202" s="2" t="s">
        <v>74</v>
      </c>
      <c r="G202" s="6" t="s">
        <v>181</v>
      </c>
      <c r="H202" s="2" t="s">
        <v>194</v>
      </c>
      <c r="I202" s="2" t="s">
        <v>580</v>
      </c>
      <c r="J202" s="2" t="s">
        <v>19</v>
      </c>
      <c r="K202" s="2" t="s">
        <v>247</v>
      </c>
      <c r="L202" s="7" t="str">
        <f>HYPERLINK("http://slimages.macys.com/is/image/MCY/12316645 ")</f>
        <v xml:space="preserve">http://slimages.macys.com/is/image/MCY/12316645 </v>
      </c>
    </row>
    <row r="203" spans="1:12" ht="36.75" x14ac:dyDescent="0.25">
      <c r="A203" s="4" t="s">
        <v>652</v>
      </c>
      <c r="B203" s="2" t="s">
        <v>653</v>
      </c>
      <c r="C203" s="3">
        <v>1</v>
      </c>
      <c r="D203" s="5">
        <v>40.880000000000003</v>
      </c>
      <c r="E203" s="3" t="s">
        <v>654</v>
      </c>
      <c r="F203" s="2" t="s">
        <v>417</v>
      </c>
      <c r="G203" s="6" t="s">
        <v>181</v>
      </c>
      <c r="H203" s="2" t="s">
        <v>194</v>
      </c>
      <c r="I203" s="2" t="s">
        <v>195</v>
      </c>
      <c r="J203" s="2" t="s">
        <v>19</v>
      </c>
      <c r="K203" s="2" t="s">
        <v>655</v>
      </c>
      <c r="L203" s="7" t="str">
        <f>HYPERLINK("http://slimages.macys.com/is/image/MCY/12734316 ")</f>
        <v xml:space="preserve">http://slimages.macys.com/is/image/MCY/12734316 </v>
      </c>
    </row>
    <row r="204" spans="1:12" ht="24.75" x14ac:dyDescent="0.25">
      <c r="A204" s="4" t="s">
        <v>656</v>
      </c>
      <c r="B204" s="2" t="s">
        <v>657</v>
      </c>
      <c r="C204" s="3">
        <v>1</v>
      </c>
      <c r="D204" s="5">
        <v>44.63</v>
      </c>
      <c r="E204" s="3" t="s">
        <v>658</v>
      </c>
      <c r="F204" s="2" t="s">
        <v>64</v>
      </c>
      <c r="G204" s="6" t="s">
        <v>65</v>
      </c>
      <c r="H204" s="2" t="s">
        <v>213</v>
      </c>
      <c r="I204" s="2" t="s">
        <v>214</v>
      </c>
      <c r="J204" s="2" t="s">
        <v>19</v>
      </c>
      <c r="K204" s="2" t="s">
        <v>338</v>
      </c>
      <c r="L204" s="7" t="str">
        <f>HYPERLINK("http://slimages.macys.com/is/image/MCY/12284095 ")</f>
        <v xml:space="preserve">http://slimages.macys.com/is/image/MCY/12284095 </v>
      </c>
    </row>
    <row r="205" spans="1:12" ht="24.75" x14ac:dyDescent="0.25">
      <c r="A205" s="4" t="s">
        <v>659</v>
      </c>
      <c r="B205" s="2" t="s">
        <v>660</v>
      </c>
      <c r="C205" s="3">
        <v>1</v>
      </c>
      <c r="D205" s="5">
        <v>37.130000000000003</v>
      </c>
      <c r="E205" s="3" t="s">
        <v>661</v>
      </c>
      <c r="F205" s="2" t="s">
        <v>33</v>
      </c>
      <c r="G205" s="6" t="s">
        <v>154</v>
      </c>
      <c r="H205" s="2" t="s">
        <v>194</v>
      </c>
      <c r="I205" s="2" t="s">
        <v>503</v>
      </c>
      <c r="J205" s="2" t="s">
        <v>19</v>
      </c>
      <c r="K205" s="2" t="s">
        <v>546</v>
      </c>
      <c r="L205" s="7" t="str">
        <f>HYPERLINK("http://slimages.macys.com/is/image/MCY/12316768 ")</f>
        <v xml:space="preserve">http://slimages.macys.com/is/image/MCY/12316768 </v>
      </c>
    </row>
    <row r="206" spans="1:12" ht="24.75" x14ac:dyDescent="0.25">
      <c r="A206" s="4" t="s">
        <v>662</v>
      </c>
      <c r="B206" s="2" t="s">
        <v>663</v>
      </c>
      <c r="C206" s="3">
        <v>1</v>
      </c>
      <c r="D206" s="5">
        <v>29.99</v>
      </c>
      <c r="E206" s="3" t="s">
        <v>664</v>
      </c>
      <c r="F206" s="2" t="s">
        <v>15</v>
      </c>
      <c r="G206" s="6" t="s">
        <v>154</v>
      </c>
      <c r="H206" s="2" t="s">
        <v>284</v>
      </c>
      <c r="I206" s="2" t="s">
        <v>408</v>
      </c>
      <c r="J206" s="2" t="s">
        <v>19</v>
      </c>
      <c r="K206" s="2" t="s">
        <v>409</v>
      </c>
      <c r="L206" s="7" t="str">
        <f>HYPERLINK("http://slimages.macys.com/is/image/MCY/13397153 ")</f>
        <v xml:space="preserve">http://slimages.macys.com/is/image/MCY/13397153 </v>
      </c>
    </row>
    <row r="207" spans="1:12" ht="24.75" x14ac:dyDescent="0.25">
      <c r="A207" s="4" t="s">
        <v>665</v>
      </c>
      <c r="B207" s="2" t="s">
        <v>666</v>
      </c>
      <c r="C207" s="3">
        <v>1</v>
      </c>
      <c r="D207" s="5">
        <v>40.5</v>
      </c>
      <c r="E207" s="3" t="s">
        <v>667</v>
      </c>
      <c r="F207" s="2" t="s">
        <v>417</v>
      </c>
      <c r="G207" s="6" t="s">
        <v>205</v>
      </c>
      <c r="H207" s="2" t="s">
        <v>426</v>
      </c>
      <c r="I207" s="2" t="s">
        <v>195</v>
      </c>
      <c r="J207" s="2" t="s">
        <v>19</v>
      </c>
      <c r="K207" s="2" t="s">
        <v>338</v>
      </c>
      <c r="L207" s="7" t="str">
        <f>HYPERLINK("http://slimages.macys.com/is/image/MCY/9358013 ")</f>
        <v xml:space="preserve">http://slimages.macys.com/is/image/MCY/9358013 </v>
      </c>
    </row>
    <row r="208" spans="1:12" ht="24.75" x14ac:dyDescent="0.25">
      <c r="A208" s="4" t="s">
        <v>668</v>
      </c>
      <c r="B208" s="2" t="s">
        <v>669</v>
      </c>
      <c r="C208" s="3">
        <v>1</v>
      </c>
      <c r="D208" s="5">
        <v>59.5</v>
      </c>
      <c r="E208" s="3" t="s">
        <v>670</v>
      </c>
      <c r="F208" s="2" t="s">
        <v>671</v>
      </c>
      <c r="G208" s="6" t="s">
        <v>187</v>
      </c>
      <c r="H208" s="2" t="s">
        <v>206</v>
      </c>
      <c r="I208" s="2" t="s">
        <v>207</v>
      </c>
      <c r="J208" s="2" t="s">
        <v>19</v>
      </c>
      <c r="K208" s="2" t="s">
        <v>672</v>
      </c>
      <c r="L208" s="7" t="str">
        <f>HYPERLINK("http://slimages.macys.com/is/image/MCY/9792603 ")</f>
        <v xml:space="preserve">http://slimages.macys.com/is/image/MCY/9792603 </v>
      </c>
    </row>
    <row r="209" spans="1:12" ht="24.75" x14ac:dyDescent="0.25">
      <c r="A209" s="4" t="s">
        <v>673</v>
      </c>
      <c r="B209" s="2" t="s">
        <v>674</v>
      </c>
      <c r="C209" s="3">
        <v>1</v>
      </c>
      <c r="D209" s="5">
        <v>44.63</v>
      </c>
      <c r="E209" s="3" t="s">
        <v>675</v>
      </c>
      <c r="F209" s="2" t="s">
        <v>676</v>
      </c>
      <c r="G209" s="6" t="s">
        <v>154</v>
      </c>
      <c r="H209" s="2" t="s">
        <v>246</v>
      </c>
      <c r="I209" s="2" t="s">
        <v>189</v>
      </c>
      <c r="J209" s="2" t="s">
        <v>19</v>
      </c>
      <c r="K209" s="2" t="s">
        <v>34</v>
      </c>
      <c r="L209" s="7" t="str">
        <f>HYPERLINK("http://slimages.macys.com/is/image/MCY/13383032 ")</f>
        <v xml:space="preserve">http://slimages.macys.com/is/image/MCY/13383032 </v>
      </c>
    </row>
    <row r="210" spans="1:12" ht="24.75" x14ac:dyDescent="0.25">
      <c r="A210" s="4" t="s">
        <v>677</v>
      </c>
      <c r="B210" s="2" t="s">
        <v>678</v>
      </c>
      <c r="C210" s="3">
        <v>1</v>
      </c>
      <c r="D210" s="5">
        <v>44.5</v>
      </c>
      <c r="E210" s="3" t="s">
        <v>679</v>
      </c>
      <c r="F210" s="2" t="s">
        <v>680</v>
      </c>
      <c r="G210" s="6" t="s">
        <v>112</v>
      </c>
      <c r="H210" s="2" t="s">
        <v>213</v>
      </c>
      <c r="I210" s="2" t="s">
        <v>214</v>
      </c>
      <c r="J210" s="2" t="s">
        <v>19</v>
      </c>
      <c r="K210" s="2" t="s">
        <v>253</v>
      </c>
      <c r="L210" s="7" t="str">
        <f>HYPERLINK("http://slimages.macys.com/is/image/MCY/9886548 ")</f>
        <v xml:space="preserve">http://slimages.macys.com/is/image/MCY/9886548 </v>
      </c>
    </row>
    <row r="211" spans="1:12" ht="24.75" x14ac:dyDescent="0.25">
      <c r="A211" s="4" t="s">
        <v>681</v>
      </c>
      <c r="B211" s="2" t="s">
        <v>682</v>
      </c>
      <c r="C211" s="3">
        <v>1</v>
      </c>
      <c r="D211" s="5">
        <v>40.880000000000003</v>
      </c>
      <c r="E211" s="3" t="s">
        <v>683</v>
      </c>
      <c r="F211" s="2" t="s">
        <v>111</v>
      </c>
      <c r="G211" s="6" t="s">
        <v>234</v>
      </c>
      <c r="H211" s="2" t="s">
        <v>194</v>
      </c>
      <c r="I211" s="2" t="s">
        <v>503</v>
      </c>
      <c r="J211" s="2" t="s">
        <v>19</v>
      </c>
      <c r="K211" s="2" t="s">
        <v>546</v>
      </c>
      <c r="L211" s="7" t="str">
        <f>HYPERLINK("http://slimages.macys.com/is/image/MCY/12316740 ")</f>
        <v xml:space="preserve">http://slimages.macys.com/is/image/MCY/12316740 </v>
      </c>
    </row>
    <row r="212" spans="1:12" ht="36.75" x14ac:dyDescent="0.25">
      <c r="A212" s="4" t="s">
        <v>684</v>
      </c>
      <c r="B212" s="2" t="s">
        <v>685</v>
      </c>
      <c r="C212" s="3">
        <v>1</v>
      </c>
      <c r="D212" s="5">
        <v>49.99</v>
      </c>
      <c r="E212" s="3" t="s">
        <v>686</v>
      </c>
      <c r="F212" s="2" t="s">
        <v>676</v>
      </c>
      <c r="G212" s="6" t="s">
        <v>363</v>
      </c>
      <c r="H212" s="2" t="s">
        <v>127</v>
      </c>
      <c r="I212" s="2" t="s">
        <v>541</v>
      </c>
      <c r="J212" s="2" t="s">
        <v>19</v>
      </c>
      <c r="K212" s="2" t="s">
        <v>687</v>
      </c>
      <c r="L212" s="7" t="str">
        <f>HYPERLINK("http://slimages.macys.com/is/image/MCY/10315366 ")</f>
        <v xml:space="preserve">http://slimages.macys.com/is/image/MCY/10315366 </v>
      </c>
    </row>
    <row r="213" spans="1:12" ht="24.75" x14ac:dyDescent="0.25">
      <c r="A213" s="4" t="s">
        <v>688</v>
      </c>
      <c r="B213" s="2" t="s">
        <v>689</v>
      </c>
      <c r="C213" s="3">
        <v>1</v>
      </c>
      <c r="D213" s="5">
        <v>40.880000000000003</v>
      </c>
      <c r="E213" s="3" t="s">
        <v>690</v>
      </c>
      <c r="F213" s="2" t="s">
        <v>15</v>
      </c>
      <c r="G213" s="6" t="s">
        <v>154</v>
      </c>
      <c r="H213" s="2" t="s">
        <v>194</v>
      </c>
      <c r="I213" s="2" t="s">
        <v>195</v>
      </c>
      <c r="J213" s="2" t="s">
        <v>19</v>
      </c>
      <c r="K213" s="2" t="s">
        <v>691</v>
      </c>
      <c r="L213" s="7" t="str">
        <f>HYPERLINK("http://slimages.macys.com/is/image/MCY/12279956 ")</f>
        <v xml:space="preserve">http://slimages.macys.com/is/image/MCY/12279956 </v>
      </c>
    </row>
    <row r="214" spans="1:12" ht="24.75" x14ac:dyDescent="0.25">
      <c r="A214" s="4" t="s">
        <v>692</v>
      </c>
      <c r="B214" s="2" t="s">
        <v>693</v>
      </c>
      <c r="C214" s="3">
        <v>1</v>
      </c>
      <c r="D214" s="5">
        <v>29.99</v>
      </c>
      <c r="E214" s="3" t="s">
        <v>694</v>
      </c>
      <c r="F214" s="2" t="s">
        <v>413</v>
      </c>
      <c r="G214" s="6" t="s">
        <v>181</v>
      </c>
      <c r="H214" s="2" t="s">
        <v>284</v>
      </c>
      <c r="I214" s="2" t="s">
        <v>408</v>
      </c>
      <c r="J214" s="2" t="s">
        <v>19</v>
      </c>
      <c r="K214" s="2" t="s">
        <v>409</v>
      </c>
      <c r="L214" s="7" t="str">
        <f>HYPERLINK("http://slimages.macys.com/is/image/MCY/9387631 ")</f>
        <v xml:space="preserve">http://slimages.macys.com/is/image/MCY/9387631 </v>
      </c>
    </row>
    <row r="215" spans="1:12" x14ac:dyDescent="0.25">
      <c r="A215" s="4" t="s">
        <v>695</v>
      </c>
      <c r="B215" s="2" t="s">
        <v>696</v>
      </c>
      <c r="C215" s="3">
        <v>1</v>
      </c>
      <c r="D215" s="5">
        <v>59.5</v>
      </c>
      <c r="E215" s="3" t="s">
        <v>697</v>
      </c>
      <c r="F215" s="2" t="s">
        <v>74</v>
      </c>
      <c r="G215" s="6" t="s">
        <v>219</v>
      </c>
      <c r="H215" s="2" t="s">
        <v>206</v>
      </c>
      <c r="I215" s="2" t="s">
        <v>207</v>
      </c>
      <c r="J215" s="2" t="s">
        <v>19</v>
      </c>
      <c r="K215" s="2" t="s">
        <v>201</v>
      </c>
      <c r="L215" s="7" t="str">
        <f>HYPERLINK("http://slimages.macys.com/is/image/MCY/13387442 ")</f>
        <v xml:space="preserve">http://slimages.macys.com/is/image/MCY/13387442 </v>
      </c>
    </row>
    <row r="216" spans="1:12" ht="24.75" x14ac:dyDescent="0.25">
      <c r="A216" s="4" t="s">
        <v>698</v>
      </c>
      <c r="B216" s="2" t="s">
        <v>699</v>
      </c>
      <c r="C216" s="3">
        <v>1</v>
      </c>
      <c r="D216" s="5">
        <v>44.63</v>
      </c>
      <c r="E216" s="3" t="s">
        <v>700</v>
      </c>
      <c r="F216" s="2" t="s">
        <v>26</v>
      </c>
      <c r="G216" s="6" t="s">
        <v>154</v>
      </c>
      <c r="H216" s="2" t="s">
        <v>246</v>
      </c>
      <c r="I216" s="2" t="s">
        <v>189</v>
      </c>
      <c r="J216" s="2" t="s">
        <v>19</v>
      </c>
      <c r="K216" s="2" t="s">
        <v>701</v>
      </c>
      <c r="L216" s="7" t="str">
        <f>HYPERLINK("http://slimages.macys.com/is/image/MCY/13786780 ")</f>
        <v xml:space="preserve">http://slimages.macys.com/is/image/MCY/13786780 </v>
      </c>
    </row>
    <row r="217" spans="1:12" ht="24.75" x14ac:dyDescent="0.25">
      <c r="A217" s="4" t="s">
        <v>702</v>
      </c>
      <c r="B217" s="2" t="s">
        <v>703</v>
      </c>
      <c r="C217" s="3">
        <v>1</v>
      </c>
      <c r="D217" s="5">
        <v>48.38</v>
      </c>
      <c r="E217" s="3" t="s">
        <v>704</v>
      </c>
      <c r="F217" s="2" t="s">
        <v>26</v>
      </c>
      <c r="G217" s="6" t="s">
        <v>154</v>
      </c>
      <c r="H217" s="2" t="s">
        <v>246</v>
      </c>
      <c r="I217" s="2" t="s">
        <v>189</v>
      </c>
      <c r="J217" s="2" t="s">
        <v>19</v>
      </c>
      <c r="K217" s="2" t="s">
        <v>705</v>
      </c>
      <c r="L217" s="7" t="str">
        <f>HYPERLINK("http://slimages.macys.com/is/image/MCY/12649689 ")</f>
        <v xml:space="preserve">http://slimages.macys.com/is/image/MCY/12649689 </v>
      </c>
    </row>
    <row r="218" spans="1:12" ht="24.75" x14ac:dyDescent="0.25">
      <c r="A218" s="4" t="s">
        <v>706</v>
      </c>
      <c r="B218" s="2" t="s">
        <v>707</v>
      </c>
      <c r="C218" s="3">
        <v>1</v>
      </c>
      <c r="D218" s="5">
        <v>40.880000000000003</v>
      </c>
      <c r="E218" s="3">
        <v>100047657</v>
      </c>
      <c r="F218" s="2" t="s">
        <v>376</v>
      </c>
      <c r="G218" s="6" t="s">
        <v>58</v>
      </c>
      <c r="H218" s="2" t="s">
        <v>194</v>
      </c>
      <c r="I218" s="2" t="s">
        <v>195</v>
      </c>
      <c r="J218" s="2" t="s">
        <v>19</v>
      </c>
      <c r="K218" s="2" t="s">
        <v>546</v>
      </c>
      <c r="L218" s="7" t="str">
        <f>HYPERLINK("http://slimages.macys.com/is/image/MCY/12143636 ")</f>
        <v xml:space="preserve">http://slimages.macys.com/is/image/MCY/12143636 </v>
      </c>
    </row>
    <row r="219" spans="1:12" ht="24.75" x14ac:dyDescent="0.25">
      <c r="A219" s="4" t="s">
        <v>708</v>
      </c>
      <c r="B219" s="2" t="s">
        <v>709</v>
      </c>
      <c r="C219" s="3">
        <v>1</v>
      </c>
      <c r="D219" s="5">
        <v>44.63</v>
      </c>
      <c r="E219" s="3" t="s">
        <v>710</v>
      </c>
      <c r="F219" s="2" t="s">
        <v>15</v>
      </c>
      <c r="G219" s="6" t="s">
        <v>200</v>
      </c>
      <c r="H219" s="2" t="s">
        <v>284</v>
      </c>
      <c r="I219" s="2" t="s">
        <v>285</v>
      </c>
      <c r="J219" s="2" t="s">
        <v>19</v>
      </c>
      <c r="K219" s="2" t="s">
        <v>711</v>
      </c>
      <c r="L219" s="7" t="str">
        <f>HYPERLINK("http://slimages.macys.com/is/image/MCY/12671663 ")</f>
        <v xml:space="preserve">http://slimages.macys.com/is/image/MCY/12671663 </v>
      </c>
    </row>
    <row r="220" spans="1:12" ht="36.75" x14ac:dyDescent="0.25">
      <c r="A220" s="4" t="s">
        <v>712</v>
      </c>
      <c r="B220" s="2" t="s">
        <v>713</v>
      </c>
      <c r="C220" s="3">
        <v>1</v>
      </c>
      <c r="D220" s="5">
        <v>39</v>
      </c>
      <c r="E220" s="3" t="s">
        <v>714</v>
      </c>
      <c r="F220" s="2" t="s">
        <v>74</v>
      </c>
      <c r="G220" s="6" t="s">
        <v>715</v>
      </c>
      <c r="H220" s="2" t="s">
        <v>716</v>
      </c>
      <c r="I220" s="2" t="s">
        <v>717</v>
      </c>
      <c r="J220" s="2" t="s">
        <v>19</v>
      </c>
      <c r="K220" s="2" t="s">
        <v>353</v>
      </c>
      <c r="L220" s="7" t="str">
        <f>HYPERLINK("http://slimages.macys.com/is/image/MCY/11525162 ")</f>
        <v xml:space="preserve">http://slimages.macys.com/is/image/MCY/11525162 </v>
      </c>
    </row>
    <row r="221" spans="1:12" ht="24.75" x14ac:dyDescent="0.25">
      <c r="A221" s="4" t="s">
        <v>718</v>
      </c>
      <c r="B221" s="2" t="s">
        <v>719</v>
      </c>
      <c r="C221" s="3">
        <v>1</v>
      </c>
      <c r="D221" s="5">
        <v>39</v>
      </c>
      <c r="E221" s="3" t="s">
        <v>714</v>
      </c>
      <c r="F221" s="2" t="s">
        <v>680</v>
      </c>
      <c r="G221" s="6" t="s">
        <v>715</v>
      </c>
      <c r="H221" s="2" t="s">
        <v>716</v>
      </c>
      <c r="I221" s="2" t="s">
        <v>717</v>
      </c>
      <c r="J221" s="2" t="s">
        <v>19</v>
      </c>
      <c r="K221" s="2" t="s">
        <v>353</v>
      </c>
      <c r="L221" s="7" t="str">
        <f>HYPERLINK("http://slimages.macys.com/is/image/MCY/11525162 ")</f>
        <v xml:space="preserve">http://slimages.macys.com/is/image/MCY/11525162 </v>
      </c>
    </row>
    <row r="222" spans="1:12" ht="24.75" x14ac:dyDescent="0.25">
      <c r="A222" s="4" t="s">
        <v>720</v>
      </c>
      <c r="B222" s="2" t="s">
        <v>453</v>
      </c>
      <c r="C222" s="3">
        <v>1</v>
      </c>
      <c r="D222" s="5">
        <v>37.130000000000003</v>
      </c>
      <c r="E222" s="3" t="s">
        <v>721</v>
      </c>
      <c r="F222" s="2" t="s">
        <v>417</v>
      </c>
      <c r="G222" s="6" t="s">
        <v>234</v>
      </c>
      <c r="H222" s="2" t="s">
        <v>284</v>
      </c>
      <c r="I222" s="2" t="s">
        <v>285</v>
      </c>
      <c r="J222" s="2" t="s">
        <v>19</v>
      </c>
      <c r="K222" s="2" t="s">
        <v>323</v>
      </c>
      <c r="L222" s="7" t="str">
        <f>HYPERLINK("http://slimages.macys.com/is/image/MCY/9678668 ")</f>
        <v xml:space="preserve">http://slimages.macys.com/is/image/MCY/9678668 </v>
      </c>
    </row>
    <row r="223" spans="1:12" ht="24.75" x14ac:dyDescent="0.25">
      <c r="A223" s="4" t="s">
        <v>722</v>
      </c>
      <c r="B223" s="2" t="s">
        <v>453</v>
      </c>
      <c r="C223" s="3">
        <v>1</v>
      </c>
      <c r="D223" s="5">
        <v>37.130000000000003</v>
      </c>
      <c r="E223" s="3" t="s">
        <v>721</v>
      </c>
      <c r="F223" s="2" t="s">
        <v>417</v>
      </c>
      <c r="G223" s="6" t="s">
        <v>154</v>
      </c>
      <c r="H223" s="2" t="s">
        <v>284</v>
      </c>
      <c r="I223" s="2" t="s">
        <v>285</v>
      </c>
      <c r="J223" s="2" t="s">
        <v>19</v>
      </c>
      <c r="K223" s="2" t="s">
        <v>323</v>
      </c>
      <c r="L223" s="7" t="str">
        <f>HYPERLINK("http://slimages.macys.com/is/image/MCY/9678668 ")</f>
        <v xml:space="preserve">http://slimages.macys.com/is/image/MCY/9678668 </v>
      </c>
    </row>
    <row r="224" spans="1:12" ht="24.75" x14ac:dyDescent="0.25">
      <c r="A224" s="4" t="s">
        <v>723</v>
      </c>
      <c r="B224" s="2" t="s">
        <v>453</v>
      </c>
      <c r="C224" s="3">
        <v>2</v>
      </c>
      <c r="D224" s="5">
        <v>37.130000000000003</v>
      </c>
      <c r="E224" s="3" t="s">
        <v>721</v>
      </c>
      <c r="F224" s="2" t="s">
        <v>417</v>
      </c>
      <c r="G224" s="6" t="s">
        <v>200</v>
      </c>
      <c r="H224" s="2" t="s">
        <v>284</v>
      </c>
      <c r="I224" s="2" t="s">
        <v>285</v>
      </c>
      <c r="J224" s="2" t="s">
        <v>19</v>
      </c>
      <c r="K224" s="2" t="s">
        <v>323</v>
      </c>
      <c r="L224" s="7" t="str">
        <f>HYPERLINK("http://slimages.macys.com/is/image/MCY/9678668 ")</f>
        <v xml:space="preserve">http://slimages.macys.com/is/image/MCY/9678668 </v>
      </c>
    </row>
    <row r="225" spans="1:12" ht="24.75" x14ac:dyDescent="0.25">
      <c r="A225" s="4" t="s">
        <v>724</v>
      </c>
      <c r="B225" s="2" t="s">
        <v>725</v>
      </c>
      <c r="C225" s="3">
        <v>1</v>
      </c>
      <c r="D225" s="5">
        <v>37.130000000000003</v>
      </c>
      <c r="E225" s="3" t="s">
        <v>726</v>
      </c>
      <c r="F225" s="2" t="s">
        <v>26</v>
      </c>
      <c r="G225" s="6" t="s">
        <v>727</v>
      </c>
      <c r="H225" s="2" t="s">
        <v>284</v>
      </c>
      <c r="I225" s="2" t="s">
        <v>458</v>
      </c>
      <c r="J225" s="2" t="s">
        <v>19</v>
      </c>
      <c r="K225" s="2" t="s">
        <v>459</v>
      </c>
      <c r="L225" s="7" t="str">
        <f>HYPERLINK("http://slimages.macys.com/is/image/MCY/11155041 ")</f>
        <v xml:space="preserve">http://slimages.macys.com/is/image/MCY/11155041 </v>
      </c>
    </row>
    <row r="226" spans="1:12" ht="24.75" x14ac:dyDescent="0.25">
      <c r="A226" s="4" t="s">
        <v>728</v>
      </c>
      <c r="B226" s="2" t="s">
        <v>725</v>
      </c>
      <c r="C226" s="3">
        <v>1</v>
      </c>
      <c r="D226" s="5">
        <v>37.130000000000003</v>
      </c>
      <c r="E226" s="3" t="s">
        <v>726</v>
      </c>
      <c r="F226" s="2" t="s">
        <v>417</v>
      </c>
      <c r="G226" s="6" t="s">
        <v>729</v>
      </c>
      <c r="H226" s="2" t="s">
        <v>284</v>
      </c>
      <c r="I226" s="2" t="s">
        <v>458</v>
      </c>
      <c r="J226" s="2" t="s">
        <v>19</v>
      </c>
      <c r="K226" s="2" t="s">
        <v>459</v>
      </c>
      <c r="L226" s="7" t="str">
        <f>HYPERLINK("http://slimages.macys.com/is/image/MCY/11155041 ")</f>
        <v xml:space="preserve">http://slimages.macys.com/is/image/MCY/11155041 </v>
      </c>
    </row>
    <row r="227" spans="1:12" ht="24.75" x14ac:dyDescent="0.25">
      <c r="A227" s="4" t="s">
        <v>730</v>
      </c>
      <c r="B227" s="2" t="s">
        <v>456</v>
      </c>
      <c r="C227" s="3">
        <v>1</v>
      </c>
      <c r="D227" s="5">
        <v>37.130000000000003</v>
      </c>
      <c r="E227" s="3" t="s">
        <v>731</v>
      </c>
      <c r="F227" s="2" t="s">
        <v>331</v>
      </c>
      <c r="G227" s="6" t="s">
        <v>154</v>
      </c>
      <c r="H227" s="2" t="s">
        <v>284</v>
      </c>
      <c r="I227" s="2" t="s">
        <v>458</v>
      </c>
      <c r="J227" s="2" t="s">
        <v>19</v>
      </c>
      <c r="K227" s="2" t="s">
        <v>442</v>
      </c>
      <c r="L227" s="7" t="str">
        <f>HYPERLINK("http://slimages.macys.com/is/image/MCY/10242537 ")</f>
        <v xml:space="preserve">http://slimages.macys.com/is/image/MCY/10242537 </v>
      </c>
    </row>
    <row r="228" spans="1:12" ht="24.75" x14ac:dyDescent="0.25">
      <c r="A228" s="4" t="s">
        <v>732</v>
      </c>
      <c r="B228" s="2" t="s">
        <v>456</v>
      </c>
      <c r="C228" s="3">
        <v>2</v>
      </c>
      <c r="D228" s="5">
        <v>37.130000000000003</v>
      </c>
      <c r="E228" s="3" t="s">
        <v>731</v>
      </c>
      <c r="F228" s="2" t="s">
        <v>331</v>
      </c>
      <c r="G228" s="6" t="s">
        <v>200</v>
      </c>
      <c r="H228" s="2" t="s">
        <v>284</v>
      </c>
      <c r="I228" s="2" t="s">
        <v>458</v>
      </c>
      <c r="J228" s="2" t="s">
        <v>19</v>
      </c>
      <c r="K228" s="2" t="s">
        <v>442</v>
      </c>
      <c r="L228" s="7" t="str">
        <f>HYPERLINK("http://slimages.macys.com/is/image/MCY/10242537 ")</f>
        <v xml:space="preserve">http://slimages.macys.com/is/image/MCY/10242537 </v>
      </c>
    </row>
    <row r="229" spans="1:12" ht="24.75" x14ac:dyDescent="0.25">
      <c r="A229" s="4" t="s">
        <v>733</v>
      </c>
      <c r="B229" s="2" t="s">
        <v>734</v>
      </c>
      <c r="C229" s="3">
        <v>1</v>
      </c>
      <c r="D229" s="5">
        <v>44.63</v>
      </c>
      <c r="E229" s="3" t="s">
        <v>735</v>
      </c>
      <c r="F229" s="2" t="s">
        <v>26</v>
      </c>
      <c r="G229" s="6" t="s">
        <v>181</v>
      </c>
      <c r="H229" s="2" t="s">
        <v>284</v>
      </c>
      <c r="I229" s="2" t="s">
        <v>736</v>
      </c>
      <c r="J229" s="2" t="s">
        <v>19</v>
      </c>
      <c r="K229" s="2" t="s">
        <v>737</v>
      </c>
      <c r="L229" s="7" t="str">
        <f>HYPERLINK("http://slimages.macys.com/is/image/MCY/12671708 ")</f>
        <v xml:space="preserve">http://slimages.macys.com/is/image/MCY/12671708 </v>
      </c>
    </row>
    <row r="230" spans="1:12" ht="24.75" x14ac:dyDescent="0.25">
      <c r="A230" s="4" t="s">
        <v>738</v>
      </c>
      <c r="B230" s="2" t="s">
        <v>739</v>
      </c>
      <c r="C230" s="3">
        <v>1</v>
      </c>
      <c r="D230" s="5">
        <v>59.5</v>
      </c>
      <c r="E230" s="3" t="s">
        <v>740</v>
      </c>
      <c r="F230" s="2" t="s">
        <v>164</v>
      </c>
      <c r="G230" s="6"/>
      <c r="H230" s="2" t="s">
        <v>127</v>
      </c>
      <c r="I230" s="2" t="s">
        <v>128</v>
      </c>
      <c r="J230" s="2" t="s">
        <v>19</v>
      </c>
      <c r="K230" s="2" t="s">
        <v>160</v>
      </c>
      <c r="L230" s="7" t="str">
        <f>HYPERLINK("http://slimages.macys.com/is/image/MCY/13290072 ")</f>
        <v xml:space="preserve">http://slimages.macys.com/is/image/MCY/13290072 </v>
      </c>
    </row>
    <row r="231" spans="1:12" ht="24.75" x14ac:dyDescent="0.25">
      <c r="A231" s="4" t="s">
        <v>741</v>
      </c>
      <c r="B231" s="2" t="s">
        <v>707</v>
      </c>
      <c r="C231" s="3">
        <v>1</v>
      </c>
      <c r="D231" s="5">
        <v>40.880000000000003</v>
      </c>
      <c r="E231" s="3" t="s">
        <v>742</v>
      </c>
      <c r="F231" s="2" t="s">
        <v>376</v>
      </c>
      <c r="G231" s="6" t="s">
        <v>238</v>
      </c>
      <c r="H231" s="2" t="s">
        <v>312</v>
      </c>
      <c r="I231" s="2" t="s">
        <v>195</v>
      </c>
      <c r="J231" s="2" t="s">
        <v>19</v>
      </c>
      <c r="K231" s="2" t="s">
        <v>546</v>
      </c>
      <c r="L231" s="7" t="str">
        <f>HYPERLINK("http://slimages.macys.com/is/image/MCY/12143632 ")</f>
        <v xml:space="preserve">http://slimages.macys.com/is/image/MCY/12143632 </v>
      </c>
    </row>
    <row r="232" spans="1:12" ht="24.75" x14ac:dyDescent="0.25">
      <c r="A232" s="4" t="s">
        <v>743</v>
      </c>
      <c r="B232" s="2" t="s">
        <v>744</v>
      </c>
      <c r="C232" s="3">
        <v>1</v>
      </c>
      <c r="D232" s="5">
        <v>39.99</v>
      </c>
      <c r="E232" s="3" t="s">
        <v>745</v>
      </c>
      <c r="F232" s="2" t="s">
        <v>64</v>
      </c>
      <c r="G232" s="6" t="s">
        <v>746</v>
      </c>
      <c r="H232" s="2" t="s">
        <v>349</v>
      </c>
      <c r="I232" s="2" t="s">
        <v>285</v>
      </c>
      <c r="J232" s="2" t="s">
        <v>19</v>
      </c>
      <c r="K232" s="2" t="s">
        <v>34</v>
      </c>
      <c r="L232" s="7" t="str">
        <f>HYPERLINK("http://slimages.macys.com/is/image/MCY/9268946 ")</f>
        <v xml:space="preserve">http://slimages.macys.com/is/image/MCY/9268946 </v>
      </c>
    </row>
    <row r="233" spans="1:12" ht="24.75" x14ac:dyDescent="0.25">
      <c r="A233" s="4" t="s">
        <v>747</v>
      </c>
      <c r="B233" s="2" t="s">
        <v>744</v>
      </c>
      <c r="C233" s="3">
        <v>1</v>
      </c>
      <c r="D233" s="5">
        <v>39.99</v>
      </c>
      <c r="E233" s="3" t="s">
        <v>748</v>
      </c>
      <c r="F233" s="2" t="s">
        <v>94</v>
      </c>
      <c r="G233" s="6" t="s">
        <v>746</v>
      </c>
      <c r="H233" s="2" t="s">
        <v>349</v>
      </c>
      <c r="I233" s="2" t="s">
        <v>285</v>
      </c>
      <c r="J233" s="2" t="s">
        <v>19</v>
      </c>
      <c r="K233" s="2" t="s">
        <v>34</v>
      </c>
      <c r="L233" s="7" t="str">
        <f>HYPERLINK("http://slimages.macys.com/is/image/MCY/9268946 ")</f>
        <v xml:space="preserve">http://slimages.macys.com/is/image/MCY/9268946 </v>
      </c>
    </row>
    <row r="234" spans="1:12" ht="48.75" x14ac:dyDescent="0.25">
      <c r="A234" s="4" t="s">
        <v>749</v>
      </c>
      <c r="B234" s="2" t="s">
        <v>750</v>
      </c>
      <c r="C234" s="3">
        <v>1</v>
      </c>
      <c r="D234" s="5">
        <v>44.63</v>
      </c>
      <c r="E234" s="3" t="s">
        <v>751</v>
      </c>
      <c r="F234" s="2" t="s">
        <v>752</v>
      </c>
      <c r="G234" s="6" t="s">
        <v>154</v>
      </c>
      <c r="H234" s="2" t="s">
        <v>194</v>
      </c>
      <c r="I234" s="2" t="s">
        <v>195</v>
      </c>
      <c r="J234" s="2" t="s">
        <v>19</v>
      </c>
      <c r="K234" s="2" t="s">
        <v>753</v>
      </c>
      <c r="L234" s="7" t="str">
        <f>HYPERLINK("http://slimages.macys.com/is/image/MCY/12734332 ")</f>
        <v xml:space="preserve">http://slimages.macys.com/is/image/MCY/12734332 </v>
      </c>
    </row>
    <row r="235" spans="1:12" ht="48.75" x14ac:dyDescent="0.25">
      <c r="A235" s="4" t="s">
        <v>754</v>
      </c>
      <c r="B235" s="2" t="s">
        <v>750</v>
      </c>
      <c r="C235" s="3">
        <v>1</v>
      </c>
      <c r="D235" s="5">
        <v>44.63</v>
      </c>
      <c r="E235" s="3" t="s">
        <v>751</v>
      </c>
      <c r="F235" s="2" t="s">
        <v>752</v>
      </c>
      <c r="G235" s="6" t="s">
        <v>234</v>
      </c>
      <c r="H235" s="2" t="s">
        <v>194</v>
      </c>
      <c r="I235" s="2" t="s">
        <v>195</v>
      </c>
      <c r="J235" s="2" t="s">
        <v>19</v>
      </c>
      <c r="K235" s="2" t="s">
        <v>753</v>
      </c>
      <c r="L235" s="7" t="str">
        <f>HYPERLINK("http://slimages.macys.com/is/image/MCY/12734332 ")</f>
        <v xml:space="preserve">http://slimages.macys.com/is/image/MCY/12734332 </v>
      </c>
    </row>
    <row r="236" spans="1:12" ht="48.75" x14ac:dyDescent="0.25">
      <c r="A236" s="4" t="s">
        <v>755</v>
      </c>
      <c r="B236" s="2" t="s">
        <v>750</v>
      </c>
      <c r="C236" s="3">
        <v>4</v>
      </c>
      <c r="D236" s="5">
        <v>44.63</v>
      </c>
      <c r="E236" s="3" t="s">
        <v>751</v>
      </c>
      <c r="F236" s="2" t="s">
        <v>752</v>
      </c>
      <c r="G236" s="6" t="s">
        <v>181</v>
      </c>
      <c r="H236" s="2" t="s">
        <v>194</v>
      </c>
      <c r="I236" s="2" t="s">
        <v>195</v>
      </c>
      <c r="J236" s="2" t="s">
        <v>19</v>
      </c>
      <c r="K236" s="2" t="s">
        <v>753</v>
      </c>
      <c r="L236" s="7" t="str">
        <f>HYPERLINK("http://slimages.macys.com/is/image/MCY/12734332 ")</f>
        <v xml:space="preserve">http://slimages.macys.com/is/image/MCY/12734332 </v>
      </c>
    </row>
    <row r="237" spans="1:12" ht="24.75" x14ac:dyDescent="0.25">
      <c r="A237" s="4" t="s">
        <v>756</v>
      </c>
      <c r="B237" s="2" t="s">
        <v>757</v>
      </c>
      <c r="C237" s="3">
        <v>2</v>
      </c>
      <c r="D237" s="5">
        <v>37.130000000000003</v>
      </c>
      <c r="E237" s="3" t="s">
        <v>758</v>
      </c>
      <c r="F237" s="2" t="s">
        <v>48</v>
      </c>
      <c r="G237" s="6" t="s">
        <v>154</v>
      </c>
      <c r="H237" s="2" t="s">
        <v>194</v>
      </c>
      <c r="I237" s="2" t="s">
        <v>503</v>
      </c>
      <c r="J237" s="2" t="s">
        <v>19</v>
      </c>
      <c r="K237" s="2" t="s">
        <v>546</v>
      </c>
      <c r="L237" s="7" t="str">
        <f>HYPERLINK("http://slimages.macys.com/is/image/MCY/12851524 ")</f>
        <v xml:space="preserve">http://slimages.macys.com/is/image/MCY/12851524 </v>
      </c>
    </row>
    <row r="238" spans="1:12" ht="24.75" x14ac:dyDescent="0.25">
      <c r="A238" s="4" t="s">
        <v>759</v>
      </c>
      <c r="B238" s="2" t="s">
        <v>757</v>
      </c>
      <c r="C238" s="3">
        <v>1</v>
      </c>
      <c r="D238" s="5">
        <v>37.130000000000003</v>
      </c>
      <c r="E238" s="3" t="s">
        <v>758</v>
      </c>
      <c r="F238" s="2" t="s">
        <v>48</v>
      </c>
      <c r="G238" s="6" t="s">
        <v>234</v>
      </c>
      <c r="H238" s="2" t="s">
        <v>194</v>
      </c>
      <c r="I238" s="2" t="s">
        <v>503</v>
      </c>
      <c r="J238" s="2" t="s">
        <v>19</v>
      </c>
      <c r="K238" s="2" t="s">
        <v>546</v>
      </c>
      <c r="L238" s="7" t="str">
        <f>HYPERLINK("http://slimages.macys.com/is/image/MCY/12851524 ")</f>
        <v xml:space="preserve">http://slimages.macys.com/is/image/MCY/12851524 </v>
      </c>
    </row>
    <row r="239" spans="1:12" ht="24.75" x14ac:dyDescent="0.25">
      <c r="A239" s="4" t="s">
        <v>760</v>
      </c>
      <c r="B239" s="2" t="s">
        <v>757</v>
      </c>
      <c r="C239" s="3">
        <v>1</v>
      </c>
      <c r="D239" s="5">
        <v>37.130000000000003</v>
      </c>
      <c r="E239" s="3" t="s">
        <v>758</v>
      </c>
      <c r="F239" s="2" t="s">
        <v>64</v>
      </c>
      <c r="G239" s="6" t="s">
        <v>156</v>
      </c>
      <c r="H239" s="2" t="s">
        <v>194</v>
      </c>
      <c r="I239" s="2" t="s">
        <v>503</v>
      </c>
      <c r="J239" s="2" t="s">
        <v>19</v>
      </c>
      <c r="K239" s="2" t="s">
        <v>546</v>
      </c>
      <c r="L239" s="7" t="str">
        <f>HYPERLINK("http://slimages.macys.com/is/image/MCY/12851524 ")</f>
        <v xml:space="preserve">http://slimages.macys.com/is/image/MCY/12851524 </v>
      </c>
    </row>
    <row r="240" spans="1:12" ht="24.75" x14ac:dyDescent="0.25">
      <c r="A240" s="4" t="s">
        <v>761</v>
      </c>
      <c r="B240" s="2" t="s">
        <v>762</v>
      </c>
      <c r="C240" s="3">
        <v>1</v>
      </c>
      <c r="D240" s="5">
        <v>44.63</v>
      </c>
      <c r="E240" s="3">
        <v>100016229</v>
      </c>
      <c r="F240" s="2" t="s">
        <v>15</v>
      </c>
      <c r="G240" s="6" t="s">
        <v>181</v>
      </c>
      <c r="H240" s="2" t="s">
        <v>194</v>
      </c>
      <c r="I240" s="2" t="s">
        <v>195</v>
      </c>
      <c r="J240" s="2" t="s">
        <v>19</v>
      </c>
      <c r="K240" s="2" t="s">
        <v>648</v>
      </c>
      <c r="L240" s="7" t="str">
        <f>HYPERLINK("http://slimages.macys.com/is/image/MCY/9825357 ")</f>
        <v xml:space="preserve">http://slimages.macys.com/is/image/MCY/9825357 </v>
      </c>
    </row>
    <row r="241" spans="1:12" ht="36.75" x14ac:dyDescent="0.25">
      <c r="A241" s="4" t="s">
        <v>763</v>
      </c>
      <c r="B241" s="2" t="s">
        <v>764</v>
      </c>
      <c r="C241" s="3">
        <v>2</v>
      </c>
      <c r="D241" s="5">
        <v>37.130000000000003</v>
      </c>
      <c r="E241" s="3" t="s">
        <v>765</v>
      </c>
      <c r="F241" s="2" t="s">
        <v>566</v>
      </c>
      <c r="G241" s="6" t="s">
        <v>181</v>
      </c>
      <c r="H241" s="2" t="s">
        <v>284</v>
      </c>
      <c r="I241" s="2" t="s">
        <v>458</v>
      </c>
      <c r="J241" s="2" t="s">
        <v>19</v>
      </c>
      <c r="K241" s="2" t="s">
        <v>514</v>
      </c>
      <c r="L241" s="7" t="str">
        <f>HYPERLINK("http://slimages.macys.com/is/image/MCY/13804604 ")</f>
        <v xml:space="preserve">http://slimages.macys.com/is/image/MCY/13804604 </v>
      </c>
    </row>
    <row r="242" spans="1:12" ht="36.75" x14ac:dyDescent="0.25">
      <c r="A242" s="4" t="s">
        <v>766</v>
      </c>
      <c r="B242" s="2" t="s">
        <v>764</v>
      </c>
      <c r="C242" s="3">
        <v>1</v>
      </c>
      <c r="D242" s="5">
        <v>37.130000000000003</v>
      </c>
      <c r="E242" s="3" t="s">
        <v>765</v>
      </c>
      <c r="F242" s="2" t="s">
        <v>566</v>
      </c>
      <c r="G242" s="6" t="s">
        <v>200</v>
      </c>
      <c r="H242" s="2" t="s">
        <v>284</v>
      </c>
      <c r="I242" s="2" t="s">
        <v>458</v>
      </c>
      <c r="J242" s="2" t="s">
        <v>19</v>
      </c>
      <c r="K242" s="2" t="s">
        <v>514</v>
      </c>
      <c r="L242" s="7" t="str">
        <f>HYPERLINK("http://slimages.macys.com/is/image/MCY/13804604 ")</f>
        <v xml:space="preserve">http://slimages.macys.com/is/image/MCY/13804604 </v>
      </c>
    </row>
    <row r="243" spans="1:12" ht="24.75" x14ac:dyDescent="0.25">
      <c r="A243" s="4" t="s">
        <v>767</v>
      </c>
      <c r="B243" s="2" t="s">
        <v>768</v>
      </c>
      <c r="C243" s="3">
        <v>1</v>
      </c>
      <c r="D243" s="5">
        <v>34.880000000000003</v>
      </c>
      <c r="E243" s="3">
        <v>100054400</v>
      </c>
      <c r="F243" s="2" t="s">
        <v>64</v>
      </c>
      <c r="G243" s="6" t="s">
        <v>22</v>
      </c>
      <c r="H243" s="2" t="s">
        <v>194</v>
      </c>
      <c r="I243" s="2" t="s">
        <v>195</v>
      </c>
      <c r="J243" s="2" t="s">
        <v>19</v>
      </c>
      <c r="K243" s="2" t="s">
        <v>546</v>
      </c>
      <c r="L243" s="7" t="str">
        <f>HYPERLINK("http://slimages.macys.com/is/image/MCY/12850455 ")</f>
        <v xml:space="preserve">http://slimages.macys.com/is/image/MCY/12850455 </v>
      </c>
    </row>
    <row r="244" spans="1:12" ht="48.75" x14ac:dyDescent="0.25">
      <c r="A244" s="4" t="s">
        <v>769</v>
      </c>
      <c r="B244" s="2" t="s">
        <v>750</v>
      </c>
      <c r="C244" s="3">
        <v>2</v>
      </c>
      <c r="D244" s="5">
        <v>44.63</v>
      </c>
      <c r="E244" s="3" t="s">
        <v>770</v>
      </c>
      <c r="F244" s="2" t="s">
        <v>752</v>
      </c>
      <c r="G244" s="6"/>
      <c r="H244" s="2" t="s">
        <v>312</v>
      </c>
      <c r="I244" s="2" t="s">
        <v>195</v>
      </c>
      <c r="J244" s="2" t="s">
        <v>19</v>
      </c>
      <c r="K244" s="2" t="s">
        <v>771</v>
      </c>
      <c r="L244" s="7" t="str">
        <f>HYPERLINK("http://slimages.macys.com/is/image/MCY/12734332 ")</f>
        <v xml:space="preserve">http://slimages.macys.com/is/image/MCY/12734332 </v>
      </c>
    </row>
    <row r="245" spans="1:12" ht="48.75" x14ac:dyDescent="0.25">
      <c r="A245" s="4" t="s">
        <v>772</v>
      </c>
      <c r="B245" s="2" t="s">
        <v>773</v>
      </c>
      <c r="C245" s="3">
        <v>1</v>
      </c>
      <c r="D245" s="5">
        <v>37.130000000000003</v>
      </c>
      <c r="E245" s="3" t="s">
        <v>774</v>
      </c>
      <c r="F245" s="2" t="s">
        <v>26</v>
      </c>
      <c r="G245" s="6"/>
      <c r="H245" s="2" t="s">
        <v>632</v>
      </c>
      <c r="I245" s="2" t="s">
        <v>408</v>
      </c>
      <c r="J245" s="2" t="s">
        <v>19</v>
      </c>
      <c r="K245" s="2" t="s">
        <v>775</v>
      </c>
      <c r="L245" s="7" t="str">
        <f>HYPERLINK("http://slimages.macys.com/is/image/MCY/12876503 ")</f>
        <v xml:space="preserve">http://slimages.macys.com/is/image/MCY/12876503 </v>
      </c>
    </row>
    <row r="246" spans="1:12" ht="24.75" x14ac:dyDescent="0.25">
      <c r="A246" s="4" t="s">
        <v>776</v>
      </c>
      <c r="B246" s="2" t="s">
        <v>777</v>
      </c>
      <c r="C246" s="3">
        <v>1</v>
      </c>
      <c r="D246" s="5">
        <v>34.880000000000003</v>
      </c>
      <c r="E246" s="3" t="s">
        <v>778</v>
      </c>
      <c r="F246" s="2" t="s">
        <v>74</v>
      </c>
      <c r="G246" s="6"/>
      <c r="H246" s="2" t="s">
        <v>312</v>
      </c>
      <c r="I246" s="2" t="s">
        <v>503</v>
      </c>
      <c r="J246" s="2" t="s">
        <v>19</v>
      </c>
      <c r="K246" s="2" t="s">
        <v>353</v>
      </c>
      <c r="L246" s="7" t="str">
        <f>HYPERLINK("http://slimages.macys.com/is/image/MCY/11146051 ")</f>
        <v xml:space="preserve">http://slimages.macys.com/is/image/MCY/11146051 </v>
      </c>
    </row>
    <row r="247" spans="1:12" ht="36.75" x14ac:dyDescent="0.25">
      <c r="A247" s="4" t="s">
        <v>779</v>
      </c>
      <c r="B247" s="2" t="s">
        <v>780</v>
      </c>
      <c r="C247" s="3">
        <v>1</v>
      </c>
      <c r="D247" s="5">
        <v>59.5</v>
      </c>
      <c r="E247" s="3" t="s">
        <v>781</v>
      </c>
      <c r="F247" s="2" t="s">
        <v>53</v>
      </c>
      <c r="G247" s="6"/>
      <c r="H247" s="2" t="s">
        <v>127</v>
      </c>
      <c r="I247" s="2" t="s">
        <v>128</v>
      </c>
      <c r="J247" s="2" t="s">
        <v>19</v>
      </c>
      <c r="K247" s="2" t="s">
        <v>782</v>
      </c>
      <c r="L247" s="7" t="str">
        <f>HYPERLINK("http://slimages.macys.com/is/image/MCY/13039364 ")</f>
        <v xml:space="preserve">http://slimages.macys.com/is/image/MCY/13039364 </v>
      </c>
    </row>
    <row r="248" spans="1:12" ht="48.75" x14ac:dyDescent="0.25">
      <c r="A248" s="4" t="s">
        <v>783</v>
      </c>
      <c r="B248" s="2" t="s">
        <v>784</v>
      </c>
      <c r="C248" s="3">
        <v>1</v>
      </c>
      <c r="D248" s="5">
        <v>34.99</v>
      </c>
      <c r="E248" s="3" t="s">
        <v>785</v>
      </c>
      <c r="F248" s="2" t="s">
        <v>33</v>
      </c>
      <c r="G248" s="6" t="s">
        <v>786</v>
      </c>
      <c r="H248" s="2" t="s">
        <v>349</v>
      </c>
      <c r="I248" s="2" t="s">
        <v>408</v>
      </c>
      <c r="J248" s="2" t="s">
        <v>19</v>
      </c>
      <c r="K248" s="2" t="s">
        <v>787</v>
      </c>
      <c r="L248" s="7" t="str">
        <f>HYPERLINK("http://slimages.macys.com/is/image/MCY/3935281 ")</f>
        <v xml:space="preserve">http://slimages.macys.com/is/image/MCY/3935281 </v>
      </c>
    </row>
    <row r="249" spans="1:12" ht="24.75" x14ac:dyDescent="0.25">
      <c r="A249" s="4" t="s">
        <v>788</v>
      </c>
      <c r="B249" s="2" t="s">
        <v>789</v>
      </c>
      <c r="C249" s="3">
        <v>1</v>
      </c>
      <c r="D249" s="5">
        <v>45</v>
      </c>
      <c r="E249" s="3" t="s">
        <v>790</v>
      </c>
      <c r="F249" s="2" t="s">
        <v>74</v>
      </c>
      <c r="G249" s="6" t="s">
        <v>791</v>
      </c>
      <c r="H249" s="2" t="s">
        <v>447</v>
      </c>
      <c r="I249" s="2" t="s">
        <v>792</v>
      </c>
      <c r="J249" s="2" t="s">
        <v>19</v>
      </c>
      <c r="K249" s="2" t="s">
        <v>160</v>
      </c>
      <c r="L249" s="7" t="str">
        <f>HYPERLINK("http://slimages.macys.com/is/image/MCY/12258271 ")</f>
        <v xml:space="preserve">http://slimages.macys.com/is/image/MCY/12258271 </v>
      </c>
    </row>
    <row r="250" spans="1:12" ht="24.75" x14ac:dyDescent="0.25">
      <c r="A250" s="4" t="s">
        <v>793</v>
      </c>
      <c r="B250" s="2" t="s">
        <v>789</v>
      </c>
      <c r="C250" s="3">
        <v>1</v>
      </c>
      <c r="D250" s="5">
        <v>45</v>
      </c>
      <c r="E250" s="3" t="s">
        <v>790</v>
      </c>
      <c r="F250" s="2" t="s">
        <v>74</v>
      </c>
      <c r="G250" s="6" t="s">
        <v>794</v>
      </c>
      <c r="H250" s="2" t="s">
        <v>447</v>
      </c>
      <c r="I250" s="2" t="s">
        <v>792</v>
      </c>
      <c r="J250" s="2" t="s">
        <v>19</v>
      </c>
      <c r="K250" s="2" t="s">
        <v>160</v>
      </c>
      <c r="L250" s="7" t="str">
        <f>HYPERLINK("http://slimages.macys.com/is/image/MCY/12258271 ")</f>
        <v xml:space="preserve">http://slimages.macys.com/is/image/MCY/12258271 </v>
      </c>
    </row>
    <row r="251" spans="1:12" ht="24.75" x14ac:dyDescent="0.25">
      <c r="A251" s="4" t="s">
        <v>795</v>
      </c>
      <c r="B251" s="2" t="s">
        <v>796</v>
      </c>
      <c r="C251" s="3">
        <v>1</v>
      </c>
      <c r="D251" s="5">
        <v>40.880000000000003</v>
      </c>
      <c r="E251" s="3" t="s">
        <v>797</v>
      </c>
      <c r="F251" s="2" t="s">
        <v>26</v>
      </c>
      <c r="G251" s="6" t="s">
        <v>156</v>
      </c>
      <c r="H251" s="2" t="s">
        <v>194</v>
      </c>
      <c r="I251" s="2" t="s">
        <v>195</v>
      </c>
      <c r="J251" s="2" t="s">
        <v>19</v>
      </c>
      <c r="K251" s="2" t="s">
        <v>798</v>
      </c>
      <c r="L251" s="7" t="str">
        <f>HYPERLINK("http://slimages.macys.com/is/image/MCY/12950259 ")</f>
        <v xml:space="preserve">http://slimages.macys.com/is/image/MCY/12950259 </v>
      </c>
    </row>
    <row r="252" spans="1:12" ht="24.75" x14ac:dyDescent="0.25">
      <c r="A252" s="4" t="s">
        <v>799</v>
      </c>
      <c r="B252" s="2" t="s">
        <v>800</v>
      </c>
      <c r="C252" s="3">
        <v>2</v>
      </c>
      <c r="D252" s="5">
        <v>37.130000000000003</v>
      </c>
      <c r="E252" s="3" t="s">
        <v>801</v>
      </c>
      <c r="F252" s="2" t="s">
        <v>64</v>
      </c>
      <c r="G252" s="6" t="s">
        <v>802</v>
      </c>
      <c r="H252" s="2" t="s">
        <v>188</v>
      </c>
      <c r="I252" s="2" t="s">
        <v>189</v>
      </c>
      <c r="J252" s="2" t="s">
        <v>19</v>
      </c>
      <c r="K252" s="2" t="s">
        <v>803</v>
      </c>
      <c r="L252" s="7" t="str">
        <f>HYPERLINK("http://slimages.macys.com/is/image/MCY/9484269 ")</f>
        <v xml:space="preserve">http://slimages.macys.com/is/image/MCY/9484269 </v>
      </c>
    </row>
    <row r="253" spans="1:12" ht="24.75" x14ac:dyDescent="0.25">
      <c r="A253" s="4" t="s">
        <v>804</v>
      </c>
      <c r="B253" s="2" t="s">
        <v>800</v>
      </c>
      <c r="C253" s="3">
        <v>1</v>
      </c>
      <c r="D253" s="5">
        <v>37.130000000000003</v>
      </c>
      <c r="E253" s="3" t="s">
        <v>801</v>
      </c>
      <c r="F253" s="2" t="s">
        <v>64</v>
      </c>
      <c r="G253" s="6" t="s">
        <v>238</v>
      </c>
      <c r="H253" s="2" t="s">
        <v>188</v>
      </c>
      <c r="I253" s="2" t="s">
        <v>189</v>
      </c>
      <c r="J253" s="2" t="s">
        <v>19</v>
      </c>
      <c r="K253" s="2" t="s">
        <v>803</v>
      </c>
      <c r="L253" s="7" t="str">
        <f>HYPERLINK("http://slimages.macys.com/is/image/MCY/9484269 ")</f>
        <v xml:space="preserve">http://slimages.macys.com/is/image/MCY/9484269 </v>
      </c>
    </row>
    <row r="254" spans="1:12" ht="24.75" x14ac:dyDescent="0.25">
      <c r="A254" s="4" t="s">
        <v>805</v>
      </c>
      <c r="B254" s="2" t="s">
        <v>800</v>
      </c>
      <c r="C254" s="3">
        <v>2</v>
      </c>
      <c r="D254" s="5">
        <v>37.130000000000003</v>
      </c>
      <c r="E254" s="3" t="s">
        <v>801</v>
      </c>
      <c r="F254" s="2" t="s">
        <v>64</v>
      </c>
      <c r="G254" s="6" t="s">
        <v>165</v>
      </c>
      <c r="H254" s="2" t="s">
        <v>188</v>
      </c>
      <c r="I254" s="2" t="s">
        <v>189</v>
      </c>
      <c r="J254" s="2" t="s">
        <v>19</v>
      </c>
      <c r="K254" s="2" t="s">
        <v>803</v>
      </c>
      <c r="L254" s="7" t="str">
        <f>HYPERLINK("http://slimages.macys.com/is/image/MCY/9484269 ")</f>
        <v xml:space="preserve">http://slimages.macys.com/is/image/MCY/9484269 </v>
      </c>
    </row>
    <row r="255" spans="1:12" ht="24.75" x14ac:dyDescent="0.25">
      <c r="A255" s="4" t="s">
        <v>806</v>
      </c>
      <c r="B255" s="2" t="s">
        <v>800</v>
      </c>
      <c r="C255" s="3">
        <v>1</v>
      </c>
      <c r="D255" s="5">
        <v>37.130000000000003</v>
      </c>
      <c r="E255" s="3" t="s">
        <v>801</v>
      </c>
      <c r="F255" s="2" t="s">
        <v>64</v>
      </c>
      <c r="G255" s="6" t="s">
        <v>126</v>
      </c>
      <c r="H255" s="2" t="s">
        <v>188</v>
      </c>
      <c r="I255" s="2" t="s">
        <v>189</v>
      </c>
      <c r="J255" s="2" t="s">
        <v>19</v>
      </c>
      <c r="K255" s="2" t="s">
        <v>803</v>
      </c>
      <c r="L255" s="7" t="str">
        <f>HYPERLINK("http://slimages.macys.com/is/image/MCY/9484269 ")</f>
        <v xml:space="preserve">http://slimages.macys.com/is/image/MCY/9484269 </v>
      </c>
    </row>
    <row r="256" spans="1:12" ht="24.75" x14ac:dyDescent="0.25">
      <c r="A256" s="4" t="s">
        <v>807</v>
      </c>
      <c r="B256" s="2" t="s">
        <v>808</v>
      </c>
      <c r="C256" s="3">
        <v>1</v>
      </c>
      <c r="D256" s="5">
        <v>37.130000000000003</v>
      </c>
      <c r="E256" s="3">
        <v>100013676</v>
      </c>
      <c r="F256" s="2" t="s">
        <v>53</v>
      </c>
      <c r="G256" s="6" t="s">
        <v>156</v>
      </c>
      <c r="H256" s="2" t="s">
        <v>194</v>
      </c>
      <c r="I256" s="2" t="s">
        <v>503</v>
      </c>
      <c r="J256" s="2" t="s">
        <v>19</v>
      </c>
      <c r="K256" s="2" t="s">
        <v>546</v>
      </c>
      <c r="L256" s="7" t="str">
        <f>HYPERLINK("http://slimages.macys.com/is/image/MCY/9340718 ")</f>
        <v xml:space="preserve">http://slimages.macys.com/is/image/MCY/9340718 </v>
      </c>
    </row>
    <row r="257" spans="1:12" ht="24.75" x14ac:dyDescent="0.25">
      <c r="A257" s="4" t="s">
        <v>809</v>
      </c>
      <c r="B257" s="2" t="s">
        <v>808</v>
      </c>
      <c r="C257" s="3">
        <v>1</v>
      </c>
      <c r="D257" s="5">
        <v>37.130000000000003</v>
      </c>
      <c r="E257" s="3">
        <v>100013676</v>
      </c>
      <c r="F257" s="2" t="s">
        <v>53</v>
      </c>
      <c r="G257" s="6" t="s">
        <v>234</v>
      </c>
      <c r="H257" s="2" t="s">
        <v>194</v>
      </c>
      <c r="I257" s="2" t="s">
        <v>503</v>
      </c>
      <c r="J257" s="2" t="s">
        <v>19</v>
      </c>
      <c r="K257" s="2" t="s">
        <v>546</v>
      </c>
      <c r="L257" s="7" t="str">
        <f>HYPERLINK("http://slimages.macys.com/is/image/MCY/9340718 ")</f>
        <v xml:space="preserve">http://slimages.macys.com/is/image/MCY/9340718 </v>
      </c>
    </row>
    <row r="258" spans="1:12" ht="24.75" x14ac:dyDescent="0.25">
      <c r="A258" s="4" t="s">
        <v>810</v>
      </c>
      <c r="B258" s="2" t="s">
        <v>811</v>
      </c>
      <c r="C258" s="3">
        <v>2</v>
      </c>
      <c r="D258" s="5">
        <v>37.130000000000003</v>
      </c>
      <c r="E258" s="3" t="s">
        <v>812</v>
      </c>
      <c r="F258" s="2" t="s">
        <v>170</v>
      </c>
      <c r="G258" s="6" t="s">
        <v>181</v>
      </c>
      <c r="H258" s="2" t="s">
        <v>194</v>
      </c>
      <c r="I258" s="2" t="s">
        <v>195</v>
      </c>
      <c r="J258" s="2" t="s">
        <v>19</v>
      </c>
      <c r="K258" s="2" t="s">
        <v>160</v>
      </c>
      <c r="L258" s="7" t="str">
        <f>HYPERLINK("http://slimages.macys.com/is/image/MCY/11804348 ")</f>
        <v xml:space="preserve">http://slimages.macys.com/is/image/MCY/11804348 </v>
      </c>
    </row>
    <row r="259" spans="1:12" ht="24.75" x14ac:dyDescent="0.25">
      <c r="A259" s="4" t="s">
        <v>813</v>
      </c>
      <c r="B259" s="2" t="s">
        <v>811</v>
      </c>
      <c r="C259" s="3">
        <v>1</v>
      </c>
      <c r="D259" s="5">
        <v>37.130000000000003</v>
      </c>
      <c r="E259" s="3" t="s">
        <v>812</v>
      </c>
      <c r="F259" s="2" t="s">
        <v>170</v>
      </c>
      <c r="G259" s="6" t="s">
        <v>154</v>
      </c>
      <c r="H259" s="2" t="s">
        <v>194</v>
      </c>
      <c r="I259" s="2" t="s">
        <v>195</v>
      </c>
      <c r="J259" s="2" t="s">
        <v>19</v>
      </c>
      <c r="K259" s="2" t="s">
        <v>160</v>
      </c>
      <c r="L259" s="7" t="str">
        <f>HYPERLINK("http://slimages.macys.com/is/image/MCY/11804348 ")</f>
        <v xml:space="preserve">http://slimages.macys.com/is/image/MCY/11804348 </v>
      </c>
    </row>
    <row r="260" spans="1:12" ht="24.75" x14ac:dyDescent="0.25">
      <c r="A260" s="4" t="s">
        <v>814</v>
      </c>
      <c r="B260" s="2" t="s">
        <v>815</v>
      </c>
      <c r="C260" s="3">
        <v>1</v>
      </c>
      <c r="D260" s="5">
        <v>44.63</v>
      </c>
      <c r="E260" s="3" t="s">
        <v>816</v>
      </c>
      <c r="F260" s="2" t="s">
        <v>64</v>
      </c>
      <c r="G260" s="6" t="s">
        <v>27</v>
      </c>
      <c r="H260" s="2" t="s">
        <v>246</v>
      </c>
      <c r="I260" s="2" t="s">
        <v>487</v>
      </c>
      <c r="J260" s="2" t="s">
        <v>19</v>
      </c>
      <c r="K260" s="2" t="s">
        <v>409</v>
      </c>
      <c r="L260" s="7" t="str">
        <f>HYPERLINK("http://slimages.macys.com/is/image/MCY/12893394 ")</f>
        <v xml:space="preserve">http://slimages.macys.com/is/image/MCY/12893394 </v>
      </c>
    </row>
    <row r="261" spans="1:12" ht="24.75" x14ac:dyDescent="0.25">
      <c r="A261" s="4" t="s">
        <v>817</v>
      </c>
      <c r="B261" s="2" t="s">
        <v>818</v>
      </c>
      <c r="C261" s="3">
        <v>1</v>
      </c>
      <c r="D261" s="5">
        <v>36.5</v>
      </c>
      <c r="E261" s="3" t="s">
        <v>819</v>
      </c>
      <c r="F261" s="2" t="s">
        <v>820</v>
      </c>
      <c r="G261" s="6" t="s">
        <v>234</v>
      </c>
      <c r="H261" s="2" t="s">
        <v>194</v>
      </c>
      <c r="I261" s="2" t="s">
        <v>195</v>
      </c>
      <c r="J261" s="2" t="s">
        <v>19</v>
      </c>
      <c r="K261" s="2" t="s">
        <v>201</v>
      </c>
      <c r="L261" s="7" t="str">
        <f>HYPERLINK("http://slimages.macys.com/is/image/MCY/11935616 ")</f>
        <v xml:space="preserve">http://slimages.macys.com/is/image/MCY/11935616 </v>
      </c>
    </row>
    <row r="262" spans="1:12" ht="24.75" x14ac:dyDescent="0.25">
      <c r="A262" s="4" t="s">
        <v>821</v>
      </c>
      <c r="B262" s="2" t="s">
        <v>818</v>
      </c>
      <c r="C262" s="3">
        <v>1</v>
      </c>
      <c r="D262" s="5">
        <v>36.5</v>
      </c>
      <c r="E262" s="3" t="s">
        <v>819</v>
      </c>
      <c r="F262" s="2" t="s">
        <v>820</v>
      </c>
      <c r="G262" s="6" t="s">
        <v>154</v>
      </c>
      <c r="H262" s="2" t="s">
        <v>194</v>
      </c>
      <c r="I262" s="2" t="s">
        <v>195</v>
      </c>
      <c r="J262" s="2" t="s">
        <v>19</v>
      </c>
      <c r="K262" s="2" t="s">
        <v>201</v>
      </c>
      <c r="L262" s="7" t="str">
        <f>HYPERLINK("http://slimages.macys.com/is/image/MCY/11935616 ")</f>
        <v xml:space="preserve">http://slimages.macys.com/is/image/MCY/11935616 </v>
      </c>
    </row>
    <row r="263" spans="1:12" ht="24.75" x14ac:dyDescent="0.25">
      <c r="A263" s="4" t="s">
        <v>822</v>
      </c>
      <c r="B263" s="2" t="s">
        <v>818</v>
      </c>
      <c r="C263" s="3">
        <v>1</v>
      </c>
      <c r="D263" s="5">
        <v>36.5</v>
      </c>
      <c r="E263" s="3" t="s">
        <v>819</v>
      </c>
      <c r="F263" s="2" t="s">
        <v>820</v>
      </c>
      <c r="G263" s="6" t="s">
        <v>156</v>
      </c>
      <c r="H263" s="2" t="s">
        <v>194</v>
      </c>
      <c r="I263" s="2" t="s">
        <v>195</v>
      </c>
      <c r="J263" s="2" t="s">
        <v>19</v>
      </c>
      <c r="K263" s="2" t="s">
        <v>201</v>
      </c>
      <c r="L263" s="7" t="str">
        <f>HYPERLINK("http://slimages.macys.com/is/image/MCY/11935616 ")</f>
        <v xml:space="preserve">http://slimages.macys.com/is/image/MCY/11935616 </v>
      </c>
    </row>
    <row r="264" spans="1:12" ht="24.75" x14ac:dyDescent="0.25">
      <c r="A264" s="4" t="s">
        <v>823</v>
      </c>
      <c r="B264" s="2" t="s">
        <v>824</v>
      </c>
      <c r="C264" s="3">
        <v>1</v>
      </c>
      <c r="D264" s="5">
        <v>36.5</v>
      </c>
      <c r="E264" s="3" t="s">
        <v>825</v>
      </c>
      <c r="F264" s="2" t="s">
        <v>26</v>
      </c>
      <c r="G264" s="6" t="s">
        <v>200</v>
      </c>
      <c r="H264" s="2" t="s">
        <v>194</v>
      </c>
      <c r="I264" s="2" t="s">
        <v>307</v>
      </c>
      <c r="J264" s="2" t="s">
        <v>19</v>
      </c>
      <c r="K264" s="2" t="s">
        <v>160</v>
      </c>
      <c r="L264" s="7" t="str">
        <f>HYPERLINK("http://slimages.macys.com/is/image/MCY/11936006 ")</f>
        <v xml:space="preserve">http://slimages.macys.com/is/image/MCY/11936006 </v>
      </c>
    </row>
    <row r="265" spans="1:12" ht="24.75" x14ac:dyDescent="0.25">
      <c r="A265" s="4" t="s">
        <v>826</v>
      </c>
      <c r="B265" s="2" t="s">
        <v>827</v>
      </c>
      <c r="C265" s="3">
        <v>1</v>
      </c>
      <c r="D265" s="5">
        <v>37.130000000000003</v>
      </c>
      <c r="E265" s="3">
        <v>100009535</v>
      </c>
      <c r="F265" s="2" t="s">
        <v>64</v>
      </c>
      <c r="G265" s="6" t="s">
        <v>112</v>
      </c>
      <c r="H265" s="2" t="s">
        <v>194</v>
      </c>
      <c r="I265" s="2" t="s">
        <v>503</v>
      </c>
      <c r="J265" s="2" t="s">
        <v>19</v>
      </c>
      <c r="K265" s="2" t="s">
        <v>353</v>
      </c>
      <c r="L265" s="7" t="str">
        <f>HYPERLINK("http://slimages.macys.com/is/image/MCY/9340634 ")</f>
        <v xml:space="preserve">http://slimages.macys.com/is/image/MCY/9340634 </v>
      </c>
    </row>
    <row r="266" spans="1:12" ht="24.75" x14ac:dyDescent="0.25">
      <c r="A266" s="4" t="s">
        <v>828</v>
      </c>
      <c r="B266" s="2" t="s">
        <v>827</v>
      </c>
      <c r="C266" s="3">
        <v>1</v>
      </c>
      <c r="D266" s="5">
        <v>37.130000000000003</v>
      </c>
      <c r="E266" s="3">
        <v>100009535</v>
      </c>
      <c r="F266" s="2" t="s">
        <v>170</v>
      </c>
      <c r="G266" s="6" t="s">
        <v>27</v>
      </c>
      <c r="H266" s="2" t="s">
        <v>194</v>
      </c>
      <c r="I266" s="2" t="s">
        <v>503</v>
      </c>
      <c r="J266" s="2" t="s">
        <v>19</v>
      </c>
      <c r="K266" s="2" t="s">
        <v>353</v>
      </c>
      <c r="L266" s="7" t="str">
        <f>HYPERLINK("http://slimages.macys.com/is/image/MCY/9450411 ")</f>
        <v xml:space="preserve">http://slimages.macys.com/is/image/MCY/9450411 </v>
      </c>
    </row>
    <row r="267" spans="1:12" ht="24.75" x14ac:dyDescent="0.25">
      <c r="A267" s="4" t="s">
        <v>829</v>
      </c>
      <c r="B267" s="2" t="s">
        <v>827</v>
      </c>
      <c r="C267" s="3">
        <v>1</v>
      </c>
      <c r="D267" s="5">
        <v>37.130000000000003</v>
      </c>
      <c r="E267" s="3">
        <v>100009535</v>
      </c>
      <c r="F267" s="2" t="s">
        <v>376</v>
      </c>
      <c r="G267" s="6" t="s">
        <v>112</v>
      </c>
      <c r="H267" s="2" t="s">
        <v>194</v>
      </c>
      <c r="I267" s="2" t="s">
        <v>503</v>
      </c>
      <c r="J267" s="2" t="s">
        <v>19</v>
      </c>
      <c r="K267" s="2" t="s">
        <v>353</v>
      </c>
      <c r="L267" s="7" t="str">
        <f>HYPERLINK("http://slimages.macys.com/is/image/MCY/9340634 ")</f>
        <v xml:space="preserve">http://slimages.macys.com/is/image/MCY/9340634 </v>
      </c>
    </row>
    <row r="268" spans="1:12" ht="24.75" x14ac:dyDescent="0.25">
      <c r="A268" s="4" t="s">
        <v>830</v>
      </c>
      <c r="B268" s="2" t="s">
        <v>827</v>
      </c>
      <c r="C268" s="3">
        <v>1</v>
      </c>
      <c r="D268" s="5">
        <v>37.130000000000003</v>
      </c>
      <c r="E268" s="3">
        <v>100009535</v>
      </c>
      <c r="F268" s="2" t="s">
        <v>376</v>
      </c>
      <c r="G268" s="6" t="s">
        <v>22</v>
      </c>
      <c r="H268" s="2" t="s">
        <v>194</v>
      </c>
      <c r="I268" s="2" t="s">
        <v>503</v>
      </c>
      <c r="J268" s="2" t="s">
        <v>19</v>
      </c>
      <c r="K268" s="2" t="s">
        <v>353</v>
      </c>
      <c r="L268" s="7" t="str">
        <f>HYPERLINK("http://slimages.macys.com/is/image/MCY/9340634 ")</f>
        <v xml:space="preserve">http://slimages.macys.com/is/image/MCY/9340634 </v>
      </c>
    </row>
    <row r="269" spans="1:12" ht="24.75" x14ac:dyDescent="0.25">
      <c r="A269" s="4" t="s">
        <v>831</v>
      </c>
      <c r="B269" s="2" t="s">
        <v>832</v>
      </c>
      <c r="C269" s="3">
        <v>1</v>
      </c>
      <c r="D269" s="5">
        <v>37.130000000000003</v>
      </c>
      <c r="E269" s="3">
        <v>100015639</v>
      </c>
      <c r="F269" s="2" t="s">
        <v>74</v>
      </c>
      <c r="G269" s="6" t="s">
        <v>234</v>
      </c>
      <c r="H269" s="2" t="s">
        <v>194</v>
      </c>
      <c r="I269" s="2" t="s">
        <v>195</v>
      </c>
      <c r="J269" s="2" t="s">
        <v>19</v>
      </c>
      <c r="K269" s="2" t="s">
        <v>247</v>
      </c>
      <c r="L269" s="7" t="str">
        <f>HYPERLINK("http://slimages.macys.com/is/image/MCY/13758664 ")</f>
        <v xml:space="preserve">http://slimages.macys.com/is/image/MCY/13758664 </v>
      </c>
    </row>
    <row r="270" spans="1:12" ht="24.75" x14ac:dyDescent="0.25">
      <c r="A270" s="4" t="s">
        <v>833</v>
      </c>
      <c r="B270" s="2" t="s">
        <v>834</v>
      </c>
      <c r="C270" s="3">
        <v>1</v>
      </c>
      <c r="D270" s="5">
        <v>33.380000000000003</v>
      </c>
      <c r="E270" s="3" t="s">
        <v>835</v>
      </c>
      <c r="F270" s="2" t="s">
        <v>252</v>
      </c>
      <c r="G270" s="6" t="s">
        <v>181</v>
      </c>
      <c r="H270" s="2" t="s">
        <v>194</v>
      </c>
      <c r="I270" s="2" t="s">
        <v>195</v>
      </c>
      <c r="J270" s="2" t="s">
        <v>19</v>
      </c>
      <c r="K270" s="2" t="s">
        <v>323</v>
      </c>
      <c r="L270" s="7" t="str">
        <f>HYPERLINK("http://slimages.macys.com/is/image/MCY/12850803 ")</f>
        <v xml:space="preserve">http://slimages.macys.com/is/image/MCY/12850803 </v>
      </c>
    </row>
    <row r="271" spans="1:12" ht="24.75" x14ac:dyDescent="0.25">
      <c r="A271" s="4" t="s">
        <v>836</v>
      </c>
      <c r="B271" s="2" t="s">
        <v>837</v>
      </c>
      <c r="C271" s="3">
        <v>1</v>
      </c>
      <c r="D271" s="5">
        <v>40.880000000000003</v>
      </c>
      <c r="E271" s="3" t="s">
        <v>838</v>
      </c>
      <c r="F271" s="2" t="s">
        <v>413</v>
      </c>
      <c r="G271" s="6" t="s">
        <v>363</v>
      </c>
      <c r="H271" s="2" t="s">
        <v>188</v>
      </c>
      <c r="I271" s="2" t="s">
        <v>189</v>
      </c>
      <c r="J271" s="2" t="s">
        <v>19</v>
      </c>
      <c r="K271" s="2" t="s">
        <v>839</v>
      </c>
      <c r="L271" s="7" t="str">
        <f>HYPERLINK("http://slimages.macys.com/is/image/MCY/11940229 ")</f>
        <v xml:space="preserve">http://slimages.macys.com/is/image/MCY/11940229 </v>
      </c>
    </row>
    <row r="272" spans="1:12" ht="48.75" x14ac:dyDescent="0.25">
      <c r="A272" s="4" t="s">
        <v>840</v>
      </c>
      <c r="B272" s="2" t="s">
        <v>841</v>
      </c>
      <c r="C272" s="3">
        <v>2</v>
      </c>
      <c r="D272" s="5">
        <v>34.99</v>
      </c>
      <c r="E272" s="3" t="s">
        <v>842</v>
      </c>
      <c r="F272" s="2" t="s">
        <v>26</v>
      </c>
      <c r="G272" s="6" t="s">
        <v>407</v>
      </c>
      <c r="H272" s="2" t="s">
        <v>349</v>
      </c>
      <c r="I272" s="2" t="s">
        <v>408</v>
      </c>
      <c r="J272" s="2" t="s">
        <v>19</v>
      </c>
      <c r="K272" s="2" t="s">
        <v>787</v>
      </c>
      <c r="L272" s="7" t="str">
        <f>HYPERLINK("http://slimages.macys.com/is/image/MCY/3935281 ")</f>
        <v xml:space="preserve">http://slimages.macys.com/is/image/MCY/3935281 </v>
      </c>
    </row>
    <row r="273" spans="1:12" ht="24.75" x14ac:dyDescent="0.25">
      <c r="A273" s="4" t="s">
        <v>843</v>
      </c>
      <c r="B273" s="2" t="s">
        <v>844</v>
      </c>
      <c r="C273" s="3">
        <v>1</v>
      </c>
      <c r="D273" s="5">
        <v>40.880000000000003</v>
      </c>
      <c r="E273" s="3" t="s">
        <v>845</v>
      </c>
      <c r="F273" s="2" t="s">
        <v>64</v>
      </c>
      <c r="G273" s="6" t="s">
        <v>112</v>
      </c>
      <c r="H273" s="2" t="s">
        <v>213</v>
      </c>
      <c r="I273" s="2" t="s">
        <v>214</v>
      </c>
      <c r="J273" s="2" t="s">
        <v>19</v>
      </c>
      <c r="K273" s="2" t="s">
        <v>353</v>
      </c>
      <c r="L273" s="7" t="str">
        <f>HYPERLINK("http://slimages.macys.com/is/image/MCY/11206527 ")</f>
        <v xml:space="preserve">http://slimages.macys.com/is/image/MCY/11206527 </v>
      </c>
    </row>
    <row r="274" spans="1:12" ht="48.75" x14ac:dyDescent="0.25">
      <c r="A274" s="4" t="s">
        <v>846</v>
      </c>
      <c r="B274" s="2" t="s">
        <v>841</v>
      </c>
      <c r="C274" s="3">
        <v>2</v>
      </c>
      <c r="D274" s="5">
        <v>34.99</v>
      </c>
      <c r="E274" s="3" t="s">
        <v>842</v>
      </c>
      <c r="F274" s="2" t="s">
        <v>26</v>
      </c>
      <c r="G274" s="6" t="s">
        <v>847</v>
      </c>
      <c r="H274" s="2" t="s">
        <v>349</v>
      </c>
      <c r="I274" s="2" t="s">
        <v>408</v>
      </c>
      <c r="J274" s="2" t="s">
        <v>19</v>
      </c>
      <c r="K274" s="2" t="s">
        <v>787</v>
      </c>
      <c r="L274" s="7" t="str">
        <f>HYPERLINK("http://slimages.macys.com/is/image/MCY/3935281 ")</f>
        <v xml:space="preserve">http://slimages.macys.com/is/image/MCY/3935281 </v>
      </c>
    </row>
    <row r="275" spans="1:12" ht="24.75" x14ac:dyDescent="0.25">
      <c r="A275" s="4" t="s">
        <v>848</v>
      </c>
      <c r="B275" s="2" t="s">
        <v>849</v>
      </c>
      <c r="C275" s="3">
        <v>1</v>
      </c>
      <c r="D275" s="5">
        <v>40.65</v>
      </c>
      <c r="E275" s="3" t="s">
        <v>850</v>
      </c>
      <c r="F275" s="2" t="s">
        <v>15</v>
      </c>
      <c r="G275" s="6" t="s">
        <v>181</v>
      </c>
      <c r="H275" s="2" t="s">
        <v>182</v>
      </c>
      <c r="I275" s="2" t="s">
        <v>183</v>
      </c>
      <c r="J275" s="2" t="s">
        <v>19</v>
      </c>
      <c r="K275" s="2" t="s">
        <v>851</v>
      </c>
      <c r="L275" s="7" t="str">
        <f>HYPERLINK("http://slimages.macys.com/is/image/MCY/12851655 ")</f>
        <v xml:space="preserve">http://slimages.macys.com/is/image/MCY/12851655 </v>
      </c>
    </row>
    <row r="276" spans="1:12" ht="24.75" x14ac:dyDescent="0.25">
      <c r="A276" s="4" t="s">
        <v>852</v>
      </c>
      <c r="B276" s="2" t="s">
        <v>853</v>
      </c>
      <c r="C276" s="3">
        <v>1</v>
      </c>
      <c r="D276" s="5">
        <v>37.130000000000003</v>
      </c>
      <c r="E276" s="3" t="s">
        <v>854</v>
      </c>
      <c r="F276" s="2" t="s">
        <v>74</v>
      </c>
      <c r="G276" s="6" t="s">
        <v>65</v>
      </c>
      <c r="H276" s="2" t="s">
        <v>246</v>
      </c>
      <c r="I276" s="2" t="s">
        <v>214</v>
      </c>
      <c r="J276" s="2" t="s">
        <v>19</v>
      </c>
      <c r="K276" s="2" t="s">
        <v>353</v>
      </c>
      <c r="L276" s="7" t="str">
        <f>HYPERLINK("http://slimages.macys.com/is/image/MCY/10679381 ")</f>
        <v xml:space="preserve">http://slimages.macys.com/is/image/MCY/10679381 </v>
      </c>
    </row>
    <row r="277" spans="1:12" ht="24.75" x14ac:dyDescent="0.25">
      <c r="A277" s="4" t="s">
        <v>855</v>
      </c>
      <c r="B277" s="2" t="s">
        <v>856</v>
      </c>
      <c r="C277" s="3">
        <v>1</v>
      </c>
      <c r="D277" s="5">
        <v>48</v>
      </c>
      <c r="E277" s="3">
        <v>100013497</v>
      </c>
      <c r="F277" s="2" t="s">
        <v>252</v>
      </c>
      <c r="G277" s="6" t="s">
        <v>16</v>
      </c>
      <c r="H277" s="2" t="s">
        <v>228</v>
      </c>
      <c r="I277" s="2" t="s">
        <v>857</v>
      </c>
      <c r="J277" s="2" t="s">
        <v>19</v>
      </c>
      <c r="K277" s="2" t="s">
        <v>387</v>
      </c>
      <c r="L277" s="7" t="str">
        <f>HYPERLINK("http://slimages.macys.com/is/image/MCY/9478981 ")</f>
        <v xml:space="preserve">http://slimages.macys.com/is/image/MCY/9478981 </v>
      </c>
    </row>
    <row r="278" spans="1:12" ht="24.75" x14ac:dyDescent="0.25">
      <c r="A278" s="4" t="s">
        <v>858</v>
      </c>
      <c r="B278" s="2" t="s">
        <v>859</v>
      </c>
      <c r="C278" s="3">
        <v>1</v>
      </c>
      <c r="D278" s="5">
        <v>69.5</v>
      </c>
      <c r="E278" s="3">
        <v>100052222</v>
      </c>
      <c r="F278" s="2" t="s">
        <v>79</v>
      </c>
      <c r="G278" s="6" t="s">
        <v>39</v>
      </c>
      <c r="H278" s="2" t="s">
        <v>386</v>
      </c>
      <c r="I278" s="2" t="s">
        <v>207</v>
      </c>
      <c r="J278" s="2" t="s">
        <v>19</v>
      </c>
      <c r="K278" s="2" t="s">
        <v>338</v>
      </c>
      <c r="L278" s="7" t="str">
        <f>HYPERLINK("http://slimages.macys.com/is/image/MCY/11433931 ")</f>
        <v xml:space="preserve">http://slimages.macys.com/is/image/MCY/11433931 </v>
      </c>
    </row>
    <row r="279" spans="1:12" ht="24.75" x14ac:dyDescent="0.25">
      <c r="A279" s="4" t="s">
        <v>860</v>
      </c>
      <c r="B279" s="2" t="s">
        <v>861</v>
      </c>
      <c r="C279" s="3">
        <v>1</v>
      </c>
      <c r="D279" s="5">
        <v>34.5</v>
      </c>
      <c r="E279" s="3" t="s">
        <v>862</v>
      </c>
      <c r="F279" s="2" t="s">
        <v>64</v>
      </c>
      <c r="G279" s="6" t="s">
        <v>65</v>
      </c>
      <c r="H279" s="2" t="s">
        <v>228</v>
      </c>
      <c r="I279" s="2" t="s">
        <v>863</v>
      </c>
      <c r="J279" s="2" t="s">
        <v>19</v>
      </c>
      <c r="K279" s="2" t="s">
        <v>253</v>
      </c>
      <c r="L279" s="7" t="str">
        <f>HYPERLINK("http://slimages.macys.com/is/image/MCY/3650197 ")</f>
        <v xml:space="preserve">http://slimages.macys.com/is/image/MCY/3650197 </v>
      </c>
    </row>
    <row r="280" spans="1:12" ht="24.75" x14ac:dyDescent="0.25">
      <c r="A280" s="4" t="s">
        <v>864</v>
      </c>
      <c r="B280" s="2" t="s">
        <v>865</v>
      </c>
      <c r="C280" s="3">
        <v>1</v>
      </c>
      <c r="D280" s="5">
        <v>45</v>
      </c>
      <c r="E280" s="3" t="s">
        <v>866</v>
      </c>
      <c r="F280" s="2" t="s">
        <v>15</v>
      </c>
      <c r="G280" s="6" t="s">
        <v>446</v>
      </c>
      <c r="H280" s="2" t="s">
        <v>447</v>
      </c>
      <c r="I280" s="2" t="s">
        <v>792</v>
      </c>
      <c r="J280" s="2" t="s">
        <v>19</v>
      </c>
      <c r="K280" s="2" t="s">
        <v>160</v>
      </c>
      <c r="L280" s="7" t="str">
        <f>HYPERLINK("http://slimages.macys.com/is/image/MCY/12258177 ")</f>
        <v xml:space="preserve">http://slimages.macys.com/is/image/MCY/12258177 </v>
      </c>
    </row>
    <row r="281" spans="1:12" ht="24.75" x14ac:dyDescent="0.25">
      <c r="A281" s="4" t="s">
        <v>867</v>
      </c>
      <c r="B281" s="2" t="s">
        <v>865</v>
      </c>
      <c r="C281" s="3">
        <v>1</v>
      </c>
      <c r="D281" s="5">
        <v>45</v>
      </c>
      <c r="E281" s="3" t="s">
        <v>866</v>
      </c>
      <c r="F281" s="2" t="s">
        <v>15</v>
      </c>
      <c r="G281" s="6" t="s">
        <v>791</v>
      </c>
      <c r="H281" s="2" t="s">
        <v>447</v>
      </c>
      <c r="I281" s="2" t="s">
        <v>792</v>
      </c>
      <c r="J281" s="2" t="s">
        <v>19</v>
      </c>
      <c r="K281" s="2" t="s">
        <v>160</v>
      </c>
      <c r="L281" s="7" t="str">
        <f>HYPERLINK("http://slimages.macys.com/is/image/MCY/12258177 ")</f>
        <v xml:space="preserve">http://slimages.macys.com/is/image/MCY/12258177 </v>
      </c>
    </row>
    <row r="282" spans="1:12" ht="24.75" x14ac:dyDescent="0.25">
      <c r="A282" s="4" t="s">
        <v>868</v>
      </c>
      <c r="B282" s="2" t="s">
        <v>869</v>
      </c>
      <c r="C282" s="3">
        <v>1</v>
      </c>
      <c r="D282" s="5">
        <v>45</v>
      </c>
      <c r="E282" s="3" t="s">
        <v>870</v>
      </c>
      <c r="F282" s="2" t="s">
        <v>170</v>
      </c>
      <c r="G282" s="6" t="s">
        <v>794</v>
      </c>
      <c r="H282" s="2" t="s">
        <v>447</v>
      </c>
      <c r="I282" s="2" t="s">
        <v>792</v>
      </c>
      <c r="J282" s="2" t="s">
        <v>19</v>
      </c>
      <c r="K282" s="2" t="s">
        <v>160</v>
      </c>
      <c r="L282" s="7" t="str">
        <f>HYPERLINK("http://slimages.macys.com/is/image/MCY/11998522 ")</f>
        <v xml:space="preserve">http://slimages.macys.com/is/image/MCY/11998522 </v>
      </c>
    </row>
    <row r="283" spans="1:12" ht="24.75" x14ac:dyDescent="0.25">
      <c r="A283" s="4" t="s">
        <v>871</v>
      </c>
      <c r="B283" s="2" t="s">
        <v>872</v>
      </c>
      <c r="C283" s="3">
        <v>1</v>
      </c>
      <c r="D283" s="5">
        <v>37.130000000000003</v>
      </c>
      <c r="E283" s="3" t="s">
        <v>873</v>
      </c>
      <c r="F283" s="2" t="s">
        <v>417</v>
      </c>
      <c r="G283" s="6"/>
      <c r="H283" s="2" t="s">
        <v>632</v>
      </c>
      <c r="I283" s="2" t="s">
        <v>285</v>
      </c>
      <c r="J283" s="2" t="s">
        <v>19</v>
      </c>
      <c r="K283" s="2" t="s">
        <v>137</v>
      </c>
      <c r="L283" s="7" t="str">
        <f>HYPERLINK("http://slimages.macys.com/is/image/MCY/12739708 ")</f>
        <v xml:space="preserve">http://slimages.macys.com/is/image/MCY/12739708 </v>
      </c>
    </row>
    <row r="284" spans="1:12" ht="24.75" x14ac:dyDescent="0.25">
      <c r="A284" s="4" t="s">
        <v>874</v>
      </c>
      <c r="B284" s="2" t="s">
        <v>872</v>
      </c>
      <c r="C284" s="3">
        <v>1</v>
      </c>
      <c r="D284" s="5">
        <v>37.130000000000003</v>
      </c>
      <c r="E284" s="3" t="s">
        <v>873</v>
      </c>
      <c r="F284" s="2" t="s">
        <v>417</v>
      </c>
      <c r="G284" s="6" t="s">
        <v>794</v>
      </c>
      <c r="H284" s="2" t="s">
        <v>632</v>
      </c>
      <c r="I284" s="2" t="s">
        <v>285</v>
      </c>
      <c r="J284" s="2" t="s">
        <v>19</v>
      </c>
      <c r="K284" s="2" t="s">
        <v>137</v>
      </c>
      <c r="L284" s="7" t="str">
        <f>HYPERLINK("http://slimages.macys.com/is/image/MCY/12739708 ")</f>
        <v xml:space="preserve">http://slimages.macys.com/is/image/MCY/12739708 </v>
      </c>
    </row>
    <row r="285" spans="1:12" ht="24.75" x14ac:dyDescent="0.25">
      <c r="A285" s="4" t="s">
        <v>875</v>
      </c>
      <c r="B285" s="2" t="s">
        <v>876</v>
      </c>
      <c r="C285" s="3">
        <v>1</v>
      </c>
      <c r="D285" s="5">
        <v>34.5</v>
      </c>
      <c r="E285" s="3" t="s">
        <v>877</v>
      </c>
      <c r="F285" s="2" t="s">
        <v>878</v>
      </c>
      <c r="G285" s="6" t="s">
        <v>802</v>
      </c>
      <c r="H285" s="2" t="s">
        <v>426</v>
      </c>
      <c r="I285" s="2" t="s">
        <v>229</v>
      </c>
      <c r="J285" s="2" t="s">
        <v>19</v>
      </c>
      <c r="K285" s="2" t="s">
        <v>253</v>
      </c>
      <c r="L285" s="7" t="str">
        <f>HYPERLINK("http://slimages.macys.com/is/image/MCY/1290325 ")</f>
        <v xml:space="preserve">http://slimages.macys.com/is/image/MCY/1290325 </v>
      </c>
    </row>
    <row r="286" spans="1:12" ht="24.75" x14ac:dyDescent="0.25">
      <c r="A286" s="4" t="s">
        <v>879</v>
      </c>
      <c r="B286" s="2" t="s">
        <v>880</v>
      </c>
      <c r="C286" s="3">
        <v>1</v>
      </c>
      <c r="D286" s="5">
        <v>34.5</v>
      </c>
      <c r="E286" s="3" t="s">
        <v>881</v>
      </c>
      <c r="F286" s="2" t="s">
        <v>111</v>
      </c>
      <c r="G286" s="6" t="s">
        <v>27</v>
      </c>
      <c r="H286" s="2" t="s">
        <v>228</v>
      </c>
      <c r="I286" s="2" t="s">
        <v>229</v>
      </c>
      <c r="J286" s="2" t="s">
        <v>19</v>
      </c>
      <c r="K286" s="2" t="s">
        <v>253</v>
      </c>
      <c r="L286" s="7" t="str">
        <f>HYPERLINK("http://slimages.macys.com/is/image/MCY/9867135 ")</f>
        <v xml:space="preserve">http://slimages.macys.com/is/image/MCY/9867135 </v>
      </c>
    </row>
    <row r="287" spans="1:12" ht="24.75" x14ac:dyDescent="0.25">
      <c r="A287" s="4" t="s">
        <v>882</v>
      </c>
      <c r="B287" s="2" t="s">
        <v>880</v>
      </c>
      <c r="C287" s="3">
        <v>1</v>
      </c>
      <c r="D287" s="5">
        <v>34.5</v>
      </c>
      <c r="E287" s="3">
        <v>100040729</v>
      </c>
      <c r="F287" s="2" t="s">
        <v>252</v>
      </c>
      <c r="G287" s="6" t="s">
        <v>27</v>
      </c>
      <c r="H287" s="2" t="s">
        <v>228</v>
      </c>
      <c r="I287" s="2" t="s">
        <v>229</v>
      </c>
      <c r="J287" s="2" t="s">
        <v>19</v>
      </c>
      <c r="K287" s="2" t="s">
        <v>230</v>
      </c>
      <c r="L287" s="7" t="str">
        <f>HYPERLINK("http://slimages.macys.com/is/image/MCY/3650189 ")</f>
        <v xml:space="preserve">http://slimages.macys.com/is/image/MCY/3650189 </v>
      </c>
    </row>
    <row r="288" spans="1:12" ht="24.75" x14ac:dyDescent="0.25">
      <c r="A288" s="4" t="s">
        <v>883</v>
      </c>
      <c r="B288" s="2" t="s">
        <v>876</v>
      </c>
      <c r="C288" s="3">
        <v>1</v>
      </c>
      <c r="D288" s="5">
        <v>34.5</v>
      </c>
      <c r="E288" s="3" t="s">
        <v>877</v>
      </c>
      <c r="F288" s="2" t="s">
        <v>878</v>
      </c>
      <c r="G288" s="6" t="s">
        <v>238</v>
      </c>
      <c r="H288" s="2" t="s">
        <v>426</v>
      </c>
      <c r="I288" s="2" t="s">
        <v>229</v>
      </c>
      <c r="J288" s="2" t="s">
        <v>19</v>
      </c>
      <c r="K288" s="2" t="s">
        <v>253</v>
      </c>
      <c r="L288" s="7" t="str">
        <f>HYPERLINK("http://slimages.macys.com/is/image/MCY/1290325 ")</f>
        <v xml:space="preserve">http://slimages.macys.com/is/image/MCY/1290325 </v>
      </c>
    </row>
    <row r="289" spans="1:12" ht="24.75" x14ac:dyDescent="0.25">
      <c r="A289" s="4" t="s">
        <v>884</v>
      </c>
      <c r="B289" s="2" t="s">
        <v>876</v>
      </c>
      <c r="C289" s="3">
        <v>1</v>
      </c>
      <c r="D289" s="5">
        <v>34.5</v>
      </c>
      <c r="E289" s="3" t="s">
        <v>877</v>
      </c>
      <c r="F289" s="2" t="s">
        <v>878</v>
      </c>
      <c r="G289" s="6" t="s">
        <v>165</v>
      </c>
      <c r="H289" s="2" t="s">
        <v>426</v>
      </c>
      <c r="I289" s="2" t="s">
        <v>229</v>
      </c>
      <c r="J289" s="2" t="s">
        <v>19</v>
      </c>
      <c r="K289" s="2" t="s">
        <v>253</v>
      </c>
      <c r="L289" s="7" t="str">
        <f>HYPERLINK("http://slimages.macys.com/is/image/MCY/1290325 ")</f>
        <v xml:space="preserve">http://slimages.macys.com/is/image/MCY/1290325 </v>
      </c>
    </row>
    <row r="290" spans="1:12" ht="24.75" x14ac:dyDescent="0.25">
      <c r="A290" s="4" t="s">
        <v>885</v>
      </c>
      <c r="B290" s="2" t="s">
        <v>886</v>
      </c>
      <c r="C290" s="3">
        <v>1</v>
      </c>
      <c r="D290" s="5">
        <v>37.130000000000003</v>
      </c>
      <c r="E290" s="3">
        <v>100016232</v>
      </c>
      <c r="F290" s="2" t="s">
        <v>887</v>
      </c>
      <c r="G290" s="6" t="s">
        <v>181</v>
      </c>
      <c r="H290" s="2" t="s">
        <v>194</v>
      </c>
      <c r="I290" s="2" t="s">
        <v>195</v>
      </c>
      <c r="J290" s="2" t="s">
        <v>19</v>
      </c>
      <c r="K290" s="2" t="s">
        <v>201</v>
      </c>
      <c r="L290" s="7" t="str">
        <f>HYPERLINK("http://slimages.macys.com/is/image/MCY/9551936 ")</f>
        <v xml:space="preserve">http://slimages.macys.com/is/image/MCY/9551936 </v>
      </c>
    </row>
    <row r="291" spans="1:12" ht="24.75" x14ac:dyDescent="0.25">
      <c r="A291" s="4" t="s">
        <v>888</v>
      </c>
      <c r="B291" s="2" t="s">
        <v>886</v>
      </c>
      <c r="C291" s="3">
        <v>1</v>
      </c>
      <c r="D291" s="5">
        <v>37.130000000000003</v>
      </c>
      <c r="E291" s="3">
        <v>100016232</v>
      </c>
      <c r="F291" s="2" t="s">
        <v>887</v>
      </c>
      <c r="G291" s="6" t="s">
        <v>234</v>
      </c>
      <c r="H291" s="2" t="s">
        <v>194</v>
      </c>
      <c r="I291" s="2" t="s">
        <v>195</v>
      </c>
      <c r="J291" s="2" t="s">
        <v>19</v>
      </c>
      <c r="K291" s="2" t="s">
        <v>201</v>
      </c>
      <c r="L291" s="7" t="str">
        <f>HYPERLINK("http://slimages.macys.com/is/image/MCY/9551936 ")</f>
        <v xml:space="preserve">http://slimages.macys.com/is/image/MCY/9551936 </v>
      </c>
    </row>
    <row r="292" spans="1:12" ht="24.75" x14ac:dyDescent="0.25">
      <c r="A292" s="4" t="s">
        <v>889</v>
      </c>
      <c r="B292" s="2" t="s">
        <v>890</v>
      </c>
      <c r="C292" s="3">
        <v>1</v>
      </c>
      <c r="D292" s="5">
        <v>34.5</v>
      </c>
      <c r="E292" s="3" t="s">
        <v>891</v>
      </c>
      <c r="F292" s="2" t="s">
        <v>64</v>
      </c>
      <c r="G292" s="6" t="s">
        <v>22</v>
      </c>
      <c r="H292" s="2" t="s">
        <v>228</v>
      </c>
      <c r="I292" s="2" t="s">
        <v>229</v>
      </c>
      <c r="J292" s="2" t="s">
        <v>19</v>
      </c>
      <c r="K292" s="2" t="s">
        <v>253</v>
      </c>
      <c r="L292" s="7" t="str">
        <f>HYPERLINK("http://slimages.macys.com/is/image/MCY/3623510 ")</f>
        <v xml:space="preserve">http://slimages.macys.com/is/image/MCY/3623510 </v>
      </c>
    </row>
    <row r="293" spans="1:12" ht="24.75" x14ac:dyDescent="0.25">
      <c r="A293" s="4" t="s">
        <v>892</v>
      </c>
      <c r="B293" s="2" t="s">
        <v>890</v>
      </c>
      <c r="C293" s="3">
        <v>1</v>
      </c>
      <c r="D293" s="5">
        <v>34.5</v>
      </c>
      <c r="E293" s="3" t="s">
        <v>891</v>
      </c>
      <c r="F293" s="2" t="s">
        <v>64</v>
      </c>
      <c r="G293" s="6" t="s">
        <v>141</v>
      </c>
      <c r="H293" s="2" t="s">
        <v>228</v>
      </c>
      <c r="I293" s="2" t="s">
        <v>229</v>
      </c>
      <c r="J293" s="2" t="s">
        <v>19</v>
      </c>
      <c r="K293" s="2" t="s">
        <v>253</v>
      </c>
      <c r="L293" s="7" t="str">
        <f>HYPERLINK("http://slimages.macys.com/is/image/MCY/3623510 ")</f>
        <v xml:space="preserve">http://slimages.macys.com/is/image/MCY/3623510 </v>
      </c>
    </row>
    <row r="294" spans="1:12" ht="24.75" x14ac:dyDescent="0.25">
      <c r="A294" s="4" t="s">
        <v>893</v>
      </c>
      <c r="B294" s="2" t="s">
        <v>890</v>
      </c>
      <c r="C294" s="3">
        <v>1</v>
      </c>
      <c r="D294" s="5">
        <v>34.5</v>
      </c>
      <c r="E294" s="3" t="s">
        <v>891</v>
      </c>
      <c r="F294" s="2" t="s">
        <v>64</v>
      </c>
      <c r="G294" s="6" t="s">
        <v>112</v>
      </c>
      <c r="H294" s="2" t="s">
        <v>228</v>
      </c>
      <c r="I294" s="2" t="s">
        <v>229</v>
      </c>
      <c r="J294" s="2" t="s">
        <v>19</v>
      </c>
      <c r="K294" s="2" t="s">
        <v>253</v>
      </c>
      <c r="L294" s="7" t="str">
        <f>HYPERLINK("http://slimages.macys.com/is/image/MCY/3623510 ")</f>
        <v xml:space="preserve">http://slimages.macys.com/is/image/MCY/3623510 </v>
      </c>
    </row>
    <row r="295" spans="1:12" ht="36.75" x14ac:dyDescent="0.25">
      <c r="A295" s="4" t="s">
        <v>894</v>
      </c>
      <c r="B295" s="2" t="s">
        <v>895</v>
      </c>
      <c r="C295" s="3">
        <v>1</v>
      </c>
      <c r="D295" s="5">
        <v>44.99</v>
      </c>
      <c r="E295" s="3" t="s">
        <v>896</v>
      </c>
      <c r="F295" s="2" t="s">
        <v>53</v>
      </c>
      <c r="G295" s="6" t="s">
        <v>126</v>
      </c>
      <c r="H295" s="2" t="s">
        <v>127</v>
      </c>
      <c r="I295" s="2" t="s">
        <v>541</v>
      </c>
      <c r="J295" s="2" t="s">
        <v>19</v>
      </c>
      <c r="K295" s="2" t="s">
        <v>500</v>
      </c>
      <c r="L295" s="7" t="str">
        <f>HYPERLINK("http://slimages.macys.com/is/image/MCY/16583426 ")</f>
        <v xml:space="preserve">http://slimages.macys.com/is/image/MCY/16583426 </v>
      </c>
    </row>
    <row r="296" spans="1:12" ht="24.75" x14ac:dyDescent="0.25">
      <c r="A296" s="4" t="s">
        <v>897</v>
      </c>
      <c r="B296" s="2" t="s">
        <v>898</v>
      </c>
      <c r="C296" s="3">
        <v>1</v>
      </c>
      <c r="D296" s="5">
        <v>37.130000000000003</v>
      </c>
      <c r="E296" s="3">
        <v>100009193</v>
      </c>
      <c r="F296" s="2" t="s">
        <v>170</v>
      </c>
      <c r="G296" s="6" t="s">
        <v>141</v>
      </c>
      <c r="H296" s="2" t="s">
        <v>194</v>
      </c>
      <c r="I296" s="2" t="s">
        <v>503</v>
      </c>
      <c r="J296" s="2" t="s">
        <v>19</v>
      </c>
      <c r="K296" s="2" t="s">
        <v>353</v>
      </c>
      <c r="L296" s="7" t="str">
        <f>HYPERLINK("http://slimages.macys.com/is/image/MCY/11804644 ")</f>
        <v xml:space="preserve">http://slimages.macys.com/is/image/MCY/11804644 </v>
      </c>
    </row>
    <row r="297" spans="1:12" ht="24.75" x14ac:dyDescent="0.25">
      <c r="A297" s="4" t="s">
        <v>899</v>
      </c>
      <c r="B297" s="2" t="s">
        <v>898</v>
      </c>
      <c r="C297" s="3">
        <v>1</v>
      </c>
      <c r="D297" s="5">
        <v>37.130000000000003</v>
      </c>
      <c r="E297" s="3">
        <v>100009193</v>
      </c>
      <c r="F297" s="2" t="s">
        <v>170</v>
      </c>
      <c r="G297" s="6" t="s">
        <v>16</v>
      </c>
      <c r="H297" s="2" t="s">
        <v>194</v>
      </c>
      <c r="I297" s="2" t="s">
        <v>503</v>
      </c>
      <c r="J297" s="2" t="s">
        <v>19</v>
      </c>
      <c r="K297" s="2" t="s">
        <v>353</v>
      </c>
      <c r="L297" s="7" t="str">
        <f>HYPERLINK("http://slimages.macys.com/is/image/MCY/11804644 ")</f>
        <v xml:space="preserve">http://slimages.macys.com/is/image/MCY/11804644 </v>
      </c>
    </row>
    <row r="298" spans="1:12" ht="24.75" x14ac:dyDescent="0.25">
      <c r="A298" s="4" t="s">
        <v>900</v>
      </c>
      <c r="B298" s="2" t="s">
        <v>901</v>
      </c>
      <c r="C298" s="3">
        <v>1</v>
      </c>
      <c r="D298" s="5">
        <v>39.5</v>
      </c>
      <c r="E298" s="3" t="s">
        <v>902</v>
      </c>
      <c r="F298" s="2" t="s">
        <v>417</v>
      </c>
      <c r="G298" s="6" t="s">
        <v>245</v>
      </c>
      <c r="H298" s="2" t="s">
        <v>194</v>
      </c>
      <c r="I298" s="2" t="s">
        <v>195</v>
      </c>
      <c r="J298" s="2" t="s">
        <v>19</v>
      </c>
      <c r="K298" s="2" t="s">
        <v>438</v>
      </c>
      <c r="L298" s="7" t="str">
        <f>HYPERLINK("http://slimages.macys.com/is/image/MCY/12143757 ")</f>
        <v xml:space="preserve">http://slimages.macys.com/is/image/MCY/12143757 </v>
      </c>
    </row>
    <row r="299" spans="1:12" ht="24.75" x14ac:dyDescent="0.25">
      <c r="A299" s="4" t="s">
        <v>903</v>
      </c>
      <c r="B299" s="2" t="s">
        <v>904</v>
      </c>
      <c r="C299" s="3">
        <v>1</v>
      </c>
      <c r="D299" s="5">
        <v>34.5</v>
      </c>
      <c r="E299" s="3" t="s">
        <v>905</v>
      </c>
      <c r="F299" s="2" t="s">
        <v>74</v>
      </c>
      <c r="G299" s="6" t="s">
        <v>234</v>
      </c>
      <c r="H299" s="2" t="s">
        <v>228</v>
      </c>
      <c r="I299" s="2" t="s">
        <v>229</v>
      </c>
      <c r="J299" s="2" t="s">
        <v>19</v>
      </c>
      <c r="K299" s="2" t="s">
        <v>253</v>
      </c>
      <c r="L299" s="7" t="str">
        <f>HYPERLINK("http://slimages.macys.com/is/image/MCY/12794164 ")</f>
        <v xml:space="preserve">http://slimages.macys.com/is/image/MCY/12794164 </v>
      </c>
    </row>
    <row r="300" spans="1:12" ht="24.75" x14ac:dyDescent="0.25">
      <c r="A300" s="4" t="s">
        <v>906</v>
      </c>
      <c r="B300" s="2" t="s">
        <v>904</v>
      </c>
      <c r="C300" s="3">
        <v>3</v>
      </c>
      <c r="D300" s="5">
        <v>34.5</v>
      </c>
      <c r="E300" s="3" t="s">
        <v>907</v>
      </c>
      <c r="F300" s="2" t="s">
        <v>26</v>
      </c>
      <c r="G300" s="6" t="s">
        <v>154</v>
      </c>
      <c r="H300" s="2" t="s">
        <v>228</v>
      </c>
      <c r="I300" s="2" t="s">
        <v>229</v>
      </c>
      <c r="J300" s="2" t="s">
        <v>19</v>
      </c>
      <c r="K300" s="2" t="s">
        <v>253</v>
      </c>
      <c r="L300" s="7" t="str">
        <f>HYPERLINK("http://slimages.macys.com/is/image/MCY/12794164 ")</f>
        <v xml:space="preserve">http://slimages.macys.com/is/image/MCY/12794164 </v>
      </c>
    </row>
    <row r="301" spans="1:12" ht="24.75" x14ac:dyDescent="0.25">
      <c r="A301" s="4" t="s">
        <v>908</v>
      </c>
      <c r="B301" s="2" t="s">
        <v>909</v>
      </c>
      <c r="C301" s="3">
        <v>1</v>
      </c>
      <c r="D301" s="5">
        <v>40.880000000000003</v>
      </c>
      <c r="E301" s="3" t="s">
        <v>910</v>
      </c>
      <c r="F301" s="2" t="s">
        <v>911</v>
      </c>
      <c r="G301" s="6" t="s">
        <v>106</v>
      </c>
      <c r="H301" s="2" t="s">
        <v>246</v>
      </c>
      <c r="I301" s="2" t="s">
        <v>189</v>
      </c>
      <c r="J301" s="2" t="s">
        <v>19</v>
      </c>
      <c r="K301" s="2" t="s">
        <v>648</v>
      </c>
      <c r="L301" s="7" t="str">
        <f>HYPERLINK("http://slimages.macys.com/is/image/MCY/11940216 ")</f>
        <v xml:space="preserve">http://slimages.macys.com/is/image/MCY/11940216 </v>
      </c>
    </row>
    <row r="302" spans="1:12" ht="24.75" x14ac:dyDescent="0.25">
      <c r="A302" s="4" t="s">
        <v>912</v>
      </c>
      <c r="B302" s="2" t="s">
        <v>913</v>
      </c>
      <c r="C302" s="3">
        <v>1</v>
      </c>
      <c r="D302" s="5">
        <v>40.880000000000003</v>
      </c>
      <c r="E302" s="3" t="s">
        <v>914</v>
      </c>
      <c r="F302" s="2" t="s">
        <v>413</v>
      </c>
      <c r="G302" s="6"/>
      <c r="H302" s="2" t="s">
        <v>312</v>
      </c>
      <c r="I302" s="2" t="s">
        <v>195</v>
      </c>
      <c r="J302" s="2" t="s">
        <v>19</v>
      </c>
      <c r="K302" s="2" t="s">
        <v>34</v>
      </c>
      <c r="L302" s="7" t="str">
        <f>HYPERLINK("http://slimages.macys.com/is/image/MCY/12793706 ")</f>
        <v xml:space="preserve">http://slimages.macys.com/is/image/MCY/12793706 </v>
      </c>
    </row>
    <row r="303" spans="1:12" ht="24.75" x14ac:dyDescent="0.25">
      <c r="A303" s="4" t="s">
        <v>915</v>
      </c>
      <c r="B303" s="2" t="s">
        <v>913</v>
      </c>
      <c r="C303" s="3">
        <v>1</v>
      </c>
      <c r="D303" s="5">
        <v>40.880000000000003</v>
      </c>
      <c r="E303" s="3" t="s">
        <v>914</v>
      </c>
      <c r="F303" s="2" t="s">
        <v>413</v>
      </c>
      <c r="G303" s="6"/>
      <c r="H303" s="2" t="s">
        <v>312</v>
      </c>
      <c r="I303" s="2" t="s">
        <v>195</v>
      </c>
      <c r="J303" s="2" t="s">
        <v>19</v>
      </c>
      <c r="K303" s="2" t="s">
        <v>34</v>
      </c>
      <c r="L303" s="7" t="str">
        <f>HYPERLINK("http://slimages.macys.com/is/image/MCY/12793706 ")</f>
        <v xml:space="preserve">http://slimages.macys.com/is/image/MCY/12793706 </v>
      </c>
    </row>
    <row r="304" spans="1:12" ht="24.75" x14ac:dyDescent="0.25">
      <c r="A304" s="4" t="s">
        <v>916</v>
      </c>
      <c r="B304" s="2" t="s">
        <v>917</v>
      </c>
      <c r="C304" s="3">
        <v>1</v>
      </c>
      <c r="D304" s="5">
        <v>37.130000000000003</v>
      </c>
      <c r="E304" s="3" t="s">
        <v>918</v>
      </c>
      <c r="F304" s="2" t="s">
        <v>26</v>
      </c>
      <c r="G304" s="6"/>
      <c r="H304" s="2" t="s">
        <v>312</v>
      </c>
      <c r="I304" s="2" t="s">
        <v>919</v>
      </c>
      <c r="J304" s="2" t="s">
        <v>19</v>
      </c>
      <c r="K304" s="2" t="s">
        <v>409</v>
      </c>
      <c r="L304" s="7" t="str">
        <f t="shared" ref="L304:L309" si="1">HYPERLINK("http://slimages.macys.com/is/image/MCY/11144334 ")</f>
        <v xml:space="preserve">http://slimages.macys.com/is/image/MCY/11144334 </v>
      </c>
    </row>
    <row r="305" spans="1:12" ht="24.75" x14ac:dyDescent="0.25">
      <c r="A305" s="4" t="s">
        <v>920</v>
      </c>
      <c r="B305" s="2" t="s">
        <v>917</v>
      </c>
      <c r="C305" s="3">
        <v>1</v>
      </c>
      <c r="D305" s="5">
        <v>37.130000000000003</v>
      </c>
      <c r="E305" s="3" t="s">
        <v>918</v>
      </c>
      <c r="F305" s="2" t="s">
        <v>376</v>
      </c>
      <c r="G305" s="6"/>
      <c r="H305" s="2" t="s">
        <v>312</v>
      </c>
      <c r="I305" s="2" t="s">
        <v>919</v>
      </c>
      <c r="J305" s="2" t="s">
        <v>19</v>
      </c>
      <c r="K305" s="2" t="s">
        <v>409</v>
      </c>
      <c r="L305" s="7" t="str">
        <f t="shared" si="1"/>
        <v xml:space="preserve">http://slimages.macys.com/is/image/MCY/11144334 </v>
      </c>
    </row>
    <row r="306" spans="1:12" ht="24.75" x14ac:dyDescent="0.25">
      <c r="A306" s="4" t="s">
        <v>921</v>
      </c>
      <c r="B306" s="2" t="s">
        <v>917</v>
      </c>
      <c r="C306" s="3">
        <v>1</v>
      </c>
      <c r="D306" s="5">
        <v>37.130000000000003</v>
      </c>
      <c r="E306" s="3" t="s">
        <v>918</v>
      </c>
      <c r="F306" s="2" t="s">
        <v>26</v>
      </c>
      <c r="G306" s="6"/>
      <c r="H306" s="2" t="s">
        <v>312</v>
      </c>
      <c r="I306" s="2" t="s">
        <v>919</v>
      </c>
      <c r="J306" s="2" t="s">
        <v>19</v>
      </c>
      <c r="K306" s="2" t="s">
        <v>409</v>
      </c>
      <c r="L306" s="7" t="str">
        <f t="shared" si="1"/>
        <v xml:space="preserve">http://slimages.macys.com/is/image/MCY/11144334 </v>
      </c>
    </row>
    <row r="307" spans="1:12" ht="24.75" x14ac:dyDescent="0.25">
      <c r="A307" s="4" t="s">
        <v>922</v>
      </c>
      <c r="B307" s="2" t="s">
        <v>917</v>
      </c>
      <c r="C307" s="3">
        <v>1</v>
      </c>
      <c r="D307" s="5">
        <v>37.130000000000003</v>
      </c>
      <c r="E307" s="3" t="s">
        <v>918</v>
      </c>
      <c r="F307" s="2" t="s">
        <v>26</v>
      </c>
      <c r="G307" s="6"/>
      <c r="H307" s="2" t="s">
        <v>312</v>
      </c>
      <c r="I307" s="2" t="s">
        <v>919</v>
      </c>
      <c r="J307" s="2" t="s">
        <v>19</v>
      </c>
      <c r="K307" s="2" t="s">
        <v>409</v>
      </c>
      <c r="L307" s="7" t="str">
        <f t="shared" si="1"/>
        <v xml:space="preserve">http://slimages.macys.com/is/image/MCY/11144334 </v>
      </c>
    </row>
    <row r="308" spans="1:12" ht="24.75" x14ac:dyDescent="0.25">
      <c r="A308" s="4" t="s">
        <v>923</v>
      </c>
      <c r="B308" s="2" t="s">
        <v>917</v>
      </c>
      <c r="C308" s="3">
        <v>1</v>
      </c>
      <c r="D308" s="5">
        <v>37.130000000000003</v>
      </c>
      <c r="E308" s="3" t="s">
        <v>918</v>
      </c>
      <c r="F308" s="2" t="s">
        <v>376</v>
      </c>
      <c r="G308" s="6"/>
      <c r="H308" s="2" t="s">
        <v>312</v>
      </c>
      <c r="I308" s="2" t="s">
        <v>919</v>
      </c>
      <c r="J308" s="2" t="s">
        <v>19</v>
      </c>
      <c r="K308" s="2" t="s">
        <v>409</v>
      </c>
      <c r="L308" s="7" t="str">
        <f t="shared" si="1"/>
        <v xml:space="preserve">http://slimages.macys.com/is/image/MCY/11144334 </v>
      </c>
    </row>
    <row r="309" spans="1:12" ht="24.75" x14ac:dyDescent="0.25">
      <c r="A309" s="4" t="s">
        <v>924</v>
      </c>
      <c r="B309" s="2" t="s">
        <v>917</v>
      </c>
      <c r="C309" s="3">
        <v>1</v>
      </c>
      <c r="D309" s="5">
        <v>37.130000000000003</v>
      </c>
      <c r="E309" s="3" t="s">
        <v>918</v>
      </c>
      <c r="F309" s="2" t="s">
        <v>376</v>
      </c>
      <c r="G309" s="6"/>
      <c r="H309" s="2" t="s">
        <v>312</v>
      </c>
      <c r="I309" s="2" t="s">
        <v>919</v>
      </c>
      <c r="J309" s="2" t="s">
        <v>19</v>
      </c>
      <c r="K309" s="2" t="s">
        <v>409</v>
      </c>
      <c r="L309" s="7" t="str">
        <f t="shared" si="1"/>
        <v xml:space="preserve">http://slimages.macys.com/is/image/MCY/11144334 </v>
      </c>
    </row>
    <row r="310" spans="1:12" ht="24.75" x14ac:dyDescent="0.25">
      <c r="A310" s="4" t="s">
        <v>925</v>
      </c>
      <c r="B310" s="2" t="s">
        <v>926</v>
      </c>
      <c r="C310" s="3">
        <v>1</v>
      </c>
      <c r="D310" s="5">
        <v>37.130000000000003</v>
      </c>
      <c r="E310" s="3" t="s">
        <v>927</v>
      </c>
      <c r="F310" s="2" t="s">
        <v>170</v>
      </c>
      <c r="G310" s="6" t="s">
        <v>126</v>
      </c>
      <c r="H310" s="2" t="s">
        <v>312</v>
      </c>
      <c r="I310" s="2" t="s">
        <v>928</v>
      </c>
      <c r="J310" s="2" t="s">
        <v>19</v>
      </c>
      <c r="K310" s="2" t="s">
        <v>929</v>
      </c>
      <c r="L310" s="7" t="str">
        <f>HYPERLINK("http://slimages.macys.com/is/image/MCY/9300257 ")</f>
        <v xml:space="preserve">http://slimages.macys.com/is/image/MCY/9300257 </v>
      </c>
    </row>
    <row r="311" spans="1:12" ht="24.75" x14ac:dyDescent="0.25">
      <c r="A311" s="4" t="s">
        <v>930</v>
      </c>
      <c r="B311" s="2" t="s">
        <v>926</v>
      </c>
      <c r="C311" s="3">
        <v>1</v>
      </c>
      <c r="D311" s="5">
        <v>37.130000000000003</v>
      </c>
      <c r="E311" s="3" t="s">
        <v>927</v>
      </c>
      <c r="F311" s="2" t="s">
        <v>170</v>
      </c>
      <c r="G311" s="6" t="s">
        <v>802</v>
      </c>
      <c r="H311" s="2" t="s">
        <v>312</v>
      </c>
      <c r="I311" s="2" t="s">
        <v>928</v>
      </c>
      <c r="J311" s="2" t="s">
        <v>19</v>
      </c>
      <c r="K311" s="2" t="s">
        <v>929</v>
      </c>
      <c r="L311" s="7" t="str">
        <f>HYPERLINK("http://slimages.macys.com/is/image/MCY/9300257 ")</f>
        <v xml:space="preserve">http://slimages.macys.com/is/image/MCY/9300257 </v>
      </c>
    </row>
    <row r="312" spans="1:12" ht="24.75" x14ac:dyDescent="0.25">
      <c r="A312" s="4" t="s">
        <v>931</v>
      </c>
      <c r="B312" s="2" t="s">
        <v>926</v>
      </c>
      <c r="C312" s="3">
        <v>1</v>
      </c>
      <c r="D312" s="5">
        <v>37.130000000000003</v>
      </c>
      <c r="E312" s="3" t="s">
        <v>927</v>
      </c>
      <c r="F312" s="2" t="s">
        <v>170</v>
      </c>
      <c r="G312" s="6" t="s">
        <v>363</v>
      </c>
      <c r="H312" s="2" t="s">
        <v>312</v>
      </c>
      <c r="I312" s="2" t="s">
        <v>928</v>
      </c>
      <c r="J312" s="2" t="s">
        <v>19</v>
      </c>
      <c r="K312" s="2" t="s">
        <v>929</v>
      </c>
      <c r="L312" s="7" t="str">
        <f>HYPERLINK("http://slimages.macys.com/is/image/MCY/9300257 ")</f>
        <v xml:space="preserve">http://slimages.macys.com/is/image/MCY/9300257 </v>
      </c>
    </row>
    <row r="313" spans="1:12" ht="24.75" x14ac:dyDescent="0.25">
      <c r="A313" s="4" t="s">
        <v>932</v>
      </c>
      <c r="B313" s="2" t="s">
        <v>926</v>
      </c>
      <c r="C313" s="3">
        <v>2</v>
      </c>
      <c r="D313" s="5">
        <v>37.130000000000003</v>
      </c>
      <c r="E313" s="3" t="s">
        <v>927</v>
      </c>
      <c r="F313" s="2" t="s">
        <v>170</v>
      </c>
      <c r="G313" s="6" t="s">
        <v>205</v>
      </c>
      <c r="H313" s="2" t="s">
        <v>312</v>
      </c>
      <c r="I313" s="2" t="s">
        <v>928</v>
      </c>
      <c r="J313" s="2" t="s">
        <v>19</v>
      </c>
      <c r="K313" s="2" t="s">
        <v>929</v>
      </c>
      <c r="L313" s="7" t="str">
        <f>HYPERLINK("http://slimages.macys.com/is/image/MCY/9300257 ")</f>
        <v xml:space="preserve">http://slimages.macys.com/is/image/MCY/9300257 </v>
      </c>
    </row>
    <row r="314" spans="1:12" ht="24.75" x14ac:dyDescent="0.25">
      <c r="A314" s="4" t="s">
        <v>933</v>
      </c>
      <c r="B314" s="2" t="s">
        <v>926</v>
      </c>
      <c r="C314" s="3">
        <v>1</v>
      </c>
      <c r="D314" s="5">
        <v>37.130000000000003</v>
      </c>
      <c r="E314" s="3" t="s">
        <v>927</v>
      </c>
      <c r="F314" s="2" t="s">
        <v>170</v>
      </c>
      <c r="G314" s="6" t="s">
        <v>934</v>
      </c>
      <c r="H314" s="2" t="s">
        <v>312</v>
      </c>
      <c r="I314" s="2" t="s">
        <v>928</v>
      </c>
      <c r="J314" s="2" t="s">
        <v>19</v>
      </c>
      <c r="K314" s="2" t="s">
        <v>929</v>
      </c>
      <c r="L314" s="7" t="str">
        <f>HYPERLINK("http://slimages.macys.com/is/image/MCY/9300257 ")</f>
        <v xml:space="preserve">http://slimages.macys.com/is/image/MCY/9300257 </v>
      </c>
    </row>
    <row r="315" spans="1:12" ht="24.75" x14ac:dyDescent="0.25">
      <c r="A315" s="4" t="s">
        <v>935</v>
      </c>
      <c r="B315" s="2" t="s">
        <v>936</v>
      </c>
      <c r="C315" s="3">
        <v>1</v>
      </c>
      <c r="D315" s="5">
        <v>34.5</v>
      </c>
      <c r="E315" s="3">
        <v>100025268</v>
      </c>
      <c r="F315" s="2" t="s">
        <v>417</v>
      </c>
      <c r="G315" s="6" t="s">
        <v>141</v>
      </c>
      <c r="H315" s="2" t="s">
        <v>228</v>
      </c>
      <c r="I315" s="2" t="s">
        <v>229</v>
      </c>
      <c r="J315" s="2" t="s">
        <v>19</v>
      </c>
      <c r="K315" s="2" t="s">
        <v>230</v>
      </c>
      <c r="L315" s="7" t="str">
        <f>HYPERLINK("http://slimages.macys.com/is/image/MCY/10985237 ")</f>
        <v xml:space="preserve">http://slimages.macys.com/is/image/MCY/10985237 </v>
      </c>
    </row>
    <row r="316" spans="1:12" ht="24.75" x14ac:dyDescent="0.25">
      <c r="A316" s="4" t="s">
        <v>937</v>
      </c>
      <c r="B316" s="2" t="s">
        <v>938</v>
      </c>
      <c r="C316" s="3">
        <v>1</v>
      </c>
      <c r="D316" s="5">
        <v>40.880000000000003</v>
      </c>
      <c r="E316" s="3" t="s">
        <v>939</v>
      </c>
      <c r="F316" s="2" t="s">
        <v>820</v>
      </c>
      <c r="G316" s="6" t="s">
        <v>154</v>
      </c>
      <c r="H316" s="2" t="s">
        <v>194</v>
      </c>
      <c r="I316" s="2" t="s">
        <v>195</v>
      </c>
      <c r="J316" s="2" t="s">
        <v>19</v>
      </c>
      <c r="K316" s="2" t="s">
        <v>34</v>
      </c>
      <c r="L316" s="7" t="str">
        <f>HYPERLINK("http://slimages.macys.com/is/image/MCY/15829562 ")</f>
        <v xml:space="preserve">http://slimages.macys.com/is/image/MCY/15829562 </v>
      </c>
    </row>
    <row r="317" spans="1:12" ht="24.75" x14ac:dyDescent="0.25">
      <c r="A317" s="4" t="s">
        <v>940</v>
      </c>
      <c r="B317" s="2" t="s">
        <v>941</v>
      </c>
      <c r="C317" s="3">
        <v>1</v>
      </c>
      <c r="D317" s="5">
        <v>40.880000000000003</v>
      </c>
      <c r="E317" s="3" t="s">
        <v>942</v>
      </c>
      <c r="F317" s="2" t="s">
        <v>74</v>
      </c>
      <c r="G317" s="6" t="s">
        <v>165</v>
      </c>
      <c r="H317" s="2" t="s">
        <v>188</v>
      </c>
      <c r="I317" s="2" t="s">
        <v>214</v>
      </c>
      <c r="J317" s="2" t="s">
        <v>19</v>
      </c>
      <c r="K317" s="2" t="s">
        <v>387</v>
      </c>
      <c r="L317" s="7" t="str">
        <f>HYPERLINK("http://slimages.macys.com/is/image/MCY/11699651 ")</f>
        <v xml:space="preserve">http://slimages.macys.com/is/image/MCY/11699651 </v>
      </c>
    </row>
    <row r="318" spans="1:12" ht="24.75" x14ac:dyDescent="0.25">
      <c r="A318" s="4" t="s">
        <v>943</v>
      </c>
      <c r="B318" s="2" t="s">
        <v>938</v>
      </c>
      <c r="C318" s="3">
        <v>1</v>
      </c>
      <c r="D318" s="5">
        <v>40.880000000000003</v>
      </c>
      <c r="E318" s="3" t="s">
        <v>939</v>
      </c>
      <c r="F318" s="2" t="s">
        <v>79</v>
      </c>
      <c r="G318" s="6" t="s">
        <v>154</v>
      </c>
      <c r="H318" s="2" t="s">
        <v>194</v>
      </c>
      <c r="I318" s="2" t="s">
        <v>195</v>
      </c>
      <c r="J318" s="2" t="s">
        <v>19</v>
      </c>
      <c r="K318" s="2" t="s">
        <v>34</v>
      </c>
      <c r="L318" s="7" t="str">
        <f>HYPERLINK("http://slimages.macys.com/is/image/MCY/15829562 ")</f>
        <v xml:space="preserve">http://slimages.macys.com/is/image/MCY/15829562 </v>
      </c>
    </row>
    <row r="319" spans="1:12" ht="24.75" x14ac:dyDescent="0.25">
      <c r="A319" s="4" t="s">
        <v>944</v>
      </c>
      <c r="B319" s="2" t="s">
        <v>945</v>
      </c>
      <c r="C319" s="3">
        <v>1</v>
      </c>
      <c r="D319" s="5">
        <v>44.63</v>
      </c>
      <c r="E319" s="3" t="s">
        <v>946</v>
      </c>
      <c r="F319" s="2" t="s">
        <v>74</v>
      </c>
      <c r="G319" s="6"/>
      <c r="H319" s="2" t="s">
        <v>312</v>
      </c>
      <c r="I319" s="2" t="s">
        <v>195</v>
      </c>
      <c r="J319" s="2" t="s">
        <v>19</v>
      </c>
      <c r="K319" s="2" t="s">
        <v>247</v>
      </c>
      <c r="L319" s="7" t="str">
        <f>HYPERLINK("http://slimages.macys.com/is/image/MCY/8963902 ")</f>
        <v xml:space="preserve">http://slimages.macys.com/is/image/MCY/8963902 </v>
      </c>
    </row>
    <row r="320" spans="1:12" ht="24.75" x14ac:dyDescent="0.25">
      <c r="A320" s="4" t="s">
        <v>947</v>
      </c>
      <c r="B320" s="2" t="s">
        <v>948</v>
      </c>
      <c r="C320" s="3">
        <v>1</v>
      </c>
      <c r="D320" s="5">
        <v>34.880000000000003</v>
      </c>
      <c r="E320" s="3">
        <v>100038962</v>
      </c>
      <c r="F320" s="2" t="s">
        <v>376</v>
      </c>
      <c r="G320" s="6" t="s">
        <v>141</v>
      </c>
      <c r="H320" s="2" t="s">
        <v>194</v>
      </c>
      <c r="I320" s="2" t="s">
        <v>195</v>
      </c>
      <c r="J320" s="2" t="s">
        <v>19</v>
      </c>
      <c r="K320" s="2" t="s">
        <v>353</v>
      </c>
      <c r="L320" s="7" t="str">
        <f>HYPERLINK("http://slimages.macys.com/is/image/MCY/11145019 ")</f>
        <v xml:space="preserve">http://slimages.macys.com/is/image/MCY/11145019 </v>
      </c>
    </row>
    <row r="321" spans="1:12" ht="24.75" x14ac:dyDescent="0.25">
      <c r="A321" s="4" t="s">
        <v>949</v>
      </c>
      <c r="B321" s="2" t="s">
        <v>950</v>
      </c>
      <c r="C321" s="3">
        <v>1</v>
      </c>
      <c r="D321" s="5">
        <v>37.119999999999997</v>
      </c>
      <c r="E321" s="3" t="s">
        <v>951</v>
      </c>
      <c r="F321" s="2" t="s">
        <v>417</v>
      </c>
      <c r="G321" s="6" t="s">
        <v>106</v>
      </c>
      <c r="H321" s="2" t="s">
        <v>213</v>
      </c>
      <c r="I321" s="2" t="s">
        <v>214</v>
      </c>
      <c r="J321" s="2" t="s">
        <v>19</v>
      </c>
      <c r="K321" s="2" t="s">
        <v>952</v>
      </c>
      <c r="L321" s="7" t="str">
        <f>HYPERLINK("http://slimages.macys.com/is/image/MCY/12722592 ")</f>
        <v xml:space="preserve">http://slimages.macys.com/is/image/MCY/12722592 </v>
      </c>
    </row>
    <row r="322" spans="1:12" ht="24.75" x14ac:dyDescent="0.25">
      <c r="A322" s="4" t="s">
        <v>953</v>
      </c>
      <c r="B322" s="2" t="s">
        <v>954</v>
      </c>
      <c r="C322" s="3">
        <v>1</v>
      </c>
      <c r="D322" s="5">
        <v>44.63</v>
      </c>
      <c r="E322" s="3" t="s">
        <v>955</v>
      </c>
      <c r="F322" s="2" t="s">
        <v>956</v>
      </c>
      <c r="G322" s="6" t="s">
        <v>234</v>
      </c>
      <c r="H322" s="2" t="s">
        <v>194</v>
      </c>
      <c r="I322" s="2" t="s">
        <v>195</v>
      </c>
      <c r="J322" s="2" t="s">
        <v>19</v>
      </c>
      <c r="K322" s="2" t="s">
        <v>438</v>
      </c>
      <c r="L322" s="7" t="str">
        <f>HYPERLINK("http://slimages.macys.com/is/image/MCY/12794040 ")</f>
        <v xml:space="preserve">http://slimages.macys.com/is/image/MCY/12794040 </v>
      </c>
    </row>
    <row r="323" spans="1:12" ht="24.75" x14ac:dyDescent="0.25">
      <c r="A323" s="4" t="s">
        <v>957</v>
      </c>
      <c r="B323" s="2" t="s">
        <v>958</v>
      </c>
      <c r="C323" s="3">
        <v>1</v>
      </c>
      <c r="D323" s="5">
        <v>37.130000000000003</v>
      </c>
      <c r="E323" s="3" t="s">
        <v>959</v>
      </c>
      <c r="F323" s="2" t="s">
        <v>494</v>
      </c>
      <c r="G323" s="6" t="s">
        <v>27</v>
      </c>
      <c r="H323" s="2" t="s">
        <v>246</v>
      </c>
      <c r="I323" s="2" t="s">
        <v>214</v>
      </c>
      <c r="J323" s="2" t="s">
        <v>19</v>
      </c>
      <c r="K323" s="2" t="s">
        <v>253</v>
      </c>
      <c r="L323" s="7" t="str">
        <f>HYPERLINK("http://slimages.macys.com/is/image/MCY/12401684 ")</f>
        <v xml:space="preserve">http://slimages.macys.com/is/image/MCY/12401684 </v>
      </c>
    </row>
    <row r="324" spans="1:12" ht="36.75" x14ac:dyDescent="0.25">
      <c r="A324" s="4" t="s">
        <v>960</v>
      </c>
      <c r="B324" s="2" t="s">
        <v>961</v>
      </c>
      <c r="C324" s="3">
        <v>1</v>
      </c>
      <c r="D324" s="5">
        <v>40.880000000000003</v>
      </c>
      <c r="E324" s="3">
        <v>100026212</v>
      </c>
      <c r="F324" s="2" t="s">
        <v>79</v>
      </c>
      <c r="G324" s="6" t="s">
        <v>181</v>
      </c>
      <c r="H324" s="2" t="s">
        <v>194</v>
      </c>
      <c r="I324" s="2" t="s">
        <v>195</v>
      </c>
      <c r="J324" s="2" t="s">
        <v>19</v>
      </c>
      <c r="K324" s="2" t="s">
        <v>962</v>
      </c>
      <c r="L324" s="7" t="str">
        <f>HYPERLINK("http://slimages.macys.com/is/image/MCY/10139221 ")</f>
        <v xml:space="preserve">http://slimages.macys.com/is/image/MCY/10139221 </v>
      </c>
    </row>
    <row r="325" spans="1:12" ht="36.75" x14ac:dyDescent="0.25">
      <c r="A325" s="4" t="s">
        <v>963</v>
      </c>
      <c r="B325" s="2" t="s">
        <v>964</v>
      </c>
      <c r="C325" s="3">
        <v>1</v>
      </c>
      <c r="D325" s="5">
        <v>37.130000000000003</v>
      </c>
      <c r="E325" s="3">
        <v>100026210</v>
      </c>
      <c r="F325" s="2" t="s">
        <v>193</v>
      </c>
      <c r="G325" s="6" t="s">
        <v>181</v>
      </c>
      <c r="H325" s="2" t="s">
        <v>194</v>
      </c>
      <c r="I325" s="2" t="s">
        <v>195</v>
      </c>
      <c r="J325" s="2" t="s">
        <v>19</v>
      </c>
      <c r="K325" s="2" t="s">
        <v>965</v>
      </c>
      <c r="L325" s="7" t="str">
        <f>HYPERLINK("http://slimages.macys.com/is/image/MCY/10049790 ")</f>
        <v xml:space="preserve">http://slimages.macys.com/is/image/MCY/10049790 </v>
      </c>
    </row>
    <row r="326" spans="1:12" ht="36.75" x14ac:dyDescent="0.25">
      <c r="A326" s="4" t="s">
        <v>966</v>
      </c>
      <c r="B326" s="2" t="s">
        <v>964</v>
      </c>
      <c r="C326" s="3">
        <v>1</v>
      </c>
      <c r="D326" s="5">
        <v>37.130000000000003</v>
      </c>
      <c r="E326" s="3">
        <v>100026210</v>
      </c>
      <c r="F326" s="2" t="s">
        <v>193</v>
      </c>
      <c r="G326" s="6" t="s">
        <v>200</v>
      </c>
      <c r="H326" s="2" t="s">
        <v>194</v>
      </c>
      <c r="I326" s="2" t="s">
        <v>195</v>
      </c>
      <c r="J326" s="2" t="s">
        <v>19</v>
      </c>
      <c r="K326" s="2" t="s">
        <v>965</v>
      </c>
      <c r="L326" s="7" t="str">
        <f>HYPERLINK("http://slimages.macys.com/is/image/MCY/10049790 ")</f>
        <v xml:space="preserve">http://slimages.macys.com/is/image/MCY/10049790 </v>
      </c>
    </row>
    <row r="327" spans="1:12" ht="36.75" x14ac:dyDescent="0.25">
      <c r="A327" s="4" t="s">
        <v>967</v>
      </c>
      <c r="B327" s="2" t="s">
        <v>961</v>
      </c>
      <c r="C327" s="3">
        <v>1</v>
      </c>
      <c r="D327" s="5">
        <v>40.880000000000003</v>
      </c>
      <c r="E327" s="3">
        <v>100026212</v>
      </c>
      <c r="F327" s="2" t="s">
        <v>376</v>
      </c>
      <c r="G327" s="6" t="s">
        <v>200</v>
      </c>
      <c r="H327" s="2" t="s">
        <v>194</v>
      </c>
      <c r="I327" s="2" t="s">
        <v>195</v>
      </c>
      <c r="J327" s="2" t="s">
        <v>19</v>
      </c>
      <c r="K327" s="2" t="s">
        <v>962</v>
      </c>
      <c r="L327" s="7" t="str">
        <f>HYPERLINK("http://slimages.macys.com/is/image/MCY/10139221 ")</f>
        <v xml:space="preserve">http://slimages.macys.com/is/image/MCY/10139221 </v>
      </c>
    </row>
    <row r="328" spans="1:12" ht="36.75" x14ac:dyDescent="0.25">
      <c r="A328" s="4" t="s">
        <v>968</v>
      </c>
      <c r="B328" s="2" t="s">
        <v>969</v>
      </c>
      <c r="C328" s="3">
        <v>1</v>
      </c>
      <c r="D328" s="5">
        <v>37.130000000000003</v>
      </c>
      <c r="E328" s="3">
        <v>100026210</v>
      </c>
      <c r="F328" s="2" t="s">
        <v>85</v>
      </c>
      <c r="G328" s="6" t="s">
        <v>181</v>
      </c>
      <c r="H328" s="2" t="s">
        <v>194</v>
      </c>
      <c r="I328" s="2" t="s">
        <v>195</v>
      </c>
      <c r="J328" s="2" t="s">
        <v>19</v>
      </c>
      <c r="K328" s="2" t="s">
        <v>965</v>
      </c>
      <c r="L328" s="7" t="str">
        <f>HYPERLINK("http://slimages.macys.com/is/image/MCY/9714233 ")</f>
        <v xml:space="preserve">http://slimages.macys.com/is/image/MCY/9714233 </v>
      </c>
    </row>
    <row r="329" spans="1:12" ht="24.75" x14ac:dyDescent="0.25">
      <c r="A329" s="4" t="s">
        <v>970</v>
      </c>
      <c r="B329" s="2" t="s">
        <v>641</v>
      </c>
      <c r="C329" s="3">
        <v>2</v>
      </c>
      <c r="D329" s="5">
        <v>29.99</v>
      </c>
      <c r="E329" s="3" t="s">
        <v>971</v>
      </c>
      <c r="F329" s="2" t="s">
        <v>38</v>
      </c>
      <c r="G329" s="6"/>
      <c r="H329" s="2" t="s">
        <v>632</v>
      </c>
      <c r="I329" s="2" t="s">
        <v>408</v>
      </c>
      <c r="J329" s="2" t="s">
        <v>19</v>
      </c>
      <c r="K329" s="2" t="s">
        <v>409</v>
      </c>
      <c r="L329" s="7" t="str">
        <f>HYPERLINK("http://slimages.macys.com/is/image/MCY/8140828 ")</f>
        <v xml:space="preserve">http://slimages.macys.com/is/image/MCY/8140828 </v>
      </c>
    </row>
    <row r="330" spans="1:12" ht="24.75" x14ac:dyDescent="0.25">
      <c r="A330" s="4" t="s">
        <v>972</v>
      </c>
      <c r="B330" s="2" t="s">
        <v>641</v>
      </c>
      <c r="C330" s="3">
        <v>1</v>
      </c>
      <c r="D330" s="5">
        <v>29.99</v>
      </c>
      <c r="E330" s="3" t="s">
        <v>971</v>
      </c>
      <c r="F330" s="2" t="s">
        <v>38</v>
      </c>
      <c r="G330" s="6"/>
      <c r="H330" s="2" t="s">
        <v>632</v>
      </c>
      <c r="I330" s="2" t="s">
        <v>408</v>
      </c>
      <c r="J330" s="2" t="s">
        <v>19</v>
      </c>
      <c r="K330" s="2" t="s">
        <v>409</v>
      </c>
      <c r="L330" s="7" t="str">
        <f>HYPERLINK("http://slimages.macys.com/is/image/MCY/8140828 ")</f>
        <v xml:space="preserve">http://slimages.macys.com/is/image/MCY/8140828 </v>
      </c>
    </row>
    <row r="331" spans="1:12" ht="24.75" x14ac:dyDescent="0.25">
      <c r="A331" s="4" t="s">
        <v>973</v>
      </c>
      <c r="B331" s="2" t="s">
        <v>974</v>
      </c>
      <c r="C331" s="3">
        <v>1</v>
      </c>
      <c r="D331" s="5">
        <v>45</v>
      </c>
      <c r="E331" s="3" t="s">
        <v>975</v>
      </c>
      <c r="F331" s="2" t="s">
        <v>170</v>
      </c>
      <c r="G331" s="6" t="s">
        <v>794</v>
      </c>
      <c r="H331" s="2" t="s">
        <v>447</v>
      </c>
      <c r="I331" s="2" t="s">
        <v>792</v>
      </c>
      <c r="J331" s="2" t="s">
        <v>19</v>
      </c>
      <c r="K331" s="2" t="s">
        <v>160</v>
      </c>
      <c r="L331" s="7" t="str">
        <f>HYPERLINK("http://slimages.macys.com/is/image/MCY/12649291 ")</f>
        <v xml:space="preserve">http://slimages.macys.com/is/image/MCY/12649291 </v>
      </c>
    </row>
    <row r="332" spans="1:12" ht="24.75" x14ac:dyDescent="0.25">
      <c r="A332" s="4" t="s">
        <v>976</v>
      </c>
      <c r="B332" s="2" t="s">
        <v>641</v>
      </c>
      <c r="C332" s="3">
        <v>1</v>
      </c>
      <c r="D332" s="5">
        <v>29.99</v>
      </c>
      <c r="E332" s="3" t="s">
        <v>977</v>
      </c>
      <c r="F332" s="2" t="s">
        <v>74</v>
      </c>
      <c r="G332" s="6" t="s">
        <v>200</v>
      </c>
      <c r="H332" s="2" t="s">
        <v>284</v>
      </c>
      <c r="I332" s="2" t="s">
        <v>408</v>
      </c>
      <c r="J332" s="2" t="s">
        <v>19</v>
      </c>
      <c r="K332" s="2" t="s">
        <v>409</v>
      </c>
      <c r="L332" s="7" t="str">
        <f>HYPERLINK("http://slimages.macys.com/is/image/MCY/9387631 ")</f>
        <v xml:space="preserve">http://slimages.macys.com/is/image/MCY/9387631 </v>
      </c>
    </row>
    <row r="333" spans="1:12" ht="24.75" x14ac:dyDescent="0.25">
      <c r="A333" s="4" t="s">
        <v>978</v>
      </c>
      <c r="B333" s="2" t="s">
        <v>744</v>
      </c>
      <c r="C333" s="3">
        <v>1</v>
      </c>
      <c r="D333" s="5">
        <v>34.99</v>
      </c>
      <c r="E333" s="3" t="s">
        <v>979</v>
      </c>
      <c r="F333" s="2" t="s">
        <v>85</v>
      </c>
      <c r="G333" s="6" t="s">
        <v>234</v>
      </c>
      <c r="H333" s="2" t="s">
        <v>284</v>
      </c>
      <c r="I333" s="2" t="s">
        <v>285</v>
      </c>
      <c r="J333" s="2" t="s">
        <v>19</v>
      </c>
      <c r="K333" s="2" t="s">
        <v>34</v>
      </c>
      <c r="L333" s="7" t="str">
        <f>HYPERLINK("http://slimages.macys.com/is/image/MCY/9723880 ")</f>
        <v xml:space="preserve">http://slimages.macys.com/is/image/MCY/9723880 </v>
      </c>
    </row>
    <row r="334" spans="1:12" ht="24.75" x14ac:dyDescent="0.25">
      <c r="A334" s="4" t="s">
        <v>980</v>
      </c>
      <c r="B334" s="2" t="s">
        <v>641</v>
      </c>
      <c r="C334" s="3">
        <v>1</v>
      </c>
      <c r="D334" s="5">
        <v>29.99</v>
      </c>
      <c r="E334" s="3" t="s">
        <v>977</v>
      </c>
      <c r="F334" s="2" t="s">
        <v>74</v>
      </c>
      <c r="G334" s="6" t="s">
        <v>181</v>
      </c>
      <c r="H334" s="2" t="s">
        <v>284</v>
      </c>
      <c r="I334" s="2" t="s">
        <v>408</v>
      </c>
      <c r="J334" s="2" t="s">
        <v>19</v>
      </c>
      <c r="K334" s="2" t="s">
        <v>409</v>
      </c>
      <c r="L334" s="7" t="str">
        <f>HYPERLINK("http://slimages.macys.com/is/image/MCY/9387631 ")</f>
        <v xml:space="preserve">http://slimages.macys.com/is/image/MCY/9387631 </v>
      </c>
    </row>
    <row r="335" spans="1:12" ht="24.75" x14ac:dyDescent="0.25">
      <c r="A335" s="4" t="s">
        <v>981</v>
      </c>
      <c r="B335" s="2" t="s">
        <v>641</v>
      </c>
      <c r="C335" s="3">
        <v>1</v>
      </c>
      <c r="D335" s="5">
        <v>29.99</v>
      </c>
      <c r="E335" s="3" t="s">
        <v>971</v>
      </c>
      <c r="F335" s="2" t="s">
        <v>38</v>
      </c>
      <c r="G335" s="6" t="s">
        <v>794</v>
      </c>
      <c r="H335" s="2" t="s">
        <v>632</v>
      </c>
      <c r="I335" s="2" t="s">
        <v>408</v>
      </c>
      <c r="J335" s="2" t="s">
        <v>19</v>
      </c>
      <c r="K335" s="2" t="s">
        <v>409</v>
      </c>
      <c r="L335" s="7" t="str">
        <f>HYPERLINK("http://slimages.macys.com/is/image/MCY/8140828 ")</f>
        <v xml:space="preserve">http://slimages.macys.com/is/image/MCY/8140828 </v>
      </c>
    </row>
    <row r="336" spans="1:12" ht="24.75" x14ac:dyDescent="0.25">
      <c r="A336" s="4" t="s">
        <v>982</v>
      </c>
      <c r="B336" s="2" t="s">
        <v>641</v>
      </c>
      <c r="C336" s="3">
        <v>1</v>
      </c>
      <c r="D336" s="5">
        <v>29.99</v>
      </c>
      <c r="E336" s="3" t="s">
        <v>971</v>
      </c>
      <c r="F336" s="2" t="s">
        <v>38</v>
      </c>
      <c r="G336" s="6" t="s">
        <v>187</v>
      </c>
      <c r="H336" s="2" t="s">
        <v>632</v>
      </c>
      <c r="I336" s="2" t="s">
        <v>408</v>
      </c>
      <c r="J336" s="2" t="s">
        <v>19</v>
      </c>
      <c r="K336" s="2" t="s">
        <v>409</v>
      </c>
      <c r="L336" s="7" t="str">
        <f>HYPERLINK("http://slimages.macys.com/is/image/MCY/8140828 ")</f>
        <v xml:space="preserve">http://slimages.macys.com/is/image/MCY/8140828 </v>
      </c>
    </row>
    <row r="337" spans="1:12" ht="48.75" x14ac:dyDescent="0.25">
      <c r="A337" s="4" t="s">
        <v>983</v>
      </c>
      <c r="B337" s="2" t="s">
        <v>984</v>
      </c>
      <c r="C337" s="3">
        <v>1</v>
      </c>
      <c r="D337" s="5">
        <v>44.63</v>
      </c>
      <c r="E337" s="3" t="s">
        <v>985</v>
      </c>
      <c r="F337" s="2" t="s">
        <v>74</v>
      </c>
      <c r="G337" s="6" t="s">
        <v>141</v>
      </c>
      <c r="H337" s="2" t="s">
        <v>246</v>
      </c>
      <c r="I337" s="2" t="s">
        <v>487</v>
      </c>
      <c r="J337" s="2" t="s">
        <v>19</v>
      </c>
      <c r="K337" s="2" t="s">
        <v>787</v>
      </c>
      <c r="L337" s="7" t="str">
        <f>HYPERLINK("http://slimages.macys.com/is/image/MCY/9213839 ")</f>
        <v xml:space="preserve">http://slimages.macys.com/is/image/MCY/9213839 </v>
      </c>
    </row>
    <row r="338" spans="1:12" ht="24.75" x14ac:dyDescent="0.25">
      <c r="A338" s="4" t="s">
        <v>986</v>
      </c>
      <c r="B338" s="2" t="s">
        <v>936</v>
      </c>
      <c r="C338" s="3">
        <v>1</v>
      </c>
      <c r="D338" s="5">
        <v>34.5</v>
      </c>
      <c r="E338" s="3">
        <v>100040726</v>
      </c>
      <c r="F338" s="2" t="s">
        <v>417</v>
      </c>
      <c r="G338" s="6" t="s">
        <v>22</v>
      </c>
      <c r="H338" s="2" t="s">
        <v>228</v>
      </c>
      <c r="I338" s="2" t="s">
        <v>229</v>
      </c>
      <c r="J338" s="2" t="s">
        <v>19</v>
      </c>
      <c r="K338" s="2" t="s">
        <v>230</v>
      </c>
      <c r="L338" s="7" t="str">
        <f>HYPERLINK("http://slimages.macys.com/is/image/MCY/10985237 ")</f>
        <v xml:space="preserve">http://slimages.macys.com/is/image/MCY/10985237 </v>
      </c>
    </row>
    <row r="339" spans="1:12" ht="24.75" x14ac:dyDescent="0.25">
      <c r="A339" s="4" t="s">
        <v>987</v>
      </c>
      <c r="B339" s="2" t="s">
        <v>988</v>
      </c>
      <c r="C339" s="3">
        <v>1</v>
      </c>
      <c r="D339" s="5">
        <v>40.880000000000003</v>
      </c>
      <c r="E339" s="3" t="s">
        <v>989</v>
      </c>
      <c r="F339" s="2" t="s">
        <v>64</v>
      </c>
      <c r="G339" s="6" t="s">
        <v>187</v>
      </c>
      <c r="H339" s="2" t="s">
        <v>188</v>
      </c>
      <c r="I339" s="2" t="s">
        <v>189</v>
      </c>
      <c r="J339" s="2" t="s">
        <v>19</v>
      </c>
      <c r="K339" s="2" t="s">
        <v>990</v>
      </c>
      <c r="L339" s="7" t="str">
        <f>HYPERLINK("http://slimages.macys.com/is/image/MCY/11808185 ")</f>
        <v xml:space="preserve">http://slimages.macys.com/is/image/MCY/11808185 </v>
      </c>
    </row>
    <row r="340" spans="1:12" ht="24.75" x14ac:dyDescent="0.25">
      <c r="A340" s="4" t="s">
        <v>991</v>
      </c>
      <c r="B340" s="2" t="s">
        <v>992</v>
      </c>
      <c r="C340" s="3">
        <v>1</v>
      </c>
      <c r="D340" s="5">
        <v>34.5</v>
      </c>
      <c r="E340" s="3" t="s">
        <v>993</v>
      </c>
      <c r="F340" s="2" t="s">
        <v>74</v>
      </c>
      <c r="G340" s="6"/>
      <c r="H340" s="2" t="s">
        <v>426</v>
      </c>
      <c r="I340" s="2" t="s">
        <v>229</v>
      </c>
      <c r="J340" s="2" t="s">
        <v>19</v>
      </c>
      <c r="K340" s="2" t="s">
        <v>353</v>
      </c>
      <c r="L340" s="7" t="str">
        <f>HYPERLINK("http://slimages.macys.com/is/image/MCY/11934830 ")</f>
        <v xml:space="preserve">http://slimages.macys.com/is/image/MCY/11934830 </v>
      </c>
    </row>
    <row r="341" spans="1:12" ht="24.75" x14ac:dyDescent="0.25">
      <c r="A341" s="4" t="s">
        <v>994</v>
      </c>
      <c r="B341" s="2" t="s">
        <v>992</v>
      </c>
      <c r="C341" s="3">
        <v>1</v>
      </c>
      <c r="D341" s="5">
        <v>34.5</v>
      </c>
      <c r="E341" s="3" t="s">
        <v>995</v>
      </c>
      <c r="F341" s="2" t="s">
        <v>26</v>
      </c>
      <c r="G341" s="6"/>
      <c r="H341" s="2" t="s">
        <v>426</v>
      </c>
      <c r="I341" s="2" t="s">
        <v>229</v>
      </c>
      <c r="J341" s="2" t="s">
        <v>19</v>
      </c>
      <c r="K341" s="2" t="s">
        <v>353</v>
      </c>
      <c r="L341" s="7" t="str">
        <f>HYPERLINK("http://slimages.macys.com/is/image/MCY/11934830 ")</f>
        <v xml:space="preserve">http://slimages.macys.com/is/image/MCY/11934830 </v>
      </c>
    </row>
    <row r="342" spans="1:12" ht="24.75" x14ac:dyDescent="0.25">
      <c r="A342" s="4" t="s">
        <v>996</v>
      </c>
      <c r="B342" s="2" t="s">
        <v>904</v>
      </c>
      <c r="C342" s="3">
        <v>2</v>
      </c>
      <c r="D342" s="5">
        <v>34.5</v>
      </c>
      <c r="E342" s="3" t="s">
        <v>997</v>
      </c>
      <c r="F342" s="2" t="s">
        <v>998</v>
      </c>
      <c r="G342" s="6"/>
      <c r="H342" s="2" t="s">
        <v>426</v>
      </c>
      <c r="I342" s="2" t="s">
        <v>229</v>
      </c>
      <c r="J342" s="2" t="s">
        <v>19</v>
      </c>
      <c r="K342" s="2" t="s">
        <v>353</v>
      </c>
      <c r="L342" s="7" t="str">
        <f>HYPERLINK("http://slimages.macys.com/is/image/MCY/11934830 ")</f>
        <v xml:space="preserve">http://slimages.macys.com/is/image/MCY/11934830 </v>
      </c>
    </row>
    <row r="343" spans="1:12" ht="24.75" x14ac:dyDescent="0.25">
      <c r="A343" s="4" t="s">
        <v>999</v>
      </c>
      <c r="B343" s="2" t="s">
        <v>992</v>
      </c>
      <c r="C343" s="3">
        <v>1</v>
      </c>
      <c r="D343" s="5">
        <v>34.5</v>
      </c>
      <c r="E343" s="3" t="s">
        <v>993</v>
      </c>
      <c r="F343" s="2" t="s">
        <v>74</v>
      </c>
      <c r="G343" s="6" t="s">
        <v>794</v>
      </c>
      <c r="H343" s="2" t="s">
        <v>426</v>
      </c>
      <c r="I343" s="2" t="s">
        <v>229</v>
      </c>
      <c r="J343" s="2" t="s">
        <v>19</v>
      </c>
      <c r="K343" s="2" t="s">
        <v>353</v>
      </c>
      <c r="L343" s="7" t="str">
        <f>HYPERLINK("http://slimages.macys.com/is/image/MCY/11934830 ")</f>
        <v xml:space="preserve">http://slimages.macys.com/is/image/MCY/11934830 </v>
      </c>
    </row>
    <row r="344" spans="1:12" ht="24.75" x14ac:dyDescent="0.25">
      <c r="A344" s="4" t="s">
        <v>1000</v>
      </c>
      <c r="B344" s="2" t="s">
        <v>904</v>
      </c>
      <c r="C344" s="3">
        <v>1</v>
      </c>
      <c r="D344" s="5">
        <v>34.5</v>
      </c>
      <c r="E344" s="3" t="s">
        <v>997</v>
      </c>
      <c r="F344" s="2" t="s">
        <v>998</v>
      </c>
      <c r="G344" s="6" t="s">
        <v>187</v>
      </c>
      <c r="H344" s="2" t="s">
        <v>426</v>
      </c>
      <c r="I344" s="2" t="s">
        <v>229</v>
      </c>
      <c r="J344" s="2" t="s">
        <v>19</v>
      </c>
      <c r="K344" s="2" t="s">
        <v>353</v>
      </c>
      <c r="L344" s="7" t="str">
        <f>HYPERLINK("http://slimages.macys.com/is/image/MCY/11934830 ")</f>
        <v xml:space="preserve">http://slimages.macys.com/is/image/MCY/11934830 </v>
      </c>
    </row>
    <row r="345" spans="1:12" ht="24.75" x14ac:dyDescent="0.25">
      <c r="A345" s="4" t="s">
        <v>1001</v>
      </c>
      <c r="B345" s="2" t="s">
        <v>1002</v>
      </c>
      <c r="C345" s="3">
        <v>2</v>
      </c>
      <c r="D345" s="5">
        <v>44.63</v>
      </c>
      <c r="E345" s="3" t="s">
        <v>1003</v>
      </c>
      <c r="F345" s="2" t="s">
        <v>15</v>
      </c>
      <c r="G345" s="6"/>
      <c r="H345" s="2" t="s">
        <v>312</v>
      </c>
      <c r="I345" s="2" t="s">
        <v>195</v>
      </c>
      <c r="J345" s="2" t="s">
        <v>19</v>
      </c>
      <c r="K345" s="2" t="s">
        <v>247</v>
      </c>
      <c r="L345" s="7" t="str">
        <f>HYPERLINK("http://slimages.macys.com/is/image/MCY/9653304 ")</f>
        <v xml:space="preserve">http://slimages.macys.com/is/image/MCY/9653304 </v>
      </c>
    </row>
    <row r="346" spans="1:12" ht="24.75" x14ac:dyDescent="0.25">
      <c r="A346" s="4" t="s">
        <v>1004</v>
      </c>
      <c r="B346" s="2" t="s">
        <v>1005</v>
      </c>
      <c r="C346" s="3">
        <v>1</v>
      </c>
      <c r="D346" s="5">
        <v>40.880000000000003</v>
      </c>
      <c r="E346" s="3" t="s">
        <v>1006</v>
      </c>
      <c r="F346" s="2" t="s">
        <v>26</v>
      </c>
      <c r="G346" s="6" t="s">
        <v>156</v>
      </c>
      <c r="H346" s="2" t="s">
        <v>246</v>
      </c>
      <c r="I346" s="2" t="s">
        <v>189</v>
      </c>
      <c r="J346" s="2" t="s">
        <v>19</v>
      </c>
      <c r="K346" s="2" t="s">
        <v>990</v>
      </c>
      <c r="L346" s="7" t="str">
        <f>HYPERLINK("http://slimages.macys.com/is/image/MCY/13330782 ")</f>
        <v xml:space="preserve">http://slimages.macys.com/is/image/MCY/13330782 </v>
      </c>
    </row>
    <row r="347" spans="1:12" ht="24.75" x14ac:dyDescent="0.25">
      <c r="A347" s="4" t="s">
        <v>1007</v>
      </c>
      <c r="B347" s="2" t="s">
        <v>1008</v>
      </c>
      <c r="C347" s="3">
        <v>1</v>
      </c>
      <c r="D347" s="5">
        <v>49.5</v>
      </c>
      <c r="E347" s="3" t="s">
        <v>1009</v>
      </c>
      <c r="F347" s="2" t="s">
        <v>74</v>
      </c>
      <c r="G347" s="6" t="s">
        <v>238</v>
      </c>
      <c r="H347" s="2" t="s">
        <v>206</v>
      </c>
      <c r="I347" s="2" t="s">
        <v>1010</v>
      </c>
      <c r="J347" s="2" t="s">
        <v>19</v>
      </c>
      <c r="K347" s="2" t="s">
        <v>409</v>
      </c>
      <c r="L347" s="7" t="str">
        <f>HYPERLINK("http://slimages.macys.com/is/image/MCY/9044823 ")</f>
        <v xml:space="preserve">http://slimages.macys.com/is/image/MCY/9044823 </v>
      </c>
    </row>
    <row r="348" spans="1:12" ht="24.75" x14ac:dyDescent="0.25">
      <c r="A348" s="4" t="s">
        <v>1011</v>
      </c>
      <c r="B348" s="2" t="s">
        <v>1012</v>
      </c>
      <c r="C348" s="3">
        <v>1</v>
      </c>
      <c r="D348" s="5">
        <v>37.130000000000003</v>
      </c>
      <c r="E348" s="3" t="s">
        <v>1013</v>
      </c>
      <c r="F348" s="2" t="s">
        <v>64</v>
      </c>
      <c r="G348" s="6" t="s">
        <v>106</v>
      </c>
      <c r="H348" s="2" t="s">
        <v>246</v>
      </c>
      <c r="I348" s="2" t="s">
        <v>214</v>
      </c>
      <c r="J348" s="2" t="s">
        <v>19</v>
      </c>
      <c r="K348" s="2" t="s">
        <v>253</v>
      </c>
      <c r="L348" s="7" t="str">
        <f t="shared" ref="L348:L358" si="2">HYPERLINK("http://slimages.macys.com/is/image/MCY/10679372 ")</f>
        <v xml:space="preserve">http://slimages.macys.com/is/image/MCY/10679372 </v>
      </c>
    </row>
    <row r="349" spans="1:12" ht="24.75" x14ac:dyDescent="0.25">
      <c r="A349" s="4" t="s">
        <v>1014</v>
      </c>
      <c r="B349" s="2" t="s">
        <v>1012</v>
      </c>
      <c r="C349" s="3">
        <v>1</v>
      </c>
      <c r="D349" s="5">
        <v>37.130000000000003</v>
      </c>
      <c r="E349" s="3" t="s">
        <v>1013</v>
      </c>
      <c r="F349" s="2" t="s">
        <v>26</v>
      </c>
      <c r="G349" s="6" t="s">
        <v>112</v>
      </c>
      <c r="H349" s="2" t="s">
        <v>246</v>
      </c>
      <c r="I349" s="2" t="s">
        <v>214</v>
      </c>
      <c r="J349" s="2" t="s">
        <v>19</v>
      </c>
      <c r="K349" s="2" t="s">
        <v>253</v>
      </c>
      <c r="L349" s="7" t="str">
        <f t="shared" si="2"/>
        <v xml:space="preserve">http://slimages.macys.com/is/image/MCY/10679372 </v>
      </c>
    </row>
    <row r="350" spans="1:12" ht="24.75" x14ac:dyDescent="0.25">
      <c r="A350" s="4" t="s">
        <v>1015</v>
      </c>
      <c r="B350" s="2" t="s">
        <v>1012</v>
      </c>
      <c r="C350" s="3">
        <v>1</v>
      </c>
      <c r="D350" s="5">
        <v>37.130000000000003</v>
      </c>
      <c r="E350" s="3" t="s">
        <v>1013</v>
      </c>
      <c r="F350" s="2" t="s">
        <v>494</v>
      </c>
      <c r="G350" s="6" t="s">
        <v>141</v>
      </c>
      <c r="H350" s="2" t="s">
        <v>246</v>
      </c>
      <c r="I350" s="2" t="s">
        <v>214</v>
      </c>
      <c r="J350" s="2" t="s">
        <v>19</v>
      </c>
      <c r="K350" s="2" t="s">
        <v>253</v>
      </c>
      <c r="L350" s="7" t="str">
        <f t="shared" si="2"/>
        <v xml:space="preserve">http://slimages.macys.com/is/image/MCY/10679372 </v>
      </c>
    </row>
    <row r="351" spans="1:12" ht="24.75" x14ac:dyDescent="0.25">
      <c r="A351" s="4" t="s">
        <v>1016</v>
      </c>
      <c r="B351" s="2" t="s">
        <v>1012</v>
      </c>
      <c r="C351" s="3">
        <v>1</v>
      </c>
      <c r="D351" s="5">
        <v>37.130000000000003</v>
      </c>
      <c r="E351" s="3" t="s">
        <v>1013</v>
      </c>
      <c r="F351" s="2" t="s">
        <v>494</v>
      </c>
      <c r="G351" s="6" t="s">
        <v>58</v>
      </c>
      <c r="H351" s="2" t="s">
        <v>246</v>
      </c>
      <c r="I351" s="2" t="s">
        <v>214</v>
      </c>
      <c r="J351" s="2" t="s">
        <v>19</v>
      </c>
      <c r="K351" s="2" t="s">
        <v>253</v>
      </c>
      <c r="L351" s="7" t="str">
        <f t="shared" si="2"/>
        <v xml:space="preserve">http://slimages.macys.com/is/image/MCY/10679372 </v>
      </c>
    </row>
    <row r="352" spans="1:12" ht="24.75" x14ac:dyDescent="0.25">
      <c r="A352" s="4" t="s">
        <v>1017</v>
      </c>
      <c r="B352" s="2" t="s">
        <v>1012</v>
      </c>
      <c r="C352" s="3">
        <v>2</v>
      </c>
      <c r="D352" s="5">
        <v>37.130000000000003</v>
      </c>
      <c r="E352" s="3" t="s">
        <v>1013</v>
      </c>
      <c r="F352" s="2" t="s">
        <v>494</v>
      </c>
      <c r="G352" s="6" t="s">
        <v>106</v>
      </c>
      <c r="H352" s="2" t="s">
        <v>246</v>
      </c>
      <c r="I352" s="2" t="s">
        <v>214</v>
      </c>
      <c r="J352" s="2" t="s">
        <v>19</v>
      </c>
      <c r="K352" s="2" t="s">
        <v>253</v>
      </c>
      <c r="L352" s="7" t="str">
        <f t="shared" si="2"/>
        <v xml:space="preserve">http://slimages.macys.com/is/image/MCY/10679372 </v>
      </c>
    </row>
    <row r="353" spans="1:12" ht="24.75" x14ac:dyDescent="0.25">
      <c r="A353" s="4" t="s">
        <v>1018</v>
      </c>
      <c r="B353" s="2" t="s">
        <v>1012</v>
      </c>
      <c r="C353" s="3">
        <v>1</v>
      </c>
      <c r="D353" s="5">
        <v>37.130000000000003</v>
      </c>
      <c r="E353" s="3" t="s">
        <v>1013</v>
      </c>
      <c r="F353" s="2" t="s">
        <v>494</v>
      </c>
      <c r="G353" s="6" t="s">
        <v>27</v>
      </c>
      <c r="H353" s="2" t="s">
        <v>246</v>
      </c>
      <c r="I353" s="2" t="s">
        <v>214</v>
      </c>
      <c r="J353" s="2" t="s">
        <v>19</v>
      </c>
      <c r="K353" s="2" t="s">
        <v>253</v>
      </c>
      <c r="L353" s="7" t="str">
        <f t="shared" si="2"/>
        <v xml:space="preserve">http://slimages.macys.com/is/image/MCY/10679372 </v>
      </c>
    </row>
    <row r="354" spans="1:12" ht="24.75" x14ac:dyDescent="0.25">
      <c r="A354" s="4" t="s">
        <v>1019</v>
      </c>
      <c r="B354" s="2" t="s">
        <v>1012</v>
      </c>
      <c r="C354" s="3">
        <v>1</v>
      </c>
      <c r="D354" s="5">
        <v>37.130000000000003</v>
      </c>
      <c r="E354" s="3" t="s">
        <v>1013</v>
      </c>
      <c r="F354" s="2" t="s">
        <v>494</v>
      </c>
      <c r="G354" s="6" t="s">
        <v>112</v>
      </c>
      <c r="H354" s="2" t="s">
        <v>246</v>
      </c>
      <c r="I354" s="2" t="s">
        <v>214</v>
      </c>
      <c r="J354" s="2" t="s">
        <v>19</v>
      </c>
      <c r="K354" s="2" t="s">
        <v>253</v>
      </c>
      <c r="L354" s="7" t="str">
        <f t="shared" si="2"/>
        <v xml:space="preserve">http://slimages.macys.com/is/image/MCY/10679372 </v>
      </c>
    </row>
    <row r="355" spans="1:12" ht="24.75" x14ac:dyDescent="0.25">
      <c r="A355" s="4" t="s">
        <v>1020</v>
      </c>
      <c r="B355" s="2" t="s">
        <v>1012</v>
      </c>
      <c r="C355" s="3">
        <v>1</v>
      </c>
      <c r="D355" s="5">
        <v>37.130000000000003</v>
      </c>
      <c r="E355" s="3" t="s">
        <v>1013</v>
      </c>
      <c r="F355" s="2" t="s">
        <v>494</v>
      </c>
      <c r="G355" s="6" t="s">
        <v>22</v>
      </c>
      <c r="H355" s="2" t="s">
        <v>246</v>
      </c>
      <c r="I355" s="2" t="s">
        <v>214</v>
      </c>
      <c r="J355" s="2" t="s">
        <v>19</v>
      </c>
      <c r="K355" s="2" t="s">
        <v>253</v>
      </c>
      <c r="L355" s="7" t="str">
        <f t="shared" si="2"/>
        <v xml:space="preserve">http://slimages.macys.com/is/image/MCY/10679372 </v>
      </c>
    </row>
    <row r="356" spans="1:12" ht="24.75" x14ac:dyDescent="0.25">
      <c r="A356" s="4" t="s">
        <v>1021</v>
      </c>
      <c r="B356" s="2" t="s">
        <v>1012</v>
      </c>
      <c r="C356" s="3">
        <v>2</v>
      </c>
      <c r="D356" s="5">
        <v>37.130000000000003</v>
      </c>
      <c r="E356" s="3" t="s">
        <v>1013</v>
      </c>
      <c r="F356" s="2" t="s">
        <v>494</v>
      </c>
      <c r="G356" s="6" t="s">
        <v>16</v>
      </c>
      <c r="H356" s="2" t="s">
        <v>246</v>
      </c>
      <c r="I356" s="2" t="s">
        <v>214</v>
      </c>
      <c r="J356" s="2" t="s">
        <v>19</v>
      </c>
      <c r="K356" s="2" t="s">
        <v>253</v>
      </c>
      <c r="L356" s="7" t="str">
        <f t="shared" si="2"/>
        <v xml:space="preserve">http://slimages.macys.com/is/image/MCY/10679372 </v>
      </c>
    </row>
    <row r="357" spans="1:12" ht="24.75" x14ac:dyDescent="0.25">
      <c r="A357" s="4" t="s">
        <v>1022</v>
      </c>
      <c r="B357" s="2" t="s">
        <v>1012</v>
      </c>
      <c r="C357" s="3">
        <v>1</v>
      </c>
      <c r="D357" s="5">
        <v>37.130000000000003</v>
      </c>
      <c r="E357" s="3" t="s">
        <v>1013</v>
      </c>
      <c r="F357" s="2" t="s">
        <v>494</v>
      </c>
      <c r="G357" s="6" t="s">
        <v>65</v>
      </c>
      <c r="H357" s="2" t="s">
        <v>246</v>
      </c>
      <c r="I357" s="2" t="s">
        <v>214</v>
      </c>
      <c r="J357" s="2" t="s">
        <v>19</v>
      </c>
      <c r="K357" s="2" t="s">
        <v>253</v>
      </c>
      <c r="L357" s="7" t="str">
        <f t="shared" si="2"/>
        <v xml:space="preserve">http://slimages.macys.com/is/image/MCY/10679372 </v>
      </c>
    </row>
    <row r="358" spans="1:12" ht="24.75" x14ac:dyDescent="0.25">
      <c r="A358" s="4" t="s">
        <v>1023</v>
      </c>
      <c r="B358" s="2" t="s">
        <v>1012</v>
      </c>
      <c r="C358" s="3">
        <v>1</v>
      </c>
      <c r="D358" s="5">
        <v>37.130000000000003</v>
      </c>
      <c r="E358" s="3" t="s">
        <v>1013</v>
      </c>
      <c r="F358" s="2" t="s">
        <v>64</v>
      </c>
      <c r="G358" s="6" t="s">
        <v>58</v>
      </c>
      <c r="H358" s="2" t="s">
        <v>246</v>
      </c>
      <c r="I358" s="2" t="s">
        <v>214</v>
      </c>
      <c r="J358" s="2" t="s">
        <v>19</v>
      </c>
      <c r="K358" s="2" t="s">
        <v>253</v>
      </c>
      <c r="L358" s="7" t="str">
        <f t="shared" si="2"/>
        <v xml:space="preserve">http://slimages.macys.com/is/image/MCY/10679372 </v>
      </c>
    </row>
    <row r="359" spans="1:12" ht="24.75" x14ac:dyDescent="0.25">
      <c r="A359" s="4" t="s">
        <v>1024</v>
      </c>
      <c r="B359" s="2" t="s">
        <v>1025</v>
      </c>
      <c r="C359" s="3">
        <v>1</v>
      </c>
      <c r="D359" s="5">
        <v>37.130000000000003</v>
      </c>
      <c r="E359" s="3" t="s">
        <v>1026</v>
      </c>
      <c r="F359" s="2" t="s">
        <v>111</v>
      </c>
      <c r="G359" s="6" t="s">
        <v>181</v>
      </c>
      <c r="H359" s="2" t="s">
        <v>284</v>
      </c>
      <c r="I359" s="2" t="s">
        <v>285</v>
      </c>
      <c r="J359" s="2" t="s">
        <v>19</v>
      </c>
      <c r="K359" s="2" t="s">
        <v>160</v>
      </c>
      <c r="L359" s="7" t="str">
        <f>HYPERLINK("http://slimages.macys.com/is/image/MCY/11858399 ")</f>
        <v xml:space="preserve">http://slimages.macys.com/is/image/MCY/11858399 </v>
      </c>
    </row>
    <row r="360" spans="1:12" ht="24.75" x14ac:dyDescent="0.25">
      <c r="A360" s="4" t="s">
        <v>1027</v>
      </c>
      <c r="B360" s="2" t="s">
        <v>1028</v>
      </c>
      <c r="C360" s="3">
        <v>1</v>
      </c>
      <c r="D360" s="5">
        <v>36.5</v>
      </c>
      <c r="E360" s="3" t="s">
        <v>1029</v>
      </c>
      <c r="F360" s="2" t="s">
        <v>74</v>
      </c>
      <c r="G360" s="6" t="s">
        <v>794</v>
      </c>
      <c r="H360" s="2" t="s">
        <v>632</v>
      </c>
      <c r="I360" s="2" t="s">
        <v>408</v>
      </c>
      <c r="J360" s="2" t="s">
        <v>19</v>
      </c>
      <c r="K360" s="2" t="s">
        <v>409</v>
      </c>
      <c r="L360" s="7" t="str">
        <f>HYPERLINK("http://slimages.macys.com/is/image/MCY/8191312 ")</f>
        <v xml:space="preserve">http://slimages.macys.com/is/image/MCY/8191312 </v>
      </c>
    </row>
    <row r="361" spans="1:12" ht="24.75" x14ac:dyDescent="0.25">
      <c r="A361" s="4" t="s">
        <v>1030</v>
      </c>
      <c r="B361" s="2" t="s">
        <v>1028</v>
      </c>
      <c r="C361" s="3">
        <v>1</v>
      </c>
      <c r="D361" s="5">
        <v>36.5</v>
      </c>
      <c r="E361" s="3" t="s">
        <v>1029</v>
      </c>
      <c r="F361" s="2" t="s">
        <v>74</v>
      </c>
      <c r="G361" s="6"/>
      <c r="H361" s="2" t="s">
        <v>632</v>
      </c>
      <c r="I361" s="2" t="s">
        <v>408</v>
      </c>
      <c r="J361" s="2" t="s">
        <v>19</v>
      </c>
      <c r="K361" s="2" t="s">
        <v>409</v>
      </c>
      <c r="L361" s="7" t="str">
        <f>HYPERLINK("http://slimages.macys.com/is/image/MCY/8191312 ")</f>
        <v xml:space="preserve">http://slimages.macys.com/is/image/MCY/8191312 </v>
      </c>
    </row>
    <row r="362" spans="1:12" ht="24.75" x14ac:dyDescent="0.25">
      <c r="A362" s="4" t="s">
        <v>1031</v>
      </c>
      <c r="B362" s="2" t="s">
        <v>1002</v>
      </c>
      <c r="C362" s="3">
        <v>1</v>
      </c>
      <c r="D362" s="5">
        <v>44.63</v>
      </c>
      <c r="E362" s="3">
        <v>100015592</v>
      </c>
      <c r="F362" s="2" t="s">
        <v>74</v>
      </c>
      <c r="G362" s="6" t="s">
        <v>234</v>
      </c>
      <c r="H362" s="2" t="s">
        <v>194</v>
      </c>
      <c r="I362" s="2" t="s">
        <v>195</v>
      </c>
      <c r="J362" s="2" t="s">
        <v>19</v>
      </c>
      <c r="K362" s="2" t="s">
        <v>137</v>
      </c>
      <c r="L362" s="7" t="str">
        <f>HYPERLINK("http://slimages.macys.com/is/image/MCY/9653304 ")</f>
        <v xml:space="preserve">http://slimages.macys.com/is/image/MCY/9653304 </v>
      </c>
    </row>
    <row r="363" spans="1:12" ht="24.75" x14ac:dyDescent="0.25">
      <c r="A363" s="4" t="s">
        <v>1032</v>
      </c>
      <c r="B363" s="2" t="s">
        <v>1033</v>
      </c>
      <c r="C363" s="3">
        <v>1</v>
      </c>
      <c r="D363" s="5">
        <v>37.130000000000003</v>
      </c>
      <c r="E363" s="3" t="s">
        <v>1034</v>
      </c>
      <c r="F363" s="2" t="s">
        <v>331</v>
      </c>
      <c r="G363" s="6" t="s">
        <v>238</v>
      </c>
      <c r="H363" s="2" t="s">
        <v>188</v>
      </c>
      <c r="I363" s="2" t="s">
        <v>189</v>
      </c>
      <c r="J363" s="2" t="s">
        <v>19</v>
      </c>
      <c r="K363" s="2" t="s">
        <v>107</v>
      </c>
      <c r="L363" s="7" t="str">
        <f>HYPERLINK("http://slimages.macys.com/is/image/MCY/12649654 ")</f>
        <v xml:space="preserve">http://slimages.macys.com/is/image/MCY/12649654 </v>
      </c>
    </row>
    <row r="364" spans="1:12" ht="24.75" x14ac:dyDescent="0.25">
      <c r="A364" s="4" t="s">
        <v>1035</v>
      </c>
      <c r="B364" s="2" t="s">
        <v>1036</v>
      </c>
      <c r="C364" s="3">
        <v>1</v>
      </c>
      <c r="D364" s="5">
        <v>36.5</v>
      </c>
      <c r="E364" s="3" t="s">
        <v>1037</v>
      </c>
      <c r="F364" s="2" t="s">
        <v>998</v>
      </c>
      <c r="G364" s="6" t="s">
        <v>200</v>
      </c>
      <c r="H364" s="2" t="s">
        <v>194</v>
      </c>
      <c r="I364" s="2" t="s">
        <v>195</v>
      </c>
      <c r="J364" s="2" t="s">
        <v>19</v>
      </c>
      <c r="K364" s="2" t="s">
        <v>137</v>
      </c>
      <c r="L364" s="7" t="str">
        <f>HYPERLINK("http://slimages.macys.com/is/image/MCY/11526970 ")</f>
        <v xml:space="preserve">http://slimages.macys.com/is/image/MCY/11526970 </v>
      </c>
    </row>
    <row r="365" spans="1:12" ht="24.75" x14ac:dyDescent="0.25">
      <c r="A365" s="4" t="s">
        <v>1038</v>
      </c>
      <c r="B365" s="2" t="s">
        <v>1036</v>
      </c>
      <c r="C365" s="3">
        <v>1</v>
      </c>
      <c r="D365" s="5">
        <v>36.5</v>
      </c>
      <c r="E365" s="3" t="s">
        <v>1037</v>
      </c>
      <c r="F365" s="2" t="s">
        <v>998</v>
      </c>
      <c r="G365" s="6" t="s">
        <v>154</v>
      </c>
      <c r="H365" s="2" t="s">
        <v>194</v>
      </c>
      <c r="I365" s="2" t="s">
        <v>195</v>
      </c>
      <c r="J365" s="2" t="s">
        <v>19</v>
      </c>
      <c r="K365" s="2" t="s">
        <v>137</v>
      </c>
      <c r="L365" s="7" t="str">
        <f>HYPERLINK("http://slimages.macys.com/is/image/MCY/11526970 ")</f>
        <v xml:space="preserve">http://slimages.macys.com/is/image/MCY/11526970 </v>
      </c>
    </row>
    <row r="366" spans="1:12" ht="36.75" x14ac:dyDescent="0.25">
      <c r="A366" s="4" t="s">
        <v>1039</v>
      </c>
      <c r="B366" s="2" t="s">
        <v>1040</v>
      </c>
      <c r="C366" s="3">
        <v>1</v>
      </c>
      <c r="D366" s="5">
        <v>44.63</v>
      </c>
      <c r="E366" s="3" t="s">
        <v>1041</v>
      </c>
      <c r="F366" s="2" t="s">
        <v>57</v>
      </c>
      <c r="G366" s="6" t="s">
        <v>65</v>
      </c>
      <c r="H366" s="2" t="s">
        <v>246</v>
      </c>
      <c r="I366" s="2" t="s">
        <v>487</v>
      </c>
      <c r="J366" s="2" t="s">
        <v>19</v>
      </c>
      <c r="K366" s="2" t="s">
        <v>500</v>
      </c>
      <c r="L366" s="7" t="str">
        <f>HYPERLINK("http://slimages.macys.com/is/image/MCY/11231757 ")</f>
        <v xml:space="preserve">http://slimages.macys.com/is/image/MCY/11231757 </v>
      </c>
    </row>
    <row r="367" spans="1:12" ht="24.75" x14ac:dyDescent="0.25">
      <c r="A367" s="4" t="s">
        <v>1042</v>
      </c>
      <c r="B367" s="2" t="s">
        <v>1043</v>
      </c>
      <c r="C367" s="3">
        <v>1</v>
      </c>
      <c r="D367" s="5">
        <v>44.63</v>
      </c>
      <c r="E367" s="3" t="s">
        <v>1044</v>
      </c>
      <c r="F367" s="2" t="s">
        <v>26</v>
      </c>
      <c r="G367" s="6" t="s">
        <v>348</v>
      </c>
      <c r="H367" s="2" t="s">
        <v>349</v>
      </c>
      <c r="I367" s="2" t="s">
        <v>285</v>
      </c>
      <c r="J367" s="2" t="s">
        <v>19</v>
      </c>
      <c r="K367" s="2" t="s">
        <v>1045</v>
      </c>
      <c r="L367" s="7" t="str">
        <f>HYPERLINK("http://slimages.macys.com/is/image/MCY/12700824 ")</f>
        <v xml:space="preserve">http://slimages.macys.com/is/image/MCY/12700824 </v>
      </c>
    </row>
    <row r="368" spans="1:12" ht="24.75" x14ac:dyDescent="0.25">
      <c r="A368" s="4" t="s">
        <v>1046</v>
      </c>
      <c r="B368" s="2" t="s">
        <v>1047</v>
      </c>
      <c r="C368" s="3">
        <v>1</v>
      </c>
      <c r="D368" s="5">
        <v>34.880000000000003</v>
      </c>
      <c r="E368" s="3">
        <v>100009312</v>
      </c>
      <c r="F368" s="2" t="s">
        <v>74</v>
      </c>
      <c r="G368" s="6" t="s">
        <v>234</v>
      </c>
      <c r="H368" s="2" t="s">
        <v>194</v>
      </c>
      <c r="I368" s="2" t="s">
        <v>195</v>
      </c>
      <c r="J368" s="2" t="s">
        <v>19</v>
      </c>
      <c r="K368" s="2" t="s">
        <v>353</v>
      </c>
      <c r="L368" s="7" t="str">
        <f>HYPERLINK("http://slimages.macys.com/is/image/MCY/9603701 ")</f>
        <v xml:space="preserve">http://slimages.macys.com/is/image/MCY/9603701 </v>
      </c>
    </row>
    <row r="369" spans="1:12" ht="24.75" x14ac:dyDescent="0.25">
      <c r="A369" s="4" t="s">
        <v>1048</v>
      </c>
      <c r="B369" s="2" t="s">
        <v>1047</v>
      </c>
      <c r="C369" s="3">
        <v>1</v>
      </c>
      <c r="D369" s="5">
        <v>34.880000000000003</v>
      </c>
      <c r="E369" s="3">
        <v>100009312</v>
      </c>
      <c r="F369" s="2" t="s">
        <v>64</v>
      </c>
      <c r="G369" s="6" t="s">
        <v>234</v>
      </c>
      <c r="H369" s="2" t="s">
        <v>194</v>
      </c>
      <c r="I369" s="2" t="s">
        <v>195</v>
      </c>
      <c r="J369" s="2" t="s">
        <v>19</v>
      </c>
      <c r="K369" s="2" t="s">
        <v>353</v>
      </c>
      <c r="L369" s="7" t="str">
        <f>HYPERLINK("http://slimages.macys.com/is/image/MCY/9603701 ")</f>
        <v xml:space="preserve">http://slimages.macys.com/is/image/MCY/9603701 </v>
      </c>
    </row>
    <row r="370" spans="1:12" ht="24.75" x14ac:dyDescent="0.25">
      <c r="A370" s="4" t="s">
        <v>1049</v>
      </c>
      <c r="B370" s="2" t="s">
        <v>1050</v>
      </c>
      <c r="C370" s="3">
        <v>1</v>
      </c>
      <c r="D370" s="5">
        <v>37.130000000000003</v>
      </c>
      <c r="E370" s="3">
        <v>100054433</v>
      </c>
      <c r="F370" s="2" t="s">
        <v>74</v>
      </c>
      <c r="G370" s="6" t="s">
        <v>156</v>
      </c>
      <c r="H370" s="2" t="s">
        <v>194</v>
      </c>
      <c r="I370" s="2" t="s">
        <v>857</v>
      </c>
      <c r="J370" s="2" t="s">
        <v>19</v>
      </c>
      <c r="K370" s="2" t="s">
        <v>201</v>
      </c>
      <c r="L370" s="7" t="str">
        <f>HYPERLINK("http://slimages.macys.com/is/image/MCY/12279807 ")</f>
        <v xml:space="preserve">http://slimages.macys.com/is/image/MCY/12279807 </v>
      </c>
    </row>
    <row r="371" spans="1:12" ht="48.75" x14ac:dyDescent="0.25">
      <c r="A371" s="4" t="s">
        <v>1051</v>
      </c>
      <c r="B371" s="2" t="s">
        <v>1052</v>
      </c>
      <c r="C371" s="3">
        <v>1</v>
      </c>
      <c r="D371" s="5">
        <v>37.130000000000003</v>
      </c>
      <c r="E371" s="3">
        <v>100010668</v>
      </c>
      <c r="F371" s="2" t="s">
        <v>64</v>
      </c>
      <c r="G371" s="6" t="s">
        <v>234</v>
      </c>
      <c r="H371" s="2" t="s">
        <v>284</v>
      </c>
      <c r="I371" s="2" t="s">
        <v>408</v>
      </c>
      <c r="J371" s="2" t="s">
        <v>19</v>
      </c>
      <c r="K371" s="2" t="s">
        <v>787</v>
      </c>
      <c r="L371" s="7" t="str">
        <f>HYPERLINK("http://slimages.macys.com/is/image/MCY/9198224 ")</f>
        <v xml:space="preserve">http://slimages.macys.com/is/image/MCY/9198224 </v>
      </c>
    </row>
    <row r="372" spans="1:12" ht="24.75" x14ac:dyDescent="0.25">
      <c r="A372" s="4" t="s">
        <v>1053</v>
      </c>
      <c r="B372" s="2" t="s">
        <v>1054</v>
      </c>
      <c r="C372" s="3">
        <v>1</v>
      </c>
      <c r="D372" s="5">
        <v>36.5</v>
      </c>
      <c r="E372" s="3" t="s">
        <v>1055</v>
      </c>
      <c r="F372" s="2" t="s">
        <v>15</v>
      </c>
      <c r="G372" s="6" t="s">
        <v>234</v>
      </c>
      <c r="H372" s="2" t="s">
        <v>194</v>
      </c>
      <c r="I372" s="2" t="s">
        <v>195</v>
      </c>
      <c r="J372" s="2" t="s">
        <v>19</v>
      </c>
      <c r="K372" s="2" t="s">
        <v>438</v>
      </c>
      <c r="L372" s="7" t="str">
        <f>HYPERLINK("http://slimages.macys.com/is/image/MCY/11764614 ")</f>
        <v xml:space="preserve">http://slimages.macys.com/is/image/MCY/11764614 </v>
      </c>
    </row>
    <row r="373" spans="1:12" ht="24.75" x14ac:dyDescent="0.25">
      <c r="A373" s="4" t="s">
        <v>1056</v>
      </c>
      <c r="B373" s="2" t="s">
        <v>1054</v>
      </c>
      <c r="C373" s="3">
        <v>1</v>
      </c>
      <c r="D373" s="5">
        <v>36.5</v>
      </c>
      <c r="E373" s="3" t="s">
        <v>1055</v>
      </c>
      <c r="F373" s="2" t="s">
        <v>15</v>
      </c>
      <c r="G373" s="6" t="s">
        <v>156</v>
      </c>
      <c r="H373" s="2" t="s">
        <v>194</v>
      </c>
      <c r="I373" s="2" t="s">
        <v>195</v>
      </c>
      <c r="J373" s="2" t="s">
        <v>19</v>
      </c>
      <c r="K373" s="2" t="s">
        <v>438</v>
      </c>
      <c r="L373" s="7" t="str">
        <f>HYPERLINK("http://slimages.macys.com/is/image/MCY/11764614 ")</f>
        <v xml:space="preserve">http://slimages.macys.com/is/image/MCY/11764614 </v>
      </c>
    </row>
    <row r="374" spans="1:12" ht="24.75" x14ac:dyDescent="0.25">
      <c r="A374" s="4" t="s">
        <v>1057</v>
      </c>
      <c r="B374" s="2" t="s">
        <v>1058</v>
      </c>
      <c r="C374" s="3">
        <v>1</v>
      </c>
      <c r="D374" s="5">
        <v>39.5</v>
      </c>
      <c r="E374" s="3" t="s">
        <v>1059</v>
      </c>
      <c r="F374" s="2" t="s">
        <v>15</v>
      </c>
      <c r="G374" s="6"/>
      <c r="H374" s="2" t="s">
        <v>312</v>
      </c>
      <c r="I374" s="2" t="s">
        <v>195</v>
      </c>
      <c r="J374" s="2" t="s">
        <v>19</v>
      </c>
      <c r="K374" s="2" t="s">
        <v>438</v>
      </c>
      <c r="L374" s="7" t="str">
        <f>HYPERLINK("http://slimages.macys.com/is/image/MCY/11935984 ")</f>
        <v xml:space="preserve">http://slimages.macys.com/is/image/MCY/11935984 </v>
      </c>
    </row>
    <row r="375" spans="1:12" ht="24.75" x14ac:dyDescent="0.25">
      <c r="A375" s="4" t="s">
        <v>1060</v>
      </c>
      <c r="B375" s="2" t="s">
        <v>1058</v>
      </c>
      <c r="C375" s="3">
        <v>2</v>
      </c>
      <c r="D375" s="5">
        <v>39.5</v>
      </c>
      <c r="E375" s="3" t="s">
        <v>1059</v>
      </c>
      <c r="F375" s="2" t="s">
        <v>15</v>
      </c>
      <c r="G375" s="6"/>
      <c r="H375" s="2" t="s">
        <v>312</v>
      </c>
      <c r="I375" s="2" t="s">
        <v>195</v>
      </c>
      <c r="J375" s="2" t="s">
        <v>19</v>
      </c>
      <c r="K375" s="2" t="s">
        <v>438</v>
      </c>
      <c r="L375" s="7" t="str">
        <f>HYPERLINK("http://slimages.macys.com/is/image/MCY/11935984 ")</f>
        <v xml:space="preserve">http://slimages.macys.com/is/image/MCY/11935984 </v>
      </c>
    </row>
    <row r="376" spans="1:12" ht="24.75" x14ac:dyDescent="0.25">
      <c r="A376" s="4" t="s">
        <v>1061</v>
      </c>
      <c r="B376" s="2" t="s">
        <v>1062</v>
      </c>
      <c r="C376" s="3">
        <v>3</v>
      </c>
      <c r="D376" s="5">
        <v>36.5</v>
      </c>
      <c r="E376" s="3" t="s">
        <v>1063</v>
      </c>
      <c r="F376" s="2" t="s">
        <v>26</v>
      </c>
      <c r="G376" s="6" t="s">
        <v>154</v>
      </c>
      <c r="H376" s="2" t="s">
        <v>194</v>
      </c>
      <c r="I376" s="2" t="s">
        <v>195</v>
      </c>
      <c r="J376" s="2" t="s">
        <v>19</v>
      </c>
      <c r="K376" s="2" t="s">
        <v>247</v>
      </c>
      <c r="L376" s="7" t="str">
        <f>HYPERLINK("http://slimages.macys.com/is/image/MCY/11515386 ")</f>
        <v xml:space="preserve">http://slimages.macys.com/is/image/MCY/11515386 </v>
      </c>
    </row>
    <row r="377" spans="1:12" ht="48.75" x14ac:dyDescent="0.25">
      <c r="A377" s="4" t="s">
        <v>1064</v>
      </c>
      <c r="B377" s="2" t="s">
        <v>1065</v>
      </c>
      <c r="C377" s="3">
        <v>1</v>
      </c>
      <c r="D377" s="5">
        <v>37.130000000000003</v>
      </c>
      <c r="E377" s="3">
        <v>100016108</v>
      </c>
      <c r="F377" s="2" t="s">
        <v>417</v>
      </c>
      <c r="G377" s="6" t="s">
        <v>181</v>
      </c>
      <c r="H377" s="2" t="s">
        <v>194</v>
      </c>
      <c r="I377" s="2" t="s">
        <v>919</v>
      </c>
      <c r="J377" s="2" t="s">
        <v>19</v>
      </c>
      <c r="K377" s="2" t="s">
        <v>1066</v>
      </c>
      <c r="L377" s="7" t="str">
        <f>HYPERLINK("http://slimages.macys.com/is/image/MCY/11144334 ")</f>
        <v xml:space="preserve">http://slimages.macys.com/is/image/MCY/11144334 </v>
      </c>
    </row>
    <row r="378" spans="1:12" ht="48.75" x14ac:dyDescent="0.25">
      <c r="A378" s="4" t="s">
        <v>1067</v>
      </c>
      <c r="B378" s="2" t="s">
        <v>1065</v>
      </c>
      <c r="C378" s="3">
        <v>1</v>
      </c>
      <c r="D378" s="5">
        <v>37.130000000000003</v>
      </c>
      <c r="E378" s="3">
        <v>100016108</v>
      </c>
      <c r="F378" s="2" t="s">
        <v>417</v>
      </c>
      <c r="G378" s="6" t="s">
        <v>245</v>
      </c>
      <c r="H378" s="2" t="s">
        <v>194</v>
      </c>
      <c r="I378" s="2" t="s">
        <v>919</v>
      </c>
      <c r="J378" s="2" t="s">
        <v>19</v>
      </c>
      <c r="K378" s="2" t="s">
        <v>1066</v>
      </c>
      <c r="L378" s="7" t="str">
        <f>HYPERLINK("http://slimages.macys.com/is/image/MCY/11144334 ")</f>
        <v xml:space="preserve">http://slimages.macys.com/is/image/MCY/11144334 </v>
      </c>
    </row>
    <row r="379" spans="1:12" ht="24.75" x14ac:dyDescent="0.25">
      <c r="A379" s="4" t="s">
        <v>1068</v>
      </c>
      <c r="B379" s="2" t="s">
        <v>1069</v>
      </c>
      <c r="C379" s="3">
        <v>1</v>
      </c>
      <c r="D379" s="5">
        <v>34.5</v>
      </c>
      <c r="E379" s="3">
        <v>100050028</v>
      </c>
      <c r="F379" s="2" t="s">
        <v>180</v>
      </c>
      <c r="G379" s="6" t="s">
        <v>27</v>
      </c>
      <c r="H379" s="2" t="s">
        <v>228</v>
      </c>
      <c r="I379" s="2" t="s">
        <v>229</v>
      </c>
      <c r="J379" s="2" t="s">
        <v>19</v>
      </c>
      <c r="K379" s="2" t="s">
        <v>353</v>
      </c>
      <c r="L379" s="7" t="str">
        <f>HYPERLINK("http://slimages.macys.com/is/image/MCY/11527150 ")</f>
        <v xml:space="preserve">http://slimages.macys.com/is/image/MCY/11527150 </v>
      </c>
    </row>
    <row r="380" spans="1:12" ht="24.75" x14ac:dyDescent="0.25">
      <c r="A380" s="4" t="s">
        <v>1070</v>
      </c>
      <c r="B380" s="2" t="s">
        <v>898</v>
      </c>
      <c r="C380" s="3">
        <v>1</v>
      </c>
      <c r="D380" s="5">
        <v>37.130000000000003</v>
      </c>
      <c r="E380" s="3">
        <v>100009193</v>
      </c>
      <c r="F380" s="2" t="s">
        <v>506</v>
      </c>
      <c r="G380" s="6" t="s">
        <v>16</v>
      </c>
      <c r="H380" s="2" t="s">
        <v>194</v>
      </c>
      <c r="I380" s="2" t="s">
        <v>503</v>
      </c>
      <c r="J380" s="2" t="s">
        <v>19</v>
      </c>
      <c r="K380" s="2" t="s">
        <v>353</v>
      </c>
      <c r="L380" s="7" t="str">
        <f>HYPERLINK("http://slimages.macys.com/is/image/MCY/11804644 ")</f>
        <v xml:space="preserve">http://slimages.macys.com/is/image/MCY/11804644 </v>
      </c>
    </row>
    <row r="381" spans="1:12" ht="24.75" x14ac:dyDescent="0.25">
      <c r="A381" s="4" t="s">
        <v>1071</v>
      </c>
      <c r="B381" s="2" t="s">
        <v>898</v>
      </c>
      <c r="C381" s="3">
        <v>1</v>
      </c>
      <c r="D381" s="5">
        <v>37.130000000000003</v>
      </c>
      <c r="E381" s="3">
        <v>100009193</v>
      </c>
      <c r="F381" s="2" t="s">
        <v>506</v>
      </c>
      <c r="G381" s="6" t="s">
        <v>141</v>
      </c>
      <c r="H381" s="2" t="s">
        <v>194</v>
      </c>
      <c r="I381" s="2" t="s">
        <v>503</v>
      </c>
      <c r="J381" s="2" t="s">
        <v>19</v>
      </c>
      <c r="K381" s="2" t="s">
        <v>353</v>
      </c>
      <c r="L381" s="7" t="str">
        <f>HYPERLINK("http://slimages.macys.com/is/image/MCY/11804644 ")</f>
        <v xml:space="preserve">http://slimages.macys.com/is/image/MCY/11804644 </v>
      </c>
    </row>
    <row r="382" spans="1:12" ht="24.75" x14ac:dyDescent="0.25">
      <c r="A382" s="4" t="s">
        <v>1072</v>
      </c>
      <c r="B382" s="2" t="s">
        <v>898</v>
      </c>
      <c r="C382" s="3">
        <v>1</v>
      </c>
      <c r="D382" s="5">
        <v>37.130000000000003</v>
      </c>
      <c r="E382" s="3">
        <v>100009193</v>
      </c>
      <c r="F382" s="2" t="s">
        <v>15</v>
      </c>
      <c r="G382" s="6" t="s">
        <v>141</v>
      </c>
      <c r="H382" s="2" t="s">
        <v>194</v>
      </c>
      <c r="I382" s="2" t="s">
        <v>503</v>
      </c>
      <c r="J382" s="2" t="s">
        <v>19</v>
      </c>
      <c r="K382" s="2" t="s">
        <v>353</v>
      </c>
      <c r="L382" s="7" t="str">
        <f>HYPERLINK("http://slimages.macys.com/is/image/MCY/11804644 ")</f>
        <v xml:space="preserve">http://slimages.macys.com/is/image/MCY/11804644 </v>
      </c>
    </row>
    <row r="383" spans="1:12" ht="24.75" x14ac:dyDescent="0.25">
      <c r="A383" s="4" t="s">
        <v>1073</v>
      </c>
      <c r="B383" s="2" t="s">
        <v>898</v>
      </c>
      <c r="C383" s="3">
        <v>1</v>
      </c>
      <c r="D383" s="5">
        <v>37.130000000000003</v>
      </c>
      <c r="E383" s="3">
        <v>100009193</v>
      </c>
      <c r="F383" s="2" t="s">
        <v>15</v>
      </c>
      <c r="G383" s="6" t="s">
        <v>65</v>
      </c>
      <c r="H383" s="2" t="s">
        <v>194</v>
      </c>
      <c r="I383" s="2" t="s">
        <v>503</v>
      </c>
      <c r="J383" s="2" t="s">
        <v>19</v>
      </c>
      <c r="K383" s="2" t="s">
        <v>353</v>
      </c>
      <c r="L383" s="7" t="str">
        <f>HYPERLINK("http://slimages.macys.com/is/image/MCY/11804644 ")</f>
        <v xml:space="preserve">http://slimages.macys.com/is/image/MCY/11804644 </v>
      </c>
    </row>
    <row r="384" spans="1:12" ht="24.75" x14ac:dyDescent="0.25">
      <c r="A384" s="4" t="s">
        <v>1074</v>
      </c>
      <c r="B384" s="2" t="s">
        <v>898</v>
      </c>
      <c r="C384" s="3">
        <v>1</v>
      </c>
      <c r="D384" s="5">
        <v>37.130000000000003</v>
      </c>
      <c r="E384" s="3">
        <v>100009193</v>
      </c>
      <c r="F384" s="2" t="s">
        <v>506</v>
      </c>
      <c r="G384" s="6" t="s">
        <v>22</v>
      </c>
      <c r="H384" s="2" t="s">
        <v>194</v>
      </c>
      <c r="I384" s="2" t="s">
        <v>503</v>
      </c>
      <c r="J384" s="2" t="s">
        <v>19</v>
      </c>
      <c r="K384" s="2" t="s">
        <v>353</v>
      </c>
      <c r="L384" s="7" t="str">
        <f>HYPERLINK("http://slimages.macys.com/is/image/MCY/11804644 ")</f>
        <v xml:space="preserve">http://slimages.macys.com/is/image/MCY/11804644 </v>
      </c>
    </row>
    <row r="385" spans="1:12" x14ac:dyDescent="0.25">
      <c r="A385" s="4" t="s">
        <v>1075</v>
      </c>
      <c r="B385" s="2" t="s">
        <v>1076</v>
      </c>
      <c r="C385" s="3">
        <v>1</v>
      </c>
      <c r="D385" s="5">
        <v>59.5</v>
      </c>
      <c r="E385" s="3">
        <v>100064580</v>
      </c>
      <c r="F385" s="2" t="s">
        <v>252</v>
      </c>
      <c r="G385" s="6" t="s">
        <v>27</v>
      </c>
      <c r="H385" s="2" t="s">
        <v>386</v>
      </c>
      <c r="I385" s="2" t="s">
        <v>207</v>
      </c>
      <c r="J385" s="2" t="s">
        <v>19</v>
      </c>
      <c r="K385" s="2" t="s">
        <v>353</v>
      </c>
      <c r="L385" s="7" t="str">
        <f>HYPERLINK("http://slimages.macys.com/is/image/MCY/13080473 ")</f>
        <v xml:space="preserve">http://slimages.macys.com/is/image/MCY/13080473 </v>
      </c>
    </row>
    <row r="386" spans="1:12" ht="24.75" x14ac:dyDescent="0.25">
      <c r="A386" s="4" t="s">
        <v>1077</v>
      </c>
      <c r="B386" s="2" t="s">
        <v>1078</v>
      </c>
      <c r="C386" s="3">
        <v>1</v>
      </c>
      <c r="D386" s="5">
        <v>34.5</v>
      </c>
      <c r="E386" s="3">
        <v>100032353</v>
      </c>
      <c r="F386" s="2" t="s">
        <v>417</v>
      </c>
      <c r="G386" s="6" t="s">
        <v>22</v>
      </c>
      <c r="H386" s="2" t="s">
        <v>228</v>
      </c>
      <c r="I386" s="2" t="s">
        <v>229</v>
      </c>
      <c r="J386" s="2" t="s">
        <v>19</v>
      </c>
      <c r="K386" s="2" t="s">
        <v>230</v>
      </c>
      <c r="L386" s="7" t="str">
        <f>HYPERLINK("http://slimages.macys.com/is/image/MCY/10985401 ")</f>
        <v xml:space="preserve">http://slimages.macys.com/is/image/MCY/10985401 </v>
      </c>
    </row>
    <row r="387" spans="1:12" ht="24.75" x14ac:dyDescent="0.25">
      <c r="A387" s="4" t="s">
        <v>1079</v>
      </c>
      <c r="B387" s="2" t="s">
        <v>1080</v>
      </c>
      <c r="C387" s="3">
        <v>1</v>
      </c>
      <c r="D387" s="5">
        <v>33.380000000000003</v>
      </c>
      <c r="E387" s="3" t="s">
        <v>1081</v>
      </c>
      <c r="F387" s="2" t="s">
        <v>252</v>
      </c>
      <c r="G387" s="6" t="s">
        <v>245</v>
      </c>
      <c r="H387" s="2" t="s">
        <v>194</v>
      </c>
      <c r="I387" s="2" t="s">
        <v>195</v>
      </c>
      <c r="J387" s="2" t="s">
        <v>19</v>
      </c>
      <c r="K387" s="2" t="s">
        <v>1082</v>
      </c>
      <c r="L387" s="7" t="str">
        <f>HYPERLINK("http://slimages.macys.com/is/image/MCY/13120798 ")</f>
        <v xml:space="preserve">http://slimages.macys.com/is/image/MCY/13120798 </v>
      </c>
    </row>
    <row r="388" spans="1:12" ht="24.75" x14ac:dyDescent="0.25">
      <c r="A388" s="4" t="s">
        <v>1083</v>
      </c>
      <c r="B388" s="2" t="s">
        <v>1084</v>
      </c>
      <c r="C388" s="3">
        <v>1</v>
      </c>
      <c r="D388" s="5">
        <v>32.99</v>
      </c>
      <c r="E388" s="3">
        <v>3380976</v>
      </c>
      <c r="F388" s="2" t="s">
        <v>417</v>
      </c>
      <c r="G388" s="6" t="s">
        <v>1085</v>
      </c>
      <c r="H388" s="2" t="s">
        <v>1086</v>
      </c>
      <c r="I388" s="2" t="s">
        <v>1087</v>
      </c>
      <c r="J388" s="2" t="s">
        <v>19</v>
      </c>
      <c r="K388" s="2" t="s">
        <v>1088</v>
      </c>
      <c r="L388" s="7" t="str">
        <f>HYPERLINK("http://slimages.macys.com/is/image/MCY/11635783 ")</f>
        <v xml:space="preserve">http://slimages.macys.com/is/image/MCY/11635783 </v>
      </c>
    </row>
    <row r="389" spans="1:12" ht="24.75" x14ac:dyDescent="0.25">
      <c r="A389" s="4" t="s">
        <v>1089</v>
      </c>
      <c r="B389" s="2" t="s">
        <v>1090</v>
      </c>
      <c r="C389" s="3">
        <v>1</v>
      </c>
      <c r="D389" s="5">
        <v>34.5</v>
      </c>
      <c r="E389" s="3" t="s">
        <v>1091</v>
      </c>
      <c r="F389" s="2" t="s">
        <v>111</v>
      </c>
      <c r="G389" s="6"/>
      <c r="H389" s="2" t="s">
        <v>426</v>
      </c>
      <c r="I389" s="2" t="s">
        <v>229</v>
      </c>
      <c r="J389" s="2" t="s">
        <v>19</v>
      </c>
      <c r="K389" s="2" t="s">
        <v>383</v>
      </c>
      <c r="L389" s="7" t="str">
        <f>HYPERLINK("http://slimages.macys.com/is/image/MCY/11804183 ")</f>
        <v xml:space="preserve">http://slimages.macys.com/is/image/MCY/11804183 </v>
      </c>
    </row>
    <row r="390" spans="1:12" ht="24.75" x14ac:dyDescent="0.25">
      <c r="A390" s="4" t="s">
        <v>1092</v>
      </c>
      <c r="B390" s="2" t="s">
        <v>1093</v>
      </c>
      <c r="C390" s="3">
        <v>1</v>
      </c>
      <c r="D390" s="5">
        <v>37.130000000000003</v>
      </c>
      <c r="E390" s="3">
        <v>100018042</v>
      </c>
      <c r="F390" s="2" t="s">
        <v>376</v>
      </c>
      <c r="G390" s="6" t="s">
        <v>58</v>
      </c>
      <c r="H390" s="2" t="s">
        <v>194</v>
      </c>
      <c r="I390" s="2" t="s">
        <v>195</v>
      </c>
      <c r="J390" s="2" t="s">
        <v>19</v>
      </c>
      <c r="K390" s="2" t="s">
        <v>353</v>
      </c>
      <c r="L390" s="7" t="str">
        <f>HYPERLINK("http://slimages.macys.com/is/image/MCY/9693642 ")</f>
        <v xml:space="preserve">http://slimages.macys.com/is/image/MCY/9693642 </v>
      </c>
    </row>
    <row r="391" spans="1:12" ht="24.75" x14ac:dyDescent="0.25">
      <c r="A391" s="4" t="s">
        <v>1094</v>
      </c>
      <c r="B391" s="2" t="s">
        <v>1093</v>
      </c>
      <c r="C391" s="3">
        <v>1</v>
      </c>
      <c r="D391" s="5">
        <v>37.130000000000003</v>
      </c>
      <c r="E391" s="3">
        <v>100018042</v>
      </c>
      <c r="F391" s="2" t="s">
        <v>376</v>
      </c>
      <c r="G391" s="6" t="s">
        <v>112</v>
      </c>
      <c r="H391" s="2" t="s">
        <v>194</v>
      </c>
      <c r="I391" s="2" t="s">
        <v>195</v>
      </c>
      <c r="J391" s="2" t="s">
        <v>19</v>
      </c>
      <c r="K391" s="2" t="s">
        <v>353</v>
      </c>
      <c r="L391" s="7" t="str">
        <f>HYPERLINK("http://slimages.macys.com/is/image/MCY/9693642 ")</f>
        <v xml:space="preserve">http://slimages.macys.com/is/image/MCY/9693642 </v>
      </c>
    </row>
    <row r="392" spans="1:12" ht="24.75" x14ac:dyDescent="0.25">
      <c r="A392" s="4" t="s">
        <v>1095</v>
      </c>
      <c r="B392" s="2" t="s">
        <v>1093</v>
      </c>
      <c r="C392" s="3">
        <v>4</v>
      </c>
      <c r="D392" s="5">
        <v>37.130000000000003</v>
      </c>
      <c r="E392" s="3">
        <v>100018042</v>
      </c>
      <c r="F392" s="2" t="s">
        <v>376</v>
      </c>
      <c r="G392" s="6" t="s">
        <v>27</v>
      </c>
      <c r="H392" s="2" t="s">
        <v>194</v>
      </c>
      <c r="I392" s="2" t="s">
        <v>195</v>
      </c>
      <c r="J392" s="2" t="s">
        <v>19</v>
      </c>
      <c r="K392" s="2" t="s">
        <v>353</v>
      </c>
      <c r="L392" s="7" t="str">
        <f>HYPERLINK("http://slimages.macys.com/is/image/MCY/9693642 ")</f>
        <v xml:space="preserve">http://slimages.macys.com/is/image/MCY/9693642 </v>
      </c>
    </row>
    <row r="393" spans="1:12" ht="24.75" x14ac:dyDescent="0.25">
      <c r="A393" s="4" t="s">
        <v>1096</v>
      </c>
      <c r="B393" s="2" t="s">
        <v>1097</v>
      </c>
      <c r="C393" s="3">
        <v>1</v>
      </c>
      <c r="D393" s="5">
        <v>44.63</v>
      </c>
      <c r="E393" s="3" t="s">
        <v>1098</v>
      </c>
      <c r="F393" s="2" t="s">
        <v>413</v>
      </c>
      <c r="G393" s="6"/>
      <c r="H393" s="2" t="s">
        <v>632</v>
      </c>
      <c r="I393" s="2" t="s">
        <v>285</v>
      </c>
      <c r="J393" s="2" t="s">
        <v>19</v>
      </c>
      <c r="K393" s="2" t="s">
        <v>442</v>
      </c>
      <c r="L393" s="7" t="str">
        <f>HYPERLINK("http://slimages.macys.com/is/image/MCY/11623754 ")</f>
        <v xml:space="preserve">http://slimages.macys.com/is/image/MCY/11623754 </v>
      </c>
    </row>
    <row r="394" spans="1:12" ht="24.75" x14ac:dyDescent="0.25">
      <c r="A394" s="4" t="s">
        <v>1099</v>
      </c>
      <c r="B394" s="2" t="s">
        <v>1097</v>
      </c>
      <c r="C394" s="3">
        <v>1</v>
      </c>
      <c r="D394" s="5">
        <v>44.63</v>
      </c>
      <c r="E394" s="3" t="s">
        <v>1098</v>
      </c>
      <c r="F394" s="2" t="s">
        <v>413</v>
      </c>
      <c r="G394" s="6" t="s">
        <v>794</v>
      </c>
      <c r="H394" s="2" t="s">
        <v>632</v>
      </c>
      <c r="I394" s="2" t="s">
        <v>285</v>
      </c>
      <c r="J394" s="2" t="s">
        <v>19</v>
      </c>
      <c r="K394" s="2" t="s">
        <v>442</v>
      </c>
      <c r="L394" s="7" t="str">
        <f>HYPERLINK("http://slimages.macys.com/is/image/MCY/11623754 ")</f>
        <v xml:space="preserve">http://slimages.macys.com/is/image/MCY/11623754 </v>
      </c>
    </row>
    <row r="395" spans="1:12" x14ac:dyDescent="0.25">
      <c r="A395" s="4" t="s">
        <v>1100</v>
      </c>
      <c r="B395" s="2" t="s">
        <v>1101</v>
      </c>
      <c r="C395" s="3">
        <v>2</v>
      </c>
      <c r="D395" s="5">
        <v>39.5</v>
      </c>
      <c r="E395" s="3" t="s">
        <v>1102</v>
      </c>
      <c r="F395" s="2" t="s">
        <v>506</v>
      </c>
      <c r="G395" s="6"/>
      <c r="H395" s="2" t="s">
        <v>206</v>
      </c>
      <c r="I395" s="2" t="s">
        <v>207</v>
      </c>
      <c r="J395" s="2" t="s">
        <v>19</v>
      </c>
      <c r="K395" s="2" t="s">
        <v>160</v>
      </c>
      <c r="L395" s="7" t="str">
        <f>HYPERLINK("http://slimages.macys.com/is/image/MCY/10453045 ")</f>
        <v xml:space="preserve">http://slimages.macys.com/is/image/MCY/10453045 </v>
      </c>
    </row>
    <row r="396" spans="1:12" x14ac:dyDescent="0.25">
      <c r="A396" s="4" t="s">
        <v>1103</v>
      </c>
      <c r="B396" s="2" t="s">
        <v>1101</v>
      </c>
      <c r="C396" s="3">
        <v>1</v>
      </c>
      <c r="D396" s="5">
        <v>39.5</v>
      </c>
      <c r="E396" s="3" t="s">
        <v>1102</v>
      </c>
      <c r="F396" s="2" t="s">
        <v>506</v>
      </c>
      <c r="G396" s="6"/>
      <c r="H396" s="2" t="s">
        <v>206</v>
      </c>
      <c r="I396" s="2" t="s">
        <v>207</v>
      </c>
      <c r="J396" s="2" t="s">
        <v>19</v>
      </c>
      <c r="K396" s="2" t="s">
        <v>160</v>
      </c>
      <c r="L396" s="7" t="str">
        <f>HYPERLINK("http://slimages.macys.com/is/image/MCY/10453045 ")</f>
        <v xml:space="preserve">http://slimages.macys.com/is/image/MCY/10453045 </v>
      </c>
    </row>
    <row r="397" spans="1:12" ht="36.75" x14ac:dyDescent="0.25">
      <c r="A397" s="4" t="s">
        <v>1104</v>
      </c>
      <c r="B397" s="2" t="s">
        <v>969</v>
      </c>
      <c r="C397" s="3">
        <v>1</v>
      </c>
      <c r="D397" s="5">
        <v>37.130000000000003</v>
      </c>
      <c r="E397" s="3">
        <v>100026210</v>
      </c>
      <c r="F397" s="2" t="s">
        <v>752</v>
      </c>
      <c r="G397" s="6" t="s">
        <v>234</v>
      </c>
      <c r="H397" s="2" t="s">
        <v>194</v>
      </c>
      <c r="I397" s="2" t="s">
        <v>195</v>
      </c>
      <c r="J397" s="2" t="s">
        <v>19</v>
      </c>
      <c r="K397" s="2" t="s">
        <v>965</v>
      </c>
      <c r="L397" s="7" t="str">
        <f>HYPERLINK("http://slimages.macys.com/is/image/MCY/9714233 ")</f>
        <v xml:space="preserve">http://slimages.macys.com/is/image/MCY/9714233 </v>
      </c>
    </row>
    <row r="398" spans="1:12" ht="24.75" x14ac:dyDescent="0.25">
      <c r="A398" s="4" t="s">
        <v>1105</v>
      </c>
      <c r="B398" s="2" t="s">
        <v>1106</v>
      </c>
      <c r="C398" s="3">
        <v>1</v>
      </c>
      <c r="D398" s="5">
        <v>32.5</v>
      </c>
      <c r="E398" s="3" t="s">
        <v>1107</v>
      </c>
      <c r="F398" s="2" t="s">
        <v>15</v>
      </c>
      <c r="G398" s="6" t="s">
        <v>181</v>
      </c>
      <c r="H398" s="2" t="s">
        <v>194</v>
      </c>
      <c r="I398" s="2" t="s">
        <v>195</v>
      </c>
      <c r="J398" s="2" t="s">
        <v>19</v>
      </c>
      <c r="K398" s="2" t="s">
        <v>1108</v>
      </c>
      <c r="L398" s="7" t="str">
        <f>HYPERLINK("http://slimages.macys.com/is/image/MCY/11764459 ")</f>
        <v xml:space="preserve">http://slimages.macys.com/is/image/MCY/11764459 </v>
      </c>
    </row>
    <row r="399" spans="1:12" ht="24.75" x14ac:dyDescent="0.25">
      <c r="A399" s="4" t="s">
        <v>1109</v>
      </c>
      <c r="B399" s="2" t="s">
        <v>1110</v>
      </c>
      <c r="C399" s="3">
        <v>1</v>
      </c>
      <c r="D399" s="5">
        <v>27.99</v>
      </c>
      <c r="E399" s="3" t="s">
        <v>1111</v>
      </c>
      <c r="F399" s="2"/>
      <c r="G399" s="6" t="s">
        <v>418</v>
      </c>
      <c r="H399" s="2" t="s">
        <v>312</v>
      </c>
      <c r="I399" s="2" t="s">
        <v>1112</v>
      </c>
      <c r="J399" s="2" t="s">
        <v>19</v>
      </c>
      <c r="K399" s="2" t="s">
        <v>137</v>
      </c>
      <c r="L399" s="7" t="str">
        <f>HYPERLINK("http://slimages.macys.com/is/image/MCY/3510256 ")</f>
        <v xml:space="preserve">http://slimages.macys.com/is/image/MCY/3510256 </v>
      </c>
    </row>
    <row r="400" spans="1:12" ht="24.75" x14ac:dyDescent="0.25">
      <c r="A400" s="4" t="s">
        <v>1113</v>
      </c>
      <c r="B400" s="2" t="s">
        <v>1114</v>
      </c>
      <c r="C400" s="3">
        <v>1</v>
      </c>
      <c r="D400" s="5">
        <v>37.130000000000003</v>
      </c>
      <c r="E400" s="3">
        <v>100042369</v>
      </c>
      <c r="F400" s="2" t="s">
        <v>57</v>
      </c>
      <c r="G400" s="6" t="s">
        <v>27</v>
      </c>
      <c r="H400" s="2" t="s">
        <v>194</v>
      </c>
      <c r="I400" s="2" t="s">
        <v>195</v>
      </c>
      <c r="J400" s="2" t="s">
        <v>19</v>
      </c>
      <c r="K400" s="2" t="s">
        <v>353</v>
      </c>
      <c r="L400" s="7" t="str">
        <f>HYPERLINK("http://slimages.macys.com/is/image/MCY/11934953 ")</f>
        <v xml:space="preserve">http://slimages.macys.com/is/image/MCY/11934953 </v>
      </c>
    </row>
    <row r="401" spans="1:12" ht="24.75" x14ac:dyDescent="0.25">
      <c r="A401" s="4" t="s">
        <v>1115</v>
      </c>
      <c r="B401" s="2" t="s">
        <v>1114</v>
      </c>
      <c r="C401" s="3">
        <v>1</v>
      </c>
      <c r="D401" s="5">
        <v>37.130000000000003</v>
      </c>
      <c r="E401" s="3">
        <v>100042369</v>
      </c>
      <c r="F401" s="2" t="s">
        <v>94</v>
      </c>
      <c r="G401" s="6" t="s">
        <v>22</v>
      </c>
      <c r="H401" s="2" t="s">
        <v>194</v>
      </c>
      <c r="I401" s="2" t="s">
        <v>195</v>
      </c>
      <c r="J401" s="2" t="s">
        <v>19</v>
      </c>
      <c r="K401" s="2" t="s">
        <v>353</v>
      </c>
      <c r="L401" s="7" t="str">
        <f>HYPERLINK("http://slimages.macys.com/is/image/MCY/11934953 ")</f>
        <v xml:space="preserve">http://slimages.macys.com/is/image/MCY/11934953 </v>
      </c>
    </row>
    <row r="402" spans="1:12" ht="24.75" x14ac:dyDescent="0.25">
      <c r="A402" s="4" t="s">
        <v>1116</v>
      </c>
      <c r="B402" s="2" t="s">
        <v>1114</v>
      </c>
      <c r="C402" s="3">
        <v>1</v>
      </c>
      <c r="D402" s="5">
        <v>37.130000000000003</v>
      </c>
      <c r="E402" s="3">
        <v>100042369</v>
      </c>
      <c r="F402" s="2" t="s">
        <v>64</v>
      </c>
      <c r="G402" s="6" t="s">
        <v>22</v>
      </c>
      <c r="H402" s="2" t="s">
        <v>194</v>
      </c>
      <c r="I402" s="2" t="s">
        <v>195</v>
      </c>
      <c r="J402" s="2"/>
      <c r="K402" s="2"/>
      <c r="L402" s="7" t="str">
        <f>HYPERLINK("http://slimages.macys.com/is/image/MCY/11934939 ")</f>
        <v xml:space="preserve">http://slimages.macys.com/is/image/MCY/11934939 </v>
      </c>
    </row>
    <row r="403" spans="1:12" ht="24.75" x14ac:dyDescent="0.25">
      <c r="A403" s="4" t="s">
        <v>1117</v>
      </c>
      <c r="B403" s="2" t="s">
        <v>1118</v>
      </c>
      <c r="C403" s="3">
        <v>2</v>
      </c>
      <c r="D403" s="5">
        <v>37.130000000000003</v>
      </c>
      <c r="E403" s="3">
        <v>100070736</v>
      </c>
      <c r="F403" s="2" t="s">
        <v>376</v>
      </c>
      <c r="G403" s="6" t="s">
        <v>156</v>
      </c>
      <c r="H403" s="2" t="s">
        <v>194</v>
      </c>
      <c r="I403" s="2" t="s">
        <v>195</v>
      </c>
      <c r="J403" s="2" t="s">
        <v>19</v>
      </c>
      <c r="K403" s="2" t="s">
        <v>353</v>
      </c>
      <c r="L403" s="7" t="str">
        <f t="shared" ref="L403:L411" si="3">HYPERLINK("http://slimages.macys.com/is/image/MCY/13120823 ")</f>
        <v xml:space="preserve">http://slimages.macys.com/is/image/MCY/13120823 </v>
      </c>
    </row>
    <row r="404" spans="1:12" ht="24.75" x14ac:dyDescent="0.25">
      <c r="A404" s="4" t="s">
        <v>1119</v>
      </c>
      <c r="B404" s="2" t="s">
        <v>1118</v>
      </c>
      <c r="C404" s="3">
        <v>1</v>
      </c>
      <c r="D404" s="5">
        <v>37.130000000000003</v>
      </c>
      <c r="E404" s="3">
        <v>100070736</v>
      </c>
      <c r="F404" s="2" t="s">
        <v>74</v>
      </c>
      <c r="G404" s="6" t="s">
        <v>245</v>
      </c>
      <c r="H404" s="2" t="s">
        <v>194</v>
      </c>
      <c r="I404" s="2" t="s">
        <v>195</v>
      </c>
      <c r="J404" s="2" t="s">
        <v>19</v>
      </c>
      <c r="K404" s="2" t="s">
        <v>353</v>
      </c>
      <c r="L404" s="7" t="str">
        <f t="shared" si="3"/>
        <v xml:space="preserve">http://slimages.macys.com/is/image/MCY/13120823 </v>
      </c>
    </row>
    <row r="405" spans="1:12" ht="24.75" x14ac:dyDescent="0.25">
      <c r="A405" s="4" t="s">
        <v>1120</v>
      </c>
      <c r="B405" s="2" t="s">
        <v>1118</v>
      </c>
      <c r="C405" s="3">
        <v>3</v>
      </c>
      <c r="D405" s="5">
        <v>37.130000000000003</v>
      </c>
      <c r="E405" s="3">
        <v>100070736</v>
      </c>
      <c r="F405" s="2" t="s">
        <v>376</v>
      </c>
      <c r="G405" s="6" t="s">
        <v>154</v>
      </c>
      <c r="H405" s="2" t="s">
        <v>194</v>
      </c>
      <c r="I405" s="2" t="s">
        <v>195</v>
      </c>
      <c r="J405" s="2" t="s">
        <v>19</v>
      </c>
      <c r="K405" s="2" t="s">
        <v>353</v>
      </c>
      <c r="L405" s="7" t="str">
        <f t="shared" si="3"/>
        <v xml:space="preserve">http://slimages.macys.com/is/image/MCY/13120823 </v>
      </c>
    </row>
    <row r="406" spans="1:12" ht="24.75" x14ac:dyDescent="0.25">
      <c r="A406" s="4" t="s">
        <v>1121</v>
      </c>
      <c r="B406" s="2" t="s">
        <v>1118</v>
      </c>
      <c r="C406" s="3">
        <v>2</v>
      </c>
      <c r="D406" s="5">
        <v>37.130000000000003</v>
      </c>
      <c r="E406" s="3">
        <v>100070736</v>
      </c>
      <c r="F406" s="2" t="s">
        <v>376</v>
      </c>
      <c r="G406" s="6" t="s">
        <v>234</v>
      </c>
      <c r="H406" s="2" t="s">
        <v>194</v>
      </c>
      <c r="I406" s="2" t="s">
        <v>195</v>
      </c>
      <c r="J406" s="2" t="s">
        <v>19</v>
      </c>
      <c r="K406" s="2" t="s">
        <v>353</v>
      </c>
      <c r="L406" s="7" t="str">
        <f t="shared" si="3"/>
        <v xml:space="preserve">http://slimages.macys.com/is/image/MCY/13120823 </v>
      </c>
    </row>
    <row r="407" spans="1:12" ht="24.75" x14ac:dyDescent="0.25">
      <c r="A407" s="4" t="s">
        <v>1122</v>
      </c>
      <c r="B407" s="2" t="s">
        <v>1118</v>
      </c>
      <c r="C407" s="3">
        <v>2</v>
      </c>
      <c r="D407" s="5">
        <v>37.130000000000003</v>
      </c>
      <c r="E407" s="3">
        <v>100070736</v>
      </c>
      <c r="F407" s="2" t="s">
        <v>376</v>
      </c>
      <c r="G407" s="6" t="s">
        <v>181</v>
      </c>
      <c r="H407" s="2" t="s">
        <v>194</v>
      </c>
      <c r="I407" s="2" t="s">
        <v>195</v>
      </c>
      <c r="J407" s="2" t="s">
        <v>19</v>
      </c>
      <c r="K407" s="2" t="s">
        <v>353</v>
      </c>
      <c r="L407" s="7" t="str">
        <f t="shared" si="3"/>
        <v xml:space="preserve">http://slimages.macys.com/is/image/MCY/13120823 </v>
      </c>
    </row>
    <row r="408" spans="1:12" ht="24.75" x14ac:dyDescent="0.25">
      <c r="A408" s="4" t="s">
        <v>1123</v>
      </c>
      <c r="B408" s="2" t="s">
        <v>1118</v>
      </c>
      <c r="C408" s="3">
        <v>1</v>
      </c>
      <c r="D408" s="5">
        <v>37.130000000000003</v>
      </c>
      <c r="E408" s="3">
        <v>100070736</v>
      </c>
      <c r="F408" s="2" t="s">
        <v>74</v>
      </c>
      <c r="G408" s="6" t="s">
        <v>156</v>
      </c>
      <c r="H408" s="2" t="s">
        <v>194</v>
      </c>
      <c r="I408" s="2" t="s">
        <v>195</v>
      </c>
      <c r="J408" s="2" t="s">
        <v>19</v>
      </c>
      <c r="K408" s="2" t="s">
        <v>353</v>
      </c>
      <c r="L408" s="7" t="str">
        <f t="shared" si="3"/>
        <v xml:space="preserve">http://slimages.macys.com/is/image/MCY/13120823 </v>
      </c>
    </row>
    <row r="409" spans="1:12" ht="24.75" x14ac:dyDescent="0.25">
      <c r="A409" s="4" t="s">
        <v>1124</v>
      </c>
      <c r="B409" s="2" t="s">
        <v>1118</v>
      </c>
      <c r="C409" s="3">
        <v>2</v>
      </c>
      <c r="D409" s="5">
        <v>37.130000000000003</v>
      </c>
      <c r="E409" s="3">
        <v>100070736</v>
      </c>
      <c r="F409" s="2" t="s">
        <v>74</v>
      </c>
      <c r="G409" s="6" t="s">
        <v>234</v>
      </c>
      <c r="H409" s="2" t="s">
        <v>194</v>
      </c>
      <c r="I409" s="2" t="s">
        <v>195</v>
      </c>
      <c r="J409" s="2" t="s">
        <v>19</v>
      </c>
      <c r="K409" s="2" t="s">
        <v>353</v>
      </c>
      <c r="L409" s="7" t="str">
        <f t="shared" si="3"/>
        <v xml:space="preserve">http://slimages.macys.com/is/image/MCY/13120823 </v>
      </c>
    </row>
    <row r="410" spans="1:12" ht="24.75" x14ac:dyDescent="0.25">
      <c r="A410" s="4" t="s">
        <v>1125</v>
      </c>
      <c r="B410" s="2" t="s">
        <v>1118</v>
      </c>
      <c r="C410" s="3">
        <v>2</v>
      </c>
      <c r="D410" s="5">
        <v>37.130000000000003</v>
      </c>
      <c r="E410" s="3">
        <v>100070736</v>
      </c>
      <c r="F410" s="2" t="s">
        <v>74</v>
      </c>
      <c r="G410" s="6" t="s">
        <v>181</v>
      </c>
      <c r="H410" s="2" t="s">
        <v>194</v>
      </c>
      <c r="I410" s="2" t="s">
        <v>195</v>
      </c>
      <c r="J410" s="2" t="s">
        <v>19</v>
      </c>
      <c r="K410" s="2" t="s">
        <v>353</v>
      </c>
      <c r="L410" s="7" t="str">
        <f t="shared" si="3"/>
        <v xml:space="preserve">http://slimages.macys.com/is/image/MCY/13120823 </v>
      </c>
    </row>
    <row r="411" spans="1:12" ht="24.75" x14ac:dyDescent="0.25">
      <c r="A411" s="4" t="s">
        <v>1126</v>
      </c>
      <c r="B411" s="2" t="s">
        <v>1118</v>
      </c>
      <c r="C411" s="3">
        <v>3</v>
      </c>
      <c r="D411" s="5">
        <v>37.130000000000003</v>
      </c>
      <c r="E411" s="3">
        <v>100070736</v>
      </c>
      <c r="F411" s="2" t="s">
        <v>74</v>
      </c>
      <c r="G411" s="6" t="s">
        <v>154</v>
      </c>
      <c r="H411" s="2" t="s">
        <v>194</v>
      </c>
      <c r="I411" s="2" t="s">
        <v>195</v>
      </c>
      <c r="J411" s="2" t="s">
        <v>19</v>
      </c>
      <c r="K411" s="2" t="s">
        <v>353</v>
      </c>
      <c r="L411" s="7" t="str">
        <f t="shared" si="3"/>
        <v xml:space="preserve">http://slimages.macys.com/is/image/MCY/13120823 </v>
      </c>
    </row>
    <row r="412" spans="1:12" ht="24.75" x14ac:dyDescent="0.25">
      <c r="A412" s="4" t="s">
        <v>1127</v>
      </c>
      <c r="B412" s="2" t="s">
        <v>1128</v>
      </c>
      <c r="C412" s="3">
        <v>1</v>
      </c>
      <c r="D412" s="5">
        <v>32.5</v>
      </c>
      <c r="E412" s="3" t="s">
        <v>1129</v>
      </c>
      <c r="F412" s="2" t="s">
        <v>252</v>
      </c>
      <c r="G412" s="6" t="s">
        <v>234</v>
      </c>
      <c r="H412" s="2" t="s">
        <v>194</v>
      </c>
      <c r="I412" s="2" t="s">
        <v>195</v>
      </c>
      <c r="J412" s="2" t="s">
        <v>19</v>
      </c>
      <c r="K412" s="2" t="s">
        <v>1108</v>
      </c>
      <c r="L412" s="7" t="str">
        <f>HYPERLINK("http://slimages.macys.com/is/image/MCY/12850781 ")</f>
        <v xml:space="preserve">http://slimages.macys.com/is/image/MCY/12850781 </v>
      </c>
    </row>
    <row r="413" spans="1:12" ht="24.75" x14ac:dyDescent="0.25">
      <c r="A413" s="4" t="s">
        <v>1130</v>
      </c>
      <c r="B413" s="2" t="s">
        <v>1128</v>
      </c>
      <c r="C413" s="3">
        <v>2</v>
      </c>
      <c r="D413" s="5">
        <v>32.5</v>
      </c>
      <c r="E413" s="3" t="s">
        <v>1129</v>
      </c>
      <c r="F413" s="2" t="s">
        <v>252</v>
      </c>
      <c r="G413" s="6" t="s">
        <v>181</v>
      </c>
      <c r="H413" s="2" t="s">
        <v>194</v>
      </c>
      <c r="I413" s="2" t="s">
        <v>195</v>
      </c>
      <c r="J413" s="2" t="s">
        <v>19</v>
      </c>
      <c r="K413" s="2" t="s">
        <v>1108</v>
      </c>
      <c r="L413" s="7" t="str">
        <f>HYPERLINK("http://slimages.macys.com/is/image/MCY/12850781 ")</f>
        <v xml:space="preserve">http://slimages.macys.com/is/image/MCY/12850781 </v>
      </c>
    </row>
    <row r="414" spans="1:12" ht="24.75" x14ac:dyDescent="0.25">
      <c r="A414" s="4" t="s">
        <v>1131</v>
      </c>
      <c r="B414" s="2" t="s">
        <v>1132</v>
      </c>
      <c r="C414" s="3">
        <v>1</v>
      </c>
      <c r="D414" s="5">
        <v>34.5</v>
      </c>
      <c r="E414" s="3" t="s">
        <v>1133</v>
      </c>
      <c r="F414" s="2" t="s">
        <v>252</v>
      </c>
      <c r="G414" s="6" t="s">
        <v>1134</v>
      </c>
      <c r="H414" s="2" t="s">
        <v>228</v>
      </c>
      <c r="I414" s="2" t="s">
        <v>863</v>
      </c>
      <c r="J414" s="2" t="s">
        <v>19</v>
      </c>
      <c r="K414" s="2" t="s">
        <v>253</v>
      </c>
      <c r="L414" s="7" t="str">
        <f>HYPERLINK("http://slimages.macys.com/is/image/MCY/9864908 ")</f>
        <v xml:space="preserve">http://slimages.macys.com/is/image/MCY/9864908 </v>
      </c>
    </row>
    <row r="415" spans="1:12" ht="24.75" x14ac:dyDescent="0.25">
      <c r="A415" s="4" t="s">
        <v>1135</v>
      </c>
      <c r="B415" s="2" t="s">
        <v>890</v>
      </c>
      <c r="C415" s="3">
        <v>1</v>
      </c>
      <c r="D415" s="5">
        <v>34.5</v>
      </c>
      <c r="E415" s="3" t="s">
        <v>1136</v>
      </c>
      <c r="F415" s="2" t="s">
        <v>252</v>
      </c>
      <c r="G415" s="6" t="s">
        <v>22</v>
      </c>
      <c r="H415" s="2" t="s">
        <v>228</v>
      </c>
      <c r="I415" s="2" t="s">
        <v>863</v>
      </c>
      <c r="J415" s="2" t="s">
        <v>19</v>
      </c>
      <c r="K415" s="2" t="s">
        <v>253</v>
      </c>
      <c r="L415" s="7" t="str">
        <f>HYPERLINK("http://slimages.macys.com/is/image/MCY/11804239 ")</f>
        <v xml:space="preserve">http://slimages.macys.com/is/image/MCY/11804239 </v>
      </c>
    </row>
    <row r="416" spans="1:12" ht="24.75" x14ac:dyDescent="0.25">
      <c r="A416" s="4" t="s">
        <v>1137</v>
      </c>
      <c r="B416" s="2" t="s">
        <v>890</v>
      </c>
      <c r="C416" s="3">
        <v>1</v>
      </c>
      <c r="D416" s="5">
        <v>34.5</v>
      </c>
      <c r="E416" s="3" t="s">
        <v>1136</v>
      </c>
      <c r="F416" s="2" t="s">
        <v>252</v>
      </c>
      <c r="G416" s="6" t="s">
        <v>106</v>
      </c>
      <c r="H416" s="2" t="s">
        <v>228</v>
      </c>
      <c r="I416" s="2" t="s">
        <v>863</v>
      </c>
      <c r="J416" s="2" t="s">
        <v>19</v>
      </c>
      <c r="K416" s="2" t="s">
        <v>253</v>
      </c>
      <c r="L416" s="7" t="str">
        <f>HYPERLINK("http://slimages.macys.com/is/image/MCY/11804239 ")</f>
        <v xml:space="preserve">http://slimages.macys.com/is/image/MCY/11804239 </v>
      </c>
    </row>
    <row r="417" spans="1:12" ht="24.75" x14ac:dyDescent="0.25">
      <c r="A417" s="4" t="s">
        <v>1138</v>
      </c>
      <c r="B417" s="2" t="s">
        <v>890</v>
      </c>
      <c r="C417" s="3">
        <v>2</v>
      </c>
      <c r="D417" s="5">
        <v>34.5</v>
      </c>
      <c r="E417" s="3" t="s">
        <v>1136</v>
      </c>
      <c r="F417" s="2" t="s">
        <v>252</v>
      </c>
      <c r="G417" s="6" t="s">
        <v>58</v>
      </c>
      <c r="H417" s="2" t="s">
        <v>228</v>
      </c>
      <c r="I417" s="2" t="s">
        <v>863</v>
      </c>
      <c r="J417" s="2" t="s">
        <v>19</v>
      </c>
      <c r="K417" s="2" t="s">
        <v>253</v>
      </c>
      <c r="L417" s="7" t="str">
        <f>HYPERLINK("http://slimages.macys.com/is/image/MCY/11804239 ")</f>
        <v xml:space="preserve">http://slimages.macys.com/is/image/MCY/11804239 </v>
      </c>
    </row>
    <row r="418" spans="1:12" ht="24.75" x14ac:dyDescent="0.25">
      <c r="A418" s="4" t="s">
        <v>1139</v>
      </c>
      <c r="B418" s="2" t="s">
        <v>1140</v>
      </c>
      <c r="C418" s="3">
        <v>1</v>
      </c>
      <c r="D418" s="5">
        <v>37.130000000000003</v>
      </c>
      <c r="E418" s="3" t="s">
        <v>1141</v>
      </c>
      <c r="F418" s="2" t="s">
        <v>26</v>
      </c>
      <c r="G418" s="6" t="s">
        <v>156</v>
      </c>
      <c r="H418" s="2" t="s">
        <v>284</v>
      </c>
      <c r="I418" s="2" t="s">
        <v>285</v>
      </c>
      <c r="J418" s="2" t="s">
        <v>19</v>
      </c>
      <c r="K418" s="2" t="s">
        <v>442</v>
      </c>
      <c r="L418" s="7" t="str">
        <f>HYPERLINK("http://slimages.macys.com/is/image/MCY/13466766 ")</f>
        <v xml:space="preserve">http://slimages.macys.com/is/image/MCY/13466766 </v>
      </c>
    </row>
    <row r="419" spans="1:12" ht="24.75" x14ac:dyDescent="0.25">
      <c r="A419" s="4" t="s">
        <v>1142</v>
      </c>
      <c r="B419" s="2" t="s">
        <v>1132</v>
      </c>
      <c r="C419" s="3">
        <v>1</v>
      </c>
      <c r="D419" s="5">
        <v>34.5</v>
      </c>
      <c r="E419" s="3" t="s">
        <v>1143</v>
      </c>
      <c r="F419" s="2" t="s">
        <v>506</v>
      </c>
      <c r="G419" s="6" t="s">
        <v>27</v>
      </c>
      <c r="H419" s="2" t="s">
        <v>228</v>
      </c>
      <c r="I419" s="2" t="s">
        <v>863</v>
      </c>
      <c r="J419" s="2" t="s">
        <v>19</v>
      </c>
      <c r="K419" s="2" t="s">
        <v>253</v>
      </c>
      <c r="L419" s="7" t="str">
        <f>HYPERLINK("http://slimages.macys.com/is/image/MCY/11804272 ")</f>
        <v xml:space="preserve">http://slimages.macys.com/is/image/MCY/11804272 </v>
      </c>
    </row>
    <row r="420" spans="1:12" ht="24.75" x14ac:dyDescent="0.25">
      <c r="A420" s="4" t="s">
        <v>1144</v>
      </c>
      <c r="B420" s="2" t="s">
        <v>1132</v>
      </c>
      <c r="C420" s="3">
        <v>1</v>
      </c>
      <c r="D420" s="5">
        <v>34.5</v>
      </c>
      <c r="E420" s="3" t="s">
        <v>1143</v>
      </c>
      <c r="F420" s="2" t="s">
        <v>506</v>
      </c>
      <c r="G420" s="6" t="s">
        <v>22</v>
      </c>
      <c r="H420" s="2" t="s">
        <v>228</v>
      </c>
      <c r="I420" s="2" t="s">
        <v>863</v>
      </c>
      <c r="J420" s="2" t="s">
        <v>19</v>
      </c>
      <c r="K420" s="2" t="s">
        <v>253</v>
      </c>
      <c r="L420" s="7" t="str">
        <f>HYPERLINK("http://slimages.macys.com/is/image/MCY/11804272 ")</f>
        <v xml:space="preserve">http://slimages.macys.com/is/image/MCY/11804272 </v>
      </c>
    </row>
    <row r="421" spans="1:12" ht="24.75" x14ac:dyDescent="0.25">
      <c r="A421" s="4" t="s">
        <v>1145</v>
      </c>
      <c r="B421" s="2" t="s">
        <v>1132</v>
      </c>
      <c r="C421" s="3">
        <v>1</v>
      </c>
      <c r="D421" s="5">
        <v>34.5</v>
      </c>
      <c r="E421" s="3" t="s">
        <v>1143</v>
      </c>
      <c r="F421" s="2" t="s">
        <v>506</v>
      </c>
      <c r="G421" s="6" t="s">
        <v>16</v>
      </c>
      <c r="H421" s="2" t="s">
        <v>228</v>
      </c>
      <c r="I421" s="2" t="s">
        <v>863</v>
      </c>
      <c r="J421" s="2" t="s">
        <v>19</v>
      </c>
      <c r="K421" s="2" t="s">
        <v>253</v>
      </c>
      <c r="L421" s="7" t="str">
        <f>HYPERLINK("http://slimages.macys.com/is/image/MCY/11804272 ")</f>
        <v xml:space="preserve">http://slimages.macys.com/is/image/MCY/11804272 </v>
      </c>
    </row>
    <row r="422" spans="1:12" ht="24.75" x14ac:dyDescent="0.25">
      <c r="A422" s="4" t="s">
        <v>1146</v>
      </c>
      <c r="B422" s="2" t="s">
        <v>1147</v>
      </c>
      <c r="C422" s="3">
        <v>1</v>
      </c>
      <c r="D422" s="5">
        <v>34.880000000000003</v>
      </c>
      <c r="E422" s="3">
        <v>100055540</v>
      </c>
      <c r="F422" s="2" t="s">
        <v>70</v>
      </c>
      <c r="G422" s="6" t="s">
        <v>16</v>
      </c>
      <c r="H422" s="2" t="s">
        <v>194</v>
      </c>
      <c r="I422" s="2" t="s">
        <v>195</v>
      </c>
      <c r="J422" s="2" t="s">
        <v>19</v>
      </c>
      <c r="K422" s="2" t="s">
        <v>353</v>
      </c>
      <c r="L422" s="7" t="str">
        <f>HYPERLINK("http://slimages.macys.com/is/image/MCY/12035336 ")</f>
        <v xml:space="preserve">http://slimages.macys.com/is/image/MCY/12035336 </v>
      </c>
    </row>
    <row r="423" spans="1:12" ht="24.75" x14ac:dyDescent="0.25">
      <c r="A423" s="4" t="s">
        <v>1148</v>
      </c>
      <c r="B423" s="2" t="s">
        <v>1106</v>
      </c>
      <c r="C423" s="3">
        <v>1</v>
      </c>
      <c r="D423" s="5">
        <v>32.5</v>
      </c>
      <c r="E423" s="3" t="s">
        <v>1149</v>
      </c>
      <c r="F423" s="2" t="s">
        <v>26</v>
      </c>
      <c r="G423" s="6"/>
      <c r="H423" s="2" t="s">
        <v>312</v>
      </c>
      <c r="I423" s="2" t="s">
        <v>195</v>
      </c>
      <c r="J423" s="2" t="s">
        <v>19</v>
      </c>
      <c r="K423" s="2" t="s">
        <v>1150</v>
      </c>
      <c r="L423" s="7" t="str">
        <f>HYPERLINK("http://slimages.macys.com/is/image/MCY/11764459 ")</f>
        <v xml:space="preserve">http://slimages.macys.com/is/image/MCY/11764459 </v>
      </c>
    </row>
    <row r="424" spans="1:12" ht="24.75" x14ac:dyDescent="0.25">
      <c r="A424" s="4" t="s">
        <v>1151</v>
      </c>
      <c r="B424" s="2" t="s">
        <v>1152</v>
      </c>
      <c r="C424" s="3">
        <v>1</v>
      </c>
      <c r="D424" s="5">
        <v>37.130000000000003</v>
      </c>
      <c r="E424" s="3" t="s">
        <v>1153</v>
      </c>
      <c r="F424" s="2" t="s">
        <v>94</v>
      </c>
      <c r="G424" s="6" t="s">
        <v>234</v>
      </c>
      <c r="H424" s="2" t="s">
        <v>194</v>
      </c>
      <c r="I424" s="2" t="s">
        <v>195</v>
      </c>
      <c r="J424" s="2" t="s">
        <v>19</v>
      </c>
      <c r="K424" s="2" t="s">
        <v>34</v>
      </c>
      <c r="L424" s="7" t="str">
        <f>HYPERLINK("http://slimages.macys.com/is/image/MCY/12793856 ")</f>
        <v xml:space="preserve">http://slimages.macys.com/is/image/MCY/12793856 </v>
      </c>
    </row>
    <row r="425" spans="1:12" ht="24.75" x14ac:dyDescent="0.25">
      <c r="A425" s="4" t="s">
        <v>1154</v>
      </c>
      <c r="B425" s="2" t="s">
        <v>1155</v>
      </c>
      <c r="C425" s="3">
        <v>1</v>
      </c>
      <c r="D425" s="5">
        <v>37.130000000000003</v>
      </c>
      <c r="E425" s="3" t="s">
        <v>1156</v>
      </c>
      <c r="F425" s="2" t="s">
        <v>417</v>
      </c>
      <c r="G425" s="6" t="s">
        <v>181</v>
      </c>
      <c r="H425" s="2" t="s">
        <v>194</v>
      </c>
      <c r="I425" s="2" t="s">
        <v>195</v>
      </c>
      <c r="J425" s="2" t="s">
        <v>19</v>
      </c>
      <c r="K425" s="2" t="s">
        <v>648</v>
      </c>
      <c r="L425" s="7" t="str">
        <f>HYPERLINK("http://slimages.macys.com/is/image/MCY/13120794 ")</f>
        <v xml:space="preserve">http://slimages.macys.com/is/image/MCY/13120794 </v>
      </c>
    </row>
    <row r="426" spans="1:12" ht="24.75" x14ac:dyDescent="0.25">
      <c r="A426" s="4" t="s">
        <v>1157</v>
      </c>
      <c r="B426" s="2" t="s">
        <v>1152</v>
      </c>
      <c r="C426" s="3">
        <v>1</v>
      </c>
      <c r="D426" s="5">
        <v>37.130000000000003</v>
      </c>
      <c r="E426" s="3" t="s">
        <v>1153</v>
      </c>
      <c r="F426" s="2" t="s">
        <v>94</v>
      </c>
      <c r="G426" s="6" t="s">
        <v>245</v>
      </c>
      <c r="H426" s="2" t="s">
        <v>194</v>
      </c>
      <c r="I426" s="2" t="s">
        <v>195</v>
      </c>
      <c r="J426" s="2" t="s">
        <v>19</v>
      </c>
      <c r="K426" s="2" t="s">
        <v>34</v>
      </c>
      <c r="L426" s="7" t="str">
        <f>HYPERLINK("http://slimages.macys.com/is/image/MCY/12793856 ")</f>
        <v xml:space="preserve">http://slimages.macys.com/is/image/MCY/12793856 </v>
      </c>
    </row>
    <row r="427" spans="1:12" ht="24.75" x14ac:dyDescent="0.25">
      <c r="A427" s="4" t="s">
        <v>1158</v>
      </c>
      <c r="B427" s="2" t="s">
        <v>1155</v>
      </c>
      <c r="C427" s="3">
        <v>1</v>
      </c>
      <c r="D427" s="5">
        <v>37.130000000000003</v>
      </c>
      <c r="E427" s="3" t="s">
        <v>1156</v>
      </c>
      <c r="F427" s="2" t="s">
        <v>417</v>
      </c>
      <c r="G427" s="6" t="s">
        <v>154</v>
      </c>
      <c r="H427" s="2" t="s">
        <v>194</v>
      </c>
      <c r="I427" s="2" t="s">
        <v>195</v>
      </c>
      <c r="J427" s="2" t="s">
        <v>19</v>
      </c>
      <c r="K427" s="2" t="s">
        <v>648</v>
      </c>
      <c r="L427" s="7" t="str">
        <f>HYPERLINK("http://slimages.macys.com/is/image/MCY/13120794 ")</f>
        <v xml:space="preserve">http://slimages.macys.com/is/image/MCY/13120794 </v>
      </c>
    </row>
    <row r="428" spans="1:12" ht="24.75" x14ac:dyDescent="0.25">
      <c r="A428" s="4" t="s">
        <v>1159</v>
      </c>
      <c r="B428" s="2" t="s">
        <v>1160</v>
      </c>
      <c r="C428" s="3">
        <v>1</v>
      </c>
      <c r="D428" s="5">
        <v>69.5</v>
      </c>
      <c r="E428" s="3">
        <v>100055239</v>
      </c>
      <c r="F428" s="2" t="s">
        <v>74</v>
      </c>
      <c r="G428" s="6" t="s">
        <v>141</v>
      </c>
      <c r="H428" s="2" t="s">
        <v>386</v>
      </c>
      <c r="I428" s="2" t="s">
        <v>207</v>
      </c>
      <c r="J428" s="2" t="s">
        <v>19</v>
      </c>
      <c r="K428" s="2" t="s">
        <v>387</v>
      </c>
      <c r="L428" s="7" t="str">
        <f>HYPERLINK("http://slimages.macys.com/is/image/MCY/11535562 ")</f>
        <v xml:space="preserve">http://slimages.macys.com/is/image/MCY/11535562 </v>
      </c>
    </row>
    <row r="429" spans="1:12" ht="24.75" x14ac:dyDescent="0.25">
      <c r="A429" s="4" t="s">
        <v>1161</v>
      </c>
      <c r="B429" s="2" t="s">
        <v>1160</v>
      </c>
      <c r="C429" s="3">
        <v>1</v>
      </c>
      <c r="D429" s="5">
        <v>69.5</v>
      </c>
      <c r="E429" s="3">
        <v>100055239</v>
      </c>
      <c r="F429" s="2" t="s">
        <v>74</v>
      </c>
      <c r="G429" s="6" t="s">
        <v>27</v>
      </c>
      <c r="H429" s="2" t="s">
        <v>386</v>
      </c>
      <c r="I429" s="2" t="s">
        <v>207</v>
      </c>
      <c r="J429" s="2" t="s">
        <v>19</v>
      </c>
      <c r="K429" s="2" t="s">
        <v>387</v>
      </c>
      <c r="L429" s="7" t="str">
        <f>HYPERLINK("http://slimages.macys.com/is/image/MCY/11535562 ")</f>
        <v xml:space="preserve">http://slimages.macys.com/is/image/MCY/11535562 </v>
      </c>
    </row>
    <row r="430" spans="1:12" ht="24.75" x14ac:dyDescent="0.25">
      <c r="A430" s="4" t="s">
        <v>1162</v>
      </c>
      <c r="B430" s="2" t="s">
        <v>1163</v>
      </c>
      <c r="C430" s="3">
        <v>1</v>
      </c>
      <c r="D430" s="5">
        <v>34.5</v>
      </c>
      <c r="E430" s="3" t="s">
        <v>1164</v>
      </c>
      <c r="F430" s="2" t="s">
        <v>74</v>
      </c>
      <c r="G430" s="6" t="s">
        <v>1165</v>
      </c>
      <c r="H430" s="2" t="s">
        <v>228</v>
      </c>
      <c r="I430" s="2" t="s">
        <v>863</v>
      </c>
      <c r="J430" s="2" t="s">
        <v>19</v>
      </c>
      <c r="K430" s="2" t="s">
        <v>230</v>
      </c>
      <c r="L430" s="7" t="str">
        <f>HYPERLINK("http://slimages.macys.com/is/image/MCY/3623515 ")</f>
        <v xml:space="preserve">http://slimages.macys.com/is/image/MCY/3623515 </v>
      </c>
    </row>
    <row r="431" spans="1:12" ht="24.75" x14ac:dyDescent="0.25">
      <c r="A431" s="4" t="s">
        <v>1166</v>
      </c>
      <c r="B431" s="2" t="s">
        <v>1167</v>
      </c>
      <c r="C431" s="3">
        <v>1</v>
      </c>
      <c r="D431" s="5">
        <v>34.5</v>
      </c>
      <c r="E431" s="3" t="s">
        <v>1168</v>
      </c>
      <c r="F431" s="2" t="s">
        <v>74</v>
      </c>
      <c r="G431" s="6" t="s">
        <v>112</v>
      </c>
      <c r="H431" s="2" t="s">
        <v>228</v>
      </c>
      <c r="I431" s="2" t="s">
        <v>863</v>
      </c>
      <c r="J431" s="2" t="s">
        <v>19</v>
      </c>
      <c r="K431" s="2" t="s">
        <v>230</v>
      </c>
      <c r="L431" s="7" t="str">
        <f>HYPERLINK("http://slimages.macys.com/is/image/MCY/3623515 ")</f>
        <v xml:space="preserve">http://slimages.macys.com/is/image/MCY/3623515 </v>
      </c>
    </row>
    <row r="432" spans="1:12" ht="24.75" x14ac:dyDescent="0.25">
      <c r="A432" s="4" t="s">
        <v>1169</v>
      </c>
      <c r="B432" s="2" t="s">
        <v>1170</v>
      </c>
      <c r="C432" s="3">
        <v>1</v>
      </c>
      <c r="D432" s="5">
        <v>34.5</v>
      </c>
      <c r="E432" s="3" t="s">
        <v>1171</v>
      </c>
      <c r="F432" s="2" t="s">
        <v>417</v>
      </c>
      <c r="G432" s="6" t="s">
        <v>1172</v>
      </c>
      <c r="H432" s="2" t="s">
        <v>228</v>
      </c>
      <c r="I432" s="2" t="s">
        <v>863</v>
      </c>
      <c r="J432" s="2" t="s">
        <v>19</v>
      </c>
      <c r="K432" s="2" t="s">
        <v>230</v>
      </c>
      <c r="L432" s="7" t="str">
        <f>HYPERLINK("http://slimages.macys.com/is/image/MCY/3623515 ")</f>
        <v xml:space="preserve">http://slimages.macys.com/is/image/MCY/3623515 </v>
      </c>
    </row>
    <row r="433" spans="1:12" ht="24.75" x14ac:dyDescent="0.25">
      <c r="A433" s="4" t="s">
        <v>1173</v>
      </c>
      <c r="B433" s="2" t="s">
        <v>1174</v>
      </c>
      <c r="C433" s="3">
        <v>1</v>
      </c>
      <c r="D433" s="5">
        <v>34.5</v>
      </c>
      <c r="E433" s="3" t="s">
        <v>1175</v>
      </c>
      <c r="F433" s="2" t="s">
        <v>74</v>
      </c>
      <c r="G433" s="6" t="s">
        <v>473</v>
      </c>
      <c r="H433" s="2" t="s">
        <v>228</v>
      </c>
      <c r="I433" s="2" t="s">
        <v>863</v>
      </c>
      <c r="J433" s="2" t="s">
        <v>19</v>
      </c>
      <c r="K433" s="2" t="s">
        <v>230</v>
      </c>
      <c r="L433" s="7" t="str">
        <f>HYPERLINK("http://slimages.macys.com/is/image/MCY/3623515 ")</f>
        <v xml:space="preserve">http://slimages.macys.com/is/image/MCY/3623515 </v>
      </c>
    </row>
    <row r="434" spans="1:12" ht="36.75" x14ac:dyDescent="0.25">
      <c r="A434" s="4" t="s">
        <v>1176</v>
      </c>
      <c r="B434" s="2" t="s">
        <v>1177</v>
      </c>
      <c r="C434" s="3">
        <v>1</v>
      </c>
      <c r="D434" s="5">
        <v>34.65</v>
      </c>
      <c r="E434" s="3" t="s">
        <v>1178</v>
      </c>
      <c r="F434" s="2" t="s">
        <v>413</v>
      </c>
      <c r="G434" s="6" t="s">
        <v>154</v>
      </c>
      <c r="H434" s="2" t="s">
        <v>182</v>
      </c>
      <c r="I434" s="2" t="s">
        <v>183</v>
      </c>
      <c r="J434" s="2" t="s">
        <v>19</v>
      </c>
      <c r="K434" s="2" t="s">
        <v>1179</v>
      </c>
      <c r="L434" s="7" t="str">
        <f>HYPERLINK("http://slimages.macys.com/is/image/MCY/12851853 ")</f>
        <v xml:space="preserve">http://slimages.macys.com/is/image/MCY/12851853 </v>
      </c>
    </row>
    <row r="435" spans="1:12" ht="24.75" x14ac:dyDescent="0.25">
      <c r="A435" s="4" t="s">
        <v>1180</v>
      </c>
      <c r="B435" s="2" t="s">
        <v>1181</v>
      </c>
      <c r="C435" s="3">
        <v>1</v>
      </c>
      <c r="D435" s="5">
        <v>37.130000000000003</v>
      </c>
      <c r="E435" s="3">
        <v>100064797</v>
      </c>
      <c r="F435" s="2" t="s">
        <v>15</v>
      </c>
      <c r="G435" s="6" t="s">
        <v>154</v>
      </c>
      <c r="H435" s="2" t="s">
        <v>194</v>
      </c>
      <c r="I435" s="2" t="s">
        <v>195</v>
      </c>
      <c r="J435" s="2" t="s">
        <v>19</v>
      </c>
      <c r="K435" s="2" t="s">
        <v>247</v>
      </c>
      <c r="L435" s="7" t="str">
        <f>HYPERLINK("http://slimages.macys.com/is/image/MCY/12950007 ")</f>
        <v xml:space="preserve">http://slimages.macys.com/is/image/MCY/12950007 </v>
      </c>
    </row>
    <row r="436" spans="1:12" ht="24.75" x14ac:dyDescent="0.25">
      <c r="A436" s="4" t="s">
        <v>1182</v>
      </c>
      <c r="B436" s="2" t="s">
        <v>1183</v>
      </c>
      <c r="C436" s="3">
        <v>1</v>
      </c>
      <c r="D436" s="5">
        <v>34.5</v>
      </c>
      <c r="E436" s="3">
        <v>100010006</v>
      </c>
      <c r="F436" s="2" t="s">
        <v>417</v>
      </c>
      <c r="G436" s="6" t="s">
        <v>234</v>
      </c>
      <c r="H436" s="2" t="s">
        <v>228</v>
      </c>
      <c r="I436" s="2" t="s">
        <v>229</v>
      </c>
      <c r="J436" s="2" t="s">
        <v>19</v>
      </c>
      <c r="K436" s="2" t="s">
        <v>253</v>
      </c>
      <c r="L436" s="7" t="str">
        <f>HYPERLINK("http://slimages.macys.com/is/image/MCY/11269044 ")</f>
        <v xml:space="preserve">http://slimages.macys.com/is/image/MCY/11269044 </v>
      </c>
    </row>
    <row r="437" spans="1:12" ht="24.75" x14ac:dyDescent="0.25">
      <c r="A437" s="4" t="s">
        <v>1184</v>
      </c>
      <c r="B437" s="2" t="s">
        <v>1185</v>
      </c>
      <c r="C437" s="3">
        <v>1</v>
      </c>
      <c r="D437" s="5">
        <v>34.5</v>
      </c>
      <c r="E437" s="3" t="s">
        <v>1186</v>
      </c>
      <c r="F437" s="2" t="s">
        <v>376</v>
      </c>
      <c r="G437" s="6" t="s">
        <v>181</v>
      </c>
      <c r="H437" s="2" t="s">
        <v>228</v>
      </c>
      <c r="I437" s="2" t="s">
        <v>229</v>
      </c>
      <c r="J437" s="2" t="s">
        <v>19</v>
      </c>
      <c r="K437" s="2" t="s">
        <v>253</v>
      </c>
      <c r="L437" s="7" t="str">
        <f>HYPERLINK("http://slimages.macys.com/is/image/MCY/11269044 ")</f>
        <v xml:space="preserve">http://slimages.macys.com/is/image/MCY/11269044 </v>
      </c>
    </row>
    <row r="438" spans="1:12" ht="24.75" x14ac:dyDescent="0.25">
      <c r="A438" s="4" t="s">
        <v>1187</v>
      </c>
      <c r="B438" s="2" t="s">
        <v>1188</v>
      </c>
      <c r="C438" s="3">
        <v>2</v>
      </c>
      <c r="D438" s="5">
        <v>44.63</v>
      </c>
      <c r="E438" s="3" t="s">
        <v>1189</v>
      </c>
      <c r="F438" s="2" t="s">
        <v>38</v>
      </c>
      <c r="G438" s="6" t="s">
        <v>234</v>
      </c>
      <c r="H438" s="2" t="s">
        <v>194</v>
      </c>
      <c r="I438" s="2" t="s">
        <v>195</v>
      </c>
      <c r="J438" s="2" t="s">
        <v>19</v>
      </c>
      <c r="K438" s="2" t="s">
        <v>803</v>
      </c>
      <c r="L438" s="7" t="str">
        <f t="shared" ref="L438:L443" si="4">HYPERLINK("http://slimages.macys.com/is/image/MCY/13683354 ")</f>
        <v xml:space="preserve">http://slimages.macys.com/is/image/MCY/13683354 </v>
      </c>
    </row>
    <row r="439" spans="1:12" ht="24.75" x14ac:dyDescent="0.25">
      <c r="A439" s="4" t="s">
        <v>1190</v>
      </c>
      <c r="B439" s="2" t="s">
        <v>1188</v>
      </c>
      <c r="C439" s="3">
        <v>1</v>
      </c>
      <c r="D439" s="5">
        <v>44.63</v>
      </c>
      <c r="E439" s="3" t="s">
        <v>1189</v>
      </c>
      <c r="F439" s="2" t="s">
        <v>38</v>
      </c>
      <c r="G439" s="6" t="s">
        <v>154</v>
      </c>
      <c r="H439" s="2" t="s">
        <v>194</v>
      </c>
      <c r="I439" s="2" t="s">
        <v>195</v>
      </c>
      <c r="J439" s="2" t="s">
        <v>19</v>
      </c>
      <c r="K439" s="2" t="s">
        <v>803</v>
      </c>
      <c r="L439" s="7" t="str">
        <f t="shared" si="4"/>
        <v xml:space="preserve">http://slimages.macys.com/is/image/MCY/13683354 </v>
      </c>
    </row>
    <row r="440" spans="1:12" ht="24.75" x14ac:dyDescent="0.25">
      <c r="A440" s="4" t="s">
        <v>1191</v>
      </c>
      <c r="B440" s="2" t="s">
        <v>1188</v>
      </c>
      <c r="C440" s="3">
        <v>1</v>
      </c>
      <c r="D440" s="5">
        <v>44.63</v>
      </c>
      <c r="E440" s="3" t="s">
        <v>1189</v>
      </c>
      <c r="F440" s="2" t="s">
        <v>64</v>
      </c>
      <c r="G440" s="6" t="s">
        <v>200</v>
      </c>
      <c r="H440" s="2" t="s">
        <v>194</v>
      </c>
      <c r="I440" s="2" t="s">
        <v>195</v>
      </c>
      <c r="J440" s="2" t="s">
        <v>19</v>
      </c>
      <c r="K440" s="2" t="s">
        <v>803</v>
      </c>
      <c r="L440" s="7" t="str">
        <f t="shared" si="4"/>
        <v xml:space="preserve">http://slimages.macys.com/is/image/MCY/13683354 </v>
      </c>
    </row>
    <row r="441" spans="1:12" ht="24.75" x14ac:dyDescent="0.25">
      <c r="A441" s="4" t="s">
        <v>1192</v>
      </c>
      <c r="B441" s="2" t="s">
        <v>1188</v>
      </c>
      <c r="C441" s="3">
        <v>2</v>
      </c>
      <c r="D441" s="5">
        <v>44.63</v>
      </c>
      <c r="E441" s="3" t="s">
        <v>1189</v>
      </c>
      <c r="F441" s="2" t="s">
        <v>64</v>
      </c>
      <c r="G441" s="6" t="s">
        <v>234</v>
      </c>
      <c r="H441" s="2" t="s">
        <v>194</v>
      </c>
      <c r="I441" s="2" t="s">
        <v>195</v>
      </c>
      <c r="J441" s="2" t="s">
        <v>19</v>
      </c>
      <c r="K441" s="2" t="s">
        <v>803</v>
      </c>
      <c r="L441" s="7" t="str">
        <f t="shared" si="4"/>
        <v xml:space="preserve">http://slimages.macys.com/is/image/MCY/13683354 </v>
      </c>
    </row>
    <row r="442" spans="1:12" ht="24.75" x14ac:dyDescent="0.25">
      <c r="A442" s="4" t="s">
        <v>1193</v>
      </c>
      <c r="B442" s="2" t="s">
        <v>1188</v>
      </c>
      <c r="C442" s="3">
        <v>1</v>
      </c>
      <c r="D442" s="5">
        <v>44.63</v>
      </c>
      <c r="E442" s="3" t="s">
        <v>1189</v>
      </c>
      <c r="F442" s="2" t="s">
        <v>125</v>
      </c>
      <c r="G442" s="6" t="s">
        <v>200</v>
      </c>
      <c r="H442" s="2" t="s">
        <v>194</v>
      </c>
      <c r="I442" s="2" t="s">
        <v>195</v>
      </c>
      <c r="J442" s="2" t="s">
        <v>19</v>
      </c>
      <c r="K442" s="2" t="s">
        <v>803</v>
      </c>
      <c r="L442" s="7" t="str">
        <f t="shared" si="4"/>
        <v xml:space="preserve">http://slimages.macys.com/is/image/MCY/13683354 </v>
      </c>
    </row>
    <row r="443" spans="1:12" ht="24.75" x14ac:dyDescent="0.25">
      <c r="A443" s="4" t="s">
        <v>1194</v>
      </c>
      <c r="B443" s="2" t="s">
        <v>1188</v>
      </c>
      <c r="C443" s="3">
        <v>1</v>
      </c>
      <c r="D443" s="5">
        <v>44.63</v>
      </c>
      <c r="E443" s="3" t="s">
        <v>1189</v>
      </c>
      <c r="F443" s="2" t="s">
        <v>125</v>
      </c>
      <c r="G443" s="6" t="s">
        <v>181</v>
      </c>
      <c r="H443" s="2" t="s">
        <v>194</v>
      </c>
      <c r="I443" s="2" t="s">
        <v>195</v>
      </c>
      <c r="J443" s="2" t="s">
        <v>19</v>
      </c>
      <c r="K443" s="2" t="s">
        <v>803</v>
      </c>
      <c r="L443" s="7" t="str">
        <f t="shared" si="4"/>
        <v xml:space="preserve">http://slimages.macys.com/is/image/MCY/13683354 </v>
      </c>
    </row>
    <row r="444" spans="1:12" ht="24.75" x14ac:dyDescent="0.25">
      <c r="A444" s="4" t="s">
        <v>1195</v>
      </c>
      <c r="B444" s="2" t="s">
        <v>1196</v>
      </c>
      <c r="C444" s="3">
        <v>1</v>
      </c>
      <c r="D444" s="5">
        <v>37.130000000000003</v>
      </c>
      <c r="E444" s="3">
        <v>100020406</v>
      </c>
      <c r="F444" s="2" t="s">
        <v>887</v>
      </c>
      <c r="G444" s="6" t="s">
        <v>154</v>
      </c>
      <c r="H444" s="2" t="s">
        <v>194</v>
      </c>
      <c r="I444" s="2" t="s">
        <v>195</v>
      </c>
      <c r="J444" s="2" t="s">
        <v>19</v>
      </c>
      <c r="K444" s="2" t="s">
        <v>648</v>
      </c>
      <c r="L444" s="7" t="str">
        <f>HYPERLINK("http://slimages.macys.com/is/image/MCY/9577038 ")</f>
        <v xml:space="preserve">http://slimages.macys.com/is/image/MCY/9577038 </v>
      </c>
    </row>
    <row r="445" spans="1:12" ht="24.75" x14ac:dyDescent="0.25">
      <c r="A445" s="4" t="s">
        <v>1197</v>
      </c>
      <c r="B445" s="2" t="s">
        <v>1188</v>
      </c>
      <c r="C445" s="3">
        <v>3</v>
      </c>
      <c r="D445" s="5">
        <v>44.63</v>
      </c>
      <c r="E445" s="3" t="s">
        <v>1189</v>
      </c>
      <c r="F445" s="2" t="s">
        <v>125</v>
      </c>
      <c r="G445" s="6" t="s">
        <v>234</v>
      </c>
      <c r="H445" s="2" t="s">
        <v>194</v>
      </c>
      <c r="I445" s="2" t="s">
        <v>195</v>
      </c>
      <c r="J445" s="2" t="s">
        <v>19</v>
      </c>
      <c r="K445" s="2" t="s">
        <v>803</v>
      </c>
      <c r="L445" s="7" t="str">
        <f>HYPERLINK("http://slimages.macys.com/is/image/MCY/13683354 ")</f>
        <v xml:space="preserve">http://slimages.macys.com/is/image/MCY/13683354 </v>
      </c>
    </row>
    <row r="446" spans="1:12" ht="24.75" x14ac:dyDescent="0.25">
      <c r="A446" s="4" t="s">
        <v>1198</v>
      </c>
      <c r="B446" s="2" t="s">
        <v>1199</v>
      </c>
      <c r="C446" s="3">
        <v>1</v>
      </c>
      <c r="D446" s="5">
        <v>37.130000000000003</v>
      </c>
      <c r="E446" s="3" t="s">
        <v>1200</v>
      </c>
      <c r="F446" s="2" t="s">
        <v>376</v>
      </c>
      <c r="G446" s="6" t="s">
        <v>238</v>
      </c>
      <c r="H446" s="2" t="s">
        <v>312</v>
      </c>
      <c r="I446" s="2" t="s">
        <v>195</v>
      </c>
      <c r="J446" s="2" t="s">
        <v>19</v>
      </c>
      <c r="K446" s="2" t="s">
        <v>353</v>
      </c>
      <c r="L446" s="7" t="str">
        <f>HYPERLINK("http://slimages.macys.com/is/image/MCY/9404224 ")</f>
        <v xml:space="preserve">http://slimages.macys.com/is/image/MCY/9404224 </v>
      </c>
    </row>
    <row r="447" spans="1:12" ht="24.75" x14ac:dyDescent="0.25">
      <c r="A447" s="4" t="s">
        <v>1201</v>
      </c>
      <c r="B447" s="2" t="s">
        <v>1196</v>
      </c>
      <c r="C447" s="3">
        <v>1</v>
      </c>
      <c r="D447" s="5">
        <v>37.130000000000003</v>
      </c>
      <c r="E447" s="3">
        <v>100020406</v>
      </c>
      <c r="F447" s="2" t="s">
        <v>887</v>
      </c>
      <c r="G447" s="6" t="s">
        <v>156</v>
      </c>
      <c r="H447" s="2" t="s">
        <v>194</v>
      </c>
      <c r="I447" s="2" t="s">
        <v>195</v>
      </c>
      <c r="J447" s="2" t="s">
        <v>19</v>
      </c>
      <c r="K447" s="2" t="s">
        <v>648</v>
      </c>
      <c r="L447" s="7" t="str">
        <f>HYPERLINK("http://slimages.macys.com/is/image/MCY/9577038 ")</f>
        <v xml:space="preserve">http://slimages.macys.com/is/image/MCY/9577038 </v>
      </c>
    </row>
    <row r="448" spans="1:12" ht="24.75" x14ac:dyDescent="0.25">
      <c r="A448" s="4" t="s">
        <v>1202</v>
      </c>
      <c r="B448" s="2" t="s">
        <v>1203</v>
      </c>
      <c r="C448" s="3">
        <v>1</v>
      </c>
      <c r="D448" s="5">
        <v>34.5</v>
      </c>
      <c r="E448" s="3" t="s">
        <v>1204</v>
      </c>
      <c r="F448" s="2" t="s">
        <v>506</v>
      </c>
      <c r="G448" s="6" t="s">
        <v>165</v>
      </c>
      <c r="H448" s="2" t="s">
        <v>426</v>
      </c>
      <c r="I448" s="2" t="s">
        <v>229</v>
      </c>
      <c r="J448" s="2" t="s">
        <v>19</v>
      </c>
      <c r="K448" s="2" t="s">
        <v>253</v>
      </c>
      <c r="L448" s="7" t="str">
        <f>HYPERLINK("http://slimages.macys.com/is/image/MCY/13535247 ")</f>
        <v xml:space="preserve">http://slimages.macys.com/is/image/MCY/13535247 </v>
      </c>
    </row>
    <row r="449" spans="1:12" ht="24.75" x14ac:dyDescent="0.25">
      <c r="A449" s="4" t="s">
        <v>1205</v>
      </c>
      <c r="B449" s="2" t="s">
        <v>1206</v>
      </c>
      <c r="C449" s="3">
        <v>1</v>
      </c>
      <c r="D449" s="5">
        <v>34.5</v>
      </c>
      <c r="E449" s="3">
        <v>60070614</v>
      </c>
      <c r="F449" s="2" t="s">
        <v>74</v>
      </c>
      <c r="G449" s="6" t="s">
        <v>22</v>
      </c>
      <c r="H449" s="2" t="s">
        <v>228</v>
      </c>
      <c r="I449" s="2" t="s">
        <v>863</v>
      </c>
      <c r="J449" s="2" t="s">
        <v>19</v>
      </c>
      <c r="K449" s="2" t="s">
        <v>253</v>
      </c>
      <c r="L449" s="7" t="str">
        <f>HYPERLINK("http://slimages.macys.com/is/image/MCY/3604439 ")</f>
        <v xml:space="preserve">http://slimages.macys.com/is/image/MCY/3604439 </v>
      </c>
    </row>
    <row r="450" spans="1:12" ht="24.75" x14ac:dyDescent="0.25">
      <c r="A450" s="4" t="s">
        <v>1207</v>
      </c>
      <c r="B450" s="2" t="s">
        <v>1208</v>
      </c>
      <c r="C450" s="3">
        <v>1</v>
      </c>
      <c r="D450" s="5">
        <v>37.130000000000003</v>
      </c>
      <c r="E450" s="3">
        <v>100013470</v>
      </c>
      <c r="F450" s="2" t="s">
        <v>15</v>
      </c>
      <c r="G450" s="6" t="s">
        <v>27</v>
      </c>
      <c r="H450" s="2" t="s">
        <v>194</v>
      </c>
      <c r="I450" s="2" t="s">
        <v>195</v>
      </c>
      <c r="J450" s="2" t="s">
        <v>19</v>
      </c>
      <c r="K450" s="2" t="s">
        <v>353</v>
      </c>
      <c r="L450" s="7" t="str">
        <f>HYPERLINK("http://slimages.macys.com/is/image/MCY/9426968 ")</f>
        <v xml:space="preserve">http://slimages.macys.com/is/image/MCY/9426968 </v>
      </c>
    </row>
    <row r="451" spans="1:12" ht="24.75" x14ac:dyDescent="0.25">
      <c r="A451" s="4" t="s">
        <v>1209</v>
      </c>
      <c r="B451" s="2" t="s">
        <v>1208</v>
      </c>
      <c r="C451" s="3">
        <v>1</v>
      </c>
      <c r="D451" s="5">
        <v>37.130000000000003</v>
      </c>
      <c r="E451" s="3">
        <v>100013470</v>
      </c>
      <c r="F451" s="2" t="s">
        <v>15</v>
      </c>
      <c r="G451" s="6" t="s">
        <v>22</v>
      </c>
      <c r="H451" s="2" t="s">
        <v>194</v>
      </c>
      <c r="I451" s="2" t="s">
        <v>195</v>
      </c>
      <c r="J451" s="2" t="s">
        <v>19</v>
      </c>
      <c r="K451" s="2" t="s">
        <v>353</v>
      </c>
      <c r="L451" s="7" t="str">
        <f>HYPERLINK("http://slimages.macys.com/is/image/MCY/9426968 ")</f>
        <v xml:space="preserve">http://slimages.macys.com/is/image/MCY/9426968 </v>
      </c>
    </row>
    <row r="452" spans="1:12" ht="24.75" x14ac:dyDescent="0.25">
      <c r="A452" s="4" t="s">
        <v>1210</v>
      </c>
      <c r="B452" s="2" t="s">
        <v>1199</v>
      </c>
      <c r="C452" s="3">
        <v>1</v>
      </c>
      <c r="D452" s="5">
        <v>37.130000000000003</v>
      </c>
      <c r="E452" s="3">
        <v>100009324</v>
      </c>
      <c r="F452" s="2" t="s">
        <v>26</v>
      </c>
      <c r="G452" s="6" t="s">
        <v>22</v>
      </c>
      <c r="H452" s="2" t="s">
        <v>194</v>
      </c>
      <c r="I452" s="2" t="s">
        <v>195</v>
      </c>
      <c r="J452" s="2" t="s">
        <v>19</v>
      </c>
      <c r="K452" s="2" t="s">
        <v>353</v>
      </c>
      <c r="L452" s="7" t="str">
        <f>HYPERLINK("http://slimages.macys.com/is/image/MCY/9404224 ")</f>
        <v xml:space="preserve">http://slimages.macys.com/is/image/MCY/9404224 </v>
      </c>
    </row>
    <row r="453" spans="1:12" ht="24.75" x14ac:dyDescent="0.25">
      <c r="A453" s="4" t="s">
        <v>1211</v>
      </c>
      <c r="B453" s="2" t="s">
        <v>1212</v>
      </c>
      <c r="C453" s="3">
        <v>1</v>
      </c>
      <c r="D453" s="5">
        <v>59.5</v>
      </c>
      <c r="E453" s="3" t="s">
        <v>1213</v>
      </c>
      <c r="F453" s="2" t="s">
        <v>74</v>
      </c>
      <c r="G453" s="6" t="s">
        <v>219</v>
      </c>
      <c r="H453" s="2" t="s">
        <v>206</v>
      </c>
      <c r="I453" s="2" t="s">
        <v>207</v>
      </c>
      <c r="J453" s="2" t="s">
        <v>19</v>
      </c>
      <c r="K453" s="2" t="s">
        <v>672</v>
      </c>
      <c r="L453" s="7" t="str">
        <f>HYPERLINK("http://slimages.macys.com/is/image/MCY/9507267 ")</f>
        <v xml:space="preserve">http://slimages.macys.com/is/image/MCY/9507267 </v>
      </c>
    </row>
    <row r="454" spans="1:12" ht="24.75" x14ac:dyDescent="0.25">
      <c r="A454" s="4" t="s">
        <v>1214</v>
      </c>
      <c r="B454" s="2" t="s">
        <v>1215</v>
      </c>
      <c r="C454" s="3">
        <v>1</v>
      </c>
      <c r="D454" s="5">
        <v>37.130000000000003</v>
      </c>
      <c r="E454" s="3" t="s">
        <v>1216</v>
      </c>
      <c r="F454" s="2" t="s">
        <v>579</v>
      </c>
      <c r="G454" s="6" t="s">
        <v>156</v>
      </c>
      <c r="H454" s="2" t="s">
        <v>194</v>
      </c>
      <c r="I454" s="2" t="s">
        <v>580</v>
      </c>
      <c r="J454" s="2" t="s">
        <v>19</v>
      </c>
      <c r="K454" s="2" t="s">
        <v>247</v>
      </c>
      <c r="L454" s="7" t="str">
        <f>HYPERLINK("http://slimages.macys.com/is/image/MCY/12950186 ")</f>
        <v xml:space="preserve">http://slimages.macys.com/is/image/MCY/12950186 </v>
      </c>
    </row>
    <row r="455" spans="1:12" ht="24.75" x14ac:dyDescent="0.25">
      <c r="A455" s="4" t="s">
        <v>1217</v>
      </c>
      <c r="B455" s="2" t="s">
        <v>1215</v>
      </c>
      <c r="C455" s="3">
        <v>2</v>
      </c>
      <c r="D455" s="5">
        <v>37.130000000000003</v>
      </c>
      <c r="E455" s="3" t="s">
        <v>1216</v>
      </c>
      <c r="F455" s="2" t="s">
        <v>579</v>
      </c>
      <c r="G455" s="6" t="s">
        <v>234</v>
      </c>
      <c r="H455" s="2" t="s">
        <v>194</v>
      </c>
      <c r="I455" s="2" t="s">
        <v>580</v>
      </c>
      <c r="J455" s="2" t="s">
        <v>19</v>
      </c>
      <c r="K455" s="2" t="s">
        <v>247</v>
      </c>
      <c r="L455" s="7" t="str">
        <f>HYPERLINK("http://slimages.macys.com/is/image/MCY/12950186 ")</f>
        <v xml:space="preserve">http://slimages.macys.com/is/image/MCY/12950186 </v>
      </c>
    </row>
    <row r="456" spans="1:12" ht="24.75" x14ac:dyDescent="0.25">
      <c r="A456" s="4" t="s">
        <v>1218</v>
      </c>
      <c r="B456" s="2" t="s">
        <v>1219</v>
      </c>
      <c r="C456" s="3">
        <v>2</v>
      </c>
      <c r="D456" s="5">
        <v>37.130000000000003</v>
      </c>
      <c r="E456" s="3" t="s">
        <v>1220</v>
      </c>
      <c r="F456" s="2" t="s">
        <v>74</v>
      </c>
      <c r="G456" s="6" t="s">
        <v>200</v>
      </c>
      <c r="H456" s="2" t="s">
        <v>194</v>
      </c>
      <c r="I456" s="2" t="s">
        <v>580</v>
      </c>
      <c r="J456" s="2" t="s">
        <v>19</v>
      </c>
      <c r="K456" s="2" t="s">
        <v>247</v>
      </c>
      <c r="L456" s="7" t="str">
        <f>HYPERLINK("http://slimages.macys.com/is/image/MCY/13120755 ")</f>
        <v xml:space="preserve">http://slimages.macys.com/is/image/MCY/13120755 </v>
      </c>
    </row>
    <row r="457" spans="1:12" ht="24.75" x14ac:dyDescent="0.25">
      <c r="A457" s="4" t="s">
        <v>1221</v>
      </c>
      <c r="B457" s="2" t="s">
        <v>1222</v>
      </c>
      <c r="C457" s="3">
        <v>1</v>
      </c>
      <c r="D457" s="5">
        <v>37.130000000000003</v>
      </c>
      <c r="E457" s="3" t="s">
        <v>1223</v>
      </c>
      <c r="F457" s="2" t="s">
        <v>26</v>
      </c>
      <c r="G457" s="6" t="s">
        <v>154</v>
      </c>
      <c r="H457" s="2" t="s">
        <v>194</v>
      </c>
      <c r="I457" s="2" t="s">
        <v>580</v>
      </c>
      <c r="J457" s="2" t="s">
        <v>19</v>
      </c>
      <c r="K457" s="2" t="s">
        <v>247</v>
      </c>
      <c r="L457" s="7" t="str">
        <f>HYPERLINK("http://slimages.macys.com/is/image/MCY/12950179 ")</f>
        <v xml:space="preserve">http://slimages.macys.com/is/image/MCY/12950179 </v>
      </c>
    </row>
    <row r="458" spans="1:12" ht="24.75" x14ac:dyDescent="0.25">
      <c r="A458" s="4" t="s">
        <v>1224</v>
      </c>
      <c r="B458" s="2" t="s">
        <v>1215</v>
      </c>
      <c r="C458" s="3">
        <v>1</v>
      </c>
      <c r="D458" s="5">
        <v>37.130000000000003</v>
      </c>
      <c r="E458" s="3" t="s">
        <v>1216</v>
      </c>
      <c r="F458" s="2" t="s">
        <v>579</v>
      </c>
      <c r="G458" s="6" t="s">
        <v>181</v>
      </c>
      <c r="H458" s="2" t="s">
        <v>194</v>
      </c>
      <c r="I458" s="2" t="s">
        <v>580</v>
      </c>
      <c r="J458" s="2" t="s">
        <v>19</v>
      </c>
      <c r="K458" s="2" t="s">
        <v>247</v>
      </c>
      <c r="L458" s="7" t="str">
        <f>HYPERLINK("http://slimages.macys.com/is/image/MCY/12950186 ")</f>
        <v xml:space="preserve">http://slimages.macys.com/is/image/MCY/12950186 </v>
      </c>
    </row>
    <row r="459" spans="1:12" ht="24.75" x14ac:dyDescent="0.25">
      <c r="A459" s="4" t="s">
        <v>1225</v>
      </c>
      <c r="B459" s="2" t="s">
        <v>1222</v>
      </c>
      <c r="C459" s="3">
        <v>1</v>
      </c>
      <c r="D459" s="5">
        <v>37.130000000000003</v>
      </c>
      <c r="E459" s="3" t="s">
        <v>1223</v>
      </c>
      <c r="F459" s="2" t="s">
        <v>26</v>
      </c>
      <c r="G459" s="6" t="s">
        <v>234</v>
      </c>
      <c r="H459" s="2" t="s">
        <v>194</v>
      </c>
      <c r="I459" s="2" t="s">
        <v>580</v>
      </c>
      <c r="J459" s="2" t="s">
        <v>19</v>
      </c>
      <c r="K459" s="2" t="s">
        <v>247</v>
      </c>
      <c r="L459" s="7" t="str">
        <f>HYPERLINK("http://slimages.macys.com/is/image/MCY/12950179 ")</f>
        <v xml:space="preserve">http://slimages.macys.com/is/image/MCY/12950179 </v>
      </c>
    </row>
    <row r="460" spans="1:12" ht="24.75" x14ac:dyDescent="0.25">
      <c r="A460" s="4" t="s">
        <v>1226</v>
      </c>
      <c r="B460" s="2" t="s">
        <v>1219</v>
      </c>
      <c r="C460" s="3">
        <v>1</v>
      </c>
      <c r="D460" s="5">
        <v>37.130000000000003</v>
      </c>
      <c r="E460" s="3" t="s">
        <v>1220</v>
      </c>
      <c r="F460" s="2" t="s">
        <v>74</v>
      </c>
      <c r="G460" s="6" t="s">
        <v>154</v>
      </c>
      <c r="H460" s="2" t="s">
        <v>194</v>
      </c>
      <c r="I460" s="2" t="s">
        <v>580</v>
      </c>
      <c r="J460" s="2" t="s">
        <v>19</v>
      </c>
      <c r="K460" s="2" t="s">
        <v>247</v>
      </c>
      <c r="L460" s="7" t="str">
        <f>HYPERLINK("http://slimages.macys.com/is/image/MCY/13120755 ")</f>
        <v xml:space="preserve">http://slimages.macys.com/is/image/MCY/13120755 </v>
      </c>
    </row>
    <row r="461" spans="1:12" ht="24.75" x14ac:dyDescent="0.25">
      <c r="A461" s="4" t="s">
        <v>1227</v>
      </c>
      <c r="B461" s="2" t="s">
        <v>1228</v>
      </c>
      <c r="C461" s="3">
        <v>1</v>
      </c>
      <c r="D461" s="5">
        <v>37.130000000000003</v>
      </c>
      <c r="E461" s="3" t="s">
        <v>1229</v>
      </c>
      <c r="F461" s="2" t="s">
        <v>331</v>
      </c>
      <c r="G461" s="6" t="s">
        <v>154</v>
      </c>
      <c r="H461" s="2" t="s">
        <v>246</v>
      </c>
      <c r="I461" s="2" t="s">
        <v>189</v>
      </c>
      <c r="J461" s="2" t="s">
        <v>19</v>
      </c>
      <c r="K461" s="2" t="s">
        <v>1230</v>
      </c>
      <c r="L461" s="7" t="str">
        <f>HYPERLINK("http://slimages.macys.com/is/image/MCY/12048293 ")</f>
        <v xml:space="preserve">http://slimages.macys.com/is/image/MCY/12048293 </v>
      </c>
    </row>
    <row r="462" spans="1:12" ht="24.75" x14ac:dyDescent="0.25">
      <c r="A462" s="4" t="s">
        <v>1231</v>
      </c>
      <c r="B462" s="2" t="s">
        <v>1232</v>
      </c>
      <c r="C462" s="3">
        <v>1</v>
      </c>
      <c r="D462" s="5">
        <v>34.880000000000003</v>
      </c>
      <c r="E462" s="3" t="s">
        <v>1233</v>
      </c>
      <c r="F462" s="2" t="s">
        <v>1234</v>
      </c>
      <c r="G462" s="6" t="s">
        <v>112</v>
      </c>
      <c r="H462" s="2" t="s">
        <v>194</v>
      </c>
      <c r="I462" s="2" t="s">
        <v>195</v>
      </c>
      <c r="J462" s="2" t="s">
        <v>19</v>
      </c>
      <c r="K462" s="2" t="s">
        <v>353</v>
      </c>
      <c r="L462" s="7" t="str">
        <f>HYPERLINK("http://slimages.macys.com/is/image/MCY/8312314 ")</f>
        <v xml:space="preserve">http://slimages.macys.com/is/image/MCY/8312314 </v>
      </c>
    </row>
    <row r="463" spans="1:12" ht="24.75" x14ac:dyDescent="0.25">
      <c r="A463" s="4" t="s">
        <v>1235</v>
      </c>
      <c r="B463" s="2" t="s">
        <v>1232</v>
      </c>
      <c r="C463" s="3">
        <v>1</v>
      </c>
      <c r="D463" s="5">
        <v>34.5</v>
      </c>
      <c r="E463" s="3" t="s">
        <v>1236</v>
      </c>
      <c r="F463" s="2" t="s">
        <v>506</v>
      </c>
      <c r="G463" s="6" t="s">
        <v>39</v>
      </c>
      <c r="H463" s="2" t="s">
        <v>194</v>
      </c>
      <c r="I463" s="2" t="s">
        <v>195</v>
      </c>
      <c r="J463" s="2" t="s">
        <v>19</v>
      </c>
      <c r="K463" s="2" t="s">
        <v>353</v>
      </c>
      <c r="L463" s="7" t="str">
        <f>HYPERLINK("http://slimages.macys.com/is/image/MCY/8312314 ")</f>
        <v xml:space="preserve">http://slimages.macys.com/is/image/MCY/8312314 </v>
      </c>
    </row>
    <row r="464" spans="1:12" ht="24.75" x14ac:dyDescent="0.25">
      <c r="A464" s="4" t="s">
        <v>1237</v>
      </c>
      <c r="B464" s="2" t="s">
        <v>1232</v>
      </c>
      <c r="C464" s="3">
        <v>1</v>
      </c>
      <c r="D464" s="5">
        <v>34.880000000000003</v>
      </c>
      <c r="E464" s="3" t="s">
        <v>1238</v>
      </c>
      <c r="F464" s="2" t="s">
        <v>26</v>
      </c>
      <c r="G464" s="6" t="s">
        <v>22</v>
      </c>
      <c r="H464" s="2" t="s">
        <v>194</v>
      </c>
      <c r="I464" s="2" t="s">
        <v>195</v>
      </c>
      <c r="J464" s="2" t="s">
        <v>19</v>
      </c>
      <c r="K464" s="2" t="s">
        <v>353</v>
      </c>
      <c r="L464" s="7" t="str">
        <f>HYPERLINK("http://slimages.macys.com/is/image/MCY/8312314 ")</f>
        <v xml:space="preserve">http://slimages.macys.com/is/image/MCY/8312314 </v>
      </c>
    </row>
    <row r="465" spans="1:12" ht="24.75" x14ac:dyDescent="0.25">
      <c r="A465" s="4" t="s">
        <v>1239</v>
      </c>
      <c r="B465" s="2" t="s">
        <v>1232</v>
      </c>
      <c r="C465" s="3">
        <v>1</v>
      </c>
      <c r="D465" s="5">
        <v>34.5</v>
      </c>
      <c r="E465" s="3" t="s">
        <v>1236</v>
      </c>
      <c r="F465" s="2" t="s">
        <v>506</v>
      </c>
      <c r="G465" s="6" t="s">
        <v>22</v>
      </c>
      <c r="H465" s="2" t="s">
        <v>194</v>
      </c>
      <c r="I465" s="2" t="s">
        <v>195</v>
      </c>
      <c r="J465" s="2" t="s">
        <v>19</v>
      </c>
      <c r="K465" s="2" t="s">
        <v>353</v>
      </c>
      <c r="L465" s="7" t="str">
        <f>HYPERLINK("http://slimages.macys.com/is/image/MCY/8312314 ")</f>
        <v xml:space="preserve">http://slimages.macys.com/is/image/MCY/8312314 </v>
      </c>
    </row>
    <row r="466" spans="1:12" ht="24.75" x14ac:dyDescent="0.25">
      <c r="A466" s="4" t="s">
        <v>1240</v>
      </c>
      <c r="B466" s="2" t="s">
        <v>1241</v>
      </c>
      <c r="C466" s="3">
        <v>1</v>
      </c>
      <c r="D466" s="5">
        <v>37.130000000000003</v>
      </c>
      <c r="E466" s="3" t="s">
        <v>1242</v>
      </c>
      <c r="F466" s="2" t="s">
        <v>199</v>
      </c>
      <c r="G466" s="6" t="s">
        <v>238</v>
      </c>
      <c r="H466" s="2" t="s">
        <v>312</v>
      </c>
      <c r="I466" s="2" t="s">
        <v>195</v>
      </c>
      <c r="J466" s="2" t="s">
        <v>19</v>
      </c>
      <c r="K466" s="2" t="s">
        <v>353</v>
      </c>
      <c r="L466" s="7" t="str">
        <f>HYPERLINK("http://slimages.macys.com/is/image/MCY/11934909 ")</f>
        <v xml:space="preserve">http://slimages.macys.com/is/image/MCY/11934909 </v>
      </c>
    </row>
    <row r="467" spans="1:12" ht="24.75" x14ac:dyDescent="0.25">
      <c r="A467" s="4" t="s">
        <v>1243</v>
      </c>
      <c r="B467" s="2" t="s">
        <v>1244</v>
      </c>
      <c r="C467" s="3">
        <v>1</v>
      </c>
      <c r="D467" s="5">
        <v>37.130000000000003</v>
      </c>
      <c r="E467" s="3">
        <v>100058183</v>
      </c>
      <c r="F467" s="2" t="s">
        <v>15</v>
      </c>
      <c r="G467" s="6" t="s">
        <v>112</v>
      </c>
      <c r="H467" s="2" t="s">
        <v>194</v>
      </c>
      <c r="I467" s="2" t="s">
        <v>195</v>
      </c>
      <c r="J467" s="2" t="s">
        <v>19</v>
      </c>
      <c r="K467" s="2" t="s">
        <v>353</v>
      </c>
      <c r="L467" s="7" t="str">
        <f>HYPERLINK("http://slimages.macys.com/is/image/MCY/12793647 ")</f>
        <v xml:space="preserve">http://slimages.macys.com/is/image/MCY/12793647 </v>
      </c>
    </row>
    <row r="468" spans="1:12" ht="24.75" x14ac:dyDescent="0.25">
      <c r="A468" s="4" t="s">
        <v>1245</v>
      </c>
      <c r="B468" s="2" t="s">
        <v>1232</v>
      </c>
      <c r="C468" s="3">
        <v>1</v>
      </c>
      <c r="D468" s="5">
        <v>34.880000000000003</v>
      </c>
      <c r="E468" s="3" t="s">
        <v>1246</v>
      </c>
      <c r="F468" s="2" t="s">
        <v>74</v>
      </c>
      <c r="G468" s="6" t="s">
        <v>802</v>
      </c>
      <c r="H468" s="2" t="s">
        <v>312</v>
      </c>
      <c r="I468" s="2" t="s">
        <v>195</v>
      </c>
      <c r="J468" s="2" t="s">
        <v>19</v>
      </c>
      <c r="K468" s="2" t="s">
        <v>353</v>
      </c>
      <c r="L468" s="7" t="str">
        <f>HYPERLINK("http://slimages.macys.com/is/image/MCY/8256708 ")</f>
        <v xml:space="preserve">http://slimages.macys.com/is/image/MCY/8256708 </v>
      </c>
    </row>
    <row r="469" spans="1:12" ht="24.75" x14ac:dyDescent="0.25">
      <c r="A469" s="4" t="s">
        <v>1247</v>
      </c>
      <c r="B469" s="2" t="s">
        <v>1232</v>
      </c>
      <c r="C469" s="3">
        <v>1</v>
      </c>
      <c r="D469" s="5">
        <v>34.880000000000003</v>
      </c>
      <c r="E469" s="3" t="s">
        <v>1246</v>
      </c>
      <c r="F469" s="2" t="s">
        <v>74</v>
      </c>
      <c r="G469" s="6" t="s">
        <v>336</v>
      </c>
      <c r="H469" s="2" t="s">
        <v>312</v>
      </c>
      <c r="I469" s="2" t="s">
        <v>195</v>
      </c>
      <c r="J469" s="2" t="s">
        <v>19</v>
      </c>
      <c r="K469" s="2" t="s">
        <v>353</v>
      </c>
      <c r="L469" s="7" t="str">
        <f>HYPERLINK("http://slimages.macys.com/is/image/MCY/8256708 ")</f>
        <v xml:space="preserve">http://slimages.macys.com/is/image/MCY/8256708 </v>
      </c>
    </row>
    <row r="470" spans="1:12" ht="24.75" x14ac:dyDescent="0.25">
      <c r="A470" s="4" t="s">
        <v>1248</v>
      </c>
      <c r="B470" s="2" t="s">
        <v>1232</v>
      </c>
      <c r="C470" s="3">
        <v>1</v>
      </c>
      <c r="D470" s="5">
        <v>34.880000000000003</v>
      </c>
      <c r="E470" s="3" t="s">
        <v>1246</v>
      </c>
      <c r="F470" s="2" t="s">
        <v>74</v>
      </c>
      <c r="G470" s="6" t="s">
        <v>205</v>
      </c>
      <c r="H470" s="2" t="s">
        <v>312</v>
      </c>
      <c r="I470" s="2" t="s">
        <v>195</v>
      </c>
      <c r="J470" s="2" t="s">
        <v>19</v>
      </c>
      <c r="K470" s="2" t="s">
        <v>353</v>
      </c>
      <c r="L470" s="7" t="str">
        <f>HYPERLINK("http://slimages.macys.com/is/image/MCY/8256708 ")</f>
        <v xml:space="preserve">http://slimages.macys.com/is/image/MCY/8256708 </v>
      </c>
    </row>
    <row r="471" spans="1:12" ht="24.75" x14ac:dyDescent="0.25">
      <c r="A471" s="4" t="s">
        <v>1249</v>
      </c>
      <c r="B471" s="2" t="s">
        <v>1250</v>
      </c>
      <c r="C471" s="3">
        <v>1</v>
      </c>
      <c r="D471" s="5">
        <v>34.5</v>
      </c>
      <c r="E471" s="3">
        <v>100060490</v>
      </c>
      <c r="F471" s="2" t="s">
        <v>89</v>
      </c>
      <c r="G471" s="6" t="s">
        <v>22</v>
      </c>
      <c r="H471" s="2" t="s">
        <v>228</v>
      </c>
      <c r="I471" s="2" t="s">
        <v>229</v>
      </c>
      <c r="J471" s="2" t="s">
        <v>19</v>
      </c>
      <c r="K471" s="2" t="s">
        <v>1251</v>
      </c>
      <c r="L471" s="7" t="str">
        <f>HYPERLINK("http://slimages.macys.com/is/image/MCY/9100235 ")</f>
        <v xml:space="preserve">http://slimages.macys.com/is/image/MCY/9100235 </v>
      </c>
    </row>
    <row r="472" spans="1:12" ht="24.75" x14ac:dyDescent="0.25">
      <c r="A472" s="4" t="s">
        <v>1252</v>
      </c>
      <c r="B472" s="2" t="s">
        <v>1253</v>
      </c>
      <c r="C472" s="3">
        <v>1</v>
      </c>
      <c r="D472" s="5">
        <v>24.99</v>
      </c>
      <c r="E472" s="3" t="s">
        <v>1254</v>
      </c>
      <c r="F472" s="2" t="s">
        <v>15</v>
      </c>
      <c r="G472" s="6" t="s">
        <v>165</v>
      </c>
      <c r="H472" s="2" t="s">
        <v>426</v>
      </c>
      <c r="I472" s="2" t="s">
        <v>229</v>
      </c>
      <c r="J472" s="2" t="s">
        <v>19</v>
      </c>
      <c r="K472" s="2" t="s">
        <v>253</v>
      </c>
      <c r="L472" s="7" t="str">
        <f>HYPERLINK("http://slimages.macys.com/is/image/MCY/9029356 ")</f>
        <v xml:space="preserve">http://slimages.macys.com/is/image/MCY/9029356 </v>
      </c>
    </row>
    <row r="473" spans="1:12" ht="24.75" x14ac:dyDescent="0.25">
      <c r="A473" s="4" t="s">
        <v>1255</v>
      </c>
      <c r="B473" s="2" t="s">
        <v>1256</v>
      </c>
      <c r="C473" s="3">
        <v>1</v>
      </c>
      <c r="D473" s="5">
        <v>37.130000000000003</v>
      </c>
      <c r="E473" s="3" t="s">
        <v>1257</v>
      </c>
      <c r="F473" s="2" t="s">
        <v>74</v>
      </c>
      <c r="G473" s="6" t="s">
        <v>181</v>
      </c>
      <c r="H473" s="2" t="s">
        <v>284</v>
      </c>
      <c r="I473" s="2" t="s">
        <v>285</v>
      </c>
      <c r="J473" s="2" t="s">
        <v>19</v>
      </c>
      <c r="K473" s="2" t="s">
        <v>160</v>
      </c>
      <c r="L473" s="7" t="str">
        <f>HYPERLINK("http://slimages.macys.com/is/image/MCY/12876584 ")</f>
        <v xml:space="preserve">http://slimages.macys.com/is/image/MCY/12876584 </v>
      </c>
    </row>
    <row r="474" spans="1:12" ht="24.75" x14ac:dyDescent="0.25">
      <c r="A474" s="4" t="s">
        <v>1258</v>
      </c>
      <c r="B474" s="2" t="s">
        <v>1259</v>
      </c>
      <c r="C474" s="3">
        <v>1</v>
      </c>
      <c r="D474" s="5">
        <v>36.75</v>
      </c>
      <c r="E474" s="3" t="s">
        <v>1260</v>
      </c>
      <c r="F474" s="2" t="s">
        <v>26</v>
      </c>
      <c r="G474" s="6" t="s">
        <v>802</v>
      </c>
      <c r="H474" s="2" t="s">
        <v>426</v>
      </c>
      <c r="I474" s="2" t="s">
        <v>229</v>
      </c>
      <c r="J474" s="2" t="s">
        <v>19</v>
      </c>
      <c r="K474" s="2" t="s">
        <v>253</v>
      </c>
      <c r="L474" s="7" t="str">
        <f>HYPERLINK("http://slimages.macys.com/is/image/MCY/10334558 ")</f>
        <v xml:space="preserve">http://slimages.macys.com/is/image/MCY/10334558 </v>
      </c>
    </row>
    <row r="475" spans="1:12" ht="24.75" x14ac:dyDescent="0.25">
      <c r="A475" s="4" t="s">
        <v>1261</v>
      </c>
      <c r="B475" s="2" t="s">
        <v>1262</v>
      </c>
      <c r="C475" s="3">
        <v>1</v>
      </c>
      <c r="D475" s="5">
        <v>37.130000000000003</v>
      </c>
      <c r="E475" s="3" t="s">
        <v>1263</v>
      </c>
      <c r="F475" s="2" t="s">
        <v>33</v>
      </c>
      <c r="G475" s="6" t="s">
        <v>154</v>
      </c>
      <c r="H475" s="2" t="s">
        <v>194</v>
      </c>
      <c r="I475" s="2" t="s">
        <v>195</v>
      </c>
      <c r="J475" s="2" t="s">
        <v>19</v>
      </c>
      <c r="K475" s="2" t="s">
        <v>34</v>
      </c>
      <c r="L475" s="7" t="str">
        <f>HYPERLINK("http://slimages.macys.com/is/image/MCY/12793856 ")</f>
        <v xml:space="preserve">http://slimages.macys.com/is/image/MCY/12793856 </v>
      </c>
    </row>
    <row r="476" spans="1:12" ht="24.75" x14ac:dyDescent="0.25">
      <c r="A476" s="4" t="s">
        <v>1264</v>
      </c>
      <c r="B476" s="2" t="s">
        <v>1265</v>
      </c>
      <c r="C476" s="3">
        <v>1</v>
      </c>
      <c r="D476" s="5">
        <v>37.130000000000003</v>
      </c>
      <c r="E476" s="3">
        <v>100020742</v>
      </c>
      <c r="F476" s="2" t="s">
        <v>132</v>
      </c>
      <c r="G476" s="6" t="s">
        <v>156</v>
      </c>
      <c r="H476" s="2" t="s">
        <v>194</v>
      </c>
      <c r="I476" s="2" t="s">
        <v>503</v>
      </c>
      <c r="J476" s="2" t="s">
        <v>19</v>
      </c>
      <c r="K476" s="2" t="s">
        <v>201</v>
      </c>
      <c r="L476" s="7" t="str">
        <f>HYPERLINK("http://slimages.macys.com/is/image/MCY/12035316 ")</f>
        <v xml:space="preserve">http://slimages.macys.com/is/image/MCY/12035316 </v>
      </c>
    </row>
    <row r="477" spans="1:12" ht="24.75" x14ac:dyDescent="0.25">
      <c r="A477" s="4" t="s">
        <v>1266</v>
      </c>
      <c r="B477" s="2" t="s">
        <v>1265</v>
      </c>
      <c r="C477" s="3">
        <v>1</v>
      </c>
      <c r="D477" s="5">
        <v>37.130000000000003</v>
      </c>
      <c r="E477" s="3">
        <v>100020742</v>
      </c>
      <c r="F477" s="2" t="s">
        <v>132</v>
      </c>
      <c r="G477" s="6" t="s">
        <v>234</v>
      </c>
      <c r="H477" s="2" t="s">
        <v>194</v>
      </c>
      <c r="I477" s="2" t="s">
        <v>503</v>
      </c>
      <c r="J477" s="2" t="s">
        <v>19</v>
      </c>
      <c r="K477" s="2" t="s">
        <v>201</v>
      </c>
      <c r="L477" s="7" t="str">
        <f>HYPERLINK("http://slimages.macys.com/is/image/MCY/12035316 ")</f>
        <v xml:space="preserve">http://slimages.macys.com/is/image/MCY/12035316 </v>
      </c>
    </row>
    <row r="478" spans="1:12" ht="24.75" x14ac:dyDescent="0.25">
      <c r="A478" s="4" t="s">
        <v>1267</v>
      </c>
      <c r="B478" s="2" t="s">
        <v>1268</v>
      </c>
      <c r="C478" s="3">
        <v>4</v>
      </c>
      <c r="D478" s="5">
        <v>36.5</v>
      </c>
      <c r="E478" s="3" t="s">
        <v>1269</v>
      </c>
      <c r="F478" s="2" t="s">
        <v>111</v>
      </c>
      <c r="G478" s="6" t="s">
        <v>154</v>
      </c>
      <c r="H478" s="2" t="s">
        <v>194</v>
      </c>
      <c r="I478" s="2" t="s">
        <v>195</v>
      </c>
      <c r="J478" s="2" t="s">
        <v>19</v>
      </c>
      <c r="K478" s="2" t="s">
        <v>1108</v>
      </c>
      <c r="L478" s="7" t="str">
        <f>HYPERLINK("http://slimages.macys.com/is/image/MCY/11764670 ")</f>
        <v xml:space="preserve">http://slimages.macys.com/is/image/MCY/11764670 </v>
      </c>
    </row>
    <row r="479" spans="1:12" ht="24.75" x14ac:dyDescent="0.25">
      <c r="A479" s="4" t="s">
        <v>1270</v>
      </c>
      <c r="B479" s="2" t="s">
        <v>1271</v>
      </c>
      <c r="C479" s="3">
        <v>1</v>
      </c>
      <c r="D479" s="5">
        <v>33.380000000000003</v>
      </c>
      <c r="E479" s="3" t="s">
        <v>1272</v>
      </c>
      <c r="F479" s="2" t="s">
        <v>26</v>
      </c>
      <c r="G479" s="6" t="s">
        <v>154</v>
      </c>
      <c r="H479" s="2" t="s">
        <v>246</v>
      </c>
      <c r="I479" s="2" t="s">
        <v>189</v>
      </c>
      <c r="J479" s="2" t="s">
        <v>19</v>
      </c>
      <c r="K479" s="2" t="s">
        <v>803</v>
      </c>
      <c r="L479" s="7" t="str">
        <f>HYPERLINK("http://slimages.macys.com/is/image/MCY/11940179 ")</f>
        <v xml:space="preserve">http://slimages.macys.com/is/image/MCY/11940179 </v>
      </c>
    </row>
    <row r="480" spans="1:12" ht="24.75" x14ac:dyDescent="0.25">
      <c r="A480" s="4" t="s">
        <v>1273</v>
      </c>
      <c r="B480" s="2" t="s">
        <v>1274</v>
      </c>
      <c r="C480" s="3">
        <v>1</v>
      </c>
      <c r="D480" s="5">
        <v>33.380000000000003</v>
      </c>
      <c r="E480" s="3" t="s">
        <v>1275</v>
      </c>
      <c r="F480" s="2" t="s">
        <v>26</v>
      </c>
      <c r="G480" s="6" t="s">
        <v>234</v>
      </c>
      <c r="H480" s="2" t="s">
        <v>194</v>
      </c>
      <c r="I480" s="2" t="s">
        <v>195</v>
      </c>
      <c r="J480" s="2" t="s">
        <v>19</v>
      </c>
      <c r="K480" s="2" t="s">
        <v>107</v>
      </c>
      <c r="L480" s="7" t="str">
        <f>HYPERLINK("http://slimages.macys.com/is/image/MCY/12850892 ")</f>
        <v xml:space="preserve">http://slimages.macys.com/is/image/MCY/12850892 </v>
      </c>
    </row>
    <row r="481" spans="1:12" ht="24.75" x14ac:dyDescent="0.25">
      <c r="A481" s="4" t="s">
        <v>1276</v>
      </c>
      <c r="B481" s="2" t="s">
        <v>1274</v>
      </c>
      <c r="C481" s="3">
        <v>1</v>
      </c>
      <c r="D481" s="5">
        <v>33.380000000000003</v>
      </c>
      <c r="E481" s="3" t="s">
        <v>1275</v>
      </c>
      <c r="F481" s="2" t="s">
        <v>26</v>
      </c>
      <c r="G481" s="6" t="s">
        <v>156</v>
      </c>
      <c r="H481" s="2" t="s">
        <v>194</v>
      </c>
      <c r="I481" s="2" t="s">
        <v>195</v>
      </c>
      <c r="J481" s="2" t="s">
        <v>19</v>
      </c>
      <c r="K481" s="2" t="s">
        <v>107</v>
      </c>
      <c r="L481" s="7" t="str">
        <f>HYPERLINK("http://slimages.macys.com/is/image/MCY/12850892 ")</f>
        <v xml:space="preserve">http://slimages.macys.com/is/image/MCY/12850892 </v>
      </c>
    </row>
    <row r="482" spans="1:12" ht="24.75" x14ac:dyDescent="0.25">
      <c r="A482" s="4" t="s">
        <v>1277</v>
      </c>
      <c r="B482" s="2" t="s">
        <v>1274</v>
      </c>
      <c r="C482" s="3">
        <v>1</v>
      </c>
      <c r="D482" s="5">
        <v>33.380000000000003</v>
      </c>
      <c r="E482" s="3" t="s">
        <v>1275</v>
      </c>
      <c r="F482" s="2" t="s">
        <v>26</v>
      </c>
      <c r="G482" s="6" t="s">
        <v>200</v>
      </c>
      <c r="H482" s="2" t="s">
        <v>194</v>
      </c>
      <c r="I482" s="2" t="s">
        <v>195</v>
      </c>
      <c r="J482" s="2" t="s">
        <v>19</v>
      </c>
      <c r="K482" s="2" t="s">
        <v>107</v>
      </c>
      <c r="L482" s="7" t="str">
        <f>HYPERLINK("http://slimages.macys.com/is/image/MCY/12850892 ")</f>
        <v xml:space="preserve">http://slimages.macys.com/is/image/MCY/12850892 </v>
      </c>
    </row>
    <row r="483" spans="1:12" ht="24.75" x14ac:dyDescent="0.25">
      <c r="A483" s="4" t="s">
        <v>1278</v>
      </c>
      <c r="B483" s="2" t="s">
        <v>1279</v>
      </c>
      <c r="C483" s="3">
        <v>3</v>
      </c>
      <c r="D483" s="5">
        <v>27.99</v>
      </c>
      <c r="E483" s="3" t="s">
        <v>1280</v>
      </c>
      <c r="F483" s="2" t="s">
        <v>566</v>
      </c>
      <c r="G483" s="6"/>
      <c r="H483" s="2" t="s">
        <v>312</v>
      </c>
      <c r="I483" s="2" t="s">
        <v>1112</v>
      </c>
      <c r="J483" s="2" t="s">
        <v>19</v>
      </c>
      <c r="K483" s="2" t="s">
        <v>409</v>
      </c>
      <c r="L483" s="7" t="str">
        <f>HYPERLINK("http://slimages.macys.com/is/image/MCY/3832970 ")</f>
        <v xml:space="preserve">http://slimages.macys.com/is/image/MCY/3832970 </v>
      </c>
    </row>
    <row r="484" spans="1:12" ht="24.75" x14ac:dyDescent="0.25">
      <c r="A484" s="4" t="s">
        <v>1281</v>
      </c>
      <c r="B484" s="2" t="s">
        <v>1279</v>
      </c>
      <c r="C484" s="3">
        <v>2</v>
      </c>
      <c r="D484" s="5">
        <v>27.99</v>
      </c>
      <c r="E484" s="3" t="s">
        <v>1280</v>
      </c>
      <c r="F484" s="2" t="s">
        <v>566</v>
      </c>
      <c r="G484" s="6"/>
      <c r="H484" s="2" t="s">
        <v>312</v>
      </c>
      <c r="I484" s="2" t="s">
        <v>1112</v>
      </c>
      <c r="J484" s="2" t="s">
        <v>19</v>
      </c>
      <c r="K484" s="2" t="s">
        <v>409</v>
      </c>
      <c r="L484" s="7" t="str">
        <f>HYPERLINK("http://slimages.macys.com/is/image/MCY/3832970 ")</f>
        <v xml:space="preserve">http://slimages.macys.com/is/image/MCY/3832970 </v>
      </c>
    </row>
    <row r="485" spans="1:12" ht="24.75" x14ac:dyDescent="0.25">
      <c r="A485" s="4" t="s">
        <v>1282</v>
      </c>
      <c r="B485" s="2" t="s">
        <v>1283</v>
      </c>
      <c r="C485" s="3">
        <v>1</v>
      </c>
      <c r="D485" s="5">
        <v>37.130000000000003</v>
      </c>
      <c r="E485" s="3" t="s">
        <v>1284</v>
      </c>
      <c r="F485" s="2" t="s">
        <v>74</v>
      </c>
      <c r="G485" s="6"/>
      <c r="H485" s="2" t="s">
        <v>312</v>
      </c>
      <c r="I485" s="2" t="s">
        <v>195</v>
      </c>
      <c r="J485" s="2" t="s">
        <v>19</v>
      </c>
      <c r="K485" s="2" t="s">
        <v>247</v>
      </c>
      <c r="L485" s="7" t="str">
        <f>HYPERLINK("http://slimages.macys.com/is/image/MCY/9108604 ")</f>
        <v xml:space="preserve">http://slimages.macys.com/is/image/MCY/9108604 </v>
      </c>
    </row>
    <row r="486" spans="1:12" ht="24.75" x14ac:dyDescent="0.25">
      <c r="A486" s="4" t="s">
        <v>1285</v>
      </c>
      <c r="B486" s="2" t="s">
        <v>1279</v>
      </c>
      <c r="C486" s="3">
        <v>18</v>
      </c>
      <c r="D486" s="5">
        <v>27.99</v>
      </c>
      <c r="E486" s="3" t="s">
        <v>1286</v>
      </c>
      <c r="F486" s="2" t="s">
        <v>506</v>
      </c>
      <c r="G486" s="6" t="s">
        <v>154</v>
      </c>
      <c r="H486" s="2" t="s">
        <v>194</v>
      </c>
      <c r="I486" s="2" t="s">
        <v>919</v>
      </c>
      <c r="J486" s="2" t="s">
        <v>19</v>
      </c>
      <c r="K486" s="2" t="s">
        <v>409</v>
      </c>
      <c r="L486" s="7" t="str">
        <f>HYPERLINK("http://slimages.macys.com/is/image/MCY/8185331 ")</f>
        <v xml:space="preserve">http://slimages.macys.com/is/image/MCY/8185331 </v>
      </c>
    </row>
    <row r="487" spans="1:12" ht="24.75" x14ac:dyDescent="0.25">
      <c r="A487" s="4" t="s">
        <v>1287</v>
      </c>
      <c r="B487" s="2" t="s">
        <v>1279</v>
      </c>
      <c r="C487" s="3">
        <v>2</v>
      </c>
      <c r="D487" s="5">
        <v>27.99</v>
      </c>
      <c r="E487" s="3" t="s">
        <v>1280</v>
      </c>
      <c r="F487" s="2" t="s">
        <v>566</v>
      </c>
      <c r="G487" s="6"/>
      <c r="H487" s="2" t="s">
        <v>312</v>
      </c>
      <c r="I487" s="2" t="s">
        <v>1112</v>
      </c>
      <c r="J487" s="2" t="s">
        <v>19</v>
      </c>
      <c r="K487" s="2" t="s">
        <v>409</v>
      </c>
      <c r="L487" s="7" t="str">
        <f>HYPERLINK("http://slimages.macys.com/is/image/MCY/3832970 ")</f>
        <v xml:space="preserve">http://slimages.macys.com/is/image/MCY/3832970 </v>
      </c>
    </row>
    <row r="488" spans="1:12" ht="24.75" x14ac:dyDescent="0.25">
      <c r="A488" s="4" t="s">
        <v>1288</v>
      </c>
      <c r="B488" s="2" t="s">
        <v>1279</v>
      </c>
      <c r="C488" s="3">
        <v>2</v>
      </c>
      <c r="D488" s="5">
        <v>27.99</v>
      </c>
      <c r="E488" s="3" t="s">
        <v>1280</v>
      </c>
      <c r="F488" s="2" t="s">
        <v>566</v>
      </c>
      <c r="G488" s="6"/>
      <c r="H488" s="2" t="s">
        <v>312</v>
      </c>
      <c r="I488" s="2" t="s">
        <v>1112</v>
      </c>
      <c r="J488" s="2" t="s">
        <v>19</v>
      </c>
      <c r="K488" s="2" t="s">
        <v>409</v>
      </c>
      <c r="L488" s="7" t="str">
        <f>HYPERLINK("http://slimages.macys.com/is/image/MCY/3832970 ")</f>
        <v xml:space="preserve">http://slimages.macys.com/is/image/MCY/3832970 </v>
      </c>
    </row>
    <row r="489" spans="1:12" ht="24.75" x14ac:dyDescent="0.25">
      <c r="A489" s="4" t="s">
        <v>1289</v>
      </c>
      <c r="B489" s="2" t="s">
        <v>1279</v>
      </c>
      <c r="C489" s="3">
        <v>1</v>
      </c>
      <c r="D489" s="5">
        <v>27.99</v>
      </c>
      <c r="E489" s="3" t="s">
        <v>1280</v>
      </c>
      <c r="F489" s="2" t="s">
        <v>566</v>
      </c>
      <c r="G489" s="6"/>
      <c r="H489" s="2" t="s">
        <v>312</v>
      </c>
      <c r="I489" s="2" t="s">
        <v>1112</v>
      </c>
      <c r="J489" s="2" t="s">
        <v>19</v>
      </c>
      <c r="K489" s="2" t="s">
        <v>409</v>
      </c>
      <c r="L489" s="7" t="str">
        <f>HYPERLINK("http://slimages.macys.com/is/image/MCY/3832970 ")</f>
        <v xml:space="preserve">http://slimages.macys.com/is/image/MCY/3832970 </v>
      </c>
    </row>
    <row r="490" spans="1:12" ht="24.75" x14ac:dyDescent="0.25">
      <c r="A490" s="4" t="s">
        <v>1290</v>
      </c>
      <c r="B490" s="2" t="s">
        <v>1291</v>
      </c>
      <c r="C490" s="3">
        <v>1</v>
      </c>
      <c r="D490" s="5">
        <v>65</v>
      </c>
      <c r="E490" s="3" t="s">
        <v>1292</v>
      </c>
      <c r="F490" s="2" t="s">
        <v>1234</v>
      </c>
      <c r="G490" s="6" t="s">
        <v>794</v>
      </c>
      <c r="H490" s="2" t="s">
        <v>447</v>
      </c>
      <c r="I490" s="2" t="s">
        <v>792</v>
      </c>
      <c r="J490" s="2" t="s">
        <v>19</v>
      </c>
      <c r="K490" s="2" t="s">
        <v>160</v>
      </c>
      <c r="L490" s="7" t="str">
        <f>HYPERLINK("http://slimages.macys.com/is/image/MCY/14532439 ")</f>
        <v xml:space="preserve">http://slimages.macys.com/is/image/MCY/14532439 </v>
      </c>
    </row>
    <row r="491" spans="1:12" ht="36.75" x14ac:dyDescent="0.25">
      <c r="A491" s="4" t="s">
        <v>1293</v>
      </c>
      <c r="B491" s="2" t="s">
        <v>1294</v>
      </c>
      <c r="C491" s="3">
        <v>1</v>
      </c>
      <c r="D491" s="5">
        <v>37.130000000000003</v>
      </c>
      <c r="E491" s="3" t="s">
        <v>1295</v>
      </c>
      <c r="F491" s="2" t="s">
        <v>1296</v>
      </c>
      <c r="G491" s="6" t="s">
        <v>794</v>
      </c>
      <c r="H491" s="2" t="s">
        <v>632</v>
      </c>
      <c r="I491" s="2" t="s">
        <v>285</v>
      </c>
      <c r="J491" s="2" t="s">
        <v>19</v>
      </c>
      <c r="K491" s="2" t="s">
        <v>1297</v>
      </c>
      <c r="L491" s="7" t="str">
        <f>HYPERLINK("http://slimages.macys.com/is/image/MCY/8660799 ")</f>
        <v xml:space="preserve">http://slimages.macys.com/is/image/MCY/8660799 </v>
      </c>
    </row>
    <row r="492" spans="1:12" ht="24.75" x14ac:dyDescent="0.25">
      <c r="A492" s="4" t="s">
        <v>1298</v>
      </c>
      <c r="B492" s="2" t="s">
        <v>1279</v>
      </c>
      <c r="C492" s="3">
        <v>2</v>
      </c>
      <c r="D492" s="5">
        <v>27.99</v>
      </c>
      <c r="E492" s="3" t="s">
        <v>1286</v>
      </c>
      <c r="F492" s="2" t="s">
        <v>506</v>
      </c>
      <c r="G492" s="6" t="s">
        <v>200</v>
      </c>
      <c r="H492" s="2" t="s">
        <v>194</v>
      </c>
      <c r="I492" s="2" t="s">
        <v>919</v>
      </c>
      <c r="J492" s="2" t="s">
        <v>19</v>
      </c>
      <c r="K492" s="2" t="s">
        <v>409</v>
      </c>
      <c r="L492" s="7" t="str">
        <f>HYPERLINK("http://slimages.macys.com/is/image/MCY/8185331 ")</f>
        <v xml:space="preserve">http://slimages.macys.com/is/image/MCY/8185331 </v>
      </c>
    </row>
    <row r="493" spans="1:12" ht="24.75" x14ac:dyDescent="0.25">
      <c r="A493" s="4" t="s">
        <v>1299</v>
      </c>
      <c r="B493" s="2" t="s">
        <v>1279</v>
      </c>
      <c r="C493" s="3">
        <v>7</v>
      </c>
      <c r="D493" s="5">
        <v>27.99</v>
      </c>
      <c r="E493" s="3" t="s">
        <v>1286</v>
      </c>
      <c r="F493" s="2" t="s">
        <v>506</v>
      </c>
      <c r="G493" s="6" t="s">
        <v>156</v>
      </c>
      <c r="H493" s="2" t="s">
        <v>194</v>
      </c>
      <c r="I493" s="2" t="s">
        <v>919</v>
      </c>
      <c r="J493" s="2" t="s">
        <v>19</v>
      </c>
      <c r="K493" s="2" t="s">
        <v>409</v>
      </c>
      <c r="L493" s="7" t="str">
        <f>HYPERLINK("http://slimages.macys.com/is/image/MCY/8185331 ")</f>
        <v xml:space="preserve">http://slimages.macys.com/is/image/MCY/8185331 </v>
      </c>
    </row>
    <row r="494" spans="1:12" ht="24.75" x14ac:dyDescent="0.25">
      <c r="A494" s="4" t="s">
        <v>1300</v>
      </c>
      <c r="B494" s="2" t="s">
        <v>1279</v>
      </c>
      <c r="C494" s="3">
        <v>6</v>
      </c>
      <c r="D494" s="5">
        <v>27.99</v>
      </c>
      <c r="E494" s="3" t="s">
        <v>1286</v>
      </c>
      <c r="F494" s="2" t="s">
        <v>506</v>
      </c>
      <c r="G494" s="6" t="s">
        <v>181</v>
      </c>
      <c r="H494" s="2" t="s">
        <v>194</v>
      </c>
      <c r="I494" s="2" t="s">
        <v>919</v>
      </c>
      <c r="J494" s="2" t="s">
        <v>19</v>
      </c>
      <c r="K494" s="2" t="s">
        <v>409</v>
      </c>
      <c r="L494" s="7" t="str">
        <f>HYPERLINK("http://slimages.macys.com/is/image/MCY/8185331 ")</f>
        <v xml:space="preserve">http://slimages.macys.com/is/image/MCY/8185331 </v>
      </c>
    </row>
    <row r="495" spans="1:12" ht="24.75" x14ac:dyDescent="0.25">
      <c r="A495" s="4" t="s">
        <v>1301</v>
      </c>
      <c r="B495" s="2" t="s">
        <v>1279</v>
      </c>
      <c r="C495" s="3">
        <v>1</v>
      </c>
      <c r="D495" s="5">
        <v>27.99</v>
      </c>
      <c r="E495" s="3" t="s">
        <v>1302</v>
      </c>
      <c r="F495" s="2" t="s">
        <v>566</v>
      </c>
      <c r="G495" s="6" t="s">
        <v>154</v>
      </c>
      <c r="H495" s="2" t="s">
        <v>194</v>
      </c>
      <c r="I495" s="2" t="s">
        <v>919</v>
      </c>
      <c r="J495" s="2" t="s">
        <v>19</v>
      </c>
      <c r="K495" s="2" t="s">
        <v>409</v>
      </c>
      <c r="L495" s="7" t="str">
        <f>HYPERLINK("http://slimages.macys.com/is/image/MCY/3244804 ")</f>
        <v xml:space="preserve">http://slimages.macys.com/is/image/MCY/3244804 </v>
      </c>
    </row>
    <row r="496" spans="1:12" ht="24.75" x14ac:dyDescent="0.25">
      <c r="A496" s="4" t="s">
        <v>1303</v>
      </c>
      <c r="B496" s="2" t="s">
        <v>1279</v>
      </c>
      <c r="C496" s="3">
        <v>3</v>
      </c>
      <c r="D496" s="5">
        <v>27.99</v>
      </c>
      <c r="E496" s="3" t="s">
        <v>1286</v>
      </c>
      <c r="F496" s="2" t="s">
        <v>506</v>
      </c>
      <c r="G496" s="6" t="s">
        <v>234</v>
      </c>
      <c r="H496" s="2" t="s">
        <v>194</v>
      </c>
      <c r="I496" s="2" t="s">
        <v>919</v>
      </c>
      <c r="J496" s="2" t="s">
        <v>19</v>
      </c>
      <c r="K496" s="2" t="s">
        <v>409</v>
      </c>
      <c r="L496" s="7" t="str">
        <f>HYPERLINK("http://slimages.macys.com/is/image/MCY/8185331 ")</f>
        <v xml:space="preserve">http://slimages.macys.com/is/image/MCY/8185331 </v>
      </c>
    </row>
    <row r="497" spans="1:12" ht="24.75" x14ac:dyDescent="0.25">
      <c r="A497" s="4" t="s">
        <v>1304</v>
      </c>
      <c r="B497" s="2" t="s">
        <v>1196</v>
      </c>
      <c r="C497" s="3">
        <v>1</v>
      </c>
      <c r="D497" s="5">
        <v>37.130000000000003</v>
      </c>
      <c r="E497" s="3" t="s">
        <v>1305</v>
      </c>
      <c r="F497" s="2" t="s">
        <v>887</v>
      </c>
      <c r="G497" s="6"/>
      <c r="H497" s="2" t="s">
        <v>312</v>
      </c>
      <c r="I497" s="2" t="s">
        <v>195</v>
      </c>
      <c r="J497" s="2" t="s">
        <v>19</v>
      </c>
      <c r="K497" s="2" t="s">
        <v>990</v>
      </c>
      <c r="L497" s="7" t="str">
        <f>HYPERLINK("http://slimages.macys.com/is/image/MCY/12280097 ")</f>
        <v xml:space="preserve">http://slimages.macys.com/is/image/MCY/12280097 </v>
      </c>
    </row>
    <row r="498" spans="1:12" ht="24.75" x14ac:dyDescent="0.25">
      <c r="A498" s="4" t="s">
        <v>1306</v>
      </c>
      <c r="B498" s="2" t="s">
        <v>1307</v>
      </c>
      <c r="C498" s="3">
        <v>1</v>
      </c>
      <c r="D498" s="5">
        <v>33.380000000000003</v>
      </c>
      <c r="E498" s="3" t="s">
        <v>1308</v>
      </c>
      <c r="F498" s="2" t="s">
        <v>752</v>
      </c>
      <c r="G498" s="6" t="s">
        <v>156</v>
      </c>
      <c r="H498" s="2" t="s">
        <v>194</v>
      </c>
      <c r="I498" s="2" t="s">
        <v>195</v>
      </c>
      <c r="J498" s="2" t="s">
        <v>19</v>
      </c>
      <c r="K498" s="2" t="s">
        <v>1108</v>
      </c>
      <c r="L498" s="7" t="str">
        <f>HYPERLINK("http://slimages.macys.com/is/image/MCY/12950211 ")</f>
        <v xml:space="preserve">http://slimages.macys.com/is/image/MCY/12950211 </v>
      </c>
    </row>
    <row r="499" spans="1:12" ht="24.75" x14ac:dyDescent="0.25">
      <c r="A499" s="4" t="s">
        <v>1309</v>
      </c>
      <c r="B499" s="2" t="s">
        <v>1310</v>
      </c>
      <c r="C499" s="3">
        <v>2</v>
      </c>
      <c r="D499" s="5">
        <v>37.130000000000003</v>
      </c>
      <c r="E499" s="3">
        <v>100053964</v>
      </c>
      <c r="F499" s="2" t="s">
        <v>26</v>
      </c>
      <c r="G499" s="6" t="s">
        <v>16</v>
      </c>
      <c r="H499" s="2" t="s">
        <v>194</v>
      </c>
      <c r="I499" s="2" t="s">
        <v>195</v>
      </c>
      <c r="J499" s="2" t="s">
        <v>19</v>
      </c>
      <c r="K499" s="2" t="s">
        <v>353</v>
      </c>
      <c r="L499" s="7" t="str">
        <f>HYPERLINK("http://slimages.macys.com/is/image/MCY/12063731 ")</f>
        <v xml:space="preserve">http://slimages.macys.com/is/image/MCY/12063731 </v>
      </c>
    </row>
    <row r="500" spans="1:12" ht="24.75" x14ac:dyDescent="0.25">
      <c r="A500" s="4" t="s">
        <v>1311</v>
      </c>
      <c r="B500" s="2" t="s">
        <v>1310</v>
      </c>
      <c r="C500" s="3">
        <v>1</v>
      </c>
      <c r="D500" s="5">
        <v>37.130000000000003</v>
      </c>
      <c r="E500" s="3">
        <v>100053964</v>
      </c>
      <c r="F500" s="2" t="s">
        <v>26</v>
      </c>
      <c r="G500" s="6" t="s">
        <v>65</v>
      </c>
      <c r="H500" s="2" t="s">
        <v>194</v>
      </c>
      <c r="I500" s="2" t="s">
        <v>195</v>
      </c>
      <c r="J500" s="2" t="s">
        <v>19</v>
      </c>
      <c r="K500" s="2" t="s">
        <v>353</v>
      </c>
      <c r="L500" s="7" t="str">
        <f>HYPERLINK("http://slimages.macys.com/is/image/MCY/12063731 ")</f>
        <v xml:space="preserve">http://slimages.macys.com/is/image/MCY/12063731 </v>
      </c>
    </row>
    <row r="501" spans="1:12" ht="24.75" x14ac:dyDescent="0.25">
      <c r="A501" s="4" t="s">
        <v>1312</v>
      </c>
      <c r="B501" s="2" t="s">
        <v>1310</v>
      </c>
      <c r="C501" s="3">
        <v>1</v>
      </c>
      <c r="D501" s="5">
        <v>37.130000000000003</v>
      </c>
      <c r="E501" s="3">
        <v>100053964</v>
      </c>
      <c r="F501" s="2" t="s">
        <v>26</v>
      </c>
      <c r="G501" s="6" t="s">
        <v>141</v>
      </c>
      <c r="H501" s="2" t="s">
        <v>194</v>
      </c>
      <c r="I501" s="2" t="s">
        <v>195</v>
      </c>
      <c r="J501" s="2" t="s">
        <v>19</v>
      </c>
      <c r="K501" s="2" t="s">
        <v>353</v>
      </c>
      <c r="L501" s="7" t="str">
        <f>HYPERLINK("http://slimages.macys.com/is/image/MCY/12063731 ")</f>
        <v xml:space="preserve">http://slimages.macys.com/is/image/MCY/12063731 </v>
      </c>
    </row>
    <row r="502" spans="1:12" ht="24.75" x14ac:dyDescent="0.25">
      <c r="A502" s="4" t="s">
        <v>1313</v>
      </c>
      <c r="B502" s="2" t="s">
        <v>1314</v>
      </c>
      <c r="C502" s="3">
        <v>1</v>
      </c>
      <c r="D502" s="5">
        <v>24.99</v>
      </c>
      <c r="E502" s="3">
        <v>100010068</v>
      </c>
      <c r="F502" s="2" t="s">
        <v>998</v>
      </c>
      <c r="G502" s="6" t="s">
        <v>106</v>
      </c>
      <c r="H502" s="2" t="s">
        <v>228</v>
      </c>
      <c r="I502" s="2" t="s">
        <v>863</v>
      </c>
      <c r="J502" s="2" t="s">
        <v>19</v>
      </c>
      <c r="K502" s="2" t="s">
        <v>1315</v>
      </c>
      <c r="L502" s="7" t="str">
        <f>HYPERLINK("http://slimages.macys.com/is/image/MCY/9190991 ")</f>
        <v xml:space="preserve">http://slimages.macys.com/is/image/MCY/9190991 </v>
      </c>
    </row>
    <row r="503" spans="1:12" ht="24.75" x14ac:dyDescent="0.25">
      <c r="A503" s="4" t="s">
        <v>1316</v>
      </c>
      <c r="B503" s="2" t="s">
        <v>1314</v>
      </c>
      <c r="C503" s="3">
        <v>1</v>
      </c>
      <c r="D503" s="5">
        <v>24.99</v>
      </c>
      <c r="E503" s="3">
        <v>100010068</v>
      </c>
      <c r="F503" s="2" t="s">
        <v>252</v>
      </c>
      <c r="G503" s="6" t="s">
        <v>58</v>
      </c>
      <c r="H503" s="2" t="s">
        <v>228</v>
      </c>
      <c r="I503" s="2" t="s">
        <v>863</v>
      </c>
      <c r="J503" s="2" t="s">
        <v>19</v>
      </c>
      <c r="K503" s="2" t="s">
        <v>1315</v>
      </c>
      <c r="L503" s="7" t="str">
        <f>HYPERLINK("http://slimages.macys.com/is/image/MCY/9190991 ")</f>
        <v xml:space="preserve">http://slimages.macys.com/is/image/MCY/9190991 </v>
      </c>
    </row>
    <row r="504" spans="1:12" ht="24.75" x14ac:dyDescent="0.25">
      <c r="A504" s="4" t="s">
        <v>1317</v>
      </c>
      <c r="B504" s="2" t="s">
        <v>1318</v>
      </c>
      <c r="C504" s="3">
        <v>1</v>
      </c>
      <c r="D504" s="5">
        <v>24.99</v>
      </c>
      <c r="E504" s="3">
        <v>100006766</v>
      </c>
      <c r="F504" s="2" t="s">
        <v>417</v>
      </c>
      <c r="G504" s="6" t="s">
        <v>58</v>
      </c>
      <c r="H504" s="2" t="s">
        <v>228</v>
      </c>
      <c r="I504" s="2" t="s">
        <v>229</v>
      </c>
      <c r="J504" s="2" t="s">
        <v>19</v>
      </c>
      <c r="K504" s="2" t="s">
        <v>253</v>
      </c>
      <c r="L504" s="7" t="str">
        <f>HYPERLINK("http://slimages.macys.com/is/image/MCY/9029356 ")</f>
        <v xml:space="preserve">http://slimages.macys.com/is/image/MCY/9029356 </v>
      </c>
    </row>
    <row r="505" spans="1:12" ht="24.75" x14ac:dyDescent="0.25">
      <c r="A505" s="4" t="s">
        <v>1319</v>
      </c>
      <c r="B505" s="2" t="s">
        <v>1314</v>
      </c>
      <c r="C505" s="3">
        <v>1</v>
      </c>
      <c r="D505" s="5">
        <v>24.99</v>
      </c>
      <c r="E505" s="3">
        <v>100010068</v>
      </c>
      <c r="F505" s="2" t="s">
        <v>252</v>
      </c>
      <c r="G505" s="6" t="s">
        <v>112</v>
      </c>
      <c r="H505" s="2" t="s">
        <v>228</v>
      </c>
      <c r="I505" s="2" t="s">
        <v>863</v>
      </c>
      <c r="J505" s="2" t="s">
        <v>19</v>
      </c>
      <c r="K505" s="2" t="s">
        <v>1315</v>
      </c>
      <c r="L505" s="7" t="str">
        <f>HYPERLINK("http://slimages.macys.com/is/image/MCY/9190991 ")</f>
        <v xml:space="preserve">http://slimages.macys.com/is/image/MCY/9190991 </v>
      </c>
    </row>
    <row r="506" spans="1:12" ht="24.75" x14ac:dyDescent="0.25">
      <c r="A506" s="4" t="s">
        <v>1320</v>
      </c>
      <c r="B506" s="2" t="s">
        <v>1318</v>
      </c>
      <c r="C506" s="3">
        <v>1</v>
      </c>
      <c r="D506" s="5">
        <v>24.99</v>
      </c>
      <c r="E506" s="3" t="s">
        <v>1321</v>
      </c>
      <c r="F506" s="2" t="s">
        <v>1322</v>
      </c>
      <c r="G506" s="6" t="s">
        <v>27</v>
      </c>
      <c r="H506" s="2" t="s">
        <v>228</v>
      </c>
      <c r="I506" s="2" t="s">
        <v>229</v>
      </c>
      <c r="J506" s="2" t="s">
        <v>19</v>
      </c>
      <c r="K506" s="2" t="s">
        <v>253</v>
      </c>
      <c r="L506" s="7" t="str">
        <f>HYPERLINK("http://slimages.macys.com/is/image/MCY/12143958 ")</f>
        <v xml:space="preserve">http://slimages.macys.com/is/image/MCY/12143958 </v>
      </c>
    </row>
    <row r="507" spans="1:12" ht="24.75" x14ac:dyDescent="0.25">
      <c r="A507" s="4" t="s">
        <v>1323</v>
      </c>
      <c r="B507" s="2" t="s">
        <v>1324</v>
      </c>
      <c r="C507" s="3">
        <v>1</v>
      </c>
      <c r="D507" s="5">
        <v>37.130000000000003</v>
      </c>
      <c r="E507" s="3" t="s">
        <v>1325</v>
      </c>
      <c r="F507" s="2" t="s">
        <v>752</v>
      </c>
      <c r="G507" s="6" t="s">
        <v>245</v>
      </c>
      <c r="H507" s="2" t="s">
        <v>194</v>
      </c>
      <c r="I507" s="2" t="s">
        <v>580</v>
      </c>
      <c r="J507" s="2" t="s">
        <v>19</v>
      </c>
      <c r="K507" s="2" t="s">
        <v>160</v>
      </c>
      <c r="L507" s="7" t="str">
        <f>HYPERLINK("http://slimages.macys.com/is/image/MCY/12667972 ")</f>
        <v xml:space="preserve">http://slimages.macys.com/is/image/MCY/12667972 </v>
      </c>
    </row>
    <row r="508" spans="1:12" ht="24.75" x14ac:dyDescent="0.25">
      <c r="A508" s="4" t="s">
        <v>1326</v>
      </c>
      <c r="B508" s="2" t="s">
        <v>1327</v>
      </c>
      <c r="C508" s="3">
        <v>1</v>
      </c>
      <c r="D508" s="5">
        <v>34.880000000000003</v>
      </c>
      <c r="E508" s="3" t="s">
        <v>1328</v>
      </c>
      <c r="F508" s="2" t="s">
        <v>506</v>
      </c>
      <c r="G508" s="6" t="s">
        <v>363</v>
      </c>
      <c r="H508" s="2" t="s">
        <v>312</v>
      </c>
      <c r="I508" s="2" t="s">
        <v>195</v>
      </c>
      <c r="J508" s="2" t="s">
        <v>19</v>
      </c>
      <c r="K508" s="2" t="s">
        <v>353</v>
      </c>
      <c r="L508" s="7" t="str">
        <f>HYPERLINK("http://slimages.macys.com/is/image/MCY/8256708 ")</f>
        <v xml:space="preserve">http://slimages.macys.com/is/image/MCY/8256708 </v>
      </c>
    </row>
    <row r="509" spans="1:12" ht="24.75" x14ac:dyDescent="0.25">
      <c r="A509" s="4" t="s">
        <v>1329</v>
      </c>
      <c r="B509" s="2" t="s">
        <v>1330</v>
      </c>
      <c r="C509" s="3">
        <v>1</v>
      </c>
      <c r="D509" s="5">
        <v>37.130000000000003</v>
      </c>
      <c r="E509" s="3" t="s">
        <v>1331</v>
      </c>
      <c r="F509" s="2" t="s">
        <v>417</v>
      </c>
      <c r="G509" s="6" t="s">
        <v>234</v>
      </c>
      <c r="H509" s="2" t="s">
        <v>194</v>
      </c>
      <c r="I509" s="2" t="s">
        <v>195</v>
      </c>
      <c r="J509" s="2" t="s">
        <v>19</v>
      </c>
      <c r="K509" s="2" t="s">
        <v>247</v>
      </c>
      <c r="L509" s="7" t="str">
        <f>HYPERLINK("http://slimages.macys.com/is/image/MCY/10889638 ")</f>
        <v xml:space="preserve">http://slimages.macys.com/is/image/MCY/10889638 </v>
      </c>
    </row>
    <row r="510" spans="1:12" ht="24.75" x14ac:dyDescent="0.25">
      <c r="A510" s="4" t="s">
        <v>1332</v>
      </c>
      <c r="B510" s="2" t="s">
        <v>1333</v>
      </c>
      <c r="C510" s="3">
        <v>1</v>
      </c>
      <c r="D510" s="5">
        <v>24.99</v>
      </c>
      <c r="E510" s="3" t="s">
        <v>1334</v>
      </c>
      <c r="F510" s="2" t="s">
        <v>417</v>
      </c>
      <c r="G510" s="6" t="s">
        <v>1335</v>
      </c>
      <c r="H510" s="2" t="s">
        <v>228</v>
      </c>
      <c r="I510" s="2" t="s">
        <v>229</v>
      </c>
      <c r="J510" s="2" t="s">
        <v>19</v>
      </c>
      <c r="K510" s="2" t="s">
        <v>253</v>
      </c>
      <c r="L510" s="7" t="str">
        <f>HYPERLINK("http://slimages.macys.com/is/image/MCY/8185688 ")</f>
        <v xml:space="preserve">http://slimages.macys.com/is/image/MCY/8185688 </v>
      </c>
    </row>
    <row r="511" spans="1:12" ht="24.75" x14ac:dyDescent="0.25">
      <c r="A511" s="4" t="s">
        <v>1336</v>
      </c>
      <c r="B511" s="2" t="s">
        <v>1330</v>
      </c>
      <c r="C511" s="3">
        <v>1</v>
      </c>
      <c r="D511" s="5">
        <v>37.130000000000003</v>
      </c>
      <c r="E511" s="3" t="s">
        <v>1331</v>
      </c>
      <c r="F511" s="2" t="s">
        <v>74</v>
      </c>
      <c r="G511" s="6" t="s">
        <v>234</v>
      </c>
      <c r="H511" s="2" t="s">
        <v>194</v>
      </c>
      <c r="I511" s="2" t="s">
        <v>195</v>
      </c>
      <c r="J511" s="2" t="s">
        <v>19</v>
      </c>
      <c r="K511" s="2" t="s">
        <v>247</v>
      </c>
      <c r="L511" s="7" t="str">
        <f>HYPERLINK("http://slimages.macys.com/is/image/MCY/10889638 ")</f>
        <v xml:space="preserve">http://slimages.macys.com/is/image/MCY/10889638 </v>
      </c>
    </row>
    <row r="512" spans="1:12" ht="24.75" x14ac:dyDescent="0.25">
      <c r="A512" s="4" t="s">
        <v>1337</v>
      </c>
      <c r="B512" s="2" t="s">
        <v>1330</v>
      </c>
      <c r="C512" s="3">
        <v>1</v>
      </c>
      <c r="D512" s="5">
        <v>37.130000000000003</v>
      </c>
      <c r="E512" s="3" t="s">
        <v>1331</v>
      </c>
      <c r="F512" s="2" t="s">
        <v>74</v>
      </c>
      <c r="G512" s="6" t="s">
        <v>181</v>
      </c>
      <c r="H512" s="2" t="s">
        <v>194</v>
      </c>
      <c r="I512" s="2" t="s">
        <v>195</v>
      </c>
      <c r="J512" s="2" t="s">
        <v>19</v>
      </c>
      <c r="K512" s="2" t="s">
        <v>247</v>
      </c>
      <c r="L512" s="7" t="str">
        <f>HYPERLINK("http://slimages.macys.com/is/image/MCY/10889638 ")</f>
        <v xml:space="preserve">http://slimages.macys.com/is/image/MCY/10889638 </v>
      </c>
    </row>
    <row r="513" spans="1:12" ht="24.75" x14ac:dyDescent="0.25">
      <c r="A513" s="4" t="s">
        <v>1338</v>
      </c>
      <c r="B513" s="2" t="s">
        <v>1339</v>
      </c>
      <c r="C513" s="3">
        <v>1</v>
      </c>
      <c r="D513" s="5">
        <v>29.63</v>
      </c>
      <c r="E513" s="3" t="s">
        <v>1340</v>
      </c>
      <c r="F513" s="2" t="s">
        <v>170</v>
      </c>
      <c r="G513" s="6"/>
      <c r="H513" s="2" t="s">
        <v>312</v>
      </c>
      <c r="I513" s="2" t="s">
        <v>195</v>
      </c>
      <c r="J513" s="2" t="s">
        <v>19</v>
      </c>
      <c r="K513" s="2" t="s">
        <v>1108</v>
      </c>
      <c r="L513" s="7" t="str">
        <f>HYPERLINK("http://slimages.macys.com/is/image/MCY/12143865 ")</f>
        <v xml:space="preserve">http://slimages.macys.com/is/image/MCY/12143865 </v>
      </c>
    </row>
    <row r="514" spans="1:12" ht="24.75" x14ac:dyDescent="0.25">
      <c r="A514" s="4" t="s">
        <v>1341</v>
      </c>
      <c r="B514" s="2" t="s">
        <v>1330</v>
      </c>
      <c r="C514" s="3">
        <v>2</v>
      </c>
      <c r="D514" s="5">
        <v>37.130000000000003</v>
      </c>
      <c r="E514" s="3" t="s">
        <v>1331</v>
      </c>
      <c r="F514" s="2" t="s">
        <v>417</v>
      </c>
      <c r="G514" s="6" t="s">
        <v>181</v>
      </c>
      <c r="H514" s="2" t="s">
        <v>194</v>
      </c>
      <c r="I514" s="2" t="s">
        <v>195</v>
      </c>
      <c r="J514" s="2" t="s">
        <v>19</v>
      </c>
      <c r="K514" s="2" t="s">
        <v>247</v>
      </c>
      <c r="L514" s="7" t="str">
        <f>HYPERLINK("http://slimages.macys.com/is/image/MCY/10889638 ")</f>
        <v xml:space="preserve">http://slimages.macys.com/is/image/MCY/10889638 </v>
      </c>
    </row>
    <row r="515" spans="1:12" ht="24.75" x14ac:dyDescent="0.25">
      <c r="A515" s="4" t="s">
        <v>1342</v>
      </c>
      <c r="B515" s="2" t="s">
        <v>1343</v>
      </c>
      <c r="C515" s="3">
        <v>1</v>
      </c>
      <c r="D515" s="5">
        <v>24.99</v>
      </c>
      <c r="E515" s="3" t="s">
        <v>1344</v>
      </c>
      <c r="F515" s="2" t="s">
        <v>33</v>
      </c>
      <c r="G515" s="6" t="s">
        <v>27</v>
      </c>
      <c r="H515" s="2" t="s">
        <v>228</v>
      </c>
      <c r="I515" s="2" t="s">
        <v>863</v>
      </c>
      <c r="J515" s="2" t="s">
        <v>19</v>
      </c>
      <c r="K515" s="2" t="s">
        <v>253</v>
      </c>
      <c r="L515" s="7" t="str">
        <f>HYPERLINK("http://slimages.macys.com/is/image/MCY/11804521 ")</f>
        <v xml:space="preserve">http://slimages.macys.com/is/image/MCY/11804521 </v>
      </c>
    </row>
    <row r="516" spans="1:12" ht="24.75" x14ac:dyDescent="0.25">
      <c r="A516" s="4" t="s">
        <v>1345</v>
      </c>
      <c r="B516" s="2" t="s">
        <v>1346</v>
      </c>
      <c r="C516" s="3">
        <v>1</v>
      </c>
      <c r="D516" s="5">
        <v>59.5</v>
      </c>
      <c r="E516" s="3" t="s">
        <v>1347</v>
      </c>
      <c r="F516" s="2" t="s">
        <v>680</v>
      </c>
      <c r="G516" s="6" t="s">
        <v>187</v>
      </c>
      <c r="H516" s="2" t="s">
        <v>206</v>
      </c>
      <c r="I516" s="2" t="s">
        <v>207</v>
      </c>
      <c r="J516" s="2" t="s">
        <v>19</v>
      </c>
      <c r="K516" s="2" t="s">
        <v>1348</v>
      </c>
      <c r="L516" s="7" t="str">
        <f>HYPERLINK("http://slimages.macys.com/is/image/MCY/9236109 ")</f>
        <v xml:space="preserve">http://slimages.macys.com/is/image/MCY/9236109 </v>
      </c>
    </row>
    <row r="517" spans="1:12" ht="24.75" x14ac:dyDescent="0.25">
      <c r="A517" s="4" t="s">
        <v>1349</v>
      </c>
      <c r="B517" s="2" t="s">
        <v>1318</v>
      </c>
      <c r="C517" s="3">
        <v>1</v>
      </c>
      <c r="D517" s="5">
        <v>24.99</v>
      </c>
      <c r="E517" s="3" t="s">
        <v>1321</v>
      </c>
      <c r="F517" s="2" t="s">
        <v>376</v>
      </c>
      <c r="G517" s="6" t="s">
        <v>112</v>
      </c>
      <c r="H517" s="2" t="s">
        <v>228</v>
      </c>
      <c r="I517" s="2" t="s">
        <v>229</v>
      </c>
      <c r="J517" s="2" t="s">
        <v>19</v>
      </c>
      <c r="K517" s="2" t="s">
        <v>253</v>
      </c>
      <c r="L517" s="7" t="str">
        <f>HYPERLINK("http://slimages.macys.com/is/image/MCY/9029356 ")</f>
        <v xml:space="preserve">http://slimages.macys.com/is/image/MCY/9029356 </v>
      </c>
    </row>
    <row r="518" spans="1:12" ht="24.75" x14ac:dyDescent="0.25">
      <c r="A518" s="4" t="s">
        <v>1350</v>
      </c>
      <c r="B518" s="2" t="s">
        <v>1318</v>
      </c>
      <c r="C518" s="3">
        <v>1</v>
      </c>
      <c r="D518" s="5">
        <v>24.99</v>
      </c>
      <c r="E518" s="3" t="s">
        <v>1321</v>
      </c>
      <c r="F518" s="2" t="s">
        <v>506</v>
      </c>
      <c r="G518" s="6" t="s">
        <v>58</v>
      </c>
      <c r="H518" s="2" t="s">
        <v>228</v>
      </c>
      <c r="I518" s="2" t="s">
        <v>229</v>
      </c>
      <c r="J518" s="2" t="s">
        <v>19</v>
      </c>
      <c r="K518" s="2" t="s">
        <v>253</v>
      </c>
      <c r="L518" s="7" t="str">
        <f>HYPERLINK("http://slimages.macys.com/is/image/MCY/8296032 ")</f>
        <v xml:space="preserve">http://slimages.macys.com/is/image/MCY/8296032 </v>
      </c>
    </row>
    <row r="519" spans="1:12" ht="24.75" x14ac:dyDescent="0.25">
      <c r="A519" s="4" t="s">
        <v>1351</v>
      </c>
      <c r="B519" s="2" t="s">
        <v>1318</v>
      </c>
      <c r="C519" s="3">
        <v>2</v>
      </c>
      <c r="D519" s="5">
        <v>24.99</v>
      </c>
      <c r="E519" s="3" t="s">
        <v>1321</v>
      </c>
      <c r="F519" s="2" t="s">
        <v>376</v>
      </c>
      <c r="G519" s="6" t="s">
        <v>106</v>
      </c>
      <c r="H519" s="2" t="s">
        <v>228</v>
      </c>
      <c r="I519" s="2" t="s">
        <v>229</v>
      </c>
      <c r="J519" s="2" t="s">
        <v>19</v>
      </c>
      <c r="K519" s="2" t="s">
        <v>253</v>
      </c>
      <c r="L519" s="7" t="str">
        <f>HYPERLINK("http://slimages.macys.com/is/image/MCY/9029356 ")</f>
        <v xml:space="preserve">http://slimages.macys.com/is/image/MCY/9029356 </v>
      </c>
    </row>
    <row r="520" spans="1:12" ht="24.75" x14ac:dyDescent="0.25">
      <c r="A520" s="4" t="s">
        <v>1352</v>
      </c>
      <c r="B520" s="2" t="s">
        <v>1318</v>
      </c>
      <c r="C520" s="3">
        <v>1</v>
      </c>
      <c r="D520" s="5">
        <v>24.99</v>
      </c>
      <c r="E520" s="3" t="s">
        <v>1321</v>
      </c>
      <c r="F520" s="2" t="s">
        <v>506</v>
      </c>
      <c r="G520" s="6" t="s">
        <v>141</v>
      </c>
      <c r="H520" s="2" t="s">
        <v>228</v>
      </c>
      <c r="I520" s="2" t="s">
        <v>229</v>
      </c>
      <c r="J520" s="2" t="s">
        <v>19</v>
      </c>
      <c r="K520" s="2" t="s">
        <v>253</v>
      </c>
      <c r="L520" s="7" t="str">
        <f>HYPERLINK("http://slimages.macys.com/is/image/MCY/8296032 ")</f>
        <v xml:space="preserve">http://slimages.macys.com/is/image/MCY/8296032 </v>
      </c>
    </row>
    <row r="521" spans="1:12" ht="24.75" x14ac:dyDescent="0.25">
      <c r="A521" s="4" t="s">
        <v>1353</v>
      </c>
      <c r="B521" s="2" t="s">
        <v>1253</v>
      </c>
      <c r="C521" s="3">
        <v>1</v>
      </c>
      <c r="D521" s="5">
        <v>24.99</v>
      </c>
      <c r="E521" s="3" t="s">
        <v>1354</v>
      </c>
      <c r="F521" s="2" t="s">
        <v>64</v>
      </c>
      <c r="G521" s="6" t="s">
        <v>934</v>
      </c>
      <c r="H521" s="2" t="s">
        <v>426</v>
      </c>
      <c r="I521" s="2" t="s">
        <v>229</v>
      </c>
      <c r="J521" s="2" t="s">
        <v>19</v>
      </c>
      <c r="K521" s="2" t="s">
        <v>253</v>
      </c>
      <c r="L521" s="7" t="str">
        <f>HYPERLINK("http://slimages.macys.com/is/image/MCY/9029356 ")</f>
        <v xml:space="preserve">http://slimages.macys.com/is/image/MCY/9029356 </v>
      </c>
    </row>
    <row r="522" spans="1:12" ht="24.75" x14ac:dyDescent="0.25">
      <c r="A522" s="4" t="s">
        <v>1355</v>
      </c>
      <c r="B522" s="2" t="s">
        <v>1356</v>
      </c>
      <c r="C522" s="3">
        <v>1</v>
      </c>
      <c r="D522" s="5">
        <v>34.5</v>
      </c>
      <c r="E522" s="3" t="s">
        <v>1357</v>
      </c>
      <c r="F522" s="2" t="s">
        <v>26</v>
      </c>
      <c r="G522" s="6" t="s">
        <v>165</v>
      </c>
      <c r="H522" s="2" t="s">
        <v>426</v>
      </c>
      <c r="I522" s="2" t="s">
        <v>229</v>
      </c>
      <c r="J522" s="2" t="s">
        <v>19</v>
      </c>
      <c r="K522" s="2" t="s">
        <v>107</v>
      </c>
      <c r="L522" s="7" t="str">
        <f>HYPERLINK("http://slimages.macys.com/is/image/MCY/16355207 ")</f>
        <v xml:space="preserve">http://slimages.macys.com/is/image/MCY/16355207 </v>
      </c>
    </row>
    <row r="523" spans="1:12" ht="24.75" x14ac:dyDescent="0.25">
      <c r="A523" s="4" t="s">
        <v>1358</v>
      </c>
      <c r="B523" s="2" t="s">
        <v>1359</v>
      </c>
      <c r="C523" s="3">
        <v>1</v>
      </c>
      <c r="D523" s="5">
        <v>29.99</v>
      </c>
      <c r="E523" s="3" t="s">
        <v>1360</v>
      </c>
      <c r="F523" s="2" t="s">
        <v>26</v>
      </c>
      <c r="G523" s="6" t="s">
        <v>234</v>
      </c>
      <c r="H523" s="2" t="s">
        <v>246</v>
      </c>
      <c r="I523" s="2" t="s">
        <v>189</v>
      </c>
      <c r="J523" s="2" t="s">
        <v>19</v>
      </c>
      <c r="K523" s="2" t="s">
        <v>160</v>
      </c>
      <c r="L523" s="7" t="str">
        <f>HYPERLINK("http://slimages.macys.com/is/image/MCY/11420487 ")</f>
        <v xml:space="preserve">http://slimages.macys.com/is/image/MCY/11420487 </v>
      </c>
    </row>
    <row r="524" spans="1:12" ht="24.75" x14ac:dyDescent="0.25">
      <c r="A524" s="4" t="s">
        <v>1361</v>
      </c>
      <c r="B524" s="2" t="s">
        <v>1362</v>
      </c>
      <c r="C524" s="3">
        <v>1</v>
      </c>
      <c r="D524" s="5">
        <v>29.6</v>
      </c>
      <c r="E524" s="3" t="s">
        <v>1363</v>
      </c>
      <c r="F524" s="2" t="s">
        <v>26</v>
      </c>
      <c r="G524" s="6"/>
      <c r="H524" s="2" t="s">
        <v>312</v>
      </c>
      <c r="I524" s="2" t="s">
        <v>195</v>
      </c>
      <c r="J524" s="2" t="s">
        <v>19</v>
      </c>
      <c r="K524" s="2" t="s">
        <v>648</v>
      </c>
      <c r="L524" s="7" t="str">
        <f>HYPERLINK("http://slimages.macys.com/is/image/MCY/9551966 ")</f>
        <v xml:space="preserve">http://slimages.macys.com/is/image/MCY/9551966 </v>
      </c>
    </row>
    <row r="525" spans="1:12" ht="24.75" x14ac:dyDescent="0.25">
      <c r="A525" s="4" t="s">
        <v>1364</v>
      </c>
      <c r="B525" s="2" t="s">
        <v>1365</v>
      </c>
      <c r="C525" s="3">
        <v>1</v>
      </c>
      <c r="D525" s="5">
        <v>37.130000000000003</v>
      </c>
      <c r="E525" s="3">
        <v>100065803</v>
      </c>
      <c r="F525" s="2" t="s">
        <v>15</v>
      </c>
      <c r="G525" s="6" t="s">
        <v>181</v>
      </c>
      <c r="H525" s="2" t="s">
        <v>194</v>
      </c>
      <c r="I525" s="2" t="s">
        <v>195</v>
      </c>
      <c r="J525" s="2" t="s">
        <v>19</v>
      </c>
      <c r="K525" s="2" t="s">
        <v>353</v>
      </c>
      <c r="L525" s="7" t="str">
        <f t="shared" ref="L525:L531" si="5">HYPERLINK("http://slimages.macys.com/is/image/MCY/12850008 ")</f>
        <v xml:space="preserve">http://slimages.macys.com/is/image/MCY/12850008 </v>
      </c>
    </row>
    <row r="526" spans="1:12" ht="24.75" x14ac:dyDescent="0.25">
      <c r="A526" s="4" t="s">
        <v>1366</v>
      </c>
      <c r="B526" s="2" t="s">
        <v>1365</v>
      </c>
      <c r="C526" s="3">
        <v>1</v>
      </c>
      <c r="D526" s="5">
        <v>37.130000000000003</v>
      </c>
      <c r="E526" s="3">
        <v>100065803</v>
      </c>
      <c r="F526" s="2" t="s">
        <v>74</v>
      </c>
      <c r="G526" s="6" t="s">
        <v>200</v>
      </c>
      <c r="H526" s="2" t="s">
        <v>194</v>
      </c>
      <c r="I526" s="2" t="s">
        <v>195</v>
      </c>
      <c r="J526" s="2" t="s">
        <v>19</v>
      </c>
      <c r="K526" s="2" t="s">
        <v>353</v>
      </c>
      <c r="L526" s="7" t="str">
        <f t="shared" si="5"/>
        <v xml:space="preserve">http://slimages.macys.com/is/image/MCY/12850008 </v>
      </c>
    </row>
    <row r="527" spans="1:12" ht="24.75" x14ac:dyDescent="0.25">
      <c r="A527" s="4" t="s">
        <v>1367</v>
      </c>
      <c r="B527" s="2" t="s">
        <v>1365</v>
      </c>
      <c r="C527" s="3">
        <v>1</v>
      </c>
      <c r="D527" s="5">
        <v>37.130000000000003</v>
      </c>
      <c r="E527" s="3">
        <v>100065803</v>
      </c>
      <c r="F527" s="2" t="s">
        <v>15</v>
      </c>
      <c r="G527" s="6" t="s">
        <v>245</v>
      </c>
      <c r="H527" s="2" t="s">
        <v>194</v>
      </c>
      <c r="I527" s="2" t="s">
        <v>195</v>
      </c>
      <c r="J527" s="2" t="s">
        <v>19</v>
      </c>
      <c r="K527" s="2" t="s">
        <v>353</v>
      </c>
      <c r="L527" s="7" t="str">
        <f t="shared" si="5"/>
        <v xml:space="preserve">http://slimages.macys.com/is/image/MCY/12850008 </v>
      </c>
    </row>
    <row r="528" spans="1:12" ht="24.75" x14ac:dyDescent="0.25">
      <c r="A528" s="4" t="s">
        <v>1368</v>
      </c>
      <c r="B528" s="2" t="s">
        <v>1365</v>
      </c>
      <c r="C528" s="3">
        <v>1</v>
      </c>
      <c r="D528" s="5">
        <v>37.130000000000003</v>
      </c>
      <c r="E528" s="3">
        <v>100065803</v>
      </c>
      <c r="F528" s="2" t="s">
        <v>15</v>
      </c>
      <c r="G528" s="6" t="s">
        <v>156</v>
      </c>
      <c r="H528" s="2" t="s">
        <v>194</v>
      </c>
      <c r="I528" s="2" t="s">
        <v>195</v>
      </c>
      <c r="J528" s="2" t="s">
        <v>19</v>
      </c>
      <c r="K528" s="2" t="s">
        <v>353</v>
      </c>
      <c r="L528" s="7" t="str">
        <f t="shared" si="5"/>
        <v xml:space="preserve">http://slimages.macys.com/is/image/MCY/12850008 </v>
      </c>
    </row>
    <row r="529" spans="1:12" ht="24.75" x14ac:dyDescent="0.25">
      <c r="A529" s="4" t="s">
        <v>1369</v>
      </c>
      <c r="B529" s="2" t="s">
        <v>1365</v>
      </c>
      <c r="C529" s="3">
        <v>1</v>
      </c>
      <c r="D529" s="5">
        <v>37.130000000000003</v>
      </c>
      <c r="E529" s="3">
        <v>100065803</v>
      </c>
      <c r="F529" s="2" t="s">
        <v>15</v>
      </c>
      <c r="G529" s="6" t="s">
        <v>234</v>
      </c>
      <c r="H529" s="2" t="s">
        <v>194</v>
      </c>
      <c r="I529" s="2" t="s">
        <v>195</v>
      </c>
      <c r="J529" s="2" t="s">
        <v>19</v>
      </c>
      <c r="K529" s="2" t="s">
        <v>353</v>
      </c>
      <c r="L529" s="7" t="str">
        <f t="shared" si="5"/>
        <v xml:space="preserve">http://slimages.macys.com/is/image/MCY/12850008 </v>
      </c>
    </row>
    <row r="530" spans="1:12" ht="24.75" x14ac:dyDescent="0.25">
      <c r="A530" s="4" t="s">
        <v>1370</v>
      </c>
      <c r="B530" s="2" t="s">
        <v>1365</v>
      </c>
      <c r="C530" s="3">
        <v>1</v>
      </c>
      <c r="D530" s="5">
        <v>37.130000000000003</v>
      </c>
      <c r="E530" s="3">
        <v>100065803</v>
      </c>
      <c r="F530" s="2" t="s">
        <v>74</v>
      </c>
      <c r="G530" s="6" t="s">
        <v>156</v>
      </c>
      <c r="H530" s="2" t="s">
        <v>194</v>
      </c>
      <c r="I530" s="2" t="s">
        <v>195</v>
      </c>
      <c r="J530" s="2" t="s">
        <v>19</v>
      </c>
      <c r="K530" s="2" t="s">
        <v>353</v>
      </c>
      <c r="L530" s="7" t="str">
        <f t="shared" si="5"/>
        <v xml:space="preserve">http://slimages.macys.com/is/image/MCY/12850008 </v>
      </c>
    </row>
    <row r="531" spans="1:12" ht="24.75" x14ac:dyDescent="0.25">
      <c r="A531" s="4" t="s">
        <v>1371</v>
      </c>
      <c r="B531" s="2" t="s">
        <v>1365</v>
      </c>
      <c r="C531" s="3">
        <v>1</v>
      </c>
      <c r="D531" s="5">
        <v>37.130000000000003</v>
      </c>
      <c r="E531" s="3">
        <v>100065803</v>
      </c>
      <c r="F531" s="2" t="s">
        <v>15</v>
      </c>
      <c r="G531" s="6" t="s">
        <v>200</v>
      </c>
      <c r="H531" s="2" t="s">
        <v>194</v>
      </c>
      <c r="I531" s="2" t="s">
        <v>195</v>
      </c>
      <c r="J531" s="2" t="s">
        <v>19</v>
      </c>
      <c r="K531" s="2" t="s">
        <v>353</v>
      </c>
      <c r="L531" s="7" t="str">
        <f t="shared" si="5"/>
        <v xml:space="preserve">http://slimages.macys.com/is/image/MCY/12850008 </v>
      </c>
    </row>
    <row r="532" spans="1:12" ht="24.75" x14ac:dyDescent="0.25">
      <c r="A532" s="4" t="s">
        <v>1372</v>
      </c>
      <c r="B532" s="2" t="s">
        <v>1373</v>
      </c>
      <c r="C532" s="3">
        <v>1</v>
      </c>
      <c r="D532" s="5">
        <v>37.130000000000003</v>
      </c>
      <c r="E532" s="3" t="s">
        <v>1374</v>
      </c>
      <c r="F532" s="2" t="s">
        <v>38</v>
      </c>
      <c r="G532" s="6" t="s">
        <v>234</v>
      </c>
      <c r="H532" s="2" t="s">
        <v>194</v>
      </c>
      <c r="I532" s="2" t="s">
        <v>195</v>
      </c>
      <c r="J532" s="2" t="s">
        <v>19</v>
      </c>
      <c r="K532" s="2" t="s">
        <v>247</v>
      </c>
      <c r="L532" s="7" t="str">
        <f>HYPERLINK("http://slimages.macys.com/is/image/MCY/12034795 ")</f>
        <v xml:space="preserve">http://slimages.macys.com/is/image/MCY/12034795 </v>
      </c>
    </row>
    <row r="533" spans="1:12" ht="24.75" x14ac:dyDescent="0.25">
      <c r="A533" s="4" t="s">
        <v>1375</v>
      </c>
      <c r="B533" s="2" t="s">
        <v>1373</v>
      </c>
      <c r="C533" s="3">
        <v>1</v>
      </c>
      <c r="D533" s="5">
        <v>37.130000000000003</v>
      </c>
      <c r="E533" s="3" t="s">
        <v>1374</v>
      </c>
      <c r="F533" s="2" t="s">
        <v>676</v>
      </c>
      <c r="G533" s="6" t="s">
        <v>154</v>
      </c>
      <c r="H533" s="2" t="s">
        <v>194</v>
      </c>
      <c r="I533" s="2" t="s">
        <v>195</v>
      </c>
      <c r="J533" s="2" t="s">
        <v>19</v>
      </c>
      <c r="K533" s="2" t="s">
        <v>247</v>
      </c>
      <c r="L533" s="7" t="str">
        <f>HYPERLINK("http://slimages.macys.com/is/image/MCY/12034795 ")</f>
        <v xml:space="preserve">http://slimages.macys.com/is/image/MCY/12034795 </v>
      </c>
    </row>
    <row r="534" spans="1:12" ht="24.75" x14ac:dyDescent="0.25">
      <c r="A534" s="4" t="s">
        <v>1376</v>
      </c>
      <c r="B534" s="2" t="s">
        <v>1330</v>
      </c>
      <c r="C534" s="3">
        <v>1</v>
      </c>
      <c r="D534" s="5">
        <v>37.130000000000003</v>
      </c>
      <c r="E534" s="3" t="s">
        <v>1331</v>
      </c>
      <c r="F534" s="2" t="s">
        <v>125</v>
      </c>
      <c r="G534" s="6" t="s">
        <v>181</v>
      </c>
      <c r="H534" s="2" t="s">
        <v>194</v>
      </c>
      <c r="I534" s="2" t="s">
        <v>195</v>
      </c>
      <c r="J534" s="2" t="s">
        <v>19</v>
      </c>
      <c r="K534" s="2" t="s">
        <v>247</v>
      </c>
      <c r="L534" s="7" t="str">
        <f>HYPERLINK("http://slimages.macys.com/is/image/MCY/10889638 ")</f>
        <v xml:space="preserve">http://slimages.macys.com/is/image/MCY/10889638 </v>
      </c>
    </row>
    <row r="535" spans="1:12" ht="24.75" x14ac:dyDescent="0.25">
      <c r="A535" s="4" t="s">
        <v>1377</v>
      </c>
      <c r="B535" s="2" t="s">
        <v>1330</v>
      </c>
      <c r="C535" s="3">
        <v>2</v>
      </c>
      <c r="D535" s="5">
        <v>37.130000000000003</v>
      </c>
      <c r="E535" s="3" t="s">
        <v>1331</v>
      </c>
      <c r="F535" s="2" t="s">
        <v>125</v>
      </c>
      <c r="G535" s="6" t="s">
        <v>154</v>
      </c>
      <c r="H535" s="2" t="s">
        <v>194</v>
      </c>
      <c r="I535" s="2" t="s">
        <v>195</v>
      </c>
      <c r="J535" s="2" t="s">
        <v>19</v>
      </c>
      <c r="K535" s="2" t="s">
        <v>247</v>
      </c>
      <c r="L535" s="7" t="str">
        <f>HYPERLINK("http://slimages.macys.com/is/image/MCY/10889638 ")</f>
        <v xml:space="preserve">http://slimages.macys.com/is/image/MCY/10889638 </v>
      </c>
    </row>
    <row r="536" spans="1:12" ht="24.75" x14ac:dyDescent="0.25">
      <c r="A536" s="4" t="s">
        <v>1378</v>
      </c>
      <c r="B536" s="2" t="s">
        <v>1330</v>
      </c>
      <c r="C536" s="3">
        <v>1</v>
      </c>
      <c r="D536" s="5">
        <v>37.130000000000003</v>
      </c>
      <c r="E536" s="3" t="s">
        <v>1331</v>
      </c>
      <c r="F536" s="2" t="s">
        <v>170</v>
      </c>
      <c r="G536" s="6" t="s">
        <v>181</v>
      </c>
      <c r="H536" s="2" t="s">
        <v>194</v>
      </c>
      <c r="I536" s="2" t="s">
        <v>195</v>
      </c>
      <c r="J536" s="2" t="s">
        <v>19</v>
      </c>
      <c r="K536" s="2" t="s">
        <v>247</v>
      </c>
      <c r="L536" s="7" t="str">
        <f>HYPERLINK("http://slimages.macys.com/is/image/MCY/10889638 ")</f>
        <v xml:space="preserve">http://slimages.macys.com/is/image/MCY/10889638 </v>
      </c>
    </row>
    <row r="537" spans="1:12" ht="24.75" x14ac:dyDescent="0.25">
      <c r="A537" s="4" t="s">
        <v>1379</v>
      </c>
      <c r="B537" s="2" t="s">
        <v>1330</v>
      </c>
      <c r="C537" s="3">
        <v>1</v>
      </c>
      <c r="D537" s="5">
        <v>37.130000000000003</v>
      </c>
      <c r="E537" s="3" t="s">
        <v>1331</v>
      </c>
      <c r="F537" s="2" t="s">
        <v>125</v>
      </c>
      <c r="G537" s="6" t="s">
        <v>245</v>
      </c>
      <c r="H537" s="2" t="s">
        <v>194</v>
      </c>
      <c r="I537" s="2" t="s">
        <v>195</v>
      </c>
      <c r="J537" s="2" t="s">
        <v>19</v>
      </c>
      <c r="K537" s="2" t="s">
        <v>247</v>
      </c>
      <c r="L537" s="7" t="str">
        <f>HYPERLINK("http://slimages.macys.com/is/image/MCY/10889638 ")</f>
        <v xml:space="preserve">http://slimages.macys.com/is/image/MCY/10889638 </v>
      </c>
    </row>
    <row r="538" spans="1:12" ht="24.75" x14ac:dyDescent="0.25">
      <c r="A538" s="4" t="s">
        <v>1380</v>
      </c>
      <c r="B538" s="2" t="s">
        <v>1381</v>
      </c>
      <c r="C538" s="3">
        <v>1</v>
      </c>
      <c r="D538" s="5">
        <v>37.130000000000003</v>
      </c>
      <c r="E538" s="3" t="s">
        <v>1382</v>
      </c>
      <c r="F538" s="2" t="s">
        <v>170</v>
      </c>
      <c r="G538" s="6" t="s">
        <v>181</v>
      </c>
      <c r="H538" s="2" t="s">
        <v>194</v>
      </c>
      <c r="I538" s="2" t="s">
        <v>195</v>
      </c>
      <c r="J538" s="2" t="s">
        <v>19</v>
      </c>
      <c r="K538" s="2" t="s">
        <v>247</v>
      </c>
      <c r="L538" s="7" t="str">
        <f>HYPERLINK("http://slimages.macys.com/is/image/MCY/12668006 ")</f>
        <v xml:space="preserve">http://slimages.macys.com/is/image/MCY/12668006 </v>
      </c>
    </row>
    <row r="539" spans="1:12" ht="24.75" x14ac:dyDescent="0.25">
      <c r="A539" s="4" t="s">
        <v>1383</v>
      </c>
      <c r="B539" s="2" t="s">
        <v>1381</v>
      </c>
      <c r="C539" s="3">
        <v>1</v>
      </c>
      <c r="D539" s="5">
        <v>37.130000000000003</v>
      </c>
      <c r="E539" s="3" t="s">
        <v>1382</v>
      </c>
      <c r="F539" s="2" t="s">
        <v>170</v>
      </c>
      <c r="G539" s="6" t="s">
        <v>156</v>
      </c>
      <c r="H539" s="2" t="s">
        <v>194</v>
      </c>
      <c r="I539" s="2" t="s">
        <v>195</v>
      </c>
      <c r="J539" s="2" t="s">
        <v>19</v>
      </c>
      <c r="K539" s="2" t="s">
        <v>247</v>
      </c>
      <c r="L539" s="7" t="str">
        <f>HYPERLINK("http://slimages.macys.com/is/image/MCY/12668006 ")</f>
        <v xml:space="preserve">http://slimages.macys.com/is/image/MCY/12668006 </v>
      </c>
    </row>
    <row r="540" spans="1:12" ht="24.75" x14ac:dyDescent="0.25">
      <c r="A540" s="4" t="s">
        <v>1384</v>
      </c>
      <c r="B540" s="2" t="s">
        <v>1385</v>
      </c>
      <c r="C540" s="3">
        <v>1</v>
      </c>
      <c r="D540" s="5">
        <v>37.130000000000003</v>
      </c>
      <c r="E540" s="3">
        <v>100022370</v>
      </c>
      <c r="F540" s="2" t="s">
        <v>48</v>
      </c>
      <c r="G540" s="6" t="s">
        <v>156</v>
      </c>
      <c r="H540" s="2" t="s">
        <v>194</v>
      </c>
      <c r="I540" s="2" t="s">
        <v>195</v>
      </c>
      <c r="J540" s="2" t="s">
        <v>19</v>
      </c>
      <c r="K540" s="2" t="s">
        <v>247</v>
      </c>
      <c r="L540" s="7" t="str">
        <f>HYPERLINK("http://slimages.macys.com/is/image/MCY/12280159 ")</f>
        <v xml:space="preserve">http://slimages.macys.com/is/image/MCY/12280159 </v>
      </c>
    </row>
    <row r="541" spans="1:12" ht="24.75" x14ac:dyDescent="0.25">
      <c r="A541" s="4" t="s">
        <v>1386</v>
      </c>
      <c r="B541" s="2" t="s">
        <v>1330</v>
      </c>
      <c r="C541" s="3">
        <v>1</v>
      </c>
      <c r="D541" s="5">
        <v>37.130000000000003</v>
      </c>
      <c r="E541" s="3" t="s">
        <v>1331</v>
      </c>
      <c r="F541" s="2" t="s">
        <v>125</v>
      </c>
      <c r="G541" s="6" t="s">
        <v>200</v>
      </c>
      <c r="H541" s="2" t="s">
        <v>194</v>
      </c>
      <c r="I541" s="2" t="s">
        <v>195</v>
      </c>
      <c r="J541" s="2" t="s">
        <v>19</v>
      </c>
      <c r="K541" s="2" t="s">
        <v>247</v>
      </c>
      <c r="L541" s="7" t="str">
        <f>HYPERLINK("http://slimages.macys.com/is/image/MCY/10889638 ")</f>
        <v xml:space="preserve">http://slimages.macys.com/is/image/MCY/10889638 </v>
      </c>
    </row>
    <row r="542" spans="1:12" ht="36.75" x14ac:dyDescent="0.25">
      <c r="A542" s="4" t="s">
        <v>1387</v>
      </c>
      <c r="B542" s="2" t="s">
        <v>1388</v>
      </c>
      <c r="C542" s="3">
        <v>1</v>
      </c>
      <c r="D542" s="5">
        <v>29.63</v>
      </c>
      <c r="E542" s="3" t="s">
        <v>1389</v>
      </c>
      <c r="F542" s="2" t="s">
        <v>111</v>
      </c>
      <c r="G542" s="6" t="s">
        <v>154</v>
      </c>
      <c r="H542" s="2" t="s">
        <v>194</v>
      </c>
      <c r="I542" s="2" t="s">
        <v>195</v>
      </c>
      <c r="J542" s="2" t="s">
        <v>19</v>
      </c>
      <c r="K542" s="2" t="s">
        <v>1390</v>
      </c>
      <c r="L542" s="7" t="str">
        <f>HYPERLINK("http://slimages.macys.com/is/image/MCY/12734335 ")</f>
        <v xml:space="preserve">http://slimages.macys.com/is/image/MCY/12734335 </v>
      </c>
    </row>
    <row r="543" spans="1:12" ht="36.75" x14ac:dyDescent="0.25">
      <c r="A543" s="4" t="s">
        <v>1391</v>
      </c>
      <c r="B543" s="2" t="s">
        <v>1388</v>
      </c>
      <c r="C543" s="3">
        <v>1</v>
      </c>
      <c r="D543" s="5">
        <v>29.63</v>
      </c>
      <c r="E543" s="3" t="s">
        <v>1389</v>
      </c>
      <c r="F543" s="2" t="s">
        <v>111</v>
      </c>
      <c r="G543" s="6" t="s">
        <v>181</v>
      </c>
      <c r="H543" s="2" t="s">
        <v>194</v>
      </c>
      <c r="I543" s="2" t="s">
        <v>195</v>
      </c>
      <c r="J543" s="2" t="s">
        <v>19</v>
      </c>
      <c r="K543" s="2" t="s">
        <v>1390</v>
      </c>
      <c r="L543" s="7" t="str">
        <f>HYPERLINK("http://slimages.macys.com/is/image/MCY/12734335 ")</f>
        <v xml:space="preserve">http://slimages.macys.com/is/image/MCY/12734335 </v>
      </c>
    </row>
    <row r="544" spans="1:12" ht="36.75" x14ac:dyDescent="0.25">
      <c r="A544" s="4" t="s">
        <v>1392</v>
      </c>
      <c r="B544" s="2" t="s">
        <v>1388</v>
      </c>
      <c r="C544" s="3">
        <v>1</v>
      </c>
      <c r="D544" s="5">
        <v>29.63</v>
      </c>
      <c r="E544" s="3" t="s">
        <v>1389</v>
      </c>
      <c r="F544" s="2" t="s">
        <v>111</v>
      </c>
      <c r="G544" s="6" t="s">
        <v>200</v>
      </c>
      <c r="H544" s="2" t="s">
        <v>194</v>
      </c>
      <c r="I544" s="2" t="s">
        <v>195</v>
      </c>
      <c r="J544" s="2" t="s">
        <v>19</v>
      </c>
      <c r="K544" s="2" t="s">
        <v>1390</v>
      </c>
      <c r="L544" s="7" t="str">
        <f>HYPERLINK("http://slimages.macys.com/is/image/MCY/12734335 ")</f>
        <v xml:space="preserve">http://slimages.macys.com/is/image/MCY/12734335 </v>
      </c>
    </row>
    <row r="545" spans="1:12" ht="24.75" x14ac:dyDescent="0.25">
      <c r="A545" s="4" t="s">
        <v>1393</v>
      </c>
      <c r="B545" s="2" t="s">
        <v>1394</v>
      </c>
      <c r="C545" s="3">
        <v>1</v>
      </c>
      <c r="D545" s="5">
        <v>37.130000000000003</v>
      </c>
      <c r="E545" s="3" t="s">
        <v>1395</v>
      </c>
      <c r="F545" s="2" t="s">
        <v>33</v>
      </c>
      <c r="G545" s="6" t="s">
        <v>154</v>
      </c>
      <c r="H545" s="2" t="s">
        <v>194</v>
      </c>
      <c r="I545" s="2" t="s">
        <v>195</v>
      </c>
      <c r="J545" s="2" t="s">
        <v>19</v>
      </c>
      <c r="K545" s="2" t="s">
        <v>34</v>
      </c>
      <c r="L545" s="7" t="str">
        <f>HYPERLINK("http://slimages.macys.com/is/image/MCY/13367997 ")</f>
        <v xml:space="preserve">http://slimages.macys.com/is/image/MCY/13367997 </v>
      </c>
    </row>
    <row r="546" spans="1:12" ht="60.75" x14ac:dyDescent="0.25">
      <c r="A546" s="4" t="s">
        <v>1396</v>
      </c>
      <c r="B546" s="2" t="s">
        <v>1397</v>
      </c>
      <c r="C546" s="3">
        <v>1</v>
      </c>
      <c r="D546" s="5">
        <v>29.63</v>
      </c>
      <c r="E546" s="3">
        <v>100022669</v>
      </c>
      <c r="F546" s="2" t="s">
        <v>48</v>
      </c>
      <c r="G546" s="6" t="s">
        <v>200</v>
      </c>
      <c r="H546" s="2" t="s">
        <v>194</v>
      </c>
      <c r="I546" s="2" t="s">
        <v>1398</v>
      </c>
      <c r="J546" s="2" t="s">
        <v>19</v>
      </c>
      <c r="K546" s="2" t="s">
        <v>1399</v>
      </c>
      <c r="L546" s="7" t="str">
        <f>HYPERLINK("http://slimages.macys.com/is/image/MCY/13368177 ")</f>
        <v xml:space="preserve">http://slimages.macys.com/is/image/MCY/13368177 </v>
      </c>
    </row>
    <row r="547" spans="1:12" ht="60.75" x14ac:dyDescent="0.25">
      <c r="A547" s="4" t="s">
        <v>1400</v>
      </c>
      <c r="B547" s="2" t="s">
        <v>1397</v>
      </c>
      <c r="C547" s="3">
        <v>1</v>
      </c>
      <c r="D547" s="5">
        <v>29.63</v>
      </c>
      <c r="E547" s="3">
        <v>100022669</v>
      </c>
      <c r="F547" s="2" t="s">
        <v>48</v>
      </c>
      <c r="G547" s="6" t="s">
        <v>234</v>
      </c>
      <c r="H547" s="2" t="s">
        <v>194</v>
      </c>
      <c r="I547" s="2" t="s">
        <v>1398</v>
      </c>
      <c r="J547" s="2" t="s">
        <v>19</v>
      </c>
      <c r="K547" s="2" t="s">
        <v>1399</v>
      </c>
      <c r="L547" s="7" t="str">
        <f>HYPERLINK("http://slimages.macys.com/is/image/MCY/13368177 ")</f>
        <v xml:space="preserve">http://slimages.macys.com/is/image/MCY/13368177 </v>
      </c>
    </row>
    <row r="548" spans="1:12" ht="24.75" x14ac:dyDescent="0.25">
      <c r="A548" s="4" t="s">
        <v>1401</v>
      </c>
      <c r="B548" s="2" t="s">
        <v>1402</v>
      </c>
      <c r="C548" s="3">
        <v>1</v>
      </c>
      <c r="D548" s="5">
        <v>37.130000000000003</v>
      </c>
      <c r="E548" s="3" t="s">
        <v>1403</v>
      </c>
      <c r="F548" s="2" t="s">
        <v>376</v>
      </c>
      <c r="G548" s="6" t="s">
        <v>205</v>
      </c>
      <c r="H548" s="2" t="s">
        <v>312</v>
      </c>
      <c r="I548" s="2" t="s">
        <v>195</v>
      </c>
      <c r="J548" s="2" t="s">
        <v>19</v>
      </c>
      <c r="K548" s="2" t="s">
        <v>353</v>
      </c>
      <c r="L548" s="7" t="str">
        <f>HYPERLINK("http://slimages.macys.com/is/image/MCY/11934909 ")</f>
        <v xml:space="preserve">http://slimages.macys.com/is/image/MCY/11934909 </v>
      </c>
    </row>
    <row r="549" spans="1:12" ht="24.75" x14ac:dyDescent="0.25">
      <c r="A549" s="4" t="s">
        <v>1404</v>
      </c>
      <c r="B549" s="2" t="s">
        <v>1405</v>
      </c>
      <c r="C549" s="3">
        <v>1</v>
      </c>
      <c r="D549" s="5">
        <v>34.880000000000003</v>
      </c>
      <c r="E549" s="3">
        <v>100042372</v>
      </c>
      <c r="F549" s="2" t="s">
        <v>676</v>
      </c>
      <c r="G549" s="6" t="s">
        <v>27</v>
      </c>
      <c r="H549" s="2" t="s">
        <v>194</v>
      </c>
      <c r="I549" s="2" t="s">
        <v>195</v>
      </c>
      <c r="J549" s="2" t="s">
        <v>19</v>
      </c>
      <c r="K549" s="2" t="s">
        <v>353</v>
      </c>
      <c r="L549" s="7" t="str">
        <f>HYPERLINK("http://slimages.macys.com/is/image/MCY/11935225 ")</f>
        <v xml:space="preserve">http://slimages.macys.com/is/image/MCY/11935225 </v>
      </c>
    </row>
    <row r="550" spans="1:12" ht="24.75" x14ac:dyDescent="0.25">
      <c r="A550" s="4" t="s">
        <v>1406</v>
      </c>
      <c r="B550" s="2" t="s">
        <v>1405</v>
      </c>
      <c r="C550" s="3">
        <v>1</v>
      </c>
      <c r="D550" s="5">
        <v>34.880000000000003</v>
      </c>
      <c r="E550" s="3">
        <v>100042372</v>
      </c>
      <c r="F550" s="2" t="s">
        <v>94</v>
      </c>
      <c r="G550" s="6" t="s">
        <v>141</v>
      </c>
      <c r="H550" s="2" t="s">
        <v>194</v>
      </c>
      <c r="I550" s="2" t="s">
        <v>195</v>
      </c>
      <c r="J550" s="2" t="s">
        <v>19</v>
      </c>
      <c r="K550" s="2" t="s">
        <v>353</v>
      </c>
      <c r="L550" s="7" t="str">
        <f>HYPERLINK("http://slimages.macys.com/is/image/MCY/11935225 ")</f>
        <v xml:space="preserve">http://slimages.macys.com/is/image/MCY/11935225 </v>
      </c>
    </row>
    <row r="551" spans="1:12" ht="24.75" x14ac:dyDescent="0.25">
      <c r="A551" s="4" t="s">
        <v>1407</v>
      </c>
      <c r="B551" s="2" t="s">
        <v>1405</v>
      </c>
      <c r="C551" s="3">
        <v>1</v>
      </c>
      <c r="D551" s="5">
        <v>34.880000000000003</v>
      </c>
      <c r="E551" s="3">
        <v>100042372</v>
      </c>
      <c r="F551" s="2" t="s">
        <v>94</v>
      </c>
      <c r="G551" s="6" t="s">
        <v>65</v>
      </c>
      <c r="H551" s="2" t="s">
        <v>194</v>
      </c>
      <c r="I551" s="2" t="s">
        <v>195</v>
      </c>
      <c r="J551" s="2" t="s">
        <v>19</v>
      </c>
      <c r="K551" s="2" t="s">
        <v>353</v>
      </c>
      <c r="L551" s="7" t="str">
        <f>HYPERLINK("http://slimages.macys.com/is/image/MCY/11935225 ")</f>
        <v xml:space="preserve">http://slimages.macys.com/is/image/MCY/11935225 </v>
      </c>
    </row>
    <row r="552" spans="1:12" ht="36.75" x14ac:dyDescent="0.25">
      <c r="A552" s="4" t="s">
        <v>1408</v>
      </c>
      <c r="B552" s="2" t="s">
        <v>1409</v>
      </c>
      <c r="C552" s="3">
        <v>1</v>
      </c>
      <c r="D552" s="5">
        <v>36.5</v>
      </c>
      <c r="E552" s="3" t="s">
        <v>1410</v>
      </c>
      <c r="F552" s="2" t="s">
        <v>170</v>
      </c>
      <c r="G552" s="6" t="s">
        <v>154</v>
      </c>
      <c r="H552" s="2" t="s">
        <v>194</v>
      </c>
      <c r="I552" s="2" t="s">
        <v>195</v>
      </c>
      <c r="J552" s="2" t="s">
        <v>19</v>
      </c>
      <c r="K552" s="2" t="s">
        <v>1411</v>
      </c>
      <c r="L552" s="7" t="str">
        <f>HYPERLINK("http://slimages.macys.com/is/image/MCY/11702017 ")</f>
        <v xml:space="preserve">http://slimages.macys.com/is/image/MCY/11702017 </v>
      </c>
    </row>
    <row r="553" spans="1:12" ht="24.75" x14ac:dyDescent="0.25">
      <c r="A553" s="4" t="s">
        <v>1412</v>
      </c>
      <c r="B553" s="2" t="s">
        <v>1413</v>
      </c>
      <c r="C553" s="3">
        <v>1</v>
      </c>
      <c r="D553" s="5">
        <v>29.5</v>
      </c>
      <c r="E553" s="3" t="s">
        <v>1414</v>
      </c>
      <c r="F553" s="2" t="s">
        <v>79</v>
      </c>
      <c r="G553" s="6" t="s">
        <v>154</v>
      </c>
      <c r="H553" s="2" t="s">
        <v>194</v>
      </c>
      <c r="I553" s="2" t="s">
        <v>195</v>
      </c>
      <c r="J553" s="2" t="s">
        <v>19</v>
      </c>
      <c r="K553" s="2" t="s">
        <v>247</v>
      </c>
      <c r="L553" s="7" t="str">
        <f>HYPERLINK("http://slimages.macys.com/is/image/MCY/12063860 ")</f>
        <v xml:space="preserve">http://slimages.macys.com/is/image/MCY/12063860 </v>
      </c>
    </row>
    <row r="554" spans="1:12" ht="24.75" x14ac:dyDescent="0.25">
      <c r="A554" s="4" t="s">
        <v>1415</v>
      </c>
      <c r="B554" s="2" t="s">
        <v>1416</v>
      </c>
      <c r="C554" s="3">
        <v>1</v>
      </c>
      <c r="D554" s="5">
        <v>21.99</v>
      </c>
      <c r="E554" s="3" t="s">
        <v>1417</v>
      </c>
      <c r="F554" s="2" t="s">
        <v>1234</v>
      </c>
      <c r="G554" s="6" t="s">
        <v>336</v>
      </c>
      <c r="H554" s="2" t="s">
        <v>312</v>
      </c>
      <c r="I554" s="2" t="s">
        <v>195</v>
      </c>
      <c r="J554" s="2" t="s">
        <v>19</v>
      </c>
      <c r="K554" s="2" t="s">
        <v>353</v>
      </c>
      <c r="L554" s="7" t="str">
        <f>HYPERLINK("http://slimages.macys.com/is/image/MCY/16058397 ")</f>
        <v xml:space="preserve">http://slimages.macys.com/is/image/MCY/16058397 </v>
      </c>
    </row>
    <row r="555" spans="1:12" ht="24.75" x14ac:dyDescent="0.25">
      <c r="A555" s="4" t="s">
        <v>1418</v>
      </c>
      <c r="B555" s="2" t="s">
        <v>1419</v>
      </c>
      <c r="C555" s="3">
        <v>1</v>
      </c>
      <c r="D555" s="5">
        <v>33.380000000000003</v>
      </c>
      <c r="E555" s="3" t="s">
        <v>1420</v>
      </c>
      <c r="F555" s="2" t="s">
        <v>15</v>
      </c>
      <c r="G555" s="6" t="s">
        <v>234</v>
      </c>
      <c r="H555" s="2" t="s">
        <v>194</v>
      </c>
      <c r="I555" s="2" t="s">
        <v>195</v>
      </c>
      <c r="J555" s="2" t="s">
        <v>19</v>
      </c>
      <c r="K555" s="2" t="s">
        <v>1082</v>
      </c>
      <c r="L555" s="7" t="str">
        <f>HYPERLINK("http://slimages.macys.com/is/image/MCY/12850874 ")</f>
        <v xml:space="preserve">http://slimages.macys.com/is/image/MCY/12850874 </v>
      </c>
    </row>
    <row r="556" spans="1:12" ht="24.75" x14ac:dyDescent="0.25">
      <c r="A556" s="4" t="s">
        <v>1421</v>
      </c>
      <c r="B556" s="2" t="s">
        <v>1419</v>
      </c>
      <c r="C556" s="3">
        <v>1</v>
      </c>
      <c r="D556" s="5">
        <v>33.380000000000003</v>
      </c>
      <c r="E556" s="3" t="s">
        <v>1420</v>
      </c>
      <c r="F556" s="2" t="s">
        <v>15</v>
      </c>
      <c r="G556" s="6" t="s">
        <v>245</v>
      </c>
      <c r="H556" s="2" t="s">
        <v>194</v>
      </c>
      <c r="I556" s="2" t="s">
        <v>195</v>
      </c>
      <c r="J556" s="2" t="s">
        <v>19</v>
      </c>
      <c r="K556" s="2" t="s">
        <v>1082</v>
      </c>
      <c r="L556" s="7" t="str">
        <f>HYPERLINK("http://slimages.macys.com/is/image/MCY/12850874 ")</f>
        <v xml:space="preserve">http://slimages.macys.com/is/image/MCY/12850874 </v>
      </c>
    </row>
    <row r="557" spans="1:12" ht="24.75" x14ac:dyDescent="0.25">
      <c r="A557" s="4" t="s">
        <v>1422</v>
      </c>
      <c r="B557" s="2" t="s">
        <v>1423</v>
      </c>
      <c r="C557" s="3">
        <v>2</v>
      </c>
      <c r="D557" s="5">
        <v>24.99</v>
      </c>
      <c r="E557" s="3" t="s">
        <v>1424</v>
      </c>
      <c r="F557" s="2" t="s">
        <v>252</v>
      </c>
      <c r="G557" s="6"/>
      <c r="H557" s="2" t="s">
        <v>1425</v>
      </c>
      <c r="I557" s="2" t="s">
        <v>1426</v>
      </c>
      <c r="J557" s="2" t="s">
        <v>19</v>
      </c>
      <c r="K557" s="2" t="s">
        <v>1427</v>
      </c>
      <c r="L557" s="7" t="str">
        <f>HYPERLINK("http://slimages.macys.com/is/image/MCY/11774672 ")</f>
        <v xml:space="preserve">http://slimages.macys.com/is/image/MCY/11774672 </v>
      </c>
    </row>
    <row r="558" spans="1:12" ht="24.75" x14ac:dyDescent="0.25">
      <c r="A558" s="4" t="s">
        <v>1428</v>
      </c>
      <c r="B558" s="2" t="s">
        <v>1429</v>
      </c>
      <c r="C558" s="3">
        <v>1</v>
      </c>
      <c r="D558" s="5">
        <v>24.99</v>
      </c>
      <c r="E558" s="3" t="s">
        <v>1430</v>
      </c>
      <c r="F558" s="2" t="s">
        <v>26</v>
      </c>
      <c r="G558" s="6"/>
      <c r="H558" s="2" t="s">
        <v>1425</v>
      </c>
      <c r="I558" s="2" t="s">
        <v>1426</v>
      </c>
      <c r="J558" s="2" t="s">
        <v>19</v>
      </c>
      <c r="K558" s="2" t="s">
        <v>1431</v>
      </c>
      <c r="L558" s="7" t="str">
        <f>HYPERLINK("http://slimages.macys.com/is/image/MCY/10746131 ")</f>
        <v xml:space="preserve">http://slimages.macys.com/is/image/MCY/10746131 </v>
      </c>
    </row>
    <row r="559" spans="1:12" ht="24.75" x14ac:dyDescent="0.25">
      <c r="A559" s="4" t="s">
        <v>1432</v>
      </c>
      <c r="B559" s="2" t="s">
        <v>1433</v>
      </c>
      <c r="C559" s="3">
        <v>5</v>
      </c>
      <c r="D559" s="5">
        <v>24.99</v>
      </c>
      <c r="E559" s="3" t="s">
        <v>1434</v>
      </c>
      <c r="F559" s="2" t="s">
        <v>331</v>
      </c>
      <c r="G559" s="6"/>
      <c r="H559" s="2" t="s">
        <v>1425</v>
      </c>
      <c r="I559" s="2" t="s">
        <v>1426</v>
      </c>
      <c r="J559" s="2" t="s">
        <v>19</v>
      </c>
      <c r="K559" s="2" t="s">
        <v>1431</v>
      </c>
      <c r="L559" s="7" t="str">
        <f>HYPERLINK("http://slimages.macys.com/is/image/MCY/11774707 ")</f>
        <v xml:space="preserve">http://slimages.macys.com/is/image/MCY/11774707 </v>
      </c>
    </row>
    <row r="560" spans="1:12" ht="24.75" x14ac:dyDescent="0.25">
      <c r="A560" s="4" t="s">
        <v>1435</v>
      </c>
      <c r="B560" s="2" t="s">
        <v>1423</v>
      </c>
      <c r="C560" s="3">
        <v>2</v>
      </c>
      <c r="D560" s="5">
        <v>24.99</v>
      </c>
      <c r="E560" s="3" t="s">
        <v>1424</v>
      </c>
      <c r="F560" s="2" t="s">
        <v>252</v>
      </c>
      <c r="G560" s="6"/>
      <c r="H560" s="2" t="s">
        <v>1425</v>
      </c>
      <c r="I560" s="2" t="s">
        <v>1426</v>
      </c>
      <c r="J560" s="2" t="s">
        <v>19</v>
      </c>
      <c r="K560" s="2" t="s">
        <v>1427</v>
      </c>
      <c r="L560" s="7" t="str">
        <f>HYPERLINK("http://slimages.macys.com/is/image/MCY/11774672 ")</f>
        <v xml:space="preserve">http://slimages.macys.com/is/image/MCY/11774672 </v>
      </c>
    </row>
    <row r="561" spans="1:12" ht="24.75" x14ac:dyDescent="0.25">
      <c r="A561" s="4" t="s">
        <v>1436</v>
      </c>
      <c r="B561" s="2" t="s">
        <v>1423</v>
      </c>
      <c r="C561" s="3">
        <v>3</v>
      </c>
      <c r="D561" s="5">
        <v>24.99</v>
      </c>
      <c r="E561" s="3" t="s">
        <v>1424</v>
      </c>
      <c r="F561" s="2" t="s">
        <v>252</v>
      </c>
      <c r="G561" s="6"/>
      <c r="H561" s="2" t="s">
        <v>1425</v>
      </c>
      <c r="I561" s="2" t="s">
        <v>1426</v>
      </c>
      <c r="J561" s="2" t="s">
        <v>19</v>
      </c>
      <c r="K561" s="2" t="s">
        <v>1427</v>
      </c>
      <c r="L561" s="7" t="str">
        <f>HYPERLINK("http://slimages.macys.com/is/image/MCY/11774672 ")</f>
        <v xml:space="preserve">http://slimages.macys.com/is/image/MCY/11774672 </v>
      </c>
    </row>
    <row r="562" spans="1:12" ht="24.75" x14ac:dyDescent="0.25">
      <c r="A562" s="4" t="s">
        <v>1437</v>
      </c>
      <c r="B562" s="2" t="s">
        <v>1423</v>
      </c>
      <c r="C562" s="3">
        <v>2</v>
      </c>
      <c r="D562" s="5">
        <v>24.99</v>
      </c>
      <c r="E562" s="3" t="s">
        <v>1424</v>
      </c>
      <c r="F562" s="2" t="s">
        <v>252</v>
      </c>
      <c r="G562" s="6" t="s">
        <v>219</v>
      </c>
      <c r="H562" s="2" t="s">
        <v>1425</v>
      </c>
      <c r="I562" s="2" t="s">
        <v>1426</v>
      </c>
      <c r="J562" s="2" t="s">
        <v>19</v>
      </c>
      <c r="K562" s="2" t="s">
        <v>1427</v>
      </c>
      <c r="L562" s="7" t="str">
        <f>HYPERLINK("http://slimages.macys.com/is/image/MCY/11774672 ")</f>
        <v xml:space="preserve">http://slimages.macys.com/is/image/MCY/11774672 </v>
      </c>
    </row>
    <row r="563" spans="1:12" ht="24.75" x14ac:dyDescent="0.25">
      <c r="A563" s="4" t="s">
        <v>1438</v>
      </c>
      <c r="B563" s="2" t="s">
        <v>1433</v>
      </c>
      <c r="C563" s="3">
        <v>3</v>
      </c>
      <c r="D563" s="5">
        <v>24.99</v>
      </c>
      <c r="E563" s="3" t="s">
        <v>1434</v>
      </c>
      <c r="F563" s="2" t="s">
        <v>331</v>
      </c>
      <c r="G563" s="6"/>
      <c r="H563" s="2" t="s">
        <v>1425</v>
      </c>
      <c r="I563" s="2" t="s">
        <v>1426</v>
      </c>
      <c r="J563" s="2" t="s">
        <v>19</v>
      </c>
      <c r="K563" s="2" t="s">
        <v>1431</v>
      </c>
      <c r="L563" s="7" t="str">
        <f>HYPERLINK("http://slimages.macys.com/is/image/MCY/11774707 ")</f>
        <v xml:space="preserve">http://slimages.macys.com/is/image/MCY/11774707 </v>
      </c>
    </row>
    <row r="564" spans="1:12" ht="36.75" x14ac:dyDescent="0.25">
      <c r="A564" s="4" t="s">
        <v>1439</v>
      </c>
      <c r="B564" s="2" t="s">
        <v>1440</v>
      </c>
      <c r="C564" s="3">
        <v>1</v>
      </c>
      <c r="D564" s="5">
        <v>29.5</v>
      </c>
      <c r="E564" s="3" t="s">
        <v>1441</v>
      </c>
      <c r="F564" s="2" t="s">
        <v>15</v>
      </c>
      <c r="G564" s="6"/>
      <c r="H564" s="2" t="s">
        <v>206</v>
      </c>
      <c r="I564" s="2" t="s">
        <v>207</v>
      </c>
      <c r="J564" s="2" t="s">
        <v>19</v>
      </c>
      <c r="K564" s="2" t="s">
        <v>1442</v>
      </c>
      <c r="L564" s="7" t="str">
        <f>HYPERLINK("http://slimages.macys.com/is/image/MCY/9641918 ")</f>
        <v xml:space="preserve">http://slimages.macys.com/is/image/MCY/9641918 </v>
      </c>
    </row>
    <row r="565" spans="1:12" ht="24.75" x14ac:dyDescent="0.25">
      <c r="A565" s="4" t="s">
        <v>1443</v>
      </c>
      <c r="B565" s="2" t="s">
        <v>1444</v>
      </c>
      <c r="C565" s="3">
        <v>1</v>
      </c>
      <c r="D565" s="5">
        <v>34.880000000000003</v>
      </c>
      <c r="E565" s="3">
        <v>100042376</v>
      </c>
      <c r="F565" s="2" t="s">
        <v>257</v>
      </c>
      <c r="G565" s="6" t="s">
        <v>106</v>
      </c>
      <c r="H565" s="2" t="s">
        <v>194</v>
      </c>
      <c r="I565" s="2" t="s">
        <v>195</v>
      </c>
      <c r="J565" s="2" t="s">
        <v>19</v>
      </c>
      <c r="K565" s="2" t="s">
        <v>353</v>
      </c>
      <c r="L565" s="7" t="str">
        <f>HYPERLINK("http://slimages.macys.com/is/image/MCY/11764758 ")</f>
        <v xml:space="preserve">http://slimages.macys.com/is/image/MCY/11764758 </v>
      </c>
    </row>
    <row r="566" spans="1:12" ht="24.75" x14ac:dyDescent="0.25">
      <c r="A566" s="4" t="s">
        <v>1445</v>
      </c>
      <c r="B566" s="2" t="s">
        <v>1444</v>
      </c>
      <c r="C566" s="3">
        <v>1</v>
      </c>
      <c r="D566" s="5">
        <v>34.880000000000003</v>
      </c>
      <c r="E566" s="3">
        <v>100042376</v>
      </c>
      <c r="F566" s="2" t="s">
        <v>79</v>
      </c>
      <c r="G566" s="6" t="s">
        <v>22</v>
      </c>
      <c r="H566" s="2" t="s">
        <v>194</v>
      </c>
      <c r="I566" s="2" t="s">
        <v>195</v>
      </c>
      <c r="J566" s="2" t="s">
        <v>19</v>
      </c>
      <c r="K566" s="2" t="s">
        <v>353</v>
      </c>
      <c r="L566" s="7" t="str">
        <f>HYPERLINK("http://slimages.macys.com/is/image/MCY/11764758 ")</f>
        <v xml:space="preserve">http://slimages.macys.com/is/image/MCY/11764758 </v>
      </c>
    </row>
    <row r="567" spans="1:12" ht="48.75" x14ac:dyDescent="0.25">
      <c r="A567" s="4" t="s">
        <v>1446</v>
      </c>
      <c r="B567" s="2" t="s">
        <v>1447</v>
      </c>
      <c r="C567" s="3">
        <v>1</v>
      </c>
      <c r="D567" s="5">
        <v>37.130000000000003</v>
      </c>
      <c r="E567" s="3" t="s">
        <v>1448</v>
      </c>
      <c r="F567" s="2" t="s">
        <v>74</v>
      </c>
      <c r="G567" s="6"/>
      <c r="H567" s="2" t="s">
        <v>312</v>
      </c>
      <c r="I567" s="2" t="s">
        <v>195</v>
      </c>
      <c r="J567" s="2" t="s">
        <v>19</v>
      </c>
      <c r="K567" s="2" t="s">
        <v>1449</v>
      </c>
      <c r="L567" s="7" t="str">
        <f>HYPERLINK("http://slimages.macys.com/is/image/MCY/10701319 ")</f>
        <v xml:space="preserve">http://slimages.macys.com/is/image/MCY/10701319 </v>
      </c>
    </row>
    <row r="568" spans="1:12" ht="24.75" x14ac:dyDescent="0.25">
      <c r="A568" s="4" t="s">
        <v>1450</v>
      </c>
      <c r="B568" s="2" t="s">
        <v>1416</v>
      </c>
      <c r="C568" s="3">
        <v>1</v>
      </c>
      <c r="D568" s="5">
        <v>21.99</v>
      </c>
      <c r="E568" s="3" t="s">
        <v>1451</v>
      </c>
      <c r="F568" s="2" t="s">
        <v>79</v>
      </c>
      <c r="G568" s="6" t="s">
        <v>27</v>
      </c>
      <c r="H568" s="2" t="s">
        <v>194</v>
      </c>
      <c r="I568" s="2" t="s">
        <v>195</v>
      </c>
      <c r="J568" s="2" t="s">
        <v>19</v>
      </c>
      <c r="K568" s="2" t="s">
        <v>353</v>
      </c>
      <c r="L568" s="7" t="str">
        <f>HYPERLINK("http://slimages.macys.com/is/image/MCY/12033149 ")</f>
        <v xml:space="preserve">http://slimages.macys.com/is/image/MCY/12033149 </v>
      </c>
    </row>
    <row r="569" spans="1:12" ht="24.75" x14ac:dyDescent="0.25">
      <c r="A569" s="4" t="s">
        <v>1452</v>
      </c>
      <c r="B569" s="2" t="s">
        <v>1416</v>
      </c>
      <c r="C569" s="3">
        <v>1</v>
      </c>
      <c r="D569" s="5">
        <v>21.99</v>
      </c>
      <c r="E569" s="3" t="s">
        <v>1451</v>
      </c>
      <c r="F569" s="2" t="s">
        <v>79</v>
      </c>
      <c r="G569" s="6" t="s">
        <v>58</v>
      </c>
      <c r="H569" s="2" t="s">
        <v>194</v>
      </c>
      <c r="I569" s="2" t="s">
        <v>195</v>
      </c>
      <c r="J569" s="2" t="s">
        <v>19</v>
      </c>
      <c r="K569" s="2" t="s">
        <v>353</v>
      </c>
      <c r="L569" s="7" t="str">
        <f>HYPERLINK("http://slimages.macys.com/is/image/MCY/12033149 ")</f>
        <v xml:space="preserve">http://slimages.macys.com/is/image/MCY/12033149 </v>
      </c>
    </row>
    <row r="570" spans="1:12" ht="24.75" x14ac:dyDescent="0.25">
      <c r="A570" s="4" t="s">
        <v>1453</v>
      </c>
      <c r="B570" s="2" t="s">
        <v>1416</v>
      </c>
      <c r="C570" s="3">
        <v>1</v>
      </c>
      <c r="D570" s="5">
        <v>21.99</v>
      </c>
      <c r="E570" s="3" t="s">
        <v>1454</v>
      </c>
      <c r="F570" s="2" t="s">
        <v>1234</v>
      </c>
      <c r="G570" s="6" t="s">
        <v>112</v>
      </c>
      <c r="H570" s="2" t="s">
        <v>194</v>
      </c>
      <c r="I570" s="2" t="s">
        <v>195</v>
      </c>
      <c r="J570" s="2" t="s">
        <v>19</v>
      </c>
      <c r="K570" s="2" t="s">
        <v>353</v>
      </c>
      <c r="L570" s="7" t="str">
        <f>HYPERLINK("http://slimages.macys.com/is/image/MCY/8141463 ")</f>
        <v xml:space="preserve">http://slimages.macys.com/is/image/MCY/8141463 </v>
      </c>
    </row>
    <row r="571" spans="1:12" ht="24.75" x14ac:dyDescent="0.25">
      <c r="A571" s="4" t="s">
        <v>1455</v>
      </c>
      <c r="B571" s="2" t="s">
        <v>1456</v>
      </c>
      <c r="C571" s="3">
        <v>1</v>
      </c>
      <c r="D571" s="5">
        <v>37.130000000000003</v>
      </c>
      <c r="E571" s="3" t="s">
        <v>1457</v>
      </c>
      <c r="F571" s="2" t="s">
        <v>752</v>
      </c>
      <c r="G571" s="6" t="s">
        <v>234</v>
      </c>
      <c r="H571" s="2" t="s">
        <v>194</v>
      </c>
      <c r="I571" s="2" t="s">
        <v>195</v>
      </c>
      <c r="J571" s="2" t="s">
        <v>19</v>
      </c>
      <c r="K571" s="2" t="s">
        <v>34</v>
      </c>
      <c r="L571" s="7" t="str">
        <f>HYPERLINK("http://slimages.macys.com/is/image/MCY/13368207 ")</f>
        <v xml:space="preserve">http://slimages.macys.com/is/image/MCY/13368207 </v>
      </c>
    </row>
    <row r="572" spans="1:12" ht="24.75" x14ac:dyDescent="0.25">
      <c r="A572" s="4" t="s">
        <v>1458</v>
      </c>
      <c r="B572" s="2" t="s">
        <v>1459</v>
      </c>
      <c r="C572" s="3">
        <v>1</v>
      </c>
      <c r="D572" s="5">
        <v>24.99</v>
      </c>
      <c r="E572" s="3" t="s">
        <v>1460</v>
      </c>
      <c r="F572" s="2" t="s">
        <v>15</v>
      </c>
      <c r="G572" s="6"/>
      <c r="H572" s="2" t="s">
        <v>1425</v>
      </c>
      <c r="I572" s="2" t="s">
        <v>1426</v>
      </c>
      <c r="J572" s="2" t="s">
        <v>19</v>
      </c>
      <c r="K572" s="2" t="s">
        <v>495</v>
      </c>
      <c r="L572" s="7" t="str">
        <f>HYPERLINK("http://slimages.macys.com/is/image/MCY/12269178 ")</f>
        <v xml:space="preserve">http://slimages.macys.com/is/image/MCY/12269178 </v>
      </c>
    </row>
    <row r="573" spans="1:12" ht="24.75" x14ac:dyDescent="0.25">
      <c r="A573" s="4" t="s">
        <v>1461</v>
      </c>
      <c r="B573" s="2" t="s">
        <v>1462</v>
      </c>
      <c r="C573" s="3">
        <v>1</v>
      </c>
      <c r="D573" s="5">
        <v>37.130000000000003</v>
      </c>
      <c r="E573" s="3" t="s">
        <v>1463</v>
      </c>
      <c r="F573" s="2" t="s">
        <v>15</v>
      </c>
      <c r="G573" s="6" t="s">
        <v>245</v>
      </c>
      <c r="H573" s="2" t="s">
        <v>194</v>
      </c>
      <c r="I573" s="2" t="s">
        <v>1112</v>
      </c>
      <c r="J573" s="2" t="s">
        <v>19</v>
      </c>
      <c r="K573" s="2" t="s">
        <v>409</v>
      </c>
      <c r="L573" s="7" t="str">
        <f>HYPERLINK("http://slimages.macys.com/is/image/MCY/8106050 ")</f>
        <v xml:space="preserve">http://slimages.macys.com/is/image/MCY/8106050 </v>
      </c>
    </row>
    <row r="574" spans="1:12" ht="24.75" x14ac:dyDescent="0.25">
      <c r="A574" s="4" t="s">
        <v>1464</v>
      </c>
      <c r="B574" s="2" t="s">
        <v>1465</v>
      </c>
      <c r="C574" s="3">
        <v>1</v>
      </c>
      <c r="D574" s="5">
        <v>34.880000000000003</v>
      </c>
      <c r="E574" s="3">
        <v>100054394</v>
      </c>
      <c r="F574" s="2" t="s">
        <v>74</v>
      </c>
      <c r="G574" s="6" t="s">
        <v>22</v>
      </c>
      <c r="H574" s="2" t="s">
        <v>194</v>
      </c>
      <c r="I574" s="2" t="s">
        <v>195</v>
      </c>
      <c r="J574" s="2" t="s">
        <v>19</v>
      </c>
      <c r="K574" s="2" t="s">
        <v>353</v>
      </c>
      <c r="L574" s="7" t="str">
        <f>HYPERLINK("http://slimages.macys.com/is/image/MCY/12404668 ")</f>
        <v xml:space="preserve">http://slimages.macys.com/is/image/MCY/12404668 </v>
      </c>
    </row>
    <row r="575" spans="1:12" ht="24.75" x14ac:dyDescent="0.25">
      <c r="A575" s="4" t="s">
        <v>1466</v>
      </c>
      <c r="B575" s="2" t="s">
        <v>1467</v>
      </c>
      <c r="C575" s="3">
        <v>1</v>
      </c>
      <c r="D575" s="5">
        <v>24.99</v>
      </c>
      <c r="E575" s="3" t="s">
        <v>1468</v>
      </c>
      <c r="F575" s="2" t="s">
        <v>33</v>
      </c>
      <c r="G575" s="6" t="s">
        <v>219</v>
      </c>
      <c r="H575" s="2" t="s">
        <v>1425</v>
      </c>
      <c r="I575" s="2" t="s">
        <v>1469</v>
      </c>
      <c r="J575" s="2" t="s">
        <v>19</v>
      </c>
      <c r="K575" s="2" t="s">
        <v>495</v>
      </c>
      <c r="L575" s="7" t="str">
        <f>HYPERLINK("http://slimages.macys.com/is/image/MCY/11989539 ")</f>
        <v xml:space="preserve">http://slimages.macys.com/is/image/MCY/11989539 </v>
      </c>
    </row>
    <row r="576" spans="1:12" ht="24.75" x14ac:dyDescent="0.25">
      <c r="A576" s="4" t="s">
        <v>1470</v>
      </c>
      <c r="B576" s="2" t="s">
        <v>1471</v>
      </c>
      <c r="C576" s="3">
        <v>1</v>
      </c>
      <c r="D576" s="5">
        <v>26.99</v>
      </c>
      <c r="E576" s="3" t="s">
        <v>1472</v>
      </c>
      <c r="F576" s="2" t="s">
        <v>15</v>
      </c>
      <c r="G576" s="6" t="s">
        <v>58</v>
      </c>
      <c r="H576" s="2" t="s">
        <v>1473</v>
      </c>
      <c r="I576" s="2" t="s">
        <v>1426</v>
      </c>
      <c r="J576" s="2" t="s">
        <v>19</v>
      </c>
      <c r="K576" s="2" t="s">
        <v>353</v>
      </c>
      <c r="L576" s="7" t="str">
        <f>HYPERLINK("http://slimages.macys.com/is/image/MCY/11989623 ")</f>
        <v xml:space="preserve">http://slimages.macys.com/is/image/MCY/11989623 </v>
      </c>
    </row>
    <row r="577" spans="1:12" ht="24.75" x14ac:dyDescent="0.25">
      <c r="A577" s="4" t="s">
        <v>1474</v>
      </c>
      <c r="B577" s="2" t="s">
        <v>1475</v>
      </c>
      <c r="C577" s="3">
        <v>1</v>
      </c>
      <c r="D577" s="5">
        <v>33.380000000000003</v>
      </c>
      <c r="E577" s="3" t="s">
        <v>1476</v>
      </c>
      <c r="F577" s="2" t="s">
        <v>26</v>
      </c>
      <c r="G577" s="6" t="s">
        <v>234</v>
      </c>
      <c r="H577" s="2" t="s">
        <v>246</v>
      </c>
      <c r="I577" s="2" t="s">
        <v>189</v>
      </c>
      <c r="J577" s="2" t="s">
        <v>19</v>
      </c>
      <c r="K577" s="2" t="s">
        <v>160</v>
      </c>
      <c r="L577" s="7" t="str">
        <f>HYPERLINK("http://slimages.macys.com/is/image/MCY/13330738 ")</f>
        <v xml:space="preserve">http://slimages.macys.com/is/image/MCY/13330738 </v>
      </c>
    </row>
    <row r="578" spans="1:12" ht="24.75" x14ac:dyDescent="0.25">
      <c r="A578" s="4" t="s">
        <v>1477</v>
      </c>
      <c r="B578" s="2" t="s">
        <v>1478</v>
      </c>
      <c r="C578" s="3">
        <v>1</v>
      </c>
      <c r="D578" s="5">
        <v>29.99</v>
      </c>
      <c r="E578" s="3" t="s">
        <v>1479</v>
      </c>
      <c r="F578" s="2" t="s">
        <v>331</v>
      </c>
      <c r="G578" s="6" t="s">
        <v>219</v>
      </c>
      <c r="H578" s="2" t="s">
        <v>188</v>
      </c>
      <c r="I578" s="2" t="s">
        <v>189</v>
      </c>
      <c r="J578" s="2" t="s">
        <v>19</v>
      </c>
      <c r="K578" s="2" t="s">
        <v>1480</v>
      </c>
      <c r="L578" s="7" t="str">
        <f>HYPERLINK("http://slimages.macys.com/is/image/MCY/10048339 ")</f>
        <v xml:space="preserve">http://slimages.macys.com/is/image/MCY/10048339 </v>
      </c>
    </row>
    <row r="579" spans="1:12" ht="36.75" x14ac:dyDescent="0.25">
      <c r="A579" s="4" t="s">
        <v>1481</v>
      </c>
      <c r="B579" s="2" t="s">
        <v>1482</v>
      </c>
      <c r="C579" s="3">
        <v>1</v>
      </c>
      <c r="D579" s="5">
        <v>32.5</v>
      </c>
      <c r="E579" s="3" t="s">
        <v>1483</v>
      </c>
      <c r="F579" s="2" t="s">
        <v>48</v>
      </c>
      <c r="G579" s="6"/>
      <c r="H579" s="2" t="s">
        <v>312</v>
      </c>
      <c r="I579" s="2" t="s">
        <v>195</v>
      </c>
      <c r="J579" s="2" t="s">
        <v>19</v>
      </c>
      <c r="K579" s="2" t="s">
        <v>1484</v>
      </c>
      <c r="L579" s="7" t="str">
        <f>HYPERLINK("http://slimages.macys.com/is/image/MCY/12064112 ")</f>
        <v xml:space="preserve">http://slimages.macys.com/is/image/MCY/12064112 </v>
      </c>
    </row>
    <row r="580" spans="1:12" x14ac:dyDescent="0.25">
      <c r="A580" s="4" t="s">
        <v>1485</v>
      </c>
      <c r="B580" s="2" t="s">
        <v>1486</v>
      </c>
      <c r="C580" s="3">
        <v>1</v>
      </c>
      <c r="D580" s="5">
        <v>39.5</v>
      </c>
      <c r="E580" s="3" t="s">
        <v>1487</v>
      </c>
      <c r="F580" s="2" t="s">
        <v>15</v>
      </c>
      <c r="G580" s="6"/>
      <c r="H580" s="2" t="s">
        <v>206</v>
      </c>
      <c r="I580" s="2" t="s">
        <v>207</v>
      </c>
      <c r="J580" s="2" t="s">
        <v>19</v>
      </c>
      <c r="K580" s="2" t="s">
        <v>1488</v>
      </c>
      <c r="L580" s="7" t="str">
        <f>HYPERLINK("http://slimages.macys.com/is/image/MCY/12953073 ")</f>
        <v xml:space="preserve">http://slimages.macys.com/is/image/MCY/12953073 </v>
      </c>
    </row>
    <row r="581" spans="1:12" ht="24.75" x14ac:dyDescent="0.25">
      <c r="A581" s="4" t="s">
        <v>1489</v>
      </c>
      <c r="B581" s="2" t="s">
        <v>948</v>
      </c>
      <c r="C581" s="3">
        <v>2</v>
      </c>
      <c r="D581" s="5">
        <v>34.880000000000003</v>
      </c>
      <c r="E581" s="3">
        <v>100038962</v>
      </c>
      <c r="F581" s="2" t="s">
        <v>566</v>
      </c>
      <c r="G581" s="6" t="s">
        <v>65</v>
      </c>
      <c r="H581" s="2" t="s">
        <v>194</v>
      </c>
      <c r="I581" s="2" t="s">
        <v>195</v>
      </c>
      <c r="J581" s="2" t="s">
        <v>19</v>
      </c>
      <c r="K581" s="2" t="s">
        <v>353</v>
      </c>
      <c r="L581" s="7" t="str">
        <f>HYPERLINK("http://slimages.macys.com/is/image/MCY/10556587 ")</f>
        <v xml:space="preserve">http://slimages.macys.com/is/image/MCY/10556587 </v>
      </c>
    </row>
    <row r="582" spans="1:12" ht="24.75" x14ac:dyDescent="0.25">
      <c r="A582" s="4" t="s">
        <v>1490</v>
      </c>
      <c r="B582" s="2" t="s">
        <v>1491</v>
      </c>
      <c r="C582" s="3">
        <v>1</v>
      </c>
      <c r="D582" s="5">
        <v>37.130000000000003</v>
      </c>
      <c r="E582" s="3" t="s">
        <v>1492</v>
      </c>
      <c r="F582" s="2" t="s">
        <v>74</v>
      </c>
      <c r="G582" s="6"/>
      <c r="H582" s="2" t="s">
        <v>632</v>
      </c>
      <c r="I582" s="2" t="s">
        <v>285</v>
      </c>
      <c r="J582" s="2" t="s">
        <v>19</v>
      </c>
      <c r="K582" s="2" t="s">
        <v>160</v>
      </c>
      <c r="L582" s="7" t="str">
        <f>HYPERLINK("http://slimages.macys.com/is/image/MCY/12285258 ")</f>
        <v xml:space="preserve">http://slimages.macys.com/is/image/MCY/12285258 </v>
      </c>
    </row>
    <row r="583" spans="1:12" ht="24.75" x14ac:dyDescent="0.25">
      <c r="A583" s="4" t="s">
        <v>1493</v>
      </c>
      <c r="B583" s="2" t="s">
        <v>1494</v>
      </c>
      <c r="C583" s="3">
        <v>1</v>
      </c>
      <c r="D583" s="5">
        <v>24.99</v>
      </c>
      <c r="E583" s="3">
        <v>100011892</v>
      </c>
      <c r="F583" s="2" t="s">
        <v>417</v>
      </c>
      <c r="G583" s="6" t="s">
        <v>141</v>
      </c>
      <c r="H583" s="2" t="s">
        <v>228</v>
      </c>
      <c r="I583" s="2" t="s">
        <v>857</v>
      </c>
      <c r="J583" s="2" t="s">
        <v>19</v>
      </c>
      <c r="K583" s="2" t="s">
        <v>1495</v>
      </c>
      <c r="L583" s="7" t="str">
        <f>HYPERLINK("http://slimages.macys.com/is/image/MCY/12143827 ")</f>
        <v xml:space="preserve">http://slimages.macys.com/is/image/MCY/12143827 </v>
      </c>
    </row>
    <row r="584" spans="1:12" ht="24.75" x14ac:dyDescent="0.25">
      <c r="A584" s="4" t="s">
        <v>1496</v>
      </c>
      <c r="B584" s="2" t="s">
        <v>1497</v>
      </c>
      <c r="C584" s="3">
        <v>1</v>
      </c>
      <c r="D584" s="5">
        <v>33</v>
      </c>
      <c r="E584" s="3" t="s">
        <v>1498</v>
      </c>
      <c r="F584" s="2" t="s">
        <v>79</v>
      </c>
      <c r="G584" s="6" t="s">
        <v>791</v>
      </c>
      <c r="H584" s="2" t="s">
        <v>447</v>
      </c>
      <c r="I584" s="2" t="s">
        <v>792</v>
      </c>
      <c r="J584" s="2" t="s">
        <v>1499</v>
      </c>
      <c r="K584" s="2" t="s">
        <v>160</v>
      </c>
      <c r="L584" s="7" t="str">
        <f>HYPERLINK("http://slimages.macys.com/is/image/MCY/12738119 ")</f>
        <v xml:space="preserve">http://slimages.macys.com/is/image/MCY/12738119 </v>
      </c>
    </row>
    <row r="585" spans="1:12" ht="24.75" x14ac:dyDescent="0.25">
      <c r="A585" s="4" t="s">
        <v>1500</v>
      </c>
      <c r="B585" s="2" t="s">
        <v>1497</v>
      </c>
      <c r="C585" s="3">
        <v>1</v>
      </c>
      <c r="D585" s="5">
        <v>33</v>
      </c>
      <c r="E585" s="3" t="s">
        <v>1498</v>
      </c>
      <c r="F585" s="2" t="s">
        <v>74</v>
      </c>
      <c r="G585" s="6" t="s">
        <v>791</v>
      </c>
      <c r="H585" s="2" t="s">
        <v>447</v>
      </c>
      <c r="I585" s="2" t="s">
        <v>792</v>
      </c>
      <c r="J585" s="2" t="s">
        <v>1499</v>
      </c>
      <c r="K585" s="2" t="s">
        <v>160</v>
      </c>
      <c r="L585" s="7" t="str">
        <f>HYPERLINK("http://slimages.macys.com/is/image/MCY/12738119 ")</f>
        <v xml:space="preserve">http://slimages.macys.com/is/image/MCY/12738119 </v>
      </c>
    </row>
    <row r="586" spans="1:12" ht="24.75" x14ac:dyDescent="0.25">
      <c r="A586" s="4" t="s">
        <v>1501</v>
      </c>
      <c r="B586" s="2" t="s">
        <v>1502</v>
      </c>
      <c r="C586" s="3">
        <v>1</v>
      </c>
      <c r="D586" s="5">
        <v>24.99</v>
      </c>
      <c r="E586" s="3" t="s">
        <v>1503</v>
      </c>
      <c r="F586" s="2" t="s">
        <v>15</v>
      </c>
      <c r="G586" s="6" t="s">
        <v>219</v>
      </c>
      <c r="H586" s="2" t="s">
        <v>1425</v>
      </c>
      <c r="I586" s="2" t="s">
        <v>1469</v>
      </c>
      <c r="J586" s="2" t="s">
        <v>19</v>
      </c>
      <c r="K586" s="2" t="s">
        <v>990</v>
      </c>
      <c r="L586" s="7" t="str">
        <f>HYPERLINK("http://slimages.macys.com/is/image/MCY/13048287 ")</f>
        <v xml:space="preserve">http://slimages.macys.com/is/image/MCY/13048287 </v>
      </c>
    </row>
    <row r="587" spans="1:12" ht="24.75" x14ac:dyDescent="0.25">
      <c r="A587" s="4" t="s">
        <v>1504</v>
      </c>
      <c r="B587" s="2" t="s">
        <v>1505</v>
      </c>
      <c r="C587" s="3">
        <v>1</v>
      </c>
      <c r="D587" s="5">
        <v>21.99</v>
      </c>
      <c r="E587" s="3" t="s">
        <v>1506</v>
      </c>
      <c r="F587" s="2" t="s">
        <v>15</v>
      </c>
      <c r="G587" s="6"/>
      <c r="H587" s="2" t="s">
        <v>1425</v>
      </c>
      <c r="I587" s="2" t="s">
        <v>1426</v>
      </c>
      <c r="J587" s="2" t="s">
        <v>19</v>
      </c>
      <c r="K587" s="2" t="s">
        <v>338</v>
      </c>
      <c r="L587" s="7" t="str">
        <f>HYPERLINK("http://slimages.macys.com/is/image/MCY/11456803 ")</f>
        <v xml:space="preserve">http://slimages.macys.com/is/image/MCY/11456803 </v>
      </c>
    </row>
    <row r="588" spans="1:12" ht="24.75" x14ac:dyDescent="0.25">
      <c r="A588" s="4" t="s">
        <v>1507</v>
      </c>
      <c r="B588" s="2" t="s">
        <v>1508</v>
      </c>
      <c r="C588" s="3">
        <v>1</v>
      </c>
      <c r="D588" s="5">
        <v>26.99</v>
      </c>
      <c r="E588" s="3" t="s">
        <v>1509</v>
      </c>
      <c r="F588" s="2" t="s">
        <v>417</v>
      </c>
      <c r="G588" s="6" t="s">
        <v>141</v>
      </c>
      <c r="H588" s="2" t="s">
        <v>1473</v>
      </c>
      <c r="I588" s="2" t="s">
        <v>1426</v>
      </c>
      <c r="J588" s="2" t="s">
        <v>19</v>
      </c>
      <c r="K588" s="2" t="s">
        <v>353</v>
      </c>
      <c r="L588" s="7" t="str">
        <f>HYPERLINK("http://slimages.macys.com/is/image/MCY/11029993 ")</f>
        <v xml:space="preserve">http://slimages.macys.com/is/image/MCY/11029993 </v>
      </c>
    </row>
    <row r="589" spans="1:12" ht="24.75" x14ac:dyDescent="0.25">
      <c r="A589" s="4" t="s">
        <v>1510</v>
      </c>
      <c r="B589" s="2" t="s">
        <v>1505</v>
      </c>
      <c r="C589" s="3">
        <v>1</v>
      </c>
      <c r="D589" s="5">
        <v>21.99</v>
      </c>
      <c r="E589" s="3" t="s">
        <v>1506</v>
      </c>
      <c r="F589" s="2" t="s">
        <v>15</v>
      </c>
      <c r="G589" s="6"/>
      <c r="H589" s="2" t="s">
        <v>1425</v>
      </c>
      <c r="I589" s="2" t="s">
        <v>1426</v>
      </c>
      <c r="J589" s="2" t="s">
        <v>19</v>
      </c>
      <c r="K589" s="2" t="s">
        <v>338</v>
      </c>
      <c r="L589" s="7" t="str">
        <f>HYPERLINK("http://slimages.macys.com/is/image/MCY/11456803 ")</f>
        <v xml:space="preserve">http://slimages.macys.com/is/image/MCY/11456803 </v>
      </c>
    </row>
    <row r="590" spans="1:12" ht="24.75" x14ac:dyDescent="0.25">
      <c r="A590" s="4" t="s">
        <v>1511</v>
      </c>
      <c r="B590" s="2" t="s">
        <v>1512</v>
      </c>
      <c r="C590" s="3">
        <v>2</v>
      </c>
      <c r="D590" s="5">
        <v>24.99</v>
      </c>
      <c r="E590" s="3" t="s">
        <v>1513</v>
      </c>
      <c r="F590" s="2" t="s">
        <v>15</v>
      </c>
      <c r="G590" s="6" t="s">
        <v>205</v>
      </c>
      <c r="H590" s="2" t="s">
        <v>1425</v>
      </c>
      <c r="I590" s="2" t="s">
        <v>1426</v>
      </c>
      <c r="J590" s="2" t="s">
        <v>19</v>
      </c>
      <c r="K590" s="2" t="s">
        <v>353</v>
      </c>
      <c r="L590" s="7" t="str">
        <f>HYPERLINK("http://slimages.macys.com/is/image/MCY/11029820 ")</f>
        <v xml:space="preserve">http://slimages.macys.com/is/image/MCY/11029820 </v>
      </c>
    </row>
    <row r="591" spans="1:12" ht="24.75" x14ac:dyDescent="0.25">
      <c r="A591" s="4" t="s">
        <v>1514</v>
      </c>
      <c r="B591" s="2" t="s">
        <v>1512</v>
      </c>
      <c r="C591" s="3">
        <v>1</v>
      </c>
      <c r="D591" s="5">
        <v>24.99</v>
      </c>
      <c r="E591" s="3" t="s">
        <v>1513</v>
      </c>
      <c r="F591" s="2" t="s">
        <v>15</v>
      </c>
      <c r="G591" s="6" t="s">
        <v>934</v>
      </c>
      <c r="H591" s="2" t="s">
        <v>1425</v>
      </c>
      <c r="I591" s="2" t="s">
        <v>1426</v>
      </c>
      <c r="J591" s="2" t="s">
        <v>19</v>
      </c>
      <c r="K591" s="2" t="s">
        <v>353</v>
      </c>
      <c r="L591" s="7" t="str">
        <f>HYPERLINK("http://slimages.macys.com/is/image/MCY/11029820 ")</f>
        <v xml:space="preserve">http://slimages.macys.com/is/image/MCY/11029820 </v>
      </c>
    </row>
    <row r="592" spans="1:12" ht="24.75" x14ac:dyDescent="0.25">
      <c r="A592" s="4" t="s">
        <v>1515</v>
      </c>
      <c r="B592" s="2" t="s">
        <v>1516</v>
      </c>
      <c r="C592" s="3">
        <v>1</v>
      </c>
      <c r="D592" s="5">
        <v>24.99</v>
      </c>
      <c r="E592" s="3" t="s">
        <v>1517</v>
      </c>
      <c r="F592" s="2" t="s">
        <v>998</v>
      </c>
      <c r="G592" s="6" t="s">
        <v>58</v>
      </c>
      <c r="H592" s="2" t="s">
        <v>1473</v>
      </c>
      <c r="I592" s="2" t="s">
        <v>1426</v>
      </c>
      <c r="J592" s="2" t="s">
        <v>19</v>
      </c>
      <c r="K592" s="2" t="s">
        <v>353</v>
      </c>
      <c r="L592" s="7" t="str">
        <f>HYPERLINK("http://slimages.macys.com/is/image/MCY/11029826 ")</f>
        <v xml:space="preserve">http://slimages.macys.com/is/image/MCY/11029826 </v>
      </c>
    </row>
    <row r="593" spans="1:12" ht="24.75" x14ac:dyDescent="0.25">
      <c r="A593" s="4" t="s">
        <v>1518</v>
      </c>
      <c r="B593" s="2" t="s">
        <v>1502</v>
      </c>
      <c r="C593" s="3">
        <v>1</v>
      </c>
      <c r="D593" s="5">
        <v>24.99</v>
      </c>
      <c r="E593" s="3" t="s">
        <v>1503</v>
      </c>
      <c r="F593" s="2" t="s">
        <v>15</v>
      </c>
      <c r="G593" s="6"/>
      <c r="H593" s="2" t="s">
        <v>1425</v>
      </c>
      <c r="I593" s="2" t="s">
        <v>1469</v>
      </c>
      <c r="J593" s="2" t="s">
        <v>19</v>
      </c>
      <c r="K593" s="2" t="s">
        <v>990</v>
      </c>
      <c r="L593" s="7" t="str">
        <f>HYPERLINK("http://slimages.macys.com/is/image/MCY/13048287 ")</f>
        <v xml:space="preserve">http://slimages.macys.com/is/image/MCY/13048287 </v>
      </c>
    </row>
    <row r="594" spans="1:12" ht="24.75" x14ac:dyDescent="0.25">
      <c r="A594" s="4" t="s">
        <v>1519</v>
      </c>
      <c r="B594" s="2" t="s">
        <v>1520</v>
      </c>
      <c r="C594" s="3">
        <v>1</v>
      </c>
      <c r="D594" s="5">
        <v>24.99</v>
      </c>
      <c r="E594" s="3" t="s">
        <v>1521</v>
      </c>
      <c r="F594" s="2" t="s">
        <v>1322</v>
      </c>
      <c r="G594" s="6" t="s">
        <v>181</v>
      </c>
      <c r="H594" s="2" t="s">
        <v>1522</v>
      </c>
      <c r="I594" s="2" t="s">
        <v>1469</v>
      </c>
      <c r="J594" s="2" t="s">
        <v>19</v>
      </c>
      <c r="K594" s="2" t="s">
        <v>495</v>
      </c>
      <c r="L594" s="7" t="str">
        <f>HYPERLINK("http://slimages.macys.com/is/image/MCY/12144703 ")</f>
        <v xml:space="preserve">http://slimages.macys.com/is/image/MCY/12144703 </v>
      </c>
    </row>
    <row r="595" spans="1:12" ht="24.75" x14ac:dyDescent="0.25">
      <c r="A595" s="4" t="s">
        <v>1523</v>
      </c>
      <c r="B595" s="2" t="s">
        <v>1508</v>
      </c>
      <c r="C595" s="3">
        <v>1</v>
      </c>
      <c r="D595" s="5">
        <v>26.99</v>
      </c>
      <c r="E595" s="3" t="s">
        <v>1509</v>
      </c>
      <c r="F595" s="2" t="s">
        <v>417</v>
      </c>
      <c r="G595" s="6" t="s">
        <v>112</v>
      </c>
      <c r="H595" s="2" t="s">
        <v>1473</v>
      </c>
      <c r="I595" s="2" t="s">
        <v>1426</v>
      </c>
      <c r="J595" s="2" t="s">
        <v>19</v>
      </c>
      <c r="K595" s="2" t="s">
        <v>353</v>
      </c>
      <c r="L595" s="7" t="str">
        <f>HYPERLINK("http://slimages.macys.com/is/image/MCY/11029993 ")</f>
        <v xml:space="preserve">http://slimages.macys.com/is/image/MCY/11029993 </v>
      </c>
    </row>
    <row r="596" spans="1:12" ht="24.75" x14ac:dyDescent="0.25">
      <c r="A596" s="4" t="s">
        <v>1524</v>
      </c>
      <c r="B596" s="2" t="s">
        <v>1512</v>
      </c>
      <c r="C596" s="3">
        <v>2</v>
      </c>
      <c r="D596" s="5">
        <v>24.99</v>
      </c>
      <c r="E596" s="3" t="s">
        <v>1513</v>
      </c>
      <c r="F596" s="2" t="s">
        <v>15</v>
      </c>
      <c r="G596" s="6" t="s">
        <v>126</v>
      </c>
      <c r="H596" s="2" t="s">
        <v>1425</v>
      </c>
      <c r="I596" s="2" t="s">
        <v>1426</v>
      </c>
      <c r="J596" s="2" t="s">
        <v>19</v>
      </c>
      <c r="K596" s="2" t="s">
        <v>353</v>
      </c>
      <c r="L596" s="7" t="str">
        <f>HYPERLINK("http://slimages.macys.com/is/image/MCY/11029820 ")</f>
        <v xml:space="preserve">http://slimages.macys.com/is/image/MCY/11029820 </v>
      </c>
    </row>
    <row r="597" spans="1:12" ht="24.75" x14ac:dyDescent="0.25">
      <c r="A597" s="4" t="s">
        <v>1525</v>
      </c>
      <c r="B597" s="2" t="s">
        <v>1526</v>
      </c>
      <c r="C597" s="3">
        <v>1</v>
      </c>
      <c r="D597" s="5">
        <v>27.65</v>
      </c>
      <c r="E597" s="3" t="s">
        <v>1527</v>
      </c>
      <c r="F597" s="2" t="s">
        <v>26</v>
      </c>
      <c r="G597" s="6" t="s">
        <v>181</v>
      </c>
      <c r="H597" s="2" t="s">
        <v>182</v>
      </c>
      <c r="I597" s="2" t="s">
        <v>183</v>
      </c>
      <c r="J597" s="2" t="s">
        <v>19</v>
      </c>
      <c r="K597" s="2" t="s">
        <v>247</v>
      </c>
      <c r="L597" s="7" t="str">
        <f>HYPERLINK("http://slimages.macys.com/is/image/MCY/12851875 ")</f>
        <v xml:space="preserve">http://slimages.macys.com/is/image/MCY/12851875 </v>
      </c>
    </row>
    <row r="598" spans="1:12" ht="24.75" x14ac:dyDescent="0.25">
      <c r="A598" s="4" t="s">
        <v>1528</v>
      </c>
      <c r="B598" s="2" t="s">
        <v>1529</v>
      </c>
      <c r="C598" s="3">
        <v>1</v>
      </c>
      <c r="D598" s="5">
        <v>37.130000000000003</v>
      </c>
      <c r="E598" s="3" t="s">
        <v>1530</v>
      </c>
      <c r="F598" s="2" t="s">
        <v>94</v>
      </c>
      <c r="G598" s="6" t="s">
        <v>934</v>
      </c>
      <c r="H598" s="2" t="s">
        <v>312</v>
      </c>
      <c r="I598" s="2" t="s">
        <v>195</v>
      </c>
      <c r="J598" s="2" t="s">
        <v>19</v>
      </c>
      <c r="K598" s="2" t="s">
        <v>353</v>
      </c>
      <c r="L598" s="7" t="str">
        <f>HYPERLINK("http://slimages.macys.com/is/image/MCY/11938040 ")</f>
        <v xml:space="preserve">http://slimages.macys.com/is/image/MCY/11938040 </v>
      </c>
    </row>
    <row r="599" spans="1:12" ht="24.75" x14ac:dyDescent="0.25">
      <c r="A599" s="4" t="s">
        <v>1531</v>
      </c>
      <c r="B599" s="2" t="s">
        <v>1529</v>
      </c>
      <c r="C599" s="3">
        <v>1</v>
      </c>
      <c r="D599" s="5">
        <v>37.130000000000003</v>
      </c>
      <c r="E599" s="3" t="s">
        <v>1530</v>
      </c>
      <c r="F599" s="2" t="s">
        <v>94</v>
      </c>
      <c r="G599" s="6" t="s">
        <v>802</v>
      </c>
      <c r="H599" s="2" t="s">
        <v>312</v>
      </c>
      <c r="I599" s="2" t="s">
        <v>195</v>
      </c>
      <c r="J599" s="2" t="s">
        <v>19</v>
      </c>
      <c r="K599" s="2" t="s">
        <v>353</v>
      </c>
      <c r="L599" s="7" t="str">
        <f>HYPERLINK("http://slimages.macys.com/is/image/MCY/11938040 ")</f>
        <v xml:space="preserve">http://slimages.macys.com/is/image/MCY/11938040 </v>
      </c>
    </row>
    <row r="600" spans="1:12" ht="24.75" x14ac:dyDescent="0.25">
      <c r="A600" s="4" t="s">
        <v>1532</v>
      </c>
      <c r="B600" s="2" t="s">
        <v>1533</v>
      </c>
      <c r="C600" s="3">
        <v>3</v>
      </c>
      <c r="D600" s="5">
        <v>37.130000000000003</v>
      </c>
      <c r="E600" s="3" t="s">
        <v>1534</v>
      </c>
      <c r="F600" s="2" t="s">
        <v>15</v>
      </c>
      <c r="G600" s="6"/>
      <c r="H600" s="2" t="s">
        <v>312</v>
      </c>
      <c r="I600" s="2" t="s">
        <v>195</v>
      </c>
      <c r="J600" s="2" t="s">
        <v>19</v>
      </c>
      <c r="K600" s="2" t="s">
        <v>353</v>
      </c>
      <c r="L600" s="7" t="str">
        <f>HYPERLINK("http://slimages.macys.com/is/image/MCY/12035001 ")</f>
        <v xml:space="preserve">http://slimages.macys.com/is/image/MCY/12035001 </v>
      </c>
    </row>
    <row r="601" spans="1:12" ht="24.75" x14ac:dyDescent="0.25">
      <c r="A601" s="4" t="s">
        <v>1535</v>
      </c>
      <c r="B601" s="2" t="s">
        <v>1533</v>
      </c>
      <c r="C601" s="3">
        <v>2</v>
      </c>
      <c r="D601" s="5">
        <v>37.130000000000003</v>
      </c>
      <c r="E601" s="3" t="s">
        <v>1534</v>
      </c>
      <c r="F601" s="2" t="s">
        <v>15</v>
      </c>
      <c r="G601" s="6"/>
      <c r="H601" s="2" t="s">
        <v>312</v>
      </c>
      <c r="I601" s="2" t="s">
        <v>195</v>
      </c>
      <c r="J601" s="2" t="s">
        <v>19</v>
      </c>
      <c r="K601" s="2" t="s">
        <v>353</v>
      </c>
      <c r="L601" s="7" t="str">
        <f>HYPERLINK("http://slimages.macys.com/is/image/MCY/12035001 ")</f>
        <v xml:space="preserve">http://slimages.macys.com/is/image/MCY/12035001 </v>
      </c>
    </row>
    <row r="602" spans="1:12" ht="24.75" x14ac:dyDescent="0.25">
      <c r="A602" s="4" t="s">
        <v>1536</v>
      </c>
      <c r="B602" s="2" t="s">
        <v>1533</v>
      </c>
      <c r="C602" s="3">
        <v>1</v>
      </c>
      <c r="D602" s="5">
        <v>37.130000000000003</v>
      </c>
      <c r="E602" s="3" t="s">
        <v>1534</v>
      </c>
      <c r="F602" s="2" t="s">
        <v>15</v>
      </c>
      <c r="G602" s="6"/>
      <c r="H602" s="2" t="s">
        <v>312</v>
      </c>
      <c r="I602" s="2" t="s">
        <v>195</v>
      </c>
      <c r="J602" s="2" t="s">
        <v>19</v>
      </c>
      <c r="K602" s="2" t="s">
        <v>353</v>
      </c>
      <c r="L602" s="7" t="str">
        <f>HYPERLINK("http://slimages.macys.com/is/image/MCY/12035001 ")</f>
        <v xml:space="preserve">http://slimages.macys.com/is/image/MCY/12035001 </v>
      </c>
    </row>
    <row r="603" spans="1:12" ht="24.75" x14ac:dyDescent="0.25">
      <c r="A603" s="4" t="s">
        <v>1537</v>
      </c>
      <c r="B603" s="2" t="s">
        <v>1533</v>
      </c>
      <c r="C603" s="3">
        <v>1</v>
      </c>
      <c r="D603" s="5">
        <v>37.130000000000003</v>
      </c>
      <c r="E603" s="3" t="s">
        <v>1534</v>
      </c>
      <c r="F603" s="2" t="s">
        <v>15</v>
      </c>
      <c r="G603" s="6"/>
      <c r="H603" s="2" t="s">
        <v>312</v>
      </c>
      <c r="I603" s="2" t="s">
        <v>195</v>
      </c>
      <c r="J603" s="2" t="s">
        <v>19</v>
      </c>
      <c r="K603" s="2" t="s">
        <v>353</v>
      </c>
      <c r="L603" s="7" t="str">
        <f>HYPERLINK("http://slimages.macys.com/is/image/MCY/12035001 ")</f>
        <v xml:space="preserve">http://slimages.macys.com/is/image/MCY/12035001 </v>
      </c>
    </row>
    <row r="604" spans="1:12" ht="24.75" x14ac:dyDescent="0.25">
      <c r="A604" s="4" t="s">
        <v>1538</v>
      </c>
      <c r="B604" s="2" t="s">
        <v>1539</v>
      </c>
      <c r="C604" s="3">
        <v>1</v>
      </c>
      <c r="D604" s="5">
        <v>26.99</v>
      </c>
      <c r="E604" s="3" t="s">
        <v>1540</v>
      </c>
      <c r="F604" s="2" t="s">
        <v>15</v>
      </c>
      <c r="G604" s="6" t="s">
        <v>22</v>
      </c>
      <c r="H604" s="2" t="s">
        <v>1473</v>
      </c>
      <c r="I604" s="2" t="s">
        <v>1426</v>
      </c>
      <c r="J604" s="2" t="s">
        <v>19</v>
      </c>
      <c r="K604" s="2" t="s">
        <v>353</v>
      </c>
      <c r="L604" s="7" t="str">
        <f t="shared" ref="L604:L610" si="6">HYPERLINK("http://slimages.macys.com/is/image/MCY/10786732 ")</f>
        <v xml:space="preserve">http://slimages.macys.com/is/image/MCY/10786732 </v>
      </c>
    </row>
    <row r="605" spans="1:12" ht="24.75" x14ac:dyDescent="0.25">
      <c r="A605" s="4" t="s">
        <v>1541</v>
      </c>
      <c r="B605" s="2" t="s">
        <v>1539</v>
      </c>
      <c r="C605" s="3">
        <v>1</v>
      </c>
      <c r="D605" s="5">
        <v>26.99</v>
      </c>
      <c r="E605" s="3" t="s">
        <v>1540</v>
      </c>
      <c r="F605" s="2" t="s">
        <v>15</v>
      </c>
      <c r="G605" s="6" t="s">
        <v>106</v>
      </c>
      <c r="H605" s="2" t="s">
        <v>1473</v>
      </c>
      <c r="I605" s="2" t="s">
        <v>1426</v>
      </c>
      <c r="J605" s="2" t="s">
        <v>19</v>
      </c>
      <c r="K605" s="2" t="s">
        <v>353</v>
      </c>
      <c r="L605" s="7" t="str">
        <f t="shared" si="6"/>
        <v xml:space="preserve">http://slimages.macys.com/is/image/MCY/10786732 </v>
      </c>
    </row>
    <row r="606" spans="1:12" ht="24.75" x14ac:dyDescent="0.25">
      <c r="A606" s="4" t="s">
        <v>1542</v>
      </c>
      <c r="B606" s="2" t="s">
        <v>1539</v>
      </c>
      <c r="C606" s="3">
        <v>1</v>
      </c>
      <c r="D606" s="5">
        <v>26.99</v>
      </c>
      <c r="E606" s="3" t="s">
        <v>1540</v>
      </c>
      <c r="F606" s="2" t="s">
        <v>15</v>
      </c>
      <c r="G606" s="6" t="s">
        <v>141</v>
      </c>
      <c r="H606" s="2" t="s">
        <v>1473</v>
      </c>
      <c r="I606" s="2" t="s">
        <v>1426</v>
      </c>
      <c r="J606" s="2" t="s">
        <v>19</v>
      </c>
      <c r="K606" s="2" t="s">
        <v>353</v>
      </c>
      <c r="L606" s="7" t="str">
        <f t="shared" si="6"/>
        <v xml:space="preserve">http://slimages.macys.com/is/image/MCY/10786732 </v>
      </c>
    </row>
    <row r="607" spans="1:12" ht="24.75" x14ac:dyDescent="0.25">
      <c r="A607" s="4" t="s">
        <v>1543</v>
      </c>
      <c r="B607" s="2" t="s">
        <v>1539</v>
      </c>
      <c r="C607" s="3">
        <v>1</v>
      </c>
      <c r="D607" s="5">
        <v>26.99</v>
      </c>
      <c r="E607" s="3" t="s">
        <v>1540</v>
      </c>
      <c r="F607" s="2" t="s">
        <v>1234</v>
      </c>
      <c r="G607" s="6" t="s">
        <v>22</v>
      </c>
      <c r="H607" s="2" t="s">
        <v>1473</v>
      </c>
      <c r="I607" s="2" t="s">
        <v>1426</v>
      </c>
      <c r="J607" s="2" t="s">
        <v>19</v>
      </c>
      <c r="K607" s="2" t="s">
        <v>353</v>
      </c>
      <c r="L607" s="7" t="str">
        <f t="shared" si="6"/>
        <v xml:space="preserve">http://slimages.macys.com/is/image/MCY/10786732 </v>
      </c>
    </row>
    <row r="608" spans="1:12" ht="24.75" x14ac:dyDescent="0.25">
      <c r="A608" s="4" t="s">
        <v>1544</v>
      </c>
      <c r="B608" s="2" t="s">
        <v>1539</v>
      </c>
      <c r="C608" s="3">
        <v>1</v>
      </c>
      <c r="D608" s="5">
        <v>26.99</v>
      </c>
      <c r="E608" s="3" t="s">
        <v>1540</v>
      </c>
      <c r="F608" s="2" t="s">
        <v>252</v>
      </c>
      <c r="G608" s="6" t="s">
        <v>112</v>
      </c>
      <c r="H608" s="2" t="s">
        <v>1473</v>
      </c>
      <c r="I608" s="2" t="s">
        <v>1426</v>
      </c>
      <c r="J608" s="2" t="s">
        <v>19</v>
      </c>
      <c r="K608" s="2" t="s">
        <v>353</v>
      </c>
      <c r="L608" s="7" t="str">
        <f t="shared" si="6"/>
        <v xml:space="preserve">http://slimages.macys.com/is/image/MCY/10786732 </v>
      </c>
    </row>
    <row r="609" spans="1:12" ht="24.75" x14ac:dyDescent="0.25">
      <c r="A609" s="4" t="s">
        <v>1545</v>
      </c>
      <c r="B609" s="2" t="s">
        <v>1539</v>
      </c>
      <c r="C609" s="3">
        <v>1</v>
      </c>
      <c r="D609" s="5">
        <v>26.99</v>
      </c>
      <c r="E609" s="3" t="s">
        <v>1540</v>
      </c>
      <c r="F609" s="2" t="s">
        <v>998</v>
      </c>
      <c r="G609" s="6" t="s">
        <v>58</v>
      </c>
      <c r="H609" s="2" t="s">
        <v>1473</v>
      </c>
      <c r="I609" s="2" t="s">
        <v>1426</v>
      </c>
      <c r="J609" s="2" t="s">
        <v>19</v>
      </c>
      <c r="K609" s="2" t="s">
        <v>353</v>
      </c>
      <c r="L609" s="7" t="str">
        <f t="shared" si="6"/>
        <v xml:space="preserve">http://slimages.macys.com/is/image/MCY/10786732 </v>
      </c>
    </row>
    <row r="610" spans="1:12" ht="24.75" x14ac:dyDescent="0.25">
      <c r="A610" s="4" t="s">
        <v>1546</v>
      </c>
      <c r="B610" s="2" t="s">
        <v>1539</v>
      </c>
      <c r="C610" s="3">
        <v>1</v>
      </c>
      <c r="D610" s="5">
        <v>26.99</v>
      </c>
      <c r="E610" s="3" t="s">
        <v>1540</v>
      </c>
      <c r="F610" s="2" t="s">
        <v>15</v>
      </c>
      <c r="G610" s="6" t="s">
        <v>112</v>
      </c>
      <c r="H610" s="2" t="s">
        <v>1473</v>
      </c>
      <c r="I610" s="2" t="s">
        <v>1426</v>
      </c>
      <c r="J610" s="2" t="s">
        <v>19</v>
      </c>
      <c r="K610" s="2" t="s">
        <v>353</v>
      </c>
      <c r="L610" s="7" t="str">
        <f t="shared" si="6"/>
        <v xml:space="preserve">http://slimages.macys.com/is/image/MCY/10786732 </v>
      </c>
    </row>
    <row r="611" spans="1:12" ht="24.75" x14ac:dyDescent="0.25">
      <c r="A611" s="4" t="s">
        <v>1547</v>
      </c>
      <c r="B611" s="2" t="s">
        <v>1539</v>
      </c>
      <c r="C611" s="3">
        <v>1</v>
      </c>
      <c r="D611" s="5">
        <v>26.99</v>
      </c>
      <c r="E611" s="3" t="s">
        <v>1548</v>
      </c>
      <c r="F611" s="2" t="s">
        <v>998</v>
      </c>
      <c r="G611" s="6" t="s">
        <v>934</v>
      </c>
      <c r="H611" s="2" t="s">
        <v>1425</v>
      </c>
      <c r="I611" s="2" t="s">
        <v>1426</v>
      </c>
      <c r="J611" s="2" t="s">
        <v>19</v>
      </c>
      <c r="K611" s="2" t="s">
        <v>353</v>
      </c>
      <c r="L611" s="7" t="str">
        <f>HYPERLINK("http://slimages.macys.com/is/image/MCY/11092539 ")</f>
        <v xml:space="preserve">http://slimages.macys.com/is/image/MCY/11092539 </v>
      </c>
    </row>
    <row r="612" spans="1:12" ht="24.75" x14ac:dyDescent="0.25">
      <c r="A612" s="4" t="s">
        <v>1549</v>
      </c>
      <c r="B612" s="2" t="s">
        <v>1539</v>
      </c>
      <c r="C612" s="3">
        <v>1</v>
      </c>
      <c r="D612" s="5">
        <v>26.99</v>
      </c>
      <c r="E612" s="3" t="s">
        <v>1548</v>
      </c>
      <c r="F612" s="2" t="s">
        <v>998</v>
      </c>
      <c r="G612" s="6" t="s">
        <v>205</v>
      </c>
      <c r="H612" s="2" t="s">
        <v>1425</v>
      </c>
      <c r="I612" s="2" t="s">
        <v>1426</v>
      </c>
      <c r="J612" s="2" t="s">
        <v>19</v>
      </c>
      <c r="K612" s="2" t="s">
        <v>353</v>
      </c>
      <c r="L612" s="7" t="str">
        <f>HYPERLINK("http://slimages.macys.com/is/image/MCY/11092539 ")</f>
        <v xml:space="preserve">http://slimages.macys.com/is/image/MCY/11092539 </v>
      </c>
    </row>
    <row r="613" spans="1:12" ht="24.75" x14ac:dyDescent="0.25">
      <c r="A613" s="4" t="s">
        <v>1550</v>
      </c>
      <c r="B613" s="2" t="s">
        <v>1539</v>
      </c>
      <c r="C613" s="3">
        <v>1</v>
      </c>
      <c r="D613" s="5">
        <v>26.99</v>
      </c>
      <c r="E613" s="3" t="s">
        <v>1548</v>
      </c>
      <c r="F613" s="2" t="s">
        <v>998</v>
      </c>
      <c r="G613" s="6" t="s">
        <v>802</v>
      </c>
      <c r="H613" s="2" t="s">
        <v>1425</v>
      </c>
      <c r="I613" s="2" t="s">
        <v>1426</v>
      </c>
      <c r="J613" s="2" t="s">
        <v>19</v>
      </c>
      <c r="K613" s="2" t="s">
        <v>353</v>
      </c>
      <c r="L613" s="7" t="str">
        <f>HYPERLINK("http://slimages.macys.com/is/image/MCY/11092539 ")</f>
        <v xml:space="preserve">http://slimages.macys.com/is/image/MCY/11092539 </v>
      </c>
    </row>
    <row r="614" spans="1:12" ht="24.75" x14ac:dyDescent="0.25">
      <c r="A614" s="4" t="s">
        <v>1551</v>
      </c>
      <c r="B614" s="2" t="s">
        <v>1539</v>
      </c>
      <c r="C614" s="3">
        <v>1</v>
      </c>
      <c r="D614" s="5">
        <v>26.99</v>
      </c>
      <c r="E614" s="3" t="s">
        <v>1540</v>
      </c>
      <c r="F614" s="2" t="s">
        <v>74</v>
      </c>
      <c r="G614" s="6" t="s">
        <v>141</v>
      </c>
      <c r="H614" s="2" t="s">
        <v>1473</v>
      </c>
      <c r="I614" s="2" t="s">
        <v>1426</v>
      </c>
      <c r="J614" s="2" t="s">
        <v>19</v>
      </c>
      <c r="K614" s="2" t="s">
        <v>353</v>
      </c>
      <c r="L614" s="7" t="str">
        <f>HYPERLINK("http://slimages.macys.com/is/image/MCY/10786732 ")</f>
        <v xml:space="preserve">http://slimages.macys.com/is/image/MCY/10786732 </v>
      </c>
    </row>
    <row r="615" spans="1:12" ht="24.75" x14ac:dyDescent="0.25">
      <c r="A615" s="4" t="s">
        <v>1552</v>
      </c>
      <c r="B615" s="2" t="s">
        <v>1539</v>
      </c>
      <c r="C615" s="3">
        <v>1</v>
      </c>
      <c r="D615" s="5">
        <v>26.99</v>
      </c>
      <c r="E615" s="3" t="s">
        <v>1540</v>
      </c>
      <c r="F615" s="2" t="s">
        <v>998</v>
      </c>
      <c r="G615" s="6" t="s">
        <v>22</v>
      </c>
      <c r="H615" s="2" t="s">
        <v>1473</v>
      </c>
      <c r="I615" s="2" t="s">
        <v>1426</v>
      </c>
      <c r="J615" s="2" t="s">
        <v>19</v>
      </c>
      <c r="K615" s="2" t="s">
        <v>353</v>
      </c>
      <c r="L615" s="7" t="str">
        <f>HYPERLINK("http://slimages.macys.com/is/image/MCY/10786732 ")</f>
        <v xml:space="preserve">http://slimages.macys.com/is/image/MCY/10786732 </v>
      </c>
    </row>
    <row r="616" spans="1:12" ht="24.75" x14ac:dyDescent="0.25">
      <c r="A616" s="4" t="s">
        <v>1553</v>
      </c>
      <c r="B616" s="2" t="s">
        <v>1539</v>
      </c>
      <c r="C616" s="3">
        <v>1</v>
      </c>
      <c r="D616" s="5">
        <v>26.99</v>
      </c>
      <c r="E616" s="3" t="s">
        <v>1540</v>
      </c>
      <c r="F616" s="2" t="s">
        <v>15</v>
      </c>
      <c r="G616" s="6" t="s">
        <v>16</v>
      </c>
      <c r="H616" s="2" t="s">
        <v>1473</v>
      </c>
      <c r="I616" s="2" t="s">
        <v>1426</v>
      </c>
      <c r="J616" s="2" t="s">
        <v>19</v>
      </c>
      <c r="K616" s="2" t="s">
        <v>353</v>
      </c>
      <c r="L616" s="7" t="str">
        <f>HYPERLINK("http://slimages.macys.com/is/image/MCY/10786732 ")</f>
        <v xml:space="preserve">http://slimages.macys.com/is/image/MCY/10786732 </v>
      </c>
    </row>
    <row r="617" spans="1:12" ht="24.75" x14ac:dyDescent="0.25">
      <c r="A617" s="4" t="s">
        <v>1554</v>
      </c>
      <c r="B617" s="2" t="s">
        <v>1539</v>
      </c>
      <c r="C617" s="3">
        <v>1</v>
      </c>
      <c r="D617" s="5">
        <v>26.99</v>
      </c>
      <c r="E617" s="3" t="s">
        <v>1540</v>
      </c>
      <c r="F617" s="2" t="s">
        <v>70</v>
      </c>
      <c r="G617" s="6" t="s">
        <v>141</v>
      </c>
      <c r="H617" s="2" t="s">
        <v>1473</v>
      </c>
      <c r="I617" s="2" t="s">
        <v>1426</v>
      </c>
      <c r="J617" s="2" t="s">
        <v>19</v>
      </c>
      <c r="K617" s="2" t="s">
        <v>353</v>
      </c>
      <c r="L617" s="7" t="str">
        <f>HYPERLINK("http://slimages.macys.com/is/image/MCY/10786732 ")</f>
        <v xml:space="preserve">http://slimages.macys.com/is/image/MCY/10786732 </v>
      </c>
    </row>
    <row r="618" spans="1:12" ht="24.75" x14ac:dyDescent="0.25">
      <c r="A618" s="4" t="s">
        <v>1555</v>
      </c>
      <c r="B618" s="2" t="s">
        <v>1556</v>
      </c>
      <c r="C618" s="3">
        <v>1</v>
      </c>
      <c r="D618" s="5">
        <v>25.88</v>
      </c>
      <c r="E618" s="3">
        <v>100018059</v>
      </c>
      <c r="F618" s="2" t="s">
        <v>64</v>
      </c>
      <c r="G618" s="6" t="s">
        <v>181</v>
      </c>
      <c r="H618" s="2" t="s">
        <v>194</v>
      </c>
      <c r="I618" s="2" t="s">
        <v>195</v>
      </c>
      <c r="J618" s="2" t="s">
        <v>19</v>
      </c>
      <c r="K618" s="2" t="s">
        <v>648</v>
      </c>
      <c r="L618" s="7" t="str">
        <f>HYPERLINK("http://slimages.macys.com/is/image/MCY/9795496 ")</f>
        <v xml:space="preserve">http://slimages.macys.com/is/image/MCY/9795496 </v>
      </c>
    </row>
    <row r="619" spans="1:12" ht="24.75" x14ac:dyDescent="0.25">
      <c r="A619" s="4" t="s">
        <v>1557</v>
      </c>
      <c r="B619" s="2" t="s">
        <v>1556</v>
      </c>
      <c r="C619" s="3">
        <v>1</v>
      </c>
      <c r="D619" s="5">
        <v>25.88</v>
      </c>
      <c r="E619" s="3">
        <v>100018059</v>
      </c>
      <c r="F619" s="2" t="s">
        <v>64</v>
      </c>
      <c r="G619" s="6" t="s">
        <v>245</v>
      </c>
      <c r="H619" s="2" t="s">
        <v>194</v>
      </c>
      <c r="I619" s="2" t="s">
        <v>195</v>
      </c>
      <c r="J619" s="2" t="s">
        <v>19</v>
      </c>
      <c r="K619" s="2" t="s">
        <v>648</v>
      </c>
      <c r="L619" s="7" t="str">
        <f>HYPERLINK("http://slimages.macys.com/is/image/MCY/9795496 ")</f>
        <v xml:space="preserve">http://slimages.macys.com/is/image/MCY/9795496 </v>
      </c>
    </row>
    <row r="620" spans="1:12" ht="24.75" x14ac:dyDescent="0.25">
      <c r="A620" s="4" t="s">
        <v>1558</v>
      </c>
      <c r="B620" s="2" t="s">
        <v>1559</v>
      </c>
      <c r="C620" s="3">
        <v>1</v>
      </c>
      <c r="D620" s="5">
        <v>24.99</v>
      </c>
      <c r="E620" s="3" t="s">
        <v>1560</v>
      </c>
      <c r="F620" s="2" t="s">
        <v>33</v>
      </c>
      <c r="G620" s="6"/>
      <c r="H620" s="2" t="s">
        <v>1425</v>
      </c>
      <c r="I620" s="2" t="s">
        <v>1469</v>
      </c>
      <c r="J620" s="2" t="s">
        <v>19</v>
      </c>
      <c r="K620" s="2" t="s">
        <v>353</v>
      </c>
      <c r="L620" s="7" t="str">
        <f>HYPERLINK("http://slimages.macys.com/is/image/MCY/9406309 ")</f>
        <v xml:space="preserve">http://slimages.macys.com/is/image/MCY/9406309 </v>
      </c>
    </row>
    <row r="621" spans="1:12" ht="24.75" x14ac:dyDescent="0.25">
      <c r="A621" s="4" t="s">
        <v>1561</v>
      </c>
      <c r="B621" s="2" t="s">
        <v>1559</v>
      </c>
      <c r="C621" s="3">
        <v>1</v>
      </c>
      <c r="D621" s="5">
        <v>24.99</v>
      </c>
      <c r="E621" s="3" t="s">
        <v>1562</v>
      </c>
      <c r="F621" s="2" t="s">
        <v>33</v>
      </c>
      <c r="G621" s="6" t="s">
        <v>156</v>
      </c>
      <c r="H621" s="2" t="s">
        <v>1522</v>
      </c>
      <c r="I621" s="2" t="s">
        <v>1469</v>
      </c>
      <c r="J621" s="2" t="s">
        <v>19</v>
      </c>
      <c r="K621" s="2" t="s">
        <v>353</v>
      </c>
      <c r="L621" s="7" t="str">
        <f>HYPERLINK("http://slimages.macys.com/is/image/MCY/11883694 ")</f>
        <v xml:space="preserve">http://slimages.macys.com/is/image/MCY/11883694 </v>
      </c>
    </row>
    <row r="622" spans="1:12" ht="24.75" x14ac:dyDescent="0.25">
      <c r="A622" s="4" t="s">
        <v>1563</v>
      </c>
      <c r="B622" s="2" t="s">
        <v>1559</v>
      </c>
      <c r="C622" s="3">
        <v>1</v>
      </c>
      <c r="D622" s="5">
        <v>24.99</v>
      </c>
      <c r="E622" s="3" t="s">
        <v>1564</v>
      </c>
      <c r="F622" s="2" t="s">
        <v>26</v>
      </c>
      <c r="G622" s="6" t="s">
        <v>187</v>
      </c>
      <c r="H622" s="2" t="s">
        <v>1425</v>
      </c>
      <c r="I622" s="2" t="s">
        <v>1469</v>
      </c>
      <c r="J622" s="2" t="s">
        <v>19</v>
      </c>
      <c r="K622" s="2" t="s">
        <v>353</v>
      </c>
      <c r="L622" s="7" t="str">
        <f>HYPERLINK("http://slimages.macys.com/is/image/MCY/11883694 ")</f>
        <v xml:space="preserve">http://slimages.macys.com/is/image/MCY/11883694 </v>
      </c>
    </row>
    <row r="623" spans="1:12" ht="24.75" x14ac:dyDescent="0.25">
      <c r="A623" s="4" t="s">
        <v>1565</v>
      </c>
      <c r="B623" s="2" t="s">
        <v>1566</v>
      </c>
      <c r="C623" s="3">
        <v>1</v>
      </c>
      <c r="D623" s="5">
        <v>34.5</v>
      </c>
      <c r="E623" s="3" t="s">
        <v>1567</v>
      </c>
      <c r="F623" s="2" t="s">
        <v>579</v>
      </c>
      <c r="G623" s="6"/>
      <c r="H623" s="2" t="s">
        <v>127</v>
      </c>
      <c r="I623" s="2" t="s">
        <v>128</v>
      </c>
      <c r="J623" s="2" t="s">
        <v>19</v>
      </c>
      <c r="K623" s="2" t="s">
        <v>247</v>
      </c>
      <c r="L623" s="7" t="str">
        <f>HYPERLINK("http://slimages.macys.com/is/image/MCY/11530434 ")</f>
        <v xml:space="preserve">http://slimages.macys.com/is/image/MCY/11530434 </v>
      </c>
    </row>
    <row r="624" spans="1:12" ht="24.75" x14ac:dyDescent="0.25">
      <c r="A624" s="4" t="s">
        <v>1568</v>
      </c>
      <c r="B624" s="2" t="s">
        <v>1569</v>
      </c>
      <c r="C624" s="3">
        <v>2</v>
      </c>
      <c r="D624" s="5">
        <v>37.130000000000003</v>
      </c>
      <c r="E624" s="3" t="s">
        <v>1570</v>
      </c>
      <c r="F624" s="2" t="s">
        <v>64</v>
      </c>
      <c r="G624" s="6" t="s">
        <v>181</v>
      </c>
      <c r="H624" s="2" t="s">
        <v>194</v>
      </c>
      <c r="I624" s="2" t="s">
        <v>195</v>
      </c>
      <c r="J624" s="2" t="s">
        <v>19</v>
      </c>
      <c r="K624" s="2" t="s">
        <v>247</v>
      </c>
      <c r="L624" s="7" t="str">
        <f>HYPERLINK("http://slimages.macys.com/is/image/MCY/13121030 ")</f>
        <v xml:space="preserve">http://slimages.macys.com/is/image/MCY/13121030 </v>
      </c>
    </row>
    <row r="625" spans="1:12" ht="24.75" x14ac:dyDescent="0.25">
      <c r="A625" s="4" t="s">
        <v>1571</v>
      </c>
      <c r="B625" s="2" t="s">
        <v>1572</v>
      </c>
      <c r="C625" s="3">
        <v>1</v>
      </c>
      <c r="D625" s="5">
        <v>37.130000000000003</v>
      </c>
      <c r="E625" s="3" t="s">
        <v>1573</v>
      </c>
      <c r="F625" s="2" t="s">
        <v>125</v>
      </c>
      <c r="G625" s="6" t="s">
        <v>154</v>
      </c>
      <c r="H625" s="2" t="s">
        <v>194</v>
      </c>
      <c r="I625" s="2" t="s">
        <v>195</v>
      </c>
      <c r="J625" s="2" t="s">
        <v>19</v>
      </c>
      <c r="K625" s="2" t="s">
        <v>247</v>
      </c>
      <c r="L625" s="7" t="str">
        <f>HYPERLINK("http://slimages.macys.com/is/image/MCY/12850758 ")</f>
        <v xml:space="preserve">http://slimages.macys.com/is/image/MCY/12850758 </v>
      </c>
    </row>
    <row r="626" spans="1:12" ht="36.75" x14ac:dyDescent="0.25">
      <c r="A626" s="4" t="s">
        <v>1574</v>
      </c>
      <c r="B626" s="2" t="s">
        <v>1575</v>
      </c>
      <c r="C626" s="3">
        <v>1</v>
      </c>
      <c r="D626" s="5">
        <v>33.380000000000003</v>
      </c>
      <c r="E626" s="3" t="s">
        <v>1576</v>
      </c>
      <c r="F626" s="2" t="s">
        <v>125</v>
      </c>
      <c r="G626" s="6" t="s">
        <v>234</v>
      </c>
      <c r="H626" s="2" t="s">
        <v>194</v>
      </c>
      <c r="I626" s="2" t="s">
        <v>195</v>
      </c>
      <c r="J626" s="2" t="s">
        <v>19</v>
      </c>
      <c r="K626" s="2" t="s">
        <v>1577</v>
      </c>
      <c r="L626" s="7" t="str">
        <f>HYPERLINK("http://slimages.macys.com/is/image/MCY/12734297 ")</f>
        <v xml:space="preserve">http://slimages.macys.com/is/image/MCY/12734297 </v>
      </c>
    </row>
    <row r="627" spans="1:12" ht="24.75" x14ac:dyDescent="0.25">
      <c r="A627" s="4" t="s">
        <v>1578</v>
      </c>
      <c r="B627" s="2" t="s">
        <v>1579</v>
      </c>
      <c r="C627" s="3">
        <v>1</v>
      </c>
      <c r="D627" s="5">
        <v>29.63</v>
      </c>
      <c r="E627" s="3" t="s">
        <v>1580</v>
      </c>
      <c r="F627" s="2" t="s">
        <v>48</v>
      </c>
      <c r="G627" s="6" t="s">
        <v>245</v>
      </c>
      <c r="H627" s="2" t="s">
        <v>194</v>
      </c>
      <c r="I627" s="2" t="s">
        <v>195</v>
      </c>
      <c r="J627" s="2" t="s">
        <v>19</v>
      </c>
      <c r="K627" s="2" t="s">
        <v>691</v>
      </c>
      <c r="L627" s="7" t="str">
        <f>HYPERLINK("http://slimages.macys.com/is/image/MCY/12950272 ")</f>
        <v xml:space="preserve">http://slimages.macys.com/is/image/MCY/12950272 </v>
      </c>
    </row>
    <row r="628" spans="1:12" ht="24.75" x14ac:dyDescent="0.25">
      <c r="A628" s="4" t="s">
        <v>1581</v>
      </c>
      <c r="B628" s="2" t="s">
        <v>1582</v>
      </c>
      <c r="C628" s="3">
        <v>1</v>
      </c>
      <c r="D628" s="5">
        <v>25.89</v>
      </c>
      <c r="E628" s="3" t="s">
        <v>1583</v>
      </c>
      <c r="F628" s="2" t="s">
        <v>1584</v>
      </c>
      <c r="G628" s="6" t="s">
        <v>181</v>
      </c>
      <c r="H628" s="2" t="s">
        <v>284</v>
      </c>
      <c r="I628" s="2" t="s">
        <v>285</v>
      </c>
      <c r="J628" s="2" t="s">
        <v>19</v>
      </c>
      <c r="K628" s="2" t="s">
        <v>247</v>
      </c>
      <c r="L628" s="7" t="str">
        <f>HYPERLINK("http://slimages.macys.com/is/image/MCY/13302247 ")</f>
        <v xml:space="preserve">http://slimages.macys.com/is/image/MCY/13302247 </v>
      </c>
    </row>
    <row r="629" spans="1:12" ht="24.75" x14ac:dyDescent="0.25">
      <c r="A629" s="4" t="s">
        <v>1585</v>
      </c>
      <c r="B629" s="2" t="s">
        <v>1586</v>
      </c>
      <c r="C629" s="3">
        <v>1</v>
      </c>
      <c r="D629" s="5">
        <v>21.99</v>
      </c>
      <c r="E629" s="3" t="s">
        <v>1587</v>
      </c>
      <c r="F629" s="2" t="s">
        <v>136</v>
      </c>
      <c r="G629" s="6" t="s">
        <v>219</v>
      </c>
      <c r="H629" s="2" t="s">
        <v>1425</v>
      </c>
      <c r="I629" s="2" t="s">
        <v>1426</v>
      </c>
      <c r="J629" s="2" t="s">
        <v>19</v>
      </c>
      <c r="K629" s="2" t="s">
        <v>34</v>
      </c>
      <c r="L629" s="7" t="str">
        <f>HYPERLINK("http://slimages.macys.com/is/image/MCY/11174709 ")</f>
        <v xml:space="preserve">http://slimages.macys.com/is/image/MCY/11174709 </v>
      </c>
    </row>
    <row r="630" spans="1:12" ht="24.75" x14ac:dyDescent="0.25">
      <c r="A630" s="4" t="s">
        <v>1588</v>
      </c>
      <c r="B630" s="2" t="s">
        <v>1586</v>
      </c>
      <c r="C630" s="3">
        <v>1</v>
      </c>
      <c r="D630" s="5">
        <v>21.99</v>
      </c>
      <c r="E630" s="3" t="s">
        <v>1587</v>
      </c>
      <c r="F630" s="2" t="s">
        <v>1234</v>
      </c>
      <c r="G630" s="6"/>
      <c r="H630" s="2" t="s">
        <v>1425</v>
      </c>
      <c r="I630" s="2" t="s">
        <v>1426</v>
      </c>
      <c r="J630" s="2" t="s">
        <v>19</v>
      </c>
      <c r="K630" s="2" t="s">
        <v>34</v>
      </c>
      <c r="L630" s="7" t="str">
        <f>HYPERLINK("http://slimages.macys.com/is/image/MCY/11174709 ")</f>
        <v xml:space="preserve">http://slimages.macys.com/is/image/MCY/11174709 </v>
      </c>
    </row>
    <row r="631" spans="1:12" ht="24.75" x14ac:dyDescent="0.25">
      <c r="A631" s="4" t="s">
        <v>1589</v>
      </c>
      <c r="B631" s="2" t="s">
        <v>1586</v>
      </c>
      <c r="C631" s="3">
        <v>1</v>
      </c>
      <c r="D631" s="5">
        <v>21.99</v>
      </c>
      <c r="E631" s="3" t="s">
        <v>1587</v>
      </c>
      <c r="F631" s="2" t="s">
        <v>15</v>
      </c>
      <c r="G631" s="6"/>
      <c r="H631" s="2" t="s">
        <v>1425</v>
      </c>
      <c r="I631" s="2" t="s">
        <v>1426</v>
      </c>
      <c r="J631" s="2" t="s">
        <v>19</v>
      </c>
      <c r="K631" s="2" t="s">
        <v>34</v>
      </c>
      <c r="L631" s="7" t="str">
        <f>HYPERLINK("http://slimages.macys.com/is/image/MCY/11174709 ")</f>
        <v xml:space="preserve">http://slimages.macys.com/is/image/MCY/11174709 </v>
      </c>
    </row>
    <row r="632" spans="1:12" ht="24.75" x14ac:dyDescent="0.25">
      <c r="A632" s="4" t="s">
        <v>1590</v>
      </c>
      <c r="B632" s="2" t="s">
        <v>1586</v>
      </c>
      <c r="C632" s="3">
        <v>1</v>
      </c>
      <c r="D632" s="5">
        <v>21.99</v>
      </c>
      <c r="E632" s="3" t="s">
        <v>1591</v>
      </c>
      <c r="F632" s="2" t="s">
        <v>1234</v>
      </c>
      <c r="G632" s="6" t="s">
        <v>154</v>
      </c>
      <c r="H632" s="2" t="s">
        <v>1473</v>
      </c>
      <c r="I632" s="2" t="s">
        <v>1426</v>
      </c>
      <c r="J632" s="2" t="s">
        <v>19</v>
      </c>
      <c r="K632" s="2" t="s">
        <v>34</v>
      </c>
      <c r="L632" s="7" t="str">
        <f>HYPERLINK("http://slimages.macys.com/is/image/MCY/10205114 ")</f>
        <v xml:space="preserve">http://slimages.macys.com/is/image/MCY/10205114 </v>
      </c>
    </row>
    <row r="633" spans="1:12" ht="24.75" x14ac:dyDescent="0.25">
      <c r="A633" s="4" t="s">
        <v>1592</v>
      </c>
      <c r="B633" s="2" t="s">
        <v>1593</v>
      </c>
      <c r="C633" s="3">
        <v>1</v>
      </c>
      <c r="D633" s="5">
        <v>30</v>
      </c>
      <c r="E633" s="3" t="s">
        <v>1594</v>
      </c>
      <c r="F633" s="2" t="s">
        <v>74</v>
      </c>
      <c r="G633" s="6" t="s">
        <v>794</v>
      </c>
      <c r="H633" s="2" t="s">
        <v>447</v>
      </c>
      <c r="I633" s="2" t="s">
        <v>792</v>
      </c>
      <c r="J633" s="2" t="s">
        <v>1499</v>
      </c>
      <c r="K633" s="2" t="s">
        <v>160</v>
      </c>
      <c r="L633" s="7" t="str">
        <f>HYPERLINK("http://slimages.macys.com/is/image/MCY/1157340 ")</f>
        <v xml:space="preserve">http://slimages.macys.com/is/image/MCY/1157340 </v>
      </c>
    </row>
    <row r="634" spans="1:12" ht="24.75" x14ac:dyDescent="0.25">
      <c r="A634" s="4" t="s">
        <v>1595</v>
      </c>
      <c r="B634" s="2" t="s">
        <v>1596</v>
      </c>
      <c r="C634" s="3">
        <v>1</v>
      </c>
      <c r="D634" s="5">
        <v>31</v>
      </c>
      <c r="E634" s="3" t="s">
        <v>1597</v>
      </c>
      <c r="F634" s="2" t="s">
        <v>74</v>
      </c>
      <c r="G634" s="6" t="s">
        <v>791</v>
      </c>
      <c r="H634" s="2" t="s">
        <v>447</v>
      </c>
      <c r="I634" s="2" t="s">
        <v>792</v>
      </c>
      <c r="J634" s="2" t="s">
        <v>19</v>
      </c>
      <c r="K634" s="2" t="s">
        <v>160</v>
      </c>
      <c r="L634" s="7" t="str">
        <f>HYPERLINK("http://slimages.macys.com/is/image/MCY/14876146 ")</f>
        <v xml:space="preserve">http://slimages.macys.com/is/image/MCY/14876146 </v>
      </c>
    </row>
    <row r="635" spans="1:12" ht="24.75" x14ac:dyDescent="0.25">
      <c r="A635" s="4" t="s">
        <v>1598</v>
      </c>
      <c r="B635" s="2" t="s">
        <v>1586</v>
      </c>
      <c r="C635" s="3">
        <v>1</v>
      </c>
      <c r="D635" s="5">
        <v>21.99</v>
      </c>
      <c r="E635" s="3" t="s">
        <v>1587</v>
      </c>
      <c r="F635" s="2" t="s">
        <v>74</v>
      </c>
      <c r="G635" s="6"/>
      <c r="H635" s="2" t="s">
        <v>1425</v>
      </c>
      <c r="I635" s="2" t="s">
        <v>1426</v>
      </c>
      <c r="J635" s="2" t="s">
        <v>19</v>
      </c>
      <c r="K635" s="2" t="s">
        <v>34</v>
      </c>
      <c r="L635" s="7" t="str">
        <f>HYPERLINK("http://slimages.macys.com/is/image/MCY/11174709 ")</f>
        <v xml:space="preserve">http://slimages.macys.com/is/image/MCY/11174709 </v>
      </c>
    </row>
    <row r="636" spans="1:12" ht="24.75" x14ac:dyDescent="0.25">
      <c r="A636" s="4" t="s">
        <v>1599</v>
      </c>
      <c r="B636" s="2" t="s">
        <v>1600</v>
      </c>
      <c r="C636" s="3">
        <v>2</v>
      </c>
      <c r="D636" s="5">
        <v>21.99</v>
      </c>
      <c r="E636" s="3" t="s">
        <v>1601</v>
      </c>
      <c r="F636" s="2" t="s">
        <v>74</v>
      </c>
      <c r="G636" s="6"/>
      <c r="H636" s="2" t="s">
        <v>1425</v>
      </c>
      <c r="I636" s="2" t="s">
        <v>1426</v>
      </c>
      <c r="J636" s="2"/>
      <c r="K636" s="2"/>
      <c r="L636" s="7" t="str">
        <f>HYPERLINK("http://slimages.macys.com/is/image/MCY/10205122 ")</f>
        <v xml:space="preserve">http://slimages.macys.com/is/image/MCY/10205122 </v>
      </c>
    </row>
    <row r="637" spans="1:12" ht="24.75" x14ac:dyDescent="0.25">
      <c r="A637" s="4" t="s">
        <v>1602</v>
      </c>
      <c r="B637" s="2" t="s">
        <v>1586</v>
      </c>
      <c r="C637" s="3">
        <v>1</v>
      </c>
      <c r="D637" s="5">
        <v>21.99</v>
      </c>
      <c r="E637" s="3" t="s">
        <v>1587</v>
      </c>
      <c r="F637" s="2" t="s">
        <v>74</v>
      </c>
      <c r="G637" s="6"/>
      <c r="H637" s="2" t="s">
        <v>1425</v>
      </c>
      <c r="I637" s="2" t="s">
        <v>1426</v>
      </c>
      <c r="J637" s="2" t="s">
        <v>19</v>
      </c>
      <c r="K637" s="2" t="s">
        <v>34</v>
      </c>
      <c r="L637" s="7" t="str">
        <f>HYPERLINK("http://slimages.macys.com/is/image/MCY/11174709 ")</f>
        <v xml:space="preserve">http://slimages.macys.com/is/image/MCY/11174709 </v>
      </c>
    </row>
    <row r="638" spans="1:12" ht="24.75" x14ac:dyDescent="0.25">
      <c r="A638" s="4" t="s">
        <v>1603</v>
      </c>
      <c r="B638" s="2" t="s">
        <v>1586</v>
      </c>
      <c r="C638" s="3">
        <v>2</v>
      </c>
      <c r="D638" s="5">
        <v>21.99</v>
      </c>
      <c r="E638" s="3" t="s">
        <v>1587</v>
      </c>
      <c r="F638" s="2" t="s">
        <v>74</v>
      </c>
      <c r="G638" s="6"/>
      <c r="H638" s="2" t="s">
        <v>1425</v>
      </c>
      <c r="I638" s="2" t="s">
        <v>1426</v>
      </c>
      <c r="J638" s="2" t="s">
        <v>19</v>
      </c>
      <c r="K638" s="2" t="s">
        <v>34</v>
      </c>
      <c r="L638" s="7" t="str">
        <f>HYPERLINK("http://slimages.macys.com/is/image/MCY/11174709 ")</f>
        <v xml:space="preserve">http://slimages.macys.com/is/image/MCY/11174709 </v>
      </c>
    </row>
    <row r="639" spans="1:12" ht="24.75" x14ac:dyDescent="0.25">
      <c r="A639" s="4" t="s">
        <v>1604</v>
      </c>
      <c r="B639" s="2" t="s">
        <v>1600</v>
      </c>
      <c r="C639" s="3">
        <v>1</v>
      </c>
      <c r="D639" s="5">
        <v>21.99</v>
      </c>
      <c r="E639" s="3" t="s">
        <v>1601</v>
      </c>
      <c r="F639" s="2" t="s">
        <v>136</v>
      </c>
      <c r="G639" s="6" t="s">
        <v>219</v>
      </c>
      <c r="H639" s="2" t="s">
        <v>1425</v>
      </c>
      <c r="I639" s="2" t="s">
        <v>1426</v>
      </c>
      <c r="J639" s="2"/>
      <c r="K639" s="2"/>
      <c r="L639" s="7" t="str">
        <f>HYPERLINK("http://slimages.macys.com/is/image/MCY/10205122 ")</f>
        <v xml:space="preserve">http://slimages.macys.com/is/image/MCY/10205122 </v>
      </c>
    </row>
    <row r="640" spans="1:12" ht="24.75" x14ac:dyDescent="0.25">
      <c r="A640" s="4" t="s">
        <v>1605</v>
      </c>
      <c r="B640" s="2" t="s">
        <v>1586</v>
      </c>
      <c r="C640" s="3">
        <v>1</v>
      </c>
      <c r="D640" s="5">
        <v>21.99</v>
      </c>
      <c r="E640" s="3" t="s">
        <v>1587</v>
      </c>
      <c r="F640" s="2" t="s">
        <v>74</v>
      </c>
      <c r="G640" s="6" t="s">
        <v>219</v>
      </c>
      <c r="H640" s="2" t="s">
        <v>1425</v>
      </c>
      <c r="I640" s="2" t="s">
        <v>1426</v>
      </c>
      <c r="J640" s="2" t="s">
        <v>19</v>
      </c>
      <c r="K640" s="2" t="s">
        <v>34</v>
      </c>
      <c r="L640" s="7" t="str">
        <f>HYPERLINK("http://slimages.macys.com/is/image/MCY/11174709 ")</f>
        <v xml:space="preserve">http://slimages.macys.com/is/image/MCY/11174709 </v>
      </c>
    </row>
    <row r="641" spans="1:12" ht="24.75" x14ac:dyDescent="0.25">
      <c r="A641" s="4" t="s">
        <v>1606</v>
      </c>
      <c r="B641" s="2" t="s">
        <v>1600</v>
      </c>
      <c r="C641" s="3">
        <v>1</v>
      </c>
      <c r="D641" s="5">
        <v>21.99</v>
      </c>
      <c r="E641" s="3" t="s">
        <v>1601</v>
      </c>
      <c r="F641" s="2" t="s">
        <v>74</v>
      </c>
      <c r="G641" s="6"/>
      <c r="H641" s="2" t="s">
        <v>1425</v>
      </c>
      <c r="I641" s="2" t="s">
        <v>1426</v>
      </c>
      <c r="J641" s="2"/>
      <c r="K641" s="2"/>
      <c r="L641" s="7" t="str">
        <f>HYPERLINK("http://slimages.macys.com/is/image/MCY/10205122 ")</f>
        <v xml:space="preserve">http://slimages.macys.com/is/image/MCY/10205122 </v>
      </c>
    </row>
    <row r="642" spans="1:12" ht="24.75" x14ac:dyDescent="0.25">
      <c r="A642" s="4" t="s">
        <v>1607</v>
      </c>
      <c r="B642" s="2" t="s">
        <v>1600</v>
      </c>
      <c r="C642" s="3">
        <v>1</v>
      </c>
      <c r="D642" s="5">
        <v>21.99</v>
      </c>
      <c r="E642" s="3" t="s">
        <v>1601</v>
      </c>
      <c r="F642" s="2" t="s">
        <v>15</v>
      </c>
      <c r="G642" s="6" t="s">
        <v>219</v>
      </c>
      <c r="H642" s="2" t="s">
        <v>1425</v>
      </c>
      <c r="I642" s="2" t="s">
        <v>1426</v>
      </c>
      <c r="J642" s="2"/>
      <c r="K642" s="2"/>
      <c r="L642" s="7" t="str">
        <f>HYPERLINK("http://slimages.macys.com/is/image/MCY/10205122 ")</f>
        <v xml:space="preserve">http://slimages.macys.com/is/image/MCY/10205122 </v>
      </c>
    </row>
    <row r="643" spans="1:12" ht="24.75" x14ac:dyDescent="0.25">
      <c r="A643" s="4" t="s">
        <v>1608</v>
      </c>
      <c r="B643" s="2" t="s">
        <v>1586</v>
      </c>
      <c r="C643" s="3">
        <v>1</v>
      </c>
      <c r="D643" s="5">
        <v>21.99</v>
      </c>
      <c r="E643" s="3" t="s">
        <v>1587</v>
      </c>
      <c r="F643" s="2" t="s">
        <v>70</v>
      </c>
      <c r="G643" s="6"/>
      <c r="H643" s="2" t="s">
        <v>1425</v>
      </c>
      <c r="I643" s="2" t="s">
        <v>1426</v>
      </c>
      <c r="J643" s="2" t="s">
        <v>19</v>
      </c>
      <c r="K643" s="2" t="s">
        <v>34</v>
      </c>
      <c r="L643" s="7" t="str">
        <f>HYPERLINK("http://slimages.macys.com/is/image/MCY/11174709 ")</f>
        <v xml:space="preserve">http://slimages.macys.com/is/image/MCY/11174709 </v>
      </c>
    </row>
    <row r="644" spans="1:12" ht="24.75" x14ac:dyDescent="0.25">
      <c r="A644" s="4" t="s">
        <v>1609</v>
      </c>
      <c r="B644" s="2" t="s">
        <v>1586</v>
      </c>
      <c r="C644" s="3">
        <v>1</v>
      </c>
      <c r="D644" s="5">
        <v>21.99</v>
      </c>
      <c r="E644" s="3" t="s">
        <v>1587</v>
      </c>
      <c r="F644" s="2" t="s">
        <v>998</v>
      </c>
      <c r="G644" s="6"/>
      <c r="H644" s="2" t="s">
        <v>1425</v>
      </c>
      <c r="I644" s="2" t="s">
        <v>1426</v>
      </c>
      <c r="J644" s="2" t="s">
        <v>19</v>
      </c>
      <c r="K644" s="2" t="s">
        <v>34</v>
      </c>
      <c r="L644" s="7" t="str">
        <f>HYPERLINK("http://slimages.macys.com/is/image/MCY/11174709 ")</f>
        <v xml:space="preserve">http://slimages.macys.com/is/image/MCY/11174709 </v>
      </c>
    </row>
    <row r="645" spans="1:12" ht="24.75" x14ac:dyDescent="0.25">
      <c r="A645" s="4" t="s">
        <v>1610</v>
      </c>
      <c r="B645" s="2" t="s">
        <v>1586</v>
      </c>
      <c r="C645" s="3">
        <v>1</v>
      </c>
      <c r="D645" s="5">
        <v>21.99</v>
      </c>
      <c r="E645" s="3" t="s">
        <v>1587</v>
      </c>
      <c r="F645" s="2" t="s">
        <v>15</v>
      </c>
      <c r="G645" s="6"/>
      <c r="H645" s="2" t="s">
        <v>1425</v>
      </c>
      <c r="I645" s="2" t="s">
        <v>1426</v>
      </c>
      <c r="J645" s="2" t="s">
        <v>19</v>
      </c>
      <c r="K645" s="2" t="s">
        <v>34</v>
      </c>
      <c r="L645" s="7" t="str">
        <f>HYPERLINK("http://slimages.macys.com/is/image/MCY/11174709 ")</f>
        <v xml:space="preserve">http://slimages.macys.com/is/image/MCY/11174709 </v>
      </c>
    </row>
    <row r="646" spans="1:12" ht="24.75" x14ac:dyDescent="0.25">
      <c r="A646" s="4" t="s">
        <v>1611</v>
      </c>
      <c r="B646" s="2" t="s">
        <v>1612</v>
      </c>
      <c r="C646" s="3">
        <v>3</v>
      </c>
      <c r="D646" s="5">
        <v>19.989999999999998</v>
      </c>
      <c r="E646" s="3" t="s">
        <v>1613</v>
      </c>
      <c r="F646" s="2" t="s">
        <v>1614</v>
      </c>
      <c r="G646" s="6" t="s">
        <v>234</v>
      </c>
      <c r="H646" s="2" t="s">
        <v>194</v>
      </c>
      <c r="I646" s="2" t="s">
        <v>195</v>
      </c>
      <c r="J646" s="2" t="s">
        <v>19</v>
      </c>
      <c r="K646" s="2" t="s">
        <v>247</v>
      </c>
      <c r="L646" s="7" t="str">
        <f>HYPERLINK("http://slimages.macys.com/is/image/MCY/11261943 ")</f>
        <v xml:space="preserve">http://slimages.macys.com/is/image/MCY/11261943 </v>
      </c>
    </row>
    <row r="647" spans="1:12" ht="24.75" x14ac:dyDescent="0.25">
      <c r="A647" s="4" t="s">
        <v>1615</v>
      </c>
      <c r="B647" s="2" t="s">
        <v>1616</v>
      </c>
      <c r="C647" s="3">
        <v>1</v>
      </c>
      <c r="D647" s="5">
        <v>25.88</v>
      </c>
      <c r="E647" s="3">
        <v>100011992</v>
      </c>
      <c r="F647" s="2" t="s">
        <v>26</v>
      </c>
      <c r="G647" s="6" t="s">
        <v>181</v>
      </c>
      <c r="H647" s="2" t="s">
        <v>194</v>
      </c>
      <c r="I647" s="2" t="s">
        <v>195</v>
      </c>
      <c r="J647" s="2" t="s">
        <v>19</v>
      </c>
      <c r="K647" s="2" t="s">
        <v>1617</v>
      </c>
      <c r="L647" s="7" t="str">
        <f>HYPERLINK("http://slimages.macys.com/is/image/MCY/13314771 ")</f>
        <v xml:space="preserve">http://slimages.macys.com/is/image/MCY/13314771 </v>
      </c>
    </row>
    <row r="648" spans="1:12" ht="24.75" x14ac:dyDescent="0.25">
      <c r="A648" s="4" t="s">
        <v>1618</v>
      </c>
      <c r="B648" s="2" t="s">
        <v>1612</v>
      </c>
      <c r="C648" s="3">
        <v>1</v>
      </c>
      <c r="D648" s="5">
        <v>19.989999999999998</v>
      </c>
      <c r="E648" s="3" t="s">
        <v>1613</v>
      </c>
      <c r="F648" s="2" t="s">
        <v>1614</v>
      </c>
      <c r="G648" s="6" t="s">
        <v>154</v>
      </c>
      <c r="H648" s="2" t="s">
        <v>194</v>
      </c>
      <c r="I648" s="2" t="s">
        <v>195</v>
      </c>
      <c r="J648" s="2" t="s">
        <v>19</v>
      </c>
      <c r="K648" s="2" t="s">
        <v>247</v>
      </c>
      <c r="L648" s="7" t="str">
        <f>HYPERLINK("http://slimages.macys.com/is/image/MCY/11261943 ")</f>
        <v xml:space="preserve">http://slimages.macys.com/is/image/MCY/11261943 </v>
      </c>
    </row>
    <row r="649" spans="1:12" ht="24.75" x14ac:dyDescent="0.25">
      <c r="A649" s="4" t="s">
        <v>1619</v>
      </c>
      <c r="B649" s="2" t="s">
        <v>1612</v>
      </c>
      <c r="C649" s="3">
        <v>1</v>
      </c>
      <c r="D649" s="5">
        <v>19.989999999999998</v>
      </c>
      <c r="E649" s="3" t="s">
        <v>1613</v>
      </c>
      <c r="F649" s="2" t="s">
        <v>1614</v>
      </c>
      <c r="G649" s="6" t="s">
        <v>181</v>
      </c>
      <c r="H649" s="2" t="s">
        <v>194</v>
      </c>
      <c r="I649" s="2" t="s">
        <v>195</v>
      </c>
      <c r="J649" s="2" t="s">
        <v>19</v>
      </c>
      <c r="K649" s="2" t="s">
        <v>247</v>
      </c>
      <c r="L649" s="7" t="str">
        <f>HYPERLINK("http://slimages.macys.com/is/image/MCY/11261943 ")</f>
        <v xml:space="preserve">http://slimages.macys.com/is/image/MCY/11261943 </v>
      </c>
    </row>
    <row r="650" spans="1:12" ht="24.75" x14ac:dyDescent="0.25">
      <c r="A650" s="4" t="s">
        <v>1620</v>
      </c>
      <c r="B650" s="2" t="s">
        <v>1529</v>
      </c>
      <c r="C650" s="3">
        <v>2</v>
      </c>
      <c r="D650" s="5">
        <v>37.130000000000003</v>
      </c>
      <c r="E650" s="3" t="s">
        <v>1530</v>
      </c>
      <c r="F650" s="2" t="s">
        <v>998</v>
      </c>
      <c r="G650" s="6" t="s">
        <v>934</v>
      </c>
      <c r="H650" s="2" t="s">
        <v>312</v>
      </c>
      <c r="I650" s="2" t="s">
        <v>195</v>
      </c>
      <c r="J650" s="2" t="s">
        <v>19</v>
      </c>
      <c r="K650" s="2" t="s">
        <v>353</v>
      </c>
      <c r="L650" s="7" t="str">
        <f t="shared" ref="L650:L655" si="7">HYPERLINK("http://slimages.macys.com/is/image/MCY/11938040 ")</f>
        <v xml:space="preserve">http://slimages.macys.com/is/image/MCY/11938040 </v>
      </c>
    </row>
    <row r="651" spans="1:12" ht="24.75" x14ac:dyDescent="0.25">
      <c r="A651" s="4" t="s">
        <v>1621</v>
      </c>
      <c r="B651" s="2" t="s">
        <v>1529</v>
      </c>
      <c r="C651" s="3">
        <v>2</v>
      </c>
      <c r="D651" s="5">
        <v>37.130000000000003</v>
      </c>
      <c r="E651" s="3" t="s">
        <v>1530</v>
      </c>
      <c r="F651" s="2" t="s">
        <v>998</v>
      </c>
      <c r="G651" s="6" t="s">
        <v>205</v>
      </c>
      <c r="H651" s="2" t="s">
        <v>312</v>
      </c>
      <c r="I651" s="2" t="s">
        <v>195</v>
      </c>
      <c r="J651" s="2" t="s">
        <v>19</v>
      </c>
      <c r="K651" s="2" t="s">
        <v>353</v>
      </c>
      <c r="L651" s="7" t="str">
        <f t="shared" si="7"/>
        <v xml:space="preserve">http://slimages.macys.com/is/image/MCY/11938040 </v>
      </c>
    </row>
    <row r="652" spans="1:12" ht="24.75" x14ac:dyDescent="0.25">
      <c r="A652" s="4" t="s">
        <v>1622</v>
      </c>
      <c r="B652" s="2" t="s">
        <v>1529</v>
      </c>
      <c r="C652" s="3">
        <v>1</v>
      </c>
      <c r="D652" s="5">
        <v>37.130000000000003</v>
      </c>
      <c r="E652" s="3" t="s">
        <v>1530</v>
      </c>
      <c r="F652" s="2" t="s">
        <v>998</v>
      </c>
      <c r="G652" s="6" t="s">
        <v>802</v>
      </c>
      <c r="H652" s="2" t="s">
        <v>312</v>
      </c>
      <c r="I652" s="2" t="s">
        <v>195</v>
      </c>
      <c r="J652" s="2" t="s">
        <v>19</v>
      </c>
      <c r="K652" s="2" t="s">
        <v>353</v>
      </c>
      <c r="L652" s="7" t="str">
        <f t="shared" si="7"/>
        <v xml:space="preserve">http://slimages.macys.com/is/image/MCY/11938040 </v>
      </c>
    </row>
    <row r="653" spans="1:12" ht="24.75" x14ac:dyDescent="0.25">
      <c r="A653" s="4" t="s">
        <v>1623</v>
      </c>
      <c r="B653" s="2" t="s">
        <v>1529</v>
      </c>
      <c r="C653" s="3">
        <v>1</v>
      </c>
      <c r="D653" s="5">
        <v>37.130000000000003</v>
      </c>
      <c r="E653" s="3" t="s">
        <v>1530</v>
      </c>
      <c r="F653" s="2" t="s">
        <v>998</v>
      </c>
      <c r="G653" s="6" t="s">
        <v>336</v>
      </c>
      <c r="H653" s="2" t="s">
        <v>312</v>
      </c>
      <c r="I653" s="2" t="s">
        <v>195</v>
      </c>
      <c r="J653" s="2" t="s">
        <v>19</v>
      </c>
      <c r="K653" s="2" t="s">
        <v>353</v>
      </c>
      <c r="L653" s="7" t="str">
        <f t="shared" si="7"/>
        <v xml:space="preserve">http://slimages.macys.com/is/image/MCY/11938040 </v>
      </c>
    </row>
    <row r="654" spans="1:12" ht="24.75" x14ac:dyDescent="0.25">
      <c r="A654" s="4" t="s">
        <v>1624</v>
      </c>
      <c r="B654" s="2" t="s">
        <v>1529</v>
      </c>
      <c r="C654" s="3">
        <v>2</v>
      </c>
      <c r="D654" s="5">
        <v>37.130000000000003</v>
      </c>
      <c r="E654" s="3" t="s">
        <v>1530</v>
      </c>
      <c r="F654" s="2" t="s">
        <v>998</v>
      </c>
      <c r="G654" s="6" t="s">
        <v>165</v>
      </c>
      <c r="H654" s="2" t="s">
        <v>312</v>
      </c>
      <c r="I654" s="2" t="s">
        <v>195</v>
      </c>
      <c r="J654" s="2" t="s">
        <v>19</v>
      </c>
      <c r="K654" s="2" t="s">
        <v>353</v>
      </c>
      <c r="L654" s="7" t="str">
        <f t="shared" si="7"/>
        <v xml:space="preserve">http://slimages.macys.com/is/image/MCY/11938040 </v>
      </c>
    </row>
    <row r="655" spans="1:12" ht="24.75" x14ac:dyDescent="0.25">
      <c r="A655" s="4" t="s">
        <v>1625</v>
      </c>
      <c r="B655" s="2" t="s">
        <v>1529</v>
      </c>
      <c r="C655" s="3">
        <v>2</v>
      </c>
      <c r="D655" s="5">
        <v>37.130000000000003</v>
      </c>
      <c r="E655" s="3" t="s">
        <v>1530</v>
      </c>
      <c r="F655" s="2" t="s">
        <v>998</v>
      </c>
      <c r="G655" s="6" t="s">
        <v>126</v>
      </c>
      <c r="H655" s="2" t="s">
        <v>312</v>
      </c>
      <c r="I655" s="2" t="s">
        <v>195</v>
      </c>
      <c r="J655" s="2" t="s">
        <v>19</v>
      </c>
      <c r="K655" s="2" t="s">
        <v>353</v>
      </c>
      <c r="L655" s="7" t="str">
        <f t="shared" si="7"/>
        <v xml:space="preserve">http://slimages.macys.com/is/image/MCY/11938040 </v>
      </c>
    </row>
    <row r="656" spans="1:12" ht="24.75" x14ac:dyDescent="0.25">
      <c r="A656" s="4" t="s">
        <v>1626</v>
      </c>
      <c r="B656" s="2" t="s">
        <v>1627</v>
      </c>
      <c r="C656" s="3">
        <v>1</v>
      </c>
      <c r="D656" s="5">
        <v>25.88</v>
      </c>
      <c r="E656" s="3" t="s">
        <v>1628</v>
      </c>
      <c r="F656" s="2" t="s">
        <v>70</v>
      </c>
      <c r="G656" s="6" t="s">
        <v>245</v>
      </c>
      <c r="H656" s="2" t="s">
        <v>194</v>
      </c>
      <c r="I656" s="2" t="s">
        <v>195</v>
      </c>
      <c r="J656" s="2" t="s">
        <v>19</v>
      </c>
      <c r="K656" s="2" t="s">
        <v>1629</v>
      </c>
      <c r="L656" s="7" t="str">
        <f>HYPERLINK("http://slimages.macys.com/is/image/MCY/11531058 ")</f>
        <v xml:space="preserve">http://slimages.macys.com/is/image/MCY/11531058 </v>
      </c>
    </row>
    <row r="657" spans="1:12" ht="24.75" x14ac:dyDescent="0.25">
      <c r="A657" s="4" t="s">
        <v>1630</v>
      </c>
      <c r="B657" s="2" t="s">
        <v>1627</v>
      </c>
      <c r="C657" s="3">
        <v>1</v>
      </c>
      <c r="D657" s="5">
        <v>25.88</v>
      </c>
      <c r="E657" s="3" t="s">
        <v>1628</v>
      </c>
      <c r="F657" s="2" t="s">
        <v>70</v>
      </c>
      <c r="G657" s="6" t="s">
        <v>156</v>
      </c>
      <c r="H657" s="2" t="s">
        <v>194</v>
      </c>
      <c r="I657" s="2" t="s">
        <v>195</v>
      </c>
      <c r="J657" s="2" t="s">
        <v>19</v>
      </c>
      <c r="K657" s="2" t="s">
        <v>1629</v>
      </c>
      <c r="L657" s="7" t="str">
        <f>HYPERLINK("http://slimages.macys.com/is/image/MCY/11531058 ")</f>
        <v xml:space="preserve">http://slimages.macys.com/is/image/MCY/11531058 </v>
      </c>
    </row>
    <row r="658" spans="1:12" ht="24.75" x14ac:dyDescent="0.25">
      <c r="A658" s="4" t="s">
        <v>1631</v>
      </c>
      <c r="B658" s="2" t="s">
        <v>1632</v>
      </c>
      <c r="C658" s="3">
        <v>1</v>
      </c>
      <c r="D658" s="5">
        <v>19.989999999999998</v>
      </c>
      <c r="E658" s="3" t="s">
        <v>1633</v>
      </c>
      <c r="F658" s="2" t="s">
        <v>33</v>
      </c>
      <c r="G658" s="6"/>
      <c r="H658" s="2" t="s">
        <v>1425</v>
      </c>
      <c r="I658" s="2" t="s">
        <v>1426</v>
      </c>
      <c r="J658" s="2" t="s">
        <v>19</v>
      </c>
      <c r="K658" s="2" t="s">
        <v>1431</v>
      </c>
      <c r="L658" s="7" t="str">
        <f>HYPERLINK("http://slimages.macys.com/is/image/MCY/9633184 ")</f>
        <v xml:space="preserve">http://slimages.macys.com/is/image/MCY/9633184 </v>
      </c>
    </row>
    <row r="659" spans="1:12" ht="24.75" x14ac:dyDescent="0.25">
      <c r="A659" s="4" t="s">
        <v>1634</v>
      </c>
      <c r="B659" s="2" t="s">
        <v>1635</v>
      </c>
      <c r="C659" s="3">
        <v>1</v>
      </c>
      <c r="D659" s="5">
        <v>25.88</v>
      </c>
      <c r="E659" s="3">
        <v>100011992</v>
      </c>
      <c r="F659" s="2" t="s">
        <v>64</v>
      </c>
      <c r="G659" s="6" t="s">
        <v>156</v>
      </c>
      <c r="H659" s="2" t="s">
        <v>194</v>
      </c>
      <c r="I659" s="2" t="s">
        <v>195</v>
      </c>
      <c r="J659" s="2" t="s">
        <v>19</v>
      </c>
      <c r="K659" s="2" t="s">
        <v>1617</v>
      </c>
      <c r="L659" s="7" t="str">
        <f t="shared" ref="L659:L664" si="8">HYPERLINK("http://slimages.macys.com/is/image/MCY/13314771 ")</f>
        <v xml:space="preserve">http://slimages.macys.com/is/image/MCY/13314771 </v>
      </c>
    </row>
    <row r="660" spans="1:12" ht="24.75" x14ac:dyDescent="0.25">
      <c r="A660" s="4" t="s">
        <v>1636</v>
      </c>
      <c r="B660" s="2" t="s">
        <v>1635</v>
      </c>
      <c r="C660" s="3">
        <v>2</v>
      </c>
      <c r="D660" s="5">
        <v>25.88</v>
      </c>
      <c r="E660" s="3">
        <v>100011992</v>
      </c>
      <c r="F660" s="2" t="s">
        <v>64</v>
      </c>
      <c r="G660" s="6" t="s">
        <v>154</v>
      </c>
      <c r="H660" s="2" t="s">
        <v>194</v>
      </c>
      <c r="I660" s="2" t="s">
        <v>195</v>
      </c>
      <c r="J660" s="2" t="s">
        <v>19</v>
      </c>
      <c r="K660" s="2" t="s">
        <v>1617</v>
      </c>
      <c r="L660" s="7" t="str">
        <f t="shared" si="8"/>
        <v xml:space="preserve">http://slimages.macys.com/is/image/MCY/13314771 </v>
      </c>
    </row>
    <row r="661" spans="1:12" ht="24.75" x14ac:dyDescent="0.25">
      <c r="A661" s="4" t="s">
        <v>1637</v>
      </c>
      <c r="B661" s="2" t="s">
        <v>1635</v>
      </c>
      <c r="C661" s="3">
        <v>1</v>
      </c>
      <c r="D661" s="5">
        <v>25.88</v>
      </c>
      <c r="E661" s="3">
        <v>100011992</v>
      </c>
      <c r="F661" s="2" t="s">
        <v>53</v>
      </c>
      <c r="G661" s="6" t="s">
        <v>245</v>
      </c>
      <c r="H661" s="2" t="s">
        <v>194</v>
      </c>
      <c r="I661" s="2" t="s">
        <v>195</v>
      </c>
      <c r="J661" s="2" t="s">
        <v>19</v>
      </c>
      <c r="K661" s="2" t="s">
        <v>1617</v>
      </c>
      <c r="L661" s="7" t="str">
        <f t="shared" si="8"/>
        <v xml:space="preserve">http://slimages.macys.com/is/image/MCY/13314771 </v>
      </c>
    </row>
    <row r="662" spans="1:12" ht="24.75" x14ac:dyDescent="0.25">
      <c r="A662" s="4" t="s">
        <v>1638</v>
      </c>
      <c r="B662" s="2" t="s">
        <v>1635</v>
      </c>
      <c r="C662" s="3">
        <v>2</v>
      </c>
      <c r="D662" s="5">
        <v>25.88</v>
      </c>
      <c r="E662" s="3">
        <v>100011992</v>
      </c>
      <c r="F662" s="2" t="s">
        <v>53</v>
      </c>
      <c r="G662" s="6" t="s">
        <v>181</v>
      </c>
      <c r="H662" s="2" t="s">
        <v>194</v>
      </c>
      <c r="I662" s="2" t="s">
        <v>195</v>
      </c>
      <c r="J662" s="2" t="s">
        <v>19</v>
      </c>
      <c r="K662" s="2" t="s">
        <v>1617</v>
      </c>
      <c r="L662" s="7" t="str">
        <f t="shared" si="8"/>
        <v xml:space="preserve">http://slimages.macys.com/is/image/MCY/13314771 </v>
      </c>
    </row>
    <row r="663" spans="1:12" ht="24.75" x14ac:dyDescent="0.25">
      <c r="A663" s="4" t="s">
        <v>1639</v>
      </c>
      <c r="B663" s="2" t="s">
        <v>1635</v>
      </c>
      <c r="C663" s="3">
        <v>3</v>
      </c>
      <c r="D663" s="5">
        <v>25.88</v>
      </c>
      <c r="E663" s="3">
        <v>100011992</v>
      </c>
      <c r="F663" s="2" t="s">
        <v>64</v>
      </c>
      <c r="G663" s="6" t="s">
        <v>234</v>
      </c>
      <c r="H663" s="2" t="s">
        <v>194</v>
      </c>
      <c r="I663" s="2" t="s">
        <v>195</v>
      </c>
      <c r="J663" s="2" t="s">
        <v>19</v>
      </c>
      <c r="K663" s="2" t="s">
        <v>1617</v>
      </c>
      <c r="L663" s="7" t="str">
        <f t="shared" si="8"/>
        <v xml:space="preserve">http://slimages.macys.com/is/image/MCY/13314771 </v>
      </c>
    </row>
    <row r="664" spans="1:12" ht="24.75" x14ac:dyDescent="0.25">
      <c r="A664" s="4" t="s">
        <v>1640</v>
      </c>
      <c r="B664" s="2" t="s">
        <v>1635</v>
      </c>
      <c r="C664" s="3">
        <v>1</v>
      </c>
      <c r="D664" s="5">
        <v>25.88</v>
      </c>
      <c r="E664" s="3">
        <v>100011992</v>
      </c>
      <c r="F664" s="2" t="s">
        <v>53</v>
      </c>
      <c r="G664" s="6" t="s">
        <v>234</v>
      </c>
      <c r="H664" s="2" t="s">
        <v>194</v>
      </c>
      <c r="I664" s="2" t="s">
        <v>195</v>
      </c>
      <c r="J664" s="2" t="s">
        <v>19</v>
      </c>
      <c r="K664" s="2" t="s">
        <v>1617</v>
      </c>
      <c r="L664" s="7" t="str">
        <f t="shared" si="8"/>
        <v xml:space="preserve">http://slimages.macys.com/is/image/MCY/13314771 </v>
      </c>
    </row>
    <row r="665" spans="1:12" x14ac:dyDescent="0.25">
      <c r="A665" s="4" t="s">
        <v>1641</v>
      </c>
      <c r="B665" s="2" t="s">
        <v>1642</v>
      </c>
      <c r="C665" s="3">
        <v>1</v>
      </c>
      <c r="D665" s="5">
        <v>49.5</v>
      </c>
      <c r="E665" s="3" t="s">
        <v>1643</v>
      </c>
      <c r="F665" s="2" t="s">
        <v>566</v>
      </c>
      <c r="G665" s="6"/>
      <c r="H665" s="2" t="s">
        <v>206</v>
      </c>
      <c r="I665" s="2" t="s">
        <v>207</v>
      </c>
      <c r="J665" s="2" t="s">
        <v>19</v>
      </c>
      <c r="K665" s="2" t="s">
        <v>160</v>
      </c>
      <c r="L665" s="7" t="str">
        <f>HYPERLINK("http://slimages.macys.com/is/image/MCY/13936546 ")</f>
        <v xml:space="preserve">http://slimages.macys.com/is/image/MCY/13936546 </v>
      </c>
    </row>
    <row r="666" spans="1:12" ht="24.75" x14ac:dyDescent="0.25">
      <c r="A666" s="4" t="s">
        <v>1644</v>
      </c>
      <c r="B666" s="2" t="s">
        <v>1645</v>
      </c>
      <c r="C666" s="3">
        <v>2</v>
      </c>
      <c r="D666" s="5">
        <v>19.989999999999998</v>
      </c>
      <c r="E666" s="3" t="s">
        <v>1646</v>
      </c>
      <c r="F666" s="2" t="s">
        <v>70</v>
      </c>
      <c r="G666" s="6" t="s">
        <v>181</v>
      </c>
      <c r="H666" s="2" t="s">
        <v>194</v>
      </c>
      <c r="I666" s="2" t="s">
        <v>195</v>
      </c>
      <c r="J666" s="2" t="s">
        <v>19</v>
      </c>
      <c r="K666" s="2" t="s">
        <v>1647</v>
      </c>
      <c r="L666" s="7" t="str">
        <f>HYPERLINK("http://slimages.macys.com/is/image/MCY/11701460 ")</f>
        <v xml:space="preserve">http://slimages.macys.com/is/image/MCY/11701460 </v>
      </c>
    </row>
    <row r="667" spans="1:12" ht="24.75" x14ac:dyDescent="0.25">
      <c r="A667" s="4" t="s">
        <v>1648</v>
      </c>
      <c r="B667" s="2" t="s">
        <v>1649</v>
      </c>
      <c r="C667" s="3">
        <v>3</v>
      </c>
      <c r="D667" s="5">
        <v>19.989999999999998</v>
      </c>
      <c r="E667" s="3" t="s">
        <v>1650</v>
      </c>
      <c r="F667" s="2" t="s">
        <v>70</v>
      </c>
      <c r="G667" s="6" t="s">
        <v>154</v>
      </c>
      <c r="H667" s="2" t="s">
        <v>194</v>
      </c>
      <c r="I667" s="2" t="s">
        <v>195</v>
      </c>
      <c r="J667" s="2" t="s">
        <v>19</v>
      </c>
      <c r="K667" s="2" t="s">
        <v>247</v>
      </c>
      <c r="L667" s="7" t="str">
        <f>HYPERLINK("http://slimages.macys.com/is/image/MCY/11466486 ")</f>
        <v xml:space="preserve">http://slimages.macys.com/is/image/MCY/11466486 </v>
      </c>
    </row>
    <row r="668" spans="1:12" ht="24.75" x14ac:dyDescent="0.25">
      <c r="A668" s="4" t="s">
        <v>1651</v>
      </c>
      <c r="B668" s="2" t="s">
        <v>1649</v>
      </c>
      <c r="C668" s="3">
        <v>3</v>
      </c>
      <c r="D668" s="5">
        <v>19.989999999999998</v>
      </c>
      <c r="E668" s="3" t="s">
        <v>1650</v>
      </c>
      <c r="F668" s="2" t="s">
        <v>70</v>
      </c>
      <c r="G668" s="6" t="s">
        <v>156</v>
      </c>
      <c r="H668" s="2" t="s">
        <v>194</v>
      </c>
      <c r="I668" s="2" t="s">
        <v>195</v>
      </c>
      <c r="J668" s="2" t="s">
        <v>19</v>
      </c>
      <c r="K668" s="2" t="s">
        <v>247</v>
      </c>
      <c r="L668" s="7" t="str">
        <f>HYPERLINK("http://slimages.macys.com/is/image/MCY/11466486 ")</f>
        <v xml:space="preserve">http://slimages.macys.com/is/image/MCY/11466486 </v>
      </c>
    </row>
    <row r="669" spans="1:12" ht="24.75" x14ac:dyDescent="0.25">
      <c r="A669" s="4" t="s">
        <v>1652</v>
      </c>
      <c r="B669" s="2" t="s">
        <v>1649</v>
      </c>
      <c r="C669" s="3">
        <v>1</v>
      </c>
      <c r="D669" s="5">
        <v>19.989999999999998</v>
      </c>
      <c r="E669" s="3" t="s">
        <v>1650</v>
      </c>
      <c r="F669" s="2" t="s">
        <v>70</v>
      </c>
      <c r="G669" s="6" t="s">
        <v>245</v>
      </c>
      <c r="H669" s="2" t="s">
        <v>194</v>
      </c>
      <c r="I669" s="2" t="s">
        <v>195</v>
      </c>
      <c r="J669" s="2" t="s">
        <v>19</v>
      </c>
      <c r="K669" s="2" t="s">
        <v>247</v>
      </c>
      <c r="L669" s="7" t="str">
        <f>HYPERLINK("http://slimages.macys.com/is/image/MCY/11466486 ")</f>
        <v xml:space="preserve">http://slimages.macys.com/is/image/MCY/11466486 </v>
      </c>
    </row>
    <row r="670" spans="1:12" ht="24.75" x14ac:dyDescent="0.25">
      <c r="A670" s="4" t="s">
        <v>1653</v>
      </c>
      <c r="B670" s="2" t="s">
        <v>1645</v>
      </c>
      <c r="C670" s="3">
        <v>3</v>
      </c>
      <c r="D670" s="5">
        <v>19.989999999999998</v>
      </c>
      <c r="E670" s="3" t="s">
        <v>1646</v>
      </c>
      <c r="F670" s="2" t="s">
        <v>70</v>
      </c>
      <c r="G670" s="6" t="s">
        <v>234</v>
      </c>
      <c r="H670" s="2" t="s">
        <v>194</v>
      </c>
      <c r="I670" s="2" t="s">
        <v>195</v>
      </c>
      <c r="J670" s="2" t="s">
        <v>19</v>
      </c>
      <c r="K670" s="2" t="s">
        <v>1647</v>
      </c>
      <c r="L670" s="7" t="str">
        <f>HYPERLINK("http://slimages.macys.com/is/image/MCY/11701460 ")</f>
        <v xml:space="preserve">http://slimages.macys.com/is/image/MCY/11701460 </v>
      </c>
    </row>
    <row r="671" spans="1:12" ht="24.75" x14ac:dyDescent="0.25">
      <c r="A671" s="4" t="s">
        <v>1654</v>
      </c>
      <c r="B671" s="2" t="s">
        <v>1645</v>
      </c>
      <c r="C671" s="3">
        <v>1</v>
      </c>
      <c r="D671" s="5">
        <v>19.989999999999998</v>
      </c>
      <c r="E671" s="3" t="s">
        <v>1646</v>
      </c>
      <c r="F671" s="2" t="s">
        <v>74</v>
      </c>
      <c r="G671" s="6" t="s">
        <v>154</v>
      </c>
      <c r="H671" s="2" t="s">
        <v>194</v>
      </c>
      <c r="I671" s="2" t="s">
        <v>195</v>
      </c>
      <c r="J671" s="2" t="s">
        <v>19</v>
      </c>
      <c r="K671" s="2" t="s">
        <v>1647</v>
      </c>
      <c r="L671" s="7" t="str">
        <f t="shared" ref="L671:L676" si="9">HYPERLINK("http://slimages.macys.com/is/image/MCY/12405276 ")</f>
        <v xml:space="preserve">http://slimages.macys.com/is/image/MCY/12405276 </v>
      </c>
    </row>
    <row r="672" spans="1:12" ht="24.75" x14ac:dyDescent="0.25">
      <c r="A672" s="4" t="s">
        <v>1655</v>
      </c>
      <c r="B672" s="2" t="s">
        <v>1645</v>
      </c>
      <c r="C672" s="3">
        <v>5</v>
      </c>
      <c r="D672" s="5">
        <v>19.989999999999998</v>
      </c>
      <c r="E672" s="3" t="s">
        <v>1646</v>
      </c>
      <c r="F672" s="2" t="s">
        <v>74</v>
      </c>
      <c r="G672" s="6" t="s">
        <v>234</v>
      </c>
      <c r="H672" s="2" t="s">
        <v>194</v>
      </c>
      <c r="I672" s="2" t="s">
        <v>195</v>
      </c>
      <c r="J672" s="2" t="s">
        <v>19</v>
      </c>
      <c r="K672" s="2" t="s">
        <v>1647</v>
      </c>
      <c r="L672" s="7" t="str">
        <f t="shared" si="9"/>
        <v xml:space="preserve">http://slimages.macys.com/is/image/MCY/12405276 </v>
      </c>
    </row>
    <row r="673" spans="1:12" ht="24.75" x14ac:dyDescent="0.25">
      <c r="A673" s="4" t="s">
        <v>1656</v>
      </c>
      <c r="B673" s="2" t="s">
        <v>1645</v>
      </c>
      <c r="C673" s="3">
        <v>1</v>
      </c>
      <c r="D673" s="5">
        <v>19.989999999999998</v>
      </c>
      <c r="E673" s="3" t="s">
        <v>1646</v>
      </c>
      <c r="F673" s="2" t="s">
        <v>74</v>
      </c>
      <c r="G673" s="6" t="s">
        <v>156</v>
      </c>
      <c r="H673" s="2" t="s">
        <v>194</v>
      </c>
      <c r="I673" s="2" t="s">
        <v>195</v>
      </c>
      <c r="J673" s="2" t="s">
        <v>19</v>
      </c>
      <c r="K673" s="2" t="s">
        <v>1647</v>
      </c>
      <c r="L673" s="7" t="str">
        <f t="shared" si="9"/>
        <v xml:space="preserve">http://slimages.macys.com/is/image/MCY/12405276 </v>
      </c>
    </row>
    <row r="674" spans="1:12" ht="24.75" x14ac:dyDescent="0.25">
      <c r="A674" s="4" t="s">
        <v>1657</v>
      </c>
      <c r="B674" s="2" t="s">
        <v>1645</v>
      </c>
      <c r="C674" s="3">
        <v>1</v>
      </c>
      <c r="D674" s="5">
        <v>19.989999999999998</v>
      </c>
      <c r="E674" s="3" t="s">
        <v>1646</v>
      </c>
      <c r="F674" s="2" t="s">
        <v>170</v>
      </c>
      <c r="G674" s="6" t="s">
        <v>200</v>
      </c>
      <c r="H674" s="2" t="s">
        <v>194</v>
      </c>
      <c r="I674" s="2" t="s">
        <v>195</v>
      </c>
      <c r="J674" s="2" t="s">
        <v>19</v>
      </c>
      <c r="K674" s="2" t="s">
        <v>1647</v>
      </c>
      <c r="L674" s="7" t="str">
        <f t="shared" si="9"/>
        <v xml:space="preserve">http://slimages.macys.com/is/image/MCY/12405276 </v>
      </c>
    </row>
    <row r="675" spans="1:12" ht="24.75" x14ac:dyDescent="0.25">
      <c r="A675" s="4" t="s">
        <v>1658</v>
      </c>
      <c r="B675" s="2" t="s">
        <v>1645</v>
      </c>
      <c r="C675" s="3">
        <v>4</v>
      </c>
      <c r="D675" s="5">
        <v>19.989999999999998</v>
      </c>
      <c r="E675" s="3" t="s">
        <v>1646</v>
      </c>
      <c r="F675" s="2" t="s">
        <v>820</v>
      </c>
      <c r="G675" s="6" t="s">
        <v>181</v>
      </c>
      <c r="H675" s="2" t="s">
        <v>194</v>
      </c>
      <c r="I675" s="2" t="s">
        <v>195</v>
      </c>
      <c r="J675" s="2" t="s">
        <v>19</v>
      </c>
      <c r="K675" s="2" t="s">
        <v>1647</v>
      </c>
      <c r="L675" s="7" t="str">
        <f t="shared" si="9"/>
        <v xml:space="preserve">http://slimages.macys.com/is/image/MCY/12405276 </v>
      </c>
    </row>
    <row r="676" spans="1:12" ht="24.75" x14ac:dyDescent="0.25">
      <c r="A676" s="4" t="s">
        <v>1659</v>
      </c>
      <c r="B676" s="2" t="s">
        <v>1645</v>
      </c>
      <c r="C676" s="3">
        <v>1</v>
      </c>
      <c r="D676" s="5">
        <v>19.989999999999998</v>
      </c>
      <c r="E676" s="3" t="s">
        <v>1646</v>
      </c>
      <c r="F676" s="2" t="s">
        <v>820</v>
      </c>
      <c r="G676" s="6" t="s">
        <v>156</v>
      </c>
      <c r="H676" s="2" t="s">
        <v>194</v>
      </c>
      <c r="I676" s="2" t="s">
        <v>195</v>
      </c>
      <c r="J676" s="2" t="s">
        <v>19</v>
      </c>
      <c r="K676" s="2" t="s">
        <v>1647</v>
      </c>
      <c r="L676" s="7" t="str">
        <f t="shared" si="9"/>
        <v xml:space="preserve">http://slimages.macys.com/is/image/MCY/12405276 </v>
      </c>
    </row>
    <row r="677" spans="1:12" ht="24.75" x14ac:dyDescent="0.25">
      <c r="A677" s="4" t="s">
        <v>1660</v>
      </c>
      <c r="B677" s="2" t="s">
        <v>1645</v>
      </c>
      <c r="C677" s="3">
        <v>3</v>
      </c>
      <c r="D677" s="5">
        <v>19.989999999999998</v>
      </c>
      <c r="E677" s="3" t="s">
        <v>1646</v>
      </c>
      <c r="F677" s="2" t="s">
        <v>70</v>
      </c>
      <c r="G677" s="6" t="s">
        <v>154</v>
      </c>
      <c r="H677" s="2" t="s">
        <v>194</v>
      </c>
      <c r="I677" s="2" t="s">
        <v>195</v>
      </c>
      <c r="J677" s="2" t="s">
        <v>19</v>
      </c>
      <c r="K677" s="2" t="s">
        <v>1647</v>
      </c>
      <c r="L677" s="7" t="str">
        <f>HYPERLINK("http://slimages.macys.com/is/image/MCY/11701460 ")</f>
        <v xml:space="preserve">http://slimages.macys.com/is/image/MCY/11701460 </v>
      </c>
    </row>
    <row r="678" spans="1:12" ht="24.75" x14ac:dyDescent="0.25">
      <c r="A678" s="4" t="s">
        <v>1661</v>
      </c>
      <c r="B678" s="2" t="s">
        <v>1645</v>
      </c>
      <c r="C678" s="3">
        <v>2</v>
      </c>
      <c r="D678" s="5">
        <v>19.989999999999998</v>
      </c>
      <c r="E678" s="3" t="s">
        <v>1646</v>
      </c>
      <c r="F678" s="2" t="s">
        <v>170</v>
      </c>
      <c r="G678" s="6" t="s">
        <v>154</v>
      </c>
      <c r="H678" s="2" t="s">
        <v>194</v>
      </c>
      <c r="I678" s="2" t="s">
        <v>195</v>
      </c>
      <c r="J678" s="2" t="s">
        <v>19</v>
      </c>
      <c r="K678" s="2" t="s">
        <v>1647</v>
      </c>
      <c r="L678" s="7" t="str">
        <f>HYPERLINK("http://slimages.macys.com/is/image/MCY/12405276 ")</f>
        <v xml:space="preserve">http://slimages.macys.com/is/image/MCY/12405276 </v>
      </c>
    </row>
    <row r="679" spans="1:12" ht="24.75" x14ac:dyDescent="0.25">
      <c r="A679" s="4" t="s">
        <v>1662</v>
      </c>
      <c r="B679" s="2" t="s">
        <v>1645</v>
      </c>
      <c r="C679" s="3">
        <v>2</v>
      </c>
      <c r="D679" s="5">
        <v>19.989999999999998</v>
      </c>
      <c r="E679" s="3" t="s">
        <v>1646</v>
      </c>
      <c r="F679" s="2" t="s">
        <v>820</v>
      </c>
      <c r="G679" s="6" t="s">
        <v>234</v>
      </c>
      <c r="H679" s="2" t="s">
        <v>194</v>
      </c>
      <c r="I679" s="2" t="s">
        <v>195</v>
      </c>
      <c r="J679" s="2" t="s">
        <v>19</v>
      </c>
      <c r="K679" s="2" t="s">
        <v>1647</v>
      </c>
      <c r="L679" s="7" t="str">
        <f>HYPERLINK("http://slimages.macys.com/is/image/MCY/12405276 ")</f>
        <v xml:space="preserve">http://slimages.macys.com/is/image/MCY/12405276 </v>
      </c>
    </row>
    <row r="680" spans="1:12" ht="24.75" x14ac:dyDescent="0.25">
      <c r="A680" s="4" t="s">
        <v>1663</v>
      </c>
      <c r="B680" s="2" t="s">
        <v>1645</v>
      </c>
      <c r="C680" s="3">
        <v>4</v>
      </c>
      <c r="D680" s="5">
        <v>19.989999999999998</v>
      </c>
      <c r="E680" s="3" t="s">
        <v>1646</v>
      </c>
      <c r="F680" s="2" t="s">
        <v>170</v>
      </c>
      <c r="G680" s="6" t="s">
        <v>181</v>
      </c>
      <c r="H680" s="2" t="s">
        <v>194</v>
      </c>
      <c r="I680" s="2" t="s">
        <v>195</v>
      </c>
      <c r="J680" s="2" t="s">
        <v>19</v>
      </c>
      <c r="K680" s="2" t="s">
        <v>1647</v>
      </c>
      <c r="L680" s="7" t="str">
        <f>HYPERLINK("http://slimages.macys.com/is/image/MCY/12405276 ")</f>
        <v xml:space="preserve">http://slimages.macys.com/is/image/MCY/12405276 </v>
      </c>
    </row>
    <row r="681" spans="1:12" ht="24.75" x14ac:dyDescent="0.25">
      <c r="A681" s="4" t="s">
        <v>1664</v>
      </c>
      <c r="B681" s="2" t="s">
        <v>1645</v>
      </c>
      <c r="C681" s="3">
        <v>2</v>
      </c>
      <c r="D681" s="5">
        <v>19.989999999999998</v>
      </c>
      <c r="E681" s="3" t="s">
        <v>1646</v>
      </c>
      <c r="F681" s="2" t="s">
        <v>170</v>
      </c>
      <c r="G681" s="6" t="s">
        <v>234</v>
      </c>
      <c r="H681" s="2" t="s">
        <v>194</v>
      </c>
      <c r="I681" s="2" t="s">
        <v>195</v>
      </c>
      <c r="J681" s="2" t="s">
        <v>19</v>
      </c>
      <c r="K681" s="2" t="s">
        <v>1647</v>
      </c>
      <c r="L681" s="7" t="str">
        <f>HYPERLINK("http://slimages.macys.com/is/image/MCY/12405276 ")</f>
        <v xml:space="preserve">http://slimages.macys.com/is/image/MCY/12405276 </v>
      </c>
    </row>
    <row r="682" spans="1:12" ht="24.75" x14ac:dyDescent="0.25">
      <c r="A682" s="4" t="s">
        <v>1665</v>
      </c>
      <c r="B682" s="2" t="s">
        <v>1645</v>
      </c>
      <c r="C682" s="3">
        <v>4</v>
      </c>
      <c r="D682" s="5">
        <v>19.989999999999998</v>
      </c>
      <c r="E682" s="3" t="s">
        <v>1646</v>
      </c>
      <c r="F682" s="2" t="s">
        <v>820</v>
      </c>
      <c r="G682" s="6" t="s">
        <v>154</v>
      </c>
      <c r="H682" s="2" t="s">
        <v>194</v>
      </c>
      <c r="I682" s="2" t="s">
        <v>195</v>
      </c>
      <c r="J682" s="2" t="s">
        <v>19</v>
      </c>
      <c r="K682" s="2" t="s">
        <v>1647</v>
      </c>
      <c r="L682" s="7" t="str">
        <f>HYPERLINK("http://slimages.macys.com/is/image/MCY/12405276 ")</f>
        <v xml:space="preserve">http://slimages.macys.com/is/image/MCY/12405276 </v>
      </c>
    </row>
    <row r="683" spans="1:12" ht="24.75" x14ac:dyDescent="0.25">
      <c r="A683" s="4" t="s">
        <v>1666</v>
      </c>
      <c r="B683" s="2" t="s">
        <v>1667</v>
      </c>
      <c r="C683" s="3">
        <v>1</v>
      </c>
      <c r="D683" s="5">
        <v>19.989999999999998</v>
      </c>
      <c r="E683" s="3" t="s">
        <v>1668</v>
      </c>
      <c r="F683" s="2" t="s">
        <v>15</v>
      </c>
      <c r="G683" s="6" t="s">
        <v>156</v>
      </c>
      <c r="H683" s="2" t="s">
        <v>194</v>
      </c>
      <c r="I683" s="2" t="s">
        <v>195</v>
      </c>
      <c r="J683" s="2" t="s">
        <v>19</v>
      </c>
      <c r="K683" s="2" t="s">
        <v>247</v>
      </c>
      <c r="L683" s="7" t="str">
        <f>HYPERLINK("http://slimages.macys.com/is/image/MCY/12667994 ")</f>
        <v xml:space="preserve">http://slimages.macys.com/is/image/MCY/12667994 </v>
      </c>
    </row>
    <row r="684" spans="1:12" ht="24.75" x14ac:dyDescent="0.25">
      <c r="A684" s="4" t="s">
        <v>1669</v>
      </c>
      <c r="B684" s="2" t="s">
        <v>1667</v>
      </c>
      <c r="C684" s="3">
        <v>1</v>
      </c>
      <c r="D684" s="5">
        <v>19.989999999999998</v>
      </c>
      <c r="E684" s="3" t="s">
        <v>1668</v>
      </c>
      <c r="F684" s="2" t="s">
        <v>15</v>
      </c>
      <c r="G684" s="6" t="s">
        <v>154</v>
      </c>
      <c r="H684" s="2" t="s">
        <v>194</v>
      </c>
      <c r="I684" s="2" t="s">
        <v>195</v>
      </c>
      <c r="J684" s="2" t="s">
        <v>19</v>
      </c>
      <c r="K684" s="2" t="s">
        <v>247</v>
      </c>
      <c r="L684" s="7" t="str">
        <f>HYPERLINK("http://slimages.macys.com/is/image/MCY/12667994 ")</f>
        <v xml:space="preserve">http://slimages.macys.com/is/image/MCY/12667994 </v>
      </c>
    </row>
    <row r="685" spans="1:12" ht="24.75" x14ac:dyDescent="0.25">
      <c r="A685" s="4" t="s">
        <v>1670</v>
      </c>
      <c r="B685" s="2" t="s">
        <v>1649</v>
      </c>
      <c r="C685" s="3">
        <v>1</v>
      </c>
      <c r="D685" s="5">
        <v>19.989999999999998</v>
      </c>
      <c r="E685" s="3" t="s">
        <v>1650</v>
      </c>
      <c r="F685" s="2" t="s">
        <v>70</v>
      </c>
      <c r="G685" s="6" t="s">
        <v>234</v>
      </c>
      <c r="H685" s="2" t="s">
        <v>194</v>
      </c>
      <c r="I685" s="2" t="s">
        <v>195</v>
      </c>
      <c r="J685" s="2" t="s">
        <v>19</v>
      </c>
      <c r="K685" s="2" t="s">
        <v>247</v>
      </c>
      <c r="L685" s="7" t="str">
        <f>HYPERLINK("http://slimages.macys.com/is/image/MCY/11466486 ")</f>
        <v xml:space="preserve">http://slimages.macys.com/is/image/MCY/11466486 </v>
      </c>
    </row>
    <row r="686" spans="1:12" ht="24.75" x14ac:dyDescent="0.25">
      <c r="A686" s="4" t="s">
        <v>1671</v>
      </c>
      <c r="B686" s="2" t="s">
        <v>1667</v>
      </c>
      <c r="C686" s="3">
        <v>1</v>
      </c>
      <c r="D686" s="5">
        <v>19.989999999999998</v>
      </c>
      <c r="E686" s="3" t="s">
        <v>1668</v>
      </c>
      <c r="F686" s="2" t="s">
        <v>15</v>
      </c>
      <c r="G686" s="6" t="s">
        <v>181</v>
      </c>
      <c r="H686" s="2" t="s">
        <v>194</v>
      </c>
      <c r="I686" s="2" t="s">
        <v>195</v>
      </c>
      <c r="J686" s="2" t="s">
        <v>19</v>
      </c>
      <c r="K686" s="2" t="s">
        <v>247</v>
      </c>
      <c r="L686" s="7" t="str">
        <f>HYPERLINK("http://slimages.macys.com/is/image/MCY/12667994 ")</f>
        <v xml:space="preserve">http://slimages.macys.com/is/image/MCY/12667994 </v>
      </c>
    </row>
    <row r="687" spans="1:12" ht="24.75" x14ac:dyDescent="0.25">
      <c r="A687" s="4" t="s">
        <v>1672</v>
      </c>
      <c r="B687" s="2" t="s">
        <v>1667</v>
      </c>
      <c r="C687" s="3">
        <v>4</v>
      </c>
      <c r="D687" s="5">
        <v>19.989999999999998</v>
      </c>
      <c r="E687" s="3" t="s">
        <v>1668</v>
      </c>
      <c r="F687" s="2" t="s">
        <v>15</v>
      </c>
      <c r="G687" s="6" t="s">
        <v>234</v>
      </c>
      <c r="H687" s="2" t="s">
        <v>194</v>
      </c>
      <c r="I687" s="2" t="s">
        <v>195</v>
      </c>
      <c r="J687" s="2" t="s">
        <v>19</v>
      </c>
      <c r="K687" s="2" t="s">
        <v>247</v>
      </c>
      <c r="L687" s="7" t="str">
        <f>HYPERLINK("http://slimages.macys.com/is/image/MCY/12667994 ")</f>
        <v xml:space="preserve">http://slimages.macys.com/is/image/MCY/12667994 </v>
      </c>
    </row>
    <row r="688" spans="1:12" ht="24.75" x14ac:dyDescent="0.25">
      <c r="A688" s="4" t="s">
        <v>1673</v>
      </c>
      <c r="B688" s="2" t="s">
        <v>1649</v>
      </c>
      <c r="C688" s="3">
        <v>1</v>
      </c>
      <c r="D688" s="5">
        <v>19.989999999999998</v>
      </c>
      <c r="E688" s="3" t="s">
        <v>1650</v>
      </c>
      <c r="F688" s="2" t="s">
        <v>820</v>
      </c>
      <c r="G688" s="6" t="s">
        <v>154</v>
      </c>
      <c r="H688" s="2" t="s">
        <v>194</v>
      </c>
      <c r="I688" s="2" t="s">
        <v>195</v>
      </c>
      <c r="J688" s="2" t="s">
        <v>19</v>
      </c>
      <c r="K688" s="2" t="s">
        <v>247</v>
      </c>
      <c r="L688" s="7" t="str">
        <f>HYPERLINK("http://slimages.macys.com/is/image/MCY/11466486 ")</f>
        <v xml:space="preserve">http://slimages.macys.com/is/image/MCY/11466486 </v>
      </c>
    </row>
    <row r="689" spans="1:12" ht="24.75" x14ac:dyDescent="0.25">
      <c r="A689" s="4" t="s">
        <v>1674</v>
      </c>
      <c r="B689" s="2" t="s">
        <v>1649</v>
      </c>
      <c r="C689" s="3">
        <v>1</v>
      </c>
      <c r="D689" s="5">
        <v>19.989999999999998</v>
      </c>
      <c r="E689" s="3" t="s">
        <v>1650</v>
      </c>
      <c r="F689" s="2" t="s">
        <v>820</v>
      </c>
      <c r="G689" s="6" t="s">
        <v>234</v>
      </c>
      <c r="H689" s="2" t="s">
        <v>194</v>
      </c>
      <c r="I689" s="2" t="s">
        <v>195</v>
      </c>
      <c r="J689" s="2" t="s">
        <v>19</v>
      </c>
      <c r="K689" s="2" t="s">
        <v>247</v>
      </c>
      <c r="L689" s="7" t="str">
        <f>HYPERLINK("http://slimages.macys.com/is/image/MCY/11466486 ")</f>
        <v xml:space="preserve">http://slimages.macys.com/is/image/MCY/11466486 </v>
      </c>
    </row>
    <row r="690" spans="1:12" ht="24.75" x14ac:dyDescent="0.25">
      <c r="A690" s="4" t="s">
        <v>1675</v>
      </c>
      <c r="B690" s="2" t="s">
        <v>1676</v>
      </c>
      <c r="C690" s="3">
        <v>4</v>
      </c>
      <c r="D690" s="5">
        <v>19.989999999999998</v>
      </c>
      <c r="E690" s="3" t="s">
        <v>1677</v>
      </c>
      <c r="F690" s="2" t="s">
        <v>566</v>
      </c>
      <c r="G690" s="6" t="s">
        <v>234</v>
      </c>
      <c r="H690" s="2" t="s">
        <v>194</v>
      </c>
      <c r="I690" s="2" t="s">
        <v>195</v>
      </c>
      <c r="J690" s="2" t="s">
        <v>19</v>
      </c>
      <c r="K690" s="2" t="s">
        <v>247</v>
      </c>
      <c r="L690" s="7" t="str">
        <f>HYPERLINK("http://slimages.macys.com/is/image/MCY/11466460 ")</f>
        <v xml:space="preserve">http://slimages.macys.com/is/image/MCY/11466460 </v>
      </c>
    </row>
    <row r="691" spans="1:12" ht="24.75" x14ac:dyDescent="0.25">
      <c r="A691" s="4" t="s">
        <v>1678</v>
      </c>
      <c r="B691" s="2" t="s">
        <v>1676</v>
      </c>
      <c r="C691" s="3">
        <v>3</v>
      </c>
      <c r="D691" s="5">
        <v>19.989999999999998</v>
      </c>
      <c r="E691" s="3" t="s">
        <v>1677</v>
      </c>
      <c r="F691" s="2" t="s">
        <v>566</v>
      </c>
      <c r="G691" s="6" t="s">
        <v>181</v>
      </c>
      <c r="H691" s="2" t="s">
        <v>194</v>
      </c>
      <c r="I691" s="2" t="s">
        <v>195</v>
      </c>
      <c r="J691" s="2" t="s">
        <v>19</v>
      </c>
      <c r="K691" s="2" t="s">
        <v>247</v>
      </c>
      <c r="L691" s="7" t="str">
        <f>HYPERLINK("http://slimages.macys.com/is/image/MCY/11466460 ")</f>
        <v xml:space="preserve">http://slimages.macys.com/is/image/MCY/11466460 </v>
      </c>
    </row>
    <row r="692" spans="1:12" ht="24.75" x14ac:dyDescent="0.25">
      <c r="A692" s="4" t="s">
        <v>1679</v>
      </c>
      <c r="B692" s="2" t="s">
        <v>1645</v>
      </c>
      <c r="C692" s="3">
        <v>1</v>
      </c>
      <c r="D692" s="5">
        <v>19.989999999999998</v>
      </c>
      <c r="E692" s="3" t="s">
        <v>1646</v>
      </c>
      <c r="F692" s="2" t="s">
        <v>70</v>
      </c>
      <c r="G692" s="6" t="s">
        <v>156</v>
      </c>
      <c r="H692" s="2" t="s">
        <v>194</v>
      </c>
      <c r="I692" s="2" t="s">
        <v>195</v>
      </c>
      <c r="J692" s="2" t="s">
        <v>19</v>
      </c>
      <c r="K692" s="2" t="s">
        <v>1647</v>
      </c>
      <c r="L692" s="7" t="str">
        <f>HYPERLINK("http://slimages.macys.com/is/image/MCY/11701460 ")</f>
        <v xml:space="preserve">http://slimages.macys.com/is/image/MCY/11701460 </v>
      </c>
    </row>
    <row r="693" spans="1:12" ht="24.75" x14ac:dyDescent="0.25">
      <c r="A693" s="4" t="s">
        <v>1680</v>
      </c>
      <c r="B693" s="2" t="s">
        <v>1649</v>
      </c>
      <c r="C693" s="3">
        <v>1</v>
      </c>
      <c r="D693" s="5">
        <v>19.989999999999998</v>
      </c>
      <c r="E693" s="3" t="s">
        <v>1650</v>
      </c>
      <c r="F693" s="2" t="s">
        <v>70</v>
      </c>
      <c r="G693" s="6" t="s">
        <v>200</v>
      </c>
      <c r="H693" s="2" t="s">
        <v>194</v>
      </c>
      <c r="I693" s="2" t="s">
        <v>195</v>
      </c>
      <c r="J693" s="2" t="s">
        <v>19</v>
      </c>
      <c r="K693" s="2" t="s">
        <v>247</v>
      </c>
      <c r="L693" s="7" t="str">
        <f>HYPERLINK("http://slimages.macys.com/is/image/MCY/11466486 ")</f>
        <v xml:space="preserve">http://slimages.macys.com/is/image/MCY/11466486 </v>
      </c>
    </row>
    <row r="694" spans="1:12" ht="24.75" x14ac:dyDescent="0.25">
      <c r="A694" s="4" t="s">
        <v>1681</v>
      </c>
      <c r="B694" s="2" t="s">
        <v>1649</v>
      </c>
      <c r="C694" s="3">
        <v>3</v>
      </c>
      <c r="D694" s="5">
        <v>19.989999999999998</v>
      </c>
      <c r="E694" s="3" t="s">
        <v>1650</v>
      </c>
      <c r="F694" s="2" t="s">
        <v>70</v>
      </c>
      <c r="G694" s="6" t="s">
        <v>181</v>
      </c>
      <c r="H694" s="2" t="s">
        <v>194</v>
      </c>
      <c r="I694" s="2" t="s">
        <v>195</v>
      </c>
      <c r="J694" s="2" t="s">
        <v>19</v>
      </c>
      <c r="K694" s="2" t="s">
        <v>247</v>
      </c>
      <c r="L694" s="7" t="str">
        <f>HYPERLINK("http://slimages.macys.com/is/image/MCY/11466486 ")</f>
        <v xml:space="preserve">http://slimages.macys.com/is/image/MCY/11466486 </v>
      </c>
    </row>
    <row r="695" spans="1:12" ht="24.75" x14ac:dyDescent="0.25">
      <c r="A695" s="4" t="s">
        <v>1682</v>
      </c>
      <c r="B695" s="2" t="s">
        <v>1683</v>
      </c>
      <c r="C695" s="3">
        <v>1</v>
      </c>
      <c r="D695" s="5">
        <v>37.130000000000003</v>
      </c>
      <c r="E695" s="3" t="s">
        <v>1684</v>
      </c>
      <c r="F695" s="2" t="s">
        <v>74</v>
      </c>
      <c r="G695" s="6" t="s">
        <v>245</v>
      </c>
      <c r="H695" s="2" t="s">
        <v>194</v>
      </c>
      <c r="I695" s="2" t="s">
        <v>195</v>
      </c>
      <c r="J695" s="2" t="s">
        <v>19</v>
      </c>
      <c r="K695" s="2" t="s">
        <v>247</v>
      </c>
      <c r="L695" s="7" t="str">
        <f>HYPERLINK("http://slimages.macys.com/is/image/MCY/13121030 ")</f>
        <v xml:space="preserve">http://slimages.macys.com/is/image/MCY/13121030 </v>
      </c>
    </row>
    <row r="696" spans="1:12" ht="24.75" x14ac:dyDescent="0.25">
      <c r="A696" s="4" t="s">
        <v>1685</v>
      </c>
      <c r="B696" s="2" t="s">
        <v>1683</v>
      </c>
      <c r="C696" s="3">
        <v>1</v>
      </c>
      <c r="D696" s="5">
        <v>37.130000000000003</v>
      </c>
      <c r="E696" s="3" t="s">
        <v>1684</v>
      </c>
      <c r="F696" s="2" t="s">
        <v>74</v>
      </c>
      <c r="G696" s="6" t="s">
        <v>156</v>
      </c>
      <c r="H696" s="2" t="s">
        <v>194</v>
      </c>
      <c r="I696" s="2" t="s">
        <v>195</v>
      </c>
      <c r="J696" s="2" t="s">
        <v>19</v>
      </c>
      <c r="K696" s="2" t="s">
        <v>247</v>
      </c>
      <c r="L696" s="7" t="str">
        <f>HYPERLINK("http://slimages.macys.com/is/image/MCY/13121030 ")</f>
        <v xml:space="preserve">http://slimages.macys.com/is/image/MCY/13121030 </v>
      </c>
    </row>
    <row r="697" spans="1:12" ht="24.75" x14ac:dyDescent="0.25">
      <c r="A697" s="4" t="s">
        <v>1686</v>
      </c>
      <c r="B697" s="2" t="s">
        <v>1683</v>
      </c>
      <c r="C697" s="3">
        <v>1</v>
      </c>
      <c r="D697" s="5">
        <v>37.130000000000003</v>
      </c>
      <c r="E697" s="3" t="s">
        <v>1684</v>
      </c>
      <c r="F697" s="2" t="s">
        <v>74</v>
      </c>
      <c r="G697" s="6" t="s">
        <v>154</v>
      </c>
      <c r="H697" s="2" t="s">
        <v>194</v>
      </c>
      <c r="I697" s="2" t="s">
        <v>195</v>
      </c>
      <c r="J697" s="2" t="s">
        <v>19</v>
      </c>
      <c r="K697" s="2" t="s">
        <v>247</v>
      </c>
      <c r="L697" s="7" t="str">
        <f>HYPERLINK("http://slimages.macys.com/is/image/MCY/13121030 ")</f>
        <v xml:space="preserve">http://slimages.macys.com/is/image/MCY/13121030 </v>
      </c>
    </row>
    <row r="698" spans="1:12" ht="24.75" x14ac:dyDescent="0.25">
      <c r="A698" s="4" t="s">
        <v>1687</v>
      </c>
      <c r="B698" s="2" t="s">
        <v>1683</v>
      </c>
      <c r="C698" s="3">
        <v>1</v>
      </c>
      <c r="D698" s="5">
        <v>37.130000000000003</v>
      </c>
      <c r="E698" s="3" t="s">
        <v>1684</v>
      </c>
      <c r="F698" s="2" t="s">
        <v>74</v>
      </c>
      <c r="G698" s="6" t="s">
        <v>200</v>
      </c>
      <c r="H698" s="2" t="s">
        <v>194</v>
      </c>
      <c r="I698" s="2" t="s">
        <v>195</v>
      </c>
      <c r="J698" s="2" t="s">
        <v>19</v>
      </c>
      <c r="K698" s="2" t="s">
        <v>247</v>
      </c>
      <c r="L698" s="7" t="str">
        <f>HYPERLINK("http://slimages.macys.com/is/image/MCY/13121030 ")</f>
        <v xml:space="preserve">http://slimages.macys.com/is/image/MCY/13121030 </v>
      </c>
    </row>
    <row r="699" spans="1:12" ht="24.75" x14ac:dyDescent="0.25">
      <c r="A699" s="4" t="s">
        <v>1688</v>
      </c>
      <c r="B699" s="2" t="s">
        <v>1689</v>
      </c>
      <c r="C699" s="3">
        <v>1</v>
      </c>
      <c r="D699" s="5">
        <v>25.88</v>
      </c>
      <c r="E699" s="3" t="s">
        <v>1690</v>
      </c>
      <c r="F699" s="2" t="s">
        <v>1584</v>
      </c>
      <c r="G699" s="6" t="s">
        <v>234</v>
      </c>
      <c r="H699" s="2" t="s">
        <v>194</v>
      </c>
      <c r="I699" s="2" t="s">
        <v>195</v>
      </c>
      <c r="J699" s="2" t="s">
        <v>19</v>
      </c>
      <c r="K699" s="2" t="s">
        <v>648</v>
      </c>
      <c r="L699" s="7" t="str">
        <f>HYPERLINK("http://slimages.macys.com/is/image/MCY/3650047 ")</f>
        <v xml:space="preserve">http://slimages.macys.com/is/image/MCY/3650047 </v>
      </c>
    </row>
    <row r="700" spans="1:12" ht="24.75" x14ac:dyDescent="0.25">
      <c r="A700" s="4" t="s">
        <v>1691</v>
      </c>
      <c r="B700" s="2" t="s">
        <v>1692</v>
      </c>
      <c r="C700" s="3">
        <v>1</v>
      </c>
      <c r="D700" s="5">
        <v>25.5</v>
      </c>
      <c r="E700" s="3" t="s">
        <v>1693</v>
      </c>
      <c r="F700" s="2" t="s">
        <v>376</v>
      </c>
      <c r="G700" s="6" t="s">
        <v>156</v>
      </c>
      <c r="H700" s="2" t="s">
        <v>194</v>
      </c>
      <c r="I700" s="2" t="s">
        <v>580</v>
      </c>
      <c r="J700" s="2" t="s">
        <v>19</v>
      </c>
      <c r="K700" s="2" t="s">
        <v>137</v>
      </c>
      <c r="L700" s="7" t="str">
        <f>HYPERLINK("http://slimages.macys.com/is/image/MCY/16404085 ")</f>
        <v xml:space="preserve">http://slimages.macys.com/is/image/MCY/16404085 </v>
      </c>
    </row>
    <row r="701" spans="1:12" ht="36.75" x14ac:dyDescent="0.25">
      <c r="A701" s="4" t="s">
        <v>1694</v>
      </c>
      <c r="B701" s="2" t="s">
        <v>1695</v>
      </c>
      <c r="C701" s="3">
        <v>1</v>
      </c>
      <c r="D701" s="5">
        <v>25.88</v>
      </c>
      <c r="E701" s="3">
        <v>100015718</v>
      </c>
      <c r="F701" s="2" t="s">
        <v>26</v>
      </c>
      <c r="G701" s="6" t="s">
        <v>245</v>
      </c>
      <c r="H701" s="2" t="s">
        <v>194</v>
      </c>
      <c r="I701" s="2" t="s">
        <v>195</v>
      </c>
      <c r="J701" s="2" t="s">
        <v>19</v>
      </c>
      <c r="K701" s="2" t="s">
        <v>1696</v>
      </c>
      <c r="L701" s="7" t="str">
        <f>HYPERLINK("http://slimages.macys.com/is/image/MCY/9504848 ")</f>
        <v xml:space="preserve">http://slimages.macys.com/is/image/MCY/9504848 </v>
      </c>
    </row>
    <row r="702" spans="1:12" ht="36.75" x14ac:dyDescent="0.25">
      <c r="A702" s="4" t="s">
        <v>1697</v>
      </c>
      <c r="B702" s="2" t="s">
        <v>1695</v>
      </c>
      <c r="C702" s="3">
        <v>1</v>
      </c>
      <c r="D702" s="5">
        <v>25.88</v>
      </c>
      <c r="E702" s="3">
        <v>100015718</v>
      </c>
      <c r="F702" s="2" t="s">
        <v>26</v>
      </c>
      <c r="G702" s="6" t="s">
        <v>154</v>
      </c>
      <c r="H702" s="2" t="s">
        <v>194</v>
      </c>
      <c r="I702" s="2" t="s">
        <v>195</v>
      </c>
      <c r="J702" s="2" t="s">
        <v>19</v>
      </c>
      <c r="K702" s="2" t="s">
        <v>1696</v>
      </c>
      <c r="L702" s="7" t="str">
        <f>HYPERLINK("http://slimages.macys.com/is/image/MCY/9504848 ")</f>
        <v xml:space="preserve">http://slimages.macys.com/is/image/MCY/9504848 </v>
      </c>
    </row>
    <row r="703" spans="1:12" ht="24.75" x14ac:dyDescent="0.25">
      <c r="A703" s="4" t="s">
        <v>1698</v>
      </c>
      <c r="B703" s="2" t="s">
        <v>1699</v>
      </c>
      <c r="C703" s="3">
        <v>1</v>
      </c>
      <c r="D703" s="5">
        <v>19.989999999999998</v>
      </c>
      <c r="E703" s="3" t="s">
        <v>1700</v>
      </c>
      <c r="F703" s="2" t="s">
        <v>94</v>
      </c>
      <c r="G703" s="6" t="s">
        <v>234</v>
      </c>
      <c r="H703" s="2" t="s">
        <v>1473</v>
      </c>
      <c r="I703" s="2" t="s">
        <v>1426</v>
      </c>
      <c r="J703" s="2" t="s">
        <v>19</v>
      </c>
      <c r="K703" s="2" t="s">
        <v>990</v>
      </c>
      <c r="L703" s="7" t="str">
        <f>HYPERLINK("http://slimages.macys.com/is/image/MCY/11831242 ")</f>
        <v xml:space="preserve">http://slimages.macys.com/is/image/MCY/11831242 </v>
      </c>
    </row>
    <row r="704" spans="1:12" ht="24.75" x14ac:dyDescent="0.25">
      <c r="A704" s="4" t="s">
        <v>1701</v>
      </c>
      <c r="B704" s="2" t="s">
        <v>1699</v>
      </c>
      <c r="C704" s="3">
        <v>1</v>
      </c>
      <c r="D704" s="5">
        <v>19.989999999999998</v>
      </c>
      <c r="E704" s="3" t="s">
        <v>1700</v>
      </c>
      <c r="F704" s="2" t="s">
        <v>94</v>
      </c>
      <c r="G704" s="6" t="s">
        <v>154</v>
      </c>
      <c r="H704" s="2" t="s">
        <v>1473</v>
      </c>
      <c r="I704" s="2" t="s">
        <v>1426</v>
      </c>
      <c r="J704" s="2" t="s">
        <v>19</v>
      </c>
      <c r="K704" s="2" t="s">
        <v>990</v>
      </c>
      <c r="L704" s="7" t="str">
        <f>HYPERLINK("http://slimages.macys.com/is/image/MCY/11831242 ")</f>
        <v xml:space="preserve">http://slimages.macys.com/is/image/MCY/11831242 </v>
      </c>
    </row>
    <row r="705" spans="1:12" ht="24.75" x14ac:dyDescent="0.25">
      <c r="A705" s="4" t="s">
        <v>1702</v>
      </c>
      <c r="B705" s="2" t="s">
        <v>1699</v>
      </c>
      <c r="C705" s="3">
        <v>1</v>
      </c>
      <c r="D705" s="5">
        <v>19.989999999999998</v>
      </c>
      <c r="E705" s="3" t="s">
        <v>1700</v>
      </c>
      <c r="F705" s="2" t="s">
        <v>26</v>
      </c>
      <c r="G705" s="6" t="s">
        <v>181</v>
      </c>
      <c r="H705" s="2" t="s">
        <v>1473</v>
      </c>
      <c r="I705" s="2" t="s">
        <v>1426</v>
      </c>
      <c r="J705" s="2" t="s">
        <v>19</v>
      </c>
      <c r="K705" s="2" t="s">
        <v>990</v>
      </c>
      <c r="L705" s="7" t="str">
        <f>HYPERLINK("http://slimages.macys.com/is/image/MCY/11831242 ")</f>
        <v xml:space="preserve">http://slimages.macys.com/is/image/MCY/11831242 </v>
      </c>
    </row>
    <row r="706" spans="1:12" ht="24.75" x14ac:dyDescent="0.25">
      <c r="A706" s="4" t="s">
        <v>1703</v>
      </c>
      <c r="B706" s="2" t="s">
        <v>1699</v>
      </c>
      <c r="C706" s="3">
        <v>1</v>
      </c>
      <c r="D706" s="5">
        <v>19.989999999999998</v>
      </c>
      <c r="E706" s="3" t="s">
        <v>1700</v>
      </c>
      <c r="F706" s="2" t="s">
        <v>74</v>
      </c>
      <c r="G706" s="6" t="s">
        <v>154</v>
      </c>
      <c r="H706" s="2" t="s">
        <v>1473</v>
      </c>
      <c r="I706" s="2" t="s">
        <v>1426</v>
      </c>
      <c r="J706" s="2" t="s">
        <v>19</v>
      </c>
      <c r="K706" s="2" t="s">
        <v>990</v>
      </c>
      <c r="L706" s="7" t="str">
        <f>HYPERLINK("http://slimages.macys.com/is/image/MCY/11831242 ")</f>
        <v xml:space="preserve">http://slimages.macys.com/is/image/MCY/11831242 </v>
      </c>
    </row>
    <row r="707" spans="1:12" ht="24.75" x14ac:dyDescent="0.25">
      <c r="A707" s="4" t="s">
        <v>1704</v>
      </c>
      <c r="B707" s="2" t="s">
        <v>1705</v>
      </c>
      <c r="C707" s="3">
        <v>1</v>
      </c>
      <c r="D707" s="5">
        <v>24.99</v>
      </c>
      <c r="E707" s="3" t="s">
        <v>1706</v>
      </c>
      <c r="F707" s="2" t="s">
        <v>70</v>
      </c>
      <c r="G707" s="6" t="s">
        <v>187</v>
      </c>
      <c r="H707" s="2" t="s">
        <v>1425</v>
      </c>
      <c r="I707" s="2" t="s">
        <v>1469</v>
      </c>
      <c r="J707" s="2" t="s">
        <v>19</v>
      </c>
      <c r="K707" s="2" t="s">
        <v>990</v>
      </c>
      <c r="L707" s="7" t="str">
        <f>HYPERLINK("http://slimages.macys.com/is/image/MCY/9127920 ")</f>
        <v xml:space="preserve">http://slimages.macys.com/is/image/MCY/9127920 </v>
      </c>
    </row>
    <row r="708" spans="1:12" ht="24.75" x14ac:dyDescent="0.25">
      <c r="A708" s="4" t="s">
        <v>1707</v>
      </c>
      <c r="B708" s="2" t="s">
        <v>1705</v>
      </c>
      <c r="C708" s="3">
        <v>2</v>
      </c>
      <c r="D708" s="5">
        <v>24.99</v>
      </c>
      <c r="E708" s="3" t="s">
        <v>1706</v>
      </c>
      <c r="F708" s="2" t="s">
        <v>413</v>
      </c>
      <c r="G708" s="6"/>
      <c r="H708" s="2" t="s">
        <v>1425</v>
      </c>
      <c r="I708" s="2" t="s">
        <v>1469</v>
      </c>
      <c r="J708" s="2" t="s">
        <v>19</v>
      </c>
      <c r="K708" s="2" t="s">
        <v>990</v>
      </c>
      <c r="L708" s="7" t="str">
        <f>HYPERLINK("http://slimages.macys.com/is/image/MCY/9127920 ")</f>
        <v xml:space="preserve">http://slimages.macys.com/is/image/MCY/9127920 </v>
      </c>
    </row>
    <row r="709" spans="1:12" ht="24.75" x14ac:dyDescent="0.25">
      <c r="A709" s="4" t="s">
        <v>1708</v>
      </c>
      <c r="B709" s="2" t="s">
        <v>1709</v>
      </c>
      <c r="C709" s="3">
        <v>1</v>
      </c>
      <c r="D709" s="5">
        <v>25.88</v>
      </c>
      <c r="E709" s="3" t="s">
        <v>1710</v>
      </c>
      <c r="F709" s="2" t="s">
        <v>74</v>
      </c>
      <c r="G709" s="6"/>
      <c r="H709" s="2" t="s">
        <v>312</v>
      </c>
      <c r="I709" s="2" t="s">
        <v>195</v>
      </c>
      <c r="J709" s="2" t="s">
        <v>19</v>
      </c>
      <c r="K709" s="2" t="s">
        <v>1629</v>
      </c>
      <c r="L709" s="7" t="str">
        <f>HYPERLINK("http://slimages.macys.com/is/image/MCY/3314148 ")</f>
        <v xml:space="preserve">http://slimages.macys.com/is/image/MCY/3314148 </v>
      </c>
    </row>
    <row r="710" spans="1:12" ht="24.75" x14ac:dyDescent="0.25">
      <c r="A710" s="4" t="s">
        <v>1711</v>
      </c>
      <c r="B710" s="2" t="s">
        <v>1712</v>
      </c>
      <c r="C710" s="3">
        <v>1</v>
      </c>
      <c r="D710" s="5">
        <v>19.989999999999998</v>
      </c>
      <c r="E710" s="3" t="s">
        <v>1713</v>
      </c>
      <c r="F710" s="2" t="s">
        <v>417</v>
      </c>
      <c r="G710" s="6" t="s">
        <v>181</v>
      </c>
      <c r="H710" s="2" t="s">
        <v>194</v>
      </c>
      <c r="I710" s="2" t="s">
        <v>195</v>
      </c>
      <c r="J710" s="2" t="s">
        <v>19</v>
      </c>
      <c r="K710" s="2" t="s">
        <v>160</v>
      </c>
      <c r="L710" s="7" t="str">
        <f>HYPERLINK("http://slimages.macys.com/is/image/MCY/13317759 ")</f>
        <v xml:space="preserve">http://slimages.macys.com/is/image/MCY/13317759 </v>
      </c>
    </row>
    <row r="711" spans="1:12" ht="24.75" x14ac:dyDescent="0.25">
      <c r="A711" s="4" t="s">
        <v>1714</v>
      </c>
      <c r="B711" s="2" t="s">
        <v>1715</v>
      </c>
      <c r="C711" s="3">
        <v>1</v>
      </c>
      <c r="D711" s="5">
        <v>19.989999999999998</v>
      </c>
      <c r="E711" s="3" t="s">
        <v>1716</v>
      </c>
      <c r="F711" s="2" t="s">
        <v>74</v>
      </c>
      <c r="G711" s="6" t="s">
        <v>219</v>
      </c>
      <c r="H711" s="2" t="s">
        <v>188</v>
      </c>
      <c r="I711" s="2" t="s">
        <v>189</v>
      </c>
      <c r="J711" s="2" t="s">
        <v>19</v>
      </c>
      <c r="K711" s="2" t="s">
        <v>648</v>
      </c>
      <c r="L711" s="7" t="str">
        <f>HYPERLINK("http://slimages.macys.com/is/image/MCY/11621935 ")</f>
        <v xml:space="preserve">http://slimages.macys.com/is/image/MCY/11621935 </v>
      </c>
    </row>
    <row r="712" spans="1:12" ht="24.75" x14ac:dyDescent="0.25">
      <c r="A712" s="4" t="s">
        <v>1717</v>
      </c>
      <c r="B712" s="2" t="s">
        <v>1718</v>
      </c>
      <c r="C712" s="3">
        <v>1</v>
      </c>
      <c r="D712" s="5">
        <v>22.13</v>
      </c>
      <c r="E712" s="3" t="s">
        <v>1719</v>
      </c>
      <c r="F712" s="2" t="s">
        <v>494</v>
      </c>
      <c r="G712" s="6" t="s">
        <v>181</v>
      </c>
      <c r="H712" s="2" t="s">
        <v>194</v>
      </c>
      <c r="I712" s="2" t="s">
        <v>195</v>
      </c>
      <c r="J712" s="2" t="s">
        <v>19</v>
      </c>
      <c r="K712" s="2" t="s">
        <v>1108</v>
      </c>
      <c r="L712" s="7" t="str">
        <f>HYPERLINK("http://slimages.macys.com/is/image/MCY/15709119 ")</f>
        <v xml:space="preserve">http://slimages.macys.com/is/image/MCY/15709119 </v>
      </c>
    </row>
    <row r="713" spans="1:12" x14ac:dyDescent="0.25">
      <c r="A713" s="4" t="s">
        <v>1720</v>
      </c>
      <c r="B713" s="2" t="s">
        <v>1721</v>
      </c>
      <c r="C713" s="3">
        <v>1</v>
      </c>
      <c r="D713" s="5">
        <v>26.99</v>
      </c>
      <c r="E713" s="3" t="s">
        <v>1722</v>
      </c>
      <c r="F713" s="2" t="s">
        <v>74</v>
      </c>
      <c r="G713" s="6" t="s">
        <v>746</v>
      </c>
      <c r="H713" s="2" t="s">
        <v>349</v>
      </c>
      <c r="I713" s="2" t="s">
        <v>285</v>
      </c>
      <c r="J713" s="2" t="s">
        <v>19</v>
      </c>
      <c r="K713" s="2" t="s">
        <v>247</v>
      </c>
      <c r="L713" s="7" t="str">
        <f>HYPERLINK("http://slimages.macys.com/is/image/MCY/11671652 ")</f>
        <v xml:space="preserve">http://slimages.macys.com/is/image/MCY/11671652 </v>
      </c>
    </row>
    <row r="714" spans="1:12" ht="24.75" x14ac:dyDescent="0.25">
      <c r="A714" s="4" t="s">
        <v>1723</v>
      </c>
      <c r="B714" s="2" t="s">
        <v>1724</v>
      </c>
      <c r="C714" s="3">
        <v>1</v>
      </c>
      <c r="D714" s="5">
        <v>34.880000000000003</v>
      </c>
      <c r="E714" s="3">
        <v>100018041</v>
      </c>
      <c r="F714" s="2" t="s">
        <v>680</v>
      </c>
      <c r="G714" s="6" t="s">
        <v>112</v>
      </c>
      <c r="H714" s="2" t="s">
        <v>194</v>
      </c>
      <c r="I714" s="2" t="s">
        <v>195</v>
      </c>
      <c r="J714" s="2" t="s">
        <v>19</v>
      </c>
      <c r="K714" s="2" t="s">
        <v>353</v>
      </c>
      <c r="L714" s="7" t="str">
        <f>HYPERLINK("http://slimages.macys.com/is/image/MCY/12950342 ")</f>
        <v xml:space="preserve">http://slimages.macys.com/is/image/MCY/12950342 </v>
      </c>
    </row>
    <row r="715" spans="1:12" ht="24.75" x14ac:dyDescent="0.25">
      <c r="A715" s="4" t="s">
        <v>1725</v>
      </c>
      <c r="B715" s="2" t="s">
        <v>1726</v>
      </c>
      <c r="C715" s="3">
        <v>1</v>
      </c>
      <c r="D715" s="5">
        <v>26.99</v>
      </c>
      <c r="E715" s="3" t="s">
        <v>1727</v>
      </c>
      <c r="F715" s="2" t="s">
        <v>331</v>
      </c>
      <c r="G715" s="6" t="s">
        <v>348</v>
      </c>
      <c r="H715" s="2" t="s">
        <v>349</v>
      </c>
      <c r="I715" s="2" t="s">
        <v>285</v>
      </c>
      <c r="J715" s="2" t="s">
        <v>19</v>
      </c>
      <c r="K715" s="2" t="s">
        <v>247</v>
      </c>
      <c r="L715" s="7" t="str">
        <f>HYPERLINK("http://slimages.macys.com/is/image/MCY/13118338 ")</f>
        <v xml:space="preserve">http://slimages.macys.com/is/image/MCY/13118338 </v>
      </c>
    </row>
    <row r="716" spans="1:12" ht="24.75" x14ac:dyDescent="0.25">
      <c r="A716" s="4" t="s">
        <v>1728</v>
      </c>
      <c r="B716" s="2" t="s">
        <v>1729</v>
      </c>
      <c r="C716" s="3">
        <v>1</v>
      </c>
      <c r="D716" s="5">
        <v>37.130000000000003</v>
      </c>
      <c r="E716" s="3" t="s">
        <v>1730</v>
      </c>
      <c r="F716" s="2" t="s">
        <v>26</v>
      </c>
      <c r="G716" s="6" t="s">
        <v>181</v>
      </c>
      <c r="H716" s="2" t="s">
        <v>246</v>
      </c>
      <c r="I716" s="2" t="s">
        <v>189</v>
      </c>
      <c r="J716" s="2" t="s">
        <v>19</v>
      </c>
      <c r="K716" s="2" t="s">
        <v>990</v>
      </c>
      <c r="L716" s="7" t="str">
        <f>HYPERLINK("http://slimages.macys.com/is/image/MCY/11996044 ")</f>
        <v xml:space="preserve">http://slimages.macys.com/is/image/MCY/11996044 </v>
      </c>
    </row>
    <row r="717" spans="1:12" ht="24.75" x14ac:dyDescent="0.25">
      <c r="A717" s="4" t="s">
        <v>1731</v>
      </c>
      <c r="B717" s="2" t="s">
        <v>1732</v>
      </c>
      <c r="C717" s="3">
        <v>2</v>
      </c>
      <c r="D717" s="5">
        <v>20.99</v>
      </c>
      <c r="E717" s="3" t="s">
        <v>1733</v>
      </c>
      <c r="F717" s="2" t="s">
        <v>15</v>
      </c>
      <c r="G717" s="6" t="s">
        <v>245</v>
      </c>
      <c r="H717" s="2" t="s">
        <v>1473</v>
      </c>
      <c r="I717" s="2" t="s">
        <v>1426</v>
      </c>
      <c r="J717" s="2" t="s">
        <v>19</v>
      </c>
      <c r="K717" s="2" t="s">
        <v>648</v>
      </c>
      <c r="L717" s="7" t="str">
        <f>HYPERLINK("http://slimages.macys.com/is/image/MCY/11995647 ")</f>
        <v xml:space="preserve">http://slimages.macys.com/is/image/MCY/11995647 </v>
      </c>
    </row>
    <row r="718" spans="1:12" ht="24.75" x14ac:dyDescent="0.25">
      <c r="A718" s="4" t="s">
        <v>1734</v>
      </c>
      <c r="B718" s="2" t="s">
        <v>1732</v>
      </c>
      <c r="C718" s="3">
        <v>1</v>
      </c>
      <c r="D718" s="5">
        <v>20.99</v>
      </c>
      <c r="E718" s="3" t="s">
        <v>1733</v>
      </c>
      <c r="F718" s="2" t="s">
        <v>15</v>
      </c>
      <c r="G718" s="6" t="s">
        <v>234</v>
      </c>
      <c r="H718" s="2" t="s">
        <v>1473</v>
      </c>
      <c r="I718" s="2" t="s">
        <v>1426</v>
      </c>
      <c r="J718" s="2" t="s">
        <v>19</v>
      </c>
      <c r="K718" s="2" t="s">
        <v>648</v>
      </c>
      <c r="L718" s="7" t="str">
        <f>HYPERLINK("http://slimages.macys.com/is/image/MCY/11995647 ")</f>
        <v xml:space="preserve">http://slimages.macys.com/is/image/MCY/11995647 </v>
      </c>
    </row>
    <row r="719" spans="1:12" ht="24.75" x14ac:dyDescent="0.25">
      <c r="A719" s="4" t="s">
        <v>1735</v>
      </c>
      <c r="B719" s="2" t="s">
        <v>1736</v>
      </c>
      <c r="C719" s="3">
        <v>1</v>
      </c>
      <c r="D719" s="5">
        <v>21.99</v>
      </c>
      <c r="E719" s="3">
        <v>100003670</v>
      </c>
      <c r="F719" s="2" t="s">
        <v>998</v>
      </c>
      <c r="G719" s="6" t="s">
        <v>234</v>
      </c>
      <c r="H719" s="2" t="s">
        <v>284</v>
      </c>
      <c r="I719" s="2" t="s">
        <v>285</v>
      </c>
      <c r="J719" s="2" t="s">
        <v>19</v>
      </c>
      <c r="K719" s="2" t="s">
        <v>247</v>
      </c>
      <c r="L719" s="7" t="str">
        <f>HYPERLINK("http://slimages.macys.com/is/image/MCY/10451983 ")</f>
        <v xml:space="preserve">http://slimages.macys.com/is/image/MCY/10451983 </v>
      </c>
    </row>
    <row r="720" spans="1:12" ht="24.75" x14ac:dyDescent="0.25">
      <c r="A720" s="4" t="s">
        <v>1737</v>
      </c>
      <c r="B720" s="2" t="s">
        <v>1738</v>
      </c>
      <c r="C720" s="3">
        <v>1</v>
      </c>
      <c r="D720" s="5">
        <v>29.63</v>
      </c>
      <c r="E720" s="3" t="s">
        <v>1739</v>
      </c>
      <c r="F720" s="2" t="s">
        <v>1322</v>
      </c>
      <c r="G720" s="6" t="s">
        <v>154</v>
      </c>
      <c r="H720" s="2" t="s">
        <v>194</v>
      </c>
      <c r="I720" s="2" t="s">
        <v>195</v>
      </c>
      <c r="J720" s="2" t="s">
        <v>19</v>
      </c>
      <c r="K720" s="2" t="s">
        <v>1108</v>
      </c>
      <c r="L720" s="7" t="str">
        <f>HYPERLINK("http://slimages.macys.com/is/image/MCY/12064042 ")</f>
        <v xml:space="preserve">http://slimages.macys.com/is/image/MCY/12064042 </v>
      </c>
    </row>
    <row r="721" spans="1:12" ht="24.75" x14ac:dyDescent="0.25">
      <c r="A721" s="4" t="s">
        <v>1740</v>
      </c>
      <c r="B721" s="2" t="s">
        <v>1738</v>
      </c>
      <c r="C721" s="3">
        <v>1</v>
      </c>
      <c r="D721" s="5">
        <v>29.63</v>
      </c>
      <c r="E721" s="3" t="s">
        <v>1739</v>
      </c>
      <c r="F721" s="2" t="s">
        <v>15</v>
      </c>
      <c r="G721" s="6" t="s">
        <v>154</v>
      </c>
      <c r="H721" s="2" t="s">
        <v>194</v>
      </c>
      <c r="I721" s="2" t="s">
        <v>195</v>
      </c>
      <c r="J721" s="2" t="s">
        <v>19</v>
      </c>
      <c r="K721" s="2" t="s">
        <v>1108</v>
      </c>
      <c r="L721" s="7" t="str">
        <f>HYPERLINK("http://slimages.macys.com/is/image/MCY/12064042 ")</f>
        <v xml:space="preserve">http://slimages.macys.com/is/image/MCY/12064042 </v>
      </c>
    </row>
    <row r="722" spans="1:12" ht="24.75" x14ac:dyDescent="0.25">
      <c r="A722" s="4" t="s">
        <v>1741</v>
      </c>
      <c r="B722" s="2" t="s">
        <v>1742</v>
      </c>
      <c r="C722" s="3">
        <v>1</v>
      </c>
      <c r="D722" s="5">
        <v>29.63</v>
      </c>
      <c r="E722" s="3" t="s">
        <v>1743</v>
      </c>
      <c r="F722" s="2" t="s">
        <v>26</v>
      </c>
      <c r="G722" s="6" t="s">
        <v>234</v>
      </c>
      <c r="H722" s="2" t="s">
        <v>194</v>
      </c>
      <c r="I722" s="2" t="s">
        <v>195</v>
      </c>
      <c r="J722" s="2" t="s">
        <v>19</v>
      </c>
      <c r="K722" s="2" t="s">
        <v>247</v>
      </c>
      <c r="L722" s="7" t="str">
        <f>HYPERLINK("http://slimages.macys.com/is/image/MCY/12667158 ")</f>
        <v xml:space="preserve">http://slimages.macys.com/is/image/MCY/12667158 </v>
      </c>
    </row>
    <row r="723" spans="1:12" ht="24.75" x14ac:dyDescent="0.25">
      <c r="A723" s="4" t="s">
        <v>1744</v>
      </c>
      <c r="B723" s="2" t="s">
        <v>1627</v>
      </c>
      <c r="C723" s="3">
        <v>1</v>
      </c>
      <c r="D723" s="5">
        <v>25.88</v>
      </c>
      <c r="E723" s="3" t="s">
        <v>1745</v>
      </c>
      <c r="F723" s="2" t="s">
        <v>506</v>
      </c>
      <c r="G723" s="6"/>
      <c r="H723" s="2" t="s">
        <v>312</v>
      </c>
      <c r="I723" s="2" t="s">
        <v>195</v>
      </c>
      <c r="J723" s="2" t="s">
        <v>19</v>
      </c>
      <c r="K723" s="2" t="s">
        <v>1629</v>
      </c>
      <c r="L723" s="7" t="str">
        <f>HYPERLINK("http://slimages.macys.com/is/image/MCY/3314148 ")</f>
        <v xml:space="preserve">http://slimages.macys.com/is/image/MCY/3314148 </v>
      </c>
    </row>
    <row r="724" spans="1:12" ht="24.75" x14ac:dyDescent="0.25">
      <c r="A724" s="4" t="s">
        <v>1746</v>
      </c>
      <c r="B724" s="2" t="s">
        <v>1747</v>
      </c>
      <c r="C724" s="3">
        <v>1</v>
      </c>
      <c r="D724" s="5">
        <v>17.989999999999998</v>
      </c>
      <c r="E724" s="3" t="s">
        <v>1748</v>
      </c>
      <c r="F724" s="2" t="s">
        <v>74</v>
      </c>
      <c r="G724" s="6" t="s">
        <v>112</v>
      </c>
      <c r="H724" s="2" t="s">
        <v>1473</v>
      </c>
      <c r="I724" s="2" t="s">
        <v>1426</v>
      </c>
      <c r="J724" s="2" t="s">
        <v>19</v>
      </c>
      <c r="K724" s="2" t="s">
        <v>353</v>
      </c>
      <c r="L724" s="7" t="str">
        <f>HYPERLINK("http://slimages.macys.com/is/image/MCY/12776597 ")</f>
        <v xml:space="preserve">http://slimages.macys.com/is/image/MCY/12776597 </v>
      </c>
    </row>
    <row r="725" spans="1:12" ht="24.75" x14ac:dyDescent="0.25">
      <c r="A725" s="4" t="s">
        <v>1749</v>
      </c>
      <c r="B725" s="2" t="s">
        <v>1747</v>
      </c>
      <c r="C725" s="3">
        <v>1</v>
      </c>
      <c r="D725" s="5">
        <v>17.989999999999998</v>
      </c>
      <c r="E725" s="3" t="s">
        <v>1750</v>
      </c>
      <c r="F725" s="2" t="s">
        <v>15</v>
      </c>
      <c r="G725" s="6" t="s">
        <v>934</v>
      </c>
      <c r="H725" s="2" t="s">
        <v>1425</v>
      </c>
      <c r="I725" s="2" t="s">
        <v>1426</v>
      </c>
      <c r="J725" s="2" t="s">
        <v>19</v>
      </c>
      <c r="K725" s="2" t="s">
        <v>353</v>
      </c>
      <c r="L725" s="7" t="str">
        <f>HYPERLINK("http://slimages.macys.com/is/image/MCY/12776609 ")</f>
        <v xml:space="preserve">http://slimages.macys.com/is/image/MCY/12776609 </v>
      </c>
    </row>
    <row r="726" spans="1:12" ht="24.75" x14ac:dyDescent="0.25">
      <c r="A726" s="4" t="s">
        <v>1751</v>
      </c>
      <c r="B726" s="2" t="s">
        <v>1747</v>
      </c>
      <c r="C726" s="3">
        <v>1</v>
      </c>
      <c r="D726" s="5">
        <v>17.989999999999998</v>
      </c>
      <c r="E726" s="3" t="s">
        <v>1748</v>
      </c>
      <c r="F726" s="2" t="s">
        <v>74</v>
      </c>
      <c r="G726" s="6" t="s">
        <v>16</v>
      </c>
      <c r="H726" s="2" t="s">
        <v>1473</v>
      </c>
      <c r="I726" s="2" t="s">
        <v>1426</v>
      </c>
      <c r="J726" s="2" t="s">
        <v>19</v>
      </c>
      <c r="K726" s="2" t="s">
        <v>353</v>
      </c>
      <c r="L726" s="7" t="str">
        <f>HYPERLINK("http://slimages.macys.com/is/image/MCY/12776597 ")</f>
        <v xml:space="preserve">http://slimages.macys.com/is/image/MCY/12776597 </v>
      </c>
    </row>
    <row r="727" spans="1:12" ht="24.75" x14ac:dyDescent="0.25">
      <c r="A727" s="4" t="s">
        <v>1752</v>
      </c>
      <c r="B727" s="2" t="s">
        <v>1753</v>
      </c>
      <c r="C727" s="3">
        <v>1</v>
      </c>
      <c r="D727" s="5">
        <v>29.5</v>
      </c>
      <c r="E727" s="3" t="s">
        <v>1754</v>
      </c>
      <c r="F727" s="2" t="s">
        <v>70</v>
      </c>
      <c r="G727" s="6" t="s">
        <v>154</v>
      </c>
      <c r="H727" s="2" t="s">
        <v>194</v>
      </c>
      <c r="I727" s="2" t="s">
        <v>195</v>
      </c>
      <c r="J727" s="2" t="s">
        <v>19</v>
      </c>
      <c r="K727" s="2" t="s">
        <v>247</v>
      </c>
      <c r="L727" s="7" t="str">
        <f>HYPERLINK("http://slimages.macys.com/is/image/MCY/11937304 ")</f>
        <v xml:space="preserve">http://slimages.macys.com/is/image/MCY/11937304 </v>
      </c>
    </row>
    <row r="728" spans="1:12" ht="24.75" x14ac:dyDescent="0.25">
      <c r="A728" s="4" t="s">
        <v>1755</v>
      </c>
      <c r="B728" s="2" t="s">
        <v>1756</v>
      </c>
      <c r="C728" s="3">
        <v>1</v>
      </c>
      <c r="D728" s="5">
        <v>22.13</v>
      </c>
      <c r="E728" s="3" t="s">
        <v>1757</v>
      </c>
      <c r="F728" s="2" t="s">
        <v>170</v>
      </c>
      <c r="G728" s="6" t="s">
        <v>181</v>
      </c>
      <c r="H728" s="2" t="s">
        <v>194</v>
      </c>
      <c r="I728" s="2" t="s">
        <v>580</v>
      </c>
      <c r="J728" s="2" t="s">
        <v>19</v>
      </c>
      <c r="K728" s="2" t="s">
        <v>1758</v>
      </c>
      <c r="L728" s="7" t="str">
        <f>HYPERLINK("http://slimages.macys.com/is/image/MCY/11937946 ")</f>
        <v xml:space="preserve">http://slimages.macys.com/is/image/MCY/11937946 </v>
      </c>
    </row>
    <row r="729" spans="1:12" ht="24.75" x14ac:dyDescent="0.25">
      <c r="A729" s="4" t="s">
        <v>1759</v>
      </c>
      <c r="B729" s="2" t="s">
        <v>1756</v>
      </c>
      <c r="C729" s="3">
        <v>1</v>
      </c>
      <c r="D729" s="5">
        <v>22.13</v>
      </c>
      <c r="E729" s="3" t="s">
        <v>1757</v>
      </c>
      <c r="F729" s="2" t="s">
        <v>170</v>
      </c>
      <c r="G729" s="6" t="s">
        <v>234</v>
      </c>
      <c r="H729" s="2" t="s">
        <v>194</v>
      </c>
      <c r="I729" s="2" t="s">
        <v>580</v>
      </c>
      <c r="J729" s="2" t="s">
        <v>19</v>
      </c>
      <c r="K729" s="2" t="s">
        <v>1758</v>
      </c>
      <c r="L729" s="7" t="str">
        <f>HYPERLINK("http://slimages.macys.com/is/image/MCY/11937946 ")</f>
        <v xml:space="preserve">http://slimages.macys.com/is/image/MCY/11937946 </v>
      </c>
    </row>
    <row r="730" spans="1:12" ht="24.75" x14ac:dyDescent="0.25">
      <c r="A730" s="4" t="s">
        <v>1760</v>
      </c>
      <c r="B730" s="2" t="s">
        <v>1761</v>
      </c>
      <c r="C730" s="3">
        <v>1</v>
      </c>
      <c r="D730" s="5">
        <v>22.13</v>
      </c>
      <c r="E730" s="3" t="s">
        <v>1762</v>
      </c>
      <c r="F730" s="2" t="s">
        <v>15</v>
      </c>
      <c r="G730" s="6" t="s">
        <v>245</v>
      </c>
      <c r="H730" s="2" t="s">
        <v>194</v>
      </c>
      <c r="I730" s="2" t="s">
        <v>580</v>
      </c>
      <c r="J730" s="2" t="s">
        <v>19</v>
      </c>
      <c r="K730" s="2" t="s">
        <v>1082</v>
      </c>
      <c r="L730" s="7" t="str">
        <f>HYPERLINK("http://slimages.macys.com/is/image/MCY/12794096 ")</f>
        <v xml:space="preserve">http://slimages.macys.com/is/image/MCY/12794096 </v>
      </c>
    </row>
    <row r="731" spans="1:12" ht="24.75" x14ac:dyDescent="0.25">
      <c r="A731" s="4" t="s">
        <v>1763</v>
      </c>
      <c r="B731" s="2" t="s">
        <v>1764</v>
      </c>
      <c r="C731" s="3">
        <v>1</v>
      </c>
      <c r="D731" s="5">
        <v>22.13</v>
      </c>
      <c r="E731" s="3" t="s">
        <v>1765</v>
      </c>
      <c r="F731" s="2" t="s">
        <v>38</v>
      </c>
      <c r="G731" s="6" t="s">
        <v>154</v>
      </c>
      <c r="H731" s="2" t="s">
        <v>194</v>
      </c>
      <c r="I731" s="2" t="s">
        <v>1766</v>
      </c>
      <c r="J731" s="2" t="s">
        <v>19</v>
      </c>
      <c r="K731" s="2" t="s">
        <v>1082</v>
      </c>
      <c r="L731" s="7" t="str">
        <f>HYPERLINK("http://slimages.macys.com/is/image/MCY/12143911 ")</f>
        <v xml:space="preserve">http://slimages.macys.com/is/image/MCY/12143911 </v>
      </c>
    </row>
    <row r="732" spans="1:12" ht="24.75" x14ac:dyDescent="0.25">
      <c r="A732" s="4" t="s">
        <v>1767</v>
      </c>
      <c r="B732" s="2" t="s">
        <v>1761</v>
      </c>
      <c r="C732" s="3">
        <v>1</v>
      </c>
      <c r="D732" s="5">
        <v>22.13</v>
      </c>
      <c r="E732" s="3" t="s">
        <v>1768</v>
      </c>
      <c r="F732" s="2" t="s">
        <v>64</v>
      </c>
      <c r="G732" s="6" t="s">
        <v>154</v>
      </c>
      <c r="H732" s="2" t="s">
        <v>194</v>
      </c>
      <c r="I732" s="2" t="s">
        <v>580</v>
      </c>
      <c r="J732" s="2" t="s">
        <v>19</v>
      </c>
      <c r="K732" s="2" t="s">
        <v>1758</v>
      </c>
      <c r="L732" s="7" t="str">
        <f>HYPERLINK("http://slimages.macys.com/is/image/MCY/12799771 ")</f>
        <v xml:space="preserve">http://slimages.macys.com/is/image/MCY/12799771 </v>
      </c>
    </row>
    <row r="733" spans="1:12" ht="24.75" x14ac:dyDescent="0.25">
      <c r="A733" s="4" t="s">
        <v>1769</v>
      </c>
      <c r="B733" s="2" t="s">
        <v>1770</v>
      </c>
      <c r="C733" s="3">
        <v>4</v>
      </c>
      <c r="D733" s="5">
        <v>22.13</v>
      </c>
      <c r="E733" s="3" t="s">
        <v>1771</v>
      </c>
      <c r="F733" s="2" t="s">
        <v>64</v>
      </c>
      <c r="G733" s="6" t="s">
        <v>181</v>
      </c>
      <c r="H733" s="2" t="s">
        <v>194</v>
      </c>
      <c r="I733" s="2" t="s">
        <v>580</v>
      </c>
      <c r="J733" s="2" t="s">
        <v>19</v>
      </c>
      <c r="K733" s="2" t="s">
        <v>1082</v>
      </c>
      <c r="L733" s="7" t="str">
        <f>HYPERLINK("http://slimages.macys.com/is/image/MCY/12794152 ")</f>
        <v xml:space="preserve">http://slimages.macys.com/is/image/MCY/12794152 </v>
      </c>
    </row>
    <row r="734" spans="1:12" ht="24.75" x14ac:dyDescent="0.25">
      <c r="A734" s="4" t="s">
        <v>1772</v>
      </c>
      <c r="B734" s="2" t="s">
        <v>1756</v>
      </c>
      <c r="C734" s="3">
        <v>1</v>
      </c>
      <c r="D734" s="5">
        <v>22.13</v>
      </c>
      <c r="E734" s="3" t="s">
        <v>1757</v>
      </c>
      <c r="F734" s="2" t="s">
        <v>170</v>
      </c>
      <c r="G734" s="6" t="s">
        <v>245</v>
      </c>
      <c r="H734" s="2" t="s">
        <v>194</v>
      </c>
      <c r="I734" s="2" t="s">
        <v>580</v>
      </c>
      <c r="J734" s="2" t="s">
        <v>19</v>
      </c>
      <c r="K734" s="2" t="s">
        <v>1758</v>
      </c>
      <c r="L734" s="7" t="str">
        <f>HYPERLINK("http://slimages.macys.com/is/image/MCY/11937946 ")</f>
        <v xml:space="preserve">http://slimages.macys.com/is/image/MCY/11937946 </v>
      </c>
    </row>
    <row r="735" spans="1:12" ht="24.75" x14ac:dyDescent="0.25">
      <c r="A735" s="4" t="s">
        <v>1773</v>
      </c>
      <c r="B735" s="2" t="s">
        <v>1770</v>
      </c>
      <c r="C735" s="3">
        <v>3</v>
      </c>
      <c r="D735" s="5">
        <v>22.13</v>
      </c>
      <c r="E735" s="3" t="s">
        <v>1771</v>
      </c>
      <c r="F735" s="2" t="s">
        <v>64</v>
      </c>
      <c r="G735" s="6" t="s">
        <v>156</v>
      </c>
      <c r="H735" s="2" t="s">
        <v>194</v>
      </c>
      <c r="I735" s="2" t="s">
        <v>580</v>
      </c>
      <c r="J735" s="2" t="s">
        <v>19</v>
      </c>
      <c r="K735" s="2" t="s">
        <v>1082</v>
      </c>
      <c r="L735" s="7" t="str">
        <f>HYPERLINK("http://slimages.macys.com/is/image/MCY/12794152 ")</f>
        <v xml:space="preserve">http://slimages.macys.com/is/image/MCY/12794152 </v>
      </c>
    </row>
    <row r="736" spans="1:12" ht="24.75" x14ac:dyDescent="0.25">
      <c r="A736" s="4" t="s">
        <v>1774</v>
      </c>
      <c r="B736" s="2" t="s">
        <v>1764</v>
      </c>
      <c r="C736" s="3">
        <v>1</v>
      </c>
      <c r="D736" s="5">
        <v>22.13</v>
      </c>
      <c r="E736" s="3" t="s">
        <v>1765</v>
      </c>
      <c r="F736" s="2" t="s">
        <v>38</v>
      </c>
      <c r="G736" s="6" t="s">
        <v>181</v>
      </c>
      <c r="H736" s="2" t="s">
        <v>194</v>
      </c>
      <c r="I736" s="2" t="s">
        <v>1766</v>
      </c>
      <c r="J736" s="2" t="s">
        <v>19</v>
      </c>
      <c r="K736" s="2" t="s">
        <v>1082</v>
      </c>
      <c r="L736" s="7" t="str">
        <f>HYPERLINK("http://slimages.macys.com/is/image/MCY/12143911 ")</f>
        <v xml:space="preserve">http://slimages.macys.com/is/image/MCY/12143911 </v>
      </c>
    </row>
    <row r="737" spans="1:12" ht="24.75" x14ac:dyDescent="0.25">
      <c r="A737" s="4" t="s">
        <v>1775</v>
      </c>
      <c r="B737" s="2" t="s">
        <v>1776</v>
      </c>
      <c r="C737" s="3">
        <v>1</v>
      </c>
      <c r="D737" s="5">
        <v>22.13</v>
      </c>
      <c r="E737" s="3" t="s">
        <v>1777</v>
      </c>
      <c r="F737" s="2" t="s">
        <v>132</v>
      </c>
      <c r="G737" s="6" t="s">
        <v>234</v>
      </c>
      <c r="H737" s="2" t="s">
        <v>194</v>
      </c>
      <c r="I737" s="2" t="s">
        <v>1766</v>
      </c>
      <c r="J737" s="2" t="s">
        <v>19</v>
      </c>
      <c r="K737" s="2" t="s">
        <v>1082</v>
      </c>
      <c r="L737" s="7" t="str">
        <f>HYPERLINK("http://slimages.macys.com/is/image/MCY/12143920 ")</f>
        <v xml:space="preserve">http://slimages.macys.com/is/image/MCY/12143920 </v>
      </c>
    </row>
    <row r="738" spans="1:12" ht="24.75" x14ac:dyDescent="0.25">
      <c r="A738" s="4" t="s">
        <v>1778</v>
      </c>
      <c r="B738" s="2" t="s">
        <v>1776</v>
      </c>
      <c r="C738" s="3">
        <v>2</v>
      </c>
      <c r="D738" s="5">
        <v>22.13</v>
      </c>
      <c r="E738" s="3" t="s">
        <v>1779</v>
      </c>
      <c r="F738" s="2" t="s">
        <v>79</v>
      </c>
      <c r="G738" s="6" t="s">
        <v>156</v>
      </c>
      <c r="H738" s="2" t="s">
        <v>194</v>
      </c>
      <c r="I738" s="2" t="s">
        <v>1766</v>
      </c>
      <c r="J738" s="2" t="s">
        <v>19</v>
      </c>
      <c r="K738" s="2" t="s">
        <v>1758</v>
      </c>
      <c r="L738" s="7" t="str">
        <f>HYPERLINK("http://slimages.macys.com/is/image/MCY/12035171 ")</f>
        <v xml:space="preserve">http://slimages.macys.com/is/image/MCY/12035171 </v>
      </c>
    </row>
    <row r="739" spans="1:12" ht="24.75" x14ac:dyDescent="0.25">
      <c r="A739" s="4" t="s">
        <v>1780</v>
      </c>
      <c r="B739" s="2" t="s">
        <v>1776</v>
      </c>
      <c r="C739" s="3">
        <v>1</v>
      </c>
      <c r="D739" s="5">
        <v>22.13</v>
      </c>
      <c r="E739" s="3" t="s">
        <v>1779</v>
      </c>
      <c r="F739" s="2" t="s">
        <v>79</v>
      </c>
      <c r="G739" s="6" t="s">
        <v>154</v>
      </c>
      <c r="H739" s="2" t="s">
        <v>194</v>
      </c>
      <c r="I739" s="2" t="s">
        <v>1766</v>
      </c>
      <c r="J739" s="2" t="s">
        <v>19</v>
      </c>
      <c r="K739" s="2" t="s">
        <v>1758</v>
      </c>
      <c r="L739" s="7" t="str">
        <f>HYPERLINK("http://slimages.macys.com/is/image/MCY/12035171 ")</f>
        <v xml:space="preserve">http://slimages.macys.com/is/image/MCY/12035171 </v>
      </c>
    </row>
    <row r="740" spans="1:12" ht="24.75" x14ac:dyDescent="0.25">
      <c r="A740" s="4" t="s">
        <v>1781</v>
      </c>
      <c r="B740" s="2" t="s">
        <v>1724</v>
      </c>
      <c r="C740" s="3">
        <v>1</v>
      </c>
      <c r="D740" s="5">
        <v>34.880000000000003</v>
      </c>
      <c r="E740" s="3">
        <v>100018041</v>
      </c>
      <c r="F740" s="2" t="s">
        <v>74</v>
      </c>
      <c r="G740" s="6" t="s">
        <v>106</v>
      </c>
      <c r="H740" s="2" t="s">
        <v>194</v>
      </c>
      <c r="I740" s="2" t="s">
        <v>195</v>
      </c>
      <c r="J740" s="2" t="s">
        <v>19</v>
      </c>
      <c r="K740" s="2" t="s">
        <v>353</v>
      </c>
      <c r="L740" s="7" t="str">
        <f>HYPERLINK("http://slimages.macys.com/is/image/MCY/12950342 ")</f>
        <v xml:space="preserve">http://slimages.macys.com/is/image/MCY/12950342 </v>
      </c>
    </row>
    <row r="741" spans="1:12" ht="24.75" x14ac:dyDescent="0.25">
      <c r="A741" s="4" t="s">
        <v>1782</v>
      </c>
      <c r="B741" s="2" t="s">
        <v>1783</v>
      </c>
      <c r="C741" s="3">
        <v>1</v>
      </c>
      <c r="D741" s="5">
        <v>45</v>
      </c>
      <c r="E741" s="3" t="s">
        <v>1784</v>
      </c>
      <c r="F741" s="2" t="s">
        <v>48</v>
      </c>
      <c r="G741" s="6" t="s">
        <v>791</v>
      </c>
      <c r="H741" s="2" t="s">
        <v>447</v>
      </c>
      <c r="I741" s="2" t="s">
        <v>792</v>
      </c>
      <c r="J741" s="2" t="s">
        <v>1499</v>
      </c>
      <c r="K741" s="2" t="s">
        <v>160</v>
      </c>
      <c r="L741" s="7" t="str">
        <f>HYPERLINK("http://slimages.macys.com/is/image/MCY/13286075 ")</f>
        <v xml:space="preserve">http://slimages.macys.com/is/image/MCY/13286075 </v>
      </c>
    </row>
    <row r="742" spans="1:12" ht="24.75" x14ac:dyDescent="0.25">
      <c r="A742" s="4" t="s">
        <v>1785</v>
      </c>
      <c r="B742" s="2" t="s">
        <v>1786</v>
      </c>
      <c r="C742" s="3">
        <v>1</v>
      </c>
      <c r="D742" s="5">
        <v>45</v>
      </c>
      <c r="E742" s="3" t="s">
        <v>1787</v>
      </c>
      <c r="F742" s="2" t="s">
        <v>1788</v>
      </c>
      <c r="G742" s="6" t="s">
        <v>791</v>
      </c>
      <c r="H742" s="2" t="s">
        <v>447</v>
      </c>
      <c r="I742" s="2" t="s">
        <v>792</v>
      </c>
      <c r="J742" s="2" t="s">
        <v>19</v>
      </c>
      <c r="K742" s="2" t="s">
        <v>160</v>
      </c>
      <c r="L742" s="7" t="str">
        <f>HYPERLINK("http://slimages.macys.com/is/image/MCY/8252064 ")</f>
        <v xml:space="preserve">http://slimages.macys.com/is/image/MCY/8252064 </v>
      </c>
    </row>
    <row r="743" spans="1:12" ht="24.75" x14ac:dyDescent="0.25">
      <c r="A743" s="4" t="s">
        <v>1789</v>
      </c>
      <c r="B743" s="2" t="s">
        <v>1783</v>
      </c>
      <c r="C743" s="3">
        <v>1</v>
      </c>
      <c r="D743" s="5">
        <v>45</v>
      </c>
      <c r="E743" s="3" t="s">
        <v>1784</v>
      </c>
      <c r="F743" s="2" t="s">
        <v>48</v>
      </c>
      <c r="G743" s="6" t="s">
        <v>446</v>
      </c>
      <c r="H743" s="2" t="s">
        <v>447</v>
      </c>
      <c r="I743" s="2" t="s">
        <v>792</v>
      </c>
      <c r="J743" s="2" t="s">
        <v>1499</v>
      </c>
      <c r="K743" s="2" t="s">
        <v>160</v>
      </c>
      <c r="L743" s="7" t="str">
        <f>HYPERLINK("http://slimages.macys.com/is/image/MCY/13286075 ")</f>
        <v xml:space="preserve">http://slimages.macys.com/is/image/MCY/13286075 </v>
      </c>
    </row>
    <row r="744" spans="1:12" ht="36.75" x14ac:dyDescent="0.25">
      <c r="A744" s="4" t="s">
        <v>1790</v>
      </c>
      <c r="B744" s="2" t="s">
        <v>1791</v>
      </c>
      <c r="C744" s="3">
        <v>1</v>
      </c>
      <c r="D744" s="5">
        <v>33</v>
      </c>
      <c r="E744" s="3" t="s">
        <v>1792</v>
      </c>
      <c r="F744" s="2" t="s">
        <v>33</v>
      </c>
      <c r="G744" s="6" t="s">
        <v>446</v>
      </c>
      <c r="H744" s="2" t="s">
        <v>447</v>
      </c>
      <c r="I744" s="2" t="s">
        <v>792</v>
      </c>
      <c r="J744" s="2" t="s">
        <v>19</v>
      </c>
      <c r="K744" s="2" t="s">
        <v>1793</v>
      </c>
      <c r="L744" s="7" t="str">
        <f>HYPERLINK("http://slimages.macys.com/is/image/MCY/13403569 ")</f>
        <v xml:space="preserve">http://slimages.macys.com/is/image/MCY/13403569 </v>
      </c>
    </row>
    <row r="745" spans="1:12" ht="36.75" x14ac:dyDescent="0.25">
      <c r="A745" s="4" t="s">
        <v>1794</v>
      </c>
      <c r="B745" s="2" t="s">
        <v>1791</v>
      </c>
      <c r="C745" s="3">
        <v>1</v>
      </c>
      <c r="D745" s="5">
        <v>33</v>
      </c>
      <c r="E745" s="3" t="s">
        <v>1792</v>
      </c>
      <c r="F745" s="2" t="s">
        <v>33</v>
      </c>
      <c r="G745" s="6" t="s">
        <v>791</v>
      </c>
      <c r="H745" s="2" t="s">
        <v>447</v>
      </c>
      <c r="I745" s="2" t="s">
        <v>792</v>
      </c>
      <c r="J745" s="2" t="s">
        <v>19</v>
      </c>
      <c r="K745" s="2" t="s">
        <v>1793</v>
      </c>
      <c r="L745" s="7" t="str">
        <f>HYPERLINK("http://slimages.macys.com/is/image/MCY/13403569 ")</f>
        <v xml:space="preserve">http://slimages.macys.com/is/image/MCY/13403569 </v>
      </c>
    </row>
    <row r="746" spans="1:12" ht="24.75" x14ac:dyDescent="0.25">
      <c r="A746" s="4" t="s">
        <v>1795</v>
      </c>
      <c r="B746" s="2" t="s">
        <v>1796</v>
      </c>
      <c r="C746" s="3">
        <v>1</v>
      </c>
      <c r="D746" s="5">
        <v>33</v>
      </c>
      <c r="E746" s="3" t="s">
        <v>1797</v>
      </c>
      <c r="F746" s="2" t="s">
        <v>1234</v>
      </c>
      <c r="G746" s="6" t="s">
        <v>791</v>
      </c>
      <c r="H746" s="2" t="s">
        <v>447</v>
      </c>
      <c r="I746" s="2" t="s">
        <v>792</v>
      </c>
      <c r="J746" s="2" t="s">
        <v>19</v>
      </c>
      <c r="K746" s="2" t="s">
        <v>160</v>
      </c>
      <c r="L746" s="7" t="str">
        <f>HYPERLINK("http://slimages.macys.com/is/image/MCY/13745636 ")</f>
        <v xml:space="preserve">http://slimages.macys.com/is/image/MCY/13745636 </v>
      </c>
    </row>
    <row r="747" spans="1:12" ht="24.75" x14ac:dyDescent="0.25">
      <c r="A747" s="4" t="s">
        <v>1798</v>
      </c>
      <c r="B747" s="2" t="s">
        <v>1177</v>
      </c>
      <c r="C747" s="3">
        <v>1</v>
      </c>
      <c r="D747" s="5">
        <v>45</v>
      </c>
      <c r="E747" s="3" t="s">
        <v>1799</v>
      </c>
      <c r="F747" s="2" t="s">
        <v>74</v>
      </c>
      <c r="G747" s="6"/>
      <c r="H747" s="2" t="s">
        <v>447</v>
      </c>
      <c r="I747" s="2" t="s">
        <v>792</v>
      </c>
      <c r="J747" s="2" t="s">
        <v>19</v>
      </c>
      <c r="K747" s="2" t="s">
        <v>160</v>
      </c>
      <c r="L747" s="7" t="str">
        <f>HYPERLINK("http://slimages.macys.com/is/image/MCY/9533039 ")</f>
        <v xml:space="preserve">http://slimages.macys.com/is/image/MCY/9533039 </v>
      </c>
    </row>
    <row r="748" spans="1:12" ht="24.75" x14ac:dyDescent="0.25">
      <c r="A748" s="4" t="s">
        <v>1800</v>
      </c>
      <c r="B748" s="2" t="s">
        <v>1801</v>
      </c>
      <c r="C748" s="3">
        <v>1</v>
      </c>
      <c r="D748" s="5">
        <v>21.5</v>
      </c>
      <c r="E748" s="3" t="s">
        <v>1802</v>
      </c>
      <c r="F748" s="2" t="s">
        <v>566</v>
      </c>
      <c r="G748" s="6"/>
      <c r="H748" s="2" t="s">
        <v>312</v>
      </c>
      <c r="I748" s="2" t="s">
        <v>580</v>
      </c>
      <c r="J748" s="2" t="s">
        <v>19</v>
      </c>
      <c r="K748" s="2" t="s">
        <v>1758</v>
      </c>
      <c r="L748" s="7" t="str">
        <f>HYPERLINK("http://slimages.macys.com/is/image/MCY/11515389 ")</f>
        <v xml:space="preserve">http://slimages.macys.com/is/image/MCY/11515389 </v>
      </c>
    </row>
    <row r="749" spans="1:12" ht="24.75" x14ac:dyDescent="0.25">
      <c r="A749" s="4" t="s">
        <v>1803</v>
      </c>
      <c r="B749" s="2" t="s">
        <v>1761</v>
      </c>
      <c r="C749" s="3">
        <v>1</v>
      </c>
      <c r="D749" s="5">
        <v>22.13</v>
      </c>
      <c r="E749" s="3" t="s">
        <v>1804</v>
      </c>
      <c r="F749" s="2" t="s">
        <v>26</v>
      </c>
      <c r="G749" s="6"/>
      <c r="H749" s="2" t="s">
        <v>312</v>
      </c>
      <c r="I749" s="2" t="s">
        <v>580</v>
      </c>
      <c r="J749" s="2" t="s">
        <v>19</v>
      </c>
      <c r="K749" s="2" t="s">
        <v>1082</v>
      </c>
      <c r="L749" s="7" t="str">
        <f>HYPERLINK("http://slimages.macys.com/is/image/MCY/12794100 ")</f>
        <v xml:space="preserve">http://slimages.macys.com/is/image/MCY/12794100 </v>
      </c>
    </row>
    <row r="750" spans="1:12" ht="24.75" x14ac:dyDescent="0.25">
      <c r="A750" s="4" t="s">
        <v>1805</v>
      </c>
      <c r="B750" s="2" t="s">
        <v>1761</v>
      </c>
      <c r="C750" s="3">
        <v>1</v>
      </c>
      <c r="D750" s="5">
        <v>22.13</v>
      </c>
      <c r="E750" s="3" t="s">
        <v>1806</v>
      </c>
      <c r="F750" s="2" t="s">
        <v>193</v>
      </c>
      <c r="G750" s="6"/>
      <c r="H750" s="2" t="s">
        <v>312</v>
      </c>
      <c r="I750" s="2" t="s">
        <v>580</v>
      </c>
      <c r="J750" s="2" t="s">
        <v>19</v>
      </c>
      <c r="K750" s="2" t="s">
        <v>1758</v>
      </c>
      <c r="L750" s="7" t="str">
        <f>HYPERLINK("http://slimages.macys.com/is/image/MCY/13039936 ")</f>
        <v xml:space="preserve">http://slimages.macys.com/is/image/MCY/13039936 </v>
      </c>
    </row>
    <row r="751" spans="1:12" ht="24.75" x14ac:dyDescent="0.25">
      <c r="A751" s="4" t="s">
        <v>1807</v>
      </c>
      <c r="B751" s="2" t="s">
        <v>1808</v>
      </c>
      <c r="C751" s="3">
        <v>1</v>
      </c>
      <c r="D751" s="5">
        <v>22.13</v>
      </c>
      <c r="E751" s="3" t="s">
        <v>1809</v>
      </c>
      <c r="F751" s="2" t="s">
        <v>572</v>
      </c>
      <c r="G751" s="6"/>
      <c r="H751" s="2" t="s">
        <v>312</v>
      </c>
      <c r="I751" s="2" t="s">
        <v>580</v>
      </c>
      <c r="J751" s="2" t="s">
        <v>19</v>
      </c>
      <c r="K751" s="2" t="s">
        <v>1082</v>
      </c>
      <c r="L751" s="7" t="str">
        <f>HYPERLINK("http://slimages.macys.com/is/image/MCY/12950293 ")</f>
        <v xml:space="preserve">http://slimages.macys.com/is/image/MCY/12950293 </v>
      </c>
    </row>
    <row r="752" spans="1:12" ht="24.75" x14ac:dyDescent="0.25">
      <c r="A752" s="4" t="s">
        <v>1810</v>
      </c>
      <c r="B752" s="2" t="s">
        <v>1811</v>
      </c>
      <c r="C752" s="3">
        <v>1</v>
      </c>
      <c r="D752" s="5">
        <v>17.989999999999998</v>
      </c>
      <c r="E752" s="3" t="s">
        <v>1812</v>
      </c>
      <c r="F752" s="2" t="s">
        <v>26</v>
      </c>
      <c r="G752" s="6" t="s">
        <v>181</v>
      </c>
      <c r="H752" s="2" t="s">
        <v>1473</v>
      </c>
      <c r="I752" s="2" t="s">
        <v>1426</v>
      </c>
      <c r="J752" s="2" t="s">
        <v>19</v>
      </c>
      <c r="K752" s="2" t="s">
        <v>495</v>
      </c>
      <c r="L752" s="7" t="str">
        <f>HYPERLINK("http://slimages.macys.com/is/image/MCY/12144761 ")</f>
        <v xml:space="preserve">http://slimages.macys.com/is/image/MCY/12144761 </v>
      </c>
    </row>
    <row r="753" spans="1:12" ht="24.75" x14ac:dyDescent="0.25">
      <c r="A753" s="4" t="s">
        <v>1813</v>
      </c>
      <c r="B753" s="2" t="s">
        <v>1814</v>
      </c>
      <c r="C753" s="3">
        <v>1</v>
      </c>
      <c r="D753" s="5">
        <v>26.7</v>
      </c>
      <c r="E753" s="3" t="s">
        <v>1815</v>
      </c>
      <c r="F753" s="2" t="s">
        <v>26</v>
      </c>
      <c r="G753" s="6" t="s">
        <v>156</v>
      </c>
      <c r="H753" s="2" t="s">
        <v>284</v>
      </c>
      <c r="I753" s="2" t="s">
        <v>285</v>
      </c>
      <c r="J753" s="2" t="s">
        <v>19</v>
      </c>
      <c r="K753" s="2" t="s">
        <v>160</v>
      </c>
      <c r="L753" s="7" t="str">
        <f>HYPERLINK("http://slimages.macys.com/is/image/MCY/13924288 ")</f>
        <v xml:space="preserve">http://slimages.macys.com/is/image/MCY/13924288 </v>
      </c>
    </row>
    <row r="754" spans="1:12" ht="24.75" x14ac:dyDescent="0.25">
      <c r="A754" s="4" t="s">
        <v>1816</v>
      </c>
      <c r="B754" s="2" t="s">
        <v>1817</v>
      </c>
      <c r="C754" s="3">
        <v>1</v>
      </c>
      <c r="D754" s="5">
        <v>17.989999999999998</v>
      </c>
      <c r="E754" s="3" t="s">
        <v>1818</v>
      </c>
      <c r="F754" s="2" t="s">
        <v>74</v>
      </c>
      <c r="G754" s="6" t="s">
        <v>58</v>
      </c>
      <c r="H754" s="2" t="s">
        <v>1473</v>
      </c>
      <c r="I754" s="2" t="s">
        <v>1426</v>
      </c>
      <c r="J754" s="2" t="s">
        <v>19</v>
      </c>
      <c r="K754" s="2" t="s">
        <v>353</v>
      </c>
      <c r="L754" s="7" t="str">
        <f>HYPERLINK("http://slimages.macys.com/is/image/MCY/12070597 ")</f>
        <v xml:space="preserve">http://slimages.macys.com/is/image/MCY/12070597 </v>
      </c>
    </row>
    <row r="755" spans="1:12" ht="24.75" x14ac:dyDescent="0.25">
      <c r="A755" s="4" t="s">
        <v>1819</v>
      </c>
      <c r="B755" s="2" t="s">
        <v>1820</v>
      </c>
      <c r="C755" s="3">
        <v>1</v>
      </c>
      <c r="D755" s="5">
        <v>17.989999999999998</v>
      </c>
      <c r="E755" s="3" t="s">
        <v>1821</v>
      </c>
      <c r="F755" s="2" t="s">
        <v>74</v>
      </c>
      <c r="G755" s="6"/>
      <c r="H755" s="2" t="s">
        <v>1425</v>
      </c>
      <c r="I755" s="2" t="s">
        <v>1426</v>
      </c>
      <c r="J755" s="2" t="s">
        <v>19</v>
      </c>
      <c r="K755" s="2" t="s">
        <v>803</v>
      </c>
      <c r="L755" s="7" t="str">
        <f>HYPERLINK("http://slimages.macys.com/is/image/MCY/12222536 ")</f>
        <v xml:space="preserve">http://slimages.macys.com/is/image/MCY/12222536 </v>
      </c>
    </row>
    <row r="756" spans="1:12" ht="24.75" x14ac:dyDescent="0.25">
      <c r="A756" s="4" t="s">
        <v>1822</v>
      </c>
      <c r="B756" s="2" t="s">
        <v>1823</v>
      </c>
      <c r="C756" s="3">
        <v>1</v>
      </c>
      <c r="D756" s="5">
        <v>17.989999999999998</v>
      </c>
      <c r="E756" s="3" t="s">
        <v>1824</v>
      </c>
      <c r="F756" s="2" t="s">
        <v>1322</v>
      </c>
      <c r="G756" s="6"/>
      <c r="H756" s="2" t="s">
        <v>1425</v>
      </c>
      <c r="I756" s="2" t="s">
        <v>1426</v>
      </c>
      <c r="J756" s="2" t="s">
        <v>19</v>
      </c>
      <c r="K756" s="2" t="s">
        <v>495</v>
      </c>
      <c r="L756" s="7" t="str">
        <f>HYPERLINK("http://slimages.macys.com/is/image/MCY/11831305 ")</f>
        <v xml:space="preserve">http://slimages.macys.com/is/image/MCY/11831305 </v>
      </c>
    </row>
    <row r="757" spans="1:12" ht="24.75" x14ac:dyDescent="0.25">
      <c r="A757" s="4" t="s">
        <v>1825</v>
      </c>
      <c r="B757" s="2" t="s">
        <v>1826</v>
      </c>
      <c r="C757" s="3">
        <v>1</v>
      </c>
      <c r="D757" s="5">
        <v>17.989999999999998</v>
      </c>
      <c r="E757" s="3" t="s">
        <v>1827</v>
      </c>
      <c r="F757" s="2" t="s">
        <v>15</v>
      </c>
      <c r="G757" s="6"/>
      <c r="H757" s="2" t="s">
        <v>1425</v>
      </c>
      <c r="I757" s="2" t="s">
        <v>1426</v>
      </c>
      <c r="J757" s="2" t="s">
        <v>19</v>
      </c>
      <c r="K757" s="2" t="s">
        <v>648</v>
      </c>
      <c r="L757" s="7" t="str">
        <f>HYPERLINK("http://slimages.macys.com/is/image/MCY/12327249 ")</f>
        <v xml:space="preserve">http://slimages.macys.com/is/image/MCY/12327249 </v>
      </c>
    </row>
    <row r="758" spans="1:12" ht="24.75" x14ac:dyDescent="0.25">
      <c r="A758" s="4" t="s">
        <v>1828</v>
      </c>
      <c r="B758" s="2" t="s">
        <v>1829</v>
      </c>
      <c r="C758" s="3">
        <v>1</v>
      </c>
      <c r="D758" s="5">
        <v>14.99</v>
      </c>
      <c r="E758" s="3" t="s">
        <v>1830</v>
      </c>
      <c r="F758" s="2" t="s">
        <v>331</v>
      </c>
      <c r="G758" s="6" t="s">
        <v>156</v>
      </c>
      <c r="H758" s="2" t="s">
        <v>194</v>
      </c>
      <c r="I758" s="2" t="s">
        <v>307</v>
      </c>
      <c r="J758" s="2" t="s">
        <v>19</v>
      </c>
      <c r="K758" s="2" t="s">
        <v>1831</v>
      </c>
      <c r="L758" s="7" t="str">
        <f>HYPERLINK("http://slimages.macys.com/is/image/MCY/12794114 ")</f>
        <v xml:space="preserve">http://slimages.macys.com/is/image/MCY/12794114 </v>
      </c>
    </row>
    <row r="759" spans="1:12" ht="24.75" x14ac:dyDescent="0.25">
      <c r="A759" s="4" t="s">
        <v>1832</v>
      </c>
      <c r="B759" s="2" t="s">
        <v>1833</v>
      </c>
      <c r="C759" s="3">
        <v>1</v>
      </c>
      <c r="D759" s="5">
        <v>14.99</v>
      </c>
      <c r="E759" s="3" t="s">
        <v>1834</v>
      </c>
      <c r="F759" s="2" t="s">
        <v>566</v>
      </c>
      <c r="G759" s="6" t="s">
        <v>245</v>
      </c>
      <c r="H759" s="2" t="s">
        <v>194</v>
      </c>
      <c r="I759" s="2" t="s">
        <v>307</v>
      </c>
      <c r="J759" s="2" t="s">
        <v>19</v>
      </c>
      <c r="K759" s="2" t="s">
        <v>34</v>
      </c>
      <c r="L759" s="7" t="str">
        <f>HYPERLINK("http://slimages.macys.com/is/image/MCY/11337542 ")</f>
        <v xml:space="preserve">http://slimages.macys.com/is/image/MCY/11337542 </v>
      </c>
    </row>
    <row r="760" spans="1:12" ht="24.75" x14ac:dyDescent="0.25">
      <c r="A760" s="4" t="s">
        <v>1835</v>
      </c>
      <c r="B760" s="2" t="s">
        <v>1829</v>
      </c>
      <c r="C760" s="3">
        <v>1</v>
      </c>
      <c r="D760" s="5">
        <v>14.99</v>
      </c>
      <c r="E760" s="3" t="s">
        <v>1836</v>
      </c>
      <c r="F760" s="2" t="s">
        <v>252</v>
      </c>
      <c r="G760" s="6" t="s">
        <v>245</v>
      </c>
      <c r="H760" s="2" t="s">
        <v>194</v>
      </c>
      <c r="I760" s="2" t="s">
        <v>307</v>
      </c>
      <c r="J760" s="2" t="s">
        <v>19</v>
      </c>
      <c r="K760" s="2" t="s">
        <v>34</v>
      </c>
      <c r="L760" s="7" t="str">
        <f>HYPERLINK("http://slimages.macys.com/is/image/MCY/11937942 ")</f>
        <v xml:space="preserve">http://slimages.macys.com/is/image/MCY/11937942 </v>
      </c>
    </row>
    <row r="761" spans="1:12" ht="24.75" x14ac:dyDescent="0.25">
      <c r="A761" s="4" t="s">
        <v>1837</v>
      </c>
      <c r="B761" s="2" t="s">
        <v>1833</v>
      </c>
      <c r="C761" s="3">
        <v>2</v>
      </c>
      <c r="D761" s="5">
        <v>14.99</v>
      </c>
      <c r="E761" s="3" t="s">
        <v>1838</v>
      </c>
      <c r="F761" s="2" t="s">
        <v>170</v>
      </c>
      <c r="G761" s="6" t="s">
        <v>154</v>
      </c>
      <c r="H761" s="2" t="s">
        <v>194</v>
      </c>
      <c r="I761" s="2" t="s">
        <v>307</v>
      </c>
      <c r="J761" s="2" t="s">
        <v>19</v>
      </c>
      <c r="K761" s="2" t="s">
        <v>34</v>
      </c>
      <c r="L761" s="7" t="str">
        <f>HYPERLINK("http://slimages.macys.com/is/image/MCY/11936083 ")</f>
        <v xml:space="preserve">http://slimages.macys.com/is/image/MCY/11936083 </v>
      </c>
    </row>
    <row r="762" spans="1:12" ht="24.75" x14ac:dyDescent="0.25">
      <c r="A762" s="4" t="s">
        <v>1839</v>
      </c>
      <c r="B762" s="2" t="s">
        <v>1829</v>
      </c>
      <c r="C762" s="3">
        <v>1</v>
      </c>
      <c r="D762" s="5">
        <v>14.99</v>
      </c>
      <c r="E762" s="3" t="s">
        <v>1840</v>
      </c>
      <c r="F762" s="2" t="s">
        <v>170</v>
      </c>
      <c r="G762" s="6" t="s">
        <v>245</v>
      </c>
      <c r="H762" s="2" t="s">
        <v>194</v>
      </c>
      <c r="I762" s="2" t="s">
        <v>307</v>
      </c>
      <c r="J762" s="2" t="s">
        <v>19</v>
      </c>
      <c r="K762" s="2" t="s">
        <v>1831</v>
      </c>
      <c r="L762" s="7" t="str">
        <f>HYPERLINK("http://slimages.macys.com/is/image/MCY/12794114 ")</f>
        <v xml:space="preserve">http://slimages.macys.com/is/image/MCY/12794114 </v>
      </c>
    </row>
    <row r="763" spans="1:12" ht="24.75" x14ac:dyDescent="0.25">
      <c r="A763" s="4" t="s">
        <v>1841</v>
      </c>
      <c r="B763" s="2" t="s">
        <v>1829</v>
      </c>
      <c r="C763" s="3">
        <v>1</v>
      </c>
      <c r="D763" s="5">
        <v>14.99</v>
      </c>
      <c r="E763" s="3" t="s">
        <v>1840</v>
      </c>
      <c r="F763" s="2" t="s">
        <v>170</v>
      </c>
      <c r="G763" s="6" t="s">
        <v>154</v>
      </c>
      <c r="H763" s="2" t="s">
        <v>194</v>
      </c>
      <c r="I763" s="2" t="s">
        <v>307</v>
      </c>
      <c r="J763" s="2" t="s">
        <v>19</v>
      </c>
      <c r="K763" s="2" t="s">
        <v>1831</v>
      </c>
      <c r="L763" s="7" t="str">
        <f>HYPERLINK("http://slimages.macys.com/is/image/MCY/12794114 ")</f>
        <v xml:space="preserve">http://slimages.macys.com/is/image/MCY/12794114 </v>
      </c>
    </row>
    <row r="764" spans="1:12" ht="24.75" x14ac:dyDescent="0.25">
      <c r="A764" s="4" t="s">
        <v>1842</v>
      </c>
      <c r="B764" s="2" t="s">
        <v>1833</v>
      </c>
      <c r="C764" s="3">
        <v>2</v>
      </c>
      <c r="D764" s="5">
        <v>14.99</v>
      </c>
      <c r="E764" s="3" t="s">
        <v>1843</v>
      </c>
      <c r="F764" s="2" t="s">
        <v>89</v>
      </c>
      <c r="G764" s="6" t="s">
        <v>234</v>
      </c>
      <c r="H764" s="2" t="s">
        <v>194</v>
      </c>
      <c r="I764" s="2" t="s">
        <v>307</v>
      </c>
      <c r="J764" s="2" t="s">
        <v>19</v>
      </c>
      <c r="K764" s="2" t="s">
        <v>34</v>
      </c>
      <c r="L764" s="7" t="str">
        <f>HYPERLINK("http://slimages.macys.com/is/image/MCY/11937964 ")</f>
        <v xml:space="preserve">http://slimages.macys.com/is/image/MCY/11937964 </v>
      </c>
    </row>
    <row r="765" spans="1:12" ht="24.75" x14ac:dyDescent="0.25">
      <c r="A765" s="4" t="s">
        <v>1844</v>
      </c>
      <c r="B765" s="2" t="s">
        <v>1833</v>
      </c>
      <c r="C765" s="3">
        <v>4</v>
      </c>
      <c r="D765" s="5">
        <v>14.99</v>
      </c>
      <c r="E765" s="3" t="s">
        <v>1843</v>
      </c>
      <c r="F765" s="2" t="s">
        <v>89</v>
      </c>
      <c r="G765" s="6" t="s">
        <v>154</v>
      </c>
      <c r="H765" s="2" t="s">
        <v>194</v>
      </c>
      <c r="I765" s="2" t="s">
        <v>307</v>
      </c>
      <c r="J765" s="2" t="s">
        <v>19</v>
      </c>
      <c r="K765" s="2" t="s">
        <v>34</v>
      </c>
      <c r="L765" s="7" t="str">
        <f>HYPERLINK("http://slimages.macys.com/is/image/MCY/11937964 ")</f>
        <v xml:space="preserve">http://slimages.macys.com/is/image/MCY/11937964 </v>
      </c>
    </row>
    <row r="766" spans="1:12" ht="24.75" x14ac:dyDescent="0.25">
      <c r="A766" s="4" t="s">
        <v>1845</v>
      </c>
      <c r="B766" s="2" t="s">
        <v>1833</v>
      </c>
      <c r="C766" s="3">
        <v>3</v>
      </c>
      <c r="D766" s="5">
        <v>14.99</v>
      </c>
      <c r="E766" s="3" t="s">
        <v>1843</v>
      </c>
      <c r="F766" s="2" t="s">
        <v>89</v>
      </c>
      <c r="G766" s="6" t="s">
        <v>156</v>
      </c>
      <c r="H766" s="2" t="s">
        <v>194</v>
      </c>
      <c r="I766" s="2" t="s">
        <v>307</v>
      </c>
      <c r="J766" s="2" t="s">
        <v>19</v>
      </c>
      <c r="K766" s="2" t="s">
        <v>34</v>
      </c>
      <c r="L766" s="7" t="str">
        <f>HYPERLINK("http://slimages.macys.com/is/image/MCY/11937964 ")</f>
        <v xml:space="preserve">http://slimages.macys.com/is/image/MCY/11937964 </v>
      </c>
    </row>
    <row r="767" spans="1:12" ht="24.75" x14ac:dyDescent="0.25">
      <c r="A767" s="4" t="s">
        <v>1846</v>
      </c>
      <c r="B767" s="2" t="s">
        <v>1833</v>
      </c>
      <c r="C767" s="3">
        <v>2</v>
      </c>
      <c r="D767" s="5">
        <v>14.99</v>
      </c>
      <c r="E767" s="3" t="s">
        <v>1843</v>
      </c>
      <c r="F767" s="2" t="s">
        <v>89</v>
      </c>
      <c r="G767" s="6" t="s">
        <v>181</v>
      </c>
      <c r="H767" s="2" t="s">
        <v>194</v>
      </c>
      <c r="I767" s="2" t="s">
        <v>307</v>
      </c>
      <c r="J767" s="2" t="s">
        <v>19</v>
      </c>
      <c r="K767" s="2" t="s">
        <v>34</v>
      </c>
      <c r="L767" s="7" t="str">
        <f>HYPERLINK("http://slimages.macys.com/is/image/MCY/11937964 ")</f>
        <v xml:space="preserve">http://slimages.macys.com/is/image/MCY/11937964 </v>
      </c>
    </row>
    <row r="768" spans="1:12" ht="24.75" x14ac:dyDescent="0.25">
      <c r="A768" s="4" t="s">
        <v>1847</v>
      </c>
      <c r="B768" s="2" t="s">
        <v>1829</v>
      </c>
      <c r="C768" s="3">
        <v>1</v>
      </c>
      <c r="D768" s="5">
        <v>14.99</v>
      </c>
      <c r="E768" s="3" t="s">
        <v>1830</v>
      </c>
      <c r="F768" s="2" t="s">
        <v>331</v>
      </c>
      <c r="G768" s="6" t="s">
        <v>154</v>
      </c>
      <c r="H768" s="2" t="s">
        <v>194</v>
      </c>
      <c r="I768" s="2" t="s">
        <v>307</v>
      </c>
      <c r="J768" s="2" t="s">
        <v>19</v>
      </c>
      <c r="K768" s="2" t="s">
        <v>1831</v>
      </c>
      <c r="L768" s="7" t="str">
        <f>HYPERLINK("http://slimages.macys.com/is/image/MCY/12794114 ")</f>
        <v xml:space="preserve">http://slimages.macys.com/is/image/MCY/12794114 </v>
      </c>
    </row>
    <row r="769" spans="1:12" ht="24.75" x14ac:dyDescent="0.25">
      <c r="A769" s="4" t="s">
        <v>1848</v>
      </c>
      <c r="B769" s="2" t="s">
        <v>1829</v>
      </c>
      <c r="C769" s="3">
        <v>2</v>
      </c>
      <c r="D769" s="5">
        <v>14.99</v>
      </c>
      <c r="E769" s="3" t="s">
        <v>1836</v>
      </c>
      <c r="F769" s="2" t="s">
        <v>252</v>
      </c>
      <c r="G769" s="6" t="s">
        <v>156</v>
      </c>
      <c r="H769" s="2" t="s">
        <v>194</v>
      </c>
      <c r="I769" s="2" t="s">
        <v>307</v>
      </c>
      <c r="J769" s="2" t="s">
        <v>19</v>
      </c>
      <c r="K769" s="2" t="s">
        <v>34</v>
      </c>
      <c r="L769" s="7" t="str">
        <f>HYPERLINK("http://slimages.macys.com/is/image/MCY/11937942 ")</f>
        <v xml:space="preserve">http://slimages.macys.com/is/image/MCY/11937942 </v>
      </c>
    </row>
    <row r="770" spans="1:12" ht="24.75" x14ac:dyDescent="0.25">
      <c r="A770" s="4" t="s">
        <v>1849</v>
      </c>
      <c r="B770" s="2" t="s">
        <v>1850</v>
      </c>
      <c r="C770" s="3">
        <v>1</v>
      </c>
      <c r="D770" s="5">
        <v>22.13</v>
      </c>
      <c r="E770" s="3" t="s">
        <v>1851</v>
      </c>
      <c r="F770" s="2" t="s">
        <v>1322</v>
      </c>
      <c r="G770" s="6" t="s">
        <v>154</v>
      </c>
      <c r="H770" s="2" t="s">
        <v>194</v>
      </c>
      <c r="I770" s="2" t="s">
        <v>195</v>
      </c>
      <c r="J770" s="2" t="s">
        <v>19</v>
      </c>
      <c r="K770" s="2" t="s">
        <v>1108</v>
      </c>
      <c r="L770" s="7" t="str">
        <f>HYPERLINK("http://slimages.macys.com/is/image/MCY/15709119 ")</f>
        <v xml:space="preserve">http://slimages.macys.com/is/image/MCY/15709119 </v>
      </c>
    </row>
    <row r="771" spans="1:12" ht="24.75" x14ac:dyDescent="0.25">
      <c r="A771" s="4" t="s">
        <v>1852</v>
      </c>
      <c r="B771" s="2" t="s">
        <v>1853</v>
      </c>
      <c r="C771" s="3">
        <v>1</v>
      </c>
      <c r="D771" s="5">
        <v>17.989999999999998</v>
      </c>
      <c r="E771" s="3" t="s">
        <v>1854</v>
      </c>
      <c r="F771" s="2" t="s">
        <v>26</v>
      </c>
      <c r="G771" s="6"/>
      <c r="H771" s="2" t="s">
        <v>1425</v>
      </c>
      <c r="I771" s="2" t="s">
        <v>1469</v>
      </c>
      <c r="J771" s="2" t="s">
        <v>19</v>
      </c>
      <c r="K771" s="2" t="s">
        <v>353</v>
      </c>
      <c r="L771" s="7" t="str">
        <f>HYPERLINK("http://slimages.macys.com/is/image/MCY/2880260 ")</f>
        <v xml:space="preserve">http://slimages.macys.com/is/image/MCY/2880260 </v>
      </c>
    </row>
    <row r="772" spans="1:12" ht="24.75" x14ac:dyDescent="0.25">
      <c r="A772" s="4" t="s">
        <v>1855</v>
      </c>
      <c r="B772" s="2" t="s">
        <v>1856</v>
      </c>
      <c r="C772" s="3">
        <v>1</v>
      </c>
      <c r="D772" s="5">
        <v>17.989999999999998</v>
      </c>
      <c r="E772" s="3" t="s">
        <v>1857</v>
      </c>
      <c r="F772" s="2" t="s">
        <v>70</v>
      </c>
      <c r="G772" s="6"/>
      <c r="H772" s="2" t="s">
        <v>1425</v>
      </c>
      <c r="I772" s="2" t="s">
        <v>1469</v>
      </c>
      <c r="J772" s="2" t="s">
        <v>19</v>
      </c>
      <c r="K772" s="2" t="s">
        <v>353</v>
      </c>
      <c r="L772" s="7" t="str">
        <f>HYPERLINK("http://slimages.macys.com/is/image/MCY/3951544 ")</f>
        <v xml:space="preserve">http://slimages.macys.com/is/image/MCY/3951544 </v>
      </c>
    </row>
    <row r="773" spans="1:12" ht="24.75" x14ac:dyDescent="0.25">
      <c r="A773" s="4" t="s">
        <v>1858</v>
      </c>
      <c r="B773" s="2" t="s">
        <v>1859</v>
      </c>
      <c r="C773" s="3">
        <v>1</v>
      </c>
      <c r="D773" s="5">
        <v>20.99</v>
      </c>
      <c r="E773" s="3" t="s">
        <v>1860</v>
      </c>
      <c r="F773" s="2" t="s">
        <v>74</v>
      </c>
      <c r="G773" s="6" t="s">
        <v>156</v>
      </c>
      <c r="H773" s="2" t="s">
        <v>1473</v>
      </c>
      <c r="I773" s="2" t="s">
        <v>1426</v>
      </c>
      <c r="J773" s="2" t="s">
        <v>19</v>
      </c>
      <c r="K773" s="2" t="s">
        <v>803</v>
      </c>
      <c r="L773" s="7" t="str">
        <f>HYPERLINK("http://slimages.macys.com/is/image/MCY/12144754 ")</f>
        <v xml:space="preserve">http://slimages.macys.com/is/image/MCY/12144754 </v>
      </c>
    </row>
    <row r="774" spans="1:12" ht="24.75" x14ac:dyDescent="0.25">
      <c r="A774" s="4" t="s">
        <v>1861</v>
      </c>
      <c r="B774" s="2" t="s">
        <v>1862</v>
      </c>
      <c r="C774" s="3">
        <v>1</v>
      </c>
      <c r="D774" s="5">
        <v>20.99</v>
      </c>
      <c r="E774" s="3" t="s">
        <v>1863</v>
      </c>
      <c r="F774" s="2" t="s">
        <v>15</v>
      </c>
      <c r="G774" s="6"/>
      <c r="H774" s="2" t="s">
        <v>1425</v>
      </c>
      <c r="I774" s="2" t="s">
        <v>1864</v>
      </c>
      <c r="J774" s="2" t="s">
        <v>19</v>
      </c>
      <c r="K774" s="2" t="s">
        <v>648</v>
      </c>
      <c r="L774" s="7" t="str">
        <f>HYPERLINK("http://slimages.macys.com/is/image/MCY/12267103 ")</f>
        <v xml:space="preserve">http://slimages.macys.com/is/image/MCY/12267103 </v>
      </c>
    </row>
    <row r="775" spans="1:12" ht="24.75" x14ac:dyDescent="0.25">
      <c r="A775" s="4" t="s">
        <v>1865</v>
      </c>
      <c r="B775" s="2" t="s">
        <v>1862</v>
      </c>
      <c r="C775" s="3">
        <v>1</v>
      </c>
      <c r="D775" s="5">
        <v>20.99</v>
      </c>
      <c r="E775" s="3" t="s">
        <v>1863</v>
      </c>
      <c r="F775" s="2" t="s">
        <v>998</v>
      </c>
      <c r="G775" s="6"/>
      <c r="H775" s="2" t="s">
        <v>1425</v>
      </c>
      <c r="I775" s="2" t="s">
        <v>1864</v>
      </c>
      <c r="J775" s="2" t="s">
        <v>19</v>
      </c>
      <c r="K775" s="2" t="s">
        <v>648</v>
      </c>
      <c r="L775" s="7" t="str">
        <f>HYPERLINK("http://slimages.macys.com/is/image/MCY/12267103 ")</f>
        <v xml:space="preserve">http://slimages.macys.com/is/image/MCY/12267103 </v>
      </c>
    </row>
    <row r="776" spans="1:12" ht="24.75" x14ac:dyDescent="0.25">
      <c r="A776" s="4" t="s">
        <v>1866</v>
      </c>
      <c r="B776" s="2" t="s">
        <v>1862</v>
      </c>
      <c r="C776" s="3">
        <v>1</v>
      </c>
      <c r="D776" s="5">
        <v>20.99</v>
      </c>
      <c r="E776" s="3" t="s">
        <v>1863</v>
      </c>
      <c r="F776" s="2" t="s">
        <v>74</v>
      </c>
      <c r="G776" s="6"/>
      <c r="H776" s="2" t="s">
        <v>1425</v>
      </c>
      <c r="I776" s="2" t="s">
        <v>1864</v>
      </c>
      <c r="J776" s="2" t="s">
        <v>19</v>
      </c>
      <c r="K776" s="2" t="s">
        <v>648</v>
      </c>
      <c r="L776" s="7" t="str">
        <f>HYPERLINK("http://slimages.macys.com/is/image/MCY/12267103 ")</f>
        <v xml:space="preserve">http://slimages.macys.com/is/image/MCY/12267103 </v>
      </c>
    </row>
    <row r="777" spans="1:12" ht="24.75" x14ac:dyDescent="0.25">
      <c r="A777" s="4" t="s">
        <v>1867</v>
      </c>
      <c r="B777" s="2" t="s">
        <v>1862</v>
      </c>
      <c r="C777" s="3">
        <v>1</v>
      </c>
      <c r="D777" s="5">
        <v>20.99</v>
      </c>
      <c r="E777" s="3" t="s">
        <v>1868</v>
      </c>
      <c r="F777" s="2" t="s">
        <v>998</v>
      </c>
      <c r="G777" s="6" t="s">
        <v>245</v>
      </c>
      <c r="H777" s="2" t="s">
        <v>1473</v>
      </c>
      <c r="I777" s="2" t="s">
        <v>1864</v>
      </c>
      <c r="J777" s="2" t="s">
        <v>19</v>
      </c>
      <c r="K777" s="2" t="s">
        <v>648</v>
      </c>
      <c r="L777" s="7" t="str">
        <f>HYPERLINK("http://slimages.macys.com/is/image/MCY/12267099 ")</f>
        <v xml:space="preserve">http://slimages.macys.com/is/image/MCY/12267099 </v>
      </c>
    </row>
    <row r="778" spans="1:12" ht="24.75" x14ac:dyDescent="0.25">
      <c r="A778" s="4" t="s">
        <v>1869</v>
      </c>
      <c r="B778" s="2" t="s">
        <v>1862</v>
      </c>
      <c r="C778" s="3">
        <v>1</v>
      </c>
      <c r="D778" s="5">
        <v>20.99</v>
      </c>
      <c r="E778" s="3" t="s">
        <v>1868</v>
      </c>
      <c r="F778" s="2" t="s">
        <v>15</v>
      </c>
      <c r="G778" s="6" t="s">
        <v>154</v>
      </c>
      <c r="H778" s="2" t="s">
        <v>1473</v>
      </c>
      <c r="I778" s="2" t="s">
        <v>1864</v>
      </c>
      <c r="J778" s="2" t="s">
        <v>19</v>
      </c>
      <c r="K778" s="2" t="s">
        <v>648</v>
      </c>
      <c r="L778" s="7" t="str">
        <f>HYPERLINK("http://slimages.macys.com/is/image/MCY/12267099 ")</f>
        <v xml:space="preserve">http://slimages.macys.com/is/image/MCY/12267099 </v>
      </c>
    </row>
    <row r="779" spans="1:12" ht="24.75" x14ac:dyDescent="0.25">
      <c r="A779" s="4" t="s">
        <v>1870</v>
      </c>
      <c r="B779" s="2" t="s">
        <v>1862</v>
      </c>
      <c r="C779" s="3">
        <v>1</v>
      </c>
      <c r="D779" s="5">
        <v>20.99</v>
      </c>
      <c r="E779" s="3" t="s">
        <v>1868</v>
      </c>
      <c r="F779" s="2" t="s">
        <v>15</v>
      </c>
      <c r="G779" s="6" t="s">
        <v>156</v>
      </c>
      <c r="H779" s="2" t="s">
        <v>1473</v>
      </c>
      <c r="I779" s="2" t="s">
        <v>1864</v>
      </c>
      <c r="J779" s="2" t="s">
        <v>19</v>
      </c>
      <c r="K779" s="2" t="s">
        <v>648</v>
      </c>
      <c r="L779" s="7" t="str">
        <f>HYPERLINK("http://slimages.macys.com/is/image/MCY/12267099 ")</f>
        <v xml:space="preserve">http://slimages.macys.com/is/image/MCY/12267099 </v>
      </c>
    </row>
    <row r="780" spans="1:12" ht="24.75" x14ac:dyDescent="0.25">
      <c r="A780" s="4" t="s">
        <v>1871</v>
      </c>
      <c r="B780" s="2" t="s">
        <v>1862</v>
      </c>
      <c r="C780" s="3">
        <v>1</v>
      </c>
      <c r="D780" s="5">
        <v>20.99</v>
      </c>
      <c r="E780" s="3" t="s">
        <v>1868</v>
      </c>
      <c r="F780" s="2" t="s">
        <v>70</v>
      </c>
      <c r="G780" s="6" t="s">
        <v>156</v>
      </c>
      <c r="H780" s="2" t="s">
        <v>1473</v>
      </c>
      <c r="I780" s="2" t="s">
        <v>1864</v>
      </c>
      <c r="J780" s="2" t="s">
        <v>19</v>
      </c>
      <c r="K780" s="2" t="s">
        <v>648</v>
      </c>
      <c r="L780" s="7" t="str">
        <f>HYPERLINK("http://slimages.macys.com/is/image/MCY/12267099 ")</f>
        <v xml:space="preserve">http://slimages.macys.com/is/image/MCY/12267099 </v>
      </c>
    </row>
    <row r="781" spans="1:12" ht="24.75" x14ac:dyDescent="0.25">
      <c r="A781" s="4" t="s">
        <v>1872</v>
      </c>
      <c r="B781" s="2" t="s">
        <v>1873</v>
      </c>
      <c r="C781" s="3">
        <v>1</v>
      </c>
      <c r="D781" s="5">
        <v>17.989999999999998</v>
      </c>
      <c r="E781" s="3" t="s">
        <v>1874</v>
      </c>
      <c r="F781" s="2" t="s">
        <v>33</v>
      </c>
      <c r="G781" s="6"/>
      <c r="H781" s="2" t="s">
        <v>1425</v>
      </c>
      <c r="I781" s="2" t="s">
        <v>1469</v>
      </c>
      <c r="J781" s="2" t="s">
        <v>19</v>
      </c>
      <c r="K781" s="2" t="s">
        <v>495</v>
      </c>
      <c r="L781" s="7" t="str">
        <f>HYPERLINK("http://slimages.macys.com/is/image/MCY/11690386 ")</f>
        <v xml:space="preserve">http://slimages.macys.com/is/image/MCY/11690386 </v>
      </c>
    </row>
    <row r="782" spans="1:12" ht="24.75" x14ac:dyDescent="0.25">
      <c r="A782" s="4" t="s">
        <v>1875</v>
      </c>
      <c r="B782" s="2" t="s">
        <v>1876</v>
      </c>
      <c r="C782" s="3">
        <v>1</v>
      </c>
      <c r="D782" s="5">
        <v>17.989999999999998</v>
      </c>
      <c r="E782" s="3" t="s">
        <v>1877</v>
      </c>
      <c r="F782" s="2" t="s">
        <v>94</v>
      </c>
      <c r="G782" s="6" t="s">
        <v>234</v>
      </c>
      <c r="H782" s="2" t="s">
        <v>1473</v>
      </c>
      <c r="I782" s="2" t="s">
        <v>1426</v>
      </c>
      <c r="J782" s="2" t="s">
        <v>19</v>
      </c>
      <c r="K782" s="2" t="s">
        <v>495</v>
      </c>
      <c r="L782" s="7" t="str">
        <f>HYPERLINK("http://slimages.macys.com/is/image/MCY/12672802 ")</f>
        <v xml:space="preserve">http://slimages.macys.com/is/image/MCY/12672802 </v>
      </c>
    </row>
    <row r="783" spans="1:12" ht="24.75" x14ac:dyDescent="0.25">
      <c r="A783" s="4" t="s">
        <v>1878</v>
      </c>
      <c r="B783" s="2" t="s">
        <v>1879</v>
      </c>
      <c r="C783" s="3">
        <v>1</v>
      </c>
      <c r="D783" s="5">
        <v>17.989999999999998</v>
      </c>
      <c r="E783" s="3" t="s">
        <v>1880</v>
      </c>
      <c r="F783" s="2" t="s">
        <v>752</v>
      </c>
      <c r="G783" s="6" t="s">
        <v>181</v>
      </c>
      <c r="H783" s="2" t="s">
        <v>194</v>
      </c>
      <c r="I783" s="2" t="s">
        <v>195</v>
      </c>
      <c r="J783" s="2" t="s">
        <v>19</v>
      </c>
      <c r="K783" s="2" t="s">
        <v>648</v>
      </c>
      <c r="L783" s="7" t="str">
        <f t="shared" ref="L783:L789" si="10">HYPERLINK("http://slimages.macys.com/is/image/MCY/10482866 ")</f>
        <v xml:space="preserve">http://slimages.macys.com/is/image/MCY/10482866 </v>
      </c>
    </row>
    <row r="784" spans="1:12" ht="24.75" x14ac:dyDescent="0.25">
      <c r="A784" s="4" t="s">
        <v>1881</v>
      </c>
      <c r="B784" s="2" t="s">
        <v>1879</v>
      </c>
      <c r="C784" s="3">
        <v>1</v>
      </c>
      <c r="D784" s="5">
        <v>17.989999999999998</v>
      </c>
      <c r="E784" s="3" t="s">
        <v>1882</v>
      </c>
      <c r="F784" s="2" t="s">
        <v>111</v>
      </c>
      <c r="G784" s="6" t="s">
        <v>154</v>
      </c>
      <c r="H784" s="2" t="s">
        <v>194</v>
      </c>
      <c r="I784" s="2" t="s">
        <v>195</v>
      </c>
      <c r="J784" s="2" t="s">
        <v>19</v>
      </c>
      <c r="K784" s="2" t="s">
        <v>648</v>
      </c>
      <c r="L784" s="7" t="str">
        <f t="shared" si="10"/>
        <v xml:space="preserve">http://slimages.macys.com/is/image/MCY/10482866 </v>
      </c>
    </row>
    <row r="785" spans="1:12" ht="24.75" x14ac:dyDescent="0.25">
      <c r="A785" s="4" t="s">
        <v>1883</v>
      </c>
      <c r="B785" s="2" t="s">
        <v>1879</v>
      </c>
      <c r="C785" s="3">
        <v>1</v>
      </c>
      <c r="D785" s="5">
        <v>17.989999999999998</v>
      </c>
      <c r="E785" s="3" t="s">
        <v>1880</v>
      </c>
      <c r="F785" s="2" t="s">
        <v>752</v>
      </c>
      <c r="G785" s="6" t="s">
        <v>245</v>
      </c>
      <c r="H785" s="2" t="s">
        <v>194</v>
      </c>
      <c r="I785" s="2" t="s">
        <v>195</v>
      </c>
      <c r="J785" s="2" t="s">
        <v>19</v>
      </c>
      <c r="K785" s="2" t="s">
        <v>648</v>
      </c>
      <c r="L785" s="7" t="str">
        <f t="shared" si="10"/>
        <v xml:space="preserve">http://slimages.macys.com/is/image/MCY/10482866 </v>
      </c>
    </row>
    <row r="786" spans="1:12" ht="24.75" x14ac:dyDescent="0.25">
      <c r="A786" s="4" t="s">
        <v>1884</v>
      </c>
      <c r="B786" s="2" t="s">
        <v>1879</v>
      </c>
      <c r="C786" s="3">
        <v>1</v>
      </c>
      <c r="D786" s="5">
        <v>17.989999999999998</v>
      </c>
      <c r="E786" s="3" t="s">
        <v>1885</v>
      </c>
      <c r="F786" s="2" t="s">
        <v>1322</v>
      </c>
      <c r="G786" s="6" t="s">
        <v>181</v>
      </c>
      <c r="H786" s="2" t="s">
        <v>194</v>
      </c>
      <c r="I786" s="2" t="s">
        <v>195</v>
      </c>
      <c r="J786" s="2" t="s">
        <v>19</v>
      </c>
      <c r="K786" s="2" t="s">
        <v>648</v>
      </c>
      <c r="L786" s="7" t="str">
        <f t="shared" si="10"/>
        <v xml:space="preserve">http://slimages.macys.com/is/image/MCY/10482866 </v>
      </c>
    </row>
    <row r="787" spans="1:12" ht="24.75" x14ac:dyDescent="0.25">
      <c r="A787" s="4" t="s">
        <v>1886</v>
      </c>
      <c r="B787" s="2" t="s">
        <v>1879</v>
      </c>
      <c r="C787" s="3">
        <v>1</v>
      </c>
      <c r="D787" s="5">
        <v>17.989999999999998</v>
      </c>
      <c r="E787" s="3" t="s">
        <v>1882</v>
      </c>
      <c r="F787" s="2" t="s">
        <v>111</v>
      </c>
      <c r="G787" s="6" t="s">
        <v>156</v>
      </c>
      <c r="H787" s="2" t="s">
        <v>194</v>
      </c>
      <c r="I787" s="2" t="s">
        <v>195</v>
      </c>
      <c r="J787" s="2" t="s">
        <v>19</v>
      </c>
      <c r="K787" s="2" t="s">
        <v>648</v>
      </c>
      <c r="L787" s="7" t="str">
        <f t="shared" si="10"/>
        <v xml:space="preserve">http://slimages.macys.com/is/image/MCY/10482866 </v>
      </c>
    </row>
    <row r="788" spans="1:12" ht="24.75" x14ac:dyDescent="0.25">
      <c r="A788" s="4" t="s">
        <v>1887</v>
      </c>
      <c r="B788" s="2" t="s">
        <v>1888</v>
      </c>
      <c r="C788" s="3">
        <v>1</v>
      </c>
      <c r="D788" s="5">
        <v>17.989999999999998</v>
      </c>
      <c r="E788" s="3" t="s">
        <v>1889</v>
      </c>
      <c r="F788" s="2" t="s">
        <v>998</v>
      </c>
      <c r="G788" s="6" t="s">
        <v>156</v>
      </c>
      <c r="H788" s="2" t="s">
        <v>194</v>
      </c>
      <c r="I788" s="2" t="s">
        <v>195</v>
      </c>
      <c r="J788" s="2" t="s">
        <v>19</v>
      </c>
      <c r="K788" s="2" t="s">
        <v>648</v>
      </c>
      <c r="L788" s="7" t="str">
        <f t="shared" si="10"/>
        <v xml:space="preserve">http://slimages.macys.com/is/image/MCY/10482866 </v>
      </c>
    </row>
    <row r="789" spans="1:12" ht="24.75" x14ac:dyDescent="0.25">
      <c r="A789" s="4" t="s">
        <v>1890</v>
      </c>
      <c r="B789" s="2" t="s">
        <v>1879</v>
      </c>
      <c r="C789" s="3">
        <v>1</v>
      </c>
      <c r="D789" s="5">
        <v>17.989999999999998</v>
      </c>
      <c r="E789" s="3" t="s">
        <v>1882</v>
      </c>
      <c r="F789" s="2" t="s">
        <v>111</v>
      </c>
      <c r="G789" s="6" t="s">
        <v>245</v>
      </c>
      <c r="H789" s="2" t="s">
        <v>194</v>
      </c>
      <c r="I789" s="2" t="s">
        <v>195</v>
      </c>
      <c r="J789" s="2" t="s">
        <v>19</v>
      </c>
      <c r="K789" s="2" t="s">
        <v>648</v>
      </c>
      <c r="L789" s="7" t="str">
        <f t="shared" si="10"/>
        <v xml:space="preserve">http://slimages.macys.com/is/image/MCY/10482866 </v>
      </c>
    </row>
    <row r="790" spans="1:12" ht="24.75" x14ac:dyDescent="0.25">
      <c r="A790" s="4" t="s">
        <v>1891</v>
      </c>
      <c r="B790" s="2" t="s">
        <v>1892</v>
      </c>
      <c r="C790" s="3">
        <v>1</v>
      </c>
      <c r="D790" s="5">
        <v>20.99</v>
      </c>
      <c r="E790" s="3" t="s">
        <v>1893</v>
      </c>
      <c r="F790" s="2" t="s">
        <v>15</v>
      </c>
      <c r="G790" s="6"/>
      <c r="H790" s="2" t="s">
        <v>1425</v>
      </c>
      <c r="I790" s="2" t="s">
        <v>1864</v>
      </c>
      <c r="J790" s="2" t="s">
        <v>19</v>
      </c>
      <c r="K790" s="2" t="s">
        <v>1894</v>
      </c>
      <c r="L790" s="7" t="str">
        <f>HYPERLINK("http://slimages.macys.com/is/image/MCY/11689288 ")</f>
        <v xml:space="preserve">http://slimages.macys.com/is/image/MCY/11689288 </v>
      </c>
    </row>
    <row r="791" spans="1:12" ht="24.75" x14ac:dyDescent="0.25">
      <c r="A791" s="4" t="s">
        <v>1895</v>
      </c>
      <c r="B791" s="2" t="s">
        <v>1896</v>
      </c>
      <c r="C791" s="3">
        <v>1</v>
      </c>
      <c r="D791" s="5">
        <v>20.99</v>
      </c>
      <c r="E791" s="3" t="s">
        <v>1897</v>
      </c>
      <c r="F791" s="2" t="s">
        <v>70</v>
      </c>
      <c r="G791" s="6"/>
      <c r="H791" s="2" t="s">
        <v>1425</v>
      </c>
      <c r="I791" s="2" t="s">
        <v>1864</v>
      </c>
      <c r="J791" s="2" t="s">
        <v>19</v>
      </c>
      <c r="K791" s="2" t="s">
        <v>648</v>
      </c>
      <c r="L791" s="7" t="str">
        <f>HYPERLINK("http://slimages.macys.com/is/image/MCY/10787699 ")</f>
        <v xml:space="preserve">http://slimages.macys.com/is/image/MCY/10787699 </v>
      </c>
    </row>
    <row r="792" spans="1:12" ht="24.75" x14ac:dyDescent="0.25">
      <c r="A792" s="4" t="s">
        <v>1898</v>
      </c>
      <c r="B792" s="2" t="s">
        <v>1896</v>
      </c>
      <c r="C792" s="3">
        <v>1</v>
      </c>
      <c r="D792" s="5">
        <v>20.99</v>
      </c>
      <c r="E792" s="3" t="s">
        <v>1899</v>
      </c>
      <c r="F792" s="2" t="s">
        <v>74</v>
      </c>
      <c r="G792" s="6" t="s">
        <v>154</v>
      </c>
      <c r="H792" s="2" t="s">
        <v>1473</v>
      </c>
      <c r="I792" s="2" t="s">
        <v>1864</v>
      </c>
      <c r="J792" s="2" t="s">
        <v>19</v>
      </c>
      <c r="K792" s="2" t="s">
        <v>648</v>
      </c>
      <c r="L792" s="7" t="str">
        <f>HYPERLINK("http://slimages.macys.com/is/image/MCY/10787705 ")</f>
        <v xml:space="preserve">http://slimages.macys.com/is/image/MCY/10787705 </v>
      </c>
    </row>
    <row r="793" spans="1:12" ht="24.75" x14ac:dyDescent="0.25">
      <c r="A793" s="4" t="s">
        <v>1900</v>
      </c>
      <c r="B793" s="2" t="s">
        <v>1892</v>
      </c>
      <c r="C793" s="3">
        <v>1</v>
      </c>
      <c r="D793" s="5">
        <v>20.99</v>
      </c>
      <c r="E793" s="3" t="s">
        <v>1901</v>
      </c>
      <c r="F793" s="2" t="s">
        <v>998</v>
      </c>
      <c r="G793" s="6" t="s">
        <v>156</v>
      </c>
      <c r="H793" s="2" t="s">
        <v>1473</v>
      </c>
      <c r="I793" s="2" t="s">
        <v>1864</v>
      </c>
      <c r="J793" s="2" t="s">
        <v>19</v>
      </c>
      <c r="K793" s="2" t="s">
        <v>648</v>
      </c>
      <c r="L793" s="7" t="str">
        <f>HYPERLINK("http://slimages.macys.com/is/image/MCY/11689284 ")</f>
        <v xml:space="preserve">http://slimages.macys.com/is/image/MCY/11689284 </v>
      </c>
    </row>
    <row r="794" spans="1:12" ht="24.75" x14ac:dyDescent="0.25">
      <c r="A794" s="4" t="s">
        <v>1902</v>
      </c>
      <c r="B794" s="2" t="s">
        <v>1896</v>
      </c>
      <c r="C794" s="3">
        <v>2</v>
      </c>
      <c r="D794" s="5">
        <v>20.99</v>
      </c>
      <c r="E794" s="3" t="s">
        <v>1897</v>
      </c>
      <c r="F794" s="2" t="s">
        <v>15</v>
      </c>
      <c r="G794" s="6"/>
      <c r="H794" s="2" t="s">
        <v>1425</v>
      </c>
      <c r="I794" s="2" t="s">
        <v>1864</v>
      </c>
      <c r="J794" s="2" t="s">
        <v>19</v>
      </c>
      <c r="K794" s="2" t="s">
        <v>648</v>
      </c>
      <c r="L794" s="7" t="str">
        <f>HYPERLINK("http://slimages.macys.com/is/image/MCY/10787699 ")</f>
        <v xml:space="preserve">http://slimages.macys.com/is/image/MCY/10787699 </v>
      </c>
    </row>
    <row r="795" spans="1:12" ht="24.75" x14ac:dyDescent="0.25">
      <c r="A795" s="4" t="s">
        <v>1903</v>
      </c>
      <c r="B795" s="2" t="s">
        <v>1896</v>
      </c>
      <c r="C795" s="3">
        <v>1</v>
      </c>
      <c r="D795" s="5">
        <v>20.99</v>
      </c>
      <c r="E795" s="3" t="s">
        <v>1897</v>
      </c>
      <c r="F795" s="2" t="s">
        <v>74</v>
      </c>
      <c r="G795" s="6"/>
      <c r="H795" s="2" t="s">
        <v>1425</v>
      </c>
      <c r="I795" s="2" t="s">
        <v>1864</v>
      </c>
      <c r="J795" s="2" t="s">
        <v>19</v>
      </c>
      <c r="K795" s="2" t="s">
        <v>648</v>
      </c>
      <c r="L795" s="7" t="str">
        <f>HYPERLINK("http://slimages.macys.com/is/image/MCY/10787699 ")</f>
        <v xml:space="preserve">http://slimages.macys.com/is/image/MCY/10787699 </v>
      </c>
    </row>
    <row r="796" spans="1:12" ht="24.75" x14ac:dyDescent="0.25">
      <c r="A796" s="4" t="s">
        <v>1904</v>
      </c>
      <c r="B796" s="2" t="s">
        <v>1892</v>
      </c>
      <c r="C796" s="3">
        <v>2</v>
      </c>
      <c r="D796" s="5">
        <v>20.99</v>
      </c>
      <c r="E796" s="3" t="s">
        <v>1893</v>
      </c>
      <c r="F796" s="2" t="s">
        <v>15</v>
      </c>
      <c r="G796" s="6"/>
      <c r="H796" s="2" t="s">
        <v>1425</v>
      </c>
      <c r="I796" s="2" t="s">
        <v>1864</v>
      </c>
      <c r="J796" s="2" t="s">
        <v>19</v>
      </c>
      <c r="K796" s="2" t="s">
        <v>1894</v>
      </c>
      <c r="L796" s="7" t="str">
        <f>HYPERLINK("http://slimages.macys.com/is/image/MCY/11689288 ")</f>
        <v xml:space="preserve">http://slimages.macys.com/is/image/MCY/11689288 </v>
      </c>
    </row>
    <row r="797" spans="1:12" ht="24.75" x14ac:dyDescent="0.25">
      <c r="A797" s="4" t="s">
        <v>1905</v>
      </c>
      <c r="B797" s="2" t="s">
        <v>1892</v>
      </c>
      <c r="C797" s="3">
        <v>1</v>
      </c>
      <c r="D797" s="5">
        <v>20.99</v>
      </c>
      <c r="E797" s="3" t="s">
        <v>1901</v>
      </c>
      <c r="F797" s="2" t="s">
        <v>1788</v>
      </c>
      <c r="G797" s="6" t="s">
        <v>156</v>
      </c>
      <c r="H797" s="2" t="s">
        <v>1473</v>
      </c>
      <c r="I797" s="2" t="s">
        <v>1864</v>
      </c>
      <c r="J797" s="2" t="s">
        <v>19</v>
      </c>
      <c r="K797" s="2" t="s">
        <v>648</v>
      </c>
      <c r="L797" s="7" t="str">
        <f>HYPERLINK("http://slimages.macys.com/is/image/MCY/11689284 ")</f>
        <v xml:space="preserve">http://slimages.macys.com/is/image/MCY/11689284 </v>
      </c>
    </row>
    <row r="798" spans="1:12" ht="24.75" x14ac:dyDescent="0.25">
      <c r="A798" s="4" t="s">
        <v>1906</v>
      </c>
      <c r="B798" s="2" t="s">
        <v>1896</v>
      </c>
      <c r="C798" s="3">
        <v>2</v>
      </c>
      <c r="D798" s="5">
        <v>20.99</v>
      </c>
      <c r="E798" s="3" t="s">
        <v>1899</v>
      </c>
      <c r="F798" s="2" t="s">
        <v>998</v>
      </c>
      <c r="G798" s="6" t="s">
        <v>156</v>
      </c>
      <c r="H798" s="2" t="s">
        <v>1473</v>
      </c>
      <c r="I798" s="2" t="s">
        <v>1864</v>
      </c>
      <c r="J798" s="2" t="s">
        <v>19</v>
      </c>
      <c r="K798" s="2" t="s">
        <v>648</v>
      </c>
      <c r="L798" s="7" t="str">
        <f>HYPERLINK("http://slimages.macys.com/is/image/MCY/10787705 ")</f>
        <v xml:space="preserve">http://slimages.macys.com/is/image/MCY/10787705 </v>
      </c>
    </row>
    <row r="799" spans="1:12" ht="24.75" x14ac:dyDescent="0.25">
      <c r="A799" s="4" t="s">
        <v>1907</v>
      </c>
      <c r="B799" s="2" t="s">
        <v>1896</v>
      </c>
      <c r="C799" s="3">
        <v>1</v>
      </c>
      <c r="D799" s="5">
        <v>20.99</v>
      </c>
      <c r="E799" s="3" t="s">
        <v>1899</v>
      </c>
      <c r="F799" s="2" t="s">
        <v>1296</v>
      </c>
      <c r="G799" s="6" t="s">
        <v>181</v>
      </c>
      <c r="H799" s="2" t="s">
        <v>1473</v>
      </c>
      <c r="I799" s="2" t="s">
        <v>1864</v>
      </c>
      <c r="J799" s="2" t="s">
        <v>19</v>
      </c>
      <c r="K799" s="2" t="s">
        <v>648</v>
      </c>
      <c r="L799" s="7" t="str">
        <f>HYPERLINK("http://slimages.macys.com/is/image/MCY/10787705 ")</f>
        <v xml:space="preserve">http://slimages.macys.com/is/image/MCY/10787705 </v>
      </c>
    </row>
    <row r="800" spans="1:12" ht="24.75" x14ac:dyDescent="0.25">
      <c r="A800" s="4" t="s">
        <v>1908</v>
      </c>
      <c r="B800" s="2" t="s">
        <v>1896</v>
      </c>
      <c r="C800" s="3">
        <v>1</v>
      </c>
      <c r="D800" s="5">
        <v>20.99</v>
      </c>
      <c r="E800" s="3" t="s">
        <v>1899</v>
      </c>
      <c r="F800" s="2" t="s">
        <v>998</v>
      </c>
      <c r="G800" s="6" t="s">
        <v>245</v>
      </c>
      <c r="H800" s="2" t="s">
        <v>1473</v>
      </c>
      <c r="I800" s="2" t="s">
        <v>1864</v>
      </c>
      <c r="J800" s="2" t="s">
        <v>19</v>
      </c>
      <c r="K800" s="2" t="s">
        <v>648</v>
      </c>
      <c r="L800" s="7" t="str">
        <f>HYPERLINK("http://slimages.macys.com/is/image/MCY/10787705 ")</f>
        <v xml:space="preserve">http://slimages.macys.com/is/image/MCY/10787705 </v>
      </c>
    </row>
    <row r="801" spans="1:12" ht="24.75" x14ac:dyDescent="0.25">
      <c r="A801" s="4" t="s">
        <v>1909</v>
      </c>
      <c r="B801" s="2" t="s">
        <v>1892</v>
      </c>
      <c r="C801" s="3">
        <v>1</v>
      </c>
      <c r="D801" s="5">
        <v>20.99</v>
      </c>
      <c r="E801" s="3" t="s">
        <v>1893</v>
      </c>
      <c r="F801" s="2" t="s">
        <v>15</v>
      </c>
      <c r="G801" s="6"/>
      <c r="H801" s="2" t="s">
        <v>1425</v>
      </c>
      <c r="I801" s="2" t="s">
        <v>1864</v>
      </c>
      <c r="J801" s="2" t="s">
        <v>19</v>
      </c>
      <c r="K801" s="2" t="s">
        <v>1894</v>
      </c>
      <c r="L801" s="7" t="str">
        <f>HYPERLINK("http://slimages.macys.com/is/image/MCY/11689288 ")</f>
        <v xml:space="preserve">http://slimages.macys.com/is/image/MCY/11689288 </v>
      </c>
    </row>
    <row r="802" spans="1:12" ht="24.75" x14ac:dyDescent="0.25">
      <c r="A802" s="4" t="s">
        <v>1910</v>
      </c>
      <c r="B802" s="2" t="s">
        <v>1896</v>
      </c>
      <c r="C802" s="3">
        <v>1</v>
      </c>
      <c r="D802" s="5">
        <v>20.99</v>
      </c>
      <c r="E802" s="3" t="s">
        <v>1897</v>
      </c>
      <c r="F802" s="2" t="s">
        <v>70</v>
      </c>
      <c r="G802" s="6"/>
      <c r="H802" s="2" t="s">
        <v>1425</v>
      </c>
      <c r="I802" s="2" t="s">
        <v>1864</v>
      </c>
      <c r="J802" s="2" t="s">
        <v>19</v>
      </c>
      <c r="K802" s="2" t="s">
        <v>648</v>
      </c>
      <c r="L802" s="7" t="str">
        <f>HYPERLINK("http://slimages.macys.com/is/image/MCY/10787699 ")</f>
        <v xml:space="preserve">http://slimages.macys.com/is/image/MCY/10787699 </v>
      </c>
    </row>
    <row r="803" spans="1:12" ht="24.75" x14ac:dyDescent="0.25">
      <c r="A803" s="4" t="s">
        <v>1911</v>
      </c>
      <c r="B803" s="2" t="s">
        <v>1896</v>
      </c>
      <c r="C803" s="3">
        <v>1</v>
      </c>
      <c r="D803" s="5">
        <v>20.99</v>
      </c>
      <c r="E803" s="3" t="s">
        <v>1897</v>
      </c>
      <c r="F803" s="2" t="s">
        <v>252</v>
      </c>
      <c r="G803" s="6" t="s">
        <v>219</v>
      </c>
      <c r="H803" s="2" t="s">
        <v>1425</v>
      </c>
      <c r="I803" s="2" t="s">
        <v>1864</v>
      </c>
      <c r="J803" s="2" t="s">
        <v>19</v>
      </c>
      <c r="K803" s="2" t="s">
        <v>648</v>
      </c>
      <c r="L803" s="7" t="str">
        <f>HYPERLINK("http://slimages.macys.com/is/image/MCY/10787699 ")</f>
        <v xml:space="preserve">http://slimages.macys.com/is/image/MCY/10787699 </v>
      </c>
    </row>
    <row r="804" spans="1:12" ht="24.75" x14ac:dyDescent="0.25">
      <c r="A804" s="4" t="s">
        <v>1912</v>
      </c>
      <c r="B804" s="2" t="s">
        <v>1896</v>
      </c>
      <c r="C804" s="3">
        <v>1</v>
      </c>
      <c r="D804" s="5">
        <v>20.99</v>
      </c>
      <c r="E804" s="3" t="s">
        <v>1897</v>
      </c>
      <c r="F804" s="2" t="s">
        <v>70</v>
      </c>
      <c r="G804" s="6" t="s">
        <v>219</v>
      </c>
      <c r="H804" s="2" t="s">
        <v>1425</v>
      </c>
      <c r="I804" s="2" t="s">
        <v>1864</v>
      </c>
      <c r="J804" s="2" t="s">
        <v>19</v>
      </c>
      <c r="K804" s="2" t="s">
        <v>648</v>
      </c>
      <c r="L804" s="7" t="str">
        <f>HYPERLINK("http://slimages.macys.com/is/image/MCY/10787699 ")</f>
        <v xml:space="preserve">http://slimages.macys.com/is/image/MCY/10787699 </v>
      </c>
    </row>
    <row r="805" spans="1:12" ht="24.75" x14ac:dyDescent="0.25">
      <c r="A805" s="4" t="s">
        <v>1913</v>
      </c>
      <c r="B805" s="2" t="s">
        <v>1892</v>
      </c>
      <c r="C805" s="3">
        <v>1</v>
      </c>
      <c r="D805" s="5">
        <v>20.99</v>
      </c>
      <c r="E805" s="3" t="s">
        <v>1893</v>
      </c>
      <c r="F805" s="2" t="s">
        <v>1914</v>
      </c>
      <c r="G805" s="6" t="s">
        <v>219</v>
      </c>
      <c r="H805" s="2" t="s">
        <v>1425</v>
      </c>
      <c r="I805" s="2" t="s">
        <v>1864</v>
      </c>
      <c r="J805" s="2" t="s">
        <v>19</v>
      </c>
      <c r="K805" s="2" t="s">
        <v>1894</v>
      </c>
      <c r="L805" s="7" t="str">
        <f>HYPERLINK("http://slimages.macys.com/is/image/MCY/11689288 ")</f>
        <v xml:space="preserve">http://slimages.macys.com/is/image/MCY/11689288 </v>
      </c>
    </row>
    <row r="806" spans="1:12" ht="24.75" x14ac:dyDescent="0.25">
      <c r="A806" s="4" t="s">
        <v>1915</v>
      </c>
      <c r="B806" s="2" t="s">
        <v>1896</v>
      </c>
      <c r="C806" s="3">
        <v>1</v>
      </c>
      <c r="D806" s="5">
        <v>20.99</v>
      </c>
      <c r="E806" s="3" t="s">
        <v>1897</v>
      </c>
      <c r="F806" s="2" t="s">
        <v>15</v>
      </c>
      <c r="G806" s="6" t="s">
        <v>219</v>
      </c>
      <c r="H806" s="2" t="s">
        <v>1425</v>
      </c>
      <c r="I806" s="2" t="s">
        <v>1864</v>
      </c>
      <c r="J806" s="2" t="s">
        <v>19</v>
      </c>
      <c r="K806" s="2" t="s">
        <v>648</v>
      </c>
      <c r="L806" s="7" t="str">
        <f>HYPERLINK("http://slimages.macys.com/is/image/MCY/10787699 ")</f>
        <v xml:space="preserve">http://slimages.macys.com/is/image/MCY/10787699 </v>
      </c>
    </row>
    <row r="807" spans="1:12" ht="24.75" x14ac:dyDescent="0.25">
      <c r="A807" s="4" t="s">
        <v>1916</v>
      </c>
      <c r="B807" s="2" t="s">
        <v>1896</v>
      </c>
      <c r="C807" s="3">
        <v>1</v>
      </c>
      <c r="D807" s="5">
        <v>20.99</v>
      </c>
      <c r="E807" s="3" t="s">
        <v>1899</v>
      </c>
      <c r="F807" s="2" t="s">
        <v>15</v>
      </c>
      <c r="G807" s="6" t="s">
        <v>154</v>
      </c>
      <c r="H807" s="2" t="s">
        <v>1473</v>
      </c>
      <c r="I807" s="2" t="s">
        <v>1864</v>
      </c>
      <c r="J807" s="2" t="s">
        <v>19</v>
      </c>
      <c r="K807" s="2" t="s">
        <v>648</v>
      </c>
      <c r="L807" s="7" t="str">
        <f>HYPERLINK("http://slimages.macys.com/is/image/MCY/10787705 ")</f>
        <v xml:space="preserve">http://slimages.macys.com/is/image/MCY/10787705 </v>
      </c>
    </row>
    <row r="808" spans="1:12" ht="24.75" x14ac:dyDescent="0.25">
      <c r="A808" s="4" t="s">
        <v>1917</v>
      </c>
      <c r="B808" s="2" t="s">
        <v>1918</v>
      </c>
      <c r="C808" s="3">
        <v>1</v>
      </c>
      <c r="D808" s="5">
        <v>19.989999999999998</v>
      </c>
      <c r="E808" s="3" t="s">
        <v>1919</v>
      </c>
      <c r="F808" s="2" t="s">
        <v>85</v>
      </c>
      <c r="G808" s="6" t="s">
        <v>219</v>
      </c>
      <c r="H808" s="2" t="s">
        <v>188</v>
      </c>
      <c r="I808" s="2" t="s">
        <v>189</v>
      </c>
      <c r="J808" s="2" t="s">
        <v>19</v>
      </c>
      <c r="K808" s="2" t="s">
        <v>648</v>
      </c>
      <c r="L808" s="7" t="str">
        <f>HYPERLINK("http://slimages.macys.com/is/image/MCY/11625273 ")</f>
        <v xml:space="preserve">http://slimages.macys.com/is/image/MCY/11625273 </v>
      </c>
    </row>
    <row r="809" spans="1:12" ht="24.75" x14ac:dyDescent="0.25">
      <c r="A809" s="4" t="s">
        <v>1920</v>
      </c>
      <c r="B809" s="2" t="s">
        <v>1921</v>
      </c>
      <c r="C809" s="3">
        <v>1</v>
      </c>
      <c r="D809" s="5">
        <v>14.99</v>
      </c>
      <c r="E809" s="3">
        <v>100043899</v>
      </c>
      <c r="F809" s="2" t="s">
        <v>111</v>
      </c>
      <c r="G809" s="6" t="s">
        <v>156</v>
      </c>
      <c r="H809" s="2" t="s">
        <v>194</v>
      </c>
      <c r="I809" s="2" t="s">
        <v>1922</v>
      </c>
      <c r="J809" s="2" t="s">
        <v>19</v>
      </c>
      <c r="K809" s="2" t="s">
        <v>1108</v>
      </c>
      <c r="L809" s="7" t="str">
        <f>HYPERLINK("http://slimages.macys.com/is/image/MCY/11147951 ")</f>
        <v xml:space="preserve">http://slimages.macys.com/is/image/MCY/11147951 </v>
      </c>
    </row>
    <row r="810" spans="1:12" ht="24.75" x14ac:dyDescent="0.25">
      <c r="A810" s="4" t="s">
        <v>1923</v>
      </c>
      <c r="B810" s="2" t="s">
        <v>1924</v>
      </c>
      <c r="C810" s="3">
        <v>1</v>
      </c>
      <c r="D810" s="5">
        <v>17.989999999999998</v>
      </c>
      <c r="E810" s="3" t="s">
        <v>1925</v>
      </c>
      <c r="F810" s="2" t="s">
        <v>15</v>
      </c>
      <c r="G810" s="6"/>
      <c r="H810" s="2" t="s">
        <v>1425</v>
      </c>
      <c r="I810" s="2" t="s">
        <v>1426</v>
      </c>
      <c r="J810" s="2" t="s">
        <v>19</v>
      </c>
      <c r="K810" s="2" t="s">
        <v>648</v>
      </c>
      <c r="L810" s="7" t="str">
        <f>HYPERLINK("http://slimages.macys.com/is/image/MCY/11831262 ")</f>
        <v xml:space="preserve">http://slimages.macys.com/is/image/MCY/11831262 </v>
      </c>
    </row>
    <row r="811" spans="1:12" ht="24.75" x14ac:dyDescent="0.25">
      <c r="A811" s="4" t="s">
        <v>1926</v>
      </c>
      <c r="B811" s="2" t="s">
        <v>1927</v>
      </c>
      <c r="C811" s="3">
        <v>1</v>
      </c>
      <c r="D811" s="5">
        <v>17.989999999999998</v>
      </c>
      <c r="E811" s="3" t="s">
        <v>1928</v>
      </c>
      <c r="F811" s="2" t="s">
        <v>15</v>
      </c>
      <c r="G811" s="6" t="s">
        <v>245</v>
      </c>
      <c r="H811" s="2" t="s">
        <v>1473</v>
      </c>
      <c r="I811" s="2" t="s">
        <v>1426</v>
      </c>
      <c r="J811" s="2" t="s">
        <v>19</v>
      </c>
      <c r="K811" s="2" t="s">
        <v>803</v>
      </c>
      <c r="L811" s="7" t="str">
        <f>HYPERLINK("http://slimages.macys.com/is/image/MCY/11882200 ")</f>
        <v xml:space="preserve">http://slimages.macys.com/is/image/MCY/11882200 </v>
      </c>
    </row>
    <row r="812" spans="1:12" ht="24.75" x14ac:dyDescent="0.25">
      <c r="A812" s="4" t="s">
        <v>1929</v>
      </c>
      <c r="B812" s="2" t="s">
        <v>1927</v>
      </c>
      <c r="C812" s="3">
        <v>2</v>
      </c>
      <c r="D812" s="5">
        <v>17.989999999999998</v>
      </c>
      <c r="E812" s="3" t="s">
        <v>1928</v>
      </c>
      <c r="F812" s="2" t="s">
        <v>74</v>
      </c>
      <c r="G812" s="6" t="s">
        <v>156</v>
      </c>
      <c r="H812" s="2" t="s">
        <v>1473</v>
      </c>
      <c r="I812" s="2" t="s">
        <v>1426</v>
      </c>
      <c r="J812" s="2" t="s">
        <v>19</v>
      </c>
      <c r="K812" s="2" t="s">
        <v>803</v>
      </c>
      <c r="L812" s="7" t="str">
        <f>HYPERLINK("http://slimages.macys.com/is/image/MCY/11882200 ")</f>
        <v xml:space="preserve">http://slimages.macys.com/is/image/MCY/11882200 </v>
      </c>
    </row>
    <row r="813" spans="1:12" ht="24.75" x14ac:dyDescent="0.25">
      <c r="A813" s="4" t="s">
        <v>1930</v>
      </c>
      <c r="B813" s="2" t="s">
        <v>1927</v>
      </c>
      <c r="C813" s="3">
        <v>1</v>
      </c>
      <c r="D813" s="5">
        <v>17.989999999999998</v>
      </c>
      <c r="E813" s="3" t="s">
        <v>1928</v>
      </c>
      <c r="F813" s="2" t="s">
        <v>15</v>
      </c>
      <c r="G813" s="6" t="s">
        <v>156</v>
      </c>
      <c r="H813" s="2" t="s">
        <v>1473</v>
      </c>
      <c r="I813" s="2" t="s">
        <v>1426</v>
      </c>
      <c r="J813" s="2" t="s">
        <v>19</v>
      </c>
      <c r="K813" s="2" t="s">
        <v>803</v>
      </c>
      <c r="L813" s="7" t="str">
        <f>HYPERLINK("http://slimages.macys.com/is/image/MCY/11882200 ")</f>
        <v xml:space="preserve">http://slimages.macys.com/is/image/MCY/11882200 </v>
      </c>
    </row>
    <row r="814" spans="1:12" ht="24.75" x14ac:dyDescent="0.25">
      <c r="A814" s="4" t="s">
        <v>1931</v>
      </c>
      <c r="B814" s="2" t="s">
        <v>1932</v>
      </c>
      <c r="C814" s="3">
        <v>1</v>
      </c>
      <c r="D814" s="5">
        <v>16.989999999999998</v>
      </c>
      <c r="E814" s="3" t="s">
        <v>1933</v>
      </c>
      <c r="F814" s="2" t="s">
        <v>15</v>
      </c>
      <c r="G814" s="6" t="s">
        <v>234</v>
      </c>
      <c r="H814" s="2" t="s">
        <v>1473</v>
      </c>
      <c r="I814" s="2" t="s">
        <v>1864</v>
      </c>
      <c r="J814" s="2" t="s">
        <v>19</v>
      </c>
      <c r="K814" s="2" t="s">
        <v>648</v>
      </c>
      <c r="L814" s="7" t="str">
        <f>HYPERLINK("http://slimages.macys.com/is/image/MCY/11634794 ")</f>
        <v xml:space="preserve">http://slimages.macys.com/is/image/MCY/11634794 </v>
      </c>
    </row>
    <row r="815" spans="1:12" ht="24.75" x14ac:dyDescent="0.25">
      <c r="A815" s="4" t="s">
        <v>1934</v>
      </c>
      <c r="B815" s="2" t="s">
        <v>1932</v>
      </c>
      <c r="C815" s="3">
        <v>4</v>
      </c>
      <c r="D815" s="5">
        <v>16.989999999999998</v>
      </c>
      <c r="E815" s="3" t="s">
        <v>1933</v>
      </c>
      <c r="F815" s="2" t="s">
        <v>15</v>
      </c>
      <c r="G815" s="6" t="s">
        <v>156</v>
      </c>
      <c r="H815" s="2" t="s">
        <v>1473</v>
      </c>
      <c r="I815" s="2" t="s">
        <v>1864</v>
      </c>
      <c r="J815" s="2" t="s">
        <v>19</v>
      </c>
      <c r="K815" s="2" t="s">
        <v>648</v>
      </c>
      <c r="L815" s="7" t="str">
        <f>HYPERLINK("http://slimages.macys.com/is/image/MCY/11634794 ")</f>
        <v xml:space="preserve">http://slimages.macys.com/is/image/MCY/11634794 </v>
      </c>
    </row>
    <row r="816" spans="1:12" ht="24.75" x14ac:dyDescent="0.25">
      <c r="A816" s="4" t="s">
        <v>1935</v>
      </c>
      <c r="B816" s="2" t="s">
        <v>1918</v>
      </c>
      <c r="C816" s="3">
        <v>1</v>
      </c>
      <c r="D816" s="5">
        <v>19.989999999999998</v>
      </c>
      <c r="E816" s="3" t="s">
        <v>1919</v>
      </c>
      <c r="F816" s="2"/>
      <c r="G816" s="6" t="s">
        <v>219</v>
      </c>
      <c r="H816" s="2" t="s">
        <v>188</v>
      </c>
      <c r="I816" s="2" t="s">
        <v>189</v>
      </c>
      <c r="J816" s="2" t="s">
        <v>19</v>
      </c>
      <c r="K816" s="2" t="s">
        <v>648</v>
      </c>
      <c r="L816" s="7" t="str">
        <f>HYPERLINK("http://slimages.macys.com/is/image/MCY/11625273 ")</f>
        <v xml:space="preserve">http://slimages.macys.com/is/image/MCY/11625273 </v>
      </c>
    </row>
    <row r="817" spans="1:12" ht="24.75" x14ac:dyDescent="0.25">
      <c r="A817" s="4" t="s">
        <v>1936</v>
      </c>
      <c r="B817" s="2" t="s">
        <v>1937</v>
      </c>
      <c r="C817" s="3">
        <v>1</v>
      </c>
      <c r="D817" s="5">
        <v>19.989999999999998</v>
      </c>
      <c r="E817" s="3" t="s">
        <v>1938</v>
      </c>
      <c r="F817" s="2"/>
      <c r="G817" s="6" t="s">
        <v>234</v>
      </c>
      <c r="H817" s="2" t="s">
        <v>246</v>
      </c>
      <c r="I817" s="2" t="s">
        <v>1939</v>
      </c>
      <c r="J817" s="2" t="s">
        <v>19</v>
      </c>
      <c r="K817" s="2" t="s">
        <v>1940</v>
      </c>
      <c r="L817" s="7" t="str">
        <f>HYPERLINK("http://slimages.macys.com/is/image/MCY/11523112 ")</f>
        <v xml:space="preserve">http://slimages.macys.com/is/image/MCY/11523112 </v>
      </c>
    </row>
    <row r="818" spans="1:12" ht="24.75" x14ac:dyDescent="0.25">
      <c r="A818" s="4" t="s">
        <v>1941</v>
      </c>
      <c r="B818" s="2" t="s">
        <v>1942</v>
      </c>
      <c r="C818" s="3">
        <v>1</v>
      </c>
      <c r="D818" s="5">
        <v>17.989999999999998</v>
      </c>
      <c r="E818" s="3" t="s">
        <v>1943</v>
      </c>
      <c r="F818" s="2" t="s">
        <v>26</v>
      </c>
      <c r="G818" s="6" t="s">
        <v>245</v>
      </c>
      <c r="H818" s="2" t="s">
        <v>1522</v>
      </c>
      <c r="I818" s="2" t="s">
        <v>1469</v>
      </c>
      <c r="J818" s="2" t="s">
        <v>19</v>
      </c>
      <c r="K818" s="2" t="s">
        <v>353</v>
      </c>
      <c r="L818" s="7" t="str">
        <f>HYPERLINK("http://slimages.macys.com/is/image/MCY/10743541 ")</f>
        <v xml:space="preserve">http://slimages.macys.com/is/image/MCY/10743541 </v>
      </c>
    </row>
    <row r="819" spans="1:12" ht="24.75" x14ac:dyDescent="0.25">
      <c r="A819" s="4" t="s">
        <v>1944</v>
      </c>
      <c r="B819" s="2" t="s">
        <v>1942</v>
      </c>
      <c r="C819" s="3">
        <v>1</v>
      </c>
      <c r="D819" s="5">
        <v>17.989999999999998</v>
      </c>
      <c r="E819" s="3" t="s">
        <v>1943</v>
      </c>
      <c r="F819" s="2" t="s">
        <v>1945</v>
      </c>
      <c r="G819" s="6" t="s">
        <v>156</v>
      </c>
      <c r="H819" s="2" t="s">
        <v>1522</v>
      </c>
      <c r="I819" s="2" t="s">
        <v>1469</v>
      </c>
      <c r="J819" s="2" t="s">
        <v>19</v>
      </c>
      <c r="K819" s="2" t="s">
        <v>353</v>
      </c>
      <c r="L819" s="7" t="str">
        <f>HYPERLINK("http://slimages.macys.com/is/image/MCY/10743541 ")</f>
        <v xml:space="preserve">http://slimages.macys.com/is/image/MCY/10743541 </v>
      </c>
    </row>
    <row r="820" spans="1:12" ht="24.75" x14ac:dyDescent="0.25">
      <c r="A820" s="4" t="s">
        <v>1946</v>
      </c>
      <c r="B820" s="2" t="s">
        <v>1942</v>
      </c>
      <c r="C820" s="3">
        <v>1</v>
      </c>
      <c r="D820" s="5">
        <v>17.989999999999998</v>
      </c>
      <c r="E820" s="3" t="s">
        <v>1943</v>
      </c>
      <c r="F820" s="2" t="s">
        <v>15</v>
      </c>
      <c r="G820" s="6" t="s">
        <v>156</v>
      </c>
      <c r="H820" s="2" t="s">
        <v>1522</v>
      </c>
      <c r="I820" s="2" t="s">
        <v>1469</v>
      </c>
      <c r="J820" s="2" t="s">
        <v>19</v>
      </c>
      <c r="K820" s="2" t="s">
        <v>353</v>
      </c>
      <c r="L820" s="7" t="str">
        <f>HYPERLINK("http://slimages.macys.com/is/image/MCY/10743541 ")</f>
        <v xml:space="preserve">http://slimages.macys.com/is/image/MCY/10743541 </v>
      </c>
    </row>
    <row r="821" spans="1:12" ht="24.75" x14ac:dyDescent="0.25">
      <c r="A821" s="4" t="s">
        <v>1947</v>
      </c>
      <c r="B821" s="2" t="s">
        <v>1948</v>
      </c>
      <c r="C821" s="3">
        <v>1</v>
      </c>
      <c r="D821" s="5">
        <v>17.989999999999998</v>
      </c>
      <c r="E821" s="3" t="s">
        <v>1949</v>
      </c>
      <c r="F821" s="2" t="s">
        <v>38</v>
      </c>
      <c r="G821" s="6"/>
      <c r="H821" s="2" t="s">
        <v>1425</v>
      </c>
      <c r="I821" s="2" t="s">
        <v>1469</v>
      </c>
      <c r="J821" s="2" t="s">
        <v>19</v>
      </c>
      <c r="K821" s="2" t="s">
        <v>353</v>
      </c>
      <c r="L821" s="7" t="str">
        <f>HYPERLINK("http://slimages.macys.com/is/image/MCY/10743537 ")</f>
        <v xml:space="preserve">http://slimages.macys.com/is/image/MCY/10743537 </v>
      </c>
    </row>
    <row r="822" spans="1:12" ht="24.75" x14ac:dyDescent="0.25">
      <c r="A822" s="4" t="s">
        <v>1950</v>
      </c>
      <c r="B822" s="2" t="s">
        <v>1951</v>
      </c>
      <c r="C822" s="3">
        <v>1</v>
      </c>
      <c r="D822" s="5">
        <v>14.99</v>
      </c>
      <c r="E822" s="3" t="s">
        <v>1952</v>
      </c>
      <c r="F822" s="2" t="s">
        <v>417</v>
      </c>
      <c r="G822" s="6" t="s">
        <v>156</v>
      </c>
      <c r="H822" s="2" t="s">
        <v>1473</v>
      </c>
      <c r="I822" s="2" t="s">
        <v>1426</v>
      </c>
      <c r="J822" s="2" t="s">
        <v>19</v>
      </c>
      <c r="K822" s="2" t="s">
        <v>495</v>
      </c>
      <c r="L822" s="7" t="str">
        <f>HYPERLINK("http://slimages.macys.com/is/image/MCY/12327052 ")</f>
        <v xml:space="preserve">http://slimages.macys.com/is/image/MCY/12327052 </v>
      </c>
    </row>
    <row r="823" spans="1:12" ht="24.75" x14ac:dyDescent="0.25">
      <c r="A823" s="4" t="s">
        <v>1953</v>
      </c>
      <c r="B823" s="2" t="s">
        <v>1954</v>
      </c>
      <c r="C823" s="3">
        <v>1</v>
      </c>
      <c r="D823" s="5">
        <v>18.38</v>
      </c>
      <c r="E823" s="3" t="s">
        <v>1955</v>
      </c>
      <c r="F823" s="2" t="s">
        <v>676</v>
      </c>
      <c r="G823" s="6" t="s">
        <v>156</v>
      </c>
      <c r="H823" s="2" t="s">
        <v>194</v>
      </c>
      <c r="I823" s="2" t="s">
        <v>195</v>
      </c>
      <c r="J823" s="2" t="s">
        <v>19</v>
      </c>
      <c r="K823" s="2" t="s">
        <v>1108</v>
      </c>
      <c r="L823" s="7" t="str">
        <f>HYPERLINK("http://slimages.macys.com/is/image/MCY/13036276 ")</f>
        <v xml:space="preserve">http://slimages.macys.com/is/image/MCY/13036276 </v>
      </c>
    </row>
    <row r="824" spans="1:12" ht="24.75" x14ac:dyDescent="0.25">
      <c r="A824" s="4" t="s">
        <v>1956</v>
      </c>
      <c r="B824" s="2" t="s">
        <v>1954</v>
      </c>
      <c r="C824" s="3">
        <v>1</v>
      </c>
      <c r="D824" s="5">
        <v>18.38</v>
      </c>
      <c r="E824" s="3" t="s">
        <v>1957</v>
      </c>
      <c r="F824" s="2" t="s">
        <v>15</v>
      </c>
      <c r="G824" s="6" t="s">
        <v>156</v>
      </c>
      <c r="H824" s="2" t="s">
        <v>194</v>
      </c>
      <c r="I824" s="2" t="s">
        <v>195</v>
      </c>
      <c r="J824" s="2" t="s">
        <v>19</v>
      </c>
      <c r="K824" s="2" t="s">
        <v>1108</v>
      </c>
      <c r="L824" s="7" t="str">
        <f>HYPERLINK("http://slimages.macys.com/is/image/MCY/13120664 ")</f>
        <v xml:space="preserve">http://slimages.macys.com/is/image/MCY/13120664 </v>
      </c>
    </row>
    <row r="825" spans="1:12" ht="24.75" x14ac:dyDescent="0.25">
      <c r="A825" s="4" t="s">
        <v>1958</v>
      </c>
      <c r="B825" s="2" t="s">
        <v>1959</v>
      </c>
      <c r="C825" s="3">
        <v>1</v>
      </c>
      <c r="D825" s="5">
        <v>19.989999999999998</v>
      </c>
      <c r="E825" s="3" t="s">
        <v>1960</v>
      </c>
      <c r="F825" s="2" t="s">
        <v>74</v>
      </c>
      <c r="G825" s="6" t="s">
        <v>181</v>
      </c>
      <c r="H825" s="2" t="s">
        <v>284</v>
      </c>
      <c r="I825" s="2" t="s">
        <v>285</v>
      </c>
      <c r="J825" s="2" t="s">
        <v>19</v>
      </c>
      <c r="K825" s="2" t="s">
        <v>160</v>
      </c>
      <c r="L825" s="7" t="str">
        <f>HYPERLINK("http://slimages.macys.com/is/image/MCY/12285250 ")</f>
        <v xml:space="preserve">http://slimages.macys.com/is/image/MCY/12285250 </v>
      </c>
    </row>
    <row r="826" spans="1:12" ht="24.75" x14ac:dyDescent="0.25">
      <c r="A826" s="4" t="s">
        <v>1961</v>
      </c>
      <c r="B826" s="2" t="s">
        <v>1962</v>
      </c>
      <c r="C826" s="3">
        <v>1</v>
      </c>
      <c r="D826" s="5">
        <v>21.99</v>
      </c>
      <c r="E826" s="3">
        <v>100017611</v>
      </c>
      <c r="F826" s="2" t="s">
        <v>956</v>
      </c>
      <c r="G826" s="6" t="s">
        <v>154</v>
      </c>
      <c r="H826" s="2" t="s">
        <v>284</v>
      </c>
      <c r="I826" s="2" t="s">
        <v>285</v>
      </c>
      <c r="J826" s="2" t="s">
        <v>19</v>
      </c>
      <c r="K826" s="2" t="s">
        <v>247</v>
      </c>
      <c r="L826" s="7" t="str">
        <f>HYPERLINK("http://slimages.macys.com/is/image/MCY/14013654 ")</f>
        <v xml:space="preserve">http://slimages.macys.com/is/image/MCY/14013654 </v>
      </c>
    </row>
    <row r="827" spans="1:12" ht="24.75" x14ac:dyDescent="0.25">
      <c r="A827" s="4" t="s">
        <v>1963</v>
      </c>
      <c r="B827" s="2" t="s">
        <v>1964</v>
      </c>
      <c r="C827" s="3">
        <v>1</v>
      </c>
      <c r="D827" s="5">
        <v>19.989999999999998</v>
      </c>
      <c r="E827" s="3" t="s">
        <v>1965</v>
      </c>
      <c r="F827" s="2" t="s">
        <v>70</v>
      </c>
      <c r="G827" s="6" t="s">
        <v>794</v>
      </c>
      <c r="H827" s="2" t="s">
        <v>632</v>
      </c>
      <c r="I827" s="2" t="s">
        <v>285</v>
      </c>
      <c r="J827" s="2" t="s">
        <v>19</v>
      </c>
      <c r="K827" s="2" t="s">
        <v>247</v>
      </c>
      <c r="L827" s="7" t="str">
        <f>HYPERLINK("http://slimages.macys.com/is/image/MCY/9456016 ")</f>
        <v xml:space="preserve">http://slimages.macys.com/is/image/MCY/9456016 </v>
      </c>
    </row>
    <row r="828" spans="1:12" ht="24.75" x14ac:dyDescent="0.25">
      <c r="A828" s="4" t="s">
        <v>1966</v>
      </c>
      <c r="B828" s="2" t="s">
        <v>1967</v>
      </c>
      <c r="C828" s="3">
        <v>2</v>
      </c>
      <c r="D828" s="5">
        <v>19.989999999999998</v>
      </c>
      <c r="E828" s="3" t="s">
        <v>1968</v>
      </c>
      <c r="F828" s="2" t="s">
        <v>26</v>
      </c>
      <c r="G828" s="6"/>
      <c r="H828" s="2" t="s">
        <v>188</v>
      </c>
      <c r="I828" s="2" t="s">
        <v>1939</v>
      </c>
      <c r="J828" s="2" t="s">
        <v>19</v>
      </c>
      <c r="K828" s="2" t="s">
        <v>1940</v>
      </c>
      <c r="L828" s="7" t="str">
        <f>HYPERLINK("http://slimages.macys.com/is/image/MCY/8616089 ")</f>
        <v xml:space="preserve">http://slimages.macys.com/is/image/MCY/8616089 </v>
      </c>
    </row>
    <row r="829" spans="1:12" ht="24.75" x14ac:dyDescent="0.25">
      <c r="A829" s="4" t="s">
        <v>1969</v>
      </c>
      <c r="B829" s="2" t="s">
        <v>1970</v>
      </c>
      <c r="C829" s="3">
        <v>1</v>
      </c>
      <c r="D829" s="5">
        <v>14.99</v>
      </c>
      <c r="E829" s="3" t="s">
        <v>1971</v>
      </c>
      <c r="F829" s="2" t="s">
        <v>1945</v>
      </c>
      <c r="G829" s="6" t="s">
        <v>245</v>
      </c>
      <c r="H829" s="2" t="s">
        <v>1522</v>
      </c>
      <c r="I829" s="2" t="s">
        <v>1469</v>
      </c>
      <c r="J829" s="2" t="s">
        <v>19</v>
      </c>
      <c r="K829" s="2" t="s">
        <v>353</v>
      </c>
      <c r="L829" s="7" t="str">
        <f>HYPERLINK("http://slimages.macys.com/is/image/MCY/13741861 ")</f>
        <v xml:space="preserve">http://slimages.macys.com/is/image/MCY/13741861 </v>
      </c>
    </row>
    <row r="830" spans="1:12" ht="24.75" x14ac:dyDescent="0.25">
      <c r="A830" s="4" t="s">
        <v>1972</v>
      </c>
      <c r="B830" s="2" t="s">
        <v>1973</v>
      </c>
      <c r="C830" s="3">
        <v>3</v>
      </c>
      <c r="D830" s="5">
        <v>16.989999999999998</v>
      </c>
      <c r="E830" s="3" t="s">
        <v>1974</v>
      </c>
      <c r="F830" s="2" t="s">
        <v>15</v>
      </c>
      <c r="G830" s="6" t="s">
        <v>156</v>
      </c>
      <c r="H830" s="2" t="s">
        <v>1473</v>
      </c>
      <c r="I830" s="2" t="s">
        <v>1864</v>
      </c>
      <c r="J830" s="2" t="s">
        <v>19</v>
      </c>
      <c r="K830" s="2" t="s">
        <v>648</v>
      </c>
      <c r="L830" s="7" t="str">
        <f>HYPERLINK("http://slimages.macys.com/is/image/MCY/11634794 ")</f>
        <v xml:space="preserve">http://slimages.macys.com/is/image/MCY/11634794 </v>
      </c>
    </row>
    <row r="831" spans="1:12" ht="24.75" x14ac:dyDescent="0.25">
      <c r="A831" s="4" t="s">
        <v>1975</v>
      </c>
      <c r="B831" s="2" t="s">
        <v>1973</v>
      </c>
      <c r="C831" s="3">
        <v>1</v>
      </c>
      <c r="D831" s="5">
        <v>16.989999999999998</v>
      </c>
      <c r="E831" s="3" t="s">
        <v>1976</v>
      </c>
      <c r="F831" s="2" t="s">
        <v>1234</v>
      </c>
      <c r="G831" s="6"/>
      <c r="H831" s="2" t="s">
        <v>1425</v>
      </c>
      <c r="I831" s="2" t="s">
        <v>1864</v>
      </c>
      <c r="J831" s="2" t="s">
        <v>19</v>
      </c>
      <c r="K831" s="2" t="s">
        <v>648</v>
      </c>
      <c r="L831" s="7" t="str">
        <f>HYPERLINK("http://slimages.macys.com/is/image/MCY/11634785 ")</f>
        <v xml:space="preserve">http://slimages.macys.com/is/image/MCY/11634785 </v>
      </c>
    </row>
    <row r="832" spans="1:12" ht="24.75" x14ac:dyDescent="0.25">
      <c r="A832" s="4" t="s">
        <v>1977</v>
      </c>
      <c r="B832" s="2" t="s">
        <v>1973</v>
      </c>
      <c r="C832" s="3">
        <v>1</v>
      </c>
      <c r="D832" s="5">
        <v>16.989999999999998</v>
      </c>
      <c r="E832" s="3" t="s">
        <v>1974</v>
      </c>
      <c r="F832" s="2" t="s">
        <v>70</v>
      </c>
      <c r="G832" s="6" t="s">
        <v>154</v>
      </c>
      <c r="H832" s="2" t="s">
        <v>1473</v>
      </c>
      <c r="I832" s="2" t="s">
        <v>1864</v>
      </c>
      <c r="J832" s="2" t="s">
        <v>19</v>
      </c>
      <c r="K832" s="2" t="s">
        <v>648</v>
      </c>
      <c r="L832" s="7" t="str">
        <f>HYPERLINK("http://slimages.macys.com/is/image/MCY/11634794 ")</f>
        <v xml:space="preserve">http://slimages.macys.com/is/image/MCY/11634794 </v>
      </c>
    </row>
    <row r="833" spans="1:12" ht="24.75" x14ac:dyDescent="0.25">
      <c r="A833" s="4" t="s">
        <v>1978</v>
      </c>
      <c r="B833" s="2" t="s">
        <v>1973</v>
      </c>
      <c r="C833" s="3">
        <v>1</v>
      </c>
      <c r="D833" s="5">
        <v>16.989999999999998</v>
      </c>
      <c r="E833" s="3" t="s">
        <v>1974</v>
      </c>
      <c r="F833" s="2" t="s">
        <v>1296</v>
      </c>
      <c r="G833" s="6" t="s">
        <v>154</v>
      </c>
      <c r="H833" s="2" t="s">
        <v>1473</v>
      </c>
      <c r="I833" s="2" t="s">
        <v>1864</v>
      </c>
      <c r="J833" s="2" t="s">
        <v>19</v>
      </c>
      <c r="K833" s="2" t="s">
        <v>648</v>
      </c>
      <c r="L833" s="7" t="str">
        <f>HYPERLINK("http://slimages.macys.com/is/image/MCY/11634794 ")</f>
        <v xml:space="preserve">http://slimages.macys.com/is/image/MCY/11634794 </v>
      </c>
    </row>
    <row r="834" spans="1:12" ht="24.75" x14ac:dyDescent="0.25">
      <c r="A834" s="4" t="s">
        <v>1979</v>
      </c>
      <c r="B834" s="2" t="s">
        <v>1973</v>
      </c>
      <c r="C834" s="3">
        <v>1</v>
      </c>
      <c r="D834" s="5">
        <v>16.989999999999998</v>
      </c>
      <c r="E834" s="3" t="s">
        <v>1974</v>
      </c>
      <c r="F834" s="2" t="s">
        <v>70</v>
      </c>
      <c r="G834" s="6" t="s">
        <v>245</v>
      </c>
      <c r="H834" s="2" t="s">
        <v>1473</v>
      </c>
      <c r="I834" s="2" t="s">
        <v>1864</v>
      </c>
      <c r="J834" s="2" t="s">
        <v>19</v>
      </c>
      <c r="K834" s="2" t="s">
        <v>648</v>
      </c>
      <c r="L834" s="7" t="str">
        <f>HYPERLINK("http://slimages.macys.com/is/image/MCY/11634794 ")</f>
        <v xml:space="preserve">http://slimages.macys.com/is/image/MCY/11634794 </v>
      </c>
    </row>
    <row r="835" spans="1:12" ht="24.75" x14ac:dyDescent="0.25">
      <c r="A835" s="4" t="s">
        <v>1980</v>
      </c>
      <c r="B835" s="2" t="s">
        <v>1973</v>
      </c>
      <c r="C835" s="3">
        <v>1</v>
      </c>
      <c r="D835" s="5">
        <v>16.989999999999998</v>
      </c>
      <c r="E835" s="3" t="s">
        <v>1976</v>
      </c>
      <c r="F835" s="2" t="s">
        <v>15</v>
      </c>
      <c r="G835" s="6"/>
      <c r="H835" s="2" t="s">
        <v>1425</v>
      </c>
      <c r="I835" s="2" t="s">
        <v>1864</v>
      </c>
      <c r="J835" s="2" t="s">
        <v>19</v>
      </c>
      <c r="K835" s="2" t="s">
        <v>648</v>
      </c>
      <c r="L835" s="7" t="str">
        <f>HYPERLINK("http://slimages.macys.com/is/image/MCY/11634785 ")</f>
        <v xml:space="preserve">http://slimages.macys.com/is/image/MCY/11634785 </v>
      </c>
    </row>
    <row r="836" spans="1:12" ht="24.75" x14ac:dyDescent="0.25">
      <c r="A836" s="4" t="s">
        <v>1981</v>
      </c>
      <c r="B836" s="2" t="s">
        <v>1973</v>
      </c>
      <c r="C836" s="3">
        <v>1</v>
      </c>
      <c r="D836" s="5">
        <v>16.989999999999998</v>
      </c>
      <c r="E836" s="3" t="s">
        <v>1976</v>
      </c>
      <c r="F836" s="2" t="s">
        <v>998</v>
      </c>
      <c r="G836" s="6"/>
      <c r="H836" s="2" t="s">
        <v>1425</v>
      </c>
      <c r="I836" s="2" t="s">
        <v>1864</v>
      </c>
      <c r="J836" s="2" t="s">
        <v>19</v>
      </c>
      <c r="K836" s="2" t="s">
        <v>648</v>
      </c>
      <c r="L836" s="7" t="str">
        <f>HYPERLINK("http://slimages.macys.com/is/image/MCY/11634785 ")</f>
        <v xml:space="preserve">http://slimages.macys.com/is/image/MCY/11634785 </v>
      </c>
    </row>
    <row r="837" spans="1:12" ht="24.75" x14ac:dyDescent="0.25">
      <c r="A837" s="4" t="s">
        <v>1982</v>
      </c>
      <c r="B837" s="2" t="s">
        <v>1973</v>
      </c>
      <c r="C837" s="3">
        <v>7</v>
      </c>
      <c r="D837" s="5">
        <v>16.989999999999998</v>
      </c>
      <c r="E837" s="3" t="s">
        <v>1974</v>
      </c>
      <c r="F837" s="2" t="s">
        <v>74</v>
      </c>
      <c r="G837" s="6" t="s">
        <v>156</v>
      </c>
      <c r="H837" s="2" t="s">
        <v>1473</v>
      </c>
      <c r="I837" s="2" t="s">
        <v>1864</v>
      </c>
      <c r="J837" s="2" t="s">
        <v>19</v>
      </c>
      <c r="K837" s="2" t="s">
        <v>648</v>
      </c>
      <c r="L837" s="7" t="str">
        <f>HYPERLINK("http://slimages.macys.com/is/image/MCY/11634794 ")</f>
        <v xml:space="preserve">http://slimages.macys.com/is/image/MCY/11634794 </v>
      </c>
    </row>
    <row r="838" spans="1:12" ht="24.75" x14ac:dyDescent="0.25">
      <c r="A838" s="4" t="s">
        <v>1983</v>
      </c>
      <c r="B838" s="2" t="s">
        <v>1973</v>
      </c>
      <c r="C838" s="3">
        <v>1</v>
      </c>
      <c r="D838" s="5">
        <v>16.989999999999998</v>
      </c>
      <c r="E838" s="3" t="s">
        <v>1974</v>
      </c>
      <c r="F838" s="2" t="s">
        <v>998</v>
      </c>
      <c r="G838" s="6" t="s">
        <v>156</v>
      </c>
      <c r="H838" s="2" t="s">
        <v>1473</v>
      </c>
      <c r="I838" s="2" t="s">
        <v>1864</v>
      </c>
      <c r="J838" s="2" t="s">
        <v>19</v>
      </c>
      <c r="K838" s="2" t="s">
        <v>648</v>
      </c>
      <c r="L838" s="7" t="str">
        <f>HYPERLINK("http://slimages.macys.com/is/image/MCY/11634794 ")</f>
        <v xml:space="preserve">http://slimages.macys.com/is/image/MCY/11634794 </v>
      </c>
    </row>
    <row r="839" spans="1:12" ht="24.75" x14ac:dyDescent="0.25">
      <c r="A839" s="4" t="s">
        <v>1984</v>
      </c>
      <c r="B839" s="2" t="s">
        <v>1973</v>
      </c>
      <c r="C839" s="3">
        <v>1</v>
      </c>
      <c r="D839" s="5">
        <v>16.989999999999998</v>
      </c>
      <c r="E839" s="3" t="s">
        <v>1974</v>
      </c>
      <c r="F839" s="2" t="s">
        <v>15</v>
      </c>
      <c r="G839" s="6" t="s">
        <v>245</v>
      </c>
      <c r="H839" s="2" t="s">
        <v>1473</v>
      </c>
      <c r="I839" s="2" t="s">
        <v>1864</v>
      </c>
      <c r="J839" s="2" t="s">
        <v>19</v>
      </c>
      <c r="K839" s="2" t="s">
        <v>648</v>
      </c>
      <c r="L839" s="7" t="str">
        <f>HYPERLINK("http://slimages.macys.com/is/image/MCY/11634794 ")</f>
        <v xml:space="preserve">http://slimages.macys.com/is/image/MCY/11634794 </v>
      </c>
    </row>
    <row r="840" spans="1:12" ht="24.75" x14ac:dyDescent="0.25">
      <c r="A840" s="4" t="s">
        <v>1985</v>
      </c>
      <c r="B840" s="2" t="s">
        <v>1973</v>
      </c>
      <c r="C840" s="3">
        <v>1</v>
      </c>
      <c r="D840" s="5">
        <v>16.989999999999998</v>
      </c>
      <c r="E840" s="3" t="s">
        <v>1976</v>
      </c>
      <c r="F840" s="2" t="s">
        <v>15</v>
      </c>
      <c r="G840" s="6" t="s">
        <v>219</v>
      </c>
      <c r="H840" s="2" t="s">
        <v>1425</v>
      </c>
      <c r="I840" s="2" t="s">
        <v>1864</v>
      </c>
      <c r="J840" s="2" t="s">
        <v>19</v>
      </c>
      <c r="K840" s="2" t="s">
        <v>648</v>
      </c>
      <c r="L840" s="7" t="str">
        <f>HYPERLINK("http://slimages.macys.com/is/image/MCY/11634785 ")</f>
        <v xml:space="preserve">http://slimages.macys.com/is/image/MCY/11634785 </v>
      </c>
    </row>
    <row r="841" spans="1:12" ht="24.75" x14ac:dyDescent="0.25">
      <c r="A841" s="4" t="s">
        <v>1986</v>
      </c>
      <c r="B841" s="2" t="s">
        <v>1973</v>
      </c>
      <c r="C841" s="3">
        <v>1</v>
      </c>
      <c r="D841" s="5">
        <v>16.989999999999998</v>
      </c>
      <c r="E841" s="3" t="s">
        <v>1974</v>
      </c>
      <c r="F841" s="2" t="s">
        <v>74</v>
      </c>
      <c r="G841" s="6" t="s">
        <v>234</v>
      </c>
      <c r="H841" s="2" t="s">
        <v>1473</v>
      </c>
      <c r="I841" s="2" t="s">
        <v>1864</v>
      </c>
      <c r="J841" s="2" t="s">
        <v>19</v>
      </c>
      <c r="K841" s="2" t="s">
        <v>648</v>
      </c>
      <c r="L841" s="7" t="str">
        <f>HYPERLINK("http://slimages.macys.com/is/image/MCY/11634794 ")</f>
        <v xml:space="preserve">http://slimages.macys.com/is/image/MCY/11634794 </v>
      </c>
    </row>
    <row r="842" spans="1:12" ht="24.75" x14ac:dyDescent="0.25">
      <c r="A842" s="4" t="s">
        <v>1987</v>
      </c>
      <c r="B842" s="2" t="s">
        <v>1988</v>
      </c>
      <c r="C842" s="3">
        <v>2</v>
      </c>
      <c r="D842" s="5">
        <v>14.99</v>
      </c>
      <c r="E842" s="3" t="s">
        <v>1989</v>
      </c>
      <c r="F842" s="2" t="s">
        <v>26</v>
      </c>
      <c r="G842" s="6"/>
      <c r="H842" s="2" t="s">
        <v>1425</v>
      </c>
      <c r="I842" s="2" t="s">
        <v>1426</v>
      </c>
      <c r="J842" s="2" t="s">
        <v>19</v>
      </c>
      <c r="K842" s="2" t="s">
        <v>648</v>
      </c>
      <c r="L842" s="7" t="str">
        <f>HYPERLINK("http://slimages.macys.com/is/image/MCY/11678994 ")</f>
        <v xml:space="preserve">http://slimages.macys.com/is/image/MCY/11678994 </v>
      </c>
    </row>
    <row r="843" spans="1:12" ht="24.75" x14ac:dyDescent="0.25">
      <c r="A843" s="4" t="s">
        <v>1990</v>
      </c>
      <c r="B843" s="2" t="s">
        <v>1988</v>
      </c>
      <c r="C843" s="3">
        <v>1</v>
      </c>
      <c r="D843" s="5">
        <v>14.99</v>
      </c>
      <c r="E843" s="3" t="s">
        <v>1991</v>
      </c>
      <c r="F843" s="2" t="s">
        <v>33</v>
      </c>
      <c r="G843" s="6" t="s">
        <v>154</v>
      </c>
      <c r="H843" s="2" t="s">
        <v>1473</v>
      </c>
      <c r="I843" s="2" t="s">
        <v>1426</v>
      </c>
      <c r="J843" s="2" t="s">
        <v>19</v>
      </c>
      <c r="K843" s="2" t="s">
        <v>648</v>
      </c>
      <c r="L843" s="7" t="str">
        <f>HYPERLINK("http://slimages.macys.com/is/image/MCY/12767912 ")</f>
        <v xml:space="preserve">http://slimages.macys.com/is/image/MCY/12767912 </v>
      </c>
    </row>
    <row r="844" spans="1:12" ht="24.75" x14ac:dyDescent="0.25">
      <c r="A844" s="4" t="s">
        <v>1992</v>
      </c>
      <c r="B844" s="2" t="s">
        <v>1988</v>
      </c>
      <c r="C844" s="3">
        <v>1</v>
      </c>
      <c r="D844" s="5">
        <v>14.99</v>
      </c>
      <c r="E844" s="3" t="s">
        <v>1991</v>
      </c>
      <c r="F844" s="2" t="s">
        <v>1945</v>
      </c>
      <c r="G844" s="6" t="s">
        <v>181</v>
      </c>
      <c r="H844" s="2" t="s">
        <v>1473</v>
      </c>
      <c r="I844" s="2" t="s">
        <v>1426</v>
      </c>
      <c r="J844" s="2" t="s">
        <v>19</v>
      </c>
      <c r="K844" s="2" t="s">
        <v>648</v>
      </c>
      <c r="L844" s="7" t="str">
        <f>HYPERLINK("http://slimages.macys.com/is/image/MCY/12767912 ")</f>
        <v xml:space="preserve">http://slimages.macys.com/is/image/MCY/12767912 </v>
      </c>
    </row>
    <row r="845" spans="1:12" ht="24.75" x14ac:dyDescent="0.25">
      <c r="A845" s="4" t="s">
        <v>1993</v>
      </c>
      <c r="B845" s="2" t="s">
        <v>1988</v>
      </c>
      <c r="C845" s="3">
        <v>1</v>
      </c>
      <c r="D845" s="5">
        <v>14.99</v>
      </c>
      <c r="E845" s="3" t="s">
        <v>1989</v>
      </c>
      <c r="F845" s="2" t="s">
        <v>26</v>
      </c>
      <c r="G845" s="6"/>
      <c r="H845" s="2" t="s">
        <v>1425</v>
      </c>
      <c r="I845" s="2" t="s">
        <v>1426</v>
      </c>
      <c r="J845" s="2" t="s">
        <v>19</v>
      </c>
      <c r="K845" s="2" t="s">
        <v>648</v>
      </c>
      <c r="L845" s="7" t="str">
        <f>HYPERLINK("http://slimages.macys.com/is/image/MCY/11678994 ")</f>
        <v xml:space="preserve">http://slimages.macys.com/is/image/MCY/11678994 </v>
      </c>
    </row>
    <row r="846" spans="1:12" ht="24.75" x14ac:dyDescent="0.25">
      <c r="A846" s="4" t="s">
        <v>1994</v>
      </c>
      <c r="B846" s="2" t="s">
        <v>1988</v>
      </c>
      <c r="C846" s="3">
        <v>1</v>
      </c>
      <c r="D846" s="5">
        <v>14.99</v>
      </c>
      <c r="E846" s="3" t="s">
        <v>1991</v>
      </c>
      <c r="F846" s="2" t="s">
        <v>26</v>
      </c>
      <c r="G846" s="6" t="s">
        <v>156</v>
      </c>
      <c r="H846" s="2" t="s">
        <v>1473</v>
      </c>
      <c r="I846" s="2" t="s">
        <v>1426</v>
      </c>
      <c r="J846" s="2" t="s">
        <v>19</v>
      </c>
      <c r="K846" s="2" t="s">
        <v>648</v>
      </c>
      <c r="L846" s="7" t="str">
        <f>HYPERLINK("http://slimages.macys.com/is/image/MCY/12767912 ")</f>
        <v xml:space="preserve">http://slimages.macys.com/is/image/MCY/12767912 </v>
      </c>
    </row>
    <row r="847" spans="1:12" ht="24.75" x14ac:dyDescent="0.25">
      <c r="A847" s="4" t="s">
        <v>1995</v>
      </c>
      <c r="B847" s="2" t="s">
        <v>1988</v>
      </c>
      <c r="C847" s="3">
        <v>1</v>
      </c>
      <c r="D847" s="5">
        <v>14.99</v>
      </c>
      <c r="E847" s="3" t="s">
        <v>1991</v>
      </c>
      <c r="F847" s="2" t="s">
        <v>413</v>
      </c>
      <c r="G847" s="6" t="s">
        <v>181</v>
      </c>
      <c r="H847" s="2" t="s">
        <v>1473</v>
      </c>
      <c r="I847" s="2" t="s">
        <v>1426</v>
      </c>
      <c r="J847" s="2" t="s">
        <v>19</v>
      </c>
      <c r="K847" s="2" t="s">
        <v>648</v>
      </c>
      <c r="L847" s="7" t="str">
        <f>HYPERLINK("http://slimages.macys.com/is/image/MCY/12767912 ")</f>
        <v xml:space="preserve">http://slimages.macys.com/is/image/MCY/12767912 </v>
      </c>
    </row>
    <row r="848" spans="1:12" ht="24.75" x14ac:dyDescent="0.25">
      <c r="A848" s="4" t="s">
        <v>1996</v>
      </c>
      <c r="B848" s="2" t="s">
        <v>1988</v>
      </c>
      <c r="C848" s="3">
        <v>1</v>
      </c>
      <c r="D848" s="5">
        <v>14.99</v>
      </c>
      <c r="E848" s="3" t="s">
        <v>1991</v>
      </c>
      <c r="F848" s="2" t="s">
        <v>413</v>
      </c>
      <c r="G848" s="6" t="s">
        <v>200</v>
      </c>
      <c r="H848" s="2" t="s">
        <v>1473</v>
      </c>
      <c r="I848" s="2" t="s">
        <v>1426</v>
      </c>
      <c r="J848" s="2" t="s">
        <v>19</v>
      </c>
      <c r="K848" s="2" t="s">
        <v>648</v>
      </c>
      <c r="L848" s="7" t="str">
        <f>HYPERLINK("http://slimages.macys.com/is/image/MCY/12767912 ")</f>
        <v xml:space="preserve">http://slimages.macys.com/is/image/MCY/12767912 </v>
      </c>
    </row>
    <row r="849" spans="1:12" ht="24.75" x14ac:dyDescent="0.25">
      <c r="A849" s="4" t="s">
        <v>1997</v>
      </c>
      <c r="B849" s="2" t="s">
        <v>1988</v>
      </c>
      <c r="C849" s="3">
        <v>1</v>
      </c>
      <c r="D849" s="5">
        <v>14.99</v>
      </c>
      <c r="E849" s="3" t="s">
        <v>1989</v>
      </c>
      <c r="F849" s="2" t="s">
        <v>26</v>
      </c>
      <c r="G849" s="6" t="s">
        <v>219</v>
      </c>
      <c r="H849" s="2" t="s">
        <v>1425</v>
      </c>
      <c r="I849" s="2" t="s">
        <v>1426</v>
      </c>
      <c r="J849" s="2" t="s">
        <v>19</v>
      </c>
      <c r="K849" s="2" t="s">
        <v>648</v>
      </c>
      <c r="L849" s="7" t="str">
        <f>HYPERLINK("http://slimages.macys.com/is/image/MCY/11678994 ")</f>
        <v xml:space="preserve">http://slimages.macys.com/is/image/MCY/11678994 </v>
      </c>
    </row>
    <row r="850" spans="1:12" ht="24.75" x14ac:dyDescent="0.25">
      <c r="A850" s="4" t="s">
        <v>1998</v>
      </c>
      <c r="B850" s="2" t="s">
        <v>1988</v>
      </c>
      <c r="C850" s="3">
        <v>1</v>
      </c>
      <c r="D850" s="5">
        <v>14.99</v>
      </c>
      <c r="E850" s="3" t="s">
        <v>1991</v>
      </c>
      <c r="F850" s="2" t="s">
        <v>331</v>
      </c>
      <c r="G850" s="6" t="s">
        <v>156</v>
      </c>
      <c r="H850" s="2" t="s">
        <v>1473</v>
      </c>
      <c r="I850" s="2" t="s">
        <v>1426</v>
      </c>
      <c r="J850" s="2" t="s">
        <v>19</v>
      </c>
      <c r="K850" s="2" t="s">
        <v>648</v>
      </c>
      <c r="L850" s="7" t="str">
        <f>HYPERLINK("http://slimages.macys.com/is/image/MCY/12767912 ")</f>
        <v xml:space="preserve">http://slimages.macys.com/is/image/MCY/12767912 </v>
      </c>
    </row>
    <row r="851" spans="1:12" ht="24.75" x14ac:dyDescent="0.25">
      <c r="A851" s="4" t="s">
        <v>1999</v>
      </c>
      <c r="B851" s="2" t="s">
        <v>2000</v>
      </c>
      <c r="C851" s="3">
        <v>1</v>
      </c>
      <c r="D851" s="5">
        <v>21.99</v>
      </c>
      <c r="E851" s="3">
        <v>100015505</v>
      </c>
      <c r="F851" s="2" t="s">
        <v>956</v>
      </c>
      <c r="G851" s="6" t="s">
        <v>156</v>
      </c>
      <c r="H851" s="2" t="s">
        <v>284</v>
      </c>
      <c r="I851" s="2" t="s">
        <v>285</v>
      </c>
      <c r="J851" s="2" t="s">
        <v>19</v>
      </c>
      <c r="K851" s="2" t="s">
        <v>247</v>
      </c>
      <c r="L851" s="7" t="str">
        <f>HYPERLINK("http://slimages.macys.com/is/image/MCY/16500547 ")</f>
        <v xml:space="preserve">http://slimages.macys.com/is/image/MCY/16500547 </v>
      </c>
    </row>
    <row r="852" spans="1:12" ht="24.75" x14ac:dyDescent="0.25">
      <c r="A852" s="4" t="s">
        <v>2001</v>
      </c>
      <c r="B852" s="2" t="s">
        <v>2002</v>
      </c>
      <c r="C852" s="3">
        <v>1</v>
      </c>
      <c r="D852" s="5">
        <v>12.99</v>
      </c>
      <c r="E852" s="3" t="s">
        <v>2003</v>
      </c>
      <c r="F852" s="2" t="s">
        <v>33</v>
      </c>
      <c r="G852" s="6" t="s">
        <v>156</v>
      </c>
      <c r="H852" s="2" t="s">
        <v>194</v>
      </c>
      <c r="I852" s="2" t="s">
        <v>195</v>
      </c>
      <c r="J852" s="2" t="s">
        <v>19</v>
      </c>
      <c r="K852" s="2" t="s">
        <v>107</v>
      </c>
      <c r="L852" s="7" t="str">
        <f>HYPERLINK("http://slimages.macys.com/is/image/MCY/12063874 ")</f>
        <v xml:space="preserve">http://slimages.macys.com/is/image/MCY/12063874 </v>
      </c>
    </row>
    <row r="853" spans="1:12" ht="24.75" x14ac:dyDescent="0.25">
      <c r="A853" s="4" t="s">
        <v>2004</v>
      </c>
      <c r="B853" s="2" t="s">
        <v>2005</v>
      </c>
      <c r="C853" s="3">
        <v>1</v>
      </c>
      <c r="D853" s="5">
        <v>14.99</v>
      </c>
      <c r="E853" s="3" t="s">
        <v>2006</v>
      </c>
      <c r="F853" s="2" t="s">
        <v>1945</v>
      </c>
      <c r="G853" s="6" t="s">
        <v>156</v>
      </c>
      <c r="H853" s="2" t="s">
        <v>1522</v>
      </c>
      <c r="I853" s="2" t="s">
        <v>1469</v>
      </c>
      <c r="J853" s="2" t="s">
        <v>19</v>
      </c>
      <c r="K853" s="2" t="s">
        <v>353</v>
      </c>
      <c r="L853" s="7" t="str">
        <f t="shared" ref="L853:L861" si="11">HYPERLINK("http://slimages.macys.com/is/image/MCY/10743611 ")</f>
        <v xml:space="preserve">http://slimages.macys.com/is/image/MCY/10743611 </v>
      </c>
    </row>
    <row r="854" spans="1:12" ht="24.75" x14ac:dyDescent="0.25">
      <c r="A854" s="4" t="s">
        <v>2007</v>
      </c>
      <c r="B854" s="2" t="s">
        <v>2005</v>
      </c>
      <c r="C854" s="3">
        <v>1</v>
      </c>
      <c r="D854" s="5">
        <v>14.99</v>
      </c>
      <c r="E854" s="3" t="s">
        <v>2006</v>
      </c>
      <c r="F854" s="2" t="s">
        <v>64</v>
      </c>
      <c r="G854" s="6" t="s">
        <v>245</v>
      </c>
      <c r="H854" s="2" t="s">
        <v>1522</v>
      </c>
      <c r="I854" s="2" t="s">
        <v>1469</v>
      </c>
      <c r="J854" s="2" t="s">
        <v>19</v>
      </c>
      <c r="K854" s="2" t="s">
        <v>353</v>
      </c>
      <c r="L854" s="7" t="str">
        <f t="shared" si="11"/>
        <v xml:space="preserve">http://slimages.macys.com/is/image/MCY/10743611 </v>
      </c>
    </row>
    <row r="855" spans="1:12" ht="24.75" x14ac:dyDescent="0.25">
      <c r="A855" s="4" t="s">
        <v>2008</v>
      </c>
      <c r="B855" s="2" t="s">
        <v>2005</v>
      </c>
      <c r="C855" s="3">
        <v>1</v>
      </c>
      <c r="D855" s="5">
        <v>14.99</v>
      </c>
      <c r="E855" s="3" t="s">
        <v>2006</v>
      </c>
      <c r="F855" s="2" t="s">
        <v>74</v>
      </c>
      <c r="G855" s="6" t="s">
        <v>156</v>
      </c>
      <c r="H855" s="2" t="s">
        <v>1522</v>
      </c>
      <c r="I855" s="2" t="s">
        <v>1469</v>
      </c>
      <c r="J855" s="2" t="s">
        <v>19</v>
      </c>
      <c r="K855" s="2" t="s">
        <v>353</v>
      </c>
      <c r="L855" s="7" t="str">
        <f t="shared" si="11"/>
        <v xml:space="preserve">http://slimages.macys.com/is/image/MCY/10743611 </v>
      </c>
    </row>
    <row r="856" spans="1:12" ht="24.75" x14ac:dyDescent="0.25">
      <c r="A856" s="4" t="s">
        <v>2009</v>
      </c>
      <c r="B856" s="2" t="s">
        <v>2005</v>
      </c>
      <c r="C856" s="3">
        <v>1</v>
      </c>
      <c r="D856" s="5">
        <v>14.99</v>
      </c>
      <c r="E856" s="3" t="s">
        <v>2006</v>
      </c>
      <c r="F856" s="2" t="s">
        <v>26</v>
      </c>
      <c r="G856" s="6" t="s">
        <v>156</v>
      </c>
      <c r="H856" s="2" t="s">
        <v>1522</v>
      </c>
      <c r="I856" s="2" t="s">
        <v>1469</v>
      </c>
      <c r="J856" s="2" t="s">
        <v>19</v>
      </c>
      <c r="K856" s="2" t="s">
        <v>353</v>
      </c>
      <c r="L856" s="7" t="str">
        <f t="shared" si="11"/>
        <v xml:space="preserve">http://slimages.macys.com/is/image/MCY/10743611 </v>
      </c>
    </row>
    <row r="857" spans="1:12" ht="24.75" x14ac:dyDescent="0.25">
      <c r="A857" s="4" t="s">
        <v>2010</v>
      </c>
      <c r="B857" s="2" t="s">
        <v>2005</v>
      </c>
      <c r="C857" s="3">
        <v>1</v>
      </c>
      <c r="D857" s="5">
        <v>14.99</v>
      </c>
      <c r="E857" s="3" t="s">
        <v>2006</v>
      </c>
      <c r="F857" s="2" t="s">
        <v>38</v>
      </c>
      <c r="G857" s="6" t="s">
        <v>156</v>
      </c>
      <c r="H857" s="2" t="s">
        <v>1522</v>
      </c>
      <c r="I857" s="2" t="s">
        <v>1469</v>
      </c>
      <c r="J857" s="2" t="s">
        <v>19</v>
      </c>
      <c r="K857" s="2" t="s">
        <v>353</v>
      </c>
      <c r="L857" s="7" t="str">
        <f t="shared" si="11"/>
        <v xml:space="preserve">http://slimages.macys.com/is/image/MCY/10743611 </v>
      </c>
    </row>
    <row r="858" spans="1:12" ht="24.75" x14ac:dyDescent="0.25">
      <c r="A858" s="4" t="s">
        <v>2011</v>
      </c>
      <c r="B858" s="2" t="s">
        <v>2005</v>
      </c>
      <c r="C858" s="3">
        <v>4</v>
      </c>
      <c r="D858" s="5">
        <v>14.99</v>
      </c>
      <c r="E858" s="3" t="s">
        <v>2006</v>
      </c>
      <c r="F858" s="2" t="s">
        <v>15</v>
      </c>
      <c r="G858" s="6" t="s">
        <v>245</v>
      </c>
      <c r="H858" s="2" t="s">
        <v>1522</v>
      </c>
      <c r="I858" s="2" t="s">
        <v>1469</v>
      </c>
      <c r="J858" s="2" t="s">
        <v>19</v>
      </c>
      <c r="K858" s="2" t="s">
        <v>353</v>
      </c>
      <c r="L858" s="7" t="str">
        <f t="shared" si="11"/>
        <v xml:space="preserve">http://slimages.macys.com/is/image/MCY/10743611 </v>
      </c>
    </row>
    <row r="859" spans="1:12" ht="24.75" x14ac:dyDescent="0.25">
      <c r="A859" s="4" t="s">
        <v>2012</v>
      </c>
      <c r="B859" s="2" t="s">
        <v>2005</v>
      </c>
      <c r="C859" s="3">
        <v>2</v>
      </c>
      <c r="D859" s="5">
        <v>14.99</v>
      </c>
      <c r="E859" s="3" t="s">
        <v>2006</v>
      </c>
      <c r="F859" s="2" t="s">
        <v>15</v>
      </c>
      <c r="G859" s="6" t="s">
        <v>156</v>
      </c>
      <c r="H859" s="2" t="s">
        <v>1522</v>
      </c>
      <c r="I859" s="2" t="s">
        <v>1469</v>
      </c>
      <c r="J859" s="2" t="s">
        <v>19</v>
      </c>
      <c r="K859" s="2" t="s">
        <v>353</v>
      </c>
      <c r="L859" s="7" t="str">
        <f t="shared" si="11"/>
        <v xml:space="preserve">http://slimages.macys.com/is/image/MCY/10743611 </v>
      </c>
    </row>
    <row r="860" spans="1:12" ht="24.75" x14ac:dyDescent="0.25">
      <c r="A860" s="4" t="s">
        <v>2013</v>
      </c>
      <c r="B860" s="2" t="s">
        <v>2005</v>
      </c>
      <c r="C860" s="3">
        <v>2</v>
      </c>
      <c r="D860" s="5">
        <v>14.99</v>
      </c>
      <c r="E860" s="3" t="s">
        <v>2006</v>
      </c>
      <c r="F860" s="2" t="s">
        <v>64</v>
      </c>
      <c r="G860" s="6" t="s">
        <v>156</v>
      </c>
      <c r="H860" s="2" t="s">
        <v>1522</v>
      </c>
      <c r="I860" s="2" t="s">
        <v>1469</v>
      </c>
      <c r="J860" s="2" t="s">
        <v>19</v>
      </c>
      <c r="K860" s="2" t="s">
        <v>353</v>
      </c>
      <c r="L860" s="7" t="str">
        <f t="shared" si="11"/>
        <v xml:space="preserve">http://slimages.macys.com/is/image/MCY/10743611 </v>
      </c>
    </row>
    <row r="861" spans="1:12" ht="24.75" x14ac:dyDescent="0.25">
      <c r="A861" s="4" t="s">
        <v>2014</v>
      </c>
      <c r="B861" s="2" t="s">
        <v>2005</v>
      </c>
      <c r="C861" s="3">
        <v>2</v>
      </c>
      <c r="D861" s="5">
        <v>14.99</v>
      </c>
      <c r="E861" s="3" t="s">
        <v>2006</v>
      </c>
      <c r="F861" s="2" t="s">
        <v>74</v>
      </c>
      <c r="G861" s="6" t="s">
        <v>245</v>
      </c>
      <c r="H861" s="2" t="s">
        <v>1522</v>
      </c>
      <c r="I861" s="2" t="s">
        <v>1469</v>
      </c>
      <c r="J861" s="2" t="s">
        <v>19</v>
      </c>
      <c r="K861" s="2" t="s">
        <v>353</v>
      </c>
      <c r="L861" s="7" t="str">
        <f t="shared" si="11"/>
        <v xml:space="preserve">http://slimages.macys.com/is/image/MCY/10743611 </v>
      </c>
    </row>
    <row r="862" spans="1:12" ht="24.75" x14ac:dyDescent="0.25">
      <c r="A862" s="4" t="s">
        <v>2015</v>
      </c>
      <c r="B862" s="2" t="s">
        <v>2016</v>
      </c>
      <c r="C862" s="3">
        <v>1</v>
      </c>
      <c r="D862" s="5">
        <v>12.99</v>
      </c>
      <c r="E862" s="3" t="s">
        <v>2017</v>
      </c>
      <c r="F862" s="2" t="s">
        <v>1614</v>
      </c>
      <c r="G862" s="6" t="s">
        <v>156</v>
      </c>
      <c r="H862" s="2" t="s">
        <v>194</v>
      </c>
      <c r="I862" s="2" t="s">
        <v>195</v>
      </c>
      <c r="J862" s="2" t="s">
        <v>19</v>
      </c>
      <c r="K862" s="2" t="s">
        <v>648</v>
      </c>
      <c r="L862" s="7" t="str">
        <f>HYPERLINK("http://slimages.macys.com/is/image/MCY/14887463 ")</f>
        <v xml:space="preserve">http://slimages.macys.com/is/image/MCY/14887463 </v>
      </c>
    </row>
    <row r="863" spans="1:12" ht="24.75" x14ac:dyDescent="0.25">
      <c r="A863" s="4" t="s">
        <v>2018</v>
      </c>
      <c r="B863" s="2" t="s">
        <v>2016</v>
      </c>
      <c r="C863" s="3">
        <v>3</v>
      </c>
      <c r="D863" s="5">
        <v>12.99</v>
      </c>
      <c r="E863" s="3" t="s">
        <v>2017</v>
      </c>
      <c r="F863" s="2" t="s">
        <v>566</v>
      </c>
      <c r="G863" s="6" t="s">
        <v>156</v>
      </c>
      <c r="H863" s="2" t="s">
        <v>194</v>
      </c>
      <c r="I863" s="2" t="s">
        <v>195</v>
      </c>
      <c r="J863" s="2" t="s">
        <v>19</v>
      </c>
      <c r="K863" s="2" t="s">
        <v>648</v>
      </c>
      <c r="L863" s="7" t="str">
        <f>HYPERLINK("http://slimages.macys.com/is/image/MCY/14887463 ")</f>
        <v xml:space="preserve">http://slimages.macys.com/is/image/MCY/14887463 </v>
      </c>
    </row>
    <row r="864" spans="1:12" ht="24.75" x14ac:dyDescent="0.25">
      <c r="A864" s="4" t="s">
        <v>2019</v>
      </c>
      <c r="B864" s="2" t="s">
        <v>2016</v>
      </c>
      <c r="C864" s="3">
        <v>1</v>
      </c>
      <c r="D864" s="5">
        <v>12.99</v>
      </c>
      <c r="E864" s="3" t="s">
        <v>2017</v>
      </c>
      <c r="F864" s="2" t="s">
        <v>566</v>
      </c>
      <c r="G864" s="6" t="s">
        <v>234</v>
      </c>
      <c r="H864" s="2" t="s">
        <v>194</v>
      </c>
      <c r="I864" s="2" t="s">
        <v>195</v>
      </c>
      <c r="J864" s="2" t="s">
        <v>19</v>
      </c>
      <c r="K864" s="2" t="s">
        <v>648</v>
      </c>
      <c r="L864" s="7" t="str">
        <f>HYPERLINK("http://slimages.macys.com/is/image/MCY/14887463 ")</f>
        <v xml:space="preserve">http://slimages.macys.com/is/image/MCY/14887463 </v>
      </c>
    </row>
    <row r="865" spans="1:12" ht="24.75" x14ac:dyDescent="0.25">
      <c r="A865" s="4" t="s">
        <v>2020</v>
      </c>
      <c r="B865" s="2" t="s">
        <v>2021</v>
      </c>
      <c r="C865" s="3">
        <v>1</v>
      </c>
      <c r="D865" s="5">
        <v>18.38</v>
      </c>
      <c r="E865" s="3">
        <v>100018061</v>
      </c>
      <c r="F865" s="2" t="s">
        <v>64</v>
      </c>
      <c r="G865" s="6" t="s">
        <v>156</v>
      </c>
      <c r="H865" s="2" t="s">
        <v>194</v>
      </c>
      <c r="I865" s="2" t="s">
        <v>195</v>
      </c>
      <c r="J865" s="2" t="s">
        <v>19</v>
      </c>
      <c r="K865" s="2" t="s">
        <v>495</v>
      </c>
      <c r="L865" s="7" t="str">
        <f>HYPERLINK("http://slimages.macys.com/is/image/MCY/12950402 ")</f>
        <v xml:space="preserve">http://slimages.macys.com/is/image/MCY/12950402 </v>
      </c>
    </row>
    <row r="866" spans="1:12" ht="24.75" x14ac:dyDescent="0.25">
      <c r="A866" s="4" t="s">
        <v>2022</v>
      </c>
      <c r="B866" s="2" t="s">
        <v>2021</v>
      </c>
      <c r="C866" s="3">
        <v>1</v>
      </c>
      <c r="D866" s="5">
        <v>18.38</v>
      </c>
      <c r="E866" s="3">
        <v>100018061</v>
      </c>
      <c r="F866" s="2" t="s">
        <v>15</v>
      </c>
      <c r="G866" s="6" t="s">
        <v>200</v>
      </c>
      <c r="H866" s="2" t="s">
        <v>194</v>
      </c>
      <c r="I866" s="2" t="s">
        <v>195</v>
      </c>
      <c r="J866" s="2" t="s">
        <v>19</v>
      </c>
      <c r="K866" s="2" t="s">
        <v>495</v>
      </c>
      <c r="L866" s="7" t="str">
        <f>HYPERLINK("http://slimages.macys.com/is/image/MCY/12950402 ")</f>
        <v xml:space="preserve">http://slimages.macys.com/is/image/MCY/12950402 </v>
      </c>
    </row>
    <row r="867" spans="1:12" ht="24.75" x14ac:dyDescent="0.25">
      <c r="A867" s="4" t="s">
        <v>2023</v>
      </c>
      <c r="B867" s="2" t="s">
        <v>2021</v>
      </c>
      <c r="C867" s="3">
        <v>1</v>
      </c>
      <c r="D867" s="5">
        <v>18.38</v>
      </c>
      <c r="E867" s="3">
        <v>100018061</v>
      </c>
      <c r="F867" s="2" t="s">
        <v>15</v>
      </c>
      <c r="G867" s="6" t="s">
        <v>156</v>
      </c>
      <c r="H867" s="2" t="s">
        <v>194</v>
      </c>
      <c r="I867" s="2" t="s">
        <v>195</v>
      </c>
      <c r="J867" s="2" t="s">
        <v>19</v>
      </c>
      <c r="K867" s="2" t="s">
        <v>495</v>
      </c>
      <c r="L867" s="7" t="str">
        <f>HYPERLINK("http://slimages.macys.com/is/image/MCY/12950402 ")</f>
        <v xml:space="preserve">http://slimages.macys.com/is/image/MCY/12950402 </v>
      </c>
    </row>
    <row r="868" spans="1:12" ht="24.75" x14ac:dyDescent="0.25">
      <c r="A868" s="4" t="s">
        <v>2024</v>
      </c>
      <c r="B868" s="2" t="s">
        <v>2021</v>
      </c>
      <c r="C868" s="3">
        <v>1</v>
      </c>
      <c r="D868" s="5">
        <v>18.38</v>
      </c>
      <c r="E868" s="3" t="s">
        <v>2025</v>
      </c>
      <c r="F868" s="2" t="s">
        <v>464</v>
      </c>
      <c r="G868" s="6"/>
      <c r="H868" s="2" t="s">
        <v>312</v>
      </c>
      <c r="I868" s="2" t="s">
        <v>195</v>
      </c>
      <c r="J868" s="2" t="s">
        <v>19</v>
      </c>
      <c r="K868" s="2" t="s">
        <v>495</v>
      </c>
      <c r="L868" s="7" t="str">
        <f>HYPERLINK("http://slimages.macys.com/is/image/MCY/9742342 ")</f>
        <v xml:space="preserve">http://slimages.macys.com/is/image/MCY/9742342 </v>
      </c>
    </row>
    <row r="869" spans="1:12" ht="24.75" x14ac:dyDescent="0.25">
      <c r="A869" s="4" t="s">
        <v>2026</v>
      </c>
      <c r="B869" s="2" t="s">
        <v>2027</v>
      </c>
      <c r="C869" s="3">
        <v>2</v>
      </c>
      <c r="D869" s="5">
        <v>12.98</v>
      </c>
      <c r="E869" s="3" t="s">
        <v>2028</v>
      </c>
      <c r="F869" s="2" t="s">
        <v>125</v>
      </c>
      <c r="G869" s="6" t="s">
        <v>234</v>
      </c>
      <c r="H869" s="2" t="s">
        <v>2029</v>
      </c>
      <c r="I869" s="2" t="s">
        <v>2030</v>
      </c>
      <c r="J869" s="2" t="s">
        <v>19</v>
      </c>
      <c r="K869" s="2" t="s">
        <v>332</v>
      </c>
      <c r="L869" s="7" t="str">
        <f>HYPERLINK("http://slimages.macys.com/is/image/MCY/9887265 ")</f>
        <v xml:space="preserve">http://slimages.macys.com/is/image/MCY/9887265 </v>
      </c>
    </row>
    <row r="870" spans="1:12" ht="24.75" x14ac:dyDescent="0.25">
      <c r="A870" s="4" t="s">
        <v>2031</v>
      </c>
      <c r="B870" s="2" t="s">
        <v>2027</v>
      </c>
      <c r="C870" s="3">
        <v>1</v>
      </c>
      <c r="D870" s="5">
        <v>12.98</v>
      </c>
      <c r="E870" s="3" t="s">
        <v>2028</v>
      </c>
      <c r="F870" s="2" t="s">
        <v>125</v>
      </c>
      <c r="G870" s="6" t="s">
        <v>245</v>
      </c>
      <c r="H870" s="2" t="s">
        <v>2029</v>
      </c>
      <c r="I870" s="2" t="s">
        <v>2030</v>
      </c>
      <c r="J870" s="2" t="s">
        <v>19</v>
      </c>
      <c r="K870" s="2" t="s">
        <v>332</v>
      </c>
      <c r="L870" s="7" t="str">
        <f>HYPERLINK("http://slimages.macys.com/is/image/MCY/9887265 ")</f>
        <v xml:space="preserve">http://slimages.macys.com/is/image/MCY/9887265 </v>
      </c>
    </row>
    <row r="871" spans="1:12" ht="24.75" x14ac:dyDescent="0.25">
      <c r="A871" s="4" t="s">
        <v>2032</v>
      </c>
      <c r="B871" s="2" t="s">
        <v>2033</v>
      </c>
      <c r="C871" s="3">
        <v>1</v>
      </c>
      <c r="D871" s="5">
        <v>9.99</v>
      </c>
      <c r="E871" s="3" t="s">
        <v>2034</v>
      </c>
      <c r="F871" s="2" t="s">
        <v>15</v>
      </c>
      <c r="G871" s="6"/>
      <c r="H871" s="2" t="s">
        <v>1425</v>
      </c>
      <c r="I871" s="2" t="s">
        <v>1426</v>
      </c>
      <c r="J871" s="2" t="s">
        <v>19</v>
      </c>
      <c r="K871" s="2" t="s">
        <v>648</v>
      </c>
      <c r="L871" s="7" t="str">
        <f>HYPERLINK("http://slimages.macys.com/is/image/MCY/12738417 ")</f>
        <v xml:space="preserve">http://slimages.macys.com/is/image/MCY/12738417 </v>
      </c>
    </row>
    <row r="872" spans="1:12" ht="24.75" x14ac:dyDescent="0.25">
      <c r="A872" s="4" t="s">
        <v>2035</v>
      </c>
      <c r="B872" s="2" t="s">
        <v>2036</v>
      </c>
      <c r="C872" s="3">
        <v>1</v>
      </c>
      <c r="D872" s="5">
        <v>12.99</v>
      </c>
      <c r="E872" s="3" t="s">
        <v>2037</v>
      </c>
      <c r="F872" s="2" t="s">
        <v>111</v>
      </c>
      <c r="G872" s="6" t="s">
        <v>154</v>
      </c>
      <c r="H872" s="2" t="s">
        <v>194</v>
      </c>
      <c r="I872" s="2" t="s">
        <v>195</v>
      </c>
      <c r="J872" s="2"/>
      <c r="K872" s="2"/>
      <c r="L872" s="7" t="str">
        <f>HYPERLINK("http://slimages.macys.com/is/image/MCY/9527158 ")</f>
        <v xml:space="preserve">http://slimages.macys.com/is/image/MCY/9527158 </v>
      </c>
    </row>
    <row r="873" spans="1:12" ht="24.75" x14ac:dyDescent="0.25">
      <c r="A873" s="4" t="s">
        <v>2038</v>
      </c>
      <c r="B873" s="2" t="s">
        <v>2036</v>
      </c>
      <c r="C873" s="3">
        <v>1</v>
      </c>
      <c r="D873" s="5">
        <v>12.99</v>
      </c>
      <c r="E873" s="3" t="s">
        <v>2037</v>
      </c>
      <c r="F873" s="2" t="s">
        <v>111</v>
      </c>
      <c r="G873" s="6" t="s">
        <v>181</v>
      </c>
      <c r="H873" s="2" t="s">
        <v>194</v>
      </c>
      <c r="I873" s="2" t="s">
        <v>195</v>
      </c>
      <c r="J873" s="2"/>
      <c r="K873" s="2"/>
      <c r="L873" s="7" t="str">
        <f>HYPERLINK("http://slimages.macys.com/is/image/MCY/9527158 ")</f>
        <v xml:space="preserve">http://slimages.macys.com/is/image/MCY/9527158 </v>
      </c>
    </row>
    <row r="874" spans="1:12" ht="24.75" x14ac:dyDescent="0.25">
      <c r="A874" s="4" t="s">
        <v>2039</v>
      </c>
      <c r="B874" s="2" t="s">
        <v>2040</v>
      </c>
      <c r="C874" s="3">
        <v>2</v>
      </c>
      <c r="D874" s="5">
        <v>9.99</v>
      </c>
      <c r="E874" s="3" t="s">
        <v>2041</v>
      </c>
      <c r="F874" s="2" t="s">
        <v>26</v>
      </c>
      <c r="G874" s="6" t="s">
        <v>156</v>
      </c>
      <c r="H874" s="2" t="s">
        <v>1473</v>
      </c>
      <c r="I874" s="2" t="s">
        <v>1426</v>
      </c>
      <c r="J874" s="2" t="s">
        <v>19</v>
      </c>
      <c r="K874" s="2" t="s">
        <v>495</v>
      </c>
      <c r="L874" s="7" t="str">
        <f>HYPERLINK("http://slimages.macys.com/is/image/MCY/11515405 ")</f>
        <v xml:space="preserve">http://slimages.macys.com/is/image/MCY/11515405 </v>
      </c>
    </row>
    <row r="875" spans="1:12" ht="24.75" x14ac:dyDescent="0.25">
      <c r="A875" s="4" t="s">
        <v>2042</v>
      </c>
      <c r="B875" s="2" t="s">
        <v>2040</v>
      </c>
      <c r="C875" s="3">
        <v>2</v>
      </c>
      <c r="D875" s="5">
        <v>9.99</v>
      </c>
      <c r="E875" s="3" t="s">
        <v>2041</v>
      </c>
      <c r="F875" s="2" t="s">
        <v>26</v>
      </c>
      <c r="G875" s="6" t="s">
        <v>234</v>
      </c>
      <c r="H875" s="2" t="s">
        <v>1473</v>
      </c>
      <c r="I875" s="2" t="s">
        <v>1426</v>
      </c>
      <c r="J875" s="2" t="s">
        <v>19</v>
      </c>
      <c r="K875" s="2" t="s">
        <v>495</v>
      </c>
      <c r="L875" s="7" t="str">
        <f>HYPERLINK("http://slimages.macys.com/is/image/MCY/11515405 ")</f>
        <v xml:space="preserve">http://slimages.macys.com/is/image/MCY/11515405 </v>
      </c>
    </row>
    <row r="876" spans="1:12" ht="24.75" x14ac:dyDescent="0.25">
      <c r="A876" s="4" t="s">
        <v>2043</v>
      </c>
      <c r="B876" s="2" t="s">
        <v>2040</v>
      </c>
      <c r="C876" s="3">
        <v>3</v>
      </c>
      <c r="D876" s="5">
        <v>9.99</v>
      </c>
      <c r="E876" s="3" t="s">
        <v>2041</v>
      </c>
      <c r="F876" s="2" t="s">
        <v>26</v>
      </c>
      <c r="G876" s="6" t="s">
        <v>181</v>
      </c>
      <c r="H876" s="2" t="s">
        <v>1473</v>
      </c>
      <c r="I876" s="2" t="s">
        <v>1426</v>
      </c>
      <c r="J876" s="2" t="s">
        <v>19</v>
      </c>
      <c r="K876" s="2" t="s">
        <v>495</v>
      </c>
      <c r="L876" s="7" t="str">
        <f>HYPERLINK("http://slimages.macys.com/is/image/MCY/11515405 ")</f>
        <v xml:space="preserve">http://slimages.macys.com/is/image/MCY/11515405 </v>
      </c>
    </row>
    <row r="877" spans="1:12" ht="24.75" x14ac:dyDescent="0.25">
      <c r="A877" s="4" t="s">
        <v>2044</v>
      </c>
      <c r="B877" s="2" t="s">
        <v>2045</v>
      </c>
      <c r="C877" s="3">
        <v>1</v>
      </c>
      <c r="D877" s="5">
        <v>9.99</v>
      </c>
      <c r="E877" s="3" t="s">
        <v>2046</v>
      </c>
      <c r="F877" s="2" t="s">
        <v>94</v>
      </c>
      <c r="G877" s="6" t="s">
        <v>154</v>
      </c>
      <c r="H877" s="2" t="s">
        <v>1473</v>
      </c>
      <c r="I877" s="2" t="s">
        <v>1426</v>
      </c>
      <c r="J877" s="2" t="s">
        <v>19</v>
      </c>
      <c r="K877" s="2" t="s">
        <v>495</v>
      </c>
      <c r="L877" s="7" t="str">
        <f>HYPERLINK("http://slimages.macys.com/is/image/MCY/11533691 ")</f>
        <v xml:space="preserve">http://slimages.macys.com/is/image/MCY/11533691 </v>
      </c>
    </row>
    <row r="878" spans="1:12" ht="24.75" x14ac:dyDescent="0.25">
      <c r="A878" s="4" t="s">
        <v>2047</v>
      </c>
      <c r="B878" s="2" t="s">
        <v>2048</v>
      </c>
      <c r="C878" s="3">
        <v>1</v>
      </c>
      <c r="D878" s="5">
        <v>9.99</v>
      </c>
      <c r="E878" s="3" t="s">
        <v>2049</v>
      </c>
      <c r="F878" s="2" t="s">
        <v>413</v>
      </c>
      <c r="G878" s="6" t="s">
        <v>154</v>
      </c>
      <c r="H878" s="2" t="s">
        <v>1473</v>
      </c>
      <c r="I878" s="2" t="s">
        <v>1426</v>
      </c>
      <c r="J878" s="2" t="s">
        <v>19</v>
      </c>
      <c r="K878" s="2" t="s">
        <v>495</v>
      </c>
      <c r="L878" s="7" t="str">
        <f>HYPERLINK("http://slimages.macys.com/is/image/MCY/11830759 ")</f>
        <v xml:space="preserve">http://slimages.macys.com/is/image/MCY/11830759 </v>
      </c>
    </row>
    <row r="879" spans="1:12" ht="24.75" x14ac:dyDescent="0.25">
      <c r="A879" s="4" t="s">
        <v>2050</v>
      </c>
      <c r="B879" s="2" t="s">
        <v>2051</v>
      </c>
      <c r="C879" s="3">
        <v>1</v>
      </c>
      <c r="D879" s="5">
        <v>9.99</v>
      </c>
      <c r="E879" s="3" t="s">
        <v>2052</v>
      </c>
      <c r="F879" s="2" t="s">
        <v>26</v>
      </c>
      <c r="G879" s="6" t="s">
        <v>234</v>
      </c>
      <c r="H879" s="2" t="s">
        <v>1473</v>
      </c>
      <c r="I879" s="2" t="s">
        <v>1426</v>
      </c>
      <c r="J879" s="2" t="s">
        <v>19</v>
      </c>
      <c r="K879" s="2" t="s">
        <v>495</v>
      </c>
      <c r="L879" s="7" t="str">
        <f>HYPERLINK("http://slimages.macys.com/is/image/MCY/12267126 ")</f>
        <v xml:space="preserve">http://slimages.macys.com/is/image/MCY/12267126 </v>
      </c>
    </row>
    <row r="880" spans="1:12" ht="24.75" x14ac:dyDescent="0.25">
      <c r="A880" s="4" t="s">
        <v>2053</v>
      </c>
      <c r="B880" s="2" t="s">
        <v>2051</v>
      </c>
      <c r="C880" s="3">
        <v>1</v>
      </c>
      <c r="D880" s="5">
        <v>9.99</v>
      </c>
      <c r="E880" s="3" t="s">
        <v>2052</v>
      </c>
      <c r="F880" s="2" t="s">
        <v>26</v>
      </c>
      <c r="G880" s="6" t="s">
        <v>156</v>
      </c>
      <c r="H880" s="2" t="s">
        <v>1473</v>
      </c>
      <c r="I880" s="2" t="s">
        <v>1426</v>
      </c>
      <c r="J880" s="2" t="s">
        <v>19</v>
      </c>
      <c r="K880" s="2" t="s">
        <v>495</v>
      </c>
      <c r="L880" s="7" t="str">
        <f>HYPERLINK("http://slimages.macys.com/is/image/MCY/12267126 ")</f>
        <v xml:space="preserve">http://slimages.macys.com/is/image/MCY/12267126 </v>
      </c>
    </row>
    <row r="881" spans="1:12" ht="24.75" x14ac:dyDescent="0.25">
      <c r="A881" s="4" t="s">
        <v>2054</v>
      </c>
      <c r="B881" s="2" t="s">
        <v>2055</v>
      </c>
      <c r="C881" s="3">
        <v>1</v>
      </c>
      <c r="D881" s="5">
        <v>9.99</v>
      </c>
      <c r="E881" s="3" t="s">
        <v>2056</v>
      </c>
      <c r="F881" s="2" t="s">
        <v>79</v>
      </c>
      <c r="G881" s="6"/>
      <c r="H881" s="2" t="s">
        <v>1425</v>
      </c>
      <c r="I881" s="2" t="s">
        <v>1426</v>
      </c>
      <c r="J881" s="2" t="s">
        <v>19</v>
      </c>
      <c r="K881" s="2" t="s">
        <v>495</v>
      </c>
      <c r="L881" s="7" t="str">
        <f>HYPERLINK("http://slimages.macys.com/is/image/MCY/12645213 ")</f>
        <v xml:space="preserve">http://slimages.macys.com/is/image/MCY/12645213 </v>
      </c>
    </row>
    <row r="882" spans="1:12" ht="24.75" x14ac:dyDescent="0.25">
      <c r="A882" s="4" t="s">
        <v>2057</v>
      </c>
      <c r="B882" s="2" t="s">
        <v>2058</v>
      </c>
      <c r="C882" s="3">
        <v>1</v>
      </c>
      <c r="D882" s="5">
        <v>9.99</v>
      </c>
      <c r="E882" s="3" t="s">
        <v>2059</v>
      </c>
      <c r="F882" s="2" t="s">
        <v>136</v>
      </c>
      <c r="G882" s="6" t="s">
        <v>156</v>
      </c>
      <c r="H882" s="2" t="s">
        <v>1473</v>
      </c>
      <c r="I882" s="2" t="s">
        <v>1426</v>
      </c>
      <c r="J882" s="2" t="s">
        <v>19</v>
      </c>
      <c r="K882" s="2" t="s">
        <v>495</v>
      </c>
      <c r="L882" s="7" t="str">
        <f>HYPERLINK("http://slimages.macys.com/is/image/MCY/12645133 ")</f>
        <v xml:space="preserve">http://slimages.macys.com/is/image/MCY/12645133 </v>
      </c>
    </row>
    <row r="883" spans="1:12" ht="24.75" x14ac:dyDescent="0.25">
      <c r="A883" s="4" t="s">
        <v>2060</v>
      </c>
      <c r="B883" s="2" t="s">
        <v>2061</v>
      </c>
      <c r="C883" s="3">
        <v>1</v>
      </c>
      <c r="D883" s="5">
        <v>9.99</v>
      </c>
      <c r="E883" s="3" t="s">
        <v>2062</v>
      </c>
      <c r="F883" s="2" t="s">
        <v>331</v>
      </c>
      <c r="G883" s="6" t="s">
        <v>219</v>
      </c>
      <c r="H883" s="2" t="s">
        <v>1425</v>
      </c>
      <c r="I883" s="2" t="s">
        <v>1426</v>
      </c>
      <c r="J883" s="2" t="s">
        <v>19</v>
      </c>
      <c r="K883" s="2" t="s">
        <v>495</v>
      </c>
      <c r="L883" s="7" t="str">
        <f>HYPERLINK("http://slimages.macys.com/is/image/MCY/11915620 ")</f>
        <v xml:space="preserve">http://slimages.macys.com/is/image/MCY/11915620 </v>
      </c>
    </row>
    <row r="884" spans="1:12" ht="24.75" x14ac:dyDescent="0.25">
      <c r="A884" s="4" t="s">
        <v>2063</v>
      </c>
      <c r="B884" s="2" t="s">
        <v>2064</v>
      </c>
      <c r="C884" s="3">
        <v>1</v>
      </c>
      <c r="D884" s="5">
        <v>9.99</v>
      </c>
      <c r="E884" s="3" t="s">
        <v>2065</v>
      </c>
      <c r="F884" s="2" t="s">
        <v>74</v>
      </c>
      <c r="G884" s="6"/>
      <c r="H884" s="2" t="s">
        <v>1425</v>
      </c>
      <c r="I884" s="2" t="s">
        <v>1426</v>
      </c>
      <c r="J884" s="2" t="s">
        <v>19</v>
      </c>
      <c r="K884" s="2" t="s">
        <v>990</v>
      </c>
      <c r="L884" s="7" t="str">
        <f>HYPERLINK("http://slimages.macys.com/is/image/MCY/10464932 ")</f>
        <v xml:space="preserve">http://slimages.macys.com/is/image/MCY/10464932 </v>
      </c>
    </row>
    <row r="885" spans="1:12" ht="24.75" x14ac:dyDescent="0.25">
      <c r="A885" s="4" t="s">
        <v>2066</v>
      </c>
      <c r="B885" s="2" t="s">
        <v>2064</v>
      </c>
      <c r="C885" s="3">
        <v>1</v>
      </c>
      <c r="D885" s="5">
        <v>9.99</v>
      </c>
      <c r="E885" s="3" t="s">
        <v>2065</v>
      </c>
      <c r="F885" s="2" t="s">
        <v>1322</v>
      </c>
      <c r="G885" s="6"/>
      <c r="H885" s="2" t="s">
        <v>1425</v>
      </c>
      <c r="I885" s="2" t="s">
        <v>1426</v>
      </c>
      <c r="J885" s="2" t="s">
        <v>19</v>
      </c>
      <c r="K885" s="2" t="s">
        <v>990</v>
      </c>
      <c r="L885" s="7" t="str">
        <f>HYPERLINK("http://slimages.macys.com/is/image/MCY/10464932 ")</f>
        <v xml:space="preserve">http://slimages.macys.com/is/image/MCY/10464932 </v>
      </c>
    </row>
    <row r="886" spans="1:12" ht="24.75" x14ac:dyDescent="0.25">
      <c r="A886" s="4" t="s">
        <v>2067</v>
      </c>
      <c r="B886" s="2" t="s">
        <v>2068</v>
      </c>
      <c r="C886" s="3">
        <v>1</v>
      </c>
      <c r="D886" s="5">
        <v>12.99</v>
      </c>
      <c r="E886" s="3" t="s">
        <v>2069</v>
      </c>
      <c r="F886" s="2" t="s">
        <v>111</v>
      </c>
      <c r="G886" s="6" t="s">
        <v>156</v>
      </c>
      <c r="H886" s="2" t="s">
        <v>194</v>
      </c>
      <c r="I886" s="2" t="s">
        <v>195</v>
      </c>
      <c r="J886" s="2" t="s">
        <v>19</v>
      </c>
      <c r="K886" s="2" t="s">
        <v>648</v>
      </c>
      <c r="L886" s="7" t="str">
        <f>HYPERLINK("http://slimages.macys.com/is/image/MCY/12316464 ")</f>
        <v xml:space="preserve">http://slimages.macys.com/is/image/MCY/12316464 </v>
      </c>
    </row>
    <row r="887" spans="1:12" ht="24.75" x14ac:dyDescent="0.25">
      <c r="A887" s="4" t="s">
        <v>2070</v>
      </c>
      <c r="B887" s="2" t="s">
        <v>2068</v>
      </c>
      <c r="C887" s="3">
        <v>1</v>
      </c>
      <c r="D887" s="5">
        <v>12.99</v>
      </c>
      <c r="E887" s="3" t="s">
        <v>2069</v>
      </c>
      <c r="F887" s="2" t="s">
        <v>64</v>
      </c>
      <c r="G887" s="6" t="s">
        <v>181</v>
      </c>
      <c r="H887" s="2" t="s">
        <v>194</v>
      </c>
      <c r="I887" s="2" t="s">
        <v>195</v>
      </c>
      <c r="J887" s="2" t="s">
        <v>19</v>
      </c>
      <c r="K887" s="2" t="s">
        <v>648</v>
      </c>
      <c r="L887" s="7" t="str">
        <f>HYPERLINK("http://slimages.macys.com/is/image/MCY/12316464 ")</f>
        <v xml:space="preserve">http://slimages.macys.com/is/image/MCY/12316464 </v>
      </c>
    </row>
    <row r="888" spans="1:12" ht="24.75" x14ac:dyDescent="0.25">
      <c r="A888" s="4" t="s">
        <v>2071</v>
      </c>
      <c r="B888" s="2" t="s">
        <v>2072</v>
      </c>
      <c r="C888" s="3">
        <v>1</v>
      </c>
      <c r="D888" s="5">
        <v>9.99</v>
      </c>
      <c r="E888" s="3" t="s">
        <v>2073</v>
      </c>
      <c r="F888" s="2" t="s">
        <v>1788</v>
      </c>
      <c r="G888" s="6"/>
      <c r="H888" s="2" t="s">
        <v>1425</v>
      </c>
      <c r="I888" s="2" t="s">
        <v>1426</v>
      </c>
      <c r="J888" s="2" t="s">
        <v>19</v>
      </c>
      <c r="K888" s="2" t="s">
        <v>990</v>
      </c>
      <c r="L888" s="7" t="str">
        <f>HYPERLINK("http://slimages.macys.com/is/image/MCY/10741444 ")</f>
        <v xml:space="preserve">http://slimages.macys.com/is/image/MCY/10741444 </v>
      </c>
    </row>
    <row r="889" spans="1:12" ht="24.75" x14ac:dyDescent="0.25">
      <c r="A889" s="4" t="s">
        <v>2074</v>
      </c>
      <c r="B889" s="2" t="s">
        <v>2075</v>
      </c>
      <c r="C889" s="3">
        <v>1</v>
      </c>
      <c r="D889" s="5">
        <v>9.99</v>
      </c>
      <c r="E889" s="3" t="s">
        <v>2076</v>
      </c>
      <c r="F889" s="2" t="s">
        <v>33</v>
      </c>
      <c r="G889" s="6" t="s">
        <v>200</v>
      </c>
      <c r="H889" s="2" t="s">
        <v>1473</v>
      </c>
      <c r="I889" s="2" t="s">
        <v>1426</v>
      </c>
      <c r="J889" s="2" t="s">
        <v>19</v>
      </c>
      <c r="K889" s="2" t="s">
        <v>990</v>
      </c>
      <c r="L889" s="7" t="str">
        <f t="shared" ref="L889:L894" si="12">HYPERLINK("http://slimages.macys.com/is/image/MCY/15161436 ")</f>
        <v xml:space="preserve">http://slimages.macys.com/is/image/MCY/15161436 </v>
      </c>
    </row>
    <row r="890" spans="1:12" ht="24.75" x14ac:dyDescent="0.25">
      <c r="A890" s="4" t="s">
        <v>2077</v>
      </c>
      <c r="B890" s="2" t="s">
        <v>2075</v>
      </c>
      <c r="C890" s="3">
        <v>1</v>
      </c>
      <c r="D890" s="5">
        <v>9.99</v>
      </c>
      <c r="E890" s="3" t="s">
        <v>2076</v>
      </c>
      <c r="F890" s="2" t="s">
        <v>33</v>
      </c>
      <c r="G890" s="6" t="s">
        <v>234</v>
      </c>
      <c r="H890" s="2" t="s">
        <v>1473</v>
      </c>
      <c r="I890" s="2" t="s">
        <v>1426</v>
      </c>
      <c r="J890" s="2" t="s">
        <v>19</v>
      </c>
      <c r="K890" s="2" t="s">
        <v>990</v>
      </c>
      <c r="L890" s="7" t="str">
        <f t="shared" si="12"/>
        <v xml:space="preserve">http://slimages.macys.com/is/image/MCY/15161436 </v>
      </c>
    </row>
    <row r="891" spans="1:12" ht="24.75" x14ac:dyDescent="0.25">
      <c r="A891" s="4" t="s">
        <v>2078</v>
      </c>
      <c r="B891" s="2" t="s">
        <v>2075</v>
      </c>
      <c r="C891" s="3">
        <v>1</v>
      </c>
      <c r="D891" s="5">
        <v>9.99</v>
      </c>
      <c r="E891" s="3" t="s">
        <v>2076</v>
      </c>
      <c r="F891" s="2" t="s">
        <v>413</v>
      </c>
      <c r="G891" s="6" t="s">
        <v>181</v>
      </c>
      <c r="H891" s="2" t="s">
        <v>1473</v>
      </c>
      <c r="I891" s="2" t="s">
        <v>1426</v>
      </c>
      <c r="J891" s="2" t="s">
        <v>19</v>
      </c>
      <c r="K891" s="2" t="s">
        <v>990</v>
      </c>
      <c r="L891" s="7" t="str">
        <f t="shared" si="12"/>
        <v xml:space="preserve">http://slimages.macys.com/is/image/MCY/15161436 </v>
      </c>
    </row>
    <row r="892" spans="1:12" ht="24.75" x14ac:dyDescent="0.25">
      <c r="A892" s="4" t="s">
        <v>2079</v>
      </c>
      <c r="B892" s="2" t="s">
        <v>2075</v>
      </c>
      <c r="C892" s="3">
        <v>1</v>
      </c>
      <c r="D892" s="5">
        <v>9.99</v>
      </c>
      <c r="E892" s="3" t="s">
        <v>2076</v>
      </c>
      <c r="F892" s="2" t="s">
        <v>26</v>
      </c>
      <c r="G892" s="6" t="s">
        <v>154</v>
      </c>
      <c r="H892" s="2" t="s">
        <v>1473</v>
      </c>
      <c r="I892" s="2" t="s">
        <v>1426</v>
      </c>
      <c r="J892" s="2" t="s">
        <v>19</v>
      </c>
      <c r="K892" s="2" t="s">
        <v>990</v>
      </c>
      <c r="L892" s="7" t="str">
        <f t="shared" si="12"/>
        <v xml:space="preserve">http://slimages.macys.com/is/image/MCY/15161436 </v>
      </c>
    </row>
    <row r="893" spans="1:12" ht="24.75" x14ac:dyDescent="0.25">
      <c r="A893" s="4" t="s">
        <v>2080</v>
      </c>
      <c r="B893" s="2" t="s">
        <v>2075</v>
      </c>
      <c r="C893" s="3">
        <v>1</v>
      </c>
      <c r="D893" s="5">
        <v>9.99</v>
      </c>
      <c r="E893" s="3" t="s">
        <v>2076</v>
      </c>
      <c r="F893" s="2" t="s">
        <v>1945</v>
      </c>
      <c r="G893" s="6" t="s">
        <v>234</v>
      </c>
      <c r="H893" s="2" t="s">
        <v>1473</v>
      </c>
      <c r="I893" s="2" t="s">
        <v>1426</v>
      </c>
      <c r="J893" s="2" t="s">
        <v>19</v>
      </c>
      <c r="K893" s="2" t="s">
        <v>990</v>
      </c>
      <c r="L893" s="7" t="str">
        <f t="shared" si="12"/>
        <v xml:space="preserve">http://slimages.macys.com/is/image/MCY/15161436 </v>
      </c>
    </row>
    <row r="894" spans="1:12" ht="24.75" x14ac:dyDescent="0.25">
      <c r="A894" s="4" t="s">
        <v>2081</v>
      </c>
      <c r="B894" s="2" t="s">
        <v>2075</v>
      </c>
      <c r="C894" s="3">
        <v>1</v>
      </c>
      <c r="D894" s="5">
        <v>9.99</v>
      </c>
      <c r="E894" s="3" t="s">
        <v>2076</v>
      </c>
      <c r="F894" s="2" t="s">
        <v>15</v>
      </c>
      <c r="G894" s="6" t="s">
        <v>245</v>
      </c>
      <c r="H894" s="2" t="s">
        <v>1473</v>
      </c>
      <c r="I894" s="2" t="s">
        <v>1426</v>
      </c>
      <c r="J894" s="2" t="s">
        <v>19</v>
      </c>
      <c r="K894" s="2" t="s">
        <v>990</v>
      </c>
      <c r="L894" s="7" t="str">
        <f t="shared" si="12"/>
        <v xml:space="preserve">http://slimages.macys.com/is/image/MCY/15161436 </v>
      </c>
    </row>
    <row r="895" spans="1:12" ht="24.75" x14ac:dyDescent="0.25">
      <c r="A895" s="4" t="s">
        <v>2082</v>
      </c>
      <c r="B895" s="2" t="s">
        <v>2083</v>
      </c>
      <c r="C895" s="3">
        <v>1</v>
      </c>
      <c r="D895" s="5">
        <v>9.99</v>
      </c>
      <c r="E895" s="3" t="s">
        <v>2084</v>
      </c>
      <c r="F895" s="2" t="s">
        <v>417</v>
      </c>
      <c r="G895" s="6" t="s">
        <v>156</v>
      </c>
      <c r="H895" s="2" t="s">
        <v>1473</v>
      </c>
      <c r="I895" s="2" t="s">
        <v>1426</v>
      </c>
      <c r="J895" s="2" t="s">
        <v>19</v>
      </c>
      <c r="K895" s="2" t="s">
        <v>648</v>
      </c>
      <c r="L895" s="7" t="str">
        <f>HYPERLINK("http://slimages.macys.com/is/image/MCY/10703349 ")</f>
        <v xml:space="preserve">http://slimages.macys.com/is/image/MCY/10703349 </v>
      </c>
    </row>
    <row r="896" spans="1:12" ht="24.75" x14ac:dyDescent="0.25">
      <c r="A896" s="4" t="s">
        <v>2085</v>
      </c>
      <c r="B896" s="2" t="s">
        <v>2083</v>
      </c>
      <c r="C896" s="3">
        <v>1</v>
      </c>
      <c r="D896" s="5">
        <v>9.99</v>
      </c>
      <c r="E896" s="3" t="s">
        <v>2084</v>
      </c>
      <c r="F896" s="2" t="s">
        <v>15</v>
      </c>
      <c r="G896" s="6" t="s">
        <v>154</v>
      </c>
      <c r="H896" s="2" t="s">
        <v>1473</v>
      </c>
      <c r="I896" s="2" t="s">
        <v>1426</v>
      </c>
      <c r="J896" s="2" t="s">
        <v>19</v>
      </c>
      <c r="K896" s="2" t="s">
        <v>648</v>
      </c>
      <c r="L896" s="7" t="str">
        <f>HYPERLINK("http://slimages.macys.com/is/image/MCY/10703349 ")</f>
        <v xml:space="preserve">http://slimages.macys.com/is/image/MCY/10703349 </v>
      </c>
    </row>
    <row r="897" spans="1:12" ht="24.75" x14ac:dyDescent="0.25">
      <c r="A897" s="4" t="s">
        <v>2086</v>
      </c>
      <c r="B897" s="2" t="s">
        <v>2087</v>
      </c>
      <c r="C897" s="3">
        <v>1</v>
      </c>
      <c r="D897" s="5">
        <v>9.99</v>
      </c>
      <c r="E897" s="3" t="s">
        <v>2088</v>
      </c>
      <c r="F897" s="2" t="s">
        <v>94</v>
      </c>
      <c r="G897" s="6" t="s">
        <v>181</v>
      </c>
      <c r="H897" s="2" t="s">
        <v>1473</v>
      </c>
      <c r="I897" s="2" t="s">
        <v>1426</v>
      </c>
      <c r="J897" s="2" t="s">
        <v>19</v>
      </c>
      <c r="K897" s="2" t="s">
        <v>648</v>
      </c>
      <c r="L897" s="7" t="str">
        <f>HYPERLINK("http://slimages.macys.com/is/image/MCY/3559834 ")</f>
        <v xml:space="preserve">http://slimages.macys.com/is/image/MCY/3559834 </v>
      </c>
    </row>
    <row r="898" spans="1:12" ht="24.75" x14ac:dyDescent="0.25">
      <c r="A898" s="4" t="s">
        <v>2089</v>
      </c>
      <c r="B898" s="2" t="s">
        <v>2090</v>
      </c>
      <c r="C898" s="3">
        <v>1</v>
      </c>
      <c r="D898" s="5">
        <v>9.99</v>
      </c>
      <c r="E898" s="3" t="s">
        <v>2091</v>
      </c>
      <c r="F898" s="2" t="s">
        <v>94</v>
      </c>
      <c r="G898" s="6" t="s">
        <v>154</v>
      </c>
      <c r="H898" s="2" t="s">
        <v>1473</v>
      </c>
      <c r="I898" s="2" t="s">
        <v>1426</v>
      </c>
      <c r="J898" s="2" t="s">
        <v>19</v>
      </c>
      <c r="K898" s="2" t="s">
        <v>495</v>
      </c>
      <c r="L898" s="7" t="str">
        <f>HYPERLINK("http://slimages.macys.com/is/image/MCY/11531541 ")</f>
        <v xml:space="preserve">http://slimages.macys.com/is/image/MCY/11531541 </v>
      </c>
    </row>
    <row r="899" spans="1:12" ht="24.75" x14ac:dyDescent="0.25">
      <c r="A899" s="4" t="s">
        <v>2092</v>
      </c>
      <c r="B899" s="2" t="s">
        <v>2093</v>
      </c>
      <c r="C899" s="3">
        <v>1</v>
      </c>
      <c r="D899" s="5">
        <v>9.99</v>
      </c>
      <c r="E899" s="3" t="s">
        <v>2094</v>
      </c>
      <c r="F899" s="2" t="s">
        <v>136</v>
      </c>
      <c r="G899" s="6" t="s">
        <v>156</v>
      </c>
      <c r="H899" s="2" t="s">
        <v>1473</v>
      </c>
      <c r="I899" s="2" t="s">
        <v>1426</v>
      </c>
      <c r="J899" s="2" t="s">
        <v>19</v>
      </c>
      <c r="K899" s="2" t="s">
        <v>495</v>
      </c>
      <c r="L899" s="7" t="str">
        <f>HYPERLINK("http://slimages.macys.com/is/image/MCY/10464865 ")</f>
        <v xml:space="preserve">http://slimages.macys.com/is/image/MCY/10464865 </v>
      </c>
    </row>
    <row r="900" spans="1:12" ht="24.75" x14ac:dyDescent="0.25">
      <c r="A900" s="4" t="s">
        <v>2095</v>
      </c>
      <c r="B900" s="2" t="s">
        <v>2093</v>
      </c>
      <c r="C900" s="3">
        <v>1</v>
      </c>
      <c r="D900" s="5">
        <v>9.99</v>
      </c>
      <c r="E900" s="3" t="s">
        <v>2094</v>
      </c>
      <c r="F900" s="2" t="s">
        <v>1322</v>
      </c>
      <c r="G900" s="6" t="s">
        <v>181</v>
      </c>
      <c r="H900" s="2" t="s">
        <v>1473</v>
      </c>
      <c r="I900" s="2" t="s">
        <v>1426</v>
      </c>
      <c r="J900" s="2" t="s">
        <v>19</v>
      </c>
      <c r="K900" s="2" t="s">
        <v>495</v>
      </c>
      <c r="L900" s="7" t="str">
        <f>HYPERLINK("http://slimages.macys.com/is/image/MCY/10464865 ")</f>
        <v xml:space="preserve">http://slimages.macys.com/is/image/MCY/10464865 </v>
      </c>
    </row>
    <row r="901" spans="1:12" ht="24.75" x14ac:dyDescent="0.25">
      <c r="A901" s="4" t="s">
        <v>2096</v>
      </c>
      <c r="B901" s="2" t="s">
        <v>2097</v>
      </c>
      <c r="C901" s="3">
        <v>1</v>
      </c>
      <c r="D901" s="5">
        <v>9.99</v>
      </c>
      <c r="E901" s="3" t="s">
        <v>2098</v>
      </c>
      <c r="F901" s="2" t="s">
        <v>26</v>
      </c>
      <c r="G901" s="6" t="s">
        <v>156</v>
      </c>
      <c r="H901" s="2" t="s">
        <v>1473</v>
      </c>
      <c r="I901" s="2" t="s">
        <v>1426</v>
      </c>
      <c r="J901" s="2" t="s">
        <v>19</v>
      </c>
      <c r="K901" s="2" t="s">
        <v>495</v>
      </c>
      <c r="L901" s="7" t="str">
        <f>HYPERLINK("http://slimages.macys.com/is/image/MCY/12269153 ")</f>
        <v xml:space="preserve">http://slimages.macys.com/is/image/MCY/12269153 </v>
      </c>
    </row>
    <row r="902" spans="1:12" ht="24.75" x14ac:dyDescent="0.25">
      <c r="A902" s="4" t="s">
        <v>2099</v>
      </c>
      <c r="B902" s="2" t="s">
        <v>2100</v>
      </c>
      <c r="C902" s="3">
        <v>1</v>
      </c>
      <c r="D902" s="5">
        <v>9.99</v>
      </c>
      <c r="E902" s="3" t="s">
        <v>2101</v>
      </c>
      <c r="F902" s="2" t="s">
        <v>26</v>
      </c>
      <c r="G902" s="6" t="s">
        <v>234</v>
      </c>
      <c r="H902" s="2" t="s">
        <v>1473</v>
      </c>
      <c r="I902" s="2" t="s">
        <v>1426</v>
      </c>
      <c r="J902" s="2" t="s">
        <v>19</v>
      </c>
      <c r="K902" s="2" t="s">
        <v>495</v>
      </c>
      <c r="L902" s="7" t="str">
        <f>HYPERLINK("http://slimages.macys.com/is/image/MCY/11774903 ")</f>
        <v xml:space="preserve">http://slimages.macys.com/is/image/MCY/11774903 </v>
      </c>
    </row>
    <row r="903" spans="1:12" ht="24.75" x14ac:dyDescent="0.25">
      <c r="A903" s="4" t="s">
        <v>2102</v>
      </c>
      <c r="B903" s="2" t="s">
        <v>2103</v>
      </c>
      <c r="C903" s="3">
        <v>1</v>
      </c>
      <c r="D903" s="5">
        <v>9.99</v>
      </c>
      <c r="E903" s="3" t="s">
        <v>2104</v>
      </c>
      <c r="F903" s="2" t="s">
        <v>15</v>
      </c>
      <c r="G903" s="6" t="s">
        <v>181</v>
      </c>
      <c r="H903" s="2" t="s">
        <v>1473</v>
      </c>
      <c r="I903" s="2" t="s">
        <v>1426</v>
      </c>
      <c r="J903" s="2" t="s">
        <v>19</v>
      </c>
      <c r="K903" s="2" t="s">
        <v>495</v>
      </c>
      <c r="L903" s="7" t="str">
        <f>HYPERLINK("http://slimages.macys.com/is/image/MCY/10746425 ")</f>
        <v xml:space="preserve">http://slimages.macys.com/is/image/MCY/10746425 </v>
      </c>
    </row>
    <row r="904" spans="1:12" ht="24.75" x14ac:dyDescent="0.25">
      <c r="A904" s="4" t="s">
        <v>2105</v>
      </c>
      <c r="B904" s="2" t="s">
        <v>2093</v>
      </c>
      <c r="C904" s="3">
        <v>1</v>
      </c>
      <c r="D904" s="5">
        <v>9.99</v>
      </c>
      <c r="E904" s="3" t="s">
        <v>2094</v>
      </c>
      <c r="F904" s="2" t="s">
        <v>74</v>
      </c>
      <c r="G904" s="6" t="s">
        <v>181</v>
      </c>
      <c r="H904" s="2" t="s">
        <v>1473</v>
      </c>
      <c r="I904" s="2" t="s">
        <v>1426</v>
      </c>
      <c r="J904" s="2" t="s">
        <v>19</v>
      </c>
      <c r="K904" s="2" t="s">
        <v>495</v>
      </c>
      <c r="L904" s="7" t="str">
        <f>HYPERLINK("http://slimages.macys.com/is/image/MCY/10464865 ")</f>
        <v xml:space="preserve">http://slimages.macys.com/is/image/MCY/10464865 </v>
      </c>
    </row>
    <row r="905" spans="1:12" ht="24.75" x14ac:dyDescent="0.25">
      <c r="A905" s="4" t="s">
        <v>2106</v>
      </c>
      <c r="B905" s="2" t="s">
        <v>2107</v>
      </c>
      <c r="C905" s="3">
        <v>1</v>
      </c>
      <c r="D905" s="5">
        <v>9.99</v>
      </c>
      <c r="E905" s="3" t="s">
        <v>2108</v>
      </c>
      <c r="F905" s="2" t="s">
        <v>1322</v>
      </c>
      <c r="G905" s="6" t="s">
        <v>234</v>
      </c>
      <c r="H905" s="2" t="s">
        <v>1473</v>
      </c>
      <c r="I905" s="2" t="s">
        <v>1426</v>
      </c>
      <c r="J905" s="2" t="s">
        <v>19</v>
      </c>
      <c r="K905" s="2" t="s">
        <v>495</v>
      </c>
      <c r="L905" s="7" t="str">
        <f>HYPERLINK("http://slimages.macys.com/is/image/MCY/10746269 ")</f>
        <v xml:space="preserve">http://slimages.macys.com/is/image/MCY/10746269 </v>
      </c>
    </row>
    <row r="906" spans="1:12" ht="24.75" x14ac:dyDescent="0.25">
      <c r="A906" s="4" t="s">
        <v>2109</v>
      </c>
      <c r="B906" s="2" t="s">
        <v>2110</v>
      </c>
      <c r="C906" s="3">
        <v>1</v>
      </c>
      <c r="D906" s="5">
        <v>9.99</v>
      </c>
      <c r="E906" s="3" t="s">
        <v>2111</v>
      </c>
      <c r="F906" s="2" t="s">
        <v>1322</v>
      </c>
      <c r="G906" s="6" t="s">
        <v>156</v>
      </c>
      <c r="H906" s="2" t="s">
        <v>1473</v>
      </c>
      <c r="I906" s="2" t="s">
        <v>1426</v>
      </c>
      <c r="J906" s="2" t="s">
        <v>19</v>
      </c>
      <c r="K906" s="2" t="s">
        <v>648</v>
      </c>
      <c r="L906" s="7" t="str">
        <f>HYPERLINK("http://slimages.macys.com/is/image/MCY/10746456 ")</f>
        <v xml:space="preserve">http://slimages.macys.com/is/image/MCY/10746456 </v>
      </c>
    </row>
    <row r="907" spans="1:12" ht="24.75" x14ac:dyDescent="0.25">
      <c r="A907" s="4" t="s">
        <v>2112</v>
      </c>
      <c r="B907" s="2" t="s">
        <v>2113</v>
      </c>
      <c r="C907" s="3">
        <v>1</v>
      </c>
      <c r="D907" s="5">
        <v>9.99</v>
      </c>
      <c r="E907" s="3" t="s">
        <v>2114</v>
      </c>
      <c r="F907" s="2" t="s">
        <v>74</v>
      </c>
      <c r="G907" s="6"/>
      <c r="H907" s="2" t="s">
        <v>1425</v>
      </c>
      <c r="I907" s="2" t="s">
        <v>1426</v>
      </c>
      <c r="J907" s="2" t="s">
        <v>19</v>
      </c>
      <c r="K907" s="2" t="s">
        <v>648</v>
      </c>
      <c r="L907" s="7" t="str">
        <f>HYPERLINK("http://slimages.macys.com/is/image/MCY/10703601 ")</f>
        <v xml:space="preserve">http://slimages.macys.com/is/image/MCY/10703601 </v>
      </c>
    </row>
    <row r="908" spans="1:12" ht="24.75" x14ac:dyDescent="0.25">
      <c r="A908" s="4" t="s">
        <v>2115</v>
      </c>
      <c r="B908" s="2" t="s">
        <v>2116</v>
      </c>
      <c r="C908" s="3">
        <v>1</v>
      </c>
      <c r="D908" s="5">
        <v>37.130000000000003</v>
      </c>
      <c r="E908" s="3" t="s">
        <v>2117</v>
      </c>
      <c r="F908" s="2" t="s">
        <v>572</v>
      </c>
      <c r="G908" s="6" t="s">
        <v>112</v>
      </c>
      <c r="H908" s="2" t="s">
        <v>246</v>
      </c>
      <c r="I908" s="2" t="s">
        <v>487</v>
      </c>
      <c r="J908" s="2"/>
      <c r="K908" s="2"/>
      <c r="L908" s="7"/>
    </row>
    <row r="909" spans="1:12" ht="24.75" x14ac:dyDescent="0.25">
      <c r="A909" s="4" t="s">
        <v>2118</v>
      </c>
      <c r="B909" s="2" t="s">
        <v>2116</v>
      </c>
      <c r="C909" s="3">
        <v>1</v>
      </c>
      <c r="D909" s="5">
        <v>37.130000000000003</v>
      </c>
      <c r="E909" s="3" t="s">
        <v>2117</v>
      </c>
      <c r="F909" s="2" t="s">
        <v>572</v>
      </c>
      <c r="G909" s="6" t="s">
        <v>65</v>
      </c>
      <c r="H909" s="2" t="s">
        <v>246</v>
      </c>
      <c r="I909" s="2" t="s">
        <v>487</v>
      </c>
      <c r="J909" s="2"/>
      <c r="K909" s="2"/>
      <c r="L909" s="7"/>
    </row>
    <row r="910" spans="1:12" ht="24.75" x14ac:dyDescent="0.25">
      <c r="A910" s="4" t="s">
        <v>2119</v>
      </c>
      <c r="B910" s="2" t="s">
        <v>2120</v>
      </c>
      <c r="C910" s="3">
        <v>1</v>
      </c>
      <c r="D910" s="5">
        <v>40.5</v>
      </c>
      <c r="E910" s="3">
        <v>100067921</v>
      </c>
      <c r="F910" s="2" t="s">
        <v>74</v>
      </c>
      <c r="G910" s="6" t="s">
        <v>65</v>
      </c>
      <c r="H910" s="2" t="s">
        <v>228</v>
      </c>
      <c r="I910" s="2" t="s">
        <v>229</v>
      </c>
      <c r="J910" s="2"/>
      <c r="K910" s="2"/>
      <c r="L910" s="7"/>
    </row>
    <row r="911" spans="1:12" ht="24.75" x14ac:dyDescent="0.25">
      <c r="A911" s="4" t="s">
        <v>2121</v>
      </c>
      <c r="B911" s="2" t="s">
        <v>2120</v>
      </c>
      <c r="C911" s="3">
        <v>1</v>
      </c>
      <c r="D911" s="5">
        <v>40.5</v>
      </c>
      <c r="E911" s="3">
        <v>100067921</v>
      </c>
      <c r="F911" s="2" t="s">
        <v>74</v>
      </c>
      <c r="G911" s="6" t="s">
        <v>22</v>
      </c>
      <c r="H911" s="2" t="s">
        <v>228</v>
      </c>
      <c r="I911" s="2" t="s">
        <v>229</v>
      </c>
      <c r="J911" s="2"/>
      <c r="K911" s="2"/>
      <c r="L911" s="7"/>
    </row>
    <row r="912" spans="1:12" ht="24.75" x14ac:dyDescent="0.25">
      <c r="A912" s="4" t="s">
        <v>2122</v>
      </c>
      <c r="B912" s="2" t="s">
        <v>1873</v>
      </c>
      <c r="C912" s="3">
        <v>1</v>
      </c>
      <c r="D912" s="5">
        <v>17.989999999999998</v>
      </c>
      <c r="E912" s="3" t="s">
        <v>2123</v>
      </c>
      <c r="F912" s="2" t="s">
        <v>413</v>
      </c>
      <c r="G912" s="6" t="s">
        <v>245</v>
      </c>
      <c r="H912" s="2" t="s">
        <v>1522</v>
      </c>
      <c r="I912" s="2" t="s">
        <v>1469</v>
      </c>
      <c r="J912" s="2"/>
      <c r="K912" s="2"/>
      <c r="L912" s="7"/>
    </row>
  </sheetData>
  <pageMargins left="0.5" right="0.5" top="0.25" bottom="0.25" header="0.3" footer="0.3"/>
  <pageSetup scale="65" orientation="landscape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1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8430</v>
      </c>
      <c r="B2" s="2" t="s">
        <v>8431</v>
      </c>
      <c r="C2" s="3">
        <v>1</v>
      </c>
      <c r="D2" s="5">
        <v>168</v>
      </c>
      <c r="E2" s="3" t="s">
        <v>8432</v>
      </c>
      <c r="F2" s="2" t="s">
        <v>26</v>
      </c>
      <c r="G2" s="6" t="s">
        <v>16</v>
      </c>
      <c r="H2" s="2" t="s">
        <v>17</v>
      </c>
      <c r="I2" s="2" t="s">
        <v>18</v>
      </c>
      <c r="J2" s="2" t="s">
        <v>19</v>
      </c>
      <c r="K2" s="2" t="s">
        <v>258</v>
      </c>
      <c r="L2" s="7" t="str">
        <f>HYPERLINK("http://slimages.macys.com/is/image/MCY/12877432 ")</f>
        <v xml:space="preserve">http://slimages.macys.com/is/image/MCY/12877432 </v>
      </c>
    </row>
    <row r="3" spans="1:12" ht="24.75" x14ac:dyDescent="0.25">
      <c r="A3" s="4" t="s">
        <v>8433</v>
      </c>
      <c r="B3" s="2" t="s">
        <v>8434</v>
      </c>
      <c r="C3" s="3">
        <v>1</v>
      </c>
      <c r="D3" s="5">
        <v>139</v>
      </c>
      <c r="E3" s="3">
        <v>10716448</v>
      </c>
      <c r="F3" s="2" t="s">
        <v>998</v>
      </c>
      <c r="G3" s="6" t="s">
        <v>234</v>
      </c>
      <c r="H3" s="2" t="s">
        <v>2154</v>
      </c>
      <c r="I3" s="2" t="s">
        <v>2155</v>
      </c>
      <c r="J3" s="2" t="s">
        <v>19</v>
      </c>
      <c r="K3" s="2" t="s">
        <v>34</v>
      </c>
      <c r="L3" s="7" t="str">
        <f>HYPERLINK("http://slimages.macys.com/is/image/MCY/11625286 ")</f>
        <v xml:space="preserve">http://slimages.macys.com/is/image/MCY/11625286 </v>
      </c>
    </row>
    <row r="4" spans="1:12" ht="36.75" x14ac:dyDescent="0.25">
      <c r="A4" s="4" t="s">
        <v>45</v>
      </c>
      <c r="B4" s="2" t="s">
        <v>46</v>
      </c>
      <c r="C4" s="3">
        <v>1</v>
      </c>
      <c r="D4" s="5">
        <v>158</v>
      </c>
      <c r="E4" s="3" t="s">
        <v>47</v>
      </c>
      <c r="F4" s="2" t="s">
        <v>48</v>
      </c>
      <c r="G4" s="6" t="s">
        <v>22</v>
      </c>
      <c r="H4" s="2" t="s">
        <v>17</v>
      </c>
      <c r="I4" s="2" t="s">
        <v>40</v>
      </c>
      <c r="J4" s="2" t="s">
        <v>19</v>
      </c>
      <c r="K4" s="2" t="s">
        <v>49</v>
      </c>
      <c r="L4" s="7" t="str">
        <f>HYPERLINK("http://slimages.macys.com/is/image/MCY/11948396 ")</f>
        <v xml:space="preserve">http://slimages.macys.com/is/image/MCY/11948396 </v>
      </c>
    </row>
    <row r="5" spans="1:12" ht="36.75" x14ac:dyDescent="0.25">
      <c r="A5" s="4" t="s">
        <v>3286</v>
      </c>
      <c r="B5" s="2" t="s">
        <v>3287</v>
      </c>
      <c r="C5" s="3">
        <v>1</v>
      </c>
      <c r="D5" s="5">
        <v>139</v>
      </c>
      <c r="E5" s="3" t="s">
        <v>3288</v>
      </c>
      <c r="F5" s="2" t="s">
        <v>136</v>
      </c>
      <c r="G5" s="6" t="s">
        <v>16</v>
      </c>
      <c r="H5" s="2" t="s">
        <v>95</v>
      </c>
      <c r="I5" s="2" t="s">
        <v>96</v>
      </c>
      <c r="J5" s="2" t="s">
        <v>19</v>
      </c>
      <c r="K5" s="2" t="s">
        <v>3296</v>
      </c>
      <c r="L5" s="7" t="str">
        <f>HYPERLINK("http://slimages.macys.com/is/image/MCY/12746908 ")</f>
        <v xml:space="preserve">http://slimages.macys.com/is/image/MCY/12746908 </v>
      </c>
    </row>
    <row r="6" spans="1:12" ht="36.75" x14ac:dyDescent="0.25">
      <c r="A6" s="4" t="s">
        <v>8435</v>
      </c>
      <c r="B6" s="2" t="s">
        <v>3287</v>
      </c>
      <c r="C6" s="3">
        <v>1</v>
      </c>
      <c r="D6" s="5">
        <v>139</v>
      </c>
      <c r="E6" s="3" t="s">
        <v>3288</v>
      </c>
      <c r="F6" s="2" t="s">
        <v>136</v>
      </c>
      <c r="G6" s="6" t="s">
        <v>58</v>
      </c>
      <c r="H6" s="2" t="s">
        <v>95</v>
      </c>
      <c r="I6" s="2" t="s">
        <v>96</v>
      </c>
      <c r="J6" s="2" t="s">
        <v>19</v>
      </c>
      <c r="K6" s="2" t="s">
        <v>3296</v>
      </c>
      <c r="L6" s="7" t="str">
        <f>HYPERLINK("http://slimages.macys.com/is/image/MCY/12746908 ")</f>
        <v xml:space="preserve">http://slimages.macys.com/is/image/MCY/12746908 </v>
      </c>
    </row>
    <row r="7" spans="1:12" ht="24.75" x14ac:dyDescent="0.25">
      <c r="A7" s="4" t="s">
        <v>8436</v>
      </c>
      <c r="B7" s="2" t="s">
        <v>62</v>
      </c>
      <c r="C7" s="3">
        <v>1</v>
      </c>
      <c r="D7" s="5">
        <v>148</v>
      </c>
      <c r="E7" s="3" t="s">
        <v>63</v>
      </c>
      <c r="F7" s="2" t="s">
        <v>64</v>
      </c>
      <c r="G7" s="6" t="s">
        <v>27</v>
      </c>
      <c r="H7" s="2" t="s">
        <v>17</v>
      </c>
      <c r="I7" s="2" t="s">
        <v>40</v>
      </c>
      <c r="J7" s="2" t="s">
        <v>19</v>
      </c>
      <c r="K7" s="2" t="s">
        <v>66</v>
      </c>
      <c r="L7" s="7" t="str">
        <f>HYPERLINK("http://slimages.macys.com/is/image/MCY/11454515 ")</f>
        <v xml:space="preserve">http://slimages.macys.com/is/image/MCY/11454515 </v>
      </c>
    </row>
    <row r="8" spans="1:12" ht="24.75" x14ac:dyDescent="0.25">
      <c r="A8" s="4" t="s">
        <v>3297</v>
      </c>
      <c r="B8" s="2" t="s">
        <v>104</v>
      </c>
      <c r="C8" s="3">
        <v>1</v>
      </c>
      <c r="D8" s="5">
        <v>119</v>
      </c>
      <c r="E8" s="3" t="s">
        <v>105</v>
      </c>
      <c r="F8" s="2" t="s">
        <v>26</v>
      </c>
      <c r="G8" s="6" t="s">
        <v>27</v>
      </c>
      <c r="H8" s="2" t="s">
        <v>17</v>
      </c>
      <c r="I8" s="2" t="s">
        <v>18</v>
      </c>
      <c r="J8" s="2" t="s">
        <v>19</v>
      </c>
      <c r="K8" s="2" t="s">
        <v>107</v>
      </c>
      <c r="L8" s="7" t="str">
        <f>HYPERLINK("http://slimages.macys.com/is/image/MCY/12326948 ")</f>
        <v xml:space="preserve">http://slimages.macys.com/is/image/MCY/12326948 </v>
      </c>
    </row>
    <row r="9" spans="1:12" ht="24.75" x14ac:dyDescent="0.25">
      <c r="A9" s="4" t="s">
        <v>2138</v>
      </c>
      <c r="B9" s="2" t="s">
        <v>104</v>
      </c>
      <c r="C9" s="3">
        <v>1</v>
      </c>
      <c r="D9" s="5">
        <v>119</v>
      </c>
      <c r="E9" s="3" t="s">
        <v>105</v>
      </c>
      <c r="F9" s="2" t="s">
        <v>26</v>
      </c>
      <c r="G9" s="6" t="s">
        <v>58</v>
      </c>
      <c r="H9" s="2" t="s">
        <v>17</v>
      </c>
      <c r="I9" s="2" t="s">
        <v>18</v>
      </c>
      <c r="J9" s="2" t="s">
        <v>19</v>
      </c>
      <c r="K9" s="2" t="s">
        <v>107</v>
      </c>
      <c r="L9" s="7" t="str">
        <f>HYPERLINK("http://slimages.macys.com/is/image/MCY/12326948 ")</f>
        <v xml:space="preserve">http://slimages.macys.com/is/image/MCY/12326948 </v>
      </c>
    </row>
    <row r="10" spans="1:12" ht="24.75" x14ac:dyDescent="0.25">
      <c r="A10" s="4" t="s">
        <v>2134</v>
      </c>
      <c r="B10" s="2" t="s">
        <v>104</v>
      </c>
      <c r="C10" s="3">
        <v>1</v>
      </c>
      <c r="D10" s="5">
        <v>119</v>
      </c>
      <c r="E10" s="3" t="s">
        <v>105</v>
      </c>
      <c r="F10" s="2" t="s">
        <v>26</v>
      </c>
      <c r="G10" s="6" t="s">
        <v>16</v>
      </c>
      <c r="H10" s="2" t="s">
        <v>17</v>
      </c>
      <c r="I10" s="2" t="s">
        <v>18</v>
      </c>
      <c r="J10" s="2" t="s">
        <v>19</v>
      </c>
      <c r="K10" s="2" t="s">
        <v>107</v>
      </c>
      <c r="L10" s="7" t="str">
        <f>HYPERLINK("http://slimages.macys.com/is/image/MCY/12326948 ")</f>
        <v xml:space="preserve">http://slimages.macys.com/is/image/MCY/12326948 </v>
      </c>
    </row>
    <row r="11" spans="1:12" ht="24.75" x14ac:dyDescent="0.25">
      <c r="A11" s="4" t="s">
        <v>7038</v>
      </c>
      <c r="B11" s="2" t="s">
        <v>104</v>
      </c>
      <c r="C11" s="3">
        <v>1</v>
      </c>
      <c r="D11" s="5">
        <v>119</v>
      </c>
      <c r="E11" s="3" t="s">
        <v>105</v>
      </c>
      <c r="F11" s="2" t="s">
        <v>26</v>
      </c>
      <c r="G11" s="6" t="s">
        <v>22</v>
      </c>
      <c r="H11" s="2" t="s">
        <v>17</v>
      </c>
      <c r="I11" s="2" t="s">
        <v>18</v>
      </c>
      <c r="J11" s="2" t="s">
        <v>19</v>
      </c>
      <c r="K11" s="2" t="s">
        <v>107</v>
      </c>
      <c r="L11" s="7" t="str">
        <f>HYPERLINK("http://slimages.macys.com/is/image/MCY/12326948 ")</f>
        <v xml:space="preserve">http://slimages.macys.com/is/image/MCY/12326948 </v>
      </c>
    </row>
    <row r="12" spans="1:12" ht="24.75" x14ac:dyDescent="0.25">
      <c r="A12" s="4" t="s">
        <v>8437</v>
      </c>
      <c r="B12" s="2" t="s">
        <v>114</v>
      </c>
      <c r="C12" s="3">
        <v>2</v>
      </c>
      <c r="D12" s="5">
        <v>99</v>
      </c>
      <c r="E12" s="3" t="s">
        <v>115</v>
      </c>
      <c r="F12" s="2" t="s">
        <v>26</v>
      </c>
      <c r="G12" s="6" t="s">
        <v>1085</v>
      </c>
      <c r="H12" s="2" t="s">
        <v>17</v>
      </c>
      <c r="I12" s="2" t="s">
        <v>117</v>
      </c>
      <c r="J12" s="2" t="s">
        <v>19</v>
      </c>
      <c r="K12" s="2" t="s">
        <v>118</v>
      </c>
      <c r="L12" s="7" t="str">
        <f>HYPERLINK("http://slimages.macys.com/is/image/MCY/12669592 ")</f>
        <v xml:space="preserve">http://slimages.macys.com/is/image/MCY/12669592 </v>
      </c>
    </row>
    <row r="13" spans="1:12" ht="24.75" x14ac:dyDescent="0.25">
      <c r="A13" s="4" t="s">
        <v>8438</v>
      </c>
      <c r="B13" s="2" t="s">
        <v>8439</v>
      </c>
      <c r="C13" s="3">
        <v>1</v>
      </c>
      <c r="D13" s="5">
        <v>99</v>
      </c>
      <c r="E13" s="3" t="s">
        <v>8440</v>
      </c>
      <c r="F13" s="2" t="s">
        <v>331</v>
      </c>
      <c r="G13" s="6" t="s">
        <v>58</v>
      </c>
      <c r="H13" s="2" t="s">
        <v>95</v>
      </c>
      <c r="I13" s="2" t="s">
        <v>96</v>
      </c>
      <c r="J13" s="2" t="s">
        <v>19</v>
      </c>
      <c r="K13" s="2" t="s">
        <v>8441</v>
      </c>
      <c r="L13" s="7" t="str">
        <f>HYPERLINK("http://slimages.macys.com/is/image/MCY/12794470 ")</f>
        <v xml:space="preserve">http://slimages.macys.com/is/image/MCY/12794470 </v>
      </c>
    </row>
    <row r="14" spans="1:12" ht="24.75" x14ac:dyDescent="0.25">
      <c r="A14" s="4" t="s">
        <v>8442</v>
      </c>
      <c r="B14" s="2" t="s">
        <v>3312</v>
      </c>
      <c r="C14" s="3">
        <v>1</v>
      </c>
      <c r="D14" s="5">
        <v>89</v>
      </c>
      <c r="E14" s="3" t="s">
        <v>3313</v>
      </c>
      <c r="F14" s="2" t="s">
        <v>26</v>
      </c>
      <c r="G14" s="6" t="s">
        <v>65</v>
      </c>
      <c r="H14" s="2" t="s">
        <v>95</v>
      </c>
      <c r="I14" s="2" t="s">
        <v>96</v>
      </c>
      <c r="J14" s="2" t="s">
        <v>19</v>
      </c>
      <c r="K14" s="2" t="s">
        <v>338</v>
      </c>
      <c r="L14" s="7" t="str">
        <f>HYPERLINK("http://slimages.macys.com/is/image/MCY/11784614 ")</f>
        <v xml:space="preserve">http://slimages.macys.com/is/image/MCY/11784614 </v>
      </c>
    </row>
    <row r="15" spans="1:12" ht="24.75" x14ac:dyDescent="0.25">
      <c r="A15" s="4" t="s">
        <v>8443</v>
      </c>
      <c r="B15" s="2" t="s">
        <v>2153</v>
      </c>
      <c r="C15" s="3">
        <v>1</v>
      </c>
      <c r="D15" s="5">
        <v>79</v>
      </c>
      <c r="E15" s="3">
        <v>10717696</v>
      </c>
      <c r="F15" s="2" t="s">
        <v>15</v>
      </c>
      <c r="G15" s="6" t="s">
        <v>39</v>
      </c>
      <c r="H15" s="2" t="s">
        <v>2154</v>
      </c>
      <c r="I15" s="2" t="s">
        <v>2155</v>
      </c>
      <c r="J15" s="2" t="s">
        <v>19</v>
      </c>
      <c r="K15" s="2" t="s">
        <v>2156</v>
      </c>
      <c r="L15" s="7" t="str">
        <f>HYPERLINK("http://slimages.macys.com/is/image/MCY/12147560 ")</f>
        <v xml:space="preserve">http://slimages.macys.com/is/image/MCY/12147560 </v>
      </c>
    </row>
    <row r="16" spans="1:12" ht="24.75" x14ac:dyDescent="0.25">
      <c r="A16" s="4" t="s">
        <v>155</v>
      </c>
      <c r="B16" s="2" t="s">
        <v>153</v>
      </c>
      <c r="C16" s="3">
        <v>1</v>
      </c>
      <c r="D16" s="5">
        <v>79.5</v>
      </c>
      <c r="E16" s="3">
        <v>10719732</v>
      </c>
      <c r="F16" s="2" t="s">
        <v>33</v>
      </c>
      <c r="G16" s="6" t="s">
        <v>156</v>
      </c>
      <c r="H16" s="2" t="s">
        <v>17</v>
      </c>
      <c r="I16" s="2" t="s">
        <v>121</v>
      </c>
      <c r="J16" s="2" t="s">
        <v>19</v>
      </c>
      <c r="K16" s="2" t="s">
        <v>34</v>
      </c>
      <c r="L16" s="7" t="str">
        <f>HYPERLINK("http://slimages.macys.com/is/image/MCY/10534487 ")</f>
        <v xml:space="preserve">http://slimages.macys.com/is/image/MCY/10534487 </v>
      </c>
    </row>
    <row r="17" spans="1:12" ht="24.75" x14ac:dyDescent="0.25">
      <c r="A17" s="4" t="s">
        <v>2158</v>
      </c>
      <c r="B17" s="2" t="s">
        <v>2159</v>
      </c>
      <c r="C17" s="3">
        <v>1</v>
      </c>
      <c r="D17" s="5">
        <v>79.5</v>
      </c>
      <c r="E17" s="3">
        <v>10723364</v>
      </c>
      <c r="F17" s="2" t="s">
        <v>15</v>
      </c>
      <c r="G17" s="6" t="s">
        <v>65</v>
      </c>
      <c r="H17" s="2" t="s">
        <v>17</v>
      </c>
      <c r="I17" s="2" t="s">
        <v>121</v>
      </c>
      <c r="J17" s="2" t="s">
        <v>19</v>
      </c>
      <c r="K17" s="2" t="s">
        <v>34</v>
      </c>
      <c r="L17" s="7" t="str">
        <f>HYPERLINK("http://slimages.macys.com/is/image/MCY/12340424 ")</f>
        <v xml:space="preserve">http://slimages.macys.com/is/image/MCY/12340424 </v>
      </c>
    </row>
    <row r="18" spans="1:12" ht="24.75" x14ac:dyDescent="0.25">
      <c r="A18" s="4" t="s">
        <v>8444</v>
      </c>
      <c r="B18" s="2" t="s">
        <v>2159</v>
      </c>
      <c r="C18" s="3">
        <v>1</v>
      </c>
      <c r="D18" s="5">
        <v>79.5</v>
      </c>
      <c r="E18" s="3">
        <v>10723364</v>
      </c>
      <c r="F18" s="2" t="s">
        <v>15</v>
      </c>
      <c r="G18" s="6" t="s">
        <v>58</v>
      </c>
      <c r="H18" s="2" t="s">
        <v>17</v>
      </c>
      <c r="I18" s="2" t="s">
        <v>121</v>
      </c>
      <c r="J18" s="2" t="s">
        <v>19</v>
      </c>
      <c r="K18" s="2" t="s">
        <v>34</v>
      </c>
      <c r="L18" s="7" t="str">
        <f>HYPERLINK("http://slimages.macys.com/is/image/MCY/12340424 ")</f>
        <v xml:space="preserve">http://slimages.macys.com/is/image/MCY/12340424 </v>
      </c>
    </row>
    <row r="19" spans="1:12" x14ac:dyDescent="0.25">
      <c r="A19" s="4" t="s">
        <v>8445</v>
      </c>
      <c r="B19" s="2" t="s">
        <v>8446</v>
      </c>
      <c r="C19" s="3">
        <v>2</v>
      </c>
      <c r="D19" s="5">
        <v>99.5</v>
      </c>
      <c r="E19" s="3">
        <v>100057485</v>
      </c>
      <c r="F19" s="2" t="s">
        <v>252</v>
      </c>
      <c r="G19" s="6" t="s">
        <v>22</v>
      </c>
      <c r="H19" s="2" t="s">
        <v>386</v>
      </c>
      <c r="I19" s="2" t="s">
        <v>391</v>
      </c>
      <c r="J19" s="2" t="s">
        <v>19</v>
      </c>
      <c r="K19" s="2" t="s">
        <v>253</v>
      </c>
      <c r="L19" s="7" t="str">
        <f>HYPERLINK("http://slimages.macys.com/is/image/MCY/11782791 ")</f>
        <v xml:space="preserve">http://slimages.macys.com/is/image/MCY/11782791 </v>
      </c>
    </row>
    <row r="20" spans="1:12" ht="36.75" x14ac:dyDescent="0.25">
      <c r="A20" s="4" t="s">
        <v>8447</v>
      </c>
      <c r="B20" s="2" t="s">
        <v>3328</v>
      </c>
      <c r="C20" s="3">
        <v>1</v>
      </c>
      <c r="D20" s="5">
        <v>69</v>
      </c>
      <c r="E20" s="3">
        <v>10717648</v>
      </c>
      <c r="F20" s="2" t="s">
        <v>15</v>
      </c>
      <c r="G20" s="6" t="s">
        <v>58</v>
      </c>
      <c r="H20" s="2" t="s">
        <v>2154</v>
      </c>
      <c r="I20" s="2" t="s">
        <v>2155</v>
      </c>
      <c r="J20" s="2" t="s">
        <v>19</v>
      </c>
      <c r="K20" s="2" t="s">
        <v>3337</v>
      </c>
      <c r="L20" s="7" t="str">
        <f>HYPERLINK("http://slimages.macys.com/is/image/MCY/11853587 ")</f>
        <v xml:space="preserve">http://slimages.macys.com/is/image/MCY/11853587 </v>
      </c>
    </row>
    <row r="21" spans="1:12" x14ac:dyDescent="0.25">
      <c r="A21" s="4" t="s">
        <v>8448</v>
      </c>
      <c r="B21" s="2" t="s">
        <v>7796</v>
      </c>
      <c r="C21" s="3">
        <v>1</v>
      </c>
      <c r="D21" s="5">
        <v>99.5</v>
      </c>
      <c r="E21" s="3">
        <v>100060508</v>
      </c>
      <c r="F21" s="2" t="s">
        <v>252</v>
      </c>
      <c r="G21" s="6" t="s">
        <v>22</v>
      </c>
      <c r="H21" s="2" t="s">
        <v>386</v>
      </c>
      <c r="I21" s="2" t="s">
        <v>207</v>
      </c>
      <c r="J21" s="2" t="s">
        <v>19</v>
      </c>
      <c r="K21" s="2" t="s">
        <v>353</v>
      </c>
      <c r="L21" s="7" t="str">
        <f>HYPERLINK("http://slimages.macys.com/is/image/MCY/12282267 ")</f>
        <v xml:space="preserve">http://slimages.macys.com/is/image/MCY/12282267 </v>
      </c>
    </row>
    <row r="22" spans="1:12" ht="24.75" x14ac:dyDescent="0.25">
      <c r="A22" s="4" t="s">
        <v>8449</v>
      </c>
      <c r="B22" s="2" t="s">
        <v>175</v>
      </c>
      <c r="C22" s="3">
        <v>1</v>
      </c>
      <c r="D22" s="5">
        <v>89.5</v>
      </c>
      <c r="E22" s="3" t="s">
        <v>7057</v>
      </c>
      <c r="F22" s="2" t="s">
        <v>74</v>
      </c>
      <c r="G22" s="6" t="s">
        <v>802</v>
      </c>
      <c r="H22" s="2" t="s">
        <v>127</v>
      </c>
      <c r="I22" s="2" t="s">
        <v>128</v>
      </c>
      <c r="J22" s="2" t="s">
        <v>19</v>
      </c>
      <c r="K22" s="2" t="s">
        <v>160</v>
      </c>
      <c r="L22" s="7" t="str">
        <f>HYPERLINK("http://slimages.macys.com/is/image/MCY/14542682 ")</f>
        <v xml:space="preserve">http://slimages.macys.com/is/image/MCY/14542682 </v>
      </c>
    </row>
    <row r="23" spans="1:12" ht="24.75" x14ac:dyDescent="0.25">
      <c r="A23" s="4" t="s">
        <v>8450</v>
      </c>
      <c r="B23" s="2" t="s">
        <v>203</v>
      </c>
      <c r="C23" s="3">
        <v>1</v>
      </c>
      <c r="D23" s="5">
        <v>119.5</v>
      </c>
      <c r="E23" s="3" t="s">
        <v>204</v>
      </c>
      <c r="F23" s="2" t="s">
        <v>74</v>
      </c>
      <c r="G23" s="6" t="s">
        <v>238</v>
      </c>
      <c r="H23" s="2" t="s">
        <v>206</v>
      </c>
      <c r="I23" s="2" t="s">
        <v>207</v>
      </c>
      <c r="J23" s="2" t="s">
        <v>19</v>
      </c>
      <c r="K23" s="2" t="s">
        <v>208</v>
      </c>
      <c r="L23" s="7" t="str">
        <f>HYPERLINK("http://slimages.macys.com/is/image/MCY/12319259 ")</f>
        <v xml:space="preserve">http://slimages.macys.com/is/image/MCY/12319259 </v>
      </c>
    </row>
    <row r="24" spans="1:12" ht="24.75" x14ac:dyDescent="0.25">
      <c r="A24" s="4" t="s">
        <v>8451</v>
      </c>
      <c r="B24" s="2" t="s">
        <v>8452</v>
      </c>
      <c r="C24" s="3">
        <v>1</v>
      </c>
      <c r="D24" s="5">
        <v>79.5</v>
      </c>
      <c r="E24" s="3">
        <v>100062618</v>
      </c>
      <c r="F24" s="2" t="s">
        <v>64</v>
      </c>
      <c r="G24" s="6" t="s">
        <v>22</v>
      </c>
      <c r="H24" s="2" t="s">
        <v>386</v>
      </c>
      <c r="I24" s="2" t="s">
        <v>337</v>
      </c>
      <c r="J24" s="2" t="s">
        <v>19</v>
      </c>
      <c r="K24" s="2" t="s">
        <v>929</v>
      </c>
      <c r="L24" s="7" t="str">
        <f>HYPERLINK("http://slimages.macys.com/is/image/MCY/12231398 ")</f>
        <v xml:space="preserve">http://slimages.macys.com/is/image/MCY/12231398 </v>
      </c>
    </row>
    <row r="25" spans="1:12" ht="24.75" x14ac:dyDescent="0.25">
      <c r="A25" s="4" t="s">
        <v>2172</v>
      </c>
      <c r="B25" s="2" t="s">
        <v>2173</v>
      </c>
      <c r="C25" s="3">
        <v>1</v>
      </c>
      <c r="D25" s="5">
        <v>59.63</v>
      </c>
      <c r="E25" s="3" t="s">
        <v>2174</v>
      </c>
      <c r="F25" s="2" t="s">
        <v>26</v>
      </c>
      <c r="G25" s="6"/>
      <c r="H25" s="2" t="s">
        <v>188</v>
      </c>
      <c r="I25" s="2" t="s">
        <v>189</v>
      </c>
      <c r="J25" s="2" t="s">
        <v>19</v>
      </c>
      <c r="K25" s="2" t="s">
        <v>263</v>
      </c>
      <c r="L25" s="7" t="str">
        <f>HYPERLINK("http://slimages.macys.com/is/image/MCY/11808238 ")</f>
        <v xml:space="preserve">http://slimages.macys.com/is/image/MCY/11808238 </v>
      </c>
    </row>
    <row r="26" spans="1:12" ht="24.75" x14ac:dyDescent="0.25">
      <c r="A26" s="4" t="s">
        <v>8453</v>
      </c>
      <c r="B26" s="2" t="s">
        <v>2178</v>
      </c>
      <c r="C26" s="3">
        <v>1</v>
      </c>
      <c r="D26" s="5">
        <v>51.5</v>
      </c>
      <c r="E26" s="3" t="s">
        <v>2179</v>
      </c>
      <c r="F26" s="2" t="s">
        <v>26</v>
      </c>
      <c r="G26" s="6" t="s">
        <v>234</v>
      </c>
      <c r="H26" s="2" t="s">
        <v>246</v>
      </c>
      <c r="I26" s="2" t="s">
        <v>189</v>
      </c>
      <c r="J26" s="2" t="s">
        <v>19</v>
      </c>
      <c r="K26" s="2" t="s">
        <v>2180</v>
      </c>
      <c r="L26" s="7" t="str">
        <f>HYPERLINK("http://slimages.macys.com/is/image/MCY/10678670 ")</f>
        <v xml:space="preserve">http://slimages.macys.com/is/image/MCY/10678670 </v>
      </c>
    </row>
    <row r="27" spans="1:12" ht="24.75" x14ac:dyDescent="0.25">
      <c r="A27" s="4" t="s">
        <v>8454</v>
      </c>
      <c r="B27" s="2" t="s">
        <v>8455</v>
      </c>
      <c r="C27" s="3">
        <v>1</v>
      </c>
      <c r="D27" s="5">
        <v>59.63</v>
      </c>
      <c r="E27" s="3" t="s">
        <v>8456</v>
      </c>
      <c r="F27" s="2" t="s">
        <v>26</v>
      </c>
      <c r="G27" s="6" t="s">
        <v>181</v>
      </c>
      <c r="H27" s="2" t="s">
        <v>246</v>
      </c>
      <c r="I27" s="2" t="s">
        <v>189</v>
      </c>
      <c r="J27" s="2" t="s">
        <v>19</v>
      </c>
      <c r="K27" s="2" t="s">
        <v>8457</v>
      </c>
      <c r="L27" s="7" t="str">
        <f>HYPERLINK("http://slimages.macys.com/is/image/MCY/10679271 ")</f>
        <v xml:space="preserve">http://slimages.macys.com/is/image/MCY/10679271 </v>
      </c>
    </row>
    <row r="28" spans="1:12" ht="24.75" x14ac:dyDescent="0.25">
      <c r="A28" s="4" t="s">
        <v>8458</v>
      </c>
      <c r="B28" s="2" t="s">
        <v>8455</v>
      </c>
      <c r="C28" s="3">
        <v>1</v>
      </c>
      <c r="D28" s="5">
        <v>59.63</v>
      </c>
      <c r="E28" s="3" t="s">
        <v>8456</v>
      </c>
      <c r="F28" s="2" t="s">
        <v>26</v>
      </c>
      <c r="G28" s="6" t="s">
        <v>154</v>
      </c>
      <c r="H28" s="2" t="s">
        <v>246</v>
      </c>
      <c r="I28" s="2" t="s">
        <v>189</v>
      </c>
      <c r="J28" s="2" t="s">
        <v>19</v>
      </c>
      <c r="K28" s="2" t="s">
        <v>8457</v>
      </c>
      <c r="L28" s="7" t="str">
        <f>HYPERLINK("http://slimages.macys.com/is/image/MCY/10679271 ")</f>
        <v xml:space="preserve">http://slimages.macys.com/is/image/MCY/10679271 </v>
      </c>
    </row>
    <row r="29" spans="1:12" ht="24.75" x14ac:dyDescent="0.25">
      <c r="A29" s="4" t="s">
        <v>5386</v>
      </c>
      <c r="B29" s="2" t="s">
        <v>5387</v>
      </c>
      <c r="C29" s="3">
        <v>1</v>
      </c>
      <c r="D29" s="5">
        <v>52.13</v>
      </c>
      <c r="E29" s="3" t="s">
        <v>5388</v>
      </c>
      <c r="F29" s="2" t="s">
        <v>26</v>
      </c>
      <c r="G29" s="6" t="s">
        <v>154</v>
      </c>
      <c r="H29" s="2" t="s">
        <v>246</v>
      </c>
      <c r="I29" s="2" t="s">
        <v>189</v>
      </c>
      <c r="J29" s="2" t="s">
        <v>19</v>
      </c>
      <c r="K29" s="2" t="s">
        <v>2180</v>
      </c>
      <c r="L29" s="7" t="str">
        <f>HYPERLINK("http://slimages.macys.com/is/image/MCY/11707408 ")</f>
        <v xml:space="preserve">http://slimages.macys.com/is/image/MCY/11707408 </v>
      </c>
    </row>
    <row r="30" spans="1:12" ht="24.75" x14ac:dyDescent="0.25">
      <c r="A30" s="4" t="s">
        <v>2182</v>
      </c>
      <c r="B30" s="2" t="s">
        <v>255</v>
      </c>
      <c r="C30" s="3">
        <v>1</v>
      </c>
      <c r="D30" s="5">
        <v>62.15</v>
      </c>
      <c r="E30" s="3" t="s">
        <v>256</v>
      </c>
      <c r="F30" s="2" t="s">
        <v>257</v>
      </c>
      <c r="G30" s="6" t="s">
        <v>154</v>
      </c>
      <c r="H30" s="2" t="s">
        <v>182</v>
      </c>
      <c r="I30" s="2" t="s">
        <v>183</v>
      </c>
      <c r="J30" s="2" t="s">
        <v>19</v>
      </c>
      <c r="K30" s="2" t="s">
        <v>258</v>
      </c>
      <c r="L30" s="7" t="str">
        <f>HYPERLINK("http://slimages.macys.com/is/image/MCY/12851794 ")</f>
        <v xml:space="preserve">http://slimages.macys.com/is/image/MCY/12851794 </v>
      </c>
    </row>
    <row r="31" spans="1:12" ht="24.75" x14ac:dyDescent="0.25">
      <c r="A31" s="4" t="s">
        <v>2181</v>
      </c>
      <c r="B31" s="2" t="s">
        <v>255</v>
      </c>
      <c r="C31" s="3">
        <v>1</v>
      </c>
      <c r="D31" s="5">
        <v>62.15</v>
      </c>
      <c r="E31" s="3" t="s">
        <v>256</v>
      </c>
      <c r="F31" s="2" t="s">
        <v>257</v>
      </c>
      <c r="G31" s="6" t="s">
        <v>181</v>
      </c>
      <c r="H31" s="2" t="s">
        <v>182</v>
      </c>
      <c r="I31" s="2" t="s">
        <v>183</v>
      </c>
      <c r="J31" s="2" t="s">
        <v>19</v>
      </c>
      <c r="K31" s="2" t="s">
        <v>258</v>
      </c>
      <c r="L31" s="7" t="str">
        <f>HYPERLINK("http://slimages.macys.com/is/image/MCY/12851794 ")</f>
        <v xml:space="preserve">http://slimages.macys.com/is/image/MCY/12851794 </v>
      </c>
    </row>
    <row r="32" spans="1:12" ht="24.75" x14ac:dyDescent="0.25">
      <c r="A32" s="4" t="s">
        <v>8459</v>
      </c>
      <c r="B32" s="2" t="s">
        <v>8460</v>
      </c>
      <c r="C32" s="3">
        <v>1</v>
      </c>
      <c r="D32" s="5">
        <v>52.13</v>
      </c>
      <c r="E32" s="3" t="s">
        <v>8461</v>
      </c>
      <c r="F32" s="2" t="s">
        <v>74</v>
      </c>
      <c r="G32" s="6" t="s">
        <v>181</v>
      </c>
      <c r="H32" s="2" t="s">
        <v>284</v>
      </c>
      <c r="I32" s="2" t="s">
        <v>285</v>
      </c>
      <c r="J32" s="2" t="s">
        <v>19</v>
      </c>
      <c r="K32" s="2" t="s">
        <v>160</v>
      </c>
      <c r="L32" s="7" t="str">
        <f>HYPERLINK("http://slimages.macys.com/is/image/MCY/13041307 ")</f>
        <v xml:space="preserve">http://slimages.macys.com/is/image/MCY/13041307 </v>
      </c>
    </row>
    <row r="33" spans="1:12" ht="36.75" x14ac:dyDescent="0.25">
      <c r="A33" s="4" t="s">
        <v>8462</v>
      </c>
      <c r="B33" s="2" t="s">
        <v>272</v>
      </c>
      <c r="C33" s="3">
        <v>1</v>
      </c>
      <c r="D33" s="5">
        <v>99.5</v>
      </c>
      <c r="E33" s="3" t="s">
        <v>273</v>
      </c>
      <c r="F33" s="2" t="s">
        <v>15</v>
      </c>
      <c r="G33" s="6" t="s">
        <v>219</v>
      </c>
      <c r="H33" s="2" t="s">
        <v>206</v>
      </c>
      <c r="I33" s="2" t="s">
        <v>207</v>
      </c>
      <c r="J33" s="2" t="s">
        <v>19</v>
      </c>
      <c r="K33" s="2" t="s">
        <v>274</v>
      </c>
      <c r="L33" s="7" t="str">
        <f>HYPERLINK("http://slimages.macys.com/is/image/MCY/12387675 ")</f>
        <v xml:space="preserve">http://slimages.macys.com/is/image/MCY/12387675 </v>
      </c>
    </row>
    <row r="34" spans="1:12" ht="24.75" x14ac:dyDescent="0.25">
      <c r="A34" s="4" t="s">
        <v>8463</v>
      </c>
      <c r="B34" s="2" t="s">
        <v>7079</v>
      </c>
      <c r="C34" s="3">
        <v>1</v>
      </c>
      <c r="D34" s="5">
        <v>52.13</v>
      </c>
      <c r="E34" s="3" t="s">
        <v>7080</v>
      </c>
      <c r="F34" s="2" t="s">
        <v>26</v>
      </c>
      <c r="G34" s="6" t="s">
        <v>154</v>
      </c>
      <c r="H34" s="2" t="s">
        <v>194</v>
      </c>
      <c r="I34" s="2" t="s">
        <v>580</v>
      </c>
      <c r="J34" s="2" t="s">
        <v>19</v>
      </c>
      <c r="K34" s="2" t="s">
        <v>1082</v>
      </c>
      <c r="L34" s="7" t="str">
        <f>HYPERLINK("http://slimages.macys.com/is/image/MCY/12404786 ")</f>
        <v xml:space="preserve">http://slimages.macys.com/is/image/MCY/12404786 </v>
      </c>
    </row>
    <row r="35" spans="1:12" ht="24.75" x14ac:dyDescent="0.25">
      <c r="A35" s="4" t="s">
        <v>8464</v>
      </c>
      <c r="B35" s="2" t="s">
        <v>8465</v>
      </c>
      <c r="C35" s="3">
        <v>1</v>
      </c>
      <c r="D35" s="5">
        <v>52.13</v>
      </c>
      <c r="E35" s="3" t="s">
        <v>8466</v>
      </c>
      <c r="F35" s="2" t="s">
        <v>26</v>
      </c>
      <c r="G35" s="6" t="s">
        <v>181</v>
      </c>
      <c r="H35" s="2" t="s">
        <v>246</v>
      </c>
      <c r="I35" s="2" t="s">
        <v>189</v>
      </c>
      <c r="J35" s="2" t="s">
        <v>19</v>
      </c>
      <c r="K35" s="2" t="s">
        <v>3423</v>
      </c>
      <c r="L35" s="7" t="str">
        <f>HYPERLINK("http://slimages.macys.com/is/image/MCY/12773331 ")</f>
        <v xml:space="preserve">http://slimages.macys.com/is/image/MCY/12773331 </v>
      </c>
    </row>
    <row r="36" spans="1:12" ht="24.75" x14ac:dyDescent="0.25">
      <c r="A36" s="4" t="s">
        <v>3357</v>
      </c>
      <c r="B36" s="2" t="s">
        <v>3358</v>
      </c>
      <c r="C36" s="3">
        <v>1</v>
      </c>
      <c r="D36" s="5">
        <v>52.13</v>
      </c>
      <c r="E36" s="3" t="s">
        <v>3359</v>
      </c>
      <c r="F36" s="2" t="s">
        <v>26</v>
      </c>
      <c r="G36" s="6" t="s">
        <v>154</v>
      </c>
      <c r="H36" s="2" t="s">
        <v>246</v>
      </c>
      <c r="I36" s="2" t="s">
        <v>189</v>
      </c>
      <c r="J36" s="2" t="s">
        <v>19</v>
      </c>
      <c r="K36" s="2" t="s">
        <v>705</v>
      </c>
      <c r="L36" s="7" t="str">
        <f>HYPERLINK("http://slimages.macys.com/is/image/MCY/13300525 ")</f>
        <v xml:space="preserve">http://slimages.macys.com/is/image/MCY/13300525 </v>
      </c>
    </row>
    <row r="37" spans="1:12" ht="24.75" x14ac:dyDescent="0.25">
      <c r="A37" s="4" t="s">
        <v>8467</v>
      </c>
      <c r="B37" s="2" t="s">
        <v>3358</v>
      </c>
      <c r="C37" s="3">
        <v>1</v>
      </c>
      <c r="D37" s="5">
        <v>52.13</v>
      </c>
      <c r="E37" s="3" t="s">
        <v>3359</v>
      </c>
      <c r="F37" s="2" t="s">
        <v>26</v>
      </c>
      <c r="G37" s="6" t="s">
        <v>181</v>
      </c>
      <c r="H37" s="2" t="s">
        <v>246</v>
      </c>
      <c r="I37" s="2" t="s">
        <v>189</v>
      </c>
      <c r="J37" s="2" t="s">
        <v>19</v>
      </c>
      <c r="K37" s="2" t="s">
        <v>705</v>
      </c>
      <c r="L37" s="7" t="str">
        <f>HYPERLINK("http://slimages.macys.com/is/image/MCY/13300525 ")</f>
        <v xml:space="preserve">http://slimages.macys.com/is/image/MCY/13300525 </v>
      </c>
    </row>
    <row r="38" spans="1:12" ht="24.75" x14ac:dyDescent="0.25">
      <c r="A38" s="4" t="s">
        <v>8468</v>
      </c>
      <c r="B38" s="2" t="s">
        <v>2195</v>
      </c>
      <c r="C38" s="3">
        <v>2</v>
      </c>
      <c r="D38" s="5">
        <v>48.38</v>
      </c>
      <c r="E38" s="3" t="s">
        <v>2196</v>
      </c>
      <c r="F38" s="2" t="s">
        <v>74</v>
      </c>
      <c r="G38" s="6" t="s">
        <v>2458</v>
      </c>
      <c r="H38" s="2" t="s">
        <v>349</v>
      </c>
      <c r="I38" s="2" t="s">
        <v>408</v>
      </c>
      <c r="J38" s="2" t="s">
        <v>19</v>
      </c>
      <c r="K38" s="2" t="s">
        <v>160</v>
      </c>
      <c r="L38" s="7" t="str">
        <f>HYPERLINK("http://slimages.macys.com/is/image/MCY/13535632 ")</f>
        <v xml:space="preserve">http://slimages.macys.com/is/image/MCY/13535632 </v>
      </c>
    </row>
    <row r="39" spans="1:12" ht="36.75" x14ac:dyDescent="0.25">
      <c r="A39" s="4" t="s">
        <v>6320</v>
      </c>
      <c r="B39" s="2" t="s">
        <v>2198</v>
      </c>
      <c r="C39" s="3">
        <v>1</v>
      </c>
      <c r="D39" s="5">
        <v>52.13</v>
      </c>
      <c r="E39" s="3">
        <v>100020408</v>
      </c>
      <c r="F39" s="2" t="s">
        <v>26</v>
      </c>
      <c r="G39" s="6" t="s">
        <v>200</v>
      </c>
      <c r="H39" s="2" t="s">
        <v>194</v>
      </c>
      <c r="I39" s="2" t="s">
        <v>195</v>
      </c>
      <c r="J39" s="2" t="s">
        <v>19</v>
      </c>
      <c r="K39" s="2" t="s">
        <v>2199</v>
      </c>
      <c r="L39" s="7" t="str">
        <f>HYPERLINK("http://slimages.macys.com/is/image/MCY/9504840 ")</f>
        <v xml:space="preserve">http://slimages.macys.com/is/image/MCY/9504840 </v>
      </c>
    </row>
    <row r="40" spans="1:12" x14ac:dyDescent="0.25">
      <c r="A40" s="4" t="s">
        <v>8469</v>
      </c>
      <c r="B40" s="2" t="s">
        <v>8470</v>
      </c>
      <c r="C40" s="3">
        <v>1</v>
      </c>
      <c r="D40" s="5">
        <v>99.5</v>
      </c>
      <c r="E40" s="3" t="s">
        <v>8471</v>
      </c>
      <c r="F40" s="2" t="s">
        <v>74</v>
      </c>
      <c r="G40" s="6" t="s">
        <v>187</v>
      </c>
      <c r="H40" s="2" t="s">
        <v>206</v>
      </c>
      <c r="I40" s="2" t="s">
        <v>207</v>
      </c>
      <c r="J40" s="2" t="s">
        <v>19</v>
      </c>
      <c r="K40" s="2" t="s">
        <v>160</v>
      </c>
      <c r="L40" s="7" t="str">
        <f>HYPERLINK("http://slimages.macys.com/is/image/MCY/12952765 ")</f>
        <v xml:space="preserve">http://slimages.macys.com/is/image/MCY/12952765 </v>
      </c>
    </row>
    <row r="41" spans="1:12" ht="24.75" x14ac:dyDescent="0.25">
      <c r="A41" s="4" t="s">
        <v>295</v>
      </c>
      <c r="B41" s="2" t="s">
        <v>288</v>
      </c>
      <c r="C41" s="3">
        <v>1</v>
      </c>
      <c r="D41" s="5">
        <v>52.13</v>
      </c>
      <c r="E41" s="3" t="s">
        <v>289</v>
      </c>
      <c r="F41" s="2" t="s">
        <v>74</v>
      </c>
      <c r="G41" s="6" t="s">
        <v>200</v>
      </c>
      <c r="H41" s="2" t="s">
        <v>194</v>
      </c>
      <c r="I41" s="2" t="s">
        <v>195</v>
      </c>
      <c r="J41" s="2" t="s">
        <v>19</v>
      </c>
      <c r="K41" s="2" t="s">
        <v>247</v>
      </c>
      <c r="L41" s="7" t="str">
        <f>HYPERLINK("http://slimages.macys.com/is/image/MCY/12849982 ")</f>
        <v xml:space="preserve">http://slimages.macys.com/is/image/MCY/12849982 </v>
      </c>
    </row>
    <row r="42" spans="1:12" ht="24.75" x14ac:dyDescent="0.25">
      <c r="A42" s="4" t="s">
        <v>287</v>
      </c>
      <c r="B42" s="2" t="s">
        <v>288</v>
      </c>
      <c r="C42" s="3">
        <v>1</v>
      </c>
      <c r="D42" s="5">
        <v>52.13</v>
      </c>
      <c r="E42" s="3" t="s">
        <v>289</v>
      </c>
      <c r="F42" s="2" t="s">
        <v>74</v>
      </c>
      <c r="G42" s="6" t="s">
        <v>234</v>
      </c>
      <c r="H42" s="2" t="s">
        <v>194</v>
      </c>
      <c r="I42" s="2" t="s">
        <v>195</v>
      </c>
      <c r="J42" s="2" t="s">
        <v>19</v>
      </c>
      <c r="K42" s="2" t="s">
        <v>247</v>
      </c>
      <c r="L42" s="7" t="str">
        <f>HYPERLINK("http://slimages.macys.com/is/image/MCY/12849982 ")</f>
        <v xml:space="preserve">http://slimages.macys.com/is/image/MCY/12849982 </v>
      </c>
    </row>
    <row r="43" spans="1:12" ht="24.75" x14ac:dyDescent="0.25">
      <c r="A43" s="4" t="s">
        <v>3368</v>
      </c>
      <c r="B43" s="2" t="s">
        <v>297</v>
      </c>
      <c r="C43" s="3">
        <v>1</v>
      </c>
      <c r="D43" s="5">
        <v>59.63</v>
      </c>
      <c r="E43" s="3" t="s">
        <v>3369</v>
      </c>
      <c r="F43" s="2" t="s">
        <v>74</v>
      </c>
      <c r="G43" s="6" t="s">
        <v>205</v>
      </c>
      <c r="H43" s="2" t="s">
        <v>188</v>
      </c>
      <c r="I43" s="2" t="s">
        <v>189</v>
      </c>
      <c r="J43" s="2" t="s">
        <v>19</v>
      </c>
      <c r="K43" s="2" t="s">
        <v>34</v>
      </c>
      <c r="L43" s="7" t="str">
        <f>HYPERLINK("http://slimages.macys.com/is/image/MCY/11884459 ")</f>
        <v xml:space="preserve">http://slimages.macys.com/is/image/MCY/11884459 </v>
      </c>
    </row>
    <row r="44" spans="1:12" ht="24.75" x14ac:dyDescent="0.25">
      <c r="A44" s="4" t="s">
        <v>8472</v>
      </c>
      <c r="B44" s="2" t="s">
        <v>8473</v>
      </c>
      <c r="C44" s="3">
        <v>1</v>
      </c>
      <c r="D44" s="5">
        <v>52.13</v>
      </c>
      <c r="E44" s="3" t="s">
        <v>8474</v>
      </c>
      <c r="F44" s="2" t="s">
        <v>5415</v>
      </c>
      <c r="G44" s="6" t="s">
        <v>154</v>
      </c>
      <c r="H44" s="2" t="s">
        <v>246</v>
      </c>
      <c r="I44" s="2" t="s">
        <v>189</v>
      </c>
      <c r="J44" s="2" t="s">
        <v>19</v>
      </c>
      <c r="K44" s="2" t="s">
        <v>263</v>
      </c>
      <c r="L44" s="7" t="str">
        <f>HYPERLINK("http://slimages.macys.com/is/image/MCY/11972329 ")</f>
        <v xml:space="preserve">http://slimages.macys.com/is/image/MCY/11972329 </v>
      </c>
    </row>
    <row r="45" spans="1:12" ht="24.75" x14ac:dyDescent="0.25">
      <c r="A45" s="4" t="s">
        <v>309</v>
      </c>
      <c r="B45" s="2" t="s">
        <v>310</v>
      </c>
      <c r="C45" s="3">
        <v>1</v>
      </c>
      <c r="D45" s="5">
        <v>52.13</v>
      </c>
      <c r="E45" s="3" t="s">
        <v>311</v>
      </c>
      <c r="F45" s="2" t="s">
        <v>74</v>
      </c>
      <c r="G45" s="6"/>
      <c r="H45" s="2" t="s">
        <v>312</v>
      </c>
      <c r="I45" s="2" t="s">
        <v>307</v>
      </c>
      <c r="J45" s="2" t="s">
        <v>19</v>
      </c>
      <c r="K45" s="2" t="s">
        <v>247</v>
      </c>
      <c r="L45" s="7" t="str">
        <f>HYPERLINK("http://slimages.macys.com/is/image/MCY/11937882 ")</f>
        <v xml:space="preserve">http://slimages.macys.com/is/image/MCY/11937882 </v>
      </c>
    </row>
    <row r="46" spans="1:12" ht="24.75" x14ac:dyDescent="0.25">
      <c r="A46" s="4" t="s">
        <v>8475</v>
      </c>
      <c r="B46" s="2" t="s">
        <v>329</v>
      </c>
      <c r="C46" s="3">
        <v>1</v>
      </c>
      <c r="D46" s="5">
        <v>59.63</v>
      </c>
      <c r="E46" s="3" t="s">
        <v>330</v>
      </c>
      <c r="F46" s="2" t="s">
        <v>331</v>
      </c>
      <c r="G46" s="6"/>
      <c r="H46" s="2" t="s">
        <v>188</v>
      </c>
      <c r="I46" s="2" t="s">
        <v>189</v>
      </c>
      <c r="J46" s="2" t="s">
        <v>19</v>
      </c>
      <c r="K46" s="2" t="s">
        <v>332</v>
      </c>
      <c r="L46" s="7" t="str">
        <f>HYPERLINK("http://slimages.macys.com/is/image/MCY/12723020 ")</f>
        <v xml:space="preserve">http://slimages.macys.com/is/image/MCY/12723020 </v>
      </c>
    </row>
    <row r="47" spans="1:12" ht="24.75" x14ac:dyDescent="0.25">
      <c r="A47" s="4" t="s">
        <v>8476</v>
      </c>
      <c r="B47" s="2" t="s">
        <v>340</v>
      </c>
      <c r="C47" s="3">
        <v>1</v>
      </c>
      <c r="D47" s="5">
        <v>44.63</v>
      </c>
      <c r="E47" s="3" t="s">
        <v>341</v>
      </c>
      <c r="F47" s="2" t="s">
        <v>15</v>
      </c>
      <c r="G47" s="6" t="s">
        <v>154</v>
      </c>
      <c r="H47" s="2" t="s">
        <v>194</v>
      </c>
      <c r="I47" s="2" t="s">
        <v>195</v>
      </c>
      <c r="J47" s="2" t="s">
        <v>19</v>
      </c>
      <c r="K47" s="2" t="s">
        <v>201</v>
      </c>
      <c r="L47" s="7" t="str">
        <f>HYPERLINK("http://slimages.macys.com/is/image/MCY/12794062 ")</f>
        <v xml:space="preserve">http://slimages.macys.com/is/image/MCY/12794062 </v>
      </c>
    </row>
    <row r="48" spans="1:12" ht="24.75" x14ac:dyDescent="0.25">
      <c r="A48" s="4" t="s">
        <v>8477</v>
      </c>
      <c r="B48" s="2" t="s">
        <v>2221</v>
      </c>
      <c r="C48" s="3">
        <v>1</v>
      </c>
      <c r="D48" s="5">
        <v>69.5</v>
      </c>
      <c r="E48" s="3">
        <v>100061334</v>
      </c>
      <c r="F48" s="2" t="s">
        <v>64</v>
      </c>
      <c r="G48" s="6" t="s">
        <v>65</v>
      </c>
      <c r="H48" s="2" t="s">
        <v>386</v>
      </c>
      <c r="I48" s="2" t="s">
        <v>207</v>
      </c>
      <c r="J48" s="2" t="s">
        <v>19</v>
      </c>
      <c r="K48" s="2" t="s">
        <v>338</v>
      </c>
      <c r="L48" s="7" t="str">
        <f>HYPERLINK("http://slimages.macys.com/is/image/MCY/12285299 ")</f>
        <v xml:space="preserve">http://slimages.macys.com/is/image/MCY/12285299 </v>
      </c>
    </row>
    <row r="49" spans="1:12" ht="36.75" x14ac:dyDescent="0.25">
      <c r="A49" s="4" t="s">
        <v>5410</v>
      </c>
      <c r="B49" s="2" t="s">
        <v>2223</v>
      </c>
      <c r="C49" s="3">
        <v>1</v>
      </c>
      <c r="D49" s="5">
        <v>48.38</v>
      </c>
      <c r="E49" s="3" t="s">
        <v>2224</v>
      </c>
      <c r="F49" s="2" t="s">
        <v>26</v>
      </c>
      <c r="G49" s="6" t="s">
        <v>2276</v>
      </c>
      <c r="H49" s="2" t="s">
        <v>349</v>
      </c>
      <c r="I49" s="2" t="s">
        <v>285</v>
      </c>
      <c r="J49" s="2" t="s">
        <v>19</v>
      </c>
      <c r="K49" s="2" t="s">
        <v>2225</v>
      </c>
      <c r="L49" s="7" t="str">
        <f>HYPERLINK("http://slimages.macys.com/is/image/MCY/12077740 ")</f>
        <v xml:space="preserve">http://slimages.macys.com/is/image/MCY/12077740 </v>
      </c>
    </row>
    <row r="50" spans="1:12" x14ac:dyDescent="0.25">
      <c r="A50" s="4" t="s">
        <v>8478</v>
      </c>
      <c r="B50" s="2" t="s">
        <v>8479</v>
      </c>
      <c r="C50" s="3">
        <v>1</v>
      </c>
      <c r="D50" s="5">
        <v>41.65</v>
      </c>
      <c r="E50" s="3" t="s">
        <v>8480</v>
      </c>
      <c r="F50" s="2"/>
      <c r="G50" s="6" t="s">
        <v>156</v>
      </c>
      <c r="H50" s="2" t="s">
        <v>182</v>
      </c>
      <c r="I50" s="2" t="s">
        <v>183</v>
      </c>
      <c r="J50" s="2" t="s">
        <v>19</v>
      </c>
      <c r="K50" s="2" t="s">
        <v>201</v>
      </c>
      <c r="L50" s="7" t="str">
        <f>HYPERLINK("http://slimages.macys.com/is/image/MCY/12340795 ")</f>
        <v xml:space="preserve">http://slimages.macys.com/is/image/MCY/12340795 </v>
      </c>
    </row>
    <row r="51" spans="1:12" ht="24.75" x14ac:dyDescent="0.25">
      <c r="A51" s="4" t="s">
        <v>6338</v>
      </c>
      <c r="B51" s="2" t="s">
        <v>6339</v>
      </c>
      <c r="C51" s="3">
        <v>1</v>
      </c>
      <c r="D51" s="5">
        <v>44.63</v>
      </c>
      <c r="E51" s="3" t="s">
        <v>6340</v>
      </c>
      <c r="F51" s="2" t="s">
        <v>79</v>
      </c>
      <c r="G51" s="6" t="s">
        <v>16</v>
      </c>
      <c r="H51" s="2" t="s">
        <v>213</v>
      </c>
      <c r="I51" s="2" t="s">
        <v>214</v>
      </c>
      <c r="J51" s="2" t="s">
        <v>19</v>
      </c>
      <c r="K51" s="2" t="s">
        <v>338</v>
      </c>
      <c r="L51" s="7" t="str">
        <f>HYPERLINK("http://slimages.macys.com/is/image/MCY/12284095 ")</f>
        <v xml:space="preserve">http://slimages.macys.com/is/image/MCY/12284095 </v>
      </c>
    </row>
    <row r="52" spans="1:12" ht="24.75" x14ac:dyDescent="0.25">
      <c r="A52" s="4" t="s">
        <v>2238</v>
      </c>
      <c r="B52" s="2" t="s">
        <v>355</v>
      </c>
      <c r="C52" s="3">
        <v>2</v>
      </c>
      <c r="D52" s="5">
        <v>48</v>
      </c>
      <c r="E52" s="3">
        <v>100053387</v>
      </c>
      <c r="F52" s="2" t="s">
        <v>111</v>
      </c>
      <c r="G52" s="6" t="s">
        <v>22</v>
      </c>
      <c r="H52" s="2" t="s">
        <v>228</v>
      </c>
      <c r="I52" s="2" t="s">
        <v>229</v>
      </c>
      <c r="J52" s="2" t="s">
        <v>19</v>
      </c>
      <c r="K52" s="2" t="s">
        <v>338</v>
      </c>
      <c r="L52" s="7" t="str">
        <f>HYPERLINK("http://slimages.macys.com/is/image/MCY/13829477 ")</f>
        <v xml:space="preserve">http://slimages.macys.com/is/image/MCY/13829477 </v>
      </c>
    </row>
    <row r="53" spans="1:12" ht="24.75" x14ac:dyDescent="0.25">
      <c r="A53" s="4" t="s">
        <v>2240</v>
      </c>
      <c r="B53" s="2" t="s">
        <v>355</v>
      </c>
      <c r="C53" s="3">
        <v>2</v>
      </c>
      <c r="D53" s="5">
        <v>48</v>
      </c>
      <c r="E53" s="3">
        <v>100053387</v>
      </c>
      <c r="F53" s="2" t="s">
        <v>111</v>
      </c>
      <c r="G53" s="6" t="s">
        <v>141</v>
      </c>
      <c r="H53" s="2" t="s">
        <v>228</v>
      </c>
      <c r="I53" s="2" t="s">
        <v>229</v>
      </c>
      <c r="J53" s="2" t="s">
        <v>19</v>
      </c>
      <c r="K53" s="2" t="s">
        <v>338</v>
      </c>
      <c r="L53" s="7" t="str">
        <f>HYPERLINK("http://slimages.macys.com/is/image/MCY/13829477 ")</f>
        <v xml:space="preserve">http://slimages.macys.com/is/image/MCY/13829477 </v>
      </c>
    </row>
    <row r="54" spans="1:12" ht="24.75" x14ac:dyDescent="0.25">
      <c r="A54" s="4" t="s">
        <v>4498</v>
      </c>
      <c r="B54" s="2" t="s">
        <v>359</v>
      </c>
      <c r="C54" s="3">
        <v>1</v>
      </c>
      <c r="D54" s="5">
        <v>59.5</v>
      </c>
      <c r="E54" s="3" t="s">
        <v>360</v>
      </c>
      <c r="F54" s="2" t="s">
        <v>26</v>
      </c>
      <c r="G54" s="6" t="s">
        <v>934</v>
      </c>
      <c r="H54" s="2" t="s">
        <v>127</v>
      </c>
      <c r="I54" s="2" t="s">
        <v>128</v>
      </c>
      <c r="J54" s="2" t="s">
        <v>19</v>
      </c>
      <c r="K54" s="2" t="s">
        <v>361</v>
      </c>
      <c r="L54" s="7" t="str">
        <f>HYPERLINK("http://slimages.macys.com/is/image/MCY/10890960 ")</f>
        <v xml:space="preserve">http://slimages.macys.com/is/image/MCY/10890960 </v>
      </c>
    </row>
    <row r="55" spans="1:12" ht="24.75" x14ac:dyDescent="0.25">
      <c r="A55" s="4" t="s">
        <v>8481</v>
      </c>
      <c r="B55" s="2" t="s">
        <v>359</v>
      </c>
      <c r="C55" s="3">
        <v>1</v>
      </c>
      <c r="D55" s="5">
        <v>59.5</v>
      </c>
      <c r="E55" s="3" t="s">
        <v>360</v>
      </c>
      <c r="F55" s="2" t="s">
        <v>26</v>
      </c>
      <c r="G55" s="6" t="s">
        <v>165</v>
      </c>
      <c r="H55" s="2" t="s">
        <v>127</v>
      </c>
      <c r="I55" s="2" t="s">
        <v>128</v>
      </c>
      <c r="J55" s="2" t="s">
        <v>19</v>
      </c>
      <c r="K55" s="2" t="s">
        <v>361</v>
      </c>
      <c r="L55" s="7" t="str">
        <f>HYPERLINK("http://slimages.macys.com/is/image/MCY/10890960 ")</f>
        <v xml:space="preserve">http://slimages.macys.com/is/image/MCY/10890960 </v>
      </c>
    </row>
    <row r="56" spans="1:12" ht="24.75" x14ac:dyDescent="0.25">
      <c r="A56" s="4" t="s">
        <v>8482</v>
      </c>
      <c r="B56" s="2" t="s">
        <v>2244</v>
      </c>
      <c r="C56" s="3">
        <v>1</v>
      </c>
      <c r="D56" s="5">
        <v>44.63</v>
      </c>
      <c r="E56" s="3" t="s">
        <v>2245</v>
      </c>
      <c r="F56" s="2" t="s">
        <v>125</v>
      </c>
      <c r="G56" s="6" t="s">
        <v>156</v>
      </c>
      <c r="H56" s="2" t="s">
        <v>194</v>
      </c>
      <c r="I56" s="2" t="s">
        <v>195</v>
      </c>
      <c r="J56" s="2" t="s">
        <v>19</v>
      </c>
      <c r="K56" s="2" t="s">
        <v>34</v>
      </c>
      <c r="L56" s="7" t="str">
        <f>HYPERLINK("http://slimages.macys.com/is/image/MCY/12756091 ")</f>
        <v xml:space="preserve">http://slimages.macys.com/is/image/MCY/12756091 </v>
      </c>
    </row>
    <row r="57" spans="1:12" ht="36.75" x14ac:dyDescent="0.25">
      <c r="A57" s="4" t="s">
        <v>8483</v>
      </c>
      <c r="B57" s="2" t="s">
        <v>2248</v>
      </c>
      <c r="C57" s="3">
        <v>1</v>
      </c>
      <c r="D57" s="5">
        <v>43.5</v>
      </c>
      <c r="E57" s="3" t="s">
        <v>3384</v>
      </c>
      <c r="F57" s="2" t="s">
        <v>64</v>
      </c>
      <c r="G57" s="6" t="s">
        <v>8484</v>
      </c>
      <c r="H57" s="2" t="s">
        <v>349</v>
      </c>
      <c r="I57" s="2" t="s">
        <v>408</v>
      </c>
      <c r="J57" s="2" t="s">
        <v>19</v>
      </c>
      <c r="K57" s="2" t="s">
        <v>500</v>
      </c>
      <c r="L57" s="7" t="str">
        <f>HYPERLINK("http://slimages.macys.com/is/image/MCY/9468308 ")</f>
        <v xml:space="preserve">http://slimages.macys.com/is/image/MCY/9468308 </v>
      </c>
    </row>
    <row r="58" spans="1:12" ht="24.75" x14ac:dyDescent="0.25">
      <c r="A58" s="4" t="s">
        <v>7115</v>
      </c>
      <c r="B58" s="2" t="s">
        <v>2254</v>
      </c>
      <c r="C58" s="3">
        <v>1</v>
      </c>
      <c r="D58" s="5">
        <v>44.5</v>
      </c>
      <c r="E58" s="3" t="s">
        <v>6351</v>
      </c>
      <c r="F58" s="2" t="s">
        <v>252</v>
      </c>
      <c r="G58" s="6" t="s">
        <v>234</v>
      </c>
      <c r="H58" s="2" t="s">
        <v>194</v>
      </c>
      <c r="I58" s="2" t="s">
        <v>195</v>
      </c>
      <c r="J58" s="2" t="s">
        <v>19</v>
      </c>
      <c r="K58" s="2" t="s">
        <v>6352</v>
      </c>
      <c r="L58" s="7" t="str">
        <f>HYPERLINK("http://slimages.macys.com/is/image/MCY/11937871 ")</f>
        <v xml:space="preserve">http://slimages.macys.com/is/image/MCY/11937871 </v>
      </c>
    </row>
    <row r="59" spans="1:12" ht="24.75" x14ac:dyDescent="0.25">
      <c r="A59" s="4" t="s">
        <v>8485</v>
      </c>
      <c r="B59" s="2" t="s">
        <v>7877</v>
      </c>
      <c r="C59" s="3">
        <v>2</v>
      </c>
      <c r="D59" s="5">
        <v>44.5</v>
      </c>
      <c r="E59" s="3" t="s">
        <v>7878</v>
      </c>
      <c r="F59" s="2" t="s">
        <v>413</v>
      </c>
      <c r="G59" s="6"/>
      <c r="H59" s="2" t="s">
        <v>312</v>
      </c>
      <c r="I59" s="2" t="s">
        <v>195</v>
      </c>
      <c r="J59" s="2" t="s">
        <v>19</v>
      </c>
      <c r="K59" s="2" t="s">
        <v>7879</v>
      </c>
      <c r="L59" s="7" t="str">
        <f>HYPERLINK("http://slimages.macys.com/is/image/MCY/11266298 ")</f>
        <v xml:space="preserve">http://slimages.macys.com/is/image/MCY/11266298 </v>
      </c>
    </row>
    <row r="60" spans="1:12" ht="24.75" x14ac:dyDescent="0.25">
      <c r="A60" s="4" t="s">
        <v>8486</v>
      </c>
      <c r="B60" s="2" t="s">
        <v>2254</v>
      </c>
      <c r="C60" s="3">
        <v>1</v>
      </c>
      <c r="D60" s="5">
        <v>44.5</v>
      </c>
      <c r="E60" s="3" t="s">
        <v>2255</v>
      </c>
      <c r="F60" s="2" t="s">
        <v>15</v>
      </c>
      <c r="G60" s="6" t="s">
        <v>156</v>
      </c>
      <c r="H60" s="2" t="s">
        <v>194</v>
      </c>
      <c r="I60" s="2" t="s">
        <v>195</v>
      </c>
      <c r="J60" s="2" t="s">
        <v>19</v>
      </c>
      <c r="K60" s="2" t="s">
        <v>201</v>
      </c>
      <c r="L60" s="7" t="str">
        <f>HYPERLINK("http://slimages.macys.com/is/image/MCY/11804466 ")</f>
        <v xml:space="preserve">http://slimages.macys.com/is/image/MCY/11804466 </v>
      </c>
    </row>
    <row r="61" spans="1:12" ht="24.75" x14ac:dyDescent="0.25">
      <c r="A61" s="4" t="s">
        <v>8487</v>
      </c>
      <c r="B61" s="2" t="s">
        <v>2254</v>
      </c>
      <c r="C61" s="3">
        <v>1</v>
      </c>
      <c r="D61" s="5">
        <v>44.5</v>
      </c>
      <c r="E61" s="3" t="s">
        <v>2255</v>
      </c>
      <c r="F61" s="2" t="s">
        <v>15</v>
      </c>
      <c r="G61" s="6" t="s">
        <v>181</v>
      </c>
      <c r="H61" s="2" t="s">
        <v>194</v>
      </c>
      <c r="I61" s="2" t="s">
        <v>195</v>
      </c>
      <c r="J61" s="2" t="s">
        <v>19</v>
      </c>
      <c r="K61" s="2" t="s">
        <v>201</v>
      </c>
      <c r="L61" s="7" t="str">
        <f>HYPERLINK("http://slimages.macys.com/is/image/MCY/11804466 ")</f>
        <v xml:space="preserve">http://slimages.macys.com/is/image/MCY/11804466 </v>
      </c>
    </row>
    <row r="62" spans="1:12" ht="24.75" x14ac:dyDescent="0.25">
      <c r="A62" s="4" t="s">
        <v>7117</v>
      </c>
      <c r="B62" s="2" t="s">
        <v>390</v>
      </c>
      <c r="C62" s="3">
        <v>1</v>
      </c>
      <c r="D62" s="5">
        <v>69.5</v>
      </c>
      <c r="E62" s="3">
        <v>100055524</v>
      </c>
      <c r="F62" s="2" t="s">
        <v>64</v>
      </c>
      <c r="G62" s="6" t="s">
        <v>141</v>
      </c>
      <c r="H62" s="2" t="s">
        <v>386</v>
      </c>
      <c r="I62" s="2" t="s">
        <v>391</v>
      </c>
      <c r="J62" s="2" t="s">
        <v>19</v>
      </c>
      <c r="K62" s="2" t="s">
        <v>392</v>
      </c>
      <c r="L62" s="7" t="str">
        <f>HYPERLINK("http://slimages.macys.com/is/image/MCY/11535527 ")</f>
        <v xml:space="preserve">http://slimages.macys.com/is/image/MCY/11535527 </v>
      </c>
    </row>
    <row r="63" spans="1:12" ht="24.75" x14ac:dyDescent="0.25">
      <c r="A63" s="4" t="s">
        <v>4521</v>
      </c>
      <c r="B63" s="2" t="s">
        <v>4519</v>
      </c>
      <c r="C63" s="3">
        <v>1</v>
      </c>
      <c r="D63" s="5">
        <v>69.5</v>
      </c>
      <c r="E63" s="3" t="s">
        <v>4522</v>
      </c>
      <c r="F63" s="2" t="s">
        <v>887</v>
      </c>
      <c r="G63" s="6"/>
      <c r="H63" s="2" t="s">
        <v>127</v>
      </c>
      <c r="I63" s="2" t="s">
        <v>128</v>
      </c>
      <c r="J63" s="2" t="s">
        <v>19</v>
      </c>
      <c r="K63" s="2" t="s">
        <v>34</v>
      </c>
      <c r="L63" s="7" t="str">
        <f>HYPERLINK("http://slimages.macys.com/is/image/MCY/12793514 ")</f>
        <v xml:space="preserve">http://slimages.macys.com/is/image/MCY/12793514 </v>
      </c>
    </row>
    <row r="64" spans="1:12" ht="24.75" x14ac:dyDescent="0.25">
      <c r="A64" s="4" t="s">
        <v>8488</v>
      </c>
      <c r="B64" s="2" t="s">
        <v>8489</v>
      </c>
      <c r="C64" s="3">
        <v>1</v>
      </c>
      <c r="D64" s="5">
        <v>44.5</v>
      </c>
      <c r="E64" s="3" t="s">
        <v>8490</v>
      </c>
      <c r="F64" s="2" t="s">
        <v>252</v>
      </c>
      <c r="G64" s="6" t="s">
        <v>154</v>
      </c>
      <c r="H64" s="2" t="s">
        <v>194</v>
      </c>
      <c r="I64" s="2" t="s">
        <v>195</v>
      </c>
      <c r="J64" s="2" t="s">
        <v>19</v>
      </c>
      <c r="K64" s="2" t="s">
        <v>201</v>
      </c>
      <c r="L64" s="7" t="str">
        <f>HYPERLINK("http://slimages.macys.com/is/image/MCY/11937867 ")</f>
        <v xml:space="preserve">http://slimages.macys.com/is/image/MCY/11937867 </v>
      </c>
    </row>
    <row r="65" spans="1:12" x14ac:dyDescent="0.25">
      <c r="A65" s="4" t="s">
        <v>4532</v>
      </c>
      <c r="B65" s="2" t="s">
        <v>2265</v>
      </c>
      <c r="C65" s="3">
        <v>1</v>
      </c>
      <c r="D65" s="5">
        <v>79.5</v>
      </c>
      <c r="E65" s="3">
        <v>100060510</v>
      </c>
      <c r="F65" s="2" t="s">
        <v>74</v>
      </c>
      <c r="G65" s="6" t="s">
        <v>65</v>
      </c>
      <c r="H65" s="2" t="s">
        <v>386</v>
      </c>
      <c r="I65" s="2" t="s">
        <v>207</v>
      </c>
      <c r="J65" s="2" t="s">
        <v>19</v>
      </c>
      <c r="K65" s="2" t="s">
        <v>353</v>
      </c>
      <c r="L65" s="7" t="str">
        <f>HYPERLINK("http://slimages.macys.com/is/image/MCY/12792713 ")</f>
        <v xml:space="preserve">http://slimages.macys.com/is/image/MCY/12792713 </v>
      </c>
    </row>
    <row r="66" spans="1:12" x14ac:dyDescent="0.25">
      <c r="A66" s="4" t="s">
        <v>8491</v>
      </c>
      <c r="B66" s="2" t="s">
        <v>2265</v>
      </c>
      <c r="C66" s="3">
        <v>1</v>
      </c>
      <c r="D66" s="5">
        <v>79.5</v>
      </c>
      <c r="E66" s="3">
        <v>100060510</v>
      </c>
      <c r="F66" s="2" t="s">
        <v>74</v>
      </c>
      <c r="G66" s="6" t="s">
        <v>58</v>
      </c>
      <c r="H66" s="2" t="s">
        <v>386</v>
      </c>
      <c r="I66" s="2" t="s">
        <v>207</v>
      </c>
      <c r="J66" s="2" t="s">
        <v>19</v>
      </c>
      <c r="K66" s="2" t="s">
        <v>353</v>
      </c>
      <c r="L66" s="7" t="str">
        <f>HYPERLINK("http://slimages.macys.com/is/image/MCY/12792713 ")</f>
        <v xml:space="preserve">http://slimages.macys.com/is/image/MCY/12792713 </v>
      </c>
    </row>
    <row r="67" spans="1:12" x14ac:dyDescent="0.25">
      <c r="A67" s="4" t="s">
        <v>4531</v>
      </c>
      <c r="B67" s="2" t="s">
        <v>2265</v>
      </c>
      <c r="C67" s="3">
        <v>1</v>
      </c>
      <c r="D67" s="5">
        <v>79.5</v>
      </c>
      <c r="E67" s="3">
        <v>100060510</v>
      </c>
      <c r="F67" s="2" t="s">
        <v>74</v>
      </c>
      <c r="G67" s="6" t="s">
        <v>141</v>
      </c>
      <c r="H67" s="2" t="s">
        <v>386</v>
      </c>
      <c r="I67" s="2" t="s">
        <v>207</v>
      </c>
      <c r="J67" s="2" t="s">
        <v>19</v>
      </c>
      <c r="K67" s="2" t="s">
        <v>353</v>
      </c>
      <c r="L67" s="7" t="str">
        <f>HYPERLINK("http://slimages.macys.com/is/image/MCY/12792713 ")</f>
        <v xml:space="preserve">http://slimages.macys.com/is/image/MCY/12792713 </v>
      </c>
    </row>
    <row r="68" spans="1:12" ht="24.75" x14ac:dyDescent="0.25">
      <c r="A68" s="4" t="s">
        <v>4537</v>
      </c>
      <c r="B68" s="2" t="s">
        <v>2268</v>
      </c>
      <c r="C68" s="3">
        <v>1</v>
      </c>
      <c r="D68" s="5">
        <v>44.63</v>
      </c>
      <c r="E68" s="3" t="s">
        <v>2269</v>
      </c>
      <c r="F68" s="2" t="s">
        <v>94</v>
      </c>
      <c r="G68" s="6" t="s">
        <v>746</v>
      </c>
      <c r="H68" s="2" t="s">
        <v>349</v>
      </c>
      <c r="I68" s="2" t="s">
        <v>285</v>
      </c>
      <c r="J68" s="2" t="s">
        <v>19</v>
      </c>
      <c r="K68" s="2" t="s">
        <v>160</v>
      </c>
      <c r="L68" s="7" t="str">
        <f>HYPERLINK("http://slimages.macys.com/is/image/MCY/13039993 ")</f>
        <v xml:space="preserve">http://slimages.macys.com/is/image/MCY/13039993 </v>
      </c>
    </row>
    <row r="69" spans="1:12" ht="24.75" x14ac:dyDescent="0.25">
      <c r="A69" s="4" t="s">
        <v>452</v>
      </c>
      <c r="B69" s="2" t="s">
        <v>453</v>
      </c>
      <c r="C69" s="3">
        <v>1</v>
      </c>
      <c r="D69" s="5">
        <v>44.63</v>
      </c>
      <c r="E69" s="3" t="s">
        <v>454</v>
      </c>
      <c r="F69" s="2" t="s">
        <v>74</v>
      </c>
      <c r="G69" s="6" t="s">
        <v>348</v>
      </c>
      <c r="H69" s="2" t="s">
        <v>349</v>
      </c>
      <c r="I69" s="2" t="s">
        <v>285</v>
      </c>
      <c r="J69" s="2" t="s">
        <v>19</v>
      </c>
      <c r="K69" s="2" t="s">
        <v>323</v>
      </c>
      <c r="L69" s="7" t="str">
        <f>HYPERLINK("http://slimages.macys.com/is/image/MCY/12343071 ")</f>
        <v xml:space="preserve">http://slimages.macys.com/is/image/MCY/12343071 </v>
      </c>
    </row>
    <row r="70" spans="1:12" ht="24.75" x14ac:dyDescent="0.25">
      <c r="A70" s="4" t="s">
        <v>8492</v>
      </c>
      <c r="B70" s="2" t="s">
        <v>453</v>
      </c>
      <c r="C70" s="3">
        <v>1</v>
      </c>
      <c r="D70" s="5">
        <v>44.63</v>
      </c>
      <c r="E70" s="3" t="s">
        <v>454</v>
      </c>
      <c r="F70" s="2" t="s">
        <v>74</v>
      </c>
      <c r="G70" s="6" t="s">
        <v>434</v>
      </c>
      <c r="H70" s="2" t="s">
        <v>349</v>
      </c>
      <c r="I70" s="2" t="s">
        <v>285</v>
      </c>
      <c r="J70" s="2" t="s">
        <v>19</v>
      </c>
      <c r="K70" s="2" t="s">
        <v>323</v>
      </c>
      <c r="L70" s="7" t="str">
        <f>HYPERLINK("http://slimages.macys.com/is/image/MCY/12343071 ")</f>
        <v xml:space="preserve">http://slimages.macys.com/is/image/MCY/12343071 </v>
      </c>
    </row>
    <row r="71" spans="1:12" ht="24.75" x14ac:dyDescent="0.25">
      <c r="A71" s="4" t="s">
        <v>8493</v>
      </c>
      <c r="B71" s="2" t="s">
        <v>8494</v>
      </c>
      <c r="C71" s="3">
        <v>3</v>
      </c>
      <c r="D71" s="5">
        <v>69.5</v>
      </c>
      <c r="E71" s="3" t="s">
        <v>8495</v>
      </c>
      <c r="F71" s="2" t="s">
        <v>572</v>
      </c>
      <c r="G71" s="6" t="s">
        <v>219</v>
      </c>
      <c r="H71" s="2" t="s">
        <v>206</v>
      </c>
      <c r="I71" s="2" t="s">
        <v>207</v>
      </c>
      <c r="J71" s="2" t="s">
        <v>19</v>
      </c>
      <c r="K71" s="2" t="s">
        <v>34</v>
      </c>
      <c r="L71" s="7" t="str">
        <f>HYPERLINK("http://slimages.macys.com/is/image/MCY/10214326 ")</f>
        <v xml:space="preserve">http://slimages.macys.com/is/image/MCY/10214326 </v>
      </c>
    </row>
    <row r="72" spans="1:12" ht="24.75" x14ac:dyDescent="0.25">
      <c r="A72" s="4" t="s">
        <v>455</v>
      </c>
      <c r="B72" s="2" t="s">
        <v>456</v>
      </c>
      <c r="C72" s="3">
        <v>1</v>
      </c>
      <c r="D72" s="5">
        <v>44.63</v>
      </c>
      <c r="E72" s="3" t="s">
        <v>457</v>
      </c>
      <c r="F72" s="2" t="s">
        <v>26</v>
      </c>
      <c r="G72" s="6" t="s">
        <v>348</v>
      </c>
      <c r="H72" s="2" t="s">
        <v>349</v>
      </c>
      <c r="I72" s="2" t="s">
        <v>458</v>
      </c>
      <c r="J72" s="2" t="s">
        <v>19</v>
      </c>
      <c r="K72" s="2" t="s">
        <v>459</v>
      </c>
      <c r="L72" s="7" t="str">
        <f>HYPERLINK("http://slimages.macys.com/is/image/MCY/11030035 ")</f>
        <v xml:space="preserve">http://slimages.macys.com/is/image/MCY/11030035 </v>
      </c>
    </row>
    <row r="73" spans="1:12" ht="24.75" x14ac:dyDescent="0.25">
      <c r="A73" s="4" t="s">
        <v>4546</v>
      </c>
      <c r="B73" s="2" t="s">
        <v>456</v>
      </c>
      <c r="C73" s="3">
        <v>1</v>
      </c>
      <c r="D73" s="5">
        <v>44.63</v>
      </c>
      <c r="E73" s="3" t="s">
        <v>457</v>
      </c>
      <c r="F73" s="2" t="s">
        <v>26</v>
      </c>
      <c r="G73" s="6" t="s">
        <v>746</v>
      </c>
      <c r="H73" s="2" t="s">
        <v>349</v>
      </c>
      <c r="I73" s="2" t="s">
        <v>458</v>
      </c>
      <c r="J73" s="2" t="s">
        <v>19</v>
      </c>
      <c r="K73" s="2" t="s">
        <v>459</v>
      </c>
      <c r="L73" s="7" t="str">
        <f>HYPERLINK("http://slimages.macys.com/is/image/MCY/11030035 ")</f>
        <v xml:space="preserve">http://slimages.macys.com/is/image/MCY/11030035 </v>
      </c>
    </row>
    <row r="74" spans="1:12" ht="24.75" x14ac:dyDescent="0.25">
      <c r="A74" s="4" t="s">
        <v>8496</v>
      </c>
      <c r="B74" s="2" t="s">
        <v>693</v>
      </c>
      <c r="C74" s="3">
        <v>1</v>
      </c>
      <c r="D74" s="5">
        <v>34.99</v>
      </c>
      <c r="E74" s="3" t="s">
        <v>8497</v>
      </c>
      <c r="F74" s="2" t="s">
        <v>566</v>
      </c>
      <c r="G74" s="6" t="s">
        <v>348</v>
      </c>
      <c r="H74" s="2" t="s">
        <v>349</v>
      </c>
      <c r="I74" s="2" t="s">
        <v>408</v>
      </c>
      <c r="J74" s="2" t="s">
        <v>19</v>
      </c>
      <c r="K74" s="2" t="s">
        <v>409</v>
      </c>
      <c r="L74" s="7" t="str">
        <f>HYPERLINK("http://slimages.macys.com/is/image/MCY/9543348 ")</f>
        <v xml:space="preserve">http://slimages.macys.com/is/image/MCY/9543348 </v>
      </c>
    </row>
    <row r="75" spans="1:12" ht="36.75" x14ac:dyDescent="0.25">
      <c r="A75" s="4" t="s">
        <v>8498</v>
      </c>
      <c r="B75" s="2" t="s">
        <v>2278</v>
      </c>
      <c r="C75" s="3">
        <v>1</v>
      </c>
      <c r="D75" s="5">
        <v>44.5</v>
      </c>
      <c r="E75" s="3" t="s">
        <v>2279</v>
      </c>
      <c r="F75" s="2" t="s">
        <v>1788</v>
      </c>
      <c r="G75" s="6" t="s">
        <v>245</v>
      </c>
      <c r="H75" s="2" t="s">
        <v>194</v>
      </c>
      <c r="I75" s="2" t="s">
        <v>195</v>
      </c>
      <c r="J75" s="2" t="s">
        <v>19</v>
      </c>
      <c r="K75" s="2" t="s">
        <v>2280</v>
      </c>
      <c r="L75" s="7" t="str">
        <f>HYPERLINK("http://slimages.macys.com/is/image/MCY/11804478 ")</f>
        <v xml:space="preserve">http://slimages.macys.com/is/image/MCY/11804478 </v>
      </c>
    </row>
    <row r="76" spans="1:12" ht="24.75" x14ac:dyDescent="0.25">
      <c r="A76" s="4" t="s">
        <v>8499</v>
      </c>
      <c r="B76" s="2" t="s">
        <v>3418</v>
      </c>
      <c r="C76" s="3">
        <v>1</v>
      </c>
      <c r="D76" s="5">
        <v>59.5</v>
      </c>
      <c r="E76" s="3" t="s">
        <v>3419</v>
      </c>
      <c r="F76" s="2" t="s">
        <v>417</v>
      </c>
      <c r="G76" s="6"/>
      <c r="H76" s="2" t="s">
        <v>127</v>
      </c>
      <c r="I76" s="2" t="s">
        <v>128</v>
      </c>
      <c r="J76" s="2" t="s">
        <v>19</v>
      </c>
      <c r="K76" s="2" t="s">
        <v>160</v>
      </c>
      <c r="L76" s="7" t="str">
        <f>HYPERLINK("http://slimages.macys.com/is/image/MCY/13786793 ")</f>
        <v xml:space="preserve">http://slimages.macys.com/is/image/MCY/13786793 </v>
      </c>
    </row>
    <row r="77" spans="1:12" ht="24.75" x14ac:dyDescent="0.25">
      <c r="A77" s="4" t="s">
        <v>8500</v>
      </c>
      <c r="B77" s="2" t="s">
        <v>8501</v>
      </c>
      <c r="C77" s="3">
        <v>1</v>
      </c>
      <c r="D77" s="5">
        <v>37.130000000000003</v>
      </c>
      <c r="E77" s="3" t="s">
        <v>8502</v>
      </c>
      <c r="F77" s="2" t="s">
        <v>64</v>
      </c>
      <c r="G77" s="6"/>
      <c r="H77" s="2" t="s">
        <v>632</v>
      </c>
      <c r="I77" s="2" t="s">
        <v>408</v>
      </c>
      <c r="J77" s="2" t="s">
        <v>19</v>
      </c>
      <c r="K77" s="2" t="s">
        <v>160</v>
      </c>
      <c r="L77" s="7" t="str">
        <f>HYPERLINK("http://slimages.macys.com/is/image/MCY/12672216 ")</f>
        <v xml:space="preserve">http://slimages.macys.com/is/image/MCY/12672216 </v>
      </c>
    </row>
    <row r="78" spans="1:12" ht="24.75" x14ac:dyDescent="0.25">
      <c r="A78" s="4" t="s">
        <v>2284</v>
      </c>
      <c r="B78" s="2" t="s">
        <v>492</v>
      </c>
      <c r="C78" s="3">
        <v>1</v>
      </c>
      <c r="D78" s="5">
        <v>44.5</v>
      </c>
      <c r="E78" s="3" t="s">
        <v>493</v>
      </c>
      <c r="F78" s="2" t="s">
        <v>494</v>
      </c>
      <c r="G78" s="6" t="s">
        <v>181</v>
      </c>
      <c r="H78" s="2" t="s">
        <v>194</v>
      </c>
      <c r="I78" s="2" t="s">
        <v>195</v>
      </c>
      <c r="J78" s="2" t="s">
        <v>19</v>
      </c>
      <c r="K78" s="2" t="s">
        <v>495</v>
      </c>
      <c r="L78" s="7" t="str">
        <f>HYPERLINK("http://slimages.macys.com/is/image/MCY/11937857 ")</f>
        <v xml:space="preserve">http://slimages.macys.com/is/image/MCY/11937857 </v>
      </c>
    </row>
    <row r="79" spans="1:12" ht="24.75" x14ac:dyDescent="0.25">
      <c r="A79" s="4" t="s">
        <v>8503</v>
      </c>
      <c r="B79" s="2" t="s">
        <v>489</v>
      </c>
      <c r="C79" s="3">
        <v>1</v>
      </c>
      <c r="D79" s="5">
        <v>69.5</v>
      </c>
      <c r="E79" s="3" t="s">
        <v>490</v>
      </c>
      <c r="F79" s="2" t="s">
        <v>64</v>
      </c>
      <c r="G79" s="6" t="s">
        <v>58</v>
      </c>
      <c r="H79" s="2" t="s">
        <v>386</v>
      </c>
      <c r="I79" s="2" t="s">
        <v>337</v>
      </c>
      <c r="J79" s="2" t="s">
        <v>19</v>
      </c>
      <c r="K79" s="2" t="s">
        <v>361</v>
      </c>
      <c r="L79" s="7" t="str">
        <f>HYPERLINK("http://slimages.macys.com/is/image/MCY/3962661 ")</f>
        <v xml:space="preserve">http://slimages.macys.com/is/image/MCY/3962661 </v>
      </c>
    </row>
    <row r="80" spans="1:12" ht="36.75" x14ac:dyDescent="0.25">
      <c r="A80" s="4" t="s">
        <v>2292</v>
      </c>
      <c r="B80" s="2" t="s">
        <v>502</v>
      </c>
      <c r="C80" s="3">
        <v>1</v>
      </c>
      <c r="D80" s="5">
        <v>40.880000000000003</v>
      </c>
      <c r="E80" s="3">
        <v>100047671</v>
      </c>
      <c r="F80" s="2" t="s">
        <v>79</v>
      </c>
      <c r="G80" s="6" t="s">
        <v>112</v>
      </c>
      <c r="H80" s="2" t="s">
        <v>194</v>
      </c>
      <c r="I80" s="2" t="s">
        <v>503</v>
      </c>
      <c r="J80" s="2" t="s">
        <v>19</v>
      </c>
      <c r="K80" s="2" t="s">
        <v>504</v>
      </c>
      <c r="L80" s="7" t="str">
        <f>HYPERLINK("http://slimages.macys.com/is/image/MCY/11937756 ")</f>
        <v xml:space="preserve">http://slimages.macys.com/is/image/MCY/11937756 </v>
      </c>
    </row>
    <row r="81" spans="1:12" ht="24.75" x14ac:dyDescent="0.25">
      <c r="A81" s="4" t="s">
        <v>8504</v>
      </c>
      <c r="B81" s="2" t="s">
        <v>2295</v>
      </c>
      <c r="C81" s="3">
        <v>1</v>
      </c>
      <c r="D81" s="5">
        <v>40.880000000000003</v>
      </c>
      <c r="E81" s="3" t="s">
        <v>2296</v>
      </c>
      <c r="F81" s="2" t="s">
        <v>26</v>
      </c>
      <c r="G81" s="6" t="s">
        <v>181</v>
      </c>
      <c r="H81" s="2" t="s">
        <v>284</v>
      </c>
      <c r="I81" s="2" t="s">
        <v>408</v>
      </c>
      <c r="J81" s="2" t="s">
        <v>19</v>
      </c>
      <c r="K81" s="2" t="s">
        <v>409</v>
      </c>
      <c r="L81" s="7" t="str">
        <f>HYPERLINK("http://slimages.macys.com/is/image/MCY/12807933 ")</f>
        <v xml:space="preserve">http://slimages.macys.com/is/image/MCY/12807933 </v>
      </c>
    </row>
    <row r="82" spans="1:12" ht="24.75" x14ac:dyDescent="0.25">
      <c r="A82" s="4" t="s">
        <v>8505</v>
      </c>
      <c r="B82" s="2" t="s">
        <v>2295</v>
      </c>
      <c r="C82" s="3">
        <v>1</v>
      </c>
      <c r="D82" s="5">
        <v>40.880000000000003</v>
      </c>
      <c r="E82" s="3" t="s">
        <v>2296</v>
      </c>
      <c r="F82" s="2" t="s">
        <v>74</v>
      </c>
      <c r="G82" s="6" t="s">
        <v>181</v>
      </c>
      <c r="H82" s="2" t="s">
        <v>284</v>
      </c>
      <c r="I82" s="2" t="s">
        <v>408</v>
      </c>
      <c r="J82" s="2" t="s">
        <v>19</v>
      </c>
      <c r="K82" s="2" t="s">
        <v>409</v>
      </c>
      <c r="L82" s="7" t="str">
        <f>HYPERLINK("http://slimages.macys.com/is/image/MCY/12807933 ")</f>
        <v xml:space="preserve">http://slimages.macys.com/is/image/MCY/12807933 </v>
      </c>
    </row>
    <row r="83" spans="1:12" ht="36.75" x14ac:dyDescent="0.25">
      <c r="A83" s="4" t="s">
        <v>2293</v>
      </c>
      <c r="B83" s="2" t="s">
        <v>502</v>
      </c>
      <c r="C83" s="3">
        <v>1</v>
      </c>
      <c r="D83" s="5">
        <v>40.880000000000003</v>
      </c>
      <c r="E83" s="3">
        <v>100047671</v>
      </c>
      <c r="F83" s="2" t="s">
        <v>79</v>
      </c>
      <c r="G83" s="6" t="s">
        <v>22</v>
      </c>
      <c r="H83" s="2" t="s">
        <v>194</v>
      </c>
      <c r="I83" s="2" t="s">
        <v>503</v>
      </c>
      <c r="J83" s="2" t="s">
        <v>19</v>
      </c>
      <c r="K83" s="2" t="s">
        <v>504</v>
      </c>
      <c r="L83" s="7" t="str">
        <f>HYPERLINK("http://slimages.macys.com/is/image/MCY/11937756 ")</f>
        <v xml:space="preserve">http://slimages.macys.com/is/image/MCY/11937756 </v>
      </c>
    </row>
    <row r="84" spans="1:12" ht="36.75" x14ac:dyDescent="0.25">
      <c r="A84" s="4" t="s">
        <v>6370</v>
      </c>
      <c r="B84" s="2" t="s">
        <v>502</v>
      </c>
      <c r="C84" s="3">
        <v>1</v>
      </c>
      <c r="D84" s="5">
        <v>40.880000000000003</v>
      </c>
      <c r="E84" s="3">
        <v>100047671</v>
      </c>
      <c r="F84" s="2" t="s">
        <v>506</v>
      </c>
      <c r="G84" s="6" t="s">
        <v>112</v>
      </c>
      <c r="H84" s="2" t="s">
        <v>194</v>
      </c>
      <c r="I84" s="2" t="s">
        <v>503</v>
      </c>
      <c r="J84" s="2" t="s">
        <v>19</v>
      </c>
      <c r="K84" s="2" t="s">
        <v>504</v>
      </c>
      <c r="L84" s="7" t="str">
        <f>HYPERLINK("http://slimages.macys.com/is/image/MCY/11937756 ")</f>
        <v xml:space="preserve">http://slimages.macys.com/is/image/MCY/11937756 </v>
      </c>
    </row>
    <row r="85" spans="1:12" ht="24.75" x14ac:dyDescent="0.25">
      <c r="A85" s="4" t="s">
        <v>8506</v>
      </c>
      <c r="B85" s="2" t="s">
        <v>8507</v>
      </c>
      <c r="C85" s="3">
        <v>1</v>
      </c>
      <c r="D85" s="5">
        <v>49.5</v>
      </c>
      <c r="E85" s="3" t="s">
        <v>8508</v>
      </c>
      <c r="F85" s="2" t="s">
        <v>74</v>
      </c>
      <c r="G85" s="6" t="s">
        <v>16</v>
      </c>
      <c r="H85" s="2" t="s">
        <v>246</v>
      </c>
      <c r="I85" s="2" t="s">
        <v>189</v>
      </c>
      <c r="J85" s="2" t="s">
        <v>19</v>
      </c>
      <c r="K85" s="2" t="s">
        <v>137</v>
      </c>
      <c r="L85" s="7" t="str">
        <f>HYPERLINK("http://slimages.macys.com/is/image/MCY/11746339 ")</f>
        <v xml:space="preserve">http://slimages.macys.com/is/image/MCY/11746339 </v>
      </c>
    </row>
    <row r="86" spans="1:12" ht="24.75" x14ac:dyDescent="0.25">
      <c r="A86" s="4" t="s">
        <v>8509</v>
      </c>
      <c r="B86" s="2" t="s">
        <v>8510</v>
      </c>
      <c r="C86" s="3">
        <v>1</v>
      </c>
      <c r="D86" s="5">
        <v>52.13</v>
      </c>
      <c r="E86" s="3" t="s">
        <v>8511</v>
      </c>
      <c r="F86" s="2" t="s">
        <v>26</v>
      </c>
      <c r="G86" s="6" t="s">
        <v>234</v>
      </c>
      <c r="H86" s="2" t="s">
        <v>246</v>
      </c>
      <c r="I86" s="2" t="s">
        <v>189</v>
      </c>
      <c r="J86" s="2" t="s">
        <v>19</v>
      </c>
      <c r="K86" s="2" t="s">
        <v>3423</v>
      </c>
      <c r="L86" s="7" t="str">
        <f>HYPERLINK("http://slimages.macys.com/is/image/MCY/12326880 ")</f>
        <v xml:space="preserve">http://slimages.macys.com/is/image/MCY/12326880 </v>
      </c>
    </row>
    <row r="87" spans="1:12" ht="24.75" x14ac:dyDescent="0.25">
      <c r="A87" s="4" t="s">
        <v>8512</v>
      </c>
      <c r="B87" s="2" t="s">
        <v>7896</v>
      </c>
      <c r="C87" s="3">
        <v>1</v>
      </c>
      <c r="D87" s="5">
        <v>59.5</v>
      </c>
      <c r="E87" s="3" t="s">
        <v>7897</v>
      </c>
      <c r="F87" s="2" t="s">
        <v>74</v>
      </c>
      <c r="G87" s="6" t="s">
        <v>187</v>
      </c>
      <c r="H87" s="2" t="s">
        <v>127</v>
      </c>
      <c r="I87" s="2" t="s">
        <v>128</v>
      </c>
      <c r="J87" s="2" t="s">
        <v>19</v>
      </c>
      <c r="K87" s="2" t="s">
        <v>7061</v>
      </c>
      <c r="L87" s="7" t="str">
        <f>HYPERLINK("http://slimages.macys.com/is/image/MCY/13289969 ")</f>
        <v xml:space="preserve">http://slimages.macys.com/is/image/MCY/13289969 </v>
      </c>
    </row>
    <row r="88" spans="1:12" ht="36.75" x14ac:dyDescent="0.25">
      <c r="A88" s="4" t="s">
        <v>8513</v>
      </c>
      <c r="B88" s="2" t="s">
        <v>5493</v>
      </c>
      <c r="C88" s="3">
        <v>1</v>
      </c>
      <c r="D88" s="5">
        <v>37.130000000000003</v>
      </c>
      <c r="E88" s="3" t="s">
        <v>5494</v>
      </c>
      <c r="F88" s="2" t="s">
        <v>15</v>
      </c>
      <c r="G88" s="6" t="s">
        <v>181</v>
      </c>
      <c r="H88" s="2" t="s">
        <v>284</v>
      </c>
      <c r="I88" s="2" t="s">
        <v>285</v>
      </c>
      <c r="J88" s="2" t="s">
        <v>19</v>
      </c>
      <c r="K88" s="2" t="s">
        <v>2419</v>
      </c>
      <c r="L88" s="7" t="str">
        <f>HYPERLINK("http://slimages.macys.com/is/image/MCY/9678472 ")</f>
        <v xml:space="preserve">http://slimages.macys.com/is/image/MCY/9678472 </v>
      </c>
    </row>
    <row r="89" spans="1:12" ht="36.75" x14ac:dyDescent="0.25">
      <c r="A89" s="4" t="s">
        <v>3442</v>
      </c>
      <c r="B89" s="2" t="s">
        <v>519</v>
      </c>
      <c r="C89" s="3">
        <v>1</v>
      </c>
      <c r="D89" s="5">
        <v>44.63</v>
      </c>
      <c r="E89" s="3" t="s">
        <v>520</v>
      </c>
      <c r="F89" s="2" t="s">
        <v>74</v>
      </c>
      <c r="G89" s="6" t="s">
        <v>234</v>
      </c>
      <c r="H89" s="2" t="s">
        <v>194</v>
      </c>
      <c r="I89" s="2" t="s">
        <v>195</v>
      </c>
      <c r="J89" s="2" t="s">
        <v>19</v>
      </c>
      <c r="K89" s="2" t="s">
        <v>521</v>
      </c>
      <c r="L89" s="7" t="str">
        <f>HYPERLINK("http://slimages.macys.com/is/image/MCY/12279325 ")</f>
        <v xml:space="preserve">http://slimages.macys.com/is/image/MCY/12279325 </v>
      </c>
    </row>
    <row r="90" spans="1:12" ht="36.75" x14ac:dyDescent="0.25">
      <c r="A90" s="4" t="s">
        <v>3444</v>
      </c>
      <c r="B90" s="2" t="s">
        <v>519</v>
      </c>
      <c r="C90" s="3">
        <v>1</v>
      </c>
      <c r="D90" s="5">
        <v>44.63</v>
      </c>
      <c r="E90" s="3" t="s">
        <v>520</v>
      </c>
      <c r="F90" s="2" t="s">
        <v>74</v>
      </c>
      <c r="G90" s="6" t="s">
        <v>156</v>
      </c>
      <c r="H90" s="2" t="s">
        <v>194</v>
      </c>
      <c r="I90" s="2" t="s">
        <v>195</v>
      </c>
      <c r="J90" s="2" t="s">
        <v>19</v>
      </c>
      <c r="K90" s="2" t="s">
        <v>521</v>
      </c>
      <c r="L90" s="7" t="str">
        <f>HYPERLINK("http://slimages.macys.com/is/image/MCY/12279325 ")</f>
        <v xml:space="preserve">http://slimages.macys.com/is/image/MCY/12279325 </v>
      </c>
    </row>
    <row r="91" spans="1:12" ht="24.75" x14ac:dyDescent="0.25">
      <c r="A91" s="4" t="s">
        <v>8514</v>
      </c>
      <c r="B91" s="2" t="s">
        <v>8515</v>
      </c>
      <c r="C91" s="3">
        <v>1</v>
      </c>
      <c r="D91" s="5">
        <v>59.5</v>
      </c>
      <c r="E91" s="3" t="s">
        <v>8516</v>
      </c>
      <c r="F91" s="2" t="s">
        <v>820</v>
      </c>
      <c r="G91" s="6"/>
      <c r="H91" s="2" t="s">
        <v>127</v>
      </c>
      <c r="I91" s="2" t="s">
        <v>128</v>
      </c>
      <c r="J91" s="2" t="s">
        <v>19</v>
      </c>
      <c r="K91" s="2" t="s">
        <v>75</v>
      </c>
      <c r="L91" s="7" t="str">
        <f>HYPERLINK("http://slimages.macys.com/is/image/MCY/11787786 ")</f>
        <v xml:space="preserve">http://slimages.macys.com/is/image/MCY/11787786 </v>
      </c>
    </row>
    <row r="92" spans="1:12" ht="24.75" x14ac:dyDescent="0.25">
      <c r="A92" s="4" t="s">
        <v>526</v>
      </c>
      <c r="B92" s="2" t="s">
        <v>527</v>
      </c>
      <c r="C92" s="3">
        <v>1</v>
      </c>
      <c r="D92" s="5">
        <v>48.38</v>
      </c>
      <c r="E92" s="3" t="s">
        <v>528</v>
      </c>
      <c r="F92" s="2" t="s">
        <v>417</v>
      </c>
      <c r="G92" s="6"/>
      <c r="H92" s="2" t="s">
        <v>349</v>
      </c>
      <c r="I92" s="2" t="s">
        <v>285</v>
      </c>
      <c r="J92" s="2" t="s">
        <v>19</v>
      </c>
      <c r="K92" s="2" t="s">
        <v>160</v>
      </c>
      <c r="L92" s="7" t="str">
        <f>HYPERLINK("http://slimages.macys.com/is/image/MCY/12715708 ")</f>
        <v xml:space="preserve">http://slimages.macys.com/is/image/MCY/12715708 </v>
      </c>
    </row>
    <row r="93" spans="1:12" ht="24.75" x14ac:dyDescent="0.25">
      <c r="A93" s="4" t="s">
        <v>8517</v>
      </c>
      <c r="B93" s="2" t="s">
        <v>5499</v>
      </c>
      <c r="C93" s="3">
        <v>1</v>
      </c>
      <c r="D93" s="5">
        <v>37.130000000000003</v>
      </c>
      <c r="E93" s="3" t="s">
        <v>5500</v>
      </c>
      <c r="F93" s="2" t="s">
        <v>26</v>
      </c>
      <c r="G93" s="6" t="s">
        <v>200</v>
      </c>
      <c r="H93" s="2" t="s">
        <v>284</v>
      </c>
      <c r="I93" s="2" t="s">
        <v>408</v>
      </c>
      <c r="J93" s="2" t="s">
        <v>19</v>
      </c>
      <c r="K93" s="2" t="s">
        <v>409</v>
      </c>
      <c r="L93" s="7" t="str">
        <f>HYPERLINK("http://slimages.macys.com/is/image/MCY/12877285 ")</f>
        <v xml:space="preserve">http://slimages.macys.com/is/image/MCY/12877285 </v>
      </c>
    </row>
    <row r="94" spans="1:12" ht="24.75" x14ac:dyDescent="0.25">
      <c r="A94" s="4" t="s">
        <v>2315</v>
      </c>
      <c r="B94" s="2" t="s">
        <v>530</v>
      </c>
      <c r="C94" s="3">
        <v>1</v>
      </c>
      <c r="D94" s="5">
        <v>44.63</v>
      </c>
      <c r="E94" s="3" t="s">
        <v>531</v>
      </c>
      <c r="F94" s="2" t="s">
        <v>532</v>
      </c>
      <c r="G94" s="6" t="s">
        <v>234</v>
      </c>
      <c r="H94" s="2" t="s">
        <v>194</v>
      </c>
      <c r="I94" s="2" t="s">
        <v>195</v>
      </c>
      <c r="J94" s="2" t="s">
        <v>19</v>
      </c>
      <c r="K94" s="2" t="s">
        <v>533</v>
      </c>
      <c r="L94" s="7" t="str">
        <f>HYPERLINK("http://slimages.macys.com/is/image/MCY/12316730 ")</f>
        <v xml:space="preserve">http://slimages.macys.com/is/image/MCY/12316730 </v>
      </c>
    </row>
    <row r="95" spans="1:12" ht="24.75" x14ac:dyDescent="0.25">
      <c r="A95" s="4" t="s">
        <v>4587</v>
      </c>
      <c r="B95" s="2" t="s">
        <v>530</v>
      </c>
      <c r="C95" s="3">
        <v>1</v>
      </c>
      <c r="D95" s="5">
        <v>44.63</v>
      </c>
      <c r="E95" s="3" t="s">
        <v>531</v>
      </c>
      <c r="F95" s="2" t="s">
        <v>532</v>
      </c>
      <c r="G95" s="6" t="s">
        <v>200</v>
      </c>
      <c r="H95" s="2" t="s">
        <v>194</v>
      </c>
      <c r="I95" s="2" t="s">
        <v>195</v>
      </c>
      <c r="J95" s="2" t="s">
        <v>19</v>
      </c>
      <c r="K95" s="2" t="s">
        <v>533</v>
      </c>
      <c r="L95" s="7" t="str">
        <f>HYPERLINK("http://slimages.macys.com/is/image/MCY/12316730 ")</f>
        <v xml:space="preserve">http://slimages.macys.com/is/image/MCY/12316730 </v>
      </c>
    </row>
    <row r="96" spans="1:12" ht="24.75" x14ac:dyDescent="0.25">
      <c r="A96" s="4" t="s">
        <v>2320</v>
      </c>
      <c r="B96" s="2" t="s">
        <v>530</v>
      </c>
      <c r="C96" s="3">
        <v>2</v>
      </c>
      <c r="D96" s="5">
        <v>44.63</v>
      </c>
      <c r="E96" s="3" t="s">
        <v>531</v>
      </c>
      <c r="F96" s="2" t="s">
        <v>532</v>
      </c>
      <c r="G96" s="6" t="s">
        <v>154</v>
      </c>
      <c r="H96" s="2" t="s">
        <v>194</v>
      </c>
      <c r="I96" s="2" t="s">
        <v>195</v>
      </c>
      <c r="J96" s="2" t="s">
        <v>19</v>
      </c>
      <c r="K96" s="2" t="s">
        <v>533</v>
      </c>
      <c r="L96" s="7" t="str">
        <f>HYPERLINK("http://slimages.macys.com/is/image/MCY/12316730 ")</f>
        <v xml:space="preserve">http://slimages.macys.com/is/image/MCY/12316730 </v>
      </c>
    </row>
    <row r="97" spans="1:12" ht="48.75" x14ac:dyDescent="0.25">
      <c r="A97" s="4" t="s">
        <v>8518</v>
      </c>
      <c r="B97" s="2" t="s">
        <v>4590</v>
      </c>
      <c r="C97" s="3">
        <v>1</v>
      </c>
      <c r="D97" s="5">
        <v>37.130000000000003</v>
      </c>
      <c r="E97" s="3" t="s">
        <v>4591</v>
      </c>
      <c r="F97" s="2" t="s">
        <v>26</v>
      </c>
      <c r="G97" s="6" t="s">
        <v>200</v>
      </c>
      <c r="H97" s="2" t="s">
        <v>284</v>
      </c>
      <c r="I97" s="2" t="s">
        <v>408</v>
      </c>
      <c r="J97" s="2" t="s">
        <v>19</v>
      </c>
      <c r="K97" s="2" t="s">
        <v>3515</v>
      </c>
      <c r="L97" s="7" t="str">
        <f>HYPERLINK("http://slimages.macys.com/is/image/MCY/12342823 ")</f>
        <v xml:space="preserve">http://slimages.macys.com/is/image/MCY/12342823 </v>
      </c>
    </row>
    <row r="98" spans="1:12" ht="24.75" x14ac:dyDescent="0.25">
      <c r="A98" s="4" t="s">
        <v>547</v>
      </c>
      <c r="B98" s="2" t="s">
        <v>548</v>
      </c>
      <c r="C98" s="3">
        <v>1</v>
      </c>
      <c r="D98" s="5">
        <v>44.5</v>
      </c>
      <c r="E98" s="3" t="s">
        <v>549</v>
      </c>
      <c r="F98" s="2" t="s">
        <v>252</v>
      </c>
      <c r="G98" s="6" t="s">
        <v>181</v>
      </c>
      <c r="H98" s="2" t="s">
        <v>194</v>
      </c>
      <c r="I98" s="2" t="s">
        <v>195</v>
      </c>
      <c r="J98" s="2" t="s">
        <v>19</v>
      </c>
      <c r="K98" s="2" t="s">
        <v>34</v>
      </c>
      <c r="L98" s="7" t="str">
        <f>HYPERLINK("http://slimages.macys.com/is/image/MCY/11527016 ")</f>
        <v xml:space="preserve">http://slimages.macys.com/is/image/MCY/11527016 </v>
      </c>
    </row>
    <row r="99" spans="1:12" ht="24.75" x14ac:dyDescent="0.25">
      <c r="A99" s="4" t="s">
        <v>2323</v>
      </c>
      <c r="B99" s="2" t="s">
        <v>548</v>
      </c>
      <c r="C99" s="3">
        <v>1</v>
      </c>
      <c r="D99" s="5">
        <v>44.5</v>
      </c>
      <c r="E99" s="3" t="s">
        <v>549</v>
      </c>
      <c r="F99" s="2" t="s">
        <v>252</v>
      </c>
      <c r="G99" s="6" t="s">
        <v>156</v>
      </c>
      <c r="H99" s="2" t="s">
        <v>194</v>
      </c>
      <c r="I99" s="2" t="s">
        <v>195</v>
      </c>
      <c r="J99" s="2" t="s">
        <v>19</v>
      </c>
      <c r="K99" s="2" t="s">
        <v>34</v>
      </c>
      <c r="L99" s="7" t="str">
        <f>HYPERLINK("http://slimages.macys.com/is/image/MCY/11527016 ")</f>
        <v xml:space="preserve">http://slimages.macys.com/is/image/MCY/11527016 </v>
      </c>
    </row>
    <row r="100" spans="1:12" ht="48.75" x14ac:dyDescent="0.25">
      <c r="A100" s="4" t="s">
        <v>2326</v>
      </c>
      <c r="B100" s="2" t="s">
        <v>551</v>
      </c>
      <c r="C100" s="3">
        <v>1</v>
      </c>
      <c r="D100" s="5">
        <v>48</v>
      </c>
      <c r="E100" s="3">
        <v>100053418</v>
      </c>
      <c r="F100" s="2" t="s">
        <v>26</v>
      </c>
      <c r="G100" s="6" t="s">
        <v>156</v>
      </c>
      <c r="H100" s="2" t="s">
        <v>228</v>
      </c>
      <c r="I100" s="2" t="s">
        <v>229</v>
      </c>
      <c r="J100" s="2" t="s">
        <v>19</v>
      </c>
      <c r="K100" s="2" t="s">
        <v>552</v>
      </c>
      <c r="L100" s="7" t="str">
        <f>HYPERLINK("http://slimages.macys.com/is/image/MCY/12158587 ")</f>
        <v xml:space="preserve">http://slimages.macys.com/is/image/MCY/12158587 </v>
      </c>
    </row>
    <row r="101" spans="1:12" ht="24.75" x14ac:dyDescent="0.25">
      <c r="A101" s="4" t="s">
        <v>8519</v>
      </c>
      <c r="B101" s="2" t="s">
        <v>8520</v>
      </c>
      <c r="C101" s="3">
        <v>1</v>
      </c>
      <c r="D101" s="5">
        <v>49.5</v>
      </c>
      <c r="E101" s="3" t="s">
        <v>8521</v>
      </c>
      <c r="F101" s="2" t="s">
        <v>74</v>
      </c>
      <c r="G101" s="6" t="s">
        <v>205</v>
      </c>
      <c r="H101" s="2" t="s">
        <v>127</v>
      </c>
      <c r="I101" s="2" t="s">
        <v>128</v>
      </c>
      <c r="J101" s="2" t="s">
        <v>19</v>
      </c>
      <c r="K101" s="2" t="s">
        <v>361</v>
      </c>
      <c r="L101" s="7" t="str">
        <f>HYPERLINK("http://slimages.macys.com/is/image/MCY/8164680 ")</f>
        <v xml:space="preserve">http://slimages.macys.com/is/image/MCY/8164680 </v>
      </c>
    </row>
    <row r="102" spans="1:12" ht="24.75" x14ac:dyDescent="0.25">
      <c r="A102" s="4" t="s">
        <v>7161</v>
      </c>
      <c r="B102" s="2" t="s">
        <v>560</v>
      </c>
      <c r="C102" s="3">
        <v>1</v>
      </c>
      <c r="D102" s="5">
        <v>39.5</v>
      </c>
      <c r="E102" s="3" t="s">
        <v>561</v>
      </c>
      <c r="F102" s="2" t="s">
        <v>562</v>
      </c>
      <c r="G102" s="6" t="s">
        <v>200</v>
      </c>
      <c r="H102" s="2" t="s">
        <v>194</v>
      </c>
      <c r="I102" s="2" t="s">
        <v>195</v>
      </c>
      <c r="J102" s="2" t="s">
        <v>19</v>
      </c>
      <c r="K102" s="2" t="s">
        <v>151</v>
      </c>
      <c r="L102" s="7" t="str">
        <f>HYPERLINK("http://slimages.macys.com/is/image/MCY/11937879 ")</f>
        <v xml:space="preserve">http://slimages.macys.com/is/image/MCY/11937879 </v>
      </c>
    </row>
    <row r="103" spans="1:12" ht="24.75" x14ac:dyDescent="0.25">
      <c r="A103" s="4" t="s">
        <v>2333</v>
      </c>
      <c r="B103" s="2" t="s">
        <v>2334</v>
      </c>
      <c r="C103" s="3">
        <v>1</v>
      </c>
      <c r="D103" s="5">
        <v>59.5</v>
      </c>
      <c r="E103" s="3" t="s">
        <v>2335</v>
      </c>
      <c r="F103" s="2" t="s">
        <v>74</v>
      </c>
      <c r="G103" s="6" t="s">
        <v>187</v>
      </c>
      <c r="H103" s="2" t="s">
        <v>127</v>
      </c>
      <c r="I103" s="2" t="s">
        <v>128</v>
      </c>
      <c r="J103" s="2" t="s">
        <v>19</v>
      </c>
      <c r="K103" s="2" t="s">
        <v>160</v>
      </c>
      <c r="L103" s="7" t="str">
        <f>HYPERLINK("http://slimages.macys.com/is/image/MCY/9599934 ")</f>
        <v xml:space="preserve">http://slimages.macys.com/is/image/MCY/9599934 </v>
      </c>
    </row>
    <row r="104" spans="1:12" ht="24.75" x14ac:dyDescent="0.25">
      <c r="A104" s="4" t="s">
        <v>5510</v>
      </c>
      <c r="B104" s="2" t="s">
        <v>3461</v>
      </c>
      <c r="C104" s="3">
        <v>3</v>
      </c>
      <c r="D104" s="5">
        <v>40.880000000000003</v>
      </c>
      <c r="E104" s="3" t="s">
        <v>3462</v>
      </c>
      <c r="F104" s="2" t="s">
        <v>26</v>
      </c>
      <c r="G104" s="6" t="s">
        <v>234</v>
      </c>
      <c r="H104" s="2" t="s">
        <v>284</v>
      </c>
      <c r="I104" s="2" t="s">
        <v>285</v>
      </c>
      <c r="J104" s="2" t="s">
        <v>19</v>
      </c>
      <c r="K104" s="2" t="s">
        <v>2204</v>
      </c>
      <c r="L104" s="7" t="str">
        <f>HYPERLINK("http://slimages.macys.com/is/image/MCY/12035057 ")</f>
        <v xml:space="preserve">http://slimages.macys.com/is/image/MCY/12035057 </v>
      </c>
    </row>
    <row r="105" spans="1:12" ht="24.75" x14ac:dyDescent="0.25">
      <c r="A105" s="4" t="s">
        <v>8522</v>
      </c>
      <c r="B105" s="2" t="s">
        <v>8523</v>
      </c>
      <c r="C105" s="3">
        <v>1</v>
      </c>
      <c r="D105" s="5">
        <v>40.880000000000003</v>
      </c>
      <c r="E105" s="3" t="s">
        <v>8524</v>
      </c>
      <c r="F105" s="2" t="s">
        <v>15</v>
      </c>
      <c r="G105" s="6"/>
      <c r="H105" s="2" t="s">
        <v>312</v>
      </c>
      <c r="I105" s="2" t="s">
        <v>195</v>
      </c>
      <c r="J105" s="2" t="s">
        <v>19</v>
      </c>
      <c r="K105" s="2" t="s">
        <v>201</v>
      </c>
      <c r="L105" s="7" t="str">
        <f>HYPERLINK("http://slimages.macys.com/is/image/MCY/11804459 ")</f>
        <v xml:space="preserve">http://slimages.macys.com/is/image/MCY/11804459 </v>
      </c>
    </row>
    <row r="106" spans="1:12" ht="24.75" x14ac:dyDescent="0.25">
      <c r="A106" s="4" t="s">
        <v>596</v>
      </c>
      <c r="B106" s="2" t="s">
        <v>595</v>
      </c>
      <c r="C106" s="3">
        <v>2</v>
      </c>
      <c r="D106" s="5">
        <v>44.63</v>
      </c>
      <c r="E106" s="3">
        <v>100018127</v>
      </c>
      <c r="F106" s="2" t="s">
        <v>579</v>
      </c>
      <c r="G106" s="6" t="s">
        <v>154</v>
      </c>
      <c r="H106" s="2" t="s">
        <v>194</v>
      </c>
      <c r="I106" s="2" t="s">
        <v>195</v>
      </c>
      <c r="J106" s="2" t="s">
        <v>19</v>
      </c>
      <c r="K106" s="2" t="s">
        <v>34</v>
      </c>
      <c r="L106" s="7" t="str">
        <f>HYPERLINK("http://slimages.macys.com/is/image/MCY/9694255 ")</f>
        <v xml:space="preserve">http://slimages.macys.com/is/image/MCY/9694255 </v>
      </c>
    </row>
    <row r="107" spans="1:12" ht="24.75" x14ac:dyDescent="0.25">
      <c r="A107" s="4" t="s">
        <v>8525</v>
      </c>
      <c r="B107" s="2" t="s">
        <v>2223</v>
      </c>
      <c r="C107" s="3">
        <v>2</v>
      </c>
      <c r="D107" s="5">
        <v>40.880000000000003</v>
      </c>
      <c r="E107" s="3" t="s">
        <v>4597</v>
      </c>
      <c r="F107" s="2" t="s">
        <v>26</v>
      </c>
      <c r="G107" s="6" t="s">
        <v>234</v>
      </c>
      <c r="H107" s="2" t="s">
        <v>284</v>
      </c>
      <c r="I107" s="2" t="s">
        <v>285</v>
      </c>
      <c r="J107" s="2" t="s">
        <v>19</v>
      </c>
      <c r="K107" s="2" t="s">
        <v>323</v>
      </c>
      <c r="L107" s="7" t="str">
        <f>HYPERLINK("http://slimages.macys.com/is/image/MCY/12285170 ")</f>
        <v xml:space="preserve">http://slimages.macys.com/is/image/MCY/12285170 </v>
      </c>
    </row>
    <row r="108" spans="1:12" ht="24.75" x14ac:dyDescent="0.25">
      <c r="A108" s="4" t="s">
        <v>7176</v>
      </c>
      <c r="B108" s="2" t="s">
        <v>2223</v>
      </c>
      <c r="C108" s="3">
        <v>1</v>
      </c>
      <c r="D108" s="5">
        <v>40.880000000000003</v>
      </c>
      <c r="E108" s="3" t="s">
        <v>4597</v>
      </c>
      <c r="F108" s="2" t="s">
        <v>26</v>
      </c>
      <c r="G108" s="6" t="s">
        <v>181</v>
      </c>
      <c r="H108" s="2" t="s">
        <v>284</v>
      </c>
      <c r="I108" s="2" t="s">
        <v>285</v>
      </c>
      <c r="J108" s="2" t="s">
        <v>19</v>
      </c>
      <c r="K108" s="2" t="s">
        <v>323</v>
      </c>
      <c r="L108" s="7" t="str">
        <f>HYPERLINK("http://slimages.macys.com/is/image/MCY/12285170 ")</f>
        <v xml:space="preserve">http://slimages.macys.com/is/image/MCY/12285170 </v>
      </c>
    </row>
    <row r="109" spans="1:12" ht="24.75" x14ac:dyDescent="0.25">
      <c r="A109" s="4" t="s">
        <v>8526</v>
      </c>
      <c r="B109" s="2" t="s">
        <v>595</v>
      </c>
      <c r="C109" s="3">
        <v>1</v>
      </c>
      <c r="D109" s="5">
        <v>44.63</v>
      </c>
      <c r="E109" s="3">
        <v>100018127</v>
      </c>
      <c r="F109" s="2" t="s">
        <v>579</v>
      </c>
      <c r="G109" s="6" t="s">
        <v>234</v>
      </c>
      <c r="H109" s="2" t="s">
        <v>194</v>
      </c>
      <c r="I109" s="2" t="s">
        <v>195</v>
      </c>
      <c r="J109" s="2" t="s">
        <v>19</v>
      </c>
      <c r="K109" s="2" t="s">
        <v>34</v>
      </c>
      <c r="L109" s="7" t="str">
        <f>HYPERLINK("http://slimages.macys.com/is/image/MCY/9694255 ")</f>
        <v xml:space="preserve">http://slimages.macys.com/is/image/MCY/9694255 </v>
      </c>
    </row>
    <row r="110" spans="1:12" ht="24.75" x14ac:dyDescent="0.25">
      <c r="A110" s="4" t="s">
        <v>8527</v>
      </c>
      <c r="B110" s="2" t="s">
        <v>8528</v>
      </c>
      <c r="C110" s="3">
        <v>1</v>
      </c>
      <c r="D110" s="5">
        <v>51.5</v>
      </c>
      <c r="E110" s="3" t="s">
        <v>8529</v>
      </c>
      <c r="F110" s="2" t="s">
        <v>26</v>
      </c>
      <c r="G110" s="6" t="s">
        <v>154</v>
      </c>
      <c r="H110" s="2" t="s">
        <v>246</v>
      </c>
      <c r="I110" s="2" t="s">
        <v>189</v>
      </c>
      <c r="J110" s="2" t="s">
        <v>19</v>
      </c>
      <c r="K110" s="2" t="s">
        <v>34</v>
      </c>
      <c r="L110" s="7" t="str">
        <f>HYPERLINK("http://slimages.macys.com/is/image/MCY/11746920 ")</f>
        <v xml:space="preserve">http://slimages.macys.com/is/image/MCY/11746920 </v>
      </c>
    </row>
    <row r="111" spans="1:12" ht="48.75" x14ac:dyDescent="0.25">
      <c r="A111" s="4" t="s">
        <v>4598</v>
      </c>
      <c r="B111" s="2" t="s">
        <v>599</v>
      </c>
      <c r="C111" s="3">
        <v>1</v>
      </c>
      <c r="D111" s="5">
        <v>37.130000000000003</v>
      </c>
      <c r="E111" s="3" t="s">
        <v>600</v>
      </c>
      <c r="F111" s="2" t="s">
        <v>125</v>
      </c>
      <c r="G111" s="6" t="s">
        <v>200</v>
      </c>
      <c r="H111" s="2" t="s">
        <v>194</v>
      </c>
      <c r="I111" s="2" t="s">
        <v>195</v>
      </c>
      <c r="J111" s="2" t="s">
        <v>19</v>
      </c>
      <c r="K111" s="2" t="s">
        <v>601</v>
      </c>
      <c r="L111" s="7" t="str">
        <f>HYPERLINK("http://slimages.macys.com/is/image/MCY/12734338 ")</f>
        <v xml:space="preserve">http://slimages.macys.com/is/image/MCY/12734338 </v>
      </c>
    </row>
    <row r="112" spans="1:12" ht="48.75" x14ac:dyDescent="0.25">
      <c r="A112" s="4" t="s">
        <v>4599</v>
      </c>
      <c r="B112" s="2" t="s">
        <v>599</v>
      </c>
      <c r="C112" s="3">
        <v>1</v>
      </c>
      <c r="D112" s="5">
        <v>37.130000000000003</v>
      </c>
      <c r="E112" s="3" t="s">
        <v>600</v>
      </c>
      <c r="F112" s="2" t="s">
        <v>15</v>
      </c>
      <c r="G112" s="6" t="s">
        <v>200</v>
      </c>
      <c r="H112" s="2" t="s">
        <v>194</v>
      </c>
      <c r="I112" s="2" t="s">
        <v>195</v>
      </c>
      <c r="J112" s="2" t="s">
        <v>19</v>
      </c>
      <c r="K112" s="2" t="s">
        <v>601</v>
      </c>
      <c r="L112" s="7" t="str">
        <f>HYPERLINK("http://slimages.macys.com/is/image/MCY/12734338 ")</f>
        <v xml:space="preserve">http://slimages.macys.com/is/image/MCY/12734338 </v>
      </c>
    </row>
    <row r="113" spans="1:12" ht="48.75" x14ac:dyDescent="0.25">
      <c r="A113" s="4" t="s">
        <v>603</v>
      </c>
      <c r="B113" s="2" t="s">
        <v>599</v>
      </c>
      <c r="C113" s="3">
        <v>2</v>
      </c>
      <c r="D113" s="5">
        <v>37.130000000000003</v>
      </c>
      <c r="E113" s="3" t="s">
        <v>600</v>
      </c>
      <c r="F113" s="2" t="s">
        <v>125</v>
      </c>
      <c r="G113" s="6" t="s">
        <v>154</v>
      </c>
      <c r="H113" s="2" t="s">
        <v>194</v>
      </c>
      <c r="I113" s="2" t="s">
        <v>195</v>
      </c>
      <c r="J113" s="2" t="s">
        <v>19</v>
      </c>
      <c r="K113" s="2" t="s">
        <v>601</v>
      </c>
      <c r="L113" s="7" t="str">
        <f>HYPERLINK("http://slimages.macys.com/is/image/MCY/12734338 ")</f>
        <v xml:space="preserve">http://slimages.macys.com/is/image/MCY/12734338 </v>
      </c>
    </row>
    <row r="114" spans="1:12" ht="24.75" x14ac:dyDescent="0.25">
      <c r="A114" s="4" t="s">
        <v>2348</v>
      </c>
      <c r="B114" s="2" t="s">
        <v>612</v>
      </c>
      <c r="C114" s="3">
        <v>1</v>
      </c>
      <c r="D114" s="5">
        <v>37.130000000000003</v>
      </c>
      <c r="E114" s="3">
        <v>100042366</v>
      </c>
      <c r="F114" s="2" t="s">
        <v>111</v>
      </c>
      <c r="G114" s="6" t="s">
        <v>181</v>
      </c>
      <c r="H114" s="2" t="s">
        <v>194</v>
      </c>
      <c r="I114" s="2" t="s">
        <v>195</v>
      </c>
      <c r="J114" s="2" t="s">
        <v>19</v>
      </c>
      <c r="K114" s="2" t="s">
        <v>546</v>
      </c>
      <c r="L114" s="7" t="str">
        <f>HYPERLINK("http://slimages.macys.com/is/image/MCY/12734278 ")</f>
        <v xml:space="preserve">http://slimages.macys.com/is/image/MCY/12734278 </v>
      </c>
    </row>
    <row r="115" spans="1:12" ht="24.75" x14ac:dyDescent="0.25">
      <c r="A115" s="4" t="s">
        <v>5521</v>
      </c>
      <c r="B115" s="2" t="s">
        <v>612</v>
      </c>
      <c r="C115" s="3">
        <v>1</v>
      </c>
      <c r="D115" s="5">
        <v>37.130000000000003</v>
      </c>
      <c r="E115" s="3">
        <v>100042366</v>
      </c>
      <c r="F115" s="2" t="s">
        <v>111</v>
      </c>
      <c r="G115" s="6" t="s">
        <v>154</v>
      </c>
      <c r="H115" s="2" t="s">
        <v>194</v>
      </c>
      <c r="I115" s="2" t="s">
        <v>195</v>
      </c>
      <c r="J115" s="2" t="s">
        <v>19</v>
      </c>
      <c r="K115" s="2" t="s">
        <v>546</v>
      </c>
      <c r="L115" s="7" t="str">
        <f>HYPERLINK("http://slimages.macys.com/is/image/MCY/12734278 ")</f>
        <v xml:space="preserve">http://slimages.macys.com/is/image/MCY/12734278 </v>
      </c>
    </row>
    <row r="116" spans="1:12" ht="24.75" x14ac:dyDescent="0.25">
      <c r="A116" s="4" t="s">
        <v>618</v>
      </c>
      <c r="B116" s="2" t="s">
        <v>617</v>
      </c>
      <c r="C116" s="3">
        <v>1</v>
      </c>
      <c r="D116" s="5">
        <v>44.63</v>
      </c>
      <c r="E116" s="3">
        <v>100054444</v>
      </c>
      <c r="F116" s="2" t="s">
        <v>111</v>
      </c>
      <c r="G116" s="6" t="s">
        <v>200</v>
      </c>
      <c r="H116" s="2" t="s">
        <v>194</v>
      </c>
      <c r="I116" s="2" t="s">
        <v>195</v>
      </c>
      <c r="J116" s="2" t="s">
        <v>19</v>
      </c>
      <c r="K116" s="2" t="s">
        <v>546</v>
      </c>
      <c r="L116" s="7" t="str">
        <f>HYPERLINK("http://slimages.macys.com/is/image/MCY/12279794 ")</f>
        <v xml:space="preserve">http://slimages.macys.com/is/image/MCY/12279794 </v>
      </c>
    </row>
    <row r="117" spans="1:12" ht="48.75" x14ac:dyDescent="0.25">
      <c r="A117" s="4" t="s">
        <v>4608</v>
      </c>
      <c r="B117" s="2" t="s">
        <v>3478</v>
      </c>
      <c r="C117" s="3">
        <v>1</v>
      </c>
      <c r="D117" s="5">
        <v>79.5</v>
      </c>
      <c r="E117" s="3" t="s">
        <v>3479</v>
      </c>
      <c r="F117" s="2" t="s">
        <v>74</v>
      </c>
      <c r="G117" s="6" t="s">
        <v>219</v>
      </c>
      <c r="H117" s="2" t="s">
        <v>206</v>
      </c>
      <c r="I117" s="2" t="s">
        <v>207</v>
      </c>
      <c r="J117" s="2" t="s">
        <v>19</v>
      </c>
      <c r="K117" s="2" t="s">
        <v>3484</v>
      </c>
      <c r="L117" s="7" t="str">
        <f>HYPERLINK("http://slimages.macys.com/is/image/MCY/9043583 ")</f>
        <v xml:space="preserve">http://slimages.macys.com/is/image/MCY/9043583 </v>
      </c>
    </row>
    <row r="118" spans="1:12" ht="24.75" x14ac:dyDescent="0.25">
      <c r="A118" s="4" t="s">
        <v>8530</v>
      </c>
      <c r="B118" s="2" t="s">
        <v>8531</v>
      </c>
      <c r="C118" s="3">
        <v>3</v>
      </c>
      <c r="D118" s="5">
        <v>44.63</v>
      </c>
      <c r="E118" s="3" t="s">
        <v>8532</v>
      </c>
      <c r="F118" s="2" t="s">
        <v>15</v>
      </c>
      <c r="G118" s="6" t="s">
        <v>181</v>
      </c>
      <c r="H118" s="2" t="s">
        <v>246</v>
      </c>
      <c r="I118" s="2" t="s">
        <v>189</v>
      </c>
      <c r="J118" s="2" t="s">
        <v>19</v>
      </c>
      <c r="K118" s="2" t="s">
        <v>160</v>
      </c>
      <c r="L118" s="7" t="str">
        <f>HYPERLINK("http://slimages.macys.com/is/image/MCY/10679194 ")</f>
        <v xml:space="preserve">http://slimages.macys.com/is/image/MCY/10679194 </v>
      </c>
    </row>
    <row r="119" spans="1:12" ht="24.75" x14ac:dyDescent="0.25">
      <c r="A119" s="4" t="s">
        <v>8533</v>
      </c>
      <c r="B119" s="2" t="s">
        <v>8531</v>
      </c>
      <c r="C119" s="3">
        <v>1</v>
      </c>
      <c r="D119" s="5">
        <v>44.63</v>
      </c>
      <c r="E119" s="3" t="s">
        <v>8532</v>
      </c>
      <c r="F119" s="2" t="s">
        <v>15</v>
      </c>
      <c r="G119" s="6" t="s">
        <v>154</v>
      </c>
      <c r="H119" s="2" t="s">
        <v>246</v>
      </c>
      <c r="I119" s="2" t="s">
        <v>189</v>
      </c>
      <c r="J119" s="2" t="s">
        <v>19</v>
      </c>
      <c r="K119" s="2" t="s">
        <v>160</v>
      </c>
      <c r="L119" s="7" t="str">
        <f>HYPERLINK("http://slimages.macys.com/is/image/MCY/10679194 ")</f>
        <v xml:space="preserve">http://slimages.macys.com/is/image/MCY/10679194 </v>
      </c>
    </row>
    <row r="120" spans="1:12" ht="24.75" x14ac:dyDescent="0.25">
      <c r="A120" s="4" t="s">
        <v>2349</v>
      </c>
      <c r="B120" s="2" t="s">
        <v>630</v>
      </c>
      <c r="C120" s="3">
        <v>1</v>
      </c>
      <c r="D120" s="5">
        <v>44.63</v>
      </c>
      <c r="E120" s="3" t="s">
        <v>631</v>
      </c>
      <c r="F120" s="2" t="s">
        <v>376</v>
      </c>
      <c r="G120" s="6"/>
      <c r="H120" s="2" t="s">
        <v>632</v>
      </c>
      <c r="I120" s="2" t="s">
        <v>285</v>
      </c>
      <c r="J120" s="2" t="s">
        <v>19</v>
      </c>
      <c r="K120" s="2" t="s">
        <v>633</v>
      </c>
      <c r="L120" s="7" t="str">
        <f>HYPERLINK("http://slimages.macys.com/is/image/MCY/9449926 ")</f>
        <v xml:space="preserve">http://slimages.macys.com/is/image/MCY/9449926 </v>
      </c>
    </row>
    <row r="121" spans="1:12" ht="24.75" x14ac:dyDescent="0.25">
      <c r="A121" s="4" t="s">
        <v>7933</v>
      </c>
      <c r="B121" s="2" t="s">
        <v>2351</v>
      </c>
      <c r="C121" s="3">
        <v>1</v>
      </c>
      <c r="D121" s="5">
        <v>37.130000000000003</v>
      </c>
      <c r="E121" s="3" t="s">
        <v>2352</v>
      </c>
      <c r="F121" s="2" t="s">
        <v>417</v>
      </c>
      <c r="G121" s="6" t="s">
        <v>156</v>
      </c>
      <c r="H121" s="2" t="s">
        <v>194</v>
      </c>
      <c r="I121" s="2" t="s">
        <v>195</v>
      </c>
      <c r="J121" s="2" t="s">
        <v>19</v>
      </c>
      <c r="K121" s="2" t="s">
        <v>438</v>
      </c>
      <c r="L121" s="7" t="str">
        <f>HYPERLINK("http://slimages.macys.com/is/image/MCY/12667948 ")</f>
        <v xml:space="preserve">http://slimages.macys.com/is/image/MCY/12667948 </v>
      </c>
    </row>
    <row r="122" spans="1:12" ht="24.75" x14ac:dyDescent="0.25">
      <c r="A122" s="4" t="s">
        <v>8534</v>
      </c>
      <c r="B122" s="2" t="s">
        <v>2351</v>
      </c>
      <c r="C122" s="3">
        <v>1</v>
      </c>
      <c r="D122" s="5">
        <v>37.130000000000003</v>
      </c>
      <c r="E122" s="3" t="s">
        <v>2352</v>
      </c>
      <c r="F122" s="2" t="s">
        <v>417</v>
      </c>
      <c r="G122" s="6" t="s">
        <v>154</v>
      </c>
      <c r="H122" s="2" t="s">
        <v>194</v>
      </c>
      <c r="I122" s="2" t="s">
        <v>195</v>
      </c>
      <c r="J122" s="2" t="s">
        <v>19</v>
      </c>
      <c r="K122" s="2" t="s">
        <v>438</v>
      </c>
      <c r="L122" s="7" t="str">
        <f>HYPERLINK("http://slimages.macys.com/is/image/MCY/12667948 ")</f>
        <v xml:space="preserve">http://slimages.macys.com/is/image/MCY/12667948 </v>
      </c>
    </row>
    <row r="123" spans="1:12" ht="24.75" x14ac:dyDescent="0.25">
      <c r="A123" s="4" t="s">
        <v>4613</v>
      </c>
      <c r="B123" s="2" t="s">
        <v>2351</v>
      </c>
      <c r="C123" s="3">
        <v>1</v>
      </c>
      <c r="D123" s="5">
        <v>37.130000000000003</v>
      </c>
      <c r="E123" s="3" t="s">
        <v>2352</v>
      </c>
      <c r="F123" s="2" t="s">
        <v>417</v>
      </c>
      <c r="G123" s="6" t="s">
        <v>234</v>
      </c>
      <c r="H123" s="2" t="s">
        <v>194</v>
      </c>
      <c r="I123" s="2" t="s">
        <v>195</v>
      </c>
      <c r="J123" s="2" t="s">
        <v>19</v>
      </c>
      <c r="K123" s="2" t="s">
        <v>438</v>
      </c>
      <c r="L123" s="7" t="str">
        <f>HYPERLINK("http://slimages.macys.com/is/image/MCY/12667948 ")</f>
        <v xml:space="preserve">http://slimages.macys.com/is/image/MCY/12667948 </v>
      </c>
    </row>
    <row r="124" spans="1:12" ht="24.75" x14ac:dyDescent="0.25">
      <c r="A124" s="4" t="s">
        <v>8535</v>
      </c>
      <c r="B124" s="2" t="s">
        <v>635</v>
      </c>
      <c r="C124" s="3">
        <v>1</v>
      </c>
      <c r="D124" s="5">
        <v>44.5</v>
      </c>
      <c r="E124" s="3" t="s">
        <v>636</v>
      </c>
      <c r="F124" s="2" t="s">
        <v>89</v>
      </c>
      <c r="G124" s="6" t="s">
        <v>27</v>
      </c>
      <c r="H124" s="2" t="s">
        <v>213</v>
      </c>
      <c r="I124" s="2" t="s">
        <v>214</v>
      </c>
      <c r="J124" s="2" t="s">
        <v>19</v>
      </c>
      <c r="K124" s="2" t="s">
        <v>253</v>
      </c>
      <c r="L124" s="7" t="str">
        <f>HYPERLINK("http://slimages.macys.com/is/image/MCY/8486169 ")</f>
        <v xml:space="preserve">http://slimages.macys.com/is/image/MCY/8486169 </v>
      </c>
    </row>
    <row r="125" spans="1:12" ht="24.75" x14ac:dyDescent="0.25">
      <c r="A125" s="4" t="s">
        <v>8536</v>
      </c>
      <c r="B125" s="2" t="s">
        <v>2351</v>
      </c>
      <c r="C125" s="3">
        <v>1</v>
      </c>
      <c r="D125" s="5">
        <v>37.130000000000003</v>
      </c>
      <c r="E125" s="3" t="s">
        <v>3497</v>
      </c>
      <c r="F125" s="2" t="s">
        <v>417</v>
      </c>
      <c r="G125" s="6"/>
      <c r="H125" s="2" t="s">
        <v>312</v>
      </c>
      <c r="I125" s="2" t="s">
        <v>195</v>
      </c>
      <c r="J125" s="2" t="s">
        <v>19</v>
      </c>
      <c r="K125" s="2" t="s">
        <v>3508</v>
      </c>
      <c r="L125" s="7" t="str">
        <f>HYPERLINK("http://slimages.macys.com/is/image/MCY/12667948 ")</f>
        <v xml:space="preserve">http://slimages.macys.com/is/image/MCY/12667948 </v>
      </c>
    </row>
    <row r="126" spans="1:12" ht="24.75" x14ac:dyDescent="0.25">
      <c r="A126" s="4" t="s">
        <v>3496</v>
      </c>
      <c r="B126" s="2" t="s">
        <v>2351</v>
      </c>
      <c r="C126" s="3">
        <v>2</v>
      </c>
      <c r="D126" s="5">
        <v>37.130000000000003</v>
      </c>
      <c r="E126" s="3" t="s">
        <v>3497</v>
      </c>
      <c r="F126" s="2" t="s">
        <v>417</v>
      </c>
      <c r="G126" s="6"/>
      <c r="H126" s="2" t="s">
        <v>312</v>
      </c>
      <c r="I126" s="2" t="s">
        <v>195</v>
      </c>
      <c r="J126" s="2" t="s">
        <v>19</v>
      </c>
      <c r="K126" s="2" t="s">
        <v>3508</v>
      </c>
      <c r="L126" s="7" t="str">
        <f>HYPERLINK("http://slimages.macys.com/is/image/MCY/12667948 ")</f>
        <v xml:space="preserve">http://slimages.macys.com/is/image/MCY/12667948 </v>
      </c>
    </row>
    <row r="127" spans="1:12" ht="24.75" x14ac:dyDescent="0.25">
      <c r="A127" s="4" t="s">
        <v>7197</v>
      </c>
      <c r="B127" s="2" t="s">
        <v>641</v>
      </c>
      <c r="C127" s="3">
        <v>2</v>
      </c>
      <c r="D127" s="5">
        <v>34.99</v>
      </c>
      <c r="E127" s="3" t="s">
        <v>644</v>
      </c>
      <c r="F127" s="2" t="s">
        <v>26</v>
      </c>
      <c r="G127" s="6" t="s">
        <v>2276</v>
      </c>
      <c r="H127" s="2" t="s">
        <v>349</v>
      </c>
      <c r="I127" s="2" t="s">
        <v>408</v>
      </c>
      <c r="J127" s="2" t="s">
        <v>19</v>
      </c>
      <c r="K127" s="2" t="s">
        <v>409</v>
      </c>
      <c r="L127" s="7" t="str">
        <f>HYPERLINK("http://slimages.macys.com/is/image/MCY/9420343 ")</f>
        <v xml:space="preserve">http://slimages.macys.com/is/image/MCY/9420343 </v>
      </c>
    </row>
    <row r="128" spans="1:12" ht="24.75" x14ac:dyDescent="0.25">
      <c r="A128" s="4" t="s">
        <v>8537</v>
      </c>
      <c r="B128" s="2" t="s">
        <v>641</v>
      </c>
      <c r="C128" s="3">
        <v>1</v>
      </c>
      <c r="D128" s="5">
        <v>34.99</v>
      </c>
      <c r="E128" s="3" t="s">
        <v>644</v>
      </c>
      <c r="F128" s="2" t="s">
        <v>26</v>
      </c>
      <c r="G128" s="6"/>
      <c r="H128" s="2" t="s">
        <v>349</v>
      </c>
      <c r="I128" s="2" t="s">
        <v>408</v>
      </c>
      <c r="J128" s="2" t="s">
        <v>19</v>
      </c>
      <c r="K128" s="2" t="s">
        <v>409</v>
      </c>
      <c r="L128" s="7" t="str">
        <f>HYPERLINK("http://slimages.macys.com/is/image/MCY/9420343 ")</f>
        <v xml:space="preserve">http://slimages.macys.com/is/image/MCY/9420343 </v>
      </c>
    </row>
    <row r="129" spans="1:12" ht="24.75" x14ac:dyDescent="0.25">
      <c r="A129" s="4" t="s">
        <v>7198</v>
      </c>
      <c r="B129" s="2" t="s">
        <v>646</v>
      </c>
      <c r="C129" s="3">
        <v>1</v>
      </c>
      <c r="D129" s="5">
        <v>39.5</v>
      </c>
      <c r="E129" s="3" t="s">
        <v>647</v>
      </c>
      <c r="F129" s="2" t="s">
        <v>33</v>
      </c>
      <c r="G129" s="6" t="s">
        <v>200</v>
      </c>
      <c r="H129" s="2" t="s">
        <v>194</v>
      </c>
      <c r="I129" s="2" t="s">
        <v>195</v>
      </c>
      <c r="J129" s="2" t="s">
        <v>19</v>
      </c>
      <c r="K129" s="2" t="s">
        <v>648</v>
      </c>
      <c r="L129" s="7" t="str">
        <f>HYPERLINK("http://slimages.macys.com/is/image/MCY/12404939 ")</f>
        <v xml:space="preserve">http://slimages.macys.com/is/image/MCY/12404939 </v>
      </c>
    </row>
    <row r="130" spans="1:12" ht="24.75" x14ac:dyDescent="0.25">
      <c r="A130" s="4" t="s">
        <v>8538</v>
      </c>
      <c r="B130" s="2" t="s">
        <v>8539</v>
      </c>
      <c r="C130" s="3">
        <v>1</v>
      </c>
      <c r="D130" s="5">
        <v>40.880000000000003</v>
      </c>
      <c r="E130" s="3" t="s">
        <v>8540</v>
      </c>
      <c r="F130" s="2" t="s">
        <v>26</v>
      </c>
      <c r="G130" s="6" t="s">
        <v>154</v>
      </c>
      <c r="H130" s="2" t="s">
        <v>284</v>
      </c>
      <c r="I130" s="2" t="s">
        <v>285</v>
      </c>
      <c r="J130" s="2" t="s">
        <v>19</v>
      </c>
      <c r="K130" s="2" t="s">
        <v>137</v>
      </c>
      <c r="L130" s="7" t="str">
        <f>HYPERLINK("http://slimages.macys.com/is/image/MCY/10430263 ")</f>
        <v xml:space="preserve">http://slimages.macys.com/is/image/MCY/10430263 </v>
      </c>
    </row>
    <row r="131" spans="1:12" ht="24.75" x14ac:dyDescent="0.25">
      <c r="A131" s="4" t="s">
        <v>8541</v>
      </c>
      <c r="B131" s="2" t="s">
        <v>385</v>
      </c>
      <c r="C131" s="3">
        <v>1</v>
      </c>
      <c r="D131" s="5">
        <v>69.5</v>
      </c>
      <c r="E131" s="3">
        <v>100057469</v>
      </c>
      <c r="F131" s="2" t="s">
        <v>74</v>
      </c>
      <c r="G131" s="6" t="s">
        <v>27</v>
      </c>
      <c r="H131" s="2" t="s">
        <v>386</v>
      </c>
      <c r="I131" s="2" t="s">
        <v>207</v>
      </c>
      <c r="J131" s="2" t="s">
        <v>19</v>
      </c>
      <c r="K131" s="2" t="s">
        <v>387</v>
      </c>
      <c r="L131" s="7" t="str">
        <f>HYPERLINK("http://slimages.macys.com/is/image/MCY/11782675 ")</f>
        <v xml:space="preserve">http://slimages.macys.com/is/image/MCY/11782675 </v>
      </c>
    </row>
    <row r="132" spans="1:12" ht="24.75" x14ac:dyDescent="0.25">
      <c r="A132" s="4" t="s">
        <v>8542</v>
      </c>
      <c r="B132" s="2" t="s">
        <v>8543</v>
      </c>
      <c r="C132" s="3">
        <v>2</v>
      </c>
      <c r="D132" s="5">
        <v>69.5</v>
      </c>
      <c r="E132" s="3" t="s">
        <v>7808</v>
      </c>
      <c r="F132" s="2" t="s">
        <v>74</v>
      </c>
      <c r="G132" s="6" t="s">
        <v>336</v>
      </c>
      <c r="H132" s="2" t="s">
        <v>206</v>
      </c>
      <c r="I132" s="2" t="s">
        <v>207</v>
      </c>
      <c r="J132" s="2" t="s">
        <v>19</v>
      </c>
      <c r="K132" s="2" t="s">
        <v>7809</v>
      </c>
      <c r="L132" s="7" t="str">
        <f>HYPERLINK("http://slimages.macys.com/is/image/MCY/9381169 ")</f>
        <v xml:space="preserve">http://slimages.macys.com/is/image/MCY/9381169 </v>
      </c>
    </row>
    <row r="133" spans="1:12" ht="24.75" x14ac:dyDescent="0.25">
      <c r="A133" s="4" t="s">
        <v>8544</v>
      </c>
      <c r="B133" s="2" t="s">
        <v>8543</v>
      </c>
      <c r="C133" s="3">
        <v>1</v>
      </c>
      <c r="D133" s="5">
        <v>69.5</v>
      </c>
      <c r="E133" s="3" t="s">
        <v>7808</v>
      </c>
      <c r="F133" s="2" t="s">
        <v>74</v>
      </c>
      <c r="G133" s="6" t="s">
        <v>934</v>
      </c>
      <c r="H133" s="2" t="s">
        <v>206</v>
      </c>
      <c r="I133" s="2" t="s">
        <v>207</v>
      </c>
      <c r="J133" s="2" t="s">
        <v>19</v>
      </c>
      <c r="K133" s="2" t="s">
        <v>7809</v>
      </c>
      <c r="L133" s="7" t="str">
        <f>HYPERLINK("http://slimages.macys.com/is/image/MCY/9381169 ")</f>
        <v xml:space="preserve">http://slimages.macys.com/is/image/MCY/9381169 </v>
      </c>
    </row>
    <row r="134" spans="1:12" ht="24.75" x14ac:dyDescent="0.25">
      <c r="A134" s="4" t="s">
        <v>2374</v>
      </c>
      <c r="B134" s="2" t="s">
        <v>2372</v>
      </c>
      <c r="C134" s="3">
        <v>1</v>
      </c>
      <c r="D134" s="5">
        <v>44.5</v>
      </c>
      <c r="E134" s="3" t="s">
        <v>2373</v>
      </c>
      <c r="F134" s="2" t="s">
        <v>26</v>
      </c>
      <c r="G134" s="6"/>
      <c r="H134" s="2" t="s">
        <v>194</v>
      </c>
      <c r="I134" s="2" t="s">
        <v>195</v>
      </c>
      <c r="J134" s="2" t="s">
        <v>19</v>
      </c>
      <c r="K134" s="2" t="s">
        <v>648</v>
      </c>
      <c r="L134" s="7" t="str">
        <f>HYPERLINK("http://slimages.macys.com/is/image/MCY/12667980 ")</f>
        <v xml:space="preserve">http://slimages.macys.com/is/image/MCY/12667980 </v>
      </c>
    </row>
    <row r="135" spans="1:12" ht="24.75" x14ac:dyDescent="0.25">
      <c r="A135" s="4" t="s">
        <v>8545</v>
      </c>
      <c r="B135" s="2" t="s">
        <v>4638</v>
      </c>
      <c r="C135" s="3">
        <v>1</v>
      </c>
      <c r="D135" s="5">
        <v>37.130000000000003</v>
      </c>
      <c r="E135" s="3" t="s">
        <v>4639</v>
      </c>
      <c r="F135" s="2" t="s">
        <v>74</v>
      </c>
      <c r="G135" s="6" t="s">
        <v>154</v>
      </c>
      <c r="H135" s="2" t="s">
        <v>284</v>
      </c>
      <c r="I135" s="2" t="s">
        <v>458</v>
      </c>
      <c r="J135" s="2" t="s">
        <v>19</v>
      </c>
      <c r="K135" s="2" t="s">
        <v>4640</v>
      </c>
      <c r="L135" s="7" t="str">
        <f>HYPERLINK("http://slimages.macys.com/is/image/MCY/13081231 ")</f>
        <v xml:space="preserve">http://slimages.macys.com/is/image/MCY/13081231 </v>
      </c>
    </row>
    <row r="136" spans="1:12" ht="24.75" x14ac:dyDescent="0.25">
      <c r="A136" s="4" t="s">
        <v>8546</v>
      </c>
      <c r="B136" s="2" t="s">
        <v>650</v>
      </c>
      <c r="C136" s="3">
        <v>1</v>
      </c>
      <c r="D136" s="5">
        <v>44.63</v>
      </c>
      <c r="E136" s="3" t="s">
        <v>8547</v>
      </c>
      <c r="F136" s="2" t="s">
        <v>74</v>
      </c>
      <c r="G136" s="6" t="s">
        <v>234</v>
      </c>
      <c r="H136" s="2" t="s">
        <v>194</v>
      </c>
      <c r="I136" s="2" t="s">
        <v>580</v>
      </c>
      <c r="J136" s="2" t="s">
        <v>19</v>
      </c>
      <c r="K136" s="2" t="s">
        <v>247</v>
      </c>
      <c r="L136" s="7" t="str">
        <f>HYPERLINK("http://slimages.macys.com/is/image/MCY/12316651 ")</f>
        <v xml:space="preserve">http://slimages.macys.com/is/image/MCY/12316651 </v>
      </c>
    </row>
    <row r="137" spans="1:12" ht="24.75" x14ac:dyDescent="0.25">
      <c r="A137" s="4" t="s">
        <v>8548</v>
      </c>
      <c r="B137" s="2" t="s">
        <v>2331</v>
      </c>
      <c r="C137" s="3">
        <v>1</v>
      </c>
      <c r="D137" s="5">
        <v>51.5</v>
      </c>
      <c r="E137" s="3" t="s">
        <v>3456</v>
      </c>
      <c r="F137" s="2" t="s">
        <v>680</v>
      </c>
      <c r="G137" s="6" t="s">
        <v>156</v>
      </c>
      <c r="H137" s="2" t="s">
        <v>246</v>
      </c>
      <c r="I137" s="2" t="s">
        <v>189</v>
      </c>
      <c r="J137" s="2" t="s">
        <v>19</v>
      </c>
      <c r="K137" s="2" t="s">
        <v>1480</v>
      </c>
      <c r="L137" s="7" t="str">
        <f>HYPERLINK("http://slimages.macys.com/is/image/MCY/14856129 ")</f>
        <v xml:space="preserve">http://slimages.macys.com/is/image/MCY/14856129 </v>
      </c>
    </row>
    <row r="138" spans="1:12" ht="24.75" x14ac:dyDescent="0.25">
      <c r="A138" s="4" t="s">
        <v>2383</v>
      </c>
      <c r="B138" s="2" t="s">
        <v>693</v>
      </c>
      <c r="C138" s="3">
        <v>1</v>
      </c>
      <c r="D138" s="5">
        <v>29.99</v>
      </c>
      <c r="E138" s="3" t="s">
        <v>694</v>
      </c>
      <c r="F138" s="2" t="s">
        <v>413</v>
      </c>
      <c r="G138" s="6" t="s">
        <v>200</v>
      </c>
      <c r="H138" s="2" t="s">
        <v>284</v>
      </c>
      <c r="I138" s="2" t="s">
        <v>408</v>
      </c>
      <c r="J138" s="2" t="s">
        <v>19</v>
      </c>
      <c r="K138" s="2" t="s">
        <v>409</v>
      </c>
      <c r="L138" s="7" t="str">
        <f>HYPERLINK("http://slimages.macys.com/is/image/MCY/9387631 ")</f>
        <v xml:space="preserve">http://slimages.macys.com/is/image/MCY/9387631 </v>
      </c>
    </row>
    <row r="139" spans="1:12" ht="24.75" x14ac:dyDescent="0.25">
      <c r="A139" s="4" t="s">
        <v>8549</v>
      </c>
      <c r="B139" s="2" t="s">
        <v>699</v>
      </c>
      <c r="C139" s="3">
        <v>1</v>
      </c>
      <c r="D139" s="5">
        <v>44.63</v>
      </c>
      <c r="E139" s="3" t="s">
        <v>700</v>
      </c>
      <c r="F139" s="2" t="s">
        <v>74</v>
      </c>
      <c r="G139" s="6" t="s">
        <v>181</v>
      </c>
      <c r="H139" s="2" t="s">
        <v>246</v>
      </c>
      <c r="I139" s="2" t="s">
        <v>189</v>
      </c>
      <c r="J139" s="2" t="s">
        <v>19</v>
      </c>
      <c r="K139" s="2" t="s">
        <v>701</v>
      </c>
      <c r="L139" s="7" t="str">
        <f>HYPERLINK("http://slimages.macys.com/is/image/MCY/13786780 ")</f>
        <v xml:space="preserve">http://slimages.macys.com/is/image/MCY/13786780 </v>
      </c>
    </row>
    <row r="140" spans="1:12" ht="36.75" x14ac:dyDescent="0.25">
      <c r="A140" s="4" t="s">
        <v>8550</v>
      </c>
      <c r="B140" s="2" t="s">
        <v>1028</v>
      </c>
      <c r="C140" s="3">
        <v>1</v>
      </c>
      <c r="D140" s="5">
        <v>29.99</v>
      </c>
      <c r="E140" s="3" t="s">
        <v>8551</v>
      </c>
      <c r="F140" s="2" t="s">
        <v>85</v>
      </c>
      <c r="G140" s="6" t="s">
        <v>200</v>
      </c>
      <c r="H140" s="2" t="s">
        <v>284</v>
      </c>
      <c r="I140" s="2" t="s">
        <v>408</v>
      </c>
      <c r="J140" s="2" t="s">
        <v>19</v>
      </c>
      <c r="K140" s="2" t="s">
        <v>500</v>
      </c>
      <c r="L140" s="7" t="str">
        <f>HYPERLINK("http://slimages.macys.com/is/image/MCY/11636529 ")</f>
        <v xml:space="preserve">http://slimages.macys.com/is/image/MCY/11636529 </v>
      </c>
    </row>
    <row r="141" spans="1:12" ht="24.75" x14ac:dyDescent="0.25">
      <c r="A141" s="4" t="s">
        <v>2391</v>
      </c>
      <c r="B141" s="2" t="s">
        <v>707</v>
      </c>
      <c r="C141" s="3">
        <v>3</v>
      </c>
      <c r="D141" s="5">
        <v>40.880000000000003</v>
      </c>
      <c r="E141" s="3">
        <v>100047657</v>
      </c>
      <c r="F141" s="2" t="s">
        <v>376</v>
      </c>
      <c r="G141" s="6" t="s">
        <v>22</v>
      </c>
      <c r="H141" s="2" t="s">
        <v>194</v>
      </c>
      <c r="I141" s="2" t="s">
        <v>195</v>
      </c>
      <c r="J141" s="2" t="s">
        <v>19</v>
      </c>
      <c r="K141" s="2" t="s">
        <v>546</v>
      </c>
      <c r="L141" s="7" t="str">
        <f>HYPERLINK("http://slimages.macys.com/is/image/MCY/12143636 ")</f>
        <v xml:space="preserve">http://slimages.macys.com/is/image/MCY/12143636 </v>
      </c>
    </row>
    <row r="142" spans="1:12" ht="24.75" x14ac:dyDescent="0.25">
      <c r="A142" s="4" t="s">
        <v>8552</v>
      </c>
      <c r="B142" s="2" t="s">
        <v>2394</v>
      </c>
      <c r="C142" s="3">
        <v>1</v>
      </c>
      <c r="D142" s="5">
        <v>40.880000000000003</v>
      </c>
      <c r="E142" s="3" t="s">
        <v>2395</v>
      </c>
      <c r="F142" s="2" t="s">
        <v>33</v>
      </c>
      <c r="G142" s="6" t="s">
        <v>154</v>
      </c>
      <c r="H142" s="2" t="s">
        <v>194</v>
      </c>
      <c r="I142" s="2" t="s">
        <v>195</v>
      </c>
      <c r="J142" s="2" t="s">
        <v>19</v>
      </c>
      <c r="K142" s="2" t="s">
        <v>34</v>
      </c>
      <c r="L142" s="7" t="str">
        <f>HYPERLINK("http://slimages.macys.com/is/image/MCY/12950238 ")</f>
        <v xml:space="preserve">http://slimages.macys.com/is/image/MCY/12950238 </v>
      </c>
    </row>
    <row r="143" spans="1:12" ht="48.75" x14ac:dyDescent="0.25">
      <c r="A143" s="4" t="s">
        <v>3538</v>
      </c>
      <c r="B143" s="2" t="s">
        <v>3536</v>
      </c>
      <c r="C143" s="3">
        <v>1</v>
      </c>
      <c r="D143" s="5">
        <v>40.880000000000003</v>
      </c>
      <c r="E143" s="3" t="s">
        <v>3537</v>
      </c>
      <c r="F143" s="2" t="s">
        <v>74</v>
      </c>
      <c r="G143" s="6" t="s">
        <v>234</v>
      </c>
      <c r="H143" s="2" t="s">
        <v>284</v>
      </c>
      <c r="I143" s="2" t="s">
        <v>285</v>
      </c>
      <c r="J143" s="2" t="s">
        <v>19</v>
      </c>
      <c r="K143" s="2" t="s">
        <v>3542</v>
      </c>
      <c r="L143" s="7" t="str">
        <f>HYPERLINK("http://slimages.macys.com/is/image/MCY/11858366 ")</f>
        <v xml:space="preserve">http://slimages.macys.com/is/image/MCY/11858366 </v>
      </c>
    </row>
    <row r="144" spans="1:12" x14ac:dyDescent="0.25">
      <c r="A144" s="4" t="s">
        <v>8553</v>
      </c>
      <c r="B144" s="2" t="s">
        <v>8554</v>
      </c>
      <c r="C144" s="3">
        <v>1</v>
      </c>
      <c r="D144" s="5">
        <v>69.5</v>
      </c>
      <c r="E144" s="3" t="s">
        <v>8555</v>
      </c>
      <c r="F144" s="2" t="s">
        <v>70</v>
      </c>
      <c r="G144" s="6" t="s">
        <v>219</v>
      </c>
      <c r="H144" s="2" t="s">
        <v>206</v>
      </c>
      <c r="I144" s="2" t="s">
        <v>207</v>
      </c>
      <c r="J144" s="2" t="s">
        <v>19</v>
      </c>
      <c r="K144" s="2" t="s">
        <v>160</v>
      </c>
      <c r="L144" s="7" t="str">
        <f>HYPERLINK("http://slimages.macys.com/is/image/MCY/11488680 ")</f>
        <v xml:space="preserve">http://slimages.macys.com/is/image/MCY/11488680 </v>
      </c>
    </row>
    <row r="145" spans="1:12" ht="24.75" x14ac:dyDescent="0.25">
      <c r="A145" s="4" t="s">
        <v>5577</v>
      </c>
      <c r="B145" s="2" t="s">
        <v>456</v>
      </c>
      <c r="C145" s="3">
        <v>1</v>
      </c>
      <c r="D145" s="5">
        <v>37.130000000000003</v>
      </c>
      <c r="E145" s="3" t="s">
        <v>731</v>
      </c>
      <c r="F145" s="2" t="s">
        <v>417</v>
      </c>
      <c r="G145" s="6" t="s">
        <v>154</v>
      </c>
      <c r="H145" s="2" t="s">
        <v>284</v>
      </c>
      <c r="I145" s="2" t="s">
        <v>458</v>
      </c>
      <c r="J145" s="2" t="s">
        <v>19</v>
      </c>
      <c r="K145" s="2" t="s">
        <v>442</v>
      </c>
      <c r="L145" s="7" t="str">
        <f>HYPERLINK("http://slimages.macys.com/is/image/MCY/10242537 ")</f>
        <v xml:space="preserve">http://slimages.macys.com/is/image/MCY/10242537 </v>
      </c>
    </row>
    <row r="146" spans="1:12" ht="24.75" x14ac:dyDescent="0.25">
      <c r="A146" s="4" t="s">
        <v>8556</v>
      </c>
      <c r="B146" s="2" t="s">
        <v>456</v>
      </c>
      <c r="C146" s="3">
        <v>1</v>
      </c>
      <c r="D146" s="5">
        <v>37.130000000000003</v>
      </c>
      <c r="E146" s="3" t="s">
        <v>731</v>
      </c>
      <c r="F146" s="2" t="s">
        <v>417</v>
      </c>
      <c r="G146" s="6" t="s">
        <v>200</v>
      </c>
      <c r="H146" s="2" t="s">
        <v>284</v>
      </c>
      <c r="I146" s="2" t="s">
        <v>458</v>
      </c>
      <c r="J146" s="2" t="s">
        <v>19</v>
      </c>
      <c r="K146" s="2" t="s">
        <v>442</v>
      </c>
      <c r="L146" s="7" t="str">
        <f>HYPERLINK("http://slimages.macys.com/is/image/MCY/10242537 ")</f>
        <v xml:space="preserve">http://slimages.macys.com/is/image/MCY/10242537 </v>
      </c>
    </row>
    <row r="147" spans="1:12" ht="24.75" x14ac:dyDescent="0.25">
      <c r="A147" s="4" t="s">
        <v>730</v>
      </c>
      <c r="B147" s="2" t="s">
        <v>456</v>
      </c>
      <c r="C147" s="3">
        <v>2</v>
      </c>
      <c r="D147" s="5">
        <v>37.130000000000003</v>
      </c>
      <c r="E147" s="3" t="s">
        <v>731</v>
      </c>
      <c r="F147" s="2" t="s">
        <v>331</v>
      </c>
      <c r="G147" s="6" t="s">
        <v>154</v>
      </c>
      <c r="H147" s="2" t="s">
        <v>284</v>
      </c>
      <c r="I147" s="2" t="s">
        <v>458</v>
      </c>
      <c r="J147" s="2" t="s">
        <v>19</v>
      </c>
      <c r="K147" s="2" t="s">
        <v>442</v>
      </c>
      <c r="L147" s="7" t="str">
        <f>HYPERLINK("http://slimages.macys.com/is/image/MCY/10242537 ")</f>
        <v xml:space="preserve">http://slimages.macys.com/is/image/MCY/10242537 </v>
      </c>
    </row>
    <row r="148" spans="1:12" ht="24.75" x14ac:dyDescent="0.25">
      <c r="A148" s="4" t="s">
        <v>8557</v>
      </c>
      <c r="B148" s="2" t="s">
        <v>2403</v>
      </c>
      <c r="C148" s="3">
        <v>1</v>
      </c>
      <c r="D148" s="5">
        <v>36.75</v>
      </c>
      <c r="E148" s="3">
        <v>100009360</v>
      </c>
      <c r="F148" s="2" t="s">
        <v>225</v>
      </c>
      <c r="G148" s="6" t="s">
        <v>245</v>
      </c>
      <c r="H148" s="2" t="s">
        <v>194</v>
      </c>
      <c r="I148" s="2" t="s">
        <v>503</v>
      </c>
      <c r="J148" s="2" t="s">
        <v>19</v>
      </c>
      <c r="K148" s="2" t="s">
        <v>160</v>
      </c>
      <c r="L148" s="7" t="str">
        <f>HYPERLINK("http://slimages.macys.com/is/image/MCY/12734522 ")</f>
        <v xml:space="preserve">http://slimages.macys.com/is/image/MCY/12734522 </v>
      </c>
    </row>
    <row r="149" spans="1:12" ht="24.75" x14ac:dyDescent="0.25">
      <c r="A149" s="4" t="s">
        <v>8558</v>
      </c>
      <c r="B149" s="2" t="s">
        <v>5587</v>
      </c>
      <c r="C149" s="3">
        <v>1</v>
      </c>
      <c r="D149" s="5">
        <v>44.63</v>
      </c>
      <c r="E149" s="3" t="s">
        <v>7971</v>
      </c>
      <c r="F149" s="2" t="s">
        <v>1584</v>
      </c>
      <c r="G149" s="6"/>
      <c r="H149" s="2" t="s">
        <v>188</v>
      </c>
      <c r="I149" s="2" t="s">
        <v>189</v>
      </c>
      <c r="J149" s="2" t="s">
        <v>19</v>
      </c>
      <c r="K149" s="2" t="s">
        <v>705</v>
      </c>
      <c r="L149" s="7" t="str">
        <f>HYPERLINK("http://slimages.macys.com/is/image/MCY/9597132 ")</f>
        <v xml:space="preserve">http://slimages.macys.com/is/image/MCY/9597132 </v>
      </c>
    </row>
    <row r="150" spans="1:12" ht="48.75" x14ac:dyDescent="0.25">
      <c r="A150" s="4" t="s">
        <v>755</v>
      </c>
      <c r="B150" s="2" t="s">
        <v>750</v>
      </c>
      <c r="C150" s="3">
        <v>1</v>
      </c>
      <c r="D150" s="5">
        <v>44.63</v>
      </c>
      <c r="E150" s="3" t="s">
        <v>751</v>
      </c>
      <c r="F150" s="2" t="s">
        <v>752</v>
      </c>
      <c r="G150" s="6" t="s">
        <v>181</v>
      </c>
      <c r="H150" s="2" t="s">
        <v>194</v>
      </c>
      <c r="I150" s="2" t="s">
        <v>195</v>
      </c>
      <c r="J150" s="2" t="s">
        <v>19</v>
      </c>
      <c r="K150" s="2" t="s">
        <v>753</v>
      </c>
      <c r="L150" s="7" t="str">
        <f>HYPERLINK("http://slimages.macys.com/is/image/MCY/12734332 ")</f>
        <v xml:space="preserve">http://slimages.macys.com/is/image/MCY/12734332 </v>
      </c>
    </row>
    <row r="151" spans="1:12" ht="24.75" x14ac:dyDescent="0.25">
      <c r="A151" s="4" t="s">
        <v>8559</v>
      </c>
      <c r="B151" s="2" t="s">
        <v>4667</v>
      </c>
      <c r="C151" s="3">
        <v>1</v>
      </c>
      <c r="D151" s="5">
        <v>40.880000000000003</v>
      </c>
      <c r="E151" s="3" t="s">
        <v>4668</v>
      </c>
      <c r="F151" s="2" t="s">
        <v>417</v>
      </c>
      <c r="G151" s="6" t="s">
        <v>154</v>
      </c>
      <c r="H151" s="2" t="s">
        <v>194</v>
      </c>
      <c r="I151" s="2" t="s">
        <v>195</v>
      </c>
      <c r="J151" s="2" t="s">
        <v>19</v>
      </c>
      <c r="K151" s="2" t="s">
        <v>495</v>
      </c>
      <c r="L151" s="7" t="str">
        <f>HYPERLINK("http://slimages.macys.com/is/image/MCY/12143862 ")</f>
        <v xml:space="preserve">http://slimages.macys.com/is/image/MCY/12143862 </v>
      </c>
    </row>
    <row r="152" spans="1:12" ht="24.75" x14ac:dyDescent="0.25">
      <c r="A152" s="4" t="s">
        <v>8560</v>
      </c>
      <c r="B152" s="2" t="s">
        <v>2460</v>
      </c>
      <c r="C152" s="3">
        <v>1</v>
      </c>
      <c r="D152" s="5">
        <v>34.880000000000003</v>
      </c>
      <c r="E152" s="3">
        <v>100009313</v>
      </c>
      <c r="F152" s="2" t="s">
        <v>94</v>
      </c>
      <c r="G152" s="6" t="s">
        <v>141</v>
      </c>
      <c r="H152" s="2" t="s">
        <v>194</v>
      </c>
      <c r="I152" s="2" t="s">
        <v>503</v>
      </c>
      <c r="J152" s="2" t="s">
        <v>19</v>
      </c>
      <c r="K152" s="2" t="s">
        <v>353</v>
      </c>
      <c r="L152" s="7" t="str">
        <f>HYPERLINK("http://slimages.macys.com/is/image/MCY/9340611 ")</f>
        <v xml:space="preserve">http://slimages.macys.com/is/image/MCY/9340611 </v>
      </c>
    </row>
    <row r="153" spans="1:12" ht="24.75" x14ac:dyDescent="0.25">
      <c r="A153" s="4" t="s">
        <v>8561</v>
      </c>
      <c r="B153" s="2" t="s">
        <v>5595</v>
      </c>
      <c r="C153" s="3">
        <v>1</v>
      </c>
      <c r="D153" s="5">
        <v>34.880000000000003</v>
      </c>
      <c r="E153" s="3">
        <v>100038855</v>
      </c>
      <c r="F153" s="2" t="s">
        <v>506</v>
      </c>
      <c r="G153" s="6" t="s">
        <v>141</v>
      </c>
      <c r="H153" s="2" t="s">
        <v>194</v>
      </c>
      <c r="I153" s="2" t="s">
        <v>503</v>
      </c>
      <c r="J153" s="2" t="s">
        <v>19</v>
      </c>
      <c r="K153" s="2" t="s">
        <v>353</v>
      </c>
      <c r="L153" s="7" t="str">
        <f>HYPERLINK("http://slimages.macys.com/is/image/MCY/9325309 ")</f>
        <v xml:space="preserve">http://slimages.macys.com/is/image/MCY/9325309 </v>
      </c>
    </row>
    <row r="154" spans="1:12" ht="36.75" x14ac:dyDescent="0.25">
      <c r="A154" s="4" t="s">
        <v>2408</v>
      </c>
      <c r="B154" s="2" t="s">
        <v>764</v>
      </c>
      <c r="C154" s="3">
        <v>1</v>
      </c>
      <c r="D154" s="5">
        <v>37.130000000000003</v>
      </c>
      <c r="E154" s="3" t="s">
        <v>765</v>
      </c>
      <c r="F154" s="2" t="s">
        <v>566</v>
      </c>
      <c r="G154" s="6" t="s">
        <v>154</v>
      </c>
      <c r="H154" s="2" t="s">
        <v>284</v>
      </c>
      <c r="I154" s="2" t="s">
        <v>458</v>
      </c>
      <c r="J154" s="2" t="s">
        <v>19</v>
      </c>
      <c r="K154" s="2" t="s">
        <v>514</v>
      </c>
      <c r="L154" s="7" t="str">
        <f>HYPERLINK("http://slimages.macys.com/is/image/MCY/13804604 ")</f>
        <v xml:space="preserve">http://slimages.macys.com/is/image/MCY/13804604 </v>
      </c>
    </row>
    <row r="155" spans="1:12" ht="24.75" x14ac:dyDescent="0.25">
      <c r="A155" s="4" t="s">
        <v>2407</v>
      </c>
      <c r="B155" s="2" t="s">
        <v>768</v>
      </c>
      <c r="C155" s="3">
        <v>2</v>
      </c>
      <c r="D155" s="5">
        <v>34.880000000000003</v>
      </c>
      <c r="E155" s="3">
        <v>100054400</v>
      </c>
      <c r="F155" s="2" t="s">
        <v>64</v>
      </c>
      <c r="G155" s="6" t="s">
        <v>58</v>
      </c>
      <c r="H155" s="2" t="s">
        <v>194</v>
      </c>
      <c r="I155" s="2" t="s">
        <v>195</v>
      </c>
      <c r="J155" s="2" t="s">
        <v>19</v>
      </c>
      <c r="K155" s="2" t="s">
        <v>546</v>
      </c>
      <c r="L155" s="7" t="str">
        <f>HYPERLINK("http://slimages.macys.com/is/image/MCY/12850455 ")</f>
        <v xml:space="preserve">http://slimages.macys.com/is/image/MCY/12850455 </v>
      </c>
    </row>
    <row r="156" spans="1:12" ht="24.75" x14ac:dyDescent="0.25">
      <c r="A156" s="4" t="s">
        <v>7975</v>
      </c>
      <c r="B156" s="2" t="s">
        <v>768</v>
      </c>
      <c r="C156" s="3">
        <v>1</v>
      </c>
      <c r="D156" s="5">
        <v>34.880000000000003</v>
      </c>
      <c r="E156" s="3">
        <v>100054400</v>
      </c>
      <c r="F156" s="2" t="s">
        <v>64</v>
      </c>
      <c r="G156" s="6" t="s">
        <v>27</v>
      </c>
      <c r="H156" s="2" t="s">
        <v>194</v>
      </c>
      <c r="I156" s="2" t="s">
        <v>195</v>
      </c>
      <c r="J156" s="2" t="s">
        <v>19</v>
      </c>
      <c r="K156" s="2" t="s">
        <v>546</v>
      </c>
      <c r="L156" s="7" t="str">
        <f>HYPERLINK("http://slimages.macys.com/is/image/MCY/12850455 ")</f>
        <v xml:space="preserve">http://slimages.macys.com/is/image/MCY/12850455 </v>
      </c>
    </row>
    <row r="157" spans="1:12" ht="24.75" x14ac:dyDescent="0.25">
      <c r="A157" s="4" t="s">
        <v>5602</v>
      </c>
      <c r="B157" s="2" t="s">
        <v>768</v>
      </c>
      <c r="C157" s="3">
        <v>2</v>
      </c>
      <c r="D157" s="5">
        <v>34.880000000000003</v>
      </c>
      <c r="E157" s="3">
        <v>100054400</v>
      </c>
      <c r="F157" s="2" t="s">
        <v>64</v>
      </c>
      <c r="G157" s="6" t="s">
        <v>112</v>
      </c>
      <c r="H157" s="2" t="s">
        <v>194</v>
      </c>
      <c r="I157" s="2" t="s">
        <v>195</v>
      </c>
      <c r="J157" s="2" t="s">
        <v>19</v>
      </c>
      <c r="K157" s="2" t="s">
        <v>546</v>
      </c>
      <c r="L157" s="7" t="str">
        <f>HYPERLINK("http://slimages.macys.com/is/image/MCY/12850455 ")</f>
        <v xml:space="preserve">http://slimages.macys.com/is/image/MCY/12850455 </v>
      </c>
    </row>
    <row r="158" spans="1:12" ht="24.75" x14ac:dyDescent="0.25">
      <c r="A158" s="4" t="s">
        <v>2406</v>
      </c>
      <c r="B158" s="2" t="s">
        <v>768</v>
      </c>
      <c r="C158" s="3">
        <v>1</v>
      </c>
      <c r="D158" s="5">
        <v>34.880000000000003</v>
      </c>
      <c r="E158" s="3">
        <v>100054400</v>
      </c>
      <c r="F158" s="2" t="s">
        <v>64</v>
      </c>
      <c r="G158" s="6" t="s">
        <v>65</v>
      </c>
      <c r="H158" s="2" t="s">
        <v>194</v>
      </c>
      <c r="I158" s="2" t="s">
        <v>195</v>
      </c>
      <c r="J158" s="2" t="s">
        <v>19</v>
      </c>
      <c r="K158" s="2" t="s">
        <v>546</v>
      </c>
      <c r="L158" s="7" t="str">
        <f>HYPERLINK("http://slimages.macys.com/is/image/MCY/12850455 ")</f>
        <v xml:space="preserve">http://slimages.macys.com/is/image/MCY/12850455 </v>
      </c>
    </row>
    <row r="159" spans="1:12" ht="24.75" x14ac:dyDescent="0.25">
      <c r="A159" s="4" t="s">
        <v>8562</v>
      </c>
      <c r="B159" s="2" t="s">
        <v>8563</v>
      </c>
      <c r="C159" s="3">
        <v>1</v>
      </c>
      <c r="D159" s="5">
        <v>44.63</v>
      </c>
      <c r="E159" s="3">
        <v>100018612</v>
      </c>
      <c r="F159" s="2" t="s">
        <v>74</v>
      </c>
      <c r="G159" s="6" t="s">
        <v>234</v>
      </c>
      <c r="H159" s="2" t="s">
        <v>284</v>
      </c>
      <c r="I159" s="2" t="s">
        <v>285</v>
      </c>
      <c r="J159" s="2" t="s">
        <v>19</v>
      </c>
      <c r="K159" s="2" t="s">
        <v>160</v>
      </c>
      <c r="L159" s="7" t="str">
        <f>HYPERLINK("http://slimages.macys.com/is/image/MCY/9776231 ")</f>
        <v xml:space="preserve">http://slimages.macys.com/is/image/MCY/9776231 </v>
      </c>
    </row>
    <row r="160" spans="1:12" ht="48.75" x14ac:dyDescent="0.25">
      <c r="A160" s="4" t="s">
        <v>3561</v>
      </c>
      <c r="B160" s="2" t="s">
        <v>750</v>
      </c>
      <c r="C160" s="3">
        <v>18</v>
      </c>
      <c r="D160" s="5">
        <v>44.63</v>
      </c>
      <c r="E160" s="3" t="s">
        <v>770</v>
      </c>
      <c r="F160" s="2" t="s">
        <v>752</v>
      </c>
      <c r="G160" s="6"/>
      <c r="H160" s="2" t="s">
        <v>312</v>
      </c>
      <c r="I160" s="2" t="s">
        <v>195</v>
      </c>
      <c r="J160" s="2" t="s">
        <v>19</v>
      </c>
      <c r="K160" s="2" t="s">
        <v>771</v>
      </c>
      <c r="L160" s="7" t="str">
        <f>HYPERLINK("http://slimages.macys.com/is/image/MCY/12734332 ")</f>
        <v xml:space="preserve">http://slimages.macys.com/is/image/MCY/12734332 </v>
      </c>
    </row>
    <row r="161" spans="1:12" ht="36.75" x14ac:dyDescent="0.25">
      <c r="A161" s="4" t="s">
        <v>8564</v>
      </c>
      <c r="B161" s="2" t="s">
        <v>4501</v>
      </c>
      <c r="C161" s="3">
        <v>1</v>
      </c>
      <c r="D161" s="5">
        <v>52.13</v>
      </c>
      <c r="E161" s="3" t="s">
        <v>4502</v>
      </c>
      <c r="F161" s="2" t="s">
        <v>125</v>
      </c>
      <c r="G161" s="6" t="s">
        <v>16</v>
      </c>
      <c r="H161" s="2" t="s">
        <v>246</v>
      </c>
      <c r="I161" s="2" t="s">
        <v>189</v>
      </c>
      <c r="J161" s="2" t="s">
        <v>19</v>
      </c>
      <c r="K161" s="2" t="s">
        <v>395</v>
      </c>
      <c r="L161" s="7" t="str">
        <f>HYPERLINK("http://slimages.macys.com/is/image/MCY/13973791 ")</f>
        <v xml:space="preserve">http://slimages.macys.com/is/image/MCY/13973791 </v>
      </c>
    </row>
    <row r="162" spans="1:12" ht="36.75" x14ac:dyDescent="0.25">
      <c r="A162" s="4" t="s">
        <v>8565</v>
      </c>
      <c r="B162" s="2" t="s">
        <v>4685</v>
      </c>
      <c r="C162" s="3">
        <v>1</v>
      </c>
      <c r="D162" s="5">
        <v>36.99</v>
      </c>
      <c r="E162" s="3" t="s">
        <v>4686</v>
      </c>
      <c r="F162" s="2" t="s">
        <v>74</v>
      </c>
      <c r="G162" s="6" t="s">
        <v>181</v>
      </c>
      <c r="H162" s="2" t="s">
        <v>284</v>
      </c>
      <c r="I162" s="2" t="s">
        <v>285</v>
      </c>
      <c r="J162" s="2" t="s">
        <v>19</v>
      </c>
      <c r="K162" s="2" t="s">
        <v>4687</v>
      </c>
      <c r="L162" s="7" t="str">
        <f>HYPERLINK("http://slimages.macys.com/is/image/MCY/13291017 ")</f>
        <v xml:space="preserve">http://slimages.macys.com/is/image/MCY/13291017 </v>
      </c>
    </row>
    <row r="163" spans="1:12" ht="36.75" x14ac:dyDescent="0.25">
      <c r="A163" s="4" t="s">
        <v>8566</v>
      </c>
      <c r="B163" s="2" t="s">
        <v>4685</v>
      </c>
      <c r="C163" s="3">
        <v>1</v>
      </c>
      <c r="D163" s="5">
        <v>36.99</v>
      </c>
      <c r="E163" s="3" t="s">
        <v>4686</v>
      </c>
      <c r="F163" s="2" t="s">
        <v>53</v>
      </c>
      <c r="G163" s="6" t="s">
        <v>234</v>
      </c>
      <c r="H163" s="2" t="s">
        <v>284</v>
      </c>
      <c r="I163" s="2" t="s">
        <v>285</v>
      </c>
      <c r="J163" s="2" t="s">
        <v>19</v>
      </c>
      <c r="K163" s="2" t="s">
        <v>4687</v>
      </c>
      <c r="L163" s="7" t="str">
        <f>HYPERLINK("http://slimages.macys.com/is/image/MCY/13291017 ")</f>
        <v xml:space="preserve">http://slimages.macys.com/is/image/MCY/13291017 </v>
      </c>
    </row>
    <row r="164" spans="1:12" ht="36.75" x14ac:dyDescent="0.25">
      <c r="A164" s="4" t="s">
        <v>3371</v>
      </c>
      <c r="B164" s="2" t="s">
        <v>2211</v>
      </c>
      <c r="C164" s="3">
        <v>1</v>
      </c>
      <c r="D164" s="5">
        <v>59.5</v>
      </c>
      <c r="E164" s="3" t="s">
        <v>2212</v>
      </c>
      <c r="F164" s="2" t="s">
        <v>136</v>
      </c>
      <c r="G164" s="6" t="s">
        <v>205</v>
      </c>
      <c r="H164" s="2" t="s">
        <v>127</v>
      </c>
      <c r="I164" s="2" t="s">
        <v>128</v>
      </c>
      <c r="J164" s="2" t="s">
        <v>19</v>
      </c>
      <c r="K164" s="2" t="s">
        <v>2213</v>
      </c>
      <c r="L164" s="7" t="str">
        <f>HYPERLINK("http://slimages.macys.com/is/image/MCY/11074772 ")</f>
        <v xml:space="preserve">http://slimages.macys.com/is/image/MCY/11074772 </v>
      </c>
    </row>
    <row r="165" spans="1:12" ht="24.75" x14ac:dyDescent="0.25">
      <c r="A165" s="4" t="s">
        <v>8567</v>
      </c>
      <c r="B165" s="2" t="s">
        <v>7230</v>
      </c>
      <c r="C165" s="3">
        <v>1</v>
      </c>
      <c r="D165" s="5">
        <v>40.880000000000003</v>
      </c>
      <c r="E165" s="3" t="s">
        <v>7231</v>
      </c>
      <c r="F165" s="2"/>
      <c r="G165" s="6" t="s">
        <v>16</v>
      </c>
      <c r="H165" s="2" t="s">
        <v>213</v>
      </c>
      <c r="I165" s="2" t="s">
        <v>214</v>
      </c>
      <c r="J165" s="2" t="s">
        <v>19</v>
      </c>
      <c r="K165" s="2" t="s">
        <v>215</v>
      </c>
      <c r="L165" s="7" t="str">
        <f>HYPERLINK("http://slimages.macys.com/is/image/MCY/11699651 ")</f>
        <v xml:space="preserve">http://slimages.macys.com/is/image/MCY/11699651 </v>
      </c>
    </row>
    <row r="166" spans="1:12" ht="36.75" x14ac:dyDescent="0.25">
      <c r="A166" s="4" t="s">
        <v>8568</v>
      </c>
      <c r="B166" s="2" t="s">
        <v>780</v>
      </c>
      <c r="C166" s="3">
        <v>1</v>
      </c>
      <c r="D166" s="5">
        <v>59.5</v>
      </c>
      <c r="E166" s="3" t="s">
        <v>781</v>
      </c>
      <c r="F166" s="2" t="s">
        <v>53</v>
      </c>
      <c r="G166" s="6" t="s">
        <v>219</v>
      </c>
      <c r="H166" s="2" t="s">
        <v>127</v>
      </c>
      <c r="I166" s="2" t="s">
        <v>128</v>
      </c>
      <c r="J166" s="2" t="s">
        <v>19</v>
      </c>
      <c r="K166" s="2" t="s">
        <v>782</v>
      </c>
      <c r="L166" s="7" t="str">
        <f>HYPERLINK("http://slimages.macys.com/is/image/MCY/13039364 ")</f>
        <v xml:space="preserve">http://slimages.macys.com/is/image/MCY/13039364 </v>
      </c>
    </row>
    <row r="167" spans="1:12" ht="24.75" x14ac:dyDescent="0.25">
      <c r="A167" s="4" t="s">
        <v>8569</v>
      </c>
      <c r="B167" s="2" t="s">
        <v>7982</v>
      </c>
      <c r="C167" s="3">
        <v>1</v>
      </c>
      <c r="D167" s="5">
        <v>69.5</v>
      </c>
      <c r="E167" s="3">
        <v>100052014</v>
      </c>
      <c r="F167" s="2" t="s">
        <v>79</v>
      </c>
      <c r="G167" s="6" t="s">
        <v>65</v>
      </c>
      <c r="H167" s="2" t="s">
        <v>386</v>
      </c>
      <c r="I167" s="2" t="s">
        <v>337</v>
      </c>
      <c r="J167" s="2" t="s">
        <v>19</v>
      </c>
      <c r="K167" s="2" t="s">
        <v>338</v>
      </c>
      <c r="L167" s="7" t="str">
        <f>HYPERLINK("http://slimages.macys.com/is/image/MCY/10625187 ")</f>
        <v xml:space="preserve">http://slimages.macys.com/is/image/MCY/10625187 </v>
      </c>
    </row>
    <row r="168" spans="1:12" ht="24.75" x14ac:dyDescent="0.25">
      <c r="A168" s="4" t="s">
        <v>8570</v>
      </c>
      <c r="B168" s="2" t="s">
        <v>800</v>
      </c>
      <c r="C168" s="3">
        <v>1</v>
      </c>
      <c r="D168" s="5">
        <v>37.130000000000003</v>
      </c>
      <c r="E168" s="3" t="s">
        <v>8571</v>
      </c>
      <c r="F168" s="2"/>
      <c r="G168" s="6" t="s">
        <v>27</v>
      </c>
      <c r="H168" s="2" t="s">
        <v>246</v>
      </c>
      <c r="I168" s="2" t="s">
        <v>189</v>
      </c>
      <c r="J168" s="2" t="s">
        <v>19</v>
      </c>
      <c r="K168" s="2" t="s">
        <v>546</v>
      </c>
      <c r="L168" s="7" t="str">
        <f>HYPERLINK("http://slimages.macys.com/is/image/MCY/12048352 ")</f>
        <v xml:space="preserve">http://slimages.macys.com/is/image/MCY/12048352 </v>
      </c>
    </row>
    <row r="169" spans="1:12" ht="24.75" x14ac:dyDescent="0.25">
      <c r="A169" s="4" t="s">
        <v>8572</v>
      </c>
      <c r="B169" s="2" t="s">
        <v>8573</v>
      </c>
      <c r="C169" s="3">
        <v>1</v>
      </c>
      <c r="D169" s="5">
        <v>40.880000000000003</v>
      </c>
      <c r="E169" s="3" t="s">
        <v>8574</v>
      </c>
      <c r="F169" s="2" t="s">
        <v>1322</v>
      </c>
      <c r="G169" s="6" t="s">
        <v>156</v>
      </c>
      <c r="H169" s="2" t="s">
        <v>246</v>
      </c>
      <c r="I169" s="2" t="s">
        <v>189</v>
      </c>
      <c r="J169" s="2" t="s">
        <v>19</v>
      </c>
      <c r="K169" s="2" t="s">
        <v>75</v>
      </c>
      <c r="L169" s="7" t="str">
        <f>HYPERLINK("http://slimages.macys.com/is/image/MCY/11995542 ")</f>
        <v xml:space="preserve">http://slimages.macys.com/is/image/MCY/11995542 </v>
      </c>
    </row>
    <row r="170" spans="1:12" ht="48.75" x14ac:dyDescent="0.25">
      <c r="A170" s="4" t="s">
        <v>8575</v>
      </c>
      <c r="B170" s="2" t="s">
        <v>2426</v>
      </c>
      <c r="C170" s="3">
        <v>1</v>
      </c>
      <c r="D170" s="5">
        <v>44.63</v>
      </c>
      <c r="E170" s="3" t="s">
        <v>7254</v>
      </c>
      <c r="F170" s="2" t="s">
        <v>64</v>
      </c>
      <c r="G170" s="6" t="s">
        <v>22</v>
      </c>
      <c r="H170" s="2" t="s">
        <v>246</v>
      </c>
      <c r="I170" s="2" t="s">
        <v>487</v>
      </c>
      <c r="J170" s="2" t="s">
        <v>19</v>
      </c>
      <c r="K170" s="2" t="s">
        <v>2428</v>
      </c>
      <c r="L170" s="7" t="str">
        <f>HYPERLINK("http://slimages.macys.com/is/image/MCY/11807039 ")</f>
        <v xml:space="preserve">http://slimages.macys.com/is/image/MCY/11807039 </v>
      </c>
    </row>
    <row r="171" spans="1:12" ht="48.75" x14ac:dyDescent="0.25">
      <c r="A171" s="4" t="s">
        <v>3590</v>
      </c>
      <c r="B171" s="2" t="s">
        <v>2426</v>
      </c>
      <c r="C171" s="3">
        <v>1</v>
      </c>
      <c r="D171" s="5">
        <v>44.63</v>
      </c>
      <c r="E171" s="3" t="s">
        <v>2427</v>
      </c>
      <c r="F171" s="2" t="s">
        <v>64</v>
      </c>
      <c r="G171" s="6" t="s">
        <v>802</v>
      </c>
      <c r="H171" s="2" t="s">
        <v>188</v>
      </c>
      <c r="I171" s="2" t="s">
        <v>487</v>
      </c>
      <c r="J171" s="2" t="s">
        <v>19</v>
      </c>
      <c r="K171" s="2" t="s">
        <v>2428</v>
      </c>
      <c r="L171" s="7" t="str">
        <f>HYPERLINK("http://slimages.macys.com/is/image/MCY/11807039 ")</f>
        <v xml:space="preserve">http://slimages.macys.com/is/image/MCY/11807039 </v>
      </c>
    </row>
    <row r="172" spans="1:12" ht="24.75" x14ac:dyDescent="0.25">
      <c r="A172" s="4" t="s">
        <v>8576</v>
      </c>
      <c r="B172" s="2" t="s">
        <v>2430</v>
      </c>
      <c r="C172" s="3">
        <v>1</v>
      </c>
      <c r="D172" s="5">
        <v>59.5</v>
      </c>
      <c r="E172" s="3" t="s">
        <v>2431</v>
      </c>
      <c r="F172" s="2" t="s">
        <v>64</v>
      </c>
      <c r="G172" s="6" t="s">
        <v>106</v>
      </c>
      <c r="H172" s="2" t="s">
        <v>386</v>
      </c>
      <c r="I172" s="2" t="s">
        <v>337</v>
      </c>
      <c r="J172" s="2" t="s">
        <v>19</v>
      </c>
      <c r="K172" s="2" t="s">
        <v>387</v>
      </c>
      <c r="L172" s="7" t="str">
        <f>HYPERLINK("http://slimages.macys.com/is/image/MCY/9477891 ")</f>
        <v xml:space="preserve">http://slimages.macys.com/is/image/MCY/9477891 </v>
      </c>
    </row>
    <row r="173" spans="1:12" ht="24.75" x14ac:dyDescent="0.25">
      <c r="A173" s="4" t="s">
        <v>8577</v>
      </c>
      <c r="B173" s="2" t="s">
        <v>2430</v>
      </c>
      <c r="C173" s="3">
        <v>2</v>
      </c>
      <c r="D173" s="5">
        <v>59.5</v>
      </c>
      <c r="E173" s="3" t="s">
        <v>2431</v>
      </c>
      <c r="F173" s="2" t="s">
        <v>64</v>
      </c>
      <c r="G173" s="6" t="s">
        <v>65</v>
      </c>
      <c r="H173" s="2" t="s">
        <v>386</v>
      </c>
      <c r="I173" s="2" t="s">
        <v>337</v>
      </c>
      <c r="J173" s="2" t="s">
        <v>19</v>
      </c>
      <c r="K173" s="2" t="s">
        <v>387</v>
      </c>
      <c r="L173" s="7" t="str">
        <f>HYPERLINK("http://slimages.macys.com/is/image/MCY/9477891 ")</f>
        <v xml:space="preserve">http://slimages.macys.com/is/image/MCY/9477891 </v>
      </c>
    </row>
    <row r="174" spans="1:12" ht="24.75" x14ac:dyDescent="0.25">
      <c r="A174" s="4" t="s">
        <v>7994</v>
      </c>
      <c r="B174" s="2" t="s">
        <v>2430</v>
      </c>
      <c r="C174" s="3">
        <v>1</v>
      </c>
      <c r="D174" s="5">
        <v>59.5</v>
      </c>
      <c r="E174" s="3" t="s">
        <v>2431</v>
      </c>
      <c r="F174" s="2" t="s">
        <v>64</v>
      </c>
      <c r="G174" s="6" t="s">
        <v>141</v>
      </c>
      <c r="H174" s="2" t="s">
        <v>386</v>
      </c>
      <c r="I174" s="2" t="s">
        <v>337</v>
      </c>
      <c r="J174" s="2" t="s">
        <v>19</v>
      </c>
      <c r="K174" s="2" t="s">
        <v>387</v>
      </c>
      <c r="L174" s="7" t="str">
        <f>HYPERLINK("http://slimages.macys.com/is/image/MCY/9477891 ")</f>
        <v xml:space="preserve">http://slimages.macys.com/is/image/MCY/9477891 </v>
      </c>
    </row>
    <row r="175" spans="1:12" ht="24.75" x14ac:dyDescent="0.25">
      <c r="A175" s="4" t="s">
        <v>8578</v>
      </c>
      <c r="B175" s="2" t="s">
        <v>6436</v>
      </c>
      <c r="C175" s="3">
        <v>1</v>
      </c>
      <c r="D175" s="5">
        <v>44.63</v>
      </c>
      <c r="E175" s="3" t="s">
        <v>6437</v>
      </c>
      <c r="F175" s="2" t="s">
        <v>1322</v>
      </c>
      <c r="G175" s="6" t="s">
        <v>27</v>
      </c>
      <c r="H175" s="2" t="s">
        <v>246</v>
      </c>
      <c r="I175" s="2" t="s">
        <v>487</v>
      </c>
      <c r="J175" s="2" t="s">
        <v>19</v>
      </c>
      <c r="K175" s="2" t="s">
        <v>409</v>
      </c>
      <c r="L175" s="7" t="str">
        <f>HYPERLINK("http://slimages.macys.com/is/image/MCY/11951837 ")</f>
        <v xml:space="preserve">http://slimages.macys.com/is/image/MCY/11951837 </v>
      </c>
    </row>
    <row r="176" spans="1:12" ht="36.75" x14ac:dyDescent="0.25">
      <c r="A176" s="4" t="s">
        <v>8579</v>
      </c>
      <c r="B176" s="2" t="s">
        <v>8580</v>
      </c>
      <c r="C176" s="3">
        <v>1</v>
      </c>
      <c r="D176" s="5">
        <v>44.99</v>
      </c>
      <c r="E176" s="3" t="s">
        <v>8581</v>
      </c>
      <c r="F176" s="2" t="s">
        <v>38</v>
      </c>
      <c r="G176" s="6" t="s">
        <v>802</v>
      </c>
      <c r="H176" s="2" t="s">
        <v>127</v>
      </c>
      <c r="I176" s="2" t="s">
        <v>541</v>
      </c>
      <c r="J176" s="2" t="s">
        <v>19</v>
      </c>
      <c r="K176" s="2" t="s">
        <v>500</v>
      </c>
      <c r="L176" s="7" t="str">
        <f>HYPERLINK("http://slimages.macys.com/is/image/MCY/16583426 ")</f>
        <v xml:space="preserve">http://slimages.macys.com/is/image/MCY/16583426 </v>
      </c>
    </row>
    <row r="177" spans="1:12" ht="24.75" x14ac:dyDescent="0.25">
      <c r="A177" s="4" t="s">
        <v>817</v>
      </c>
      <c r="B177" s="2" t="s">
        <v>818</v>
      </c>
      <c r="C177" s="3">
        <v>1</v>
      </c>
      <c r="D177" s="5">
        <v>36.5</v>
      </c>
      <c r="E177" s="3" t="s">
        <v>819</v>
      </c>
      <c r="F177" s="2" t="s">
        <v>820</v>
      </c>
      <c r="G177" s="6" t="s">
        <v>234</v>
      </c>
      <c r="H177" s="2" t="s">
        <v>194</v>
      </c>
      <c r="I177" s="2" t="s">
        <v>195</v>
      </c>
      <c r="J177" s="2" t="s">
        <v>19</v>
      </c>
      <c r="K177" s="2" t="s">
        <v>201</v>
      </c>
      <c r="L177" s="7" t="str">
        <f>HYPERLINK("http://slimages.macys.com/is/image/MCY/11935616 ")</f>
        <v xml:space="preserve">http://slimages.macys.com/is/image/MCY/11935616 </v>
      </c>
    </row>
    <row r="178" spans="1:12" ht="24.75" x14ac:dyDescent="0.25">
      <c r="A178" s="4" t="s">
        <v>2432</v>
      </c>
      <c r="B178" s="2" t="s">
        <v>818</v>
      </c>
      <c r="C178" s="3">
        <v>3</v>
      </c>
      <c r="D178" s="5">
        <v>36.5</v>
      </c>
      <c r="E178" s="3" t="s">
        <v>819</v>
      </c>
      <c r="F178" s="2" t="s">
        <v>820</v>
      </c>
      <c r="G178" s="6" t="s">
        <v>181</v>
      </c>
      <c r="H178" s="2" t="s">
        <v>194</v>
      </c>
      <c r="I178" s="2" t="s">
        <v>195</v>
      </c>
      <c r="J178" s="2" t="s">
        <v>19</v>
      </c>
      <c r="K178" s="2" t="s">
        <v>201</v>
      </c>
      <c r="L178" s="7" t="str">
        <f>HYPERLINK("http://slimages.macys.com/is/image/MCY/11935616 ")</f>
        <v xml:space="preserve">http://slimages.macys.com/is/image/MCY/11935616 </v>
      </c>
    </row>
    <row r="179" spans="1:12" ht="24.75" x14ac:dyDescent="0.25">
      <c r="A179" s="4" t="s">
        <v>821</v>
      </c>
      <c r="B179" s="2" t="s">
        <v>818</v>
      </c>
      <c r="C179" s="3">
        <v>1</v>
      </c>
      <c r="D179" s="5">
        <v>36.5</v>
      </c>
      <c r="E179" s="3" t="s">
        <v>819</v>
      </c>
      <c r="F179" s="2" t="s">
        <v>820</v>
      </c>
      <c r="G179" s="6" t="s">
        <v>154</v>
      </c>
      <c r="H179" s="2" t="s">
        <v>194</v>
      </c>
      <c r="I179" s="2" t="s">
        <v>195</v>
      </c>
      <c r="J179" s="2" t="s">
        <v>19</v>
      </c>
      <c r="K179" s="2" t="s">
        <v>201</v>
      </c>
      <c r="L179" s="7" t="str">
        <f>HYPERLINK("http://slimages.macys.com/is/image/MCY/11935616 ")</f>
        <v xml:space="preserve">http://slimages.macys.com/is/image/MCY/11935616 </v>
      </c>
    </row>
    <row r="180" spans="1:12" ht="24.75" x14ac:dyDescent="0.25">
      <c r="A180" s="4" t="s">
        <v>8582</v>
      </c>
      <c r="B180" s="2" t="s">
        <v>824</v>
      </c>
      <c r="C180" s="3">
        <v>1</v>
      </c>
      <c r="D180" s="5">
        <v>36.5</v>
      </c>
      <c r="E180" s="3" t="s">
        <v>825</v>
      </c>
      <c r="F180" s="2" t="s">
        <v>26</v>
      </c>
      <c r="G180" s="6" t="s">
        <v>234</v>
      </c>
      <c r="H180" s="2" t="s">
        <v>194</v>
      </c>
      <c r="I180" s="2" t="s">
        <v>307</v>
      </c>
      <c r="J180" s="2" t="s">
        <v>19</v>
      </c>
      <c r="K180" s="2" t="s">
        <v>160</v>
      </c>
      <c r="L180" s="7" t="str">
        <f>HYPERLINK("http://slimages.macys.com/is/image/MCY/11936006 ")</f>
        <v xml:space="preserve">http://slimages.macys.com/is/image/MCY/11936006 </v>
      </c>
    </row>
    <row r="181" spans="1:12" ht="24.75" x14ac:dyDescent="0.25">
      <c r="A181" s="4" t="s">
        <v>8583</v>
      </c>
      <c r="B181" s="2" t="s">
        <v>7260</v>
      </c>
      <c r="C181" s="3">
        <v>1</v>
      </c>
      <c r="D181" s="5">
        <v>59.5</v>
      </c>
      <c r="E181" s="3" t="s">
        <v>7261</v>
      </c>
      <c r="F181" s="2" t="s">
        <v>376</v>
      </c>
      <c r="G181" s="6" t="s">
        <v>934</v>
      </c>
      <c r="H181" s="2" t="s">
        <v>127</v>
      </c>
      <c r="I181" s="2" t="s">
        <v>128</v>
      </c>
      <c r="J181" s="2" t="s">
        <v>19</v>
      </c>
      <c r="K181" s="2" t="s">
        <v>361</v>
      </c>
      <c r="L181" s="7" t="str">
        <f>HYPERLINK("http://slimages.macys.com/is/image/MCY/11278537 ")</f>
        <v xml:space="preserve">http://slimages.macys.com/is/image/MCY/11278537 </v>
      </c>
    </row>
    <row r="182" spans="1:12" ht="24.75" x14ac:dyDescent="0.25">
      <c r="A182" s="4" t="s">
        <v>2445</v>
      </c>
      <c r="B182" s="2" t="s">
        <v>2439</v>
      </c>
      <c r="C182" s="3">
        <v>1</v>
      </c>
      <c r="D182" s="5">
        <v>44.63</v>
      </c>
      <c r="E182" s="3" t="s">
        <v>2440</v>
      </c>
      <c r="F182" s="2" t="s">
        <v>956</v>
      </c>
      <c r="G182" s="6" t="s">
        <v>154</v>
      </c>
      <c r="H182" s="2" t="s">
        <v>194</v>
      </c>
      <c r="I182" s="2" t="s">
        <v>195</v>
      </c>
      <c r="J182" s="2" t="s">
        <v>19</v>
      </c>
      <c r="K182" s="2" t="s">
        <v>34</v>
      </c>
      <c r="L182" s="7" t="str">
        <f>HYPERLINK("http://slimages.macys.com/is/image/MCY/11527019 ")</f>
        <v xml:space="preserve">http://slimages.macys.com/is/image/MCY/11527019 </v>
      </c>
    </row>
    <row r="183" spans="1:12" ht="24.75" x14ac:dyDescent="0.25">
      <c r="A183" s="4" t="s">
        <v>8007</v>
      </c>
      <c r="B183" s="2" t="s">
        <v>827</v>
      </c>
      <c r="C183" s="3">
        <v>1</v>
      </c>
      <c r="D183" s="5">
        <v>37.130000000000003</v>
      </c>
      <c r="E183" s="3">
        <v>100009535</v>
      </c>
      <c r="F183" s="2" t="s">
        <v>64</v>
      </c>
      <c r="G183" s="6" t="s">
        <v>22</v>
      </c>
      <c r="H183" s="2" t="s">
        <v>194</v>
      </c>
      <c r="I183" s="2" t="s">
        <v>503</v>
      </c>
      <c r="J183" s="2" t="s">
        <v>19</v>
      </c>
      <c r="K183" s="2" t="s">
        <v>353</v>
      </c>
      <c r="L183" s="7" t="str">
        <f>HYPERLINK("http://slimages.macys.com/is/image/MCY/9340634 ")</f>
        <v xml:space="preserve">http://slimages.macys.com/is/image/MCY/9340634 </v>
      </c>
    </row>
    <row r="184" spans="1:12" ht="24.75" x14ac:dyDescent="0.25">
      <c r="A184" s="4" t="s">
        <v>8584</v>
      </c>
      <c r="B184" s="2" t="s">
        <v>827</v>
      </c>
      <c r="C184" s="3">
        <v>1</v>
      </c>
      <c r="D184" s="5">
        <v>37.130000000000003</v>
      </c>
      <c r="E184" s="3">
        <v>100009535</v>
      </c>
      <c r="F184" s="2" t="s">
        <v>15</v>
      </c>
      <c r="G184" s="6" t="s">
        <v>106</v>
      </c>
      <c r="H184" s="2" t="s">
        <v>194</v>
      </c>
      <c r="I184" s="2" t="s">
        <v>503</v>
      </c>
      <c r="J184" s="2" t="s">
        <v>19</v>
      </c>
      <c r="K184" s="2" t="s">
        <v>353</v>
      </c>
      <c r="L184" s="7" t="str">
        <f>HYPERLINK("http://slimages.macys.com/is/image/MCY/9340634 ")</f>
        <v xml:space="preserve">http://slimages.macys.com/is/image/MCY/9340634 </v>
      </c>
    </row>
    <row r="185" spans="1:12" ht="24.75" x14ac:dyDescent="0.25">
      <c r="A185" s="4" t="s">
        <v>8585</v>
      </c>
      <c r="B185" s="2" t="s">
        <v>827</v>
      </c>
      <c r="C185" s="3">
        <v>1</v>
      </c>
      <c r="D185" s="5">
        <v>37.130000000000003</v>
      </c>
      <c r="E185" s="3">
        <v>100009535</v>
      </c>
      <c r="F185" s="2" t="s">
        <v>26</v>
      </c>
      <c r="G185" s="6" t="s">
        <v>112</v>
      </c>
      <c r="H185" s="2" t="s">
        <v>194</v>
      </c>
      <c r="I185" s="2" t="s">
        <v>503</v>
      </c>
      <c r="J185" s="2" t="s">
        <v>19</v>
      </c>
      <c r="K185" s="2" t="s">
        <v>353</v>
      </c>
      <c r="L185" s="7" t="str">
        <f>HYPERLINK("http://slimages.macys.com/is/image/MCY/9450411 ")</f>
        <v xml:space="preserve">http://slimages.macys.com/is/image/MCY/9450411 </v>
      </c>
    </row>
    <row r="186" spans="1:12" ht="24.75" x14ac:dyDescent="0.25">
      <c r="A186" s="4" t="s">
        <v>8586</v>
      </c>
      <c r="B186" s="2" t="s">
        <v>827</v>
      </c>
      <c r="C186" s="3">
        <v>1</v>
      </c>
      <c r="D186" s="5">
        <v>37.130000000000003</v>
      </c>
      <c r="E186" s="3">
        <v>100009535</v>
      </c>
      <c r="F186" s="2" t="s">
        <v>26</v>
      </c>
      <c r="G186" s="6" t="s">
        <v>58</v>
      </c>
      <c r="H186" s="2" t="s">
        <v>194</v>
      </c>
      <c r="I186" s="2" t="s">
        <v>503</v>
      </c>
      <c r="J186" s="2" t="s">
        <v>19</v>
      </c>
      <c r="K186" s="2" t="s">
        <v>353</v>
      </c>
      <c r="L186" s="7" t="str">
        <f>HYPERLINK("http://slimages.macys.com/is/image/MCY/9450411 ")</f>
        <v xml:space="preserve">http://slimages.macys.com/is/image/MCY/9450411 </v>
      </c>
    </row>
    <row r="187" spans="1:12" ht="48.75" x14ac:dyDescent="0.25">
      <c r="A187" s="4" t="s">
        <v>8587</v>
      </c>
      <c r="B187" s="2" t="s">
        <v>497</v>
      </c>
      <c r="C187" s="3">
        <v>1</v>
      </c>
      <c r="D187" s="5">
        <v>36.5</v>
      </c>
      <c r="E187" s="3" t="s">
        <v>7267</v>
      </c>
      <c r="F187" s="2" t="s">
        <v>33</v>
      </c>
      <c r="G187" s="6" t="s">
        <v>336</v>
      </c>
      <c r="H187" s="2" t="s">
        <v>632</v>
      </c>
      <c r="I187" s="2" t="s">
        <v>408</v>
      </c>
      <c r="J187" s="2" t="s">
        <v>19</v>
      </c>
      <c r="K187" s="2" t="s">
        <v>787</v>
      </c>
      <c r="L187" s="7" t="str">
        <f>HYPERLINK("http://slimages.macys.com/is/image/MCY/11241401 ")</f>
        <v xml:space="preserve">http://slimages.macys.com/is/image/MCY/11241401 </v>
      </c>
    </row>
    <row r="188" spans="1:12" ht="24.75" x14ac:dyDescent="0.25">
      <c r="A188" s="4" t="s">
        <v>2452</v>
      </c>
      <c r="B188" s="2" t="s">
        <v>837</v>
      </c>
      <c r="C188" s="3">
        <v>1</v>
      </c>
      <c r="D188" s="5">
        <v>40.880000000000003</v>
      </c>
      <c r="E188" s="3" t="s">
        <v>838</v>
      </c>
      <c r="F188" s="2" t="s">
        <v>57</v>
      </c>
      <c r="G188" s="6" t="s">
        <v>165</v>
      </c>
      <c r="H188" s="2" t="s">
        <v>188</v>
      </c>
      <c r="I188" s="2" t="s">
        <v>189</v>
      </c>
      <c r="J188" s="2" t="s">
        <v>19</v>
      </c>
      <c r="K188" s="2" t="s">
        <v>839</v>
      </c>
      <c r="L188" s="7" t="str">
        <f>HYPERLINK("http://slimages.macys.com/is/image/MCY/11940229 ")</f>
        <v xml:space="preserve">http://slimages.macys.com/is/image/MCY/11940229 </v>
      </c>
    </row>
    <row r="189" spans="1:12" ht="24.75" x14ac:dyDescent="0.25">
      <c r="A189" s="4" t="s">
        <v>8588</v>
      </c>
      <c r="B189" s="2" t="s">
        <v>837</v>
      </c>
      <c r="C189" s="3">
        <v>1</v>
      </c>
      <c r="D189" s="5">
        <v>40.880000000000003</v>
      </c>
      <c r="E189" s="3" t="s">
        <v>838</v>
      </c>
      <c r="F189" s="2" t="s">
        <v>57</v>
      </c>
      <c r="G189" s="6" t="s">
        <v>205</v>
      </c>
      <c r="H189" s="2" t="s">
        <v>188</v>
      </c>
      <c r="I189" s="2" t="s">
        <v>189</v>
      </c>
      <c r="J189" s="2" t="s">
        <v>19</v>
      </c>
      <c r="K189" s="2" t="s">
        <v>839</v>
      </c>
      <c r="L189" s="7" t="str">
        <f>HYPERLINK("http://slimages.macys.com/is/image/MCY/11940229 ")</f>
        <v xml:space="preserve">http://slimages.macys.com/is/image/MCY/11940229 </v>
      </c>
    </row>
    <row r="190" spans="1:12" ht="24.75" x14ac:dyDescent="0.25">
      <c r="A190" s="4" t="s">
        <v>8015</v>
      </c>
      <c r="B190" s="2" t="s">
        <v>5626</v>
      </c>
      <c r="C190" s="3">
        <v>1</v>
      </c>
      <c r="D190" s="5">
        <v>40.880000000000003</v>
      </c>
      <c r="E190" s="3" t="s">
        <v>5627</v>
      </c>
      <c r="F190" s="2" t="s">
        <v>26</v>
      </c>
      <c r="G190" s="6" t="s">
        <v>22</v>
      </c>
      <c r="H190" s="2" t="s">
        <v>246</v>
      </c>
      <c r="I190" s="2" t="s">
        <v>189</v>
      </c>
      <c r="J190" s="2" t="s">
        <v>19</v>
      </c>
      <c r="K190" s="2" t="s">
        <v>839</v>
      </c>
      <c r="L190" s="7" t="str">
        <f>HYPERLINK("http://slimages.macys.com/is/image/MCY/12268105 ")</f>
        <v xml:space="preserve">http://slimages.macys.com/is/image/MCY/12268105 </v>
      </c>
    </row>
    <row r="191" spans="1:12" ht="24.75" x14ac:dyDescent="0.25">
      <c r="A191" s="4" t="s">
        <v>5625</v>
      </c>
      <c r="B191" s="2" t="s">
        <v>5626</v>
      </c>
      <c r="C191" s="3">
        <v>1</v>
      </c>
      <c r="D191" s="5">
        <v>40.880000000000003</v>
      </c>
      <c r="E191" s="3" t="s">
        <v>5627</v>
      </c>
      <c r="F191" s="2" t="s">
        <v>26</v>
      </c>
      <c r="G191" s="6" t="s">
        <v>16</v>
      </c>
      <c r="H191" s="2" t="s">
        <v>246</v>
      </c>
      <c r="I191" s="2" t="s">
        <v>189</v>
      </c>
      <c r="J191" s="2" t="s">
        <v>19</v>
      </c>
      <c r="K191" s="2" t="s">
        <v>839</v>
      </c>
      <c r="L191" s="7" t="str">
        <f>HYPERLINK("http://slimages.macys.com/is/image/MCY/12268105 ")</f>
        <v xml:space="preserve">http://slimages.macys.com/is/image/MCY/12268105 </v>
      </c>
    </row>
    <row r="192" spans="1:12" ht="48.75" x14ac:dyDescent="0.25">
      <c r="A192" s="4" t="s">
        <v>846</v>
      </c>
      <c r="B192" s="2" t="s">
        <v>841</v>
      </c>
      <c r="C192" s="3">
        <v>1</v>
      </c>
      <c r="D192" s="5">
        <v>34.99</v>
      </c>
      <c r="E192" s="3" t="s">
        <v>842</v>
      </c>
      <c r="F192" s="2" t="s">
        <v>26</v>
      </c>
      <c r="G192" s="6" t="s">
        <v>847</v>
      </c>
      <c r="H192" s="2" t="s">
        <v>349</v>
      </c>
      <c r="I192" s="2" t="s">
        <v>408</v>
      </c>
      <c r="J192" s="2" t="s">
        <v>19</v>
      </c>
      <c r="K192" s="2" t="s">
        <v>787</v>
      </c>
      <c r="L192" s="7" t="str">
        <f>HYPERLINK("http://slimages.macys.com/is/image/MCY/3935281 ")</f>
        <v xml:space="preserve">http://slimages.macys.com/is/image/MCY/3935281 </v>
      </c>
    </row>
    <row r="193" spans="1:12" ht="48.75" x14ac:dyDescent="0.25">
      <c r="A193" s="4" t="s">
        <v>2457</v>
      </c>
      <c r="B193" s="2" t="s">
        <v>841</v>
      </c>
      <c r="C193" s="3">
        <v>1</v>
      </c>
      <c r="D193" s="5">
        <v>34.99</v>
      </c>
      <c r="E193" s="3" t="s">
        <v>842</v>
      </c>
      <c r="F193" s="2" t="s">
        <v>26</v>
      </c>
      <c r="G193" s="6" t="s">
        <v>2458</v>
      </c>
      <c r="H193" s="2" t="s">
        <v>349</v>
      </c>
      <c r="I193" s="2" t="s">
        <v>408</v>
      </c>
      <c r="J193" s="2" t="s">
        <v>19</v>
      </c>
      <c r="K193" s="2" t="s">
        <v>787</v>
      </c>
      <c r="L193" s="7" t="str">
        <f>HYPERLINK("http://slimages.macys.com/is/image/MCY/3935281 ")</f>
        <v xml:space="preserve">http://slimages.macys.com/is/image/MCY/3935281 </v>
      </c>
    </row>
    <row r="194" spans="1:12" ht="24.75" x14ac:dyDescent="0.25">
      <c r="A194" s="4" t="s">
        <v>8589</v>
      </c>
      <c r="B194" s="2" t="s">
        <v>2460</v>
      </c>
      <c r="C194" s="3">
        <v>1</v>
      </c>
      <c r="D194" s="5">
        <v>34.880000000000003</v>
      </c>
      <c r="E194" s="3" t="s">
        <v>2461</v>
      </c>
      <c r="F194" s="2" t="s">
        <v>376</v>
      </c>
      <c r="G194" s="6" t="s">
        <v>934</v>
      </c>
      <c r="H194" s="2" t="s">
        <v>312</v>
      </c>
      <c r="I194" s="2" t="s">
        <v>503</v>
      </c>
      <c r="J194" s="2" t="s">
        <v>19</v>
      </c>
      <c r="K194" s="2" t="s">
        <v>353</v>
      </c>
      <c r="L194" s="7" t="str">
        <f>HYPERLINK("http://slimages.macys.com/is/image/MCY/9325305 ")</f>
        <v xml:space="preserve">http://slimages.macys.com/is/image/MCY/9325305 </v>
      </c>
    </row>
    <row r="195" spans="1:12" ht="48.75" x14ac:dyDescent="0.25">
      <c r="A195" s="4" t="s">
        <v>2454</v>
      </c>
      <c r="B195" s="2" t="s">
        <v>841</v>
      </c>
      <c r="C195" s="3">
        <v>1</v>
      </c>
      <c r="D195" s="5">
        <v>34.99</v>
      </c>
      <c r="E195" s="3" t="s">
        <v>842</v>
      </c>
      <c r="F195" s="2" t="s">
        <v>26</v>
      </c>
      <c r="G195" s="6" t="s">
        <v>499</v>
      </c>
      <c r="H195" s="2" t="s">
        <v>349</v>
      </c>
      <c r="I195" s="2" t="s">
        <v>408</v>
      </c>
      <c r="J195" s="2" t="s">
        <v>19</v>
      </c>
      <c r="K195" s="2" t="s">
        <v>787</v>
      </c>
      <c r="L195" s="7" t="str">
        <f>HYPERLINK("http://slimages.macys.com/is/image/MCY/3935281 ")</f>
        <v xml:space="preserve">http://slimages.macys.com/is/image/MCY/3935281 </v>
      </c>
    </row>
    <row r="196" spans="1:12" ht="24.75" x14ac:dyDescent="0.25">
      <c r="A196" s="4" t="s">
        <v>7270</v>
      </c>
      <c r="B196" s="2" t="s">
        <v>2460</v>
      </c>
      <c r="C196" s="3">
        <v>1</v>
      </c>
      <c r="D196" s="5">
        <v>34.880000000000003</v>
      </c>
      <c r="E196" s="3" t="s">
        <v>2461</v>
      </c>
      <c r="F196" s="2" t="s">
        <v>376</v>
      </c>
      <c r="G196" s="6" t="s">
        <v>802</v>
      </c>
      <c r="H196" s="2" t="s">
        <v>312</v>
      </c>
      <c r="I196" s="2" t="s">
        <v>503</v>
      </c>
      <c r="J196" s="2" t="s">
        <v>19</v>
      </c>
      <c r="K196" s="2" t="s">
        <v>353</v>
      </c>
      <c r="L196" s="7" t="str">
        <f>HYPERLINK("http://slimages.macys.com/is/image/MCY/9325305 ")</f>
        <v xml:space="preserve">http://slimages.macys.com/is/image/MCY/9325305 </v>
      </c>
    </row>
    <row r="197" spans="1:12" ht="24.75" x14ac:dyDescent="0.25">
      <c r="A197" s="4" t="s">
        <v>8590</v>
      </c>
      <c r="B197" s="2" t="s">
        <v>818</v>
      </c>
      <c r="C197" s="3">
        <v>1</v>
      </c>
      <c r="D197" s="5">
        <v>36.5</v>
      </c>
      <c r="E197" s="3" t="s">
        <v>2465</v>
      </c>
      <c r="F197" s="2" t="s">
        <v>26</v>
      </c>
      <c r="G197" s="6" t="s">
        <v>200</v>
      </c>
      <c r="H197" s="2" t="s">
        <v>194</v>
      </c>
      <c r="I197" s="2" t="s">
        <v>195</v>
      </c>
      <c r="J197" s="2" t="s">
        <v>19</v>
      </c>
      <c r="K197" s="2" t="s">
        <v>247</v>
      </c>
      <c r="L197" s="7" t="str">
        <f>HYPERLINK("http://slimages.macys.com/is/image/MCY/11764566 ")</f>
        <v xml:space="preserve">http://slimages.macys.com/is/image/MCY/11764566 </v>
      </c>
    </row>
    <row r="198" spans="1:12" ht="24.75" x14ac:dyDescent="0.25">
      <c r="A198" s="4" t="s">
        <v>3604</v>
      </c>
      <c r="B198" s="2" t="s">
        <v>856</v>
      </c>
      <c r="C198" s="3">
        <v>1</v>
      </c>
      <c r="D198" s="5">
        <v>48</v>
      </c>
      <c r="E198" s="3">
        <v>100013497</v>
      </c>
      <c r="F198" s="2" t="s">
        <v>252</v>
      </c>
      <c r="G198" s="6" t="s">
        <v>58</v>
      </c>
      <c r="H198" s="2" t="s">
        <v>228</v>
      </c>
      <c r="I198" s="2" t="s">
        <v>857</v>
      </c>
      <c r="J198" s="2" t="s">
        <v>19</v>
      </c>
      <c r="K198" s="2" t="s">
        <v>387</v>
      </c>
      <c r="L198" s="7" t="str">
        <f>HYPERLINK("http://slimages.macys.com/is/image/MCY/9478981 ")</f>
        <v xml:space="preserve">http://slimages.macys.com/is/image/MCY/9478981 </v>
      </c>
    </row>
    <row r="199" spans="1:12" ht="24.75" x14ac:dyDescent="0.25">
      <c r="A199" s="4" t="s">
        <v>3614</v>
      </c>
      <c r="B199" s="2" t="s">
        <v>2476</v>
      </c>
      <c r="C199" s="3">
        <v>1</v>
      </c>
      <c r="D199" s="5">
        <v>40.880000000000003</v>
      </c>
      <c r="E199" s="3" t="s">
        <v>2479</v>
      </c>
      <c r="F199" s="2" t="s">
        <v>1614</v>
      </c>
      <c r="G199" s="6" t="s">
        <v>234</v>
      </c>
      <c r="H199" s="2" t="s">
        <v>194</v>
      </c>
      <c r="I199" s="2" t="s">
        <v>195</v>
      </c>
      <c r="J199" s="2" t="s">
        <v>19</v>
      </c>
      <c r="K199" s="2" t="s">
        <v>34</v>
      </c>
      <c r="L199" s="7" t="str">
        <f>HYPERLINK("http://slimages.macys.com/is/image/MCY/11526932 ")</f>
        <v xml:space="preserve">http://slimages.macys.com/is/image/MCY/11526932 </v>
      </c>
    </row>
    <row r="200" spans="1:12" ht="24.75" x14ac:dyDescent="0.25">
      <c r="A200" s="4" t="s">
        <v>882</v>
      </c>
      <c r="B200" s="2" t="s">
        <v>880</v>
      </c>
      <c r="C200" s="3">
        <v>2</v>
      </c>
      <c r="D200" s="5">
        <v>34.5</v>
      </c>
      <c r="E200" s="3">
        <v>100040729</v>
      </c>
      <c r="F200" s="2" t="s">
        <v>252</v>
      </c>
      <c r="G200" s="6" t="s">
        <v>27</v>
      </c>
      <c r="H200" s="2" t="s">
        <v>228</v>
      </c>
      <c r="I200" s="2" t="s">
        <v>229</v>
      </c>
      <c r="J200" s="2" t="s">
        <v>19</v>
      </c>
      <c r="K200" s="2" t="s">
        <v>230</v>
      </c>
      <c r="L200" s="7" t="str">
        <f>HYPERLINK("http://slimages.macys.com/is/image/MCY/3650189 ")</f>
        <v xml:space="preserve">http://slimages.macys.com/is/image/MCY/3650189 </v>
      </c>
    </row>
    <row r="201" spans="1:12" ht="24.75" x14ac:dyDescent="0.25">
      <c r="A201" s="4" t="s">
        <v>2482</v>
      </c>
      <c r="B201" s="2" t="s">
        <v>2483</v>
      </c>
      <c r="C201" s="3">
        <v>1</v>
      </c>
      <c r="D201" s="5">
        <v>34.880000000000003</v>
      </c>
      <c r="E201" s="3">
        <v>100058189</v>
      </c>
      <c r="F201" s="2" t="s">
        <v>15</v>
      </c>
      <c r="G201" s="6" t="s">
        <v>27</v>
      </c>
      <c r="H201" s="2" t="s">
        <v>194</v>
      </c>
      <c r="I201" s="2" t="s">
        <v>195</v>
      </c>
      <c r="J201" s="2" t="s">
        <v>19</v>
      </c>
      <c r="K201" s="2" t="s">
        <v>648</v>
      </c>
      <c r="L201" s="7" t="str">
        <f>HYPERLINK("http://slimages.macys.com/is/image/MCY/12802459 ")</f>
        <v xml:space="preserve">http://slimages.macys.com/is/image/MCY/12802459 </v>
      </c>
    </row>
    <row r="202" spans="1:12" ht="24.75" x14ac:dyDescent="0.25">
      <c r="A202" s="4" t="s">
        <v>8591</v>
      </c>
      <c r="B202" s="2" t="s">
        <v>926</v>
      </c>
      <c r="C202" s="3">
        <v>1</v>
      </c>
      <c r="D202" s="5">
        <v>37.130000000000003</v>
      </c>
      <c r="E202" s="3">
        <v>100009311</v>
      </c>
      <c r="F202" s="2" t="s">
        <v>64</v>
      </c>
      <c r="G202" s="6" t="s">
        <v>58</v>
      </c>
      <c r="H202" s="2" t="s">
        <v>194</v>
      </c>
      <c r="I202" s="2" t="s">
        <v>928</v>
      </c>
      <c r="J202" s="2" t="s">
        <v>19</v>
      </c>
      <c r="K202" s="2" t="s">
        <v>929</v>
      </c>
      <c r="L202" s="7" t="str">
        <f>HYPERLINK("http://slimages.macys.com/is/image/MCY/10249270 ")</f>
        <v xml:space="preserve">http://slimages.macys.com/is/image/MCY/10249270 </v>
      </c>
    </row>
    <row r="203" spans="1:12" ht="24.75" x14ac:dyDescent="0.25">
      <c r="A203" s="4" t="s">
        <v>888</v>
      </c>
      <c r="B203" s="2" t="s">
        <v>886</v>
      </c>
      <c r="C203" s="3">
        <v>1</v>
      </c>
      <c r="D203" s="5">
        <v>37.130000000000003</v>
      </c>
      <c r="E203" s="3">
        <v>100016232</v>
      </c>
      <c r="F203" s="2" t="s">
        <v>887</v>
      </c>
      <c r="G203" s="6" t="s">
        <v>234</v>
      </c>
      <c r="H203" s="2" t="s">
        <v>194</v>
      </c>
      <c r="I203" s="2" t="s">
        <v>195</v>
      </c>
      <c r="J203" s="2" t="s">
        <v>19</v>
      </c>
      <c r="K203" s="2" t="s">
        <v>201</v>
      </c>
      <c r="L203" s="7" t="str">
        <f>HYPERLINK("http://slimages.macys.com/is/image/MCY/9551936 ")</f>
        <v xml:space="preserve">http://slimages.macys.com/is/image/MCY/9551936 </v>
      </c>
    </row>
    <row r="204" spans="1:12" ht="24.75" x14ac:dyDescent="0.25">
      <c r="A204" s="4" t="s">
        <v>8592</v>
      </c>
      <c r="B204" s="2" t="s">
        <v>926</v>
      </c>
      <c r="C204" s="3">
        <v>1</v>
      </c>
      <c r="D204" s="5">
        <v>37.130000000000003</v>
      </c>
      <c r="E204" s="3">
        <v>100009311</v>
      </c>
      <c r="F204" s="2" t="s">
        <v>64</v>
      </c>
      <c r="G204" s="6" t="s">
        <v>22</v>
      </c>
      <c r="H204" s="2" t="s">
        <v>194</v>
      </c>
      <c r="I204" s="2" t="s">
        <v>928</v>
      </c>
      <c r="J204" s="2" t="s">
        <v>19</v>
      </c>
      <c r="K204" s="2" t="s">
        <v>929</v>
      </c>
      <c r="L204" s="7" t="str">
        <f>HYPERLINK("http://slimages.macys.com/is/image/MCY/10249270 ")</f>
        <v xml:space="preserve">http://slimages.macys.com/is/image/MCY/10249270 </v>
      </c>
    </row>
    <row r="205" spans="1:12" ht="24.75" x14ac:dyDescent="0.25">
      <c r="A205" s="4" t="s">
        <v>2484</v>
      </c>
      <c r="B205" s="2" t="s">
        <v>926</v>
      </c>
      <c r="C205" s="3">
        <v>2</v>
      </c>
      <c r="D205" s="5">
        <v>37.130000000000003</v>
      </c>
      <c r="E205" s="3">
        <v>100009311</v>
      </c>
      <c r="F205" s="2" t="s">
        <v>64</v>
      </c>
      <c r="G205" s="6" t="s">
        <v>16</v>
      </c>
      <c r="H205" s="2" t="s">
        <v>194</v>
      </c>
      <c r="I205" s="2" t="s">
        <v>928</v>
      </c>
      <c r="J205" s="2" t="s">
        <v>19</v>
      </c>
      <c r="K205" s="2" t="s">
        <v>929</v>
      </c>
      <c r="L205" s="7" t="str">
        <f>HYPERLINK("http://slimages.macys.com/is/image/MCY/10249270 ")</f>
        <v xml:space="preserve">http://slimages.macys.com/is/image/MCY/10249270 </v>
      </c>
    </row>
    <row r="206" spans="1:12" ht="24.75" x14ac:dyDescent="0.25">
      <c r="A206" s="4" t="s">
        <v>3634</v>
      </c>
      <c r="B206" s="2" t="s">
        <v>926</v>
      </c>
      <c r="C206" s="3">
        <v>1</v>
      </c>
      <c r="D206" s="5">
        <v>36.5</v>
      </c>
      <c r="E206" s="3">
        <v>100009311</v>
      </c>
      <c r="F206" s="2" t="s">
        <v>170</v>
      </c>
      <c r="G206" s="6" t="s">
        <v>22</v>
      </c>
      <c r="H206" s="2" t="s">
        <v>194</v>
      </c>
      <c r="I206" s="2" t="s">
        <v>928</v>
      </c>
      <c r="J206" s="2" t="s">
        <v>19</v>
      </c>
      <c r="K206" s="2" t="s">
        <v>929</v>
      </c>
      <c r="L206" s="7" t="str">
        <f>HYPERLINK("http://slimages.macys.com/is/image/MCY/10249270 ")</f>
        <v xml:space="preserve">http://slimages.macys.com/is/image/MCY/10249270 </v>
      </c>
    </row>
    <row r="207" spans="1:12" ht="24.75" x14ac:dyDescent="0.25">
      <c r="A207" s="4" t="s">
        <v>8593</v>
      </c>
      <c r="B207" s="2" t="s">
        <v>886</v>
      </c>
      <c r="C207" s="3">
        <v>1</v>
      </c>
      <c r="D207" s="5">
        <v>37.130000000000003</v>
      </c>
      <c r="E207" s="3">
        <v>100016232</v>
      </c>
      <c r="F207" s="2" t="s">
        <v>887</v>
      </c>
      <c r="G207" s="6" t="s">
        <v>245</v>
      </c>
      <c r="H207" s="2" t="s">
        <v>194</v>
      </c>
      <c r="I207" s="2" t="s">
        <v>195</v>
      </c>
      <c r="J207" s="2" t="s">
        <v>19</v>
      </c>
      <c r="K207" s="2" t="s">
        <v>201</v>
      </c>
      <c r="L207" s="7" t="str">
        <f>HYPERLINK("http://slimages.macys.com/is/image/MCY/9551936 ")</f>
        <v xml:space="preserve">http://slimages.macys.com/is/image/MCY/9551936 </v>
      </c>
    </row>
    <row r="208" spans="1:12" ht="24.75" x14ac:dyDescent="0.25">
      <c r="A208" s="4" t="s">
        <v>4725</v>
      </c>
      <c r="B208" s="2" t="s">
        <v>926</v>
      </c>
      <c r="C208" s="3">
        <v>2</v>
      </c>
      <c r="D208" s="5">
        <v>37.130000000000003</v>
      </c>
      <c r="E208" s="3">
        <v>100009311</v>
      </c>
      <c r="F208" s="2" t="s">
        <v>64</v>
      </c>
      <c r="G208" s="6" t="s">
        <v>27</v>
      </c>
      <c r="H208" s="2" t="s">
        <v>194</v>
      </c>
      <c r="I208" s="2" t="s">
        <v>928</v>
      </c>
      <c r="J208" s="2" t="s">
        <v>19</v>
      </c>
      <c r="K208" s="2" t="s">
        <v>929</v>
      </c>
      <c r="L208" s="7" t="str">
        <f>HYPERLINK("http://slimages.macys.com/is/image/MCY/10249270 ")</f>
        <v xml:space="preserve">http://slimages.macys.com/is/image/MCY/10249270 </v>
      </c>
    </row>
    <row r="209" spans="1:12" ht="24.75" x14ac:dyDescent="0.25">
      <c r="A209" s="4" t="s">
        <v>5641</v>
      </c>
      <c r="B209" s="2" t="s">
        <v>890</v>
      </c>
      <c r="C209" s="3">
        <v>1</v>
      </c>
      <c r="D209" s="5">
        <v>34.5</v>
      </c>
      <c r="E209" s="3" t="s">
        <v>891</v>
      </c>
      <c r="F209" s="2" t="s">
        <v>64</v>
      </c>
      <c r="G209" s="6" t="s">
        <v>27</v>
      </c>
      <c r="H209" s="2" t="s">
        <v>228</v>
      </c>
      <c r="I209" s="2" t="s">
        <v>229</v>
      </c>
      <c r="J209" s="2" t="s">
        <v>19</v>
      </c>
      <c r="K209" s="2" t="s">
        <v>253</v>
      </c>
      <c r="L209" s="7" t="str">
        <f>HYPERLINK("http://slimages.macys.com/is/image/MCY/3623510 ")</f>
        <v xml:space="preserve">http://slimages.macys.com/is/image/MCY/3623510 </v>
      </c>
    </row>
    <row r="210" spans="1:12" ht="24.75" x14ac:dyDescent="0.25">
      <c r="A210" s="4" t="s">
        <v>8594</v>
      </c>
      <c r="B210" s="2" t="s">
        <v>890</v>
      </c>
      <c r="C210" s="3">
        <v>1</v>
      </c>
      <c r="D210" s="5">
        <v>34.5</v>
      </c>
      <c r="E210" s="3" t="s">
        <v>891</v>
      </c>
      <c r="F210" s="2" t="s">
        <v>64</v>
      </c>
      <c r="G210" s="6" t="s">
        <v>16</v>
      </c>
      <c r="H210" s="2" t="s">
        <v>228</v>
      </c>
      <c r="I210" s="2" t="s">
        <v>229</v>
      </c>
      <c r="J210" s="2" t="s">
        <v>19</v>
      </c>
      <c r="K210" s="2" t="s">
        <v>253</v>
      </c>
      <c r="L210" s="7" t="str">
        <f>HYPERLINK("http://slimages.macys.com/is/image/MCY/3623510 ")</f>
        <v xml:space="preserve">http://slimages.macys.com/is/image/MCY/3623510 </v>
      </c>
    </row>
    <row r="211" spans="1:12" ht="36.75" x14ac:dyDescent="0.25">
      <c r="A211" s="4" t="s">
        <v>8045</v>
      </c>
      <c r="B211" s="2" t="s">
        <v>895</v>
      </c>
      <c r="C211" s="3">
        <v>1</v>
      </c>
      <c r="D211" s="5">
        <v>44.99</v>
      </c>
      <c r="E211" s="3" t="s">
        <v>8040</v>
      </c>
      <c r="F211" s="2" t="s">
        <v>417</v>
      </c>
      <c r="G211" s="6" t="s">
        <v>205</v>
      </c>
      <c r="H211" s="2" t="s">
        <v>127</v>
      </c>
      <c r="I211" s="2" t="s">
        <v>541</v>
      </c>
      <c r="J211" s="2" t="s">
        <v>19</v>
      </c>
      <c r="K211" s="2" t="s">
        <v>500</v>
      </c>
      <c r="L211" s="7" t="str">
        <f>HYPERLINK("http://slimages.macys.com/is/image/MCY/16583426 ")</f>
        <v xml:space="preserve">http://slimages.macys.com/is/image/MCY/16583426 </v>
      </c>
    </row>
    <row r="212" spans="1:12" ht="36.75" x14ac:dyDescent="0.25">
      <c r="A212" s="4" t="s">
        <v>8042</v>
      </c>
      <c r="B212" s="2" t="s">
        <v>895</v>
      </c>
      <c r="C212" s="3">
        <v>1</v>
      </c>
      <c r="D212" s="5">
        <v>44.99</v>
      </c>
      <c r="E212" s="3" t="s">
        <v>8040</v>
      </c>
      <c r="F212" s="2" t="s">
        <v>417</v>
      </c>
      <c r="G212" s="6" t="s">
        <v>934</v>
      </c>
      <c r="H212" s="2" t="s">
        <v>127</v>
      </c>
      <c r="I212" s="2" t="s">
        <v>541</v>
      </c>
      <c r="J212" s="2" t="s">
        <v>19</v>
      </c>
      <c r="K212" s="2" t="s">
        <v>500</v>
      </c>
      <c r="L212" s="7" t="str">
        <f>HYPERLINK("http://slimages.macys.com/is/image/MCY/16583426 ")</f>
        <v xml:space="preserve">http://slimages.macys.com/is/image/MCY/16583426 </v>
      </c>
    </row>
    <row r="213" spans="1:12" ht="24.75" x14ac:dyDescent="0.25">
      <c r="A213" s="4" t="s">
        <v>3642</v>
      </c>
      <c r="B213" s="2" t="s">
        <v>901</v>
      </c>
      <c r="C213" s="3">
        <v>1</v>
      </c>
      <c r="D213" s="5">
        <v>39.5</v>
      </c>
      <c r="E213" s="3" t="s">
        <v>902</v>
      </c>
      <c r="F213" s="2" t="s">
        <v>417</v>
      </c>
      <c r="G213" s="6" t="s">
        <v>154</v>
      </c>
      <c r="H213" s="2" t="s">
        <v>194</v>
      </c>
      <c r="I213" s="2" t="s">
        <v>195</v>
      </c>
      <c r="J213" s="2" t="s">
        <v>19</v>
      </c>
      <c r="K213" s="2" t="s">
        <v>438</v>
      </c>
      <c r="L213" s="7" t="str">
        <f>HYPERLINK("http://slimages.macys.com/is/image/MCY/12143757 ")</f>
        <v xml:space="preserve">http://slimages.macys.com/is/image/MCY/12143757 </v>
      </c>
    </row>
    <row r="214" spans="1:12" ht="24.75" x14ac:dyDescent="0.25">
      <c r="A214" s="4" t="s">
        <v>2488</v>
      </c>
      <c r="B214" s="2" t="s">
        <v>901</v>
      </c>
      <c r="C214" s="3">
        <v>1</v>
      </c>
      <c r="D214" s="5">
        <v>39.5</v>
      </c>
      <c r="E214" s="3" t="s">
        <v>902</v>
      </c>
      <c r="F214" s="2" t="s">
        <v>417</v>
      </c>
      <c r="G214" s="6" t="s">
        <v>181</v>
      </c>
      <c r="H214" s="2" t="s">
        <v>194</v>
      </c>
      <c r="I214" s="2" t="s">
        <v>195</v>
      </c>
      <c r="J214" s="2" t="s">
        <v>19</v>
      </c>
      <c r="K214" s="2" t="s">
        <v>438</v>
      </c>
      <c r="L214" s="7" t="str">
        <f>HYPERLINK("http://slimages.macys.com/is/image/MCY/12143757 ")</f>
        <v xml:space="preserve">http://slimages.macys.com/is/image/MCY/12143757 </v>
      </c>
    </row>
    <row r="215" spans="1:12" ht="24.75" x14ac:dyDescent="0.25">
      <c r="A215" s="4" t="s">
        <v>906</v>
      </c>
      <c r="B215" s="2" t="s">
        <v>904</v>
      </c>
      <c r="C215" s="3">
        <v>1</v>
      </c>
      <c r="D215" s="5">
        <v>34.5</v>
      </c>
      <c r="E215" s="3" t="s">
        <v>907</v>
      </c>
      <c r="F215" s="2" t="s">
        <v>26</v>
      </c>
      <c r="G215" s="6" t="s">
        <v>154</v>
      </c>
      <c r="H215" s="2" t="s">
        <v>228</v>
      </c>
      <c r="I215" s="2" t="s">
        <v>229</v>
      </c>
      <c r="J215" s="2" t="s">
        <v>19</v>
      </c>
      <c r="K215" s="2" t="s">
        <v>253</v>
      </c>
      <c r="L215" s="7" t="str">
        <f>HYPERLINK("http://slimages.macys.com/is/image/MCY/12794164 ")</f>
        <v xml:space="preserve">http://slimages.macys.com/is/image/MCY/12794164 </v>
      </c>
    </row>
    <row r="216" spans="1:12" ht="24.75" x14ac:dyDescent="0.25">
      <c r="A216" s="4" t="s">
        <v>8595</v>
      </c>
      <c r="B216" s="2" t="s">
        <v>904</v>
      </c>
      <c r="C216" s="3">
        <v>1</v>
      </c>
      <c r="D216" s="5">
        <v>34.5</v>
      </c>
      <c r="E216" s="3">
        <v>100051031</v>
      </c>
      <c r="F216" s="2" t="s">
        <v>111</v>
      </c>
      <c r="G216" s="6" t="s">
        <v>245</v>
      </c>
      <c r="H216" s="2" t="s">
        <v>228</v>
      </c>
      <c r="I216" s="2" t="s">
        <v>229</v>
      </c>
      <c r="J216" s="2" t="s">
        <v>19</v>
      </c>
      <c r="K216" s="2" t="s">
        <v>353</v>
      </c>
      <c r="L216" s="7" t="str">
        <f>HYPERLINK("http://slimages.macys.com/is/image/MCY/11606163 ")</f>
        <v xml:space="preserve">http://slimages.macys.com/is/image/MCY/11606163 </v>
      </c>
    </row>
    <row r="217" spans="1:12" ht="24.75" x14ac:dyDescent="0.25">
      <c r="A217" s="4" t="s">
        <v>8596</v>
      </c>
      <c r="B217" s="2" t="s">
        <v>6476</v>
      </c>
      <c r="C217" s="3">
        <v>1</v>
      </c>
      <c r="D217" s="5">
        <v>37.130000000000003</v>
      </c>
      <c r="E217" s="3" t="s">
        <v>6477</v>
      </c>
      <c r="F217" s="2" t="s">
        <v>74</v>
      </c>
      <c r="G217" s="6" t="s">
        <v>65</v>
      </c>
      <c r="H217" s="2" t="s">
        <v>246</v>
      </c>
      <c r="I217" s="2" t="s">
        <v>189</v>
      </c>
      <c r="J217" s="2" t="s">
        <v>19</v>
      </c>
      <c r="K217" s="2" t="s">
        <v>332</v>
      </c>
      <c r="L217" s="7" t="str">
        <f>HYPERLINK("http://slimages.macys.com/is/image/MCY/12224912 ")</f>
        <v xml:space="preserve">http://slimages.macys.com/is/image/MCY/12224912 </v>
      </c>
    </row>
    <row r="218" spans="1:12" ht="24.75" x14ac:dyDescent="0.25">
      <c r="A218" s="4" t="s">
        <v>7298</v>
      </c>
      <c r="B218" s="2" t="s">
        <v>909</v>
      </c>
      <c r="C218" s="3">
        <v>1</v>
      </c>
      <c r="D218" s="5">
        <v>40.880000000000003</v>
      </c>
      <c r="E218" s="3" t="s">
        <v>7295</v>
      </c>
      <c r="F218" s="2" t="s">
        <v>1584</v>
      </c>
      <c r="G218" s="6" t="s">
        <v>205</v>
      </c>
      <c r="H218" s="2" t="s">
        <v>188</v>
      </c>
      <c r="I218" s="2" t="s">
        <v>189</v>
      </c>
      <c r="J218" s="2" t="s">
        <v>19</v>
      </c>
      <c r="K218" s="2" t="s">
        <v>648</v>
      </c>
      <c r="L218" s="7" t="str">
        <f>HYPERLINK("http://slimages.macys.com/is/image/MCY/12268099 ")</f>
        <v xml:space="preserve">http://slimages.macys.com/is/image/MCY/12268099 </v>
      </c>
    </row>
    <row r="219" spans="1:12" ht="24.75" x14ac:dyDescent="0.25">
      <c r="A219" s="4" t="s">
        <v>8056</v>
      </c>
      <c r="B219" s="2" t="s">
        <v>909</v>
      </c>
      <c r="C219" s="3">
        <v>1</v>
      </c>
      <c r="D219" s="5">
        <v>40.880000000000003</v>
      </c>
      <c r="E219" s="3" t="s">
        <v>7295</v>
      </c>
      <c r="F219" s="2" t="s">
        <v>1584</v>
      </c>
      <c r="G219" s="6" t="s">
        <v>165</v>
      </c>
      <c r="H219" s="2" t="s">
        <v>188</v>
      </c>
      <c r="I219" s="2" t="s">
        <v>189</v>
      </c>
      <c r="J219" s="2" t="s">
        <v>19</v>
      </c>
      <c r="K219" s="2" t="s">
        <v>648</v>
      </c>
      <c r="L219" s="7" t="str">
        <f>HYPERLINK("http://slimages.macys.com/is/image/MCY/12268099 ")</f>
        <v xml:space="preserve">http://slimages.macys.com/is/image/MCY/12268099 </v>
      </c>
    </row>
    <row r="220" spans="1:12" ht="24.75" x14ac:dyDescent="0.25">
      <c r="A220" s="4" t="s">
        <v>7296</v>
      </c>
      <c r="B220" s="2" t="s">
        <v>909</v>
      </c>
      <c r="C220" s="3">
        <v>1</v>
      </c>
      <c r="D220" s="5">
        <v>40.880000000000003</v>
      </c>
      <c r="E220" s="3" t="s">
        <v>7295</v>
      </c>
      <c r="F220" s="2" t="s">
        <v>1584</v>
      </c>
      <c r="G220" s="6" t="s">
        <v>126</v>
      </c>
      <c r="H220" s="2" t="s">
        <v>188</v>
      </c>
      <c r="I220" s="2" t="s">
        <v>189</v>
      </c>
      <c r="J220" s="2" t="s">
        <v>19</v>
      </c>
      <c r="K220" s="2" t="s">
        <v>648</v>
      </c>
      <c r="L220" s="7" t="str">
        <f>HYPERLINK("http://slimages.macys.com/is/image/MCY/12268099 ")</f>
        <v xml:space="preserve">http://slimages.macys.com/is/image/MCY/12268099 </v>
      </c>
    </row>
    <row r="221" spans="1:12" ht="24.75" x14ac:dyDescent="0.25">
      <c r="A221" s="4" t="s">
        <v>8057</v>
      </c>
      <c r="B221" s="2" t="s">
        <v>909</v>
      </c>
      <c r="C221" s="3">
        <v>1</v>
      </c>
      <c r="D221" s="5">
        <v>40.880000000000003</v>
      </c>
      <c r="E221" s="3" t="s">
        <v>7295</v>
      </c>
      <c r="F221" s="2" t="s">
        <v>1584</v>
      </c>
      <c r="G221" s="6" t="s">
        <v>802</v>
      </c>
      <c r="H221" s="2" t="s">
        <v>188</v>
      </c>
      <c r="I221" s="2" t="s">
        <v>189</v>
      </c>
      <c r="J221" s="2" t="s">
        <v>19</v>
      </c>
      <c r="K221" s="2" t="s">
        <v>648</v>
      </c>
      <c r="L221" s="7" t="str">
        <f>HYPERLINK("http://slimages.macys.com/is/image/MCY/12268099 ")</f>
        <v xml:space="preserve">http://slimages.macys.com/is/image/MCY/12268099 </v>
      </c>
    </row>
    <row r="222" spans="1:12" ht="24.75" x14ac:dyDescent="0.25">
      <c r="A222" s="4" t="s">
        <v>8597</v>
      </c>
      <c r="B222" s="2" t="s">
        <v>8598</v>
      </c>
      <c r="C222" s="3">
        <v>1</v>
      </c>
      <c r="D222" s="5">
        <v>44.63</v>
      </c>
      <c r="E222" s="3" t="s">
        <v>8599</v>
      </c>
      <c r="F222" s="2" t="s">
        <v>132</v>
      </c>
      <c r="G222" s="6" t="s">
        <v>219</v>
      </c>
      <c r="H222" s="2" t="s">
        <v>188</v>
      </c>
      <c r="I222" s="2" t="s">
        <v>189</v>
      </c>
      <c r="J222" s="2" t="s">
        <v>19</v>
      </c>
      <c r="K222" s="2" t="s">
        <v>107</v>
      </c>
      <c r="L222" s="7" t="str">
        <f>HYPERLINK("http://slimages.macys.com/is/image/MCY/13330168 ")</f>
        <v xml:space="preserve">http://slimages.macys.com/is/image/MCY/13330168 </v>
      </c>
    </row>
    <row r="223" spans="1:12" ht="24.75" x14ac:dyDescent="0.25">
      <c r="A223" s="4" t="s">
        <v>8600</v>
      </c>
      <c r="B223" s="2" t="s">
        <v>936</v>
      </c>
      <c r="C223" s="3">
        <v>1</v>
      </c>
      <c r="D223" s="5">
        <v>34.5</v>
      </c>
      <c r="E223" s="3">
        <v>100025268</v>
      </c>
      <c r="F223" s="2" t="s">
        <v>417</v>
      </c>
      <c r="G223" s="6" t="s">
        <v>112</v>
      </c>
      <c r="H223" s="2" t="s">
        <v>228</v>
      </c>
      <c r="I223" s="2" t="s">
        <v>229</v>
      </c>
      <c r="J223" s="2" t="s">
        <v>19</v>
      </c>
      <c r="K223" s="2" t="s">
        <v>230</v>
      </c>
      <c r="L223" s="7" t="str">
        <f>HYPERLINK("http://slimages.macys.com/is/image/MCY/10985237 ")</f>
        <v xml:space="preserve">http://slimages.macys.com/is/image/MCY/10985237 </v>
      </c>
    </row>
    <row r="224" spans="1:12" ht="24.75" x14ac:dyDescent="0.25">
      <c r="A224" s="4" t="s">
        <v>8601</v>
      </c>
      <c r="B224" s="2" t="s">
        <v>8063</v>
      </c>
      <c r="C224" s="3">
        <v>1</v>
      </c>
      <c r="D224" s="5">
        <v>59.5</v>
      </c>
      <c r="E224" s="3" t="s">
        <v>7129</v>
      </c>
      <c r="F224" s="2" t="s">
        <v>1322</v>
      </c>
      <c r="G224" s="6" t="s">
        <v>165</v>
      </c>
      <c r="H224" s="2" t="s">
        <v>206</v>
      </c>
      <c r="I224" s="2" t="s">
        <v>1010</v>
      </c>
      <c r="J224" s="2" t="s">
        <v>19</v>
      </c>
      <c r="K224" s="2" t="s">
        <v>160</v>
      </c>
      <c r="L224" s="7" t="str">
        <f>HYPERLINK("http://slimages.macys.com/is/image/MCY/9504083 ")</f>
        <v xml:space="preserve">http://slimages.macys.com/is/image/MCY/9504083 </v>
      </c>
    </row>
    <row r="225" spans="1:12" ht="24.75" x14ac:dyDescent="0.25">
      <c r="A225" s="4" t="s">
        <v>8602</v>
      </c>
      <c r="B225" s="2" t="s">
        <v>2460</v>
      </c>
      <c r="C225" s="3">
        <v>1</v>
      </c>
      <c r="D225" s="5">
        <v>34.880000000000003</v>
      </c>
      <c r="E225" s="3">
        <v>100009313</v>
      </c>
      <c r="F225" s="2" t="s">
        <v>26</v>
      </c>
      <c r="G225" s="6" t="s">
        <v>22</v>
      </c>
      <c r="H225" s="2" t="s">
        <v>194</v>
      </c>
      <c r="I225" s="2" t="s">
        <v>503</v>
      </c>
      <c r="J225" s="2" t="s">
        <v>19</v>
      </c>
      <c r="K225" s="2" t="s">
        <v>353</v>
      </c>
      <c r="L225" s="7" t="str">
        <f>HYPERLINK("http://slimages.macys.com/is/image/MCY/9340611 ")</f>
        <v xml:space="preserve">http://slimages.macys.com/is/image/MCY/9340611 </v>
      </c>
    </row>
    <row r="226" spans="1:12" ht="24.75" x14ac:dyDescent="0.25">
      <c r="A226" s="4" t="s">
        <v>5671</v>
      </c>
      <c r="B226" s="2" t="s">
        <v>948</v>
      </c>
      <c r="C226" s="3">
        <v>3</v>
      </c>
      <c r="D226" s="5">
        <v>34.880000000000003</v>
      </c>
      <c r="E226" s="3">
        <v>100038962</v>
      </c>
      <c r="F226" s="2" t="s">
        <v>64</v>
      </c>
      <c r="G226" s="6" t="s">
        <v>58</v>
      </c>
      <c r="H226" s="2" t="s">
        <v>194</v>
      </c>
      <c r="I226" s="2" t="s">
        <v>195</v>
      </c>
      <c r="J226" s="2" t="s">
        <v>19</v>
      </c>
      <c r="K226" s="2" t="s">
        <v>353</v>
      </c>
      <c r="L226" s="7" t="str">
        <f>HYPERLINK("http://slimages.macys.com/is/image/MCY/11145019 ")</f>
        <v xml:space="preserve">http://slimages.macys.com/is/image/MCY/11145019 </v>
      </c>
    </row>
    <row r="227" spans="1:12" ht="24.75" x14ac:dyDescent="0.25">
      <c r="A227" s="4" t="s">
        <v>5672</v>
      </c>
      <c r="B227" s="2" t="s">
        <v>948</v>
      </c>
      <c r="C227" s="3">
        <v>1</v>
      </c>
      <c r="D227" s="5">
        <v>34.880000000000003</v>
      </c>
      <c r="E227" s="3">
        <v>100038962</v>
      </c>
      <c r="F227" s="2" t="s">
        <v>64</v>
      </c>
      <c r="G227" s="6" t="s">
        <v>106</v>
      </c>
      <c r="H227" s="2" t="s">
        <v>194</v>
      </c>
      <c r="I227" s="2" t="s">
        <v>195</v>
      </c>
      <c r="J227" s="2" t="s">
        <v>19</v>
      </c>
      <c r="K227" s="2" t="s">
        <v>353</v>
      </c>
      <c r="L227" s="7" t="str">
        <f>HYPERLINK("http://slimages.macys.com/is/image/MCY/11145019 ")</f>
        <v xml:space="preserve">http://slimages.macys.com/is/image/MCY/11145019 </v>
      </c>
    </row>
    <row r="228" spans="1:12" ht="24.75" x14ac:dyDescent="0.25">
      <c r="A228" s="4" t="s">
        <v>8603</v>
      </c>
      <c r="B228" s="2" t="s">
        <v>808</v>
      </c>
      <c r="C228" s="3">
        <v>1</v>
      </c>
      <c r="D228" s="5">
        <v>37.130000000000003</v>
      </c>
      <c r="E228" s="3" t="s">
        <v>5680</v>
      </c>
      <c r="F228" s="2" t="s">
        <v>70</v>
      </c>
      <c r="G228" s="6"/>
      <c r="H228" s="2" t="s">
        <v>312</v>
      </c>
      <c r="I228" s="2" t="s">
        <v>503</v>
      </c>
      <c r="J228" s="2" t="s">
        <v>19</v>
      </c>
      <c r="K228" s="2" t="s">
        <v>546</v>
      </c>
      <c r="L228" s="7" t="str">
        <f>HYPERLINK("http://slimages.macys.com/is/image/MCY/12144056 ")</f>
        <v xml:space="preserve">http://slimages.macys.com/is/image/MCY/12144056 </v>
      </c>
    </row>
    <row r="229" spans="1:12" ht="24.75" x14ac:dyDescent="0.25">
      <c r="A229" s="4" t="s">
        <v>6485</v>
      </c>
      <c r="B229" s="2" t="s">
        <v>808</v>
      </c>
      <c r="C229" s="3">
        <v>1</v>
      </c>
      <c r="D229" s="5">
        <v>37.130000000000003</v>
      </c>
      <c r="E229" s="3" t="s">
        <v>5680</v>
      </c>
      <c r="F229" s="2" t="s">
        <v>170</v>
      </c>
      <c r="G229" s="6"/>
      <c r="H229" s="2" t="s">
        <v>312</v>
      </c>
      <c r="I229" s="2" t="s">
        <v>503</v>
      </c>
      <c r="J229" s="2" t="s">
        <v>19</v>
      </c>
      <c r="K229" s="2" t="s">
        <v>546</v>
      </c>
      <c r="L229" s="7" t="str">
        <f>HYPERLINK("http://slimages.macys.com/is/image/MCY/12144056 ")</f>
        <v xml:space="preserve">http://slimages.macys.com/is/image/MCY/12144056 </v>
      </c>
    </row>
    <row r="230" spans="1:12" ht="24.75" x14ac:dyDescent="0.25">
      <c r="A230" s="4" t="s">
        <v>7308</v>
      </c>
      <c r="B230" s="2" t="s">
        <v>808</v>
      </c>
      <c r="C230" s="3">
        <v>1</v>
      </c>
      <c r="D230" s="5">
        <v>37.130000000000003</v>
      </c>
      <c r="E230" s="3" t="s">
        <v>5680</v>
      </c>
      <c r="F230" s="2" t="s">
        <v>170</v>
      </c>
      <c r="G230" s="6"/>
      <c r="H230" s="2" t="s">
        <v>312</v>
      </c>
      <c r="I230" s="2" t="s">
        <v>503</v>
      </c>
      <c r="J230" s="2" t="s">
        <v>19</v>
      </c>
      <c r="K230" s="2" t="s">
        <v>546</v>
      </c>
      <c r="L230" s="7" t="str">
        <f>HYPERLINK("http://slimages.macys.com/is/image/MCY/12144056 ")</f>
        <v xml:space="preserve">http://slimages.macys.com/is/image/MCY/12144056 </v>
      </c>
    </row>
    <row r="231" spans="1:12" ht="24.75" x14ac:dyDescent="0.25">
      <c r="A231" s="4" t="s">
        <v>8604</v>
      </c>
      <c r="B231" s="2" t="s">
        <v>808</v>
      </c>
      <c r="C231" s="3">
        <v>1</v>
      </c>
      <c r="D231" s="5">
        <v>37.130000000000003</v>
      </c>
      <c r="E231" s="3" t="s">
        <v>5680</v>
      </c>
      <c r="F231" s="2" t="s">
        <v>70</v>
      </c>
      <c r="G231" s="6"/>
      <c r="H231" s="2" t="s">
        <v>312</v>
      </c>
      <c r="I231" s="2" t="s">
        <v>503</v>
      </c>
      <c r="J231" s="2" t="s">
        <v>19</v>
      </c>
      <c r="K231" s="2" t="s">
        <v>546</v>
      </c>
      <c r="L231" s="7" t="str">
        <f>HYPERLINK("http://slimages.macys.com/is/image/MCY/12144056 ")</f>
        <v xml:space="preserve">http://slimages.macys.com/is/image/MCY/12144056 </v>
      </c>
    </row>
    <row r="232" spans="1:12" ht="24.75" x14ac:dyDescent="0.25">
      <c r="A232" s="4" t="s">
        <v>3661</v>
      </c>
      <c r="B232" s="2" t="s">
        <v>988</v>
      </c>
      <c r="C232" s="3">
        <v>1</v>
      </c>
      <c r="D232" s="5">
        <v>40.880000000000003</v>
      </c>
      <c r="E232" s="3" t="s">
        <v>3662</v>
      </c>
      <c r="F232" s="2" t="s">
        <v>57</v>
      </c>
      <c r="G232" s="6" t="s">
        <v>234</v>
      </c>
      <c r="H232" s="2" t="s">
        <v>246</v>
      </c>
      <c r="I232" s="2" t="s">
        <v>189</v>
      </c>
      <c r="J232" s="2" t="s">
        <v>19</v>
      </c>
      <c r="K232" s="2" t="s">
        <v>648</v>
      </c>
      <c r="L232" s="7" t="str">
        <f>HYPERLINK("http://slimages.macys.com/is/image/MCY/11808188 ")</f>
        <v xml:space="preserve">http://slimages.macys.com/is/image/MCY/11808188 </v>
      </c>
    </row>
    <row r="233" spans="1:12" ht="24.75" x14ac:dyDescent="0.25">
      <c r="A233" s="4" t="s">
        <v>8605</v>
      </c>
      <c r="B233" s="2" t="s">
        <v>808</v>
      </c>
      <c r="C233" s="3">
        <v>1</v>
      </c>
      <c r="D233" s="5">
        <v>37.130000000000003</v>
      </c>
      <c r="E233" s="3" t="s">
        <v>5680</v>
      </c>
      <c r="F233" s="2" t="s">
        <v>170</v>
      </c>
      <c r="G233" s="6"/>
      <c r="H233" s="2" t="s">
        <v>312</v>
      </c>
      <c r="I233" s="2" t="s">
        <v>503</v>
      </c>
      <c r="J233" s="2" t="s">
        <v>19</v>
      </c>
      <c r="K233" s="2" t="s">
        <v>546</v>
      </c>
      <c r="L233" s="7" t="str">
        <f>HYPERLINK("http://slimages.macys.com/is/image/MCY/12144056 ")</f>
        <v xml:space="preserve">http://slimages.macys.com/is/image/MCY/12144056 </v>
      </c>
    </row>
    <row r="234" spans="1:12" ht="24.75" x14ac:dyDescent="0.25">
      <c r="A234" s="4" t="s">
        <v>8077</v>
      </c>
      <c r="B234" s="2" t="s">
        <v>4756</v>
      </c>
      <c r="C234" s="3">
        <v>1</v>
      </c>
      <c r="D234" s="5">
        <v>44</v>
      </c>
      <c r="E234" s="3" t="s">
        <v>4757</v>
      </c>
      <c r="F234" s="2" t="s">
        <v>331</v>
      </c>
      <c r="G234" s="6" t="s">
        <v>794</v>
      </c>
      <c r="H234" s="2" t="s">
        <v>447</v>
      </c>
      <c r="I234" s="2" t="s">
        <v>792</v>
      </c>
      <c r="J234" s="2" t="s">
        <v>19</v>
      </c>
      <c r="K234" s="2" t="s">
        <v>160</v>
      </c>
      <c r="L234" s="7" t="str">
        <f>HYPERLINK("http://slimages.macys.com/is/image/MCY/14875672 ")</f>
        <v xml:space="preserve">http://slimages.macys.com/is/image/MCY/14875672 </v>
      </c>
    </row>
    <row r="235" spans="1:12" ht="24.75" x14ac:dyDescent="0.25">
      <c r="A235" s="4" t="s">
        <v>978</v>
      </c>
      <c r="B235" s="2" t="s">
        <v>744</v>
      </c>
      <c r="C235" s="3">
        <v>1</v>
      </c>
      <c r="D235" s="5">
        <v>34.99</v>
      </c>
      <c r="E235" s="3" t="s">
        <v>979</v>
      </c>
      <c r="F235" s="2" t="s">
        <v>85</v>
      </c>
      <c r="G235" s="6" t="s">
        <v>234</v>
      </c>
      <c r="H235" s="2" t="s">
        <v>284</v>
      </c>
      <c r="I235" s="2" t="s">
        <v>285</v>
      </c>
      <c r="J235" s="2" t="s">
        <v>19</v>
      </c>
      <c r="K235" s="2" t="s">
        <v>34</v>
      </c>
      <c r="L235" s="7" t="str">
        <f>HYPERLINK("http://slimages.macys.com/is/image/MCY/9723880 ")</f>
        <v xml:space="preserve">http://slimages.macys.com/is/image/MCY/9723880 </v>
      </c>
    </row>
    <row r="236" spans="1:12" ht="24.75" x14ac:dyDescent="0.25">
      <c r="A236" s="4" t="s">
        <v>8606</v>
      </c>
      <c r="B236" s="2" t="s">
        <v>4746</v>
      </c>
      <c r="C236" s="3">
        <v>1</v>
      </c>
      <c r="D236" s="5">
        <v>37.130000000000003</v>
      </c>
      <c r="E236" s="3" t="s">
        <v>8607</v>
      </c>
      <c r="F236" s="2" t="s">
        <v>26</v>
      </c>
      <c r="G236" s="6" t="s">
        <v>154</v>
      </c>
      <c r="H236" s="2" t="s">
        <v>284</v>
      </c>
      <c r="I236" s="2" t="s">
        <v>408</v>
      </c>
      <c r="J236" s="2" t="s">
        <v>19</v>
      </c>
      <c r="K236" s="2" t="s">
        <v>409</v>
      </c>
      <c r="L236" s="7" t="str">
        <f>HYPERLINK("http://slimages.macys.com/is/image/MCY/11957298 ")</f>
        <v xml:space="preserve">http://slimages.macys.com/is/image/MCY/11957298 </v>
      </c>
    </row>
    <row r="237" spans="1:12" ht="24.75" x14ac:dyDescent="0.25">
      <c r="A237" s="4" t="s">
        <v>8608</v>
      </c>
      <c r="B237" s="2" t="s">
        <v>974</v>
      </c>
      <c r="C237" s="3">
        <v>1</v>
      </c>
      <c r="D237" s="5">
        <v>45</v>
      </c>
      <c r="E237" s="3" t="s">
        <v>975</v>
      </c>
      <c r="F237" s="2" t="s">
        <v>170</v>
      </c>
      <c r="G237" s="6" t="s">
        <v>446</v>
      </c>
      <c r="H237" s="2" t="s">
        <v>447</v>
      </c>
      <c r="I237" s="2" t="s">
        <v>792</v>
      </c>
      <c r="J237" s="2" t="s">
        <v>19</v>
      </c>
      <c r="K237" s="2" t="s">
        <v>160</v>
      </c>
      <c r="L237" s="7" t="str">
        <f>HYPERLINK("http://slimages.macys.com/is/image/MCY/12649291 ")</f>
        <v xml:space="preserve">http://slimages.macys.com/is/image/MCY/12649291 </v>
      </c>
    </row>
    <row r="238" spans="1:12" ht="24.75" x14ac:dyDescent="0.25">
      <c r="A238" s="4" t="s">
        <v>8088</v>
      </c>
      <c r="B238" s="2" t="s">
        <v>936</v>
      </c>
      <c r="C238" s="3">
        <v>1</v>
      </c>
      <c r="D238" s="5">
        <v>34.5</v>
      </c>
      <c r="E238" s="3">
        <v>100040726</v>
      </c>
      <c r="F238" s="2" t="s">
        <v>417</v>
      </c>
      <c r="G238" s="6" t="s">
        <v>16</v>
      </c>
      <c r="H238" s="2" t="s">
        <v>228</v>
      </c>
      <c r="I238" s="2" t="s">
        <v>229</v>
      </c>
      <c r="J238" s="2" t="s">
        <v>19</v>
      </c>
      <c r="K238" s="2" t="s">
        <v>230</v>
      </c>
      <c r="L238" s="7" t="str">
        <f>HYPERLINK("http://slimages.macys.com/is/image/MCY/10985237 ")</f>
        <v xml:space="preserve">http://slimages.macys.com/is/image/MCY/10985237 </v>
      </c>
    </row>
    <row r="239" spans="1:12" ht="24.75" x14ac:dyDescent="0.25">
      <c r="A239" s="4" t="s">
        <v>5693</v>
      </c>
      <c r="B239" s="2" t="s">
        <v>936</v>
      </c>
      <c r="C239" s="3">
        <v>1</v>
      </c>
      <c r="D239" s="5">
        <v>34.5</v>
      </c>
      <c r="E239" s="3">
        <v>100040726</v>
      </c>
      <c r="F239" s="2" t="s">
        <v>417</v>
      </c>
      <c r="G239" s="6" t="s">
        <v>141</v>
      </c>
      <c r="H239" s="2" t="s">
        <v>228</v>
      </c>
      <c r="I239" s="2" t="s">
        <v>229</v>
      </c>
      <c r="J239" s="2" t="s">
        <v>19</v>
      </c>
      <c r="K239" s="2" t="s">
        <v>230</v>
      </c>
      <c r="L239" s="7" t="str">
        <f>HYPERLINK("http://slimages.macys.com/is/image/MCY/10985237 ")</f>
        <v xml:space="preserve">http://slimages.macys.com/is/image/MCY/10985237 </v>
      </c>
    </row>
    <row r="240" spans="1:12" ht="24.75" x14ac:dyDescent="0.25">
      <c r="A240" s="4" t="s">
        <v>8089</v>
      </c>
      <c r="B240" s="2" t="s">
        <v>936</v>
      </c>
      <c r="C240" s="3">
        <v>1</v>
      </c>
      <c r="D240" s="5">
        <v>34.5</v>
      </c>
      <c r="E240" s="3">
        <v>100040726</v>
      </c>
      <c r="F240" s="2" t="s">
        <v>417</v>
      </c>
      <c r="G240" s="6" t="s">
        <v>112</v>
      </c>
      <c r="H240" s="2" t="s">
        <v>228</v>
      </c>
      <c r="I240" s="2" t="s">
        <v>229</v>
      </c>
      <c r="J240" s="2" t="s">
        <v>19</v>
      </c>
      <c r="K240" s="2" t="s">
        <v>230</v>
      </c>
      <c r="L240" s="7" t="str">
        <f>HYPERLINK("http://slimages.macys.com/is/image/MCY/10985237 ")</f>
        <v xml:space="preserve">http://slimages.macys.com/is/image/MCY/10985237 </v>
      </c>
    </row>
    <row r="241" spans="1:12" ht="24.75" x14ac:dyDescent="0.25">
      <c r="A241" s="4" t="s">
        <v>3692</v>
      </c>
      <c r="B241" s="2" t="s">
        <v>926</v>
      </c>
      <c r="C241" s="3">
        <v>1</v>
      </c>
      <c r="D241" s="5">
        <v>37.130000000000003</v>
      </c>
      <c r="E241" s="3">
        <v>100009311</v>
      </c>
      <c r="F241" s="2" t="s">
        <v>79</v>
      </c>
      <c r="G241" s="6" t="s">
        <v>22</v>
      </c>
      <c r="H241" s="2" t="s">
        <v>194</v>
      </c>
      <c r="I241" s="2" t="s">
        <v>928</v>
      </c>
      <c r="J241" s="2" t="s">
        <v>19</v>
      </c>
      <c r="K241" s="2" t="s">
        <v>929</v>
      </c>
      <c r="L241" s="7" t="str">
        <f>HYPERLINK("http://slimages.macys.com/is/image/MCY/10249272 ")</f>
        <v xml:space="preserve">http://slimages.macys.com/is/image/MCY/10249272 </v>
      </c>
    </row>
    <row r="242" spans="1:12" ht="24.75" x14ac:dyDescent="0.25">
      <c r="A242" s="4" t="s">
        <v>5695</v>
      </c>
      <c r="B242" s="2" t="s">
        <v>926</v>
      </c>
      <c r="C242" s="3">
        <v>2</v>
      </c>
      <c r="D242" s="5">
        <v>37.130000000000003</v>
      </c>
      <c r="E242" s="3">
        <v>100009311</v>
      </c>
      <c r="F242" s="2" t="s">
        <v>79</v>
      </c>
      <c r="G242" s="6" t="s">
        <v>58</v>
      </c>
      <c r="H242" s="2" t="s">
        <v>194</v>
      </c>
      <c r="I242" s="2" t="s">
        <v>928</v>
      </c>
      <c r="J242" s="2" t="s">
        <v>19</v>
      </c>
      <c r="K242" s="2" t="s">
        <v>929</v>
      </c>
      <c r="L242" s="7" t="str">
        <f>HYPERLINK("http://slimages.macys.com/is/image/MCY/10249272 ")</f>
        <v xml:space="preserve">http://slimages.macys.com/is/image/MCY/10249272 </v>
      </c>
    </row>
    <row r="243" spans="1:12" ht="24.75" x14ac:dyDescent="0.25">
      <c r="A243" s="4" t="s">
        <v>5697</v>
      </c>
      <c r="B243" s="2" t="s">
        <v>926</v>
      </c>
      <c r="C243" s="3">
        <v>2</v>
      </c>
      <c r="D243" s="5">
        <v>37.130000000000003</v>
      </c>
      <c r="E243" s="3">
        <v>100009311</v>
      </c>
      <c r="F243" s="2" t="s">
        <v>79</v>
      </c>
      <c r="G243" s="6" t="s">
        <v>141</v>
      </c>
      <c r="H243" s="2" t="s">
        <v>194</v>
      </c>
      <c r="I243" s="2" t="s">
        <v>928</v>
      </c>
      <c r="J243" s="2" t="s">
        <v>19</v>
      </c>
      <c r="K243" s="2" t="s">
        <v>929</v>
      </c>
      <c r="L243" s="7" t="str">
        <f>HYPERLINK("http://slimages.macys.com/is/image/MCY/10249272 ")</f>
        <v xml:space="preserve">http://slimages.macys.com/is/image/MCY/10249272 </v>
      </c>
    </row>
    <row r="244" spans="1:12" ht="24.75" x14ac:dyDescent="0.25">
      <c r="A244" s="4" t="s">
        <v>3696</v>
      </c>
      <c r="B244" s="2" t="s">
        <v>904</v>
      </c>
      <c r="C244" s="3">
        <v>1</v>
      </c>
      <c r="D244" s="5">
        <v>34.5</v>
      </c>
      <c r="E244" s="3" t="s">
        <v>997</v>
      </c>
      <c r="F244" s="2" t="s">
        <v>998</v>
      </c>
      <c r="G244" s="6" t="s">
        <v>794</v>
      </c>
      <c r="H244" s="2" t="s">
        <v>426</v>
      </c>
      <c r="I244" s="2" t="s">
        <v>229</v>
      </c>
      <c r="J244" s="2" t="s">
        <v>19</v>
      </c>
      <c r="K244" s="2" t="s">
        <v>353</v>
      </c>
      <c r="L244" s="7" t="str">
        <f>HYPERLINK("http://slimages.macys.com/is/image/MCY/11934830 ")</f>
        <v xml:space="preserve">http://slimages.macys.com/is/image/MCY/11934830 </v>
      </c>
    </row>
    <row r="245" spans="1:12" ht="24.75" x14ac:dyDescent="0.25">
      <c r="A245" s="4" t="s">
        <v>8091</v>
      </c>
      <c r="B245" s="2" t="s">
        <v>904</v>
      </c>
      <c r="C245" s="3">
        <v>1</v>
      </c>
      <c r="D245" s="5">
        <v>34.5</v>
      </c>
      <c r="E245" s="3" t="s">
        <v>5707</v>
      </c>
      <c r="F245" s="2" t="s">
        <v>33</v>
      </c>
      <c r="G245" s="6"/>
      <c r="H245" s="2" t="s">
        <v>426</v>
      </c>
      <c r="I245" s="2" t="s">
        <v>229</v>
      </c>
      <c r="J245" s="2" t="s">
        <v>19</v>
      </c>
      <c r="K245" s="2" t="s">
        <v>353</v>
      </c>
      <c r="L245" s="7" t="str">
        <f>HYPERLINK("http://slimages.macys.com/is/image/MCY/11934830 ")</f>
        <v xml:space="preserve">http://slimages.macys.com/is/image/MCY/11934830 </v>
      </c>
    </row>
    <row r="246" spans="1:12" ht="24.75" x14ac:dyDescent="0.25">
      <c r="A246" s="4" t="s">
        <v>996</v>
      </c>
      <c r="B246" s="2" t="s">
        <v>904</v>
      </c>
      <c r="C246" s="3">
        <v>1</v>
      </c>
      <c r="D246" s="5">
        <v>34.5</v>
      </c>
      <c r="E246" s="3" t="s">
        <v>997</v>
      </c>
      <c r="F246" s="2" t="s">
        <v>998</v>
      </c>
      <c r="G246" s="6"/>
      <c r="H246" s="2" t="s">
        <v>426</v>
      </c>
      <c r="I246" s="2" t="s">
        <v>229</v>
      </c>
      <c r="J246" s="2" t="s">
        <v>19</v>
      </c>
      <c r="K246" s="2" t="s">
        <v>353</v>
      </c>
      <c r="L246" s="7" t="str">
        <f>HYPERLINK("http://slimages.macys.com/is/image/MCY/11934830 ")</f>
        <v xml:space="preserve">http://slimages.macys.com/is/image/MCY/11934830 </v>
      </c>
    </row>
    <row r="247" spans="1:12" ht="24.75" x14ac:dyDescent="0.25">
      <c r="A247" s="4" t="s">
        <v>8609</v>
      </c>
      <c r="B247" s="2" t="s">
        <v>3706</v>
      </c>
      <c r="C247" s="3">
        <v>2</v>
      </c>
      <c r="D247" s="5">
        <v>37.130000000000003</v>
      </c>
      <c r="E247" s="3" t="s">
        <v>3707</v>
      </c>
      <c r="F247" s="2" t="s">
        <v>680</v>
      </c>
      <c r="G247" s="6"/>
      <c r="H247" s="2" t="s">
        <v>188</v>
      </c>
      <c r="I247" s="2" t="s">
        <v>189</v>
      </c>
      <c r="J247" s="2" t="s">
        <v>19</v>
      </c>
      <c r="K247" s="2" t="s">
        <v>701</v>
      </c>
      <c r="L247" s="7" t="str">
        <f>HYPERLINK("http://slimages.macys.com/is/image/MCY/12894593 ")</f>
        <v xml:space="preserve">http://slimages.macys.com/is/image/MCY/12894593 </v>
      </c>
    </row>
    <row r="248" spans="1:12" ht="24.75" x14ac:dyDescent="0.25">
      <c r="A248" s="4" t="s">
        <v>1007</v>
      </c>
      <c r="B248" s="2" t="s">
        <v>1008</v>
      </c>
      <c r="C248" s="3">
        <v>1</v>
      </c>
      <c r="D248" s="5">
        <v>49.5</v>
      </c>
      <c r="E248" s="3" t="s">
        <v>1009</v>
      </c>
      <c r="F248" s="2" t="s">
        <v>74</v>
      </c>
      <c r="G248" s="6" t="s">
        <v>238</v>
      </c>
      <c r="H248" s="2" t="s">
        <v>206</v>
      </c>
      <c r="I248" s="2" t="s">
        <v>1010</v>
      </c>
      <c r="J248" s="2" t="s">
        <v>19</v>
      </c>
      <c r="K248" s="2" t="s">
        <v>409</v>
      </c>
      <c r="L248" s="7" t="str">
        <f>HYPERLINK("http://slimages.macys.com/is/image/MCY/9044823 ")</f>
        <v xml:space="preserve">http://slimages.macys.com/is/image/MCY/9044823 </v>
      </c>
    </row>
    <row r="249" spans="1:12" ht="24.75" x14ac:dyDescent="0.25">
      <c r="A249" s="4" t="s">
        <v>8610</v>
      </c>
      <c r="B249" s="2" t="s">
        <v>4777</v>
      </c>
      <c r="C249" s="3">
        <v>1</v>
      </c>
      <c r="D249" s="5">
        <v>49.5</v>
      </c>
      <c r="E249" s="3" t="s">
        <v>4778</v>
      </c>
      <c r="F249" s="2" t="s">
        <v>676</v>
      </c>
      <c r="G249" s="6" t="s">
        <v>238</v>
      </c>
      <c r="H249" s="2" t="s">
        <v>206</v>
      </c>
      <c r="I249" s="2" t="s">
        <v>1010</v>
      </c>
      <c r="J249" s="2" t="s">
        <v>19</v>
      </c>
      <c r="K249" s="2" t="s">
        <v>409</v>
      </c>
      <c r="L249" s="7" t="str">
        <f>HYPERLINK("http://slimages.macys.com/is/image/MCY/9044823 ")</f>
        <v xml:space="preserve">http://slimages.macys.com/is/image/MCY/9044823 </v>
      </c>
    </row>
    <row r="250" spans="1:12" ht="24.75" x14ac:dyDescent="0.25">
      <c r="A250" s="4" t="s">
        <v>8611</v>
      </c>
      <c r="B250" s="2" t="s">
        <v>8612</v>
      </c>
      <c r="C250" s="3">
        <v>1</v>
      </c>
      <c r="D250" s="5">
        <v>49.5</v>
      </c>
      <c r="E250" s="3" t="s">
        <v>4778</v>
      </c>
      <c r="F250" s="2" t="s">
        <v>887</v>
      </c>
      <c r="G250" s="6" t="s">
        <v>238</v>
      </c>
      <c r="H250" s="2" t="s">
        <v>206</v>
      </c>
      <c r="I250" s="2" t="s">
        <v>1010</v>
      </c>
      <c r="J250" s="2" t="s">
        <v>19</v>
      </c>
      <c r="K250" s="2" t="s">
        <v>409</v>
      </c>
      <c r="L250" s="7" t="str">
        <f>HYPERLINK("http://slimages.macys.com/is/image/MCY/9044823 ")</f>
        <v xml:space="preserve">http://slimages.macys.com/is/image/MCY/9044823 </v>
      </c>
    </row>
    <row r="251" spans="1:12" ht="24.75" x14ac:dyDescent="0.25">
      <c r="A251" s="4" t="s">
        <v>8613</v>
      </c>
      <c r="B251" s="2" t="s">
        <v>2521</v>
      </c>
      <c r="C251" s="3">
        <v>1</v>
      </c>
      <c r="D251" s="5">
        <v>34.5</v>
      </c>
      <c r="E251" s="3">
        <v>100045823</v>
      </c>
      <c r="F251" s="2" t="s">
        <v>26</v>
      </c>
      <c r="G251" s="6" t="s">
        <v>181</v>
      </c>
      <c r="H251" s="2" t="s">
        <v>228</v>
      </c>
      <c r="I251" s="2" t="s">
        <v>229</v>
      </c>
      <c r="J251" s="2" t="s">
        <v>19</v>
      </c>
      <c r="K251" s="2" t="s">
        <v>215</v>
      </c>
      <c r="L251" s="7" t="str">
        <f>HYPERLINK("http://slimages.macys.com/is/image/MCY/11804428 ")</f>
        <v xml:space="preserve">http://slimages.macys.com/is/image/MCY/11804428 </v>
      </c>
    </row>
    <row r="252" spans="1:12" ht="24.75" x14ac:dyDescent="0.25">
      <c r="A252" s="4" t="s">
        <v>3719</v>
      </c>
      <c r="B252" s="2" t="s">
        <v>2530</v>
      </c>
      <c r="C252" s="3">
        <v>1</v>
      </c>
      <c r="D252" s="5">
        <v>34.5</v>
      </c>
      <c r="E252" s="3">
        <v>100054339</v>
      </c>
      <c r="F252" s="2" t="s">
        <v>26</v>
      </c>
      <c r="G252" s="6" t="s">
        <v>156</v>
      </c>
      <c r="H252" s="2" t="s">
        <v>228</v>
      </c>
      <c r="I252" s="2" t="s">
        <v>857</v>
      </c>
      <c r="J252" s="2" t="s">
        <v>19</v>
      </c>
      <c r="K252" s="2" t="s">
        <v>338</v>
      </c>
      <c r="L252" s="7" t="str">
        <f>HYPERLINK("http://slimages.macys.com/is/image/MCY/12144139 ")</f>
        <v xml:space="preserve">http://slimages.macys.com/is/image/MCY/12144139 </v>
      </c>
    </row>
    <row r="253" spans="1:12" ht="24.75" x14ac:dyDescent="0.25">
      <c r="A253" s="4" t="s">
        <v>2529</v>
      </c>
      <c r="B253" s="2" t="s">
        <v>2530</v>
      </c>
      <c r="C253" s="3">
        <v>1</v>
      </c>
      <c r="D253" s="5">
        <v>34.5</v>
      </c>
      <c r="E253" s="3">
        <v>100054339</v>
      </c>
      <c r="F253" s="2" t="s">
        <v>26</v>
      </c>
      <c r="G253" s="6" t="s">
        <v>154</v>
      </c>
      <c r="H253" s="2" t="s">
        <v>228</v>
      </c>
      <c r="I253" s="2" t="s">
        <v>857</v>
      </c>
      <c r="J253" s="2" t="s">
        <v>19</v>
      </c>
      <c r="K253" s="2" t="s">
        <v>338</v>
      </c>
      <c r="L253" s="7" t="str">
        <f>HYPERLINK("http://slimages.macys.com/is/image/MCY/12144139 ")</f>
        <v xml:space="preserve">http://slimages.macys.com/is/image/MCY/12144139 </v>
      </c>
    </row>
    <row r="254" spans="1:12" ht="24.75" x14ac:dyDescent="0.25">
      <c r="A254" s="4" t="s">
        <v>2531</v>
      </c>
      <c r="B254" s="2" t="s">
        <v>1028</v>
      </c>
      <c r="C254" s="3">
        <v>3</v>
      </c>
      <c r="D254" s="5">
        <v>37.130000000000003</v>
      </c>
      <c r="E254" s="3" t="s">
        <v>2532</v>
      </c>
      <c r="F254" s="2" t="s">
        <v>26</v>
      </c>
      <c r="G254" s="6"/>
      <c r="H254" s="2" t="s">
        <v>632</v>
      </c>
      <c r="I254" s="2" t="s">
        <v>408</v>
      </c>
      <c r="J254" s="2" t="s">
        <v>19</v>
      </c>
      <c r="K254" s="2" t="s">
        <v>409</v>
      </c>
      <c r="L254" s="7" t="str">
        <f>HYPERLINK("http://slimages.macys.com/is/image/MCY/8191312 ")</f>
        <v xml:space="preserve">http://slimages.macys.com/is/image/MCY/8191312 </v>
      </c>
    </row>
    <row r="255" spans="1:12" ht="24.75" x14ac:dyDescent="0.25">
      <c r="A255" s="4" t="s">
        <v>2533</v>
      </c>
      <c r="B255" s="2" t="s">
        <v>1028</v>
      </c>
      <c r="C255" s="3">
        <v>1</v>
      </c>
      <c r="D255" s="5">
        <v>37.130000000000003</v>
      </c>
      <c r="E255" s="3" t="s">
        <v>2532</v>
      </c>
      <c r="F255" s="2" t="s">
        <v>26</v>
      </c>
      <c r="G255" s="6"/>
      <c r="H255" s="2" t="s">
        <v>632</v>
      </c>
      <c r="I255" s="2" t="s">
        <v>408</v>
      </c>
      <c r="J255" s="2" t="s">
        <v>19</v>
      </c>
      <c r="K255" s="2" t="s">
        <v>409</v>
      </c>
      <c r="L255" s="7" t="str">
        <f>HYPERLINK("http://slimages.macys.com/is/image/MCY/8191312 ")</f>
        <v xml:space="preserve">http://slimages.macys.com/is/image/MCY/8191312 </v>
      </c>
    </row>
    <row r="256" spans="1:12" ht="24.75" x14ac:dyDescent="0.25">
      <c r="A256" s="4" t="s">
        <v>8614</v>
      </c>
      <c r="B256" s="2" t="s">
        <v>1028</v>
      </c>
      <c r="C256" s="3">
        <v>2</v>
      </c>
      <c r="D256" s="5">
        <v>37.130000000000003</v>
      </c>
      <c r="E256" s="3" t="s">
        <v>2532</v>
      </c>
      <c r="F256" s="2" t="s">
        <v>26</v>
      </c>
      <c r="G256" s="6" t="s">
        <v>794</v>
      </c>
      <c r="H256" s="2" t="s">
        <v>632</v>
      </c>
      <c r="I256" s="2" t="s">
        <v>408</v>
      </c>
      <c r="J256" s="2" t="s">
        <v>19</v>
      </c>
      <c r="K256" s="2" t="s">
        <v>409</v>
      </c>
      <c r="L256" s="7" t="str">
        <f>HYPERLINK("http://slimages.macys.com/is/image/MCY/8191312 ")</f>
        <v xml:space="preserve">http://slimages.macys.com/is/image/MCY/8191312 </v>
      </c>
    </row>
    <row r="257" spans="1:12" ht="24.75" x14ac:dyDescent="0.25">
      <c r="A257" s="4" t="s">
        <v>1030</v>
      </c>
      <c r="B257" s="2" t="s">
        <v>1028</v>
      </c>
      <c r="C257" s="3">
        <v>1</v>
      </c>
      <c r="D257" s="5">
        <v>36.5</v>
      </c>
      <c r="E257" s="3" t="s">
        <v>1029</v>
      </c>
      <c r="F257" s="2" t="s">
        <v>74</v>
      </c>
      <c r="G257" s="6"/>
      <c r="H257" s="2" t="s">
        <v>632</v>
      </c>
      <c r="I257" s="2" t="s">
        <v>408</v>
      </c>
      <c r="J257" s="2" t="s">
        <v>19</v>
      </c>
      <c r="K257" s="2" t="s">
        <v>409</v>
      </c>
      <c r="L257" s="7" t="str">
        <f>HYPERLINK("http://slimages.macys.com/is/image/MCY/8191312 ")</f>
        <v xml:space="preserve">http://slimages.macys.com/is/image/MCY/8191312 </v>
      </c>
    </row>
    <row r="258" spans="1:12" ht="24.75" x14ac:dyDescent="0.25">
      <c r="A258" s="4" t="s">
        <v>8615</v>
      </c>
      <c r="B258" s="2" t="s">
        <v>1033</v>
      </c>
      <c r="C258" s="3">
        <v>1</v>
      </c>
      <c r="D258" s="5">
        <v>37.130000000000003</v>
      </c>
      <c r="E258" s="3" t="s">
        <v>2536</v>
      </c>
      <c r="F258" s="2" t="s">
        <v>1584</v>
      </c>
      <c r="G258" s="6" t="s">
        <v>106</v>
      </c>
      <c r="H258" s="2" t="s">
        <v>246</v>
      </c>
      <c r="I258" s="2" t="s">
        <v>189</v>
      </c>
      <c r="J258" s="2" t="s">
        <v>19</v>
      </c>
      <c r="K258" s="2" t="s">
        <v>648</v>
      </c>
      <c r="L258" s="7" t="str">
        <f>HYPERLINK("http://slimages.macys.com/is/image/MCY/12649645 ")</f>
        <v xml:space="preserve">http://slimages.macys.com/is/image/MCY/12649645 </v>
      </c>
    </row>
    <row r="259" spans="1:12" ht="24.75" x14ac:dyDescent="0.25">
      <c r="A259" s="4" t="s">
        <v>8616</v>
      </c>
      <c r="B259" s="2" t="s">
        <v>1033</v>
      </c>
      <c r="C259" s="3">
        <v>1</v>
      </c>
      <c r="D259" s="5">
        <v>37.130000000000003</v>
      </c>
      <c r="E259" s="3" t="s">
        <v>2536</v>
      </c>
      <c r="F259" s="2" t="s">
        <v>1584</v>
      </c>
      <c r="G259" s="6" t="s">
        <v>58</v>
      </c>
      <c r="H259" s="2" t="s">
        <v>246</v>
      </c>
      <c r="I259" s="2" t="s">
        <v>189</v>
      </c>
      <c r="J259" s="2" t="s">
        <v>19</v>
      </c>
      <c r="K259" s="2" t="s">
        <v>648</v>
      </c>
      <c r="L259" s="7" t="str">
        <f>HYPERLINK("http://slimages.macys.com/is/image/MCY/12649645 ")</f>
        <v xml:space="preserve">http://slimages.macys.com/is/image/MCY/12649645 </v>
      </c>
    </row>
    <row r="260" spans="1:12" ht="24.75" x14ac:dyDescent="0.25">
      <c r="A260" s="4" t="s">
        <v>4794</v>
      </c>
      <c r="B260" s="2" t="s">
        <v>4795</v>
      </c>
      <c r="C260" s="3">
        <v>1</v>
      </c>
      <c r="D260" s="5">
        <v>37.130000000000003</v>
      </c>
      <c r="E260" s="3" t="s">
        <v>4796</v>
      </c>
      <c r="F260" s="2" t="s">
        <v>57</v>
      </c>
      <c r="G260" s="6"/>
      <c r="H260" s="2" t="s">
        <v>188</v>
      </c>
      <c r="I260" s="2" t="s">
        <v>189</v>
      </c>
      <c r="J260" s="2" t="s">
        <v>19</v>
      </c>
      <c r="K260" s="2" t="s">
        <v>4797</v>
      </c>
      <c r="L260" s="7" t="str">
        <f>HYPERLINK("http://slimages.macys.com/is/image/MCY/13367335 ")</f>
        <v xml:space="preserve">http://slimages.macys.com/is/image/MCY/13367335 </v>
      </c>
    </row>
    <row r="261" spans="1:12" ht="24.75" x14ac:dyDescent="0.25">
      <c r="A261" s="4" t="s">
        <v>1038</v>
      </c>
      <c r="B261" s="2" t="s">
        <v>1036</v>
      </c>
      <c r="C261" s="3">
        <v>1</v>
      </c>
      <c r="D261" s="5">
        <v>36.5</v>
      </c>
      <c r="E261" s="3" t="s">
        <v>1037</v>
      </c>
      <c r="F261" s="2" t="s">
        <v>998</v>
      </c>
      <c r="G261" s="6" t="s">
        <v>154</v>
      </c>
      <c r="H261" s="2" t="s">
        <v>194</v>
      </c>
      <c r="I261" s="2" t="s">
        <v>195</v>
      </c>
      <c r="J261" s="2" t="s">
        <v>19</v>
      </c>
      <c r="K261" s="2" t="s">
        <v>137</v>
      </c>
      <c r="L261" s="7" t="str">
        <f>HYPERLINK("http://slimages.macys.com/is/image/MCY/11526970 ")</f>
        <v xml:space="preserve">http://slimages.macys.com/is/image/MCY/11526970 </v>
      </c>
    </row>
    <row r="262" spans="1:12" ht="24.75" x14ac:dyDescent="0.25">
      <c r="A262" s="4" t="s">
        <v>8617</v>
      </c>
      <c r="B262" s="2" t="s">
        <v>1043</v>
      </c>
      <c r="C262" s="3">
        <v>1</v>
      </c>
      <c r="D262" s="5">
        <v>44.63</v>
      </c>
      <c r="E262" s="3" t="s">
        <v>1044</v>
      </c>
      <c r="F262" s="2" t="s">
        <v>566</v>
      </c>
      <c r="G262" s="6" t="s">
        <v>348</v>
      </c>
      <c r="H262" s="2" t="s">
        <v>349</v>
      </c>
      <c r="I262" s="2" t="s">
        <v>285</v>
      </c>
      <c r="J262" s="2" t="s">
        <v>19</v>
      </c>
      <c r="K262" s="2" t="s">
        <v>1045</v>
      </c>
      <c r="L262" s="7" t="str">
        <f>HYPERLINK("http://slimages.macys.com/is/image/MCY/12700824 ")</f>
        <v xml:space="preserve">http://slimages.macys.com/is/image/MCY/12700824 </v>
      </c>
    </row>
    <row r="263" spans="1:12" ht="24.75" x14ac:dyDescent="0.25">
      <c r="A263" s="4" t="s">
        <v>8618</v>
      </c>
      <c r="B263" s="2" t="s">
        <v>1047</v>
      </c>
      <c r="C263" s="3">
        <v>1</v>
      </c>
      <c r="D263" s="5">
        <v>34.880000000000003</v>
      </c>
      <c r="E263" s="3">
        <v>100009312</v>
      </c>
      <c r="F263" s="2" t="s">
        <v>64</v>
      </c>
      <c r="G263" s="6" t="s">
        <v>245</v>
      </c>
      <c r="H263" s="2" t="s">
        <v>194</v>
      </c>
      <c r="I263" s="2" t="s">
        <v>195</v>
      </c>
      <c r="J263" s="2" t="s">
        <v>19</v>
      </c>
      <c r="K263" s="2" t="s">
        <v>353</v>
      </c>
      <c r="L263" s="7" t="str">
        <f>HYPERLINK("http://slimages.macys.com/is/image/MCY/9603701 ")</f>
        <v xml:space="preserve">http://slimages.macys.com/is/image/MCY/9603701 </v>
      </c>
    </row>
    <row r="264" spans="1:12" ht="24.75" x14ac:dyDescent="0.25">
      <c r="A264" s="4" t="s">
        <v>2540</v>
      </c>
      <c r="B264" s="2" t="s">
        <v>1047</v>
      </c>
      <c r="C264" s="3">
        <v>4</v>
      </c>
      <c r="D264" s="5">
        <v>34.880000000000003</v>
      </c>
      <c r="E264" s="3">
        <v>100009312</v>
      </c>
      <c r="F264" s="2" t="s">
        <v>26</v>
      </c>
      <c r="G264" s="6" t="s">
        <v>154</v>
      </c>
      <c r="H264" s="2" t="s">
        <v>194</v>
      </c>
      <c r="I264" s="2" t="s">
        <v>195</v>
      </c>
      <c r="J264" s="2" t="s">
        <v>19</v>
      </c>
      <c r="K264" s="2" t="s">
        <v>353</v>
      </c>
      <c r="L264" s="7" t="str">
        <f>HYPERLINK("http://slimages.macys.com/is/image/MCY/9603701 ")</f>
        <v xml:space="preserve">http://slimages.macys.com/is/image/MCY/9603701 </v>
      </c>
    </row>
    <row r="265" spans="1:12" ht="24.75" x14ac:dyDescent="0.25">
      <c r="A265" s="4" t="s">
        <v>8619</v>
      </c>
      <c r="B265" s="2" t="s">
        <v>1047</v>
      </c>
      <c r="C265" s="3">
        <v>2</v>
      </c>
      <c r="D265" s="5">
        <v>34.880000000000003</v>
      </c>
      <c r="E265" s="3">
        <v>100009312</v>
      </c>
      <c r="F265" s="2" t="s">
        <v>26</v>
      </c>
      <c r="G265" s="6" t="s">
        <v>200</v>
      </c>
      <c r="H265" s="2" t="s">
        <v>194</v>
      </c>
      <c r="I265" s="2" t="s">
        <v>195</v>
      </c>
      <c r="J265" s="2" t="s">
        <v>19</v>
      </c>
      <c r="K265" s="2" t="s">
        <v>353</v>
      </c>
      <c r="L265" s="7" t="str">
        <f>HYPERLINK("http://slimages.macys.com/is/image/MCY/9603701 ")</f>
        <v xml:space="preserve">http://slimages.macys.com/is/image/MCY/9603701 </v>
      </c>
    </row>
    <row r="266" spans="1:12" ht="24.75" x14ac:dyDescent="0.25">
      <c r="A266" s="4" t="s">
        <v>8620</v>
      </c>
      <c r="B266" s="2" t="s">
        <v>6539</v>
      </c>
      <c r="C266" s="3">
        <v>1</v>
      </c>
      <c r="D266" s="5">
        <v>37.130000000000003</v>
      </c>
      <c r="E266" s="3" t="s">
        <v>6540</v>
      </c>
      <c r="F266" s="2" t="s">
        <v>64</v>
      </c>
      <c r="G266" s="6" t="s">
        <v>156</v>
      </c>
      <c r="H266" s="2" t="s">
        <v>246</v>
      </c>
      <c r="I266" s="2" t="s">
        <v>189</v>
      </c>
      <c r="J266" s="2" t="s">
        <v>19</v>
      </c>
      <c r="K266" s="2" t="s">
        <v>160</v>
      </c>
      <c r="L266" s="7" t="str">
        <f>HYPERLINK("http://slimages.macys.com/is/image/MCY/12326932 ")</f>
        <v xml:space="preserve">http://slimages.macys.com/is/image/MCY/12326932 </v>
      </c>
    </row>
    <row r="267" spans="1:12" ht="24.75" x14ac:dyDescent="0.25">
      <c r="A267" s="4" t="s">
        <v>8621</v>
      </c>
      <c r="B267" s="2" t="s">
        <v>4662</v>
      </c>
      <c r="C267" s="3">
        <v>1</v>
      </c>
      <c r="D267" s="5">
        <v>34.880000000000003</v>
      </c>
      <c r="E267" s="3" t="s">
        <v>8622</v>
      </c>
      <c r="F267" s="2" t="s">
        <v>15</v>
      </c>
      <c r="G267" s="6" t="s">
        <v>181</v>
      </c>
      <c r="H267" s="2" t="s">
        <v>284</v>
      </c>
      <c r="I267" s="2" t="s">
        <v>2548</v>
      </c>
      <c r="J267" s="2" t="s">
        <v>19</v>
      </c>
      <c r="K267" s="2" t="s">
        <v>34</v>
      </c>
      <c r="L267" s="7" t="str">
        <f>HYPERLINK("http://slimages.macys.com/is/image/MCY/11470470 ")</f>
        <v xml:space="preserve">http://slimages.macys.com/is/image/MCY/11470470 </v>
      </c>
    </row>
    <row r="268" spans="1:12" ht="24.75" x14ac:dyDescent="0.25">
      <c r="A268" s="4" t="s">
        <v>1061</v>
      </c>
      <c r="B268" s="2" t="s">
        <v>1062</v>
      </c>
      <c r="C268" s="3">
        <v>2</v>
      </c>
      <c r="D268" s="5">
        <v>36.5</v>
      </c>
      <c r="E268" s="3" t="s">
        <v>1063</v>
      </c>
      <c r="F268" s="2" t="s">
        <v>26</v>
      </c>
      <c r="G268" s="6" t="s">
        <v>154</v>
      </c>
      <c r="H268" s="2" t="s">
        <v>194</v>
      </c>
      <c r="I268" s="2" t="s">
        <v>195</v>
      </c>
      <c r="J268" s="2" t="s">
        <v>19</v>
      </c>
      <c r="K268" s="2" t="s">
        <v>247</v>
      </c>
      <c r="L268" s="7" t="str">
        <f>HYPERLINK("http://slimages.macys.com/is/image/MCY/11515386 ")</f>
        <v xml:space="preserve">http://slimages.macys.com/is/image/MCY/11515386 </v>
      </c>
    </row>
    <row r="269" spans="1:12" ht="24.75" x14ac:dyDescent="0.25">
      <c r="A269" s="4" t="s">
        <v>2551</v>
      </c>
      <c r="B269" s="2" t="s">
        <v>1062</v>
      </c>
      <c r="C269" s="3">
        <v>1</v>
      </c>
      <c r="D269" s="5">
        <v>36.5</v>
      </c>
      <c r="E269" s="3" t="s">
        <v>1063</v>
      </c>
      <c r="F269" s="2" t="s">
        <v>26</v>
      </c>
      <c r="G269" s="6" t="s">
        <v>181</v>
      </c>
      <c r="H269" s="2" t="s">
        <v>194</v>
      </c>
      <c r="I269" s="2" t="s">
        <v>195</v>
      </c>
      <c r="J269" s="2" t="s">
        <v>19</v>
      </c>
      <c r="K269" s="2" t="s">
        <v>247</v>
      </c>
      <c r="L269" s="7" t="str">
        <f>HYPERLINK("http://slimages.macys.com/is/image/MCY/11515386 ")</f>
        <v xml:space="preserve">http://slimages.macys.com/is/image/MCY/11515386 </v>
      </c>
    </row>
    <row r="270" spans="1:12" ht="48.75" x14ac:dyDescent="0.25">
      <c r="A270" s="4" t="s">
        <v>8623</v>
      </c>
      <c r="B270" s="2" t="s">
        <v>1065</v>
      </c>
      <c r="C270" s="3">
        <v>1</v>
      </c>
      <c r="D270" s="5">
        <v>37.130000000000003</v>
      </c>
      <c r="E270" s="3">
        <v>100016108</v>
      </c>
      <c r="F270" s="2" t="s">
        <v>417</v>
      </c>
      <c r="G270" s="6" t="s">
        <v>156</v>
      </c>
      <c r="H270" s="2" t="s">
        <v>194</v>
      </c>
      <c r="I270" s="2" t="s">
        <v>919</v>
      </c>
      <c r="J270" s="2" t="s">
        <v>19</v>
      </c>
      <c r="K270" s="2" t="s">
        <v>1066</v>
      </c>
      <c r="L270" s="7" t="str">
        <f>HYPERLINK("http://slimages.macys.com/is/image/MCY/11144334 ")</f>
        <v xml:space="preserve">http://slimages.macys.com/is/image/MCY/11144334 </v>
      </c>
    </row>
    <row r="271" spans="1:12" ht="24.75" x14ac:dyDescent="0.25">
      <c r="A271" s="4" t="s">
        <v>8624</v>
      </c>
      <c r="B271" s="2" t="s">
        <v>8625</v>
      </c>
      <c r="C271" s="3">
        <v>1</v>
      </c>
      <c r="D271" s="5">
        <v>44.63</v>
      </c>
      <c r="E271" s="3" t="s">
        <v>8626</v>
      </c>
      <c r="F271" s="2" t="s">
        <v>413</v>
      </c>
      <c r="G271" s="6" t="s">
        <v>245</v>
      </c>
      <c r="H271" s="2" t="s">
        <v>246</v>
      </c>
      <c r="I271" s="2" t="s">
        <v>189</v>
      </c>
      <c r="J271" s="2" t="s">
        <v>19</v>
      </c>
      <c r="K271" s="2" t="s">
        <v>701</v>
      </c>
      <c r="L271" s="7" t="str">
        <f>HYPERLINK("http://slimages.macys.com/is/image/MCY/9504528 ")</f>
        <v xml:space="preserve">http://slimages.macys.com/is/image/MCY/9504528 </v>
      </c>
    </row>
    <row r="272" spans="1:12" ht="24.75" x14ac:dyDescent="0.25">
      <c r="A272" s="4" t="s">
        <v>5741</v>
      </c>
      <c r="B272" s="2" t="s">
        <v>898</v>
      </c>
      <c r="C272" s="3">
        <v>1</v>
      </c>
      <c r="D272" s="5">
        <v>37.130000000000003</v>
      </c>
      <c r="E272" s="3">
        <v>100009193</v>
      </c>
      <c r="F272" s="2" t="s">
        <v>566</v>
      </c>
      <c r="G272" s="6" t="s">
        <v>141</v>
      </c>
      <c r="H272" s="2" t="s">
        <v>194</v>
      </c>
      <c r="I272" s="2" t="s">
        <v>503</v>
      </c>
      <c r="J272" s="2" t="s">
        <v>19</v>
      </c>
      <c r="K272" s="2" t="s">
        <v>353</v>
      </c>
      <c r="L272" s="7" t="str">
        <f>HYPERLINK("http://slimages.macys.com/is/image/MCY/11804644 ")</f>
        <v xml:space="preserve">http://slimages.macys.com/is/image/MCY/11804644 </v>
      </c>
    </row>
    <row r="273" spans="1:12" ht="24.75" x14ac:dyDescent="0.25">
      <c r="A273" s="4" t="s">
        <v>5739</v>
      </c>
      <c r="B273" s="2" t="s">
        <v>898</v>
      </c>
      <c r="C273" s="3">
        <v>1</v>
      </c>
      <c r="D273" s="5">
        <v>37.130000000000003</v>
      </c>
      <c r="E273" s="3">
        <v>100009193</v>
      </c>
      <c r="F273" s="2" t="s">
        <v>506</v>
      </c>
      <c r="G273" s="6" t="s">
        <v>65</v>
      </c>
      <c r="H273" s="2" t="s">
        <v>194</v>
      </c>
      <c r="I273" s="2" t="s">
        <v>503</v>
      </c>
      <c r="J273" s="2" t="s">
        <v>19</v>
      </c>
      <c r="K273" s="2" t="s">
        <v>353</v>
      </c>
      <c r="L273" s="7" t="str">
        <f>HYPERLINK("http://slimages.macys.com/is/image/MCY/11804644 ")</f>
        <v xml:space="preserve">http://slimages.macys.com/is/image/MCY/11804644 </v>
      </c>
    </row>
    <row r="274" spans="1:12" ht="24.75" x14ac:dyDescent="0.25">
      <c r="A274" s="4" t="s">
        <v>2560</v>
      </c>
      <c r="B274" s="2" t="s">
        <v>898</v>
      </c>
      <c r="C274" s="3">
        <v>4</v>
      </c>
      <c r="D274" s="5">
        <v>37.130000000000003</v>
      </c>
      <c r="E274" s="3">
        <v>100009193</v>
      </c>
      <c r="F274" s="2" t="s">
        <v>506</v>
      </c>
      <c r="G274" s="6" t="s">
        <v>27</v>
      </c>
      <c r="H274" s="2" t="s">
        <v>194</v>
      </c>
      <c r="I274" s="2" t="s">
        <v>503</v>
      </c>
      <c r="J274" s="2" t="s">
        <v>19</v>
      </c>
      <c r="K274" s="2" t="s">
        <v>353</v>
      </c>
      <c r="L274" s="7" t="str">
        <f>HYPERLINK("http://slimages.macys.com/is/image/MCY/11804644 ")</f>
        <v xml:space="preserve">http://slimages.macys.com/is/image/MCY/11804644 </v>
      </c>
    </row>
    <row r="275" spans="1:12" ht="24.75" x14ac:dyDescent="0.25">
      <c r="A275" s="4" t="s">
        <v>8627</v>
      </c>
      <c r="B275" s="2" t="s">
        <v>898</v>
      </c>
      <c r="C275" s="3">
        <v>1</v>
      </c>
      <c r="D275" s="5">
        <v>37.130000000000003</v>
      </c>
      <c r="E275" s="3">
        <v>100009193</v>
      </c>
      <c r="F275" s="2" t="s">
        <v>15</v>
      </c>
      <c r="G275" s="6" t="s">
        <v>112</v>
      </c>
      <c r="H275" s="2" t="s">
        <v>194</v>
      </c>
      <c r="I275" s="2" t="s">
        <v>503</v>
      </c>
      <c r="J275" s="2" t="s">
        <v>19</v>
      </c>
      <c r="K275" s="2" t="s">
        <v>353</v>
      </c>
      <c r="L275" s="7" t="str">
        <f>HYPERLINK("http://slimages.macys.com/is/image/MCY/11804644 ")</f>
        <v xml:space="preserve">http://slimages.macys.com/is/image/MCY/11804644 </v>
      </c>
    </row>
    <row r="276" spans="1:12" ht="24.75" x14ac:dyDescent="0.25">
      <c r="A276" s="4" t="s">
        <v>8109</v>
      </c>
      <c r="B276" s="2" t="s">
        <v>5746</v>
      </c>
      <c r="C276" s="3">
        <v>1</v>
      </c>
      <c r="D276" s="5">
        <v>59.5</v>
      </c>
      <c r="E276" s="3" t="s">
        <v>5747</v>
      </c>
      <c r="F276" s="2" t="s">
        <v>74</v>
      </c>
      <c r="G276" s="6" t="s">
        <v>336</v>
      </c>
      <c r="H276" s="2" t="s">
        <v>206</v>
      </c>
      <c r="I276" s="2" t="s">
        <v>207</v>
      </c>
      <c r="J276" s="2" t="s">
        <v>19</v>
      </c>
      <c r="K276" s="2" t="s">
        <v>409</v>
      </c>
      <c r="L276" s="7" t="str">
        <f>HYPERLINK("http://slimages.macys.com/is/image/MCY/9796578 ")</f>
        <v xml:space="preserve">http://slimages.macys.com/is/image/MCY/9796578 </v>
      </c>
    </row>
    <row r="277" spans="1:12" ht="24.75" x14ac:dyDescent="0.25">
      <c r="A277" s="4" t="s">
        <v>6555</v>
      </c>
      <c r="B277" s="2" t="s">
        <v>5746</v>
      </c>
      <c r="C277" s="3">
        <v>1</v>
      </c>
      <c r="D277" s="5">
        <v>59.5</v>
      </c>
      <c r="E277" s="3" t="s">
        <v>5747</v>
      </c>
      <c r="F277" s="2" t="s">
        <v>74</v>
      </c>
      <c r="G277" s="6" t="s">
        <v>126</v>
      </c>
      <c r="H277" s="2" t="s">
        <v>206</v>
      </c>
      <c r="I277" s="2" t="s">
        <v>207</v>
      </c>
      <c r="J277" s="2" t="s">
        <v>19</v>
      </c>
      <c r="K277" s="2" t="s">
        <v>409</v>
      </c>
      <c r="L277" s="7" t="str">
        <f>HYPERLINK("http://slimages.macys.com/is/image/MCY/9796578 ")</f>
        <v xml:space="preserve">http://slimages.macys.com/is/image/MCY/9796578 </v>
      </c>
    </row>
    <row r="278" spans="1:12" ht="24.75" x14ac:dyDescent="0.25">
      <c r="A278" s="4" t="s">
        <v>8628</v>
      </c>
      <c r="B278" s="2" t="s">
        <v>5746</v>
      </c>
      <c r="C278" s="3">
        <v>1</v>
      </c>
      <c r="D278" s="5">
        <v>59.5</v>
      </c>
      <c r="E278" s="3" t="s">
        <v>5747</v>
      </c>
      <c r="F278" s="2" t="s">
        <v>74</v>
      </c>
      <c r="G278" s="6" t="s">
        <v>802</v>
      </c>
      <c r="H278" s="2" t="s">
        <v>206</v>
      </c>
      <c r="I278" s="2" t="s">
        <v>207</v>
      </c>
      <c r="J278" s="2" t="s">
        <v>19</v>
      </c>
      <c r="K278" s="2" t="s">
        <v>409</v>
      </c>
      <c r="L278" s="7" t="str">
        <f>HYPERLINK("http://slimages.macys.com/is/image/MCY/9796578 ")</f>
        <v xml:space="preserve">http://slimages.macys.com/is/image/MCY/9796578 </v>
      </c>
    </row>
    <row r="279" spans="1:12" ht="24.75" x14ac:dyDescent="0.25">
      <c r="A279" s="4" t="s">
        <v>8629</v>
      </c>
      <c r="B279" s="2" t="s">
        <v>5746</v>
      </c>
      <c r="C279" s="3">
        <v>1</v>
      </c>
      <c r="D279" s="5">
        <v>59.5</v>
      </c>
      <c r="E279" s="3" t="s">
        <v>5747</v>
      </c>
      <c r="F279" s="2" t="s">
        <v>74</v>
      </c>
      <c r="G279" s="6" t="s">
        <v>3715</v>
      </c>
      <c r="H279" s="2" t="s">
        <v>206</v>
      </c>
      <c r="I279" s="2" t="s">
        <v>207</v>
      </c>
      <c r="J279" s="2" t="s">
        <v>19</v>
      </c>
      <c r="K279" s="2" t="s">
        <v>409</v>
      </c>
      <c r="L279" s="7" t="str">
        <f>HYPERLINK("http://slimages.macys.com/is/image/MCY/9796578 ")</f>
        <v xml:space="preserve">http://slimages.macys.com/is/image/MCY/9796578 </v>
      </c>
    </row>
    <row r="280" spans="1:12" x14ac:dyDescent="0.25">
      <c r="A280" s="4" t="s">
        <v>8630</v>
      </c>
      <c r="B280" s="2" t="s">
        <v>1076</v>
      </c>
      <c r="C280" s="3">
        <v>1</v>
      </c>
      <c r="D280" s="5">
        <v>59.5</v>
      </c>
      <c r="E280" s="3">
        <v>100064580</v>
      </c>
      <c r="F280" s="2" t="s">
        <v>252</v>
      </c>
      <c r="G280" s="6" t="s">
        <v>106</v>
      </c>
      <c r="H280" s="2" t="s">
        <v>386</v>
      </c>
      <c r="I280" s="2" t="s">
        <v>207</v>
      </c>
      <c r="J280" s="2" t="s">
        <v>19</v>
      </c>
      <c r="K280" s="2" t="s">
        <v>353</v>
      </c>
      <c r="L280" s="7" t="str">
        <f>HYPERLINK("http://slimages.macys.com/is/image/MCY/13080473 ")</f>
        <v xml:space="preserve">http://slimages.macys.com/is/image/MCY/13080473 </v>
      </c>
    </row>
    <row r="281" spans="1:12" ht="24.75" x14ac:dyDescent="0.25">
      <c r="A281" s="4" t="s">
        <v>5750</v>
      </c>
      <c r="B281" s="2" t="s">
        <v>890</v>
      </c>
      <c r="C281" s="3">
        <v>1</v>
      </c>
      <c r="D281" s="5">
        <v>34.5</v>
      </c>
      <c r="E281" s="3" t="s">
        <v>4818</v>
      </c>
      <c r="F281" s="2" t="s">
        <v>193</v>
      </c>
      <c r="G281" s="6" t="s">
        <v>22</v>
      </c>
      <c r="H281" s="2" t="s">
        <v>228</v>
      </c>
      <c r="I281" s="2" t="s">
        <v>863</v>
      </c>
      <c r="J281" s="2" t="s">
        <v>19</v>
      </c>
      <c r="K281" s="2" t="s">
        <v>253</v>
      </c>
      <c r="L281" s="7" t="str">
        <f>HYPERLINK("http://slimages.macys.com/is/image/MCY/11804239 ")</f>
        <v xml:space="preserve">http://slimages.macys.com/is/image/MCY/11804239 </v>
      </c>
    </row>
    <row r="282" spans="1:12" ht="24.75" x14ac:dyDescent="0.25">
      <c r="A282" s="4" t="s">
        <v>8113</v>
      </c>
      <c r="B282" s="2" t="s">
        <v>7371</v>
      </c>
      <c r="C282" s="3">
        <v>1</v>
      </c>
      <c r="D282" s="5">
        <v>33.380000000000003</v>
      </c>
      <c r="E282" s="3" t="s">
        <v>7372</v>
      </c>
      <c r="F282" s="2" t="s">
        <v>417</v>
      </c>
      <c r="G282" s="6" t="s">
        <v>234</v>
      </c>
      <c r="H282" s="2" t="s">
        <v>194</v>
      </c>
      <c r="I282" s="2" t="s">
        <v>195</v>
      </c>
      <c r="J282" s="2" t="s">
        <v>19</v>
      </c>
      <c r="K282" s="2" t="s">
        <v>323</v>
      </c>
      <c r="L282" s="7" t="str">
        <f>HYPERLINK("http://slimages.macys.com/is/image/MCY/12734325 ")</f>
        <v xml:space="preserve">http://slimages.macys.com/is/image/MCY/12734325 </v>
      </c>
    </row>
    <row r="283" spans="1:12" ht="24.75" x14ac:dyDescent="0.25">
      <c r="A283" s="4" t="s">
        <v>1094</v>
      </c>
      <c r="B283" s="2" t="s">
        <v>1093</v>
      </c>
      <c r="C283" s="3">
        <v>1</v>
      </c>
      <c r="D283" s="5">
        <v>37.130000000000003</v>
      </c>
      <c r="E283" s="3">
        <v>100018042</v>
      </c>
      <c r="F283" s="2" t="s">
        <v>376</v>
      </c>
      <c r="G283" s="6" t="s">
        <v>112</v>
      </c>
      <c r="H283" s="2" t="s">
        <v>194</v>
      </c>
      <c r="I283" s="2" t="s">
        <v>195</v>
      </c>
      <c r="J283" s="2" t="s">
        <v>19</v>
      </c>
      <c r="K283" s="2" t="s">
        <v>353</v>
      </c>
      <c r="L283" s="7" t="str">
        <f>HYPERLINK("http://slimages.macys.com/is/image/MCY/9693642 ")</f>
        <v xml:space="preserve">http://slimages.macys.com/is/image/MCY/9693642 </v>
      </c>
    </row>
    <row r="284" spans="1:12" ht="24.75" x14ac:dyDescent="0.25">
      <c r="A284" s="4" t="s">
        <v>8631</v>
      </c>
      <c r="B284" s="2" t="s">
        <v>4826</v>
      </c>
      <c r="C284" s="3">
        <v>1</v>
      </c>
      <c r="D284" s="5">
        <v>37.130000000000003</v>
      </c>
      <c r="E284" s="3">
        <v>100021423</v>
      </c>
      <c r="F284" s="2" t="s">
        <v>64</v>
      </c>
      <c r="G284" s="6" t="s">
        <v>154</v>
      </c>
      <c r="H284" s="2" t="s">
        <v>194</v>
      </c>
      <c r="I284" s="2" t="s">
        <v>195</v>
      </c>
      <c r="J284" s="2" t="s">
        <v>19</v>
      </c>
      <c r="K284" s="2" t="s">
        <v>648</v>
      </c>
      <c r="L284" s="7" t="str">
        <f>HYPERLINK("http://slimages.macys.com/is/image/MCY/12851013 ")</f>
        <v xml:space="preserve">http://slimages.macys.com/is/image/MCY/12851013 </v>
      </c>
    </row>
    <row r="285" spans="1:12" ht="24.75" x14ac:dyDescent="0.25">
      <c r="A285" s="4" t="s">
        <v>4827</v>
      </c>
      <c r="B285" s="2" t="s">
        <v>4828</v>
      </c>
      <c r="C285" s="3">
        <v>2</v>
      </c>
      <c r="D285" s="5">
        <v>37.130000000000003</v>
      </c>
      <c r="E285" s="3" t="s">
        <v>4829</v>
      </c>
      <c r="F285" s="2" t="s">
        <v>74</v>
      </c>
      <c r="G285" s="6" t="s">
        <v>234</v>
      </c>
      <c r="H285" s="2" t="s">
        <v>194</v>
      </c>
      <c r="I285" s="2" t="s">
        <v>195</v>
      </c>
      <c r="J285" s="2" t="s">
        <v>19</v>
      </c>
      <c r="K285" s="2" t="s">
        <v>4830</v>
      </c>
      <c r="L285" s="7" t="str">
        <f>HYPERLINK("http://slimages.macys.com/is/image/MCY/12143855 ")</f>
        <v xml:space="preserve">http://slimages.macys.com/is/image/MCY/12143855 </v>
      </c>
    </row>
    <row r="286" spans="1:12" ht="24.75" x14ac:dyDescent="0.25">
      <c r="A286" s="4" t="s">
        <v>8632</v>
      </c>
      <c r="B286" s="2" t="s">
        <v>1106</v>
      </c>
      <c r="C286" s="3">
        <v>1</v>
      </c>
      <c r="D286" s="5">
        <v>32.5</v>
      </c>
      <c r="E286" s="3" t="s">
        <v>1107</v>
      </c>
      <c r="F286" s="2" t="s">
        <v>15</v>
      </c>
      <c r="G286" s="6" t="s">
        <v>245</v>
      </c>
      <c r="H286" s="2" t="s">
        <v>194</v>
      </c>
      <c r="I286" s="2" t="s">
        <v>195</v>
      </c>
      <c r="J286" s="2" t="s">
        <v>19</v>
      </c>
      <c r="K286" s="2" t="s">
        <v>1108</v>
      </c>
      <c r="L286" s="7" t="str">
        <f>HYPERLINK("http://slimages.macys.com/is/image/MCY/11764459 ")</f>
        <v xml:space="preserve">http://slimages.macys.com/is/image/MCY/11764459 </v>
      </c>
    </row>
    <row r="287" spans="1:12" ht="24.75" x14ac:dyDescent="0.25">
      <c r="A287" s="4" t="s">
        <v>5763</v>
      </c>
      <c r="B287" s="2" t="s">
        <v>1106</v>
      </c>
      <c r="C287" s="3">
        <v>2</v>
      </c>
      <c r="D287" s="5">
        <v>32.5</v>
      </c>
      <c r="E287" s="3" t="s">
        <v>4834</v>
      </c>
      <c r="F287" s="2" t="s">
        <v>74</v>
      </c>
      <c r="G287" s="6" t="s">
        <v>234</v>
      </c>
      <c r="H287" s="2" t="s">
        <v>194</v>
      </c>
      <c r="I287" s="2" t="s">
        <v>195</v>
      </c>
      <c r="J287" s="2" t="s">
        <v>19</v>
      </c>
      <c r="K287" s="2" t="s">
        <v>1108</v>
      </c>
      <c r="L287" s="7" t="str">
        <f>HYPERLINK("http://slimages.macys.com/is/image/MCY/11526915 ")</f>
        <v xml:space="preserve">http://slimages.macys.com/is/image/MCY/11526915 </v>
      </c>
    </row>
    <row r="288" spans="1:12" ht="24.75" x14ac:dyDescent="0.25">
      <c r="A288" s="4" t="s">
        <v>2573</v>
      </c>
      <c r="B288" s="2" t="s">
        <v>1106</v>
      </c>
      <c r="C288" s="3">
        <v>1</v>
      </c>
      <c r="D288" s="5">
        <v>32.5</v>
      </c>
      <c r="E288" s="3" t="s">
        <v>1107</v>
      </c>
      <c r="F288" s="2" t="s">
        <v>15</v>
      </c>
      <c r="G288" s="6" t="s">
        <v>234</v>
      </c>
      <c r="H288" s="2" t="s">
        <v>194</v>
      </c>
      <c r="I288" s="2" t="s">
        <v>195</v>
      </c>
      <c r="J288" s="2" t="s">
        <v>19</v>
      </c>
      <c r="K288" s="2" t="s">
        <v>1108</v>
      </c>
      <c r="L288" s="7" t="str">
        <f>HYPERLINK("http://slimages.macys.com/is/image/MCY/11764459 ")</f>
        <v xml:space="preserve">http://slimages.macys.com/is/image/MCY/11764459 </v>
      </c>
    </row>
    <row r="289" spans="1:12" ht="24.75" x14ac:dyDescent="0.25">
      <c r="A289" s="4" t="s">
        <v>8633</v>
      </c>
      <c r="B289" s="2" t="s">
        <v>4836</v>
      </c>
      <c r="C289" s="3">
        <v>1</v>
      </c>
      <c r="D289" s="5">
        <v>37.130000000000003</v>
      </c>
      <c r="E289" s="3" t="s">
        <v>4837</v>
      </c>
      <c r="F289" s="2" t="s">
        <v>26</v>
      </c>
      <c r="G289" s="6" t="s">
        <v>156</v>
      </c>
      <c r="H289" s="2" t="s">
        <v>194</v>
      </c>
      <c r="I289" s="2" t="s">
        <v>195</v>
      </c>
      <c r="J289" s="2" t="s">
        <v>19</v>
      </c>
      <c r="K289" s="2" t="s">
        <v>648</v>
      </c>
      <c r="L289" s="7" t="str">
        <f>HYPERLINK("http://slimages.macys.com/is/image/MCY/12734350 ")</f>
        <v xml:space="preserve">http://slimages.macys.com/is/image/MCY/12734350 </v>
      </c>
    </row>
    <row r="290" spans="1:12" ht="24.75" x14ac:dyDescent="0.25">
      <c r="A290" s="4" t="s">
        <v>8634</v>
      </c>
      <c r="B290" s="2" t="s">
        <v>8635</v>
      </c>
      <c r="C290" s="3">
        <v>1</v>
      </c>
      <c r="D290" s="5">
        <v>45</v>
      </c>
      <c r="E290" s="3" t="s">
        <v>2473</v>
      </c>
      <c r="F290" s="2" t="s">
        <v>562</v>
      </c>
      <c r="G290" s="6"/>
      <c r="H290" s="2" t="s">
        <v>447</v>
      </c>
      <c r="I290" s="2" t="s">
        <v>792</v>
      </c>
      <c r="J290" s="2" t="s">
        <v>2474</v>
      </c>
      <c r="K290" s="2" t="s">
        <v>160</v>
      </c>
      <c r="L290" s="7" t="str">
        <f>HYPERLINK("http://slimages.macys.com/is/image/MCY/12258294 ")</f>
        <v xml:space="preserve">http://slimages.macys.com/is/image/MCY/12258294 </v>
      </c>
    </row>
    <row r="291" spans="1:12" ht="24.75" x14ac:dyDescent="0.25">
      <c r="A291" s="4" t="s">
        <v>6562</v>
      </c>
      <c r="B291" s="2" t="s">
        <v>1114</v>
      </c>
      <c r="C291" s="3">
        <v>1</v>
      </c>
      <c r="D291" s="5">
        <v>36.5</v>
      </c>
      <c r="E291" s="3">
        <v>100042369</v>
      </c>
      <c r="F291" s="2" t="s">
        <v>199</v>
      </c>
      <c r="G291" s="6" t="s">
        <v>16</v>
      </c>
      <c r="H291" s="2" t="s">
        <v>194</v>
      </c>
      <c r="I291" s="2" t="s">
        <v>195</v>
      </c>
      <c r="J291" s="2" t="s">
        <v>19</v>
      </c>
      <c r="K291" s="2" t="s">
        <v>353</v>
      </c>
      <c r="L291" s="7" t="str">
        <f>HYPERLINK("http://slimages.macys.com/is/image/MCY/11934953 ")</f>
        <v xml:space="preserve">http://slimages.macys.com/is/image/MCY/11934953 </v>
      </c>
    </row>
    <row r="292" spans="1:12" ht="24.75" x14ac:dyDescent="0.25">
      <c r="A292" s="4" t="s">
        <v>8636</v>
      </c>
      <c r="B292" s="2" t="s">
        <v>1114</v>
      </c>
      <c r="C292" s="3">
        <v>1</v>
      </c>
      <c r="D292" s="5">
        <v>36.5</v>
      </c>
      <c r="E292" s="3">
        <v>100042369</v>
      </c>
      <c r="F292" s="2" t="s">
        <v>199</v>
      </c>
      <c r="G292" s="6" t="s">
        <v>22</v>
      </c>
      <c r="H292" s="2" t="s">
        <v>194</v>
      </c>
      <c r="I292" s="2" t="s">
        <v>195</v>
      </c>
      <c r="J292" s="2" t="s">
        <v>19</v>
      </c>
      <c r="K292" s="2" t="s">
        <v>353</v>
      </c>
      <c r="L292" s="7" t="str">
        <f>HYPERLINK("http://slimages.macys.com/is/image/MCY/11934953 ")</f>
        <v xml:space="preserve">http://slimages.macys.com/is/image/MCY/11934953 </v>
      </c>
    </row>
    <row r="293" spans="1:12" ht="24.75" x14ac:dyDescent="0.25">
      <c r="A293" s="4" t="s">
        <v>8637</v>
      </c>
      <c r="B293" s="2" t="s">
        <v>1114</v>
      </c>
      <c r="C293" s="3">
        <v>3</v>
      </c>
      <c r="D293" s="5">
        <v>36.5</v>
      </c>
      <c r="E293" s="3">
        <v>100042369</v>
      </c>
      <c r="F293" s="2" t="s">
        <v>199</v>
      </c>
      <c r="G293" s="6" t="s">
        <v>58</v>
      </c>
      <c r="H293" s="2" t="s">
        <v>194</v>
      </c>
      <c r="I293" s="2" t="s">
        <v>195</v>
      </c>
      <c r="J293" s="2" t="s">
        <v>19</v>
      </c>
      <c r="K293" s="2" t="s">
        <v>353</v>
      </c>
      <c r="L293" s="7" t="str">
        <f>HYPERLINK("http://slimages.macys.com/is/image/MCY/11934953 ")</f>
        <v xml:space="preserve">http://slimages.macys.com/is/image/MCY/11934953 </v>
      </c>
    </row>
    <row r="294" spans="1:12" ht="24.75" x14ac:dyDescent="0.25">
      <c r="A294" s="4" t="s">
        <v>8638</v>
      </c>
      <c r="B294" s="2" t="s">
        <v>1114</v>
      </c>
      <c r="C294" s="3">
        <v>1</v>
      </c>
      <c r="D294" s="5">
        <v>37.130000000000003</v>
      </c>
      <c r="E294" s="3">
        <v>100042369</v>
      </c>
      <c r="F294" s="2" t="s">
        <v>64</v>
      </c>
      <c r="G294" s="6" t="s">
        <v>106</v>
      </c>
      <c r="H294" s="2" t="s">
        <v>194</v>
      </c>
      <c r="I294" s="2" t="s">
        <v>195</v>
      </c>
      <c r="J294" s="2"/>
      <c r="K294" s="2"/>
      <c r="L294" s="7" t="str">
        <f>HYPERLINK("http://slimages.macys.com/is/image/MCY/11934939 ")</f>
        <v xml:space="preserve">http://slimages.macys.com/is/image/MCY/11934939 </v>
      </c>
    </row>
    <row r="295" spans="1:12" ht="24.75" x14ac:dyDescent="0.25">
      <c r="A295" s="4" t="s">
        <v>2580</v>
      </c>
      <c r="B295" s="2" t="s">
        <v>1114</v>
      </c>
      <c r="C295" s="3">
        <v>4</v>
      </c>
      <c r="D295" s="5">
        <v>37.130000000000003</v>
      </c>
      <c r="E295" s="3">
        <v>100042369</v>
      </c>
      <c r="F295" s="2" t="s">
        <v>94</v>
      </c>
      <c r="G295" s="6" t="s">
        <v>16</v>
      </c>
      <c r="H295" s="2" t="s">
        <v>194</v>
      </c>
      <c r="I295" s="2" t="s">
        <v>195</v>
      </c>
      <c r="J295" s="2" t="s">
        <v>19</v>
      </c>
      <c r="K295" s="2" t="s">
        <v>353</v>
      </c>
      <c r="L295" s="7" t="str">
        <f>HYPERLINK("http://slimages.macys.com/is/image/MCY/11934953 ")</f>
        <v xml:space="preserve">http://slimages.macys.com/is/image/MCY/11934953 </v>
      </c>
    </row>
    <row r="296" spans="1:12" ht="24.75" x14ac:dyDescent="0.25">
      <c r="A296" s="4" t="s">
        <v>8639</v>
      </c>
      <c r="B296" s="2" t="s">
        <v>1114</v>
      </c>
      <c r="C296" s="3">
        <v>1</v>
      </c>
      <c r="D296" s="5">
        <v>36.5</v>
      </c>
      <c r="E296" s="3">
        <v>100042369</v>
      </c>
      <c r="F296" s="2" t="s">
        <v>199</v>
      </c>
      <c r="G296" s="6" t="s">
        <v>27</v>
      </c>
      <c r="H296" s="2" t="s">
        <v>194</v>
      </c>
      <c r="I296" s="2" t="s">
        <v>195</v>
      </c>
      <c r="J296" s="2" t="s">
        <v>19</v>
      </c>
      <c r="K296" s="2" t="s">
        <v>353</v>
      </c>
      <c r="L296" s="7" t="str">
        <f>HYPERLINK("http://slimages.macys.com/is/image/MCY/11934953 ")</f>
        <v xml:space="preserve">http://slimages.macys.com/is/image/MCY/11934953 </v>
      </c>
    </row>
    <row r="297" spans="1:12" ht="24.75" x14ac:dyDescent="0.25">
      <c r="A297" s="4" t="s">
        <v>5767</v>
      </c>
      <c r="B297" s="2" t="s">
        <v>1114</v>
      </c>
      <c r="C297" s="3">
        <v>2</v>
      </c>
      <c r="D297" s="5">
        <v>37.130000000000003</v>
      </c>
      <c r="E297" s="3">
        <v>100042369</v>
      </c>
      <c r="F297" s="2" t="s">
        <v>64</v>
      </c>
      <c r="G297" s="6" t="s">
        <v>16</v>
      </c>
      <c r="H297" s="2" t="s">
        <v>194</v>
      </c>
      <c r="I297" s="2" t="s">
        <v>195</v>
      </c>
      <c r="J297" s="2"/>
      <c r="K297" s="2"/>
      <c r="L297" s="7" t="str">
        <f>HYPERLINK("http://slimages.macys.com/is/image/MCY/11934939 ")</f>
        <v xml:space="preserve">http://slimages.macys.com/is/image/MCY/11934939 </v>
      </c>
    </row>
    <row r="298" spans="1:12" ht="24.75" x14ac:dyDescent="0.25">
      <c r="A298" s="4" t="s">
        <v>3748</v>
      </c>
      <c r="B298" s="2" t="s">
        <v>1114</v>
      </c>
      <c r="C298" s="3">
        <v>1</v>
      </c>
      <c r="D298" s="5">
        <v>37.130000000000003</v>
      </c>
      <c r="E298" s="3">
        <v>100042369</v>
      </c>
      <c r="F298" s="2" t="s">
        <v>64</v>
      </c>
      <c r="G298" s="6" t="s">
        <v>112</v>
      </c>
      <c r="H298" s="2" t="s">
        <v>194</v>
      </c>
      <c r="I298" s="2" t="s">
        <v>195</v>
      </c>
      <c r="J298" s="2"/>
      <c r="K298" s="2"/>
      <c r="L298" s="7" t="str">
        <f>HYPERLINK("http://slimages.macys.com/is/image/MCY/11934939 ")</f>
        <v xml:space="preserve">http://slimages.macys.com/is/image/MCY/11934939 </v>
      </c>
    </row>
    <row r="299" spans="1:12" ht="24.75" x14ac:dyDescent="0.25">
      <c r="A299" s="4" t="s">
        <v>4840</v>
      </c>
      <c r="B299" s="2" t="s">
        <v>1114</v>
      </c>
      <c r="C299" s="3">
        <v>1</v>
      </c>
      <c r="D299" s="5">
        <v>37.130000000000003</v>
      </c>
      <c r="E299" s="3">
        <v>100042369</v>
      </c>
      <c r="F299" s="2" t="s">
        <v>94</v>
      </c>
      <c r="G299" s="6" t="s">
        <v>106</v>
      </c>
      <c r="H299" s="2" t="s">
        <v>194</v>
      </c>
      <c r="I299" s="2" t="s">
        <v>195</v>
      </c>
      <c r="J299" s="2" t="s">
        <v>19</v>
      </c>
      <c r="K299" s="2" t="s">
        <v>353</v>
      </c>
      <c r="L299" s="7" t="str">
        <f>HYPERLINK("http://slimages.macys.com/is/image/MCY/11934953 ")</f>
        <v xml:space="preserve">http://slimages.macys.com/is/image/MCY/11934953 </v>
      </c>
    </row>
    <row r="300" spans="1:12" ht="24.75" x14ac:dyDescent="0.25">
      <c r="A300" s="4" t="s">
        <v>7383</v>
      </c>
      <c r="B300" s="2" t="s">
        <v>1114</v>
      </c>
      <c r="C300" s="3">
        <v>2</v>
      </c>
      <c r="D300" s="5">
        <v>37.130000000000003</v>
      </c>
      <c r="E300" s="3">
        <v>100042369</v>
      </c>
      <c r="F300" s="2" t="s">
        <v>94</v>
      </c>
      <c r="G300" s="6" t="s">
        <v>141</v>
      </c>
      <c r="H300" s="2" t="s">
        <v>194</v>
      </c>
      <c r="I300" s="2" t="s">
        <v>195</v>
      </c>
      <c r="J300" s="2" t="s">
        <v>19</v>
      </c>
      <c r="K300" s="2" t="s">
        <v>353</v>
      </c>
      <c r="L300" s="7" t="str">
        <f>HYPERLINK("http://slimages.macys.com/is/image/MCY/11934953 ")</f>
        <v xml:space="preserve">http://slimages.macys.com/is/image/MCY/11934953 </v>
      </c>
    </row>
    <row r="301" spans="1:12" ht="24.75" x14ac:dyDescent="0.25">
      <c r="A301" s="4" t="s">
        <v>2579</v>
      </c>
      <c r="B301" s="2" t="s">
        <v>1114</v>
      </c>
      <c r="C301" s="3">
        <v>2</v>
      </c>
      <c r="D301" s="5">
        <v>37.130000000000003</v>
      </c>
      <c r="E301" s="3">
        <v>100042369</v>
      </c>
      <c r="F301" s="2" t="s">
        <v>64</v>
      </c>
      <c r="G301" s="6" t="s">
        <v>27</v>
      </c>
      <c r="H301" s="2" t="s">
        <v>194</v>
      </c>
      <c r="I301" s="2" t="s">
        <v>195</v>
      </c>
      <c r="J301" s="2"/>
      <c r="K301" s="2"/>
      <c r="L301" s="7" t="str">
        <f>HYPERLINK("http://slimages.macys.com/is/image/MCY/11934939 ")</f>
        <v xml:space="preserve">http://slimages.macys.com/is/image/MCY/11934939 </v>
      </c>
    </row>
    <row r="302" spans="1:12" ht="24.75" x14ac:dyDescent="0.25">
      <c r="A302" s="4" t="s">
        <v>1119</v>
      </c>
      <c r="B302" s="2" t="s">
        <v>1118</v>
      </c>
      <c r="C302" s="3">
        <v>1</v>
      </c>
      <c r="D302" s="5">
        <v>37.130000000000003</v>
      </c>
      <c r="E302" s="3">
        <v>100070736</v>
      </c>
      <c r="F302" s="2" t="s">
        <v>74</v>
      </c>
      <c r="G302" s="6" t="s">
        <v>245</v>
      </c>
      <c r="H302" s="2" t="s">
        <v>194</v>
      </c>
      <c r="I302" s="2" t="s">
        <v>195</v>
      </c>
      <c r="J302" s="2" t="s">
        <v>19</v>
      </c>
      <c r="K302" s="2" t="s">
        <v>353</v>
      </c>
      <c r="L302" s="7" t="str">
        <f>HYPERLINK("http://slimages.macys.com/is/image/MCY/13120823 ")</f>
        <v xml:space="preserve">http://slimages.macys.com/is/image/MCY/13120823 </v>
      </c>
    </row>
    <row r="303" spans="1:12" ht="24.75" x14ac:dyDescent="0.25">
      <c r="A303" s="4" t="s">
        <v>1122</v>
      </c>
      <c r="B303" s="2" t="s">
        <v>1118</v>
      </c>
      <c r="C303" s="3">
        <v>2</v>
      </c>
      <c r="D303" s="5">
        <v>37.130000000000003</v>
      </c>
      <c r="E303" s="3">
        <v>100070736</v>
      </c>
      <c r="F303" s="2" t="s">
        <v>376</v>
      </c>
      <c r="G303" s="6" t="s">
        <v>181</v>
      </c>
      <c r="H303" s="2" t="s">
        <v>194</v>
      </c>
      <c r="I303" s="2" t="s">
        <v>195</v>
      </c>
      <c r="J303" s="2" t="s">
        <v>19</v>
      </c>
      <c r="K303" s="2" t="s">
        <v>353</v>
      </c>
      <c r="L303" s="7" t="str">
        <f>HYPERLINK("http://slimages.macys.com/is/image/MCY/13120823 ")</f>
        <v xml:space="preserve">http://slimages.macys.com/is/image/MCY/13120823 </v>
      </c>
    </row>
    <row r="304" spans="1:12" ht="24.75" x14ac:dyDescent="0.25">
      <c r="A304" s="4" t="s">
        <v>1124</v>
      </c>
      <c r="B304" s="2" t="s">
        <v>1118</v>
      </c>
      <c r="C304" s="3">
        <v>2</v>
      </c>
      <c r="D304" s="5">
        <v>37.130000000000003</v>
      </c>
      <c r="E304" s="3">
        <v>100070736</v>
      </c>
      <c r="F304" s="2" t="s">
        <v>74</v>
      </c>
      <c r="G304" s="6" t="s">
        <v>234</v>
      </c>
      <c r="H304" s="2" t="s">
        <v>194</v>
      </c>
      <c r="I304" s="2" t="s">
        <v>195</v>
      </c>
      <c r="J304" s="2" t="s">
        <v>19</v>
      </c>
      <c r="K304" s="2" t="s">
        <v>353</v>
      </c>
      <c r="L304" s="7" t="str">
        <f>HYPERLINK("http://slimages.macys.com/is/image/MCY/13120823 ")</f>
        <v xml:space="preserve">http://slimages.macys.com/is/image/MCY/13120823 </v>
      </c>
    </row>
    <row r="305" spans="1:12" ht="24.75" x14ac:dyDescent="0.25">
      <c r="A305" s="4" t="s">
        <v>4841</v>
      </c>
      <c r="B305" s="2" t="s">
        <v>1118</v>
      </c>
      <c r="C305" s="3">
        <v>1</v>
      </c>
      <c r="D305" s="5">
        <v>37.130000000000003</v>
      </c>
      <c r="E305" s="3">
        <v>100070736</v>
      </c>
      <c r="F305" s="2" t="s">
        <v>376</v>
      </c>
      <c r="G305" s="6" t="s">
        <v>200</v>
      </c>
      <c r="H305" s="2" t="s">
        <v>194</v>
      </c>
      <c r="I305" s="2" t="s">
        <v>195</v>
      </c>
      <c r="J305" s="2" t="s">
        <v>19</v>
      </c>
      <c r="K305" s="2" t="s">
        <v>353</v>
      </c>
      <c r="L305" s="7" t="str">
        <f>HYPERLINK("http://slimages.macys.com/is/image/MCY/13120823 ")</f>
        <v xml:space="preserve">http://slimages.macys.com/is/image/MCY/13120823 </v>
      </c>
    </row>
    <row r="306" spans="1:12" ht="24.75" x14ac:dyDescent="0.25">
      <c r="A306" s="4" t="s">
        <v>1117</v>
      </c>
      <c r="B306" s="2" t="s">
        <v>1118</v>
      </c>
      <c r="C306" s="3">
        <v>2</v>
      </c>
      <c r="D306" s="5">
        <v>37.130000000000003</v>
      </c>
      <c r="E306" s="3">
        <v>100070736</v>
      </c>
      <c r="F306" s="2" t="s">
        <v>376</v>
      </c>
      <c r="G306" s="6" t="s">
        <v>156</v>
      </c>
      <c r="H306" s="2" t="s">
        <v>194</v>
      </c>
      <c r="I306" s="2" t="s">
        <v>195</v>
      </c>
      <c r="J306" s="2" t="s">
        <v>19</v>
      </c>
      <c r="K306" s="2" t="s">
        <v>353</v>
      </c>
      <c r="L306" s="7" t="str">
        <f>HYPERLINK("http://slimages.macys.com/is/image/MCY/13120823 ")</f>
        <v xml:space="preserve">http://slimages.macys.com/is/image/MCY/13120823 </v>
      </c>
    </row>
    <row r="307" spans="1:12" ht="24.75" x14ac:dyDescent="0.25">
      <c r="A307" s="4" t="s">
        <v>8640</v>
      </c>
      <c r="B307" s="2" t="s">
        <v>744</v>
      </c>
      <c r="C307" s="3">
        <v>1</v>
      </c>
      <c r="D307" s="5">
        <v>34.99</v>
      </c>
      <c r="E307" s="3" t="s">
        <v>8641</v>
      </c>
      <c r="F307" s="2" t="s">
        <v>111</v>
      </c>
      <c r="G307" s="6" t="s">
        <v>181</v>
      </c>
      <c r="H307" s="2" t="s">
        <v>284</v>
      </c>
      <c r="I307" s="2" t="s">
        <v>285</v>
      </c>
      <c r="J307" s="2"/>
      <c r="K307" s="2"/>
      <c r="L307" s="7" t="str">
        <f>HYPERLINK("http://slimages.macys.com/is/image/MCY/8353478 ")</f>
        <v xml:space="preserve">http://slimages.macys.com/is/image/MCY/8353478 </v>
      </c>
    </row>
    <row r="308" spans="1:12" ht="24.75" x14ac:dyDescent="0.25">
      <c r="A308" s="4" t="s">
        <v>1123</v>
      </c>
      <c r="B308" s="2" t="s">
        <v>1118</v>
      </c>
      <c r="C308" s="3">
        <v>1</v>
      </c>
      <c r="D308" s="5">
        <v>37.130000000000003</v>
      </c>
      <c r="E308" s="3">
        <v>100070736</v>
      </c>
      <c r="F308" s="2" t="s">
        <v>74</v>
      </c>
      <c r="G308" s="6" t="s">
        <v>156</v>
      </c>
      <c r="H308" s="2" t="s">
        <v>194</v>
      </c>
      <c r="I308" s="2" t="s">
        <v>195</v>
      </c>
      <c r="J308" s="2" t="s">
        <v>19</v>
      </c>
      <c r="K308" s="2" t="s">
        <v>353</v>
      </c>
      <c r="L308" s="7" t="str">
        <f>HYPERLINK("http://slimages.macys.com/is/image/MCY/13120823 ")</f>
        <v xml:space="preserve">http://slimages.macys.com/is/image/MCY/13120823 </v>
      </c>
    </row>
    <row r="309" spans="1:12" ht="24.75" x14ac:dyDescent="0.25">
      <c r="A309" s="4" t="s">
        <v>1125</v>
      </c>
      <c r="B309" s="2" t="s">
        <v>1118</v>
      </c>
      <c r="C309" s="3">
        <v>5</v>
      </c>
      <c r="D309" s="5">
        <v>37.130000000000003</v>
      </c>
      <c r="E309" s="3">
        <v>100070736</v>
      </c>
      <c r="F309" s="2" t="s">
        <v>74</v>
      </c>
      <c r="G309" s="6" t="s">
        <v>181</v>
      </c>
      <c r="H309" s="2" t="s">
        <v>194</v>
      </c>
      <c r="I309" s="2" t="s">
        <v>195</v>
      </c>
      <c r="J309" s="2" t="s">
        <v>19</v>
      </c>
      <c r="K309" s="2" t="s">
        <v>353</v>
      </c>
      <c r="L309" s="7" t="str">
        <f>HYPERLINK("http://slimages.macys.com/is/image/MCY/13120823 ")</f>
        <v xml:space="preserve">http://slimages.macys.com/is/image/MCY/13120823 </v>
      </c>
    </row>
    <row r="310" spans="1:12" ht="24.75" x14ac:dyDescent="0.25">
      <c r="A310" s="4" t="s">
        <v>1126</v>
      </c>
      <c r="B310" s="2" t="s">
        <v>1118</v>
      </c>
      <c r="C310" s="3">
        <v>1</v>
      </c>
      <c r="D310" s="5">
        <v>37.130000000000003</v>
      </c>
      <c r="E310" s="3">
        <v>100070736</v>
      </c>
      <c r="F310" s="2" t="s">
        <v>74</v>
      </c>
      <c r="G310" s="6" t="s">
        <v>154</v>
      </c>
      <c r="H310" s="2" t="s">
        <v>194</v>
      </c>
      <c r="I310" s="2" t="s">
        <v>195</v>
      </c>
      <c r="J310" s="2" t="s">
        <v>19</v>
      </c>
      <c r="K310" s="2" t="s">
        <v>353</v>
      </c>
      <c r="L310" s="7" t="str">
        <f>HYPERLINK("http://slimages.macys.com/is/image/MCY/13120823 ")</f>
        <v xml:space="preserve">http://slimages.macys.com/is/image/MCY/13120823 </v>
      </c>
    </row>
    <row r="311" spans="1:12" ht="24.75" x14ac:dyDescent="0.25">
      <c r="A311" s="4" t="s">
        <v>1120</v>
      </c>
      <c r="B311" s="2" t="s">
        <v>1118</v>
      </c>
      <c r="C311" s="3">
        <v>3</v>
      </c>
      <c r="D311" s="5">
        <v>37.130000000000003</v>
      </c>
      <c r="E311" s="3">
        <v>100070736</v>
      </c>
      <c r="F311" s="2" t="s">
        <v>376</v>
      </c>
      <c r="G311" s="6" t="s">
        <v>154</v>
      </c>
      <c r="H311" s="2" t="s">
        <v>194</v>
      </c>
      <c r="I311" s="2" t="s">
        <v>195</v>
      </c>
      <c r="J311" s="2" t="s">
        <v>19</v>
      </c>
      <c r="K311" s="2" t="s">
        <v>353</v>
      </c>
      <c r="L311" s="7" t="str">
        <f>HYPERLINK("http://slimages.macys.com/is/image/MCY/13120823 ")</f>
        <v xml:space="preserve">http://slimages.macys.com/is/image/MCY/13120823 </v>
      </c>
    </row>
    <row r="312" spans="1:12" ht="24.75" x14ac:dyDescent="0.25">
      <c r="A312" s="4" t="s">
        <v>8642</v>
      </c>
      <c r="B312" s="2" t="s">
        <v>3793</v>
      </c>
      <c r="C312" s="3">
        <v>1</v>
      </c>
      <c r="D312" s="5">
        <v>65</v>
      </c>
      <c r="E312" s="3" t="s">
        <v>8643</v>
      </c>
      <c r="F312" s="2" t="s">
        <v>74</v>
      </c>
      <c r="G312" s="6" t="s">
        <v>791</v>
      </c>
      <c r="H312" s="2" t="s">
        <v>447</v>
      </c>
      <c r="I312" s="2" t="s">
        <v>792</v>
      </c>
      <c r="J312" s="2" t="s">
        <v>19</v>
      </c>
      <c r="K312" s="2" t="s">
        <v>160</v>
      </c>
      <c r="L312" s="7" t="str">
        <f>HYPERLINK("http://slimages.macys.com/is/image/MCY/14532449 ")</f>
        <v xml:space="preserve">http://slimages.macys.com/is/image/MCY/14532449 </v>
      </c>
    </row>
    <row r="313" spans="1:12" ht="24.75" x14ac:dyDescent="0.25">
      <c r="A313" s="4" t="s">
        <v>1121</v>
      </c>
      <c r="B313" s="2" t="s">
        <v>1118</v>
      </c>
      <c r="C313" s="3">
        <v>1</v>
      </c>
      <c r="D313" s="5">
        <v>37.130000000000003</v>
      </c>
      <c r="E313" s="3">
        <v>100070736</v>
      </c>
      <c r="F313" s="2" t="s">
        <v>376</v>
      </c>
      <c r="G313" s="6" t="s">
        <v>234</v>
      </c>
      <c r="H313" s="2" t="s">
        <v>194</v>
      </c>
      <c r="I313" s="2" t="s">
        <v>195</v>
      </c>
      <c r="J313" s="2" t="s">
        <v>19</v>
      </c>
      <c r="K313" s="2" t="s">
        <v>353</v>
      </c>
      <c r="L313" s="7" t="str">
        <f>HYPERLINK("http://slimages.macys.com/is/image/MCY/13120823 ")</f>
        <v xml:space="preserve">http://slimages.macys.com/is/image/MCY/13120823 </v>
      </c>
    </row>
    <row r="314" spans="1:12" ht="24.75" x14ac:dyDescent="0.25">
      <c r="A314" s="4" t="s">
        <v>3755</v>
      </c>
      <c r="B314" s="2" t="s">
        <v>1128</v>
      </c>
      <c r="C314" s="3">
        <v>1</v>
      </c>
      <c r="D314" s="5">
        <v>32.5</v>
      </c>
      <c r="E314" s="3" t="s">
        <v>1129</v>
      </c>
      <c r="F314" s="2" t="s">
        <v>252</v>
      </c>
      <c r="G314" s="6" t="s">
        <v>200</v>
      </c>
      <c r="H314" s="2" t="s">
        <v>194</v>
      </c>
      <c r="I314" s="2" t="s">
        <v>195</v>
      </c>
      <c r="J314" s="2" t="s">
        <v>19</v>
      </c>
      <c r="K314" s="2" t="s">
        <v>1108</v>
      </c>
      <c r="L314" s="7" t="str">
        <f>HYPERLINK("http://slimages.macys.com/is/image/MCY/12850781 ")</f>
        <v xml:space="preserve">http://slimages.macys.com/is/image/MCY/12850781 </v>
      </c>
    </row>
    <row r="315" spans="1:12" ht="24.75" x14ac:dyDescent="0.25">
      <c r="A315" s="4" t="s">
        <v>2582</v>
      </c>
      <c r="B315" s="2" t="s">
        <v>1128</v>
      </c>
      <c r="C315" s="3">
        <v>1</v>
      </c>
      <c r="D315" s="5">
        <v>32.5</v>
      </c>
      <c r="E315" s="3" t="s">
        <v>1129</v>
      </c>
      <c r="F315" s="2" t="s">
        <v>252</v>
      </c>
      <c r="G315" s="6" t="s">
        <v>156</v>
      </c>
      <c r="H315" s="2" t="s">
        <v>194</v>
      </c>
      <c r="I315" s="2" t="s">
        <v>195</v>
      </c>
      <c r="J315" s="2" t="s">
        <v>19</v>
      </c>
      <c r="K315" s="2" t="s">
        <v>1108</v>
      </c>
      <c r="L315" s="7" t="str">
        <f>HYPERLINK("http://slimages.macys.com/is/image/MCY/12850781 ")</f>
        <v xml:space="preserve">http://slimages.macys.com/is/image/MCY/12850781 </v>
      </c>
    </row>
    <row r="316" spans="1:12" ht="24.75" x14ac:dyDescent="0.25">
      <c r="A316" s="4" t="s">
        <v>1135</v>
      </c>
      <c r="B316" s="2" t="s">
        <v>890</v>
      </c>
      <c r="C316" s="3">
        <v>2</v>
      </c>
      <c r="D316" s="5">
        <v>34.5</v>
      </c>
      <c r="E316" s="3" t="s">
        <v>1136</v>
      </c>
      <c r="F316" s="2" t="s">
        <v>252</v>
      </c>
      <c r="G316" s="6" t="s">
        <v>22</v>
      </c>
      <c r="H316" s="2" t="s">
        <v>228</v>
      </c>
      <c r="I316" s="2" t="s">
        <v>863</v>
      </c>
      <c r="J316" s="2" t="s">
        <v>19</v>
      </c>
      <c r="K316" s="2" t="s">
        <v>253</v>
      </c>
      <c r="L316" s="7" t="str">
        <f>HYPERLINK("http://slimages.macys.com/is/image/MCY/11804239 ")</f>
        <v xml:space="preserve">http://slimages.macys.com/is/image/MCY/11804239 </v>
      </c>
    </row>
    <row r="317" spans="1:12" ht="24.75" x14ac:dyDescent="0.25">
      <c r="A317" s="4" t="s">
        <v>2592</v>
      </c>
      <c r="B317" s="2" t="s">
        <v>1147</v>
      </c>
      <c r="C317" s="3">
        <v>1</v>
      </c>
      <c r="D317" s="5">
        <v>34.880000000000003</v>
      </c>
      <c r="E317" s="3">
        <v>100055540</v>
      </c>
      <c r="F317" s="2" t="s">
        <v>70</v>
      </c>
      <c r="G317" s="6" t="s">
        <v>112</v>
      </c>
      <c r="H317" s="2" t="s">
        <v>194</v>
      </c>
      <c r="I317" s="2" t="s">
        <v>195</v>
      </c>
      <c r="J317" s="2" t="s">
        <v>19</v>
      </c>
      <c r="K317" s="2" t="s">
        <v>353</v>
      </c>
      <c r="L317" s="7" t="str">
        <f>HYPERLINK("http://slimages.macys.com/is/image/MCY/12035336 ")</f>
        <v xml:space="preserve">http://slimages.macys.com/is/image/MCY/12035336 </v>
      </c>
    </row>
    <row r="318" spans="1:12" ht="24.75" x14ac:dyDescent="0.25">
      <c r="A318" s="4" t="s">
        <v>1146</v>
      </c>
      <c r="B318" s="2" t="s">
        <v>1147</v>
      </c>
      <c r="C318" s="3">
        <v>1</v>
      </c>
      <c r="D318" s="5">
        <v>34.880000000000003</v>
      </c>
      <c r="E318" s="3">
        <v>100055540</v>
      </c>
      <c r="F318" s="2" t="s">
        <v>70</v>
      </c>
      <c r="G318" s="6" t="s">
        <v>16</v>
      </c>
      <c r="H318" s="2" t="s">
        <v>194</v>
      </c>
      <c r="I318" s="2" t="s">
        <v>195</v>
      </c>
      <c r="J318" s="2" t="s">
        <v>19</v>
      </c>
      <c r="K318" s="2" t="s">
        <v>353</v>
      </c>
      <c r="L318" s="7" t="str">
        <f>HYPERLINK("http://slimages.macys.com/is/image/MCY/12035336 ")</f>
        <v xml:space="preserve">http://slimages.macys.com/is/image/MCY/12035336 </v>
      </c>
    </row>
    <row r="319" spans="1:12" ht="24.75" x14ac:dyDescent="0.25">
      <c r="A319" s="4" t="s">
        <v>1158</v>
      </c>
      <c r="B319" s="2" t="s">
        <v>1155</v>
      </c>
      <c r="C319" s="3">
        <v>1</v>
      </c>
      <c r="D319" s="5">
        <v>37.130000000000003</v>
      </c>
      <c r="E319" s="3" t="s">
        <v>1156</v>
      </c>
      <c r="F319" s="2" t="s">
        <v>417</v>
      </c>
      <c r="G319" s="6" t="s">
        <v>154</v>
      </c>
      <c r="H319" s="2" t="s">
        <v>194</v>
      </c>
      <c r="I319" s="2" t="s">
        <v>195</v>
      </c>
      <c r="J319" s="2" t="s">
        <v>19</v>
      </c>
      <c r="K319" s="2" t="s">
        <v>648</v>
      </c>
      <c r="L319" s="7" t="str">
        <f>HYPERLINK("http://slimages.macys.com/is/image/MCY/13120794 ")</f>
        <v xml:space="preserve">http://slimages.macys.com/is/image/MCY/13120794 </v>
      </c>
    </row>
    <row r="320" spans="1:12" ht="24.75" x14ac:dyDescent="0.25">
      <c r="A320" s="4" t="s">
        <v>2593</v>
      </c>
      <c r="B320" s="2" t="s">
        <v>1155</v>
      </c>
      <c r="C320" s="3">
        <v>1</v>
      </c>
      <c r="D320" s="5">
        <v>37.130000000000003</v>
      </c>
      <c r="E320" s="3" t="s">
        <v>1156</v>
      </c>
      <c r="F320" s="2" t="s">
        <v>417</v>
      </c>
      <c r="G320" s="6" t="s">
        <v>156</v>
      </c>
      <c r="H320" s="2" t="s">
        <v>194</v>
      </c>
      <c r="I320" s="2" t="s">
        <v>195</v>
      </c>
      <c r="J320" s="2" t="s">
        <v>19</v>
      </c>
      <c r="K320" s="2" t="s">
        <v>648</v>
      </c>
      <c r="L320" s="7" t="str">
        <f>HYPERLINK("http://slimages.macys.com/is/image/MCY/13120794 ")</f>
        <v xml:space="preserve">http://slimages.macys.com/is/image/MCY/13120794 </v>
      </c>
    </row>
    <row r="321" spans="1:12" ht="24.75" x14ac:dyDescent="0.25">
      <c r="A321" s="4" t="s">
        <v>8644</v>
      </c>
      <c r="B321" s="2" t="s">
        <v>1155</v>
      </c>
      <c r="C321" s="3">
        <v>1</v>
      </c>
      <c r="D321" s="5">
        <v>37.130000000000003</v>
      </c>
      <c r="E321" s="3" t="s">
        <v>1156</v>
      </c>
      <c r="F321" s="2" t="s">
        <v>417</v>
      </c>
      <c r="G321" s="6" t="s">
        <v>200</v>
      </c>
      <c r="H321" s="2" t="s">
        <v>194</v>
      </c>
      <c r="I321" s="2" t="s">
        <v>195</v>
      </c>
      <c r="J321" s="2" t="s">
        <v>19</v>
      </c>
      <c r="K321" s="2" t="s">
        <v>648</v>
      </c>
      <c r="L321" s="7" t="str">
        <f>HYPERLINK("http://slimages.macys.com/is/image/MCY/13120794 ")</f>
        <v xml:space="preserve">http://slimages.macys.com/is/image/MCY/13120794 </v>
      </c>
    </row>
    <row r="322" spans="1:12" ht="24.75" x14ac:dyDescent="0.25">
      <c r="A322" s="4" t="s">
        <v>8645</v>
      </c>
      <c r="B322" s="2" t="s">
        <v>1163</v>
      </c>
      <c r="C322" s="3">
        <v>1</v>
      </c>
      <c r="D322" s="5">
        <v>34.5</v>
      </c>
      <c r="E322" s="3" t="s">
        <v>8646</v>
      </c>
      <c r="F322" s="2" t="s">
        <v>417</v>
      </c>
      <c r="G322" s="6" t="s">
        <v>1335</v>
      </c>
      <c r="H322" s="2" t="s">
        <v>228</v>
      </c>
      <c r="I322" s="2" t="s">
        <v>863</v>
      </c>
      <c r="J322" s="2" t="s">
        <v>19</v>
      </c>
      <c r="K322" s="2" t="s">
        <v>230</v>
      </c>
      <c r="L322" s="7" t="str">
        <f>HYPERLINK("http://slimages.macys.com/is/image/MCY/3623515 ")</f>
        <v xml:space="preserve">http://slimages.macys.com/is/image/MCY/3623515 </v>
      </c>
    </row>
    <row r="323" spans="1:12" ht="24.75" x14ac:dyDescent="0.25">
      <c r="A323" s="4" t="s">
        <v>8647</v>
      </c>
      <c r="B323" s="2" t="s">
        <v>1163</v>
      </c>
      <c r="C323" s="3">
        <v>1</v>
      </c>
      <c r="D323" s="5">
        <v>34.5</v>
      </c>
      <c r="E323" s="3" t="s">
        <v>1164</v>
      </c>
      <c r="F323" s="2" t="s">
        <v>74</v>
      </c>
      <c r="G323" s="6" t="s">
        <v>1335</v>
      </c>
      <c r="H323" s="2" t="s">
        <v>228</v>
      </c>
      <c r="I323" s="2" t="s">
        <v>863</v>
      </c>
      <c r="J323" s="2" t="s">
        <v>19</v>
      </c>
      <c r="K323" s="2" t="s">
        <v>230</v>
      </c>
      <c r="L323" s="7" t="str">
        <f>HYPERLINK("http://slimages.macys.com/is/image/MCY/3623515 ")</f>
        <v xml:space="preserve">http://slimages.macys.com/is/image/MCY/3623515 </v>
      </c>
    </row>
    <row r="324" spans="1:12" ht="24.75" x14ac:dyDescent="0.25">
      <c r="A324" s="4" t="s">
        <v>5783</v>
      </c>
      <c r="B324" s="2" t="s">
        <v>1199</v>
      </c>
      <c r="C324" s="3">
        <v>3</v>
      </c>
      <c r="D324" s="5">
        <v>37.130000000000003</v>
      </c>
      <c r="E324" s="3">
        <v>100009324</v>
      </c>
      <c r="F324" s="2" t="s">
        <v>70</v>
      </c>
      <c r="G324" s="6" t="s">
        <v>16</v>
      </c>
      <c r="H324" s="2" t="s">
        <v>194</v>
      </c>
      <c r="I324" s="2" t="s">
        <v>195</v>
      </c>
      <c r="J324" s="2" t="s">
        <v>19</v>
      </c>
      <c r="K324" s="2" t="s">
        <v>353</v>
      </c>
      <c r="L324" s="7" t="str">
        <f>HYPERLINK("http://slimages.macys.com/is/image/MCY/9404224 ")</f>
        <v xml:space="preserve">http://slimages.macys.com/is/image/MCY/9404224 </v>
      </c>
    </row>
    <row r="325" spans="1:12" ht="24.75" x14ac:dyDescent="0.25">
      <c r="A325" s="4" t="s">
        <v>6571</v>
      </c>
      <c r="B325" s="2" t="s">
        <v>1199</v>
      </c>
      <c r="C325" s="3">
        <v>1</v>
      </c>
      <c r="D325" s="5">
        <v>37.130000000000003</v>
      </c>
      <c r="E325" s="3">
        <v>100009324</v>
      </c>
      <c r="F325" s="2" t="s">
        <v>33</v>
      </c>
      <c r="G325" s="6" t="s">
        <v>22</v>
      </c>
      <c r="H325" s="2" t="s">
        <v>194</v>
      </c>
      <c r="I325" s="2" t="s">
        <v>195</v>
      </c>
      <c r="J325" s="2" t="s">
        <v>19</v>
      </c>
      <c r="K325" s="2" t="s">
        <v>353</v>
      </c>
      <c r="L325" s="7" t="str">
        <f>HYPERLINK("http://slimages.macys.com/is/image/MCY/12316457 ")</f>
        <v xml:space="preserve">http://slimages.macys.com/is/image/MCY/12316457 </v>
      </c>
    </row>
    <row r="326" spans="1:12" ht="24.75" x14ac:dyDescent="0.25">
      <c r="A326" s="4" t="s">
        <v>8648</v>
      </c>
      <c r="B326" s="2" t="s">
        <v>1199</v>
      </c>
      <c r="C326" s="3">
        <v>1</v>
      </c>
      <c r="D326" s="5">
        <v>37.130000000000003</v>
      </c>
      <c r="E326" s="3">
        <v>100009324</v>
      </c>
      <c r="F326" s="2" t="s">
        <v>70</v>
      </c>
      <c r="G326" s="6" t="s">
        <v>141</v>
      </c>
      <c r="H326" s="2" t="s">
        <v>194</v>
      </c>
      <c r="I326" s="2" t="s">
        <v>195</v>
      </c>
      <c r="J326" s="2" t="s">
        <v>19</v>
      </c>
      <c r="K326" s="2" t="s">
        <v>353</v>
      </c>
      <c r="L326" s="7" t="str">
        <f>HYPERLINK("http://slimages.macys.com/is/image/MCY/9404224 ")</f>
        <v xml:space="preserve">http://slimages.macys.com/is/image/MCY/9404224 </v>
      </c>
    </row>
    <row r="327" spans="1:12" ht="24.75" x14ac:dyDescent="0.25">
      <c r="A327" s="4" t="s">
        <v>4850</v>
      </c>
      <c r="B327" s="2" t="s">
        <v>1199</v>
      </c>
      <c r="C327" s="3">
        <v>1</v>
      </c>
      <c r="D327" s="5">
        <v>37.130000000000003</v>
      </c>
      <c r="E327" s="3">
        <v>100009324</v>
      </c>
      <c r="F327" s="2" t="s">
        <v>70</v>
      </c>
      <c r="G327" s="6" t="s">
        <v>22</v>
      </c>
      <c r="H327" s="2" t="s">
        <v>194</v>
      </c>
      <c r="I327" s="2" t="s">
        <v>195</v>
      </c>
      <c r="J327" s="2" t="s">
        <v>19</v>
      </c>
      <c r="K327" s="2" t="s">
        <v>353</v>
      </c>
      <c r="L327" s="7" t="str">
        <f>HYPERLINK("http://slimages.macys.com/is/image/MCY/9404224 ")</f>
        <v xml:space="preserve">http://slimages.macys.com/is/image/MCY/9404224 </v>
      </c>
    </row>
    <row r="328" spans="1:12" ht="24.75" x14ac:dyDescent="0.25">
      <c r="A328" s="4" t="s">
        <v>6572</v>
      </c>
      <c r="B328" s="2" t="s">
        <v>1199</v>
      </c>
      <c r="C328" s="3">
        <v>1</v>
      </c>
      <c r="D328" s="5">
        <v>37.130000000000003</v>
      </c>
      <c r="E328" s="3">
        <v>100009324</v>
      </c>
      <c r="F328" s="2" t="s">
        <v>33</v>
      </c>
      <c r="G328" s="6" t="s">
        <v>16</v>
      </c>
      <c r="H328" s="2" t="s">
        <v>194</v>
      </c>
      <c r="I328" s="2" t="s">
        <v>195</v>
      </c>
      <c r="J328" s="2" t="s">
        <v>19</v>
      </c>
      <c r="K328" s="2" t="s">
        <v>353</v>
      </c>
      <c r="L328" s="7" t="str">
        <f>HYPERLINK("http://slimages.macys.com/is/image/MCY/12316457 ")</f>
        <v xml:space="preserve">http://slimages.macys.com/is/image/MCY/12316457 </v>
      </c>
    </row>
    <row r="329" spans="1:12" ht="24.75" x14ac:dyDescent="0.25">
      <c r="A329" s="4" t="s">
        <v>8649</v>
      </c>
      <c r="B329" s="2" t="s">
        <v>1106</v>
      </c>
      <c r="C329" s="3">
        <v>1</v>
      </c>
      <c r="D329" s="5">
        <v>32.5</v>
      </c>
      <c r="E329" s="3" t="s">
        <v>2600</v>
      </c>
      <c r="F329" s="2" t="s">
        <v>15</v>
      </c>
      <c r="G329" s="6" t="s">
        <v>234</v>
      </c>
      <c r="H329" s="2" t="s">
        <v>194</v>
      </c>
      <c r="I329" s="2" t="s">
        <v>195</v>
      </c>
      <c r="J329" s="2" t="s">
        <v>19</v>
      </c>
      <c r="K329" s="2" t="s">
        <v>1108</v>
      </c>
      <c r="L329" s="7" t="str">
        <f>HYPERLINK("http://slimages.macys.com/is/image/MCY/11776301 ")</f>
        <v xml:space="preserve">http://slimages.macys.com/is/image/MCY/11776301 </v>
      </c>
    </row>
    <row r="330" spans="1:12" ht="24.75" x14ac:dyDescent="0.25">
      <c r="A330" s="4" t="s">
        <v>1180</v>
      </c>
      <c r="B330" s="2" t="s">
        <v>1181</v>
      </c>
      <c r="C330" s="3">
        <v>2</v>
      </c>
      <c r="D330" s="5">
        <v>37.130000000000003</v>
      </c>
      <c r="E330" s="3">
        <v>100064797</v>
      </c>
      <c r="F330" s="2" t="s">
        <v>15</v>
      </c>
      <c r="G330" s="6" t="s">
        <v>154</v>
      </c>
      <c r="H330" s="2" t="s">
        <v>194</v>
      </c>
      <c r="I330" s="2" t="s">
        <v>195</v>
      </c>
      <c r="J330" s="2" t="s">
        <v>19</v>
      </c>
      <c r="K330" s="2" t="s">
        <v>247</v>
      </c>
      <c r="L330" s="7" t="str">
        <f>HYPERLINK("http://slimages.macys.com/is/image/MCY/12950007 ")</f>
        <v xml:space="preserve">http://slimages.macys.com/is/image/MCY/12950007 </v>
      </c>
    </row>
    <row r="331" spans="1:12" ht="24.75" x14ac:dyDescent="0.25">
      <c r="A331" s="4" t="s">
        <v>6576</v>
      </c>
      <c r="B331" s="2" t="s">
        <v>1106</v>
      </c>
      <c r="C331" s="3">
        <v>2</v>
      </c>
      <c r="D331" s="5">
        <v>33.380000000000003</v>
      </c>
      <c r="E331" s="3" t="s">
        <v>3775</v>
      </c>
      <c r="F331" s="2" t="s">
        <v>417</v>
      </c>
      <c r="G331" s="6" t="s">
        <v>154</v>
      </c>
      <c r="H331" s="2" t="s">
        <v>194</v>
      </c>
      <c r="I331" s="2" t="s">
        <v>195</v>
      </c>
      <c r="J331" s="2" t="s">
        <v>19</v>
      </c>
      <c r="K331" s="2" t="s">
        <v>1108</v>
      </c>
      <c r="L331" s="7" t="str">
        <f>HYPERLINK("http://slimages.macys.com/is/image/MCY/12034216 ")</f>
        <v xml:space="preserve">http://slimages.macys.com/is/image/MCY/12034216 </v>
      </c>
    </row>
    <row r="332" spans="1:12" ht="24.75" x14ac:dyDescent="0.25">
      <c r="A332" s="4" t="s">
        <v>5796</v>
      </c>
      <c r="B332" s="2" t="s">
        <v>1185</v>
      </c>
      <c r="C332" s="3">
        <v>1</v>
      </c>
      <c r="D332" s="5">
        <v>34.5</v>
      </c>
      <c r="E332" s="3" t="s">
        <v>1186</v>
      </c>
      <c r="F332" s="2" t="s">
        <v>376</v>
      </c>
      <c r="G332" s="6" t="s">
        <v>154</v>
      </c>
      <c r="H332" s="2" t="s">
        <v>228</v>
      </c>
      <c r="I332" s="2" t="s">
        <v>229</v>
      </c>
      <c r="J332" s="2" t="s">
        <v>19</v>
      </c>
      <c r="K332" s="2" t="s">
        <v>253</v>
      </c>
      <c r="L332" s="7" t="str">
        <f>HYPERLINK("http://slimages.macys.com/is/image/MCY/11269044 ")</f>
        <v xml:space="preserve">http://slimages.macys.com/is/image/MCY/11269044 </v>
      </c>
    </row>
    <row r="333" spans="1:12" ht="24.75" x14ac:dyDescent="0.25">
      <c r="A333" s="4" t="s">
        <v>2605</v>
      </c>
      <c r="B333" s="2" t="s">
        <v>1185</v>
      </c>
      <c r="C333" s="3">
        <v>1</v>
      </c>
      <c r="D333" s="5">
        <v>34.5</v>
      </c>
      <c r="E333" s="3" t="s">
        <v>1186</v>
      </c>
      <c r="F333" s="2" t="s">
        <v>376</v>
      </c>
      <c r="G333" s="6" t="s">
        <v>200</v>
      </c>
      <c r="H333" s="2" t="s">
        <v>228</v>
      </c>
      <c r="I333" s="2" t="s">
        <v>229</v>
      </c>
      <c r="J333" s="2" t="s">
        <v>19</v>
      </c>
      <c r="K333" s="2" t="s">
        <v>253</v>
      </c>
      <c r="L333" s="7" t="str">
        <f>HYPERLINK("http://slimages.macys.com/is/image/MCY/11269044 ")</f>
        <v xml:space="preserve">http://slimages.macys.com/is/image/MCY/11269044 </v>
      </c>
    </row>
    <row r="334" spans="1:12" ht="24.75" x14ac:dyDescent="0.25">
      <c r="A334" s="4" t="s">
        <v>8127</v>
      </c>
      <c r="B334" s="2" t="s">
        <v>1183</v>
      </c>
      <c r="C334" s="3">
        <v>1</v>
      </c>
      <c r="D334" s="5">
        <v>34.5</v>
      </c>
      <c r="E334" s="3" t="s">
        <v>2602</v>
      </c>
      <c r="F334" s="2" t="s">
        <v>26</v>
      </c>
      <c r="G334" s="6" t="s">
        <v>156</v>
      </c>
      <c r="H334" s="2" t="s">
        <v>228</v>
      </c>
      <c r="I334" s="2" t="s">
        <v>229</v>
      </c>
      <c r="J334" s="2" t="s">
        <v>19</v>
      </c>
      <c r="K334" s="2" t="s">
        <v>253</v>
      </c>
      <c r="L334" s="7" t="str">
        <f>HYPERLINK("http://slimages.macys.com/is/image/MCY/11269044 ")</f>
        <v xml:space="preserve">http://slimages.macys.com/is/image/MCY/11269044 </v>
      </c>
    </row>
    <row r="335" spans="1:12" ht="24.75" x14ac:dyDescent="0.25">
      <c r="A335" s="4" t="s">
        <v>2603</v>
      </c>
      <c r="B335" s="2" t="s">
        <v>1183</v>
      </c>
      <c r="C335" s="3">
        <v>2</v>
      </c>
      <c r="D335" s="5">
        <v>34.5</v>
      </c>
      <c r="E335" s="3" t="s">
        <v>2602</v>
      </c>
      <c r="F335" s="2" t="s">
        <v>26</v>
      </c>
      <c r="G335" s="6" t="s">
        <v>154</v>
      </c>
      <c r="H335" s="2" t="s">
        <v>228</v>
      </c>
      <c r="I335" s="2" t="s">
        <v>229</v>
      </c>
      <c r="J335" s="2" t="s">
        <v>19</v>
      </c>
      <c r="K335" s="2" t="s">
        <v>253</v>
      </c>
      <c r="L335" s="7" t="str">
        <f>HYPERLINK("http://slimages.macys.com/is/image/MCY/11269044 ")</f>
        <v xml:space="preserve">http://slimages.macys.com/is/image/MCY/11269044 </v>
      </c>
    </row>
    <row r="336" spans="1:12" ht="24.75" x14ac:dyDescent="0.25">
      <c r="A336" s="4" t="s">
        <v>2601</v>
      </c>
      <c r="B336" s="2" t="s">
        <v>1183</v>
      </c>
      <c r="C336" s="3">
        <v>4</v>
      </c>
      <c r="D336" s="5">
        <v>34.5</v>
      </c>
      <c r="E336" s="3" t="s">
        <v>2602</v>
      </c>
      <c r="F336" s="2" t="s">
        <v>26</v>
      </c>
      <c r="G336" s="6" t="s">
        <v>200</v>
      </c>
      <c r="H336" s="2" t="s">
        <v>228</v>
      </c>
      <c r="I336" s="2" t="s">
        <v>229</v>
      </c>
      <c r="J336" s="2" t="s">
        <v>19</v>
      </c>
      <c r="K336" s="2" t="s">
        <v>253</v>
      </c>
      <c r="L336" s="7" t="str">
        <f>HYPERLINK("http://slimages.macys.com/is/image/MCY/11269044 ")</f>
        <v xml:space="preserve">http://slimages.macys.com/is/image/MCY/11269044 </v>
      </c>
    </row>
    <row r="337" spans="1:12" ht="24.75" x14ac:dyDescent="0.25">
      <c r="A337" s="4" t="s">
        <v>8650</v>
      </c>
      <c r="B337" s="2" t="s">
        <v>539</v>
      </c>
      <c r="C337" s="3">
        <v>1</v>
      </c>
      <c r="D337" s="5">
        <v>49.99</v>
      </c>
      <c r="E337" s="3" t="s">
        <v>540</v>
      </c>
      <c r="F337" s="2"/>
      <c r="G337" s="6" t="s">
        <v>934</v>
      </c>
      <c r="H337" s="2" t="s">
        <v>127</v>
      </c>
      <c r="I337" s="2" t="s">
        <v>541</v>
      </c>
      <c r="J337" s="2" t="s">
        <v>19</v>
      </c>
      <c r="K337" s="2" t="s">
        <v>137</v>
      </c>
      <c r="L337" s="7" t="str">
        <f>HYPERLINK("http://slimages.macys.com/is/image/MCY/10438351 ")</f>
        <v xml:space="preserve">http://slimages.macys.com/is/image/MCY/10438351 </v>
      </c>
    </row>
    <row r="338" spans="1:12" ht="24.75" x14ac:dyDescent="0.25">
      <c r="A338" s="4" t="s">
        <v>6581</v>
      </c>
      <c r="B338" s="2" t="s">
        <v>1196</v>
      </c>
      <c r="C338" s="3">
        <v>1</v>
      </c>
      <c r="D338" s="5">
        <v>37.130000000000003</v>
      </c>
      <c r="E338" s="3">
        <v>100020406</v>
      </c>
      <c r="F338" s="2" t="s">
        <v>887</v>
      </c>
      <c r="G338" s="6" t="s">
        <v>181</v>
      </c>
      <c r="H338" s="2" t="s">
        <v>194</v>
      </c>
      <c r="I338" s="2" t="s">
        <v>195</v>
      </c>
      <c r="J338" s="2" t="s">
        <v>19</v>
      </c>
      <c r="K338" s="2" t="s">
        <v>648</v>
      </c>
      <c r="L338" s="7" t="str">
        <f>HYPERLINK("http://slimages.macys.com/is/image/MCY/9577038 ")</f>
        <v xml:space="preserve">http://slimages.macys.com/is/image/MCY/9577038 </v>
      </c>
    </row>
    <row r="339" spans="1:12" ht="24.75" x14ac:dyDescent="0.25">
      <c r="A339" s="4" t="s">
        <v>8651</v>
      </c>
      <c r="B339" s="2" t="s">
        <v>5805</v>
      </c>
      <c r="C339" s="3">
        <v>1</v>
      </c>
      <c r="D339" s="5">
        <v>36.75</v>
      </c>
      <c r="E339" s="3" t="s">
        <v>5806</v>
      </c>
      <c r="F339" s="2" t="s">
        <v>26</v>
      </c>
      <c r="G339" s="6"/>
      <c r="H339" s="2" t="s">
        <v>426</v>
      </c>
      <c r="I339" s="2" t="s">
        <v>229</v>
      </c>
      <c r="J339" s="2" t="s">
        <v>19</v>
      </c>
      <c r="K339" s="2" t="s">
        <v>253</v>
      </c>
      <c r="L339" s="7" t="str">
        <f>HYPERLINK("http://slimages.macys.com/is/image/MCY/11148650 ")</f>
        <v xml:space="preserve">http://slimages.macys.com/is/image/MCY/11148650 </v>
      </c>
    </row>
    <row r="340" spans="1:12" ht="24.75" x14ac:dyDescent="0.25">
      <c r="A340" s="4" t="s">
        <v>8652</v>
      </c>
      <c r="B340" s="2" t="s">
        <v>4869</v>
      </c>
      <c r="C340" s="3">
        <v>1</v>
      </c>
      <c r="D340" s="5">
        <v>37.130000000000003</v>
      </c>
      <c r="E340" s="3">
        <v>100015977</v>
      </c>
      <c r="F340" s="2" t="s">
        <v>26</v>
      </c>
      <c r="G340" s="6" t="s">
        <v>181</v>
      </c>
      <c r="H340" s="2" t="s">
        <v>246</v>
      </c>
      <c r="I340" s="2" t="s">
        <v>189</v>
      </c>
      <c r="J340" s="2" t="s">
        <v>19</v>
      </c>
      <c r="K340" s="2" t="s">
        <v>648</v>
      </c>
      <c r="L340" s="7" t="str">
        <f>HYPERLINK("http://slimages.macys.com/is/image/MCY/9557334 ")</f>
        <v xml:space="preserve">http://slimages.macys.com/is/image/MCY/9557334 </v>
      </c>
    </row>
    <row r="341" spans="1:12" ht="24.75" x14ac:dyDescent="0.25">
      <c r="A341" s="4" t="s">
        <v>4877</v>
      </c>
      <c r="B341" s="2" t="s">
        <v>4878</v>
      </c>
      <c r="C341" s="3">
        <v>2</v>
      </c>
      <c r="D341" s="5">
        <v>27.99</v>
      </c>
      <c r="E341" s="3" t="s">
        <v>4879</v>
      </c>
      <c r="F341" s="2" t="s">
        <v>33</v>
      </c>
      <c r="G341" s="6" t="s">
        <v>154</v>
      </c>
      <c r="H341" s="2" t="s">
        <v>1522</v>
      </c>
      <c r="I341" s="2" t="s">
        <v>1469</v>
      </c>
      <c r="J341" s="2" t="s">
        <v>19</v>
      </c>
      <c r="K341" s="2" t="s">
        <v>353</v>
      </c>
      <c r="L341" s="7" t="str">
        <f>HYPERLINK("http://slimages.macys.com/is/image/MCY/11774240 ")</f>
        <v xml:space="preserve">http://slimages.macys.com/is/image/MCY/11774240 </v>
      </c>
    </row>
    <row r="342" spans="1:12" ht="24.75" x14ac:dyDescent="0.25">
      <c r="A342" s="4" t="s">
        <v>8653</v>
      </c>
      <c r="B342" s="2" t="s">
        <v>1208</v>
      </c>
      <c r="C342" s="3">
        <v>1</v>
      </c>
      <c r="D342" s="5">
        <v>37.130000000000003</v>
      </c>
      <c r="E342" s="3">
        <v>100013470</v>
      </c>
      <c r="F342" s="2" t="s">
        <v>15</v>
      </c>
      <c r="G342" s="6" t="s">
        <v>65</v>
      </c>
      <c r="H342" s="2" t="s">
        <v>194</v>
      </c>
      <c r="I342" s="2" t="s">
        <v>195</v>
      </c>
      <c r="J342" s="2" t="s">
        <v>19</v>
      </c>
      <c r="K342" s="2" t="s">
        <v>353</v>
      </c>
      <c r="L342" s="7" t="str">
        <f>HYPERLINK("http://slimages.macys.com/is/image/MCY/9426968 ")</f>
        <v xml:space="preserve">http://slimages.macys.com/is/image/MCY/9426968 </v>
      </c>
    </row>
    <row r="343" spans="1:12" ht="24.75" x14ac:dyDescent="0.25">
      <c r="A343" s="4" t="s">
        <v>8654</v>
      </c>
      <c r="B343" s="2" t="s">
        <v>1199</v>
      </c>
      <c r="C343" s="3">
        <v>1</v>
      </c>
      <c r="D343" s="5">
        <v>37.130000000000003</v>
      </c>
      <c r="E343" s="3">
        <v>100009324</v>
      </c>
      <c r="F343" s="2" t="s">
        <v>26</v>
      </c>
      <c r="G343" s="6" t="s">
        <v>141</v>
      </c>
      <c r="H343" s="2" t="s">
        <v>194</v>
      </c>
      <c r="I343" s="2" t="s">
        <v>195</v>
      </c>
      <c r="J343" s="2" t="s">
        <v>19</v>
      </c>
      <c r="K343" s="2" t="s">
        <v>353</v>
      </c>
      <c r="L343" s="7" t="str">
        <f>HYPERLINK("http://slimages.macys.com/is/image/MCY/9404224 ")</f>
        <v xml:space="preserve">http://slimages.macys.com/is/image/MCY/9404224 </v>
      </c>
    </row>
    <row r="344" spans="1:12" ht="24.75" x14ac:dyDescent="0.25">
      <c r="A344" s="4" t="s">
        <v>6590</v>
      </c>
      <c r="B344" s="2" t="s">
        <v>1199</v>
      </c>
      <c r="C344" s="3">
        <v>1</v>
      </c>
      <c r="D344" s="5">
        <v>37.130000000000003</v>
      </c>
      <c r="E344" s="3">
        <v>100009324</v>
      </c>
      <c r="F344" s="2" t="s">
        <v>376</v>
      </c>
      <c r="G344" s="6" t="s">
        <v>27</v>
      </c>
      <c r="H344" s="2" t="s">
        <v>194</v>
      </c>
      <c r="I344" s="2" t="s">
        <v>195</v>
      </c>
      <c r="J344" s="2" t="s">
        <v>19</v>
      </c>
      <c r="K344" s="2" t="s">
        <v>353</v>
      </c>
      <c r="L344" s="7" t="str">
        <f>HYPERLINK("http://slimages.macys.com/is/image/MCY/9404224 ")</f>
        <v xml:space="preserve">http://slimages.macys.com/is/image/MCY/9404224 </v>
      </c>
    </row>
    <row r="345" spans="1:12" ht="24.75" x14ac:dyDescent="0.25">
      <c r="A345" s="4" t="s">
        <v>8655</v>
      </c>
      <c r="B345" s="2" t="s">
        <v>1199</v>
      </c>
      <c r="C345" s="3">
        <v>1</v>
      </c>
      <c r="D345" s="5">
        <v>37.130000000000003</v>
      </c>
      <c r="E345" s="3">
        <v>100009324</v>
      </c>
      <c r="F345" s="2" t="s">
        <v>1234</v>
      </c>
      <c r="G345" s="6" t="s">
        <v>65</v>
      </c>
      <c r="H345" s="2" t="s">
        <v>194</v>
      </c>
      <c r="I345" s="2" t="s">
        <v>195</v>
      </c>
      <c r="J345" s="2" t="s">
        <v>19</v>
      </c>
      <c r="K345" s="2" t="s">
        <v>353</v>
      </c>
      <c r="L345" s="7" t="str">
        <f>HYPERLINK("http://slimages.macys.com/is/image/MCY/9404224 ")</f>
        <v xml:space="preserve">http://slimages.macys.com/is/image/MCY/9404224 </v>
      </c>
    </row>
    <row r="346" spans="1:12" ht="24.75" x14ac:dyDescent="0.25">
      <c r="A346" s="4" t="s">
        <v>8656</v>
      </c>
      <c r="B346" s="2" t="s">
        <v>1199</v>
      </c>
      <c r="C346" s="3">
        <v>2</v>
      </c>
      <c r="D346" s="5">
        <v>37.130000000000003</v>
      </c>
      <c r="E346" s="3">
        <v>100009324</v>
      </c>
      <c r="F346" s="2" t="s">
        <v>26</v>
      </c>
      <c r="G346" s="6" t="s">
        <v>16</v>
      </c>
      <c r="H346" s="2" t="s">
        <v>194</v>
      </c>
      <c r="I346" s="2" t="s">
        <v>195</v>
      </c>
      <c r="J346" s="2" t="s">
        <v>19</v>
      </c>
      <c r="K346" s="2" t="s">
        <v>353</v>
      </c>
      <c r="L346" s="7" t="str">
        <f>HYPERLINK("http://slimages.macys.com/is/image/MCY/9404224 ")</f>
        <v xml:space="preserve">http://slimages.macys.com/is/image/MCY/9404224 </v>
      </c>
    </row>
    <row r="347" spans="1:12" ht="24.75" x14ac:dyDescent="0.25">
      <c r="A347" s="4" t="s">
        <v>8657</v>
      </c>
      <c r="B347" s="2" t="s">
        <v>1212</v>
      </c>
      <c r="C347" s="3">
        <v>1</v>
      </c>
      <c r="D347" s="5">
        <v>59.5</v>
      </c>
      <c r="E347" s="3" t="s">
        <v>1213</v>
      </c>
      <c r="F347" s="2" t="s">
        <v>74</v>
      </c>
      <c r="G347" s="6" t="s">
        <v>187</v>
      </c>
      <c r="H347" s="2" t="s">
        <v>206</v>
      </c>
      <c r="I347" s="2" t="s">
        <v>207</v>
      </c>
      <c r="J347" s="2" t="s">
        <v>19</v>
      </c>
      <c r="K347" s="2" t="s">
        <v>672</v>
      </c>
      <c r="L347" s="7" t="str">
        <f>HYPERLINK("http://slimages.macys.com/is/image/MCY/9507267 ")</f>
        <v xml:space="preserve">http://slimages.macys.com/is/image/MCY/9507267 </v>
      </c>
    </row>
    <row r="348" spans="1:12" ht="24.75" x14ac:dyDescent="0.25">
      <c r="A348" s="4" t="s">
        <v>8658</v>
      </c>
      <c r="B348" s="2" t="s">
        <v>1416</v>
      </c>
      <c r="C348" s="3">
        <v>1</v>
      </c>
      <c r="D348" s="5">
        <v>21.99</v>
      </c>
      <c r="E348" s="3" t="s">
        <v>8659</v>
      </c>
      <c r="F348" s="2" t="s">
        <v>1584</v>
      </c>
      <c r="G348" s="6" t="s">
        <v>22</v>
      </c>
      <c r="H348" s="2" t="s">
        <v>194</v>
      </c>
      <c r="I348" s="2" t="s">
        <v>195</v>
      </c>
      <c r="J348" s="2" t="s">
        <v>19</v>
      </c>
      <c r="K348" s="2" t="s">
        <v>353</v>
      </c>
      <c r="L348" s="7" t="str">
        <f>HYPERLINK("http://slimages.macys.com/is/image/MCY/12033149 ")</f>
        <v xml:space="preserve">http://slimages.macys.com/is/image/MCY/12033149 </v>
      </c>
    </row>
    <row r="349" spans="1:12" ht="24.75" x14ac:dyDescent="0.25">
      <c r="A349" s="4" t="s">
        <v>8660</v>
      </c>
      <c r="B349" s="2" t="s">
        <v>1416</v>
      </c>
      <c r="C349" s="3">
        <v>1</v>
      </c>
      <c r="D349" s="5">
        <v>21.99</v>
      </c>
      <c r="E349" s="3" t="s">
        <v>8659</v>
      </c>
      <c r="F349" s="2" t="s">
        <v>1584</v>
      </c>
      <c r="G349" s="6" t="s">
        <v>16</v>
      </c>
      <c r="H349" s="2" t="s">
        <v>194</v>
      </c>
      <c r="I349" s="2" t="s">
        <v>195</v>
      </c>
      <c r="J349" s="2" t="s">
        <v>19</v>
      </c>
      <c r="K349" s="2" t="s">
        <v>353</v>
      </c>
      <c r="L349" s="7" t="str">
        <f>HYPERLINK("http://slimages.macys.com/is/image/MCY/12033149 ")</f>
        <v xml:space="preserve">http://slimages.macys.com/is/image/MCY/12033149 </v>
      </c>
    </row>
    <row r="350" spans="1:12" ht="24.75" x14ac:dyDescent="0.25">
      <c r="A350" s="4" t="s">
        <v>8661</v>
      </c>
      <c r="B350" s="2" t="s">
        <v>1416</v>
      </c>
      <c r="C350" s="3">
        <v>3</v>
      </c>
      <c r="D350" s="5">
        <v>21.99</v>
      </c>
      <c r="E350" s="3" t="s">
        <v>8659</v>
      </c>
      <c r="F350" s="2" t="s">
        <v>1584</v>
      </c>
      <c r="G350" s="6" t="s">
        <v>27</v>
      </c>
      <c r="H350" s="2" t="s">
        <v>194</v>
      </c>
      <c r="I350" s="2" t="s">
        <v>195</v>
      </c>
      <c r="J350" s="2" t="s">
        <v>19</v>
      </c>
      <c r="K350" s="2" t="s">
        <v>353</v>
      </c>
      <c r="L350" s="7" t="str">
        <f>HYPERLINK("http://slimages.macys.com/is/image/MCY/12033149 ")</f>
        <v xml:space="preserve">http://slimages.macys.com/is/image/MCY/12033149 </v>
      </c>
    </row>
    <row r="351" spans="1:12" ht="24.75" x14ac:dyDescent="0.25">
      <c r="A351" s="4" t="s">
        <v>3799</v>
      </c>
      <c r="B351" s="2" t="s">
        <v>1222</v>
      </c>
      <c r="C351" s="3">
        <v>1</v>
      </c>
      <c r="D351" s="5">
        <v>37.130000000000003</v>
      </c>
      <c r="E351" s="3" t="s">
        <v>1223</v>
      </c>
      <c r="F351" s="2" t="s">
        <v>26</v>
      </c>
      <c r="G351" s="6" t="s">
        <v>156</v>
      </c>
      <c r="H351" s="2" t="s">
        <v>194</v>
      </c>
      <c r="I351" s="2" t="s">
        <v>580</v>
      </c>
      <c r="J351" s="2" t="s">
        <v>19</v>
      </c>
      <c r="K351" s="2" t="s">
        <v>247</v>
      </c>
      <c r="L351" s="7" t="str">
        <f>HYPERLINK("http://slimages.macys.com/is/image/MCY/12950179 ")</f>
        <v xml:space="preserve">http://slimages.macys.com/is/image/MCY/12950179 </v>
      </c>
    </row>
    <row r="352" spans="1:12" ht="24.75" x14ac:dyDescent="0.25">
      <c r="A352" s="4" t="s">
        <v>2632</v>
      </c>
      <c r="B352" s="2" t="s">
        <v>1222</v>
      </c>
      <c r="C352" s="3">
        <v>1</v>
      </c>
      <c r="D352" s="5">
        <v>37.130000000000003</v>
      </c>
      <c r="E352" s="3" t="s">
        <v>1223</v>
      </c>
      <c r="F352" s="2" t="s">
        <v>26</v>
      </c>
      <c r="G352" s="6" t="s">
        <v>181</v>
      </c>
      <c r="H352" s="2" t="s">
        <v>194</v>
      </c>
      <c r="I352" s="2" t="s">
        <v>580</v>
      </c>
      <c r="J352" s="2" t="s">
        <v>19</v>
      </c>
      <c r="K352" s="2" t="s">
        <v>247</v>
      </c>
      <c r="L352" s="7" t="str">
        <f>HYPERLINK("http://slimages.macys.com/is/image/MCY/12950179 ")</f>
        <v xml:space="preserve">http://slimages.macys.com/is/image/MCY/12950179 </v>
      </c>
    </row>
    <row r="353" spans="1:12" ht="24.75" x14ac:dyDescent="0.25">
      <c r="A353" s="4" t="s">
        <v>1214</v>
      </c>
      <c r="B353" s="2" t="s">
        <v>1215</v>
      </c>
      <c r="C353" s="3">
        <v>1</v>
      </c>
      <c r="D353" s="5">
        <v>37.130000000000003</v>
      </c>
      <c r="E353" s="3" t="s">
        <v>1216</v>
      </c>
      <c r="F353" s="2" t="s">
        <v>579</v>
      </c>
      <c r="G353" s="6" t="s">
        <v>156</v>
      </c>
      <c r="H353" s="2" t="s">
        <v>194</v>
      </c>
      <c r="I353" s="2" t="s">
        <v>580</v>
      </c>
      <c r="J353" s="2" t="s">
        <v>19</v>
      </c>
      <c r="K353" s="2" t="s">
        <v>247</v>
      </c>
      <c r="L353" s="7" t="str">
        <f>HYPERLINK("http://slimages.macys.com/is/image/MCY/12950186 ")</f>
        <v xml:space="preserve">http://slimages.macys.com/is/image/MCY/12950186 </v>
      </c>
    </row>
    <row r="354" spans="1:12" ht="24.75" x14ac:dyDescent="0.25">
      <c r="A354" s="4" t="s">
        <v>8662</v>
      </c>
      <c r="B354" s="2" t="s">
        <v>3804</v>
      </c>
      <c r="C354" s="3">
        <v>1</v>
      </c>
      <c r="D354" s="5">
        <v>37.130000000000003</v>
      </c>
      <c r="E354" s="3">
        <v>100015976</v>
      </c>
      <c r="F354" s="2" t="s">
        <v>413</v>
      </c>
      <c r="G354" s="6" t="s">
        <v>181</v>
      </c>
      <c r="H354" s="2" t="s">
        <v>246</v>
      </c>
      <c r="I354" s="2" t="s">
        <v>189</v>
      </c>
      <c r="J354" s="2" t="s">
        <v>19</v>
      </c>
      <c r="K354" s="2" t="s">
        <v>648</v>
      </c>
      <c r="L354" s="7" t="str">
        <f>HYPERLINK("http://slimages.macys.com/is/image/MCY/9557334 ")</f>
        <v xml:space="preserve">http://slimages.macys.com/is/image/MCY/9557334 </v>
      </c>
    </row>
    <row r="355" spans="1:12" ht="24.75" x14ac:dyDescent="0.25">
      <c r="A355" s="4" t="s">
        <v>8663</v>
      </c>
      <c r="B355" s="2" t="s">
        <v>8664</v>
      </c>
      <c r="C355" s="3">
        <v>1</v>
      </c>
      <c r="D355" s="5">
        <v>37.130000000000003</v>
      </c>
      <c r="E355" s="3">
        <v>100022567</v>
      </c>
      <c r="F355" s="2" t="s">
        <v>566</v>
      </c>
      <c r="G355" s="6" t="s">
        <v>234</v>
      </c>
      <c r="H355" s="2" t="s">
        <v>284</v>
      </c>
      <c r="I355" s="2" t="s">
        <v>285</v>
      </c>
      <c r="J355" s="2" t="s">
        <v>19</v>
      </c>
      <c r="K355" s="2" t="s">
        <v>160</v>
      </c>
      <c r="L355" s="7" t="str">
        <f>HYPERLINK("http://slimages.macys.com/is/image/MCY/16292092 ")</f>
        <v xml:space="preserve">http://slimages.macys.com/is/image/MCY/16292092 </v>
      </c>
    </row>
    <row r="356" spans="1:12" ht="24.75" x14ac:dyDescent="0.25">
      <c r="A356" s="4" t="s">
        <v>7431</v>
      </c>
      <c r="B356" s="2" t="s">
        <v>1244</v>
      </c>
      <c r="C356" s="3">
        <v>1</v>
      </c>
      <c r="D356" s="5">
        <v>37.130000000000003</v>
      </c>
      <c r="E356" s="3">
        <v>100058183</v>
      </c>
      <c r="F356" s="2" t="s">
        <v>15</v>
      </c>
      <c r="G356" s="6" t="s">
        <v>106</v>
      </c>
      <c r="H356" s="2" t="s">
        <v>194</v>
      </c>
      <c r="I356" s="2" t="s">
        <v>195</v>
      </c>
      <c r="J356" s="2" t="s">
        <v>19</v>
      </c>
      <c r="K356" s="2" t="s">
        <v>353</v>
      </c>
      <c r="L356" s="7" t="str">
        <f>HYPERLINK("http://slimages.macys.com/is/image/MCY/12793647 ")</f>
        <v xml:space="preserve">http://slimages.macys.com/is/image/MCY/12793647 </v>
      </c>
    </row>
    <row r="357" spans="1:12" ht="24.75" x14ac:dyDescent="0.25">
      <c r="A357" s="4" t="s">
        <v>3811</v>
      </c>
      <c r="B357" s="2" t="s">
        <v>1244</v>
      </c>
      <c r="C357" s="3">
        <v>1</v>
      </c>
      <c r="D357" s="5">
        <v>37.130000000000003</v>
      </c>
      <c r="E357" s="3">
        <v>100058183</v>
      </c>
      <c r="F357" s="2" t="s">
        <v>26</v>
      </c>
      <c r="G357" s="6" t="s">
        <v>22</v>
      </c>
      <c r="H357" s="2" t="s">
        <v>194</v>
      </c>
      <c r="I357" s="2" t="s">
        <v>195</v>
      </c>
      <c r="J357" s="2" t="s">
        <v>19</v>
      </c>
      <c r="K357" s="2" t="s">
        <v>353</v>
      </c>
      <c r="L357" s="7" t="str">
        <f>HYPERLINK("http://slimages.macys.com/is/image/MCY/12793647 ")</f>
        <v xml:space="preserve">http://slimages.macys.com/is/image/MCY/12793647 </v>
      </c>
    </row>
    <row r="358" spans="1:12" ht="24.75" x14ac:dyDescent="0.25">
      <c r="A358" s="4" t="s">
        <v>1245</v>
      </c>
      <c r="B358" s="2" t="s">
        <v>1232</v>
      </c>
      <c r="C358" s="3">
        <v>1</v>
      </c>
      <c r="D358" s="5">
        <v>34.880000000000003</v>
      </c>
      <c r="E358" s="3" t="s">
        <v>1246</v>
      </c>
      <c r="F358" s="2" t="s">
        <v>74</v>
      </c>
      <c r="G358" s="6" t="s">
        <v>802</v>
      </c>
      <c r="H358" s="2" t="s">
        <v>312</v>
      </c>
      <c r="I358" s="2" t="s">
        <v>195</v>
      </c>
      <c r="J358" s="2" t="s">
        <v>19</v>
      </c>
      <c r="K358" s="2" t="s">
        <v>353</v>
      </c>
      <c r="L358" s="7" t="str">
        <f>HYPERLINK("http://slimages.macys.com/is/image/MCY/8256708 ")</f>
        <v xml:space="preserve">http://slimages.macys.com/is/image/MCY/8256708 </v>
      </c>
    </row>
    <row r="359" spans="1:12" ht="24.75" x14ac:dyDescent="0.25">
      <c r="A359" s="4" t="s">
        <v>6600</v>
      </c>
      <c r="B359" s="2" t="s">
        <v>3813</v>
      </c>
      <c r="C359" s="3">
        <v>1</v>
      </c>
      <c r="D359" s="5">
        <v>59.5</v>
      </c>
      <c r="E359" s="3" t="s">
        <v>3814</v>
      </c>
      <c r="F359" s="2" t="s">
        <v>132</v>
      </c>
      <c r="G359" s="6" t="s">
        <v>219</v>
      </c>
      <c r="H359" s="2" t="s">
        <v>206</v>
      </c>
      <c r="I359" s="2" t="s">
        <v>207</v>
      </c>
      <c r="J359" s="2" t="s">
        <v>19</v>
      </c>
      <c r="K359" s="2" t="s">
        <v>267</v>
      </c>
      <c r="L359" s="7" t="str">
        <f>HYPERLINK("http://slimages.macys.com/is/image/MCY/13839706 ")</f>
        <v xml:space="preserve">http://slimages.macys.com/is/image/MCY/13839706 </v>
      </c>
    </row>
    <row r="360" spans="1:12" ht="24.75" x14ac:dyDescent="0.25">
      <c r="A360" s="4" t="s">
        <v>2650</v>
      </c>
      <c r="B360" s="2" t="s">
        <v>1232</v>
      </c>
      <c r="C360" s="3">
        <v>1</v>
      </c>
      <c r="D360" s="5">
        <v>34.880000000000003</v>
      </c>
      <c r="E360" s="3" t="s">
        <v>1246</v>
      </c>
      <c r="F360" s="2" t="s">
        <v>74</v>
      </c>
      <c r="G360" s="6" t="s">
        <v>126</v>
      </c>
      <c r="H360" s="2" t="s">
        <v>312</v>
      </c>
      <c r="I360" s="2" t="s">
        <v>195</v>
      </c>
      <c r="J360" s="2" t="s">
        <v>19</v>
      </c>
      <c r="K360" s="2" t="s">
        <v>353</v>
      </c>
      <c r="L360" s="7" t="str">
        <f>HYPERLINK("http://slimages.macys.com/is/image/MCY/8256708 ")</f>
        <v xml:space="preserve">http://slimages.macys.com/is/image/MCY/8256708 </v>
      </c>
    </row>
    <row r="361" spans="1:12" ht="24.75" x14ac:dyDescent="0.25">
      <c r="A361" s="4" t="s">
        <v>1248</v>
      </c>
      <c r="B361" s="2" t="s">
        <v>1232</v>
      </c>
      <c r="C361" s="3">
        <v>1</v>
      </c>
      <c r="D361" s="5">
        <v>34.880000000000003</v>
      </c>
      <c r="E361" s="3" t="s">
        <v>1246</v>
      </c>
      <c r="F361" s="2" t="s">
        <v>74</v>
      </c>
      <c r="G361" s="6" t="s">
        <v>205</v>
      </c>
      <c r="H361" s="2" t="s">
        <v>312</v>
      </c>
      <c r="I361" s="2" t="s">
        <v>195</v>
      </c>
      <c r="J361" s="2" t="s">
        <v>19</v>
      </c>
      <c r="K361" s="2" t="s">
        <v>353</v>
      </c>
      <c r="L361" s="7" t="str">
        <f>HYPERLINK("http://slimages.macys.com/is/image/MCY/8256708 ")</f>
        <v xml:space="preserve">http://slimages.macys.com/is/image/MCY/8256708 </v>
      </c>
    </row>
    <row r="362" spans="1:12" ht="24.75" x14ac:dyDescent="0.25">
      <c r="A362" s="4" t="s">
        <v>8665</v>
      </c>
      <c r="B362" s="2" t="s">
        <v>8666</v>
      </c>
      <c r="C362" s="3">
        <v>1</v>
      </c>
      <c r="D362" s="5">
        <v>36.5</v>
      </c>
      <c r="E362" s="3" t="s">
        <v>8667</v>
      </c>
      <c r="F362" s="2" t="s">
        <v>53</v>
      </c>
      <c r="G362" s="6" t="s">
        <v>181</v>
      </c>
      <c r="H362" s="2" t="s">
        <v>246</v>
      </c>
      <c r="I362" s="2" t="s">
        <v>189</v>
      </c>
      <c r="J362" s="2" t="s">
        <v>19</v>
      </c>
      <c r="K362" s="2" t="s">
        <v>160</v>
      </c>
      <c r="L362" s="7" t="str">
        <f>HYPERLINK("http://slimages.macys.com/is/image/MCY/11517700 ")</f>
        <v xml:space="preserve">http://slimages.macys.com/is/image/MCY/11517700 </v>
      </c>
    </row>
    <row r="363" spans="1:12" ht="24.75" x14ac:dyDescent="0.25">
      <c r="A363" s="4" t="s">
        <v>8668</v>
      </c>
      <c r="B363" s="2" t="s">
        <v>4898</v>
      </c>
      <c r="C363" s="3">
        <v>1</v>
      </c>
      <c r="D363" s="5">
        <v>34.880000000000003</v>
      </c>
      <c r="E363" s="3">
        <v>100052334</v>
      </c>
      <c r="F363" s="2" t="s">
        <v>376</v>
      </c>
      <c r="G363" s="6" t="s">
        <v>154</v>
      </c>
      <c r="H363" s="2" t="s">
        <v>194</v>
      </c>
      <c r="I363" s="2" t="s">
        <v>195</v>
      </c>
      <c r="J363" s="2" t="s">
        <v>19</v>
      </c>
      <c r="K363" s="2" t="s">
        <v>353</v>
      </c>
      <c r="L363" s="7" t="str">
        <f>HYPERLINK("http://slimages.macys.com/is/image/MCY/12279970 ")</f>
        <v xml:space="preserve">http://slimages.macys.com/is/image/MCY/12279970 </v>
      </c>
    </row>
    <row r="364" spans="1:12" ht="36.75" x14ac:dyDescent="0.25">
      <c r="A364" s="4" t="s">
        <v>8669</v>
      </c>
      <c r="B364" s="2" t="s">
        <v>2655</v>
      </c>
      <c r="C364" s="3">
        <v>1</v>
      </c>
      <c r="D364" s="5">
        <v>27.99</v>
      </c>
      <c r="E364" s="3" t="s">
        <v>8670</v>
      </c>
      <c r="F364" s="2" t="s">
        <v>1234</v>
      </c>
      <c r="G364" s="6" t="s">
        <v>126</v>
      </c>
      <c r="H364" s="2" t="s">
        <v>312</v>
      </c>
      <c r="I364" s="2" t="s">
        <v>928</v>
      </c>
      <c r="J364" s="2" t="s">
        <v>19</v>
      </c>
      <c r="K364" s="2" t="s">
        <v>2657</v>
      </c>
      <c r="L364" s="7" t="str">
        <f>HYPERLINK("http://slimages.macys.com/is/image/MCY/2910492 ")</f>
        <v xml:space="preserve">http://slimages.macys.com/is/image/MCY/2910492 </v>
      </c>
    </row>
    <row r="365" spans="1:12" ht="24.75" x14ac:dyDescent="0.25">
      <c r="A365" s="4" t="s">
        <v>5831</v>
      </c>
      <c r="B365" s="2" t="s">
        <v>904</v>
      </c>
      <c r="C365" s="3">
        <v>1</v>
      </c>
      <c r="D365" s="5">
        <v>34.5</v>
      </c>
      <c r="E365" s="3" t="s">
        <v>5832</v>
      </c>
      <c r="F365" s="2" t="s">
        <v>89</v>
      </c>
      <c r="G365" s="6" t="s">
        <v>181</v>
      </c>
      <c r="H365" s="2" t="s">
        <v>228</v>
      </c>
      <c r="I365" s="2" t="s">
        <v>229</v>
      </c>
      <c r="J365" s="2" t="s">
        <v>19</v>
      </c>
      <c r="K365" s="2" t="s">
        <v>253</v>
      </c>
      <c r="L365" s="7" t="str">
        <f>HYPERLINK("http://slimages.macys.com/is/image/MCY/12794164 ")</f>
        <v xml:space="preserve">http://slimages.macys.com/is/image/MCY/12794164 </v>
      </c>
    </row>
    <row r="366" spans="1:12" ht="24.75" x14ac:dyDescent="0.25">
      <c r="A366" s="4" t="s">
        <v>8671</v>
      </c>
      <c r="B366" s="2" t="s">
        <v>8672</v>
      </c>
      <c r="C366" s="3">
        <v>1</v>
      </c>
      <c r="D366" s="5">
        <v>33.380000000000003</v>
      </c>
      <c r="E366" s="3" t="s">
        <v>8673</v>
      </c>
      <c r="F366" s="2" t="s">
        <v>376</v>
      </c>
      <c r="G366" s="6"/>
      <c r="H366" s="2" t="s">
        <v>312</v>
      </c>
      <c r="I366" s="2" t="s">
        <v>195</v>
      </c>
      <c r="J366" s="2" t="s">
        <v>19</v>
      </c>
      <c r="K366" s="2" t="s">
        <v>8674</v>
      </c>
      <c r="L366" s="7" t="str">
        <f>HYPERLINK("http://slimages.macys.com/is/image/MCY/9319982 ")</f>
        <v xml:space="preserve">http://slimages.macys.com/is/image/MCY/9319982 </v>
      </c>
    </row>
    <row r="367" spans="1:12" ht="24.75" x14ac:dyDescent="0.25">
      <c r="A367" s="4" t="s">
        <v>8675</v>
      </c>
      <c r="B367" s="2" t="s">
        <v>1250</v>
      </c>
      <c r="C367" s="3">
        <v>1</v>
      </c>
      <c r="D367" s="5">
        <v>34.5</v>
      </c>
      <c r="E367" s="3">
        <v>100060490</v>
      </c>
      <c r="F367" s="2" t="s">
        <v>89</v>
      </c>
      <c r="G367" s="6" t="s">
        <v>65</v>
      </c>
      <c r="H367" s="2" t="s">
        <v>228</v>
      </c>
      <c r="I367" s="2" t="s">
        <v>229</v>
      </c>
      <c r="J367" s="2" t="s">
        <v>19</v>
      </c>
      <c r="K367" s="2" t="s">
        <v>1251</v>
      </c>
      <c r="L367" s="7" t="str">
        <f>HYPERLINK("http://slimages.macys.com/is/image/MCY/9100235 ")</f>
        <v xml:space="preserve">http://slimages.macys.com/is/image/MCY/9100235 </v>
      </c>
    </row>
    <row r="368" spans="1:12" ht="24.75" x14ac:dyDescent="0.25">
      <c r="A368" s="4" t="s">
        <v>7435</v>
      </c>
      <c r="B368" s="2" t="s">
        <v>1250</v>
      </c>
      <c r="C368" s="3">
        <v>1</v>
      </c>
      <c r="D368" s="5">
        <v>34.5</v>
      </c>
      <c r="E368" s="3">
        <v>100003654</v>
      </c>
      <c r="F368" s="2" t="s">
        <v>417</v>
      </c>
      <c r="G368" s="6" t="s">
        <v>65</v>
      </c>
      <c r="H368" s="2" t="s">
        <v>228</v>
      </c>
      <c r="I368" s="2" t="s">
        <v>229</v>
      </c>
      <c r="J368" s="2" t="s">
        <v>19</v>
      </c>
      <c r="K368" s="2" t="s">
        <v>1251</v>
      </c>
      <c r="L368" s="7" t="str">
        <f>HYPERLINK("http://slimages.macys.com/is/image/MCY/9100235 ")</f>
        <v xml:space="preserve">http://slimages.macys.com/is/image/MCY/9100235 </v>
      </c>
    </row>
    <row r="369" spans="1:12" ht="24.75" x14ac:dyDescent="0.25">
      <c r="A369" s="4" t="s">
        <v>8676</v>
      </c>
      <c r="B369" s="2" t="s">
        <v>1416</v>
      </c>
      <c r="C369" s="3">
        <v>2</v>
      </c>
      <c r="D369" s="5">
        <v>21.99</v>
      </c>
      <c r="E369" s="3" t="s">
        <v>4908</v>
      </c>
      <c r="F369" s="2" t="s">
        <v>413</v>
      </c>
      <c r="G369" s="6" t="s">
        <v>934</v>
      </c>
      <c r="H369" s="2" t="s">
        <v>312</v>
      </c>
      <c r="I369" s="2" t="s">
        <v>195</v>
      </c>
      <c r="J369" s="2" t="s">
        <v>19</v>
      </c>
      <c r="K369" s="2" t="s">
        <v>353</v>
      </c>
      <c r="L369" s="7" t="str">
        <f>HYPERLINK("http://slimages.macys.com/is/image/MCY/16058397 ")</f>
        <v xml:space="preserve">http://slimages.macys.com/is/image/MCY/16058397 </v>
      </c>
    </row>
    <row r="370" spans="1:12" ht="24.75" x14ac:dyDescent="0.25">
      <c r="A370" s="4" t="s">
        <v>8677</v>
      </c>
      <c r="B370" s="2" t="s">
        <v>1327</v>
      </c>
      <c r="C370" s="3">
        <v>1</v>
      </c>
      <c r="D370" s="5">
        <v>34.880000000000003</v>
      </c>
      <c r="E370" s="3" t="s">
        <v>7441</v>
      </c>
      <c r="F370" s="2" t="s">
        <v>676</v>
      </c>
      <c r="G370" s="6" t="s">
        <v>205</v>
      </c>
      <c r="H370" s="2" t="s">
        <v>312</v>
      </c>
      <c r="I370" s="2" t="s">
        <v>195</v>
      </c>
      <c r="J370" s="2" t="s">
        <v>19</v>
      </c>
      <c r="K370" s="2" t="s">
        <v>353</v>
      </c>
      <c r="L370" s="7" t="str">
        <f>HYPERLINK("http://slimages.macys.com/is/image/MCY/8256708 ")</f>
        <v xml:space="preserve">http://slimages.macys.com/is/image/MCY/8256708 </v>
      </c>
    </row>
    <row r="371" spans="1:12" ht="24.75" x14ac:dyDescent="0.25">
      <c r="A371" s="4" t="s">
        <v>8678</v>
      </c>
      <c r="B371" s="2" t="s">
        <v>1250</v>
      </c>
      <c r="C371" s="3">
        <v>1</v>
      </c>
      <c r="D371" s="5">
        <v>34.5</v>
      </c>
      <c r="E371" s="3">
        <v>100003654</v>
      </c>
      <c r="F371" s="2" t="s">
        <v>417</v>
      </c>
      <c r="G371" s="6" t="s">
        <v>22</v>
      </c>
      <c r="H371" s="2" t="s">
        <v>228</v>
      </c>
      <c r="I371" s="2" t="s">
        <v>229</v>
      </c>
      <c r="J371" s="2" t="s">
        <v>19</v>
      </c>
      <c r="K371" s="2" t="s">
        <v>1251</v>
      </c>
      <c r="L371" s="7" t="str">
        <f>HYPERLINK("http://slimages.macys.com/is/image/MCY/9100235 ")</f>
        <v xml:space="preserve">http://slimages.macys.com/is/image/MCY/9100235 </v>
      </c>
    </row>
    <row r="372" spans="1:12" ht="24.75" x14ac:dyDescent="0.25">
      <c r="A372" s="4" t="s">
        <v>8679</v>
      </c>
      <c r="B372" s="2" t="s">
        <v>1416</v>
      </c>
      <c r="C372" s="3">
        <v>3</v>
      </c>
      <c r="D372" s="5">
        <v>21.99</v>
      </c>
      <c r="E372" s="3" t="s">
        <v>8680</v>
      </c>
      <c r="F372" s="2" t="s">
        <v>111</v>
      </c>
      <c r="G372" s="6" t="s">
        <v>27</v>
      </c>
      <c r="H372" s="2" t="s">
        <v>194</v>
      </c>
      <c r="I372" s="2" t="s">
        <v>195</v>
      </c>
      <c r="J372" s="2" t="s">
        <v>19</v>
      </c>
      <c r="K372" s="2" t="s">
        <v>353</v>
      </c>
      <c r="L372" s="7" t="str">
        <f t="shared" ref="L372:L377" si="0">HYPERLINK("http://slimages.macys.com/is/image/MCY/12033149 ")</f>
        <v xml:space="preserve">http://slimages.macys.com/is/image/MCY/12033149 </v>
      </c>
    </row>
    <row r="373" spans="1:12" ht="24.75" x14ac:dyDescent="0.25">
      <c r="A373" s="4" t="s">
        <v>8681</v>
      </c>
      <c r="B373" s="2" t="s">
        <v>1416</v>
      </c>
      <c r="C373" s="3">
        <v>3</v>
      </c>
      <c r="D373" s="5">
        <v>21.99</v>
      </c>
      <c r="E373" s="3" t="s">
        <v>8680</v>
      </c>
      <c r="F373" s="2" t="s">
        <v>111</v>
      </c>
      <c r="G373" s="6" t="s">
        <v>58</v>
      </c>
      <c r="H373" s="2" t="s">
        <v>194</v>
      </c>
      <c r="I373" s="2" t="s">
        <v>195</v>
      </c>
      <c r="J373" s="2" t="s">
        <v>19</v>
      </c>
      <c r="K373" s="2" t="s">
        <v>353</v>
      </c>
      <c r="L373" s="7" t="str">
        <f t="shared" si="0"/>
        <v xml:space="preserve">http://slimages.macys.com/is/image/MCY/12033149 </v>
      </c>
    </row>
    <row r="374" spans="1:12" ht="24.75" x14ac:dyDescent="0.25">
      <c r="A374" s="4" t="s">
        <v>8682</v>
      </c>
      <c r="B374" s="2" t="s">
        <v>1416</v>
      </c>
      <c r="C374" s="3">
        <v>3</v>
      </c>
      <c r="D374" s="5">
        <v>21.99</v>
      </c>
      <c r="E374" s="3" t="s">
        <v>8683</v>
      </c>
      <c r="F374" s="2" t="s">
        <v>506</v>
      </c>
      <c r="G374" s="6" t="s">
        <v>27</v>
      </c>
      <c r="H374" s="2" t="s">
        <v>194</v>
      </c>
      <c r="I374" s="2" t="s">
        <v>195</v>
      </c>
      <c r="J374" s="2" t="s">
        <v>19</v>
      </c>
      <c r="K374" s="2" t="s">
        <v>353</v>
      </c>
      <c r="L374" s="7" t="str">
        <f t="shared" si="0"/>
        <v xml:space="preserve">http://slimages.macys.com/is/image/MCY/12033149 </v>
      </c>
    </row>
    <row r="375" spans="1:12" ht="24.75" x14ac:dyDescent="0.25">
      <c r="A375" s="4" t="s">
        <v>8684</v>
      </c>
      <c r="B375" s="2" t="s">
        <v>1416</v>
      </c>
      <c r="C375" s="3">
        <v>3</v>
      </c>
      <c r="D375" s="5">
        <v>21.99</v>
      </c>
      <c r="E375" s="3" t="s">
        <v>8680</v>
      </c>
      <c r="F375" s="2" t="s">
        <v>111</v>
      </c>
      <c r="G375" s="6" t="s">
        <v>16</v>
      </c>
      <c r="H375" s="2" t="s">
        <v>194</v>
      </c>
      <c r="I375" s="2" t="s">
        <v>195</v>
      </c>
      <c r="J375" s="2" t="s">
        <v>19</v>
      </c>
      <c r="K375" s="2" t="s">
        <v>353</v>
      </c>
      <c r="L375" s="7" t="str">
        <f t="shared" si="0"/>
        <v xml:space="preserve">http://slimages.macys.com/is/image/MCY/12033149 </v>
      </c>
    </row>
    <row r="376" spans="1:12" ht="24.75" x14ac:dyDescent="0.25">
      <c r="A376" s="4" t="s">
        <v>8685</v>
      </c>
      <c r="B376" s="2" t="s">
        <v>1416</v>
      </c>
      <c r="C376" s="3">
        <v>1</v>
      </c>
      <c r="D376" s="5">
        <v>21.99</v>
      </c>
      <c r="E376" s="3" t="s">
        <v>8683</v>
      </c>
      <c r="F376" s="2" t="s">
        <v>506</v>
      </c>
      <c r="G376" s="6" t="s">
        <v>58</v>
      </c>
      <c r="H376" s="2" t="s">
        <v>194</v>
      </c>
      <c r="I376" s="2" t="s">
        <v>195</v>
      </c>
      <c r="J376" s="2" t="s">
        <v>19</v>
      </c>
      <c r="K376" s="2" t="s">
        <v>353</v>
      </c>
      <c r="L376" s="7" t="str">
        <f t="shared" si="0"/>
        <v xml:space="preserve">http://slimages.macys.com/is/image/MCY/12033149 </v>
      </c>
    </row>
    <row r="377" spans="1:12" ht="24.75" x14ac:dyDescent="0.25">
      <c r="A377" s="4" t="s">
        <v>8686</v>
      </c>
      <c r="B377" s="2" t="s">
        <v>1416</v>
      </c>
      <c r="C377" s="3">
        <v>1</v>
      </c>
      <c r="D377" s="5">
        <v>21.99</v>
      </c>
      <c r="E377" s="3" t="s">
        <v>8680</v>
      </c>
      <c r="F377" s="2" t="s">
        <v>111</v>
      </c>
      <c r="G377" s="6" t="s">
        <v>106</v>
      </c>
      <c r="H377" s="2" t="s">
        <v>194</v>
      </c>
      <c r="I377" s="2" t="s">
        <v>195</v>
      </c>
      <c r="J377" s="2" t="s">
        <v>19</v>
      </c>
      <c r="K377" s="2" t="s">
        <v>353</v>
      </c>
      <c r="L377" s="7" t="str">
        <f t="shared" si="0"/>
        <v xml:space="preserve">http://slimages.macys.com/is/image/MCY/12033149 </v>
      </c>
    </row>
    <row r="378" spans="1:12" ht="24.75" x14ac:dyDescent="0.25">
      <c r="A378" s="4" t="s">
        <v>2666</v>
      </c>
      <c r="B378" s="2" t="s">
        <v>1268</v>
      </c>
      <c r="C378" s="3">
        <v>1</v>
      </c>
      <c r="D378" s="5">
        <v>36.5</v>
      </c>
      <c r="E378" s="3" t="s">
        <v>1269</v>
      </c>
      <c r="F378" s="2" t="s">
        <v>111</v>
      </c>
      <c r="G378" s="6" t="s">
        <v>181</v>
      </c>
      <c r="H378" s="2" t="s">
        <v>194</v>
      </c>
      <c r="I378" s="2" t="s">
        <v>195</v>
      </c>
      <c r="J378" s="2" t="s">
        <v>19</v>
      </c>
      <c r="K378" s="2" t="s">
        <v>1108</v>
      </c>
      <c r="L378" s="7" t="str">
        <f>HYPERLINK("http://slimages.macys.com/is/image/MCY/11764670 ")</f>
        <v xml:space="preserve">http://slimages.macys.com/is/image/MCY/11764670 </v>
      </c>
    </row>
    <row r="379" spans="1:12" ht="24.75" x14ac:dyDescent="0.25">
      <c r="A379" s="4" t="s">
        <v>2665</v>
      </c>
      <c r="B379" s="2" t="s">
        <v>1268</v>
      </c>
      <c r="C379" s="3">
        <v>1</v>
      </c>
      <c r="D379" s="5">
        <v>36.5</v>
      </c>
      <c r="E379" s="3" t="s">
        <v>1269</v>
      </c>
      <c r="F379" s="2" t="s">
        <v>111</v>
      </c>
      <c r="G379" s="6" t="s">
        <v>234</v>
      </c>
      <c r="H379" s="2" t="s">
        <v>194</v>
      </c>
      <c r="I379" s="2" t="s">
        <v>195</v>
      </c>
      <c r="J379" s="2" t="s">
        <v>19</v>
      </c>
      <c r="K379" s="2" t="s">
        <v>1108</v>
      </c>
      <c r="L379" s="7" t="str">
        <f>HYPERLINK("http://slimages.macys.com/is/image/MCY/11764670 ")</f>
        <v xml:space="preserve">http://slimages.macys.com/is/image/MCY/11764670 </v>
      </c>
    </row>
    <row r="380" spans="1:12" ht="24.75" x14ac:dyDescent="0.25">
      <c r="A380" s="4" t="s">
        <v>5848</v>
      </c>
      <c r="B380" s="2" t="s">
        <v>1274</v>
      </c>
      <c r="C380" s="3">
        <v>1</v>
      </c>
      <c r="D380" s="5">
        <v>33.380000000000003</v>
      </c>
      <c r="E380" s="3" t="s">
        <v>1275</v>
      </c>
      <c r="F380" s="2" t="s">
        <v>26</v>
      </c>
      <c r="G380" s="6" t="s">
        <v>181</v>
      </c>
      <c r="H380" s="2" t="s">
        <v>194</v>
      </c>
      <c r="I380" s="2" t="s">
        <v>195</v>
      </c>
      <c r="J380" s="2" t="s">
        <v>19</v>
      </c>
      <c r="K380" s="2" t="s">
        <v>107</v>
      </c>
      <c r="L380" s="7" t="str">
        <f>HYPERLINK("http://slimages.macys.com/is/image/MCY/12850892 ")</f>
        <v xml:space="preserve">http://slimages.macys.com/is/image/MCY/12850892 </v>
      </c>
    </row>
    <row r="381" spans="1:12" ht="24.75" x14ac:dyDescent="0.25">
      <c r="A381" s="4" t="s">
        <v>1288</v>
      </c>
      <c r="B381" s="2" t="s">
        <v>1279</v>
      </c>
      <c r="C381" s="3">
        <v>1</v>
      </c>
      <c r="D381" s="5">
        <v>27.99</v>
      </c>
      <c r="E381" s="3" t="s">
        <v>1280</v>
      </c>
      <c r="F381" s="2" t="s">
        <v>566</v>
      </c>
      <c r="G381" s="6"/>
      <c r="H381" s="2" t="s">
        <v>312</v>
      </c>
      <c r="I381" s="2" t="s">
        <v>1112</v>
      </c>
      <c r="J381" s="2" t="s">
        <v>19</v>
      </c>
      <c r="K381" s="2" t="s">
        <v>409</v>
      </c>
      <c r="L381" s="7" t="str">
        <f>HYPERLINK("http://slimages.macys.com/is/image/MCY/3832970 ")</f>
        <v xml:space="preserve">http://slimages.macys.com/is/image/MCY/3832970 </v>
      </c>
    </row>
    <row r="382" spans="1:12" ht="24.75" x14ac:dyDescent="0.25">
      <c r="A382" s="4" t="s">
        <v>5856</v>
      </c>
      <c r="B382" s="2" t="s">
        <v>1294</v>
      </c>
      <c r="C382" s="3">
        <v>1</v>
      </c>
      <c r="D382" s="5">
        <v>37.130000000000003</v>
      </c>
      <c r="E382" s="3">
        <v>100002345</v>
      </c>
      <c r="F382" s="2" t="s">
        <v>74</v>
      </c>
      <c r="G382" s="6" t="s">
        <v>181</v>
      </c>
      <c r="H382" s="2" t="s">
        <v>284</v>
      </c>
      <c r="I382" s="2" t="s">
        <v>285</v>
      </c>
      <c r="J382" s="2" t="s">
        <v>19</v>
      </c>
      <c r="K382" s="2" t="s">
        <v>2669</v>
      </c>
      <c r="L382" s="7" t="str">
        <f>HYPERLINK("http://slimages.macys.com/is/image/MCY/8660800 ")</f>
        <v xml:space="preserve">http://slimages.macys.com/is/image/MCY/8660800 </v>
      </c>
    </row>
    <row r="383" spans="1:12" ht="24.75" x14ac:dyDescent="0.25">
      <c r="A383" s="4" t="s">
        <v>8687</v>
      </c>
      <c r="B383" s="2" t="s">
        <v>1294</v>
      </c>
      <c r="C383" s="3">
        <v>1</v>
      </c>
      <c r="D383" s="5">
        <v>37.130000000000003</v>
      </c>
      <c r="E383" s="3">
        <v>100002345</v>
      </c>
      <c r="F383" s="2" t="s">
        <v>74</v>
      </c>
      <c r="G383" s="6" t="s">
        <v>154</v>
      </c>
      <c r="H383" s="2" t="s">
        <v>284</v>
      </c>
      <c r="I383" s="2" t="s">
        <v>285</v>
      </c>
      <c r="J383" s="2" t="s">
        <v>19</v>
      </c>
      <c r="K383" s="2" t="s">
        <v>2669</v>
      </c>
      <c r="L383" s="7" t="str">
        <f>HYPERLINK("http://slimages.macys.com/is/image/MCY/8660800 ")</f>
        <v xml:space="preserve">http://slimages.macys.com/is/image/MCY/8660800 </v>
      </c>
    </row>
    <row r="384" spans="1:12" ht="24.75" x14ac:dyDescent="0.25">
      <c r="A384" s="4" t="s">
        <v>8688</v>
      </c>
      <c r="B384" s="2" t="s">
        <v>5852</v>
      </c>
      <c r="C384" s="3">
        <v>1</v>
      </c>
      <c r="D384" s="5">
        <v>29.63</v>
      </c>
      <c r="E384" s="3" t="s">
        <v>5853</v>
      </c>
      <c r="F384" s="2" t="s">
        <v>566</v>
      </c>
      <c r="G384" s="6" t="s">
        <v>234</v>
      </c>
      <c r="H384" s="2" t="s">
        <v>284</v>
      </c>
      <c r="I384" s="2" t="s">
        <v>285</v>
      </c>
      <c r="J384" s="2" t="s">
        <v>19</v>
      </c>
      <c r="K384" s="2" t="s">
        <v>1045</v>
      </c>
      <c r="L384" s="7" t="str">
        <f>HYPERLINK("http://slimages.macys.com/is/image/MCY/11604950 ")</f>
        <v xml:space="preserve">http://slimages.macys.com/is/image/MCY/11604950 </v>
      </c>
    </row>
    <row r="385" spans="1:12" ht="24.75" x14ac:dyDescent="0.25">
      <c r="A385" s="4" t="s">
        <v>1285</v>
      </c>
      <c r="B385" s="2" t="s">
        <v>1279</v>
      </c>
      <c r="C385" s="3">
        <v>7</v>
      </c>
      <c r="D385" s="5">
        <v>27.99</v>
      </c>
      <c r="E385" s="3" t="s">
        <v>1286</v>
      </c>
      <c r="F385" s="2" t="s">
        <v>506</v>
      </c>
      <c r="G385" s="6" t="s">
        <v>154</v>
      </c>
      <c r="H385" s="2" t="s">
        <v>194</v>
      </c>
      <c r="I385" s="2" t="s">
        <v>919</v>
      </c>
      <c r="J385" s="2" t="s">
        <v>19</v>
      </c>
      <c r="K385" s="2" t="s">
        <v>409</v>
      </c>
      <c r="L385" s="7" t="str">
        <f>HYPERLINK("http://slimages.macys.com/is/image/MCY/8185331 ")</f>
        <v xml:space="preserve">http://slimages.macys.com/is/image/MCY/8185331 </v>
      </c>
    </row>
    <row r="386" spans="1:12" ht="24.75" x14ac:dyDescent="0.25">
      <c r="A386" s="4" t="s">
        <v>4930</v>
      </c>
      <c r="B386" s="2" t="s">
        <v>1196</v>
      </c>
      <c r="C386" s="3">
        <v>2</v>
      </c>
      <c r="D386" s="5">
        <v>37.130000000000003</v>
      </c>
      <c r="E386" s="3" t="s">
        <v>1305</v>
      </c>
      <c r="F386" s="2" t="s">
        <v>887</v>
      </c>
      <c r="G386" s="6"/>
      <c r="H386" s="2" t="s">
        <v>312</v>
      </c>
      <c r="I386" s="2" t="s">
        <v>195</v>
      </c>
      <c r="J386" s="2" t="s">
        <v>19</v>
      </c>
      <c r="K386" s="2" t="s">
        <v>990</v>
      </c>
      <c r="L386" s="7" t="str">
        <f>HYPERLINK("http://slimages.macys.com/is/image/MCY/12280097 ")</f>
        <v xml:space="preserve">http://slimages.macys.com/is/image/MCY/12280097 </v>
      </c>
    </row>
    <row r="387" spans="1:12" ht="24.75" x14ac:dyDescent="0.25">
      <c r="A387" s="4" t="s">
        <v>6613</v>
      </c>
      <c r="B387" s="2" t="s">
        <v>1307</v>
      </c>
      <c r="C387" s="3">
        <v>1</v>
      </c>
      <c r="D387" s="5">
        <v>32.5</v>
      </c>
      <c r="E387" s="3" t="s">
        <v>1308</v>
      </c>
      <c r="F387" s="2" t="s">
        <v>193</v>
      </c>
      <c r="G387" s="6" t="s">
        <v>156</v>
      </c>
      <c r="H387" s="2" t="s">
        <v>194</v>
      </c>
      <c r="I387" s="2" t="s">
        <v>195</v>
      </c>
      <c r="J387" s="2" t="s">
        <v>19</v>
      </c>
      <c r="K387" s="2" t="s">
        <v>1108</v>
      </c>
      <c r="L387" s="7" t="str">
        <f>HYPERLINK("http://slimages.macys.com/is/image/MCY/12950211 ")</f>
        <v xml:space="preserve">http://slimages.macys.com/is/image/MCY/12950211 </v>
      </c>
    </row>
    <row r="388" spans="1:12" ht="24.75" x14ac:dyDescent="0.25">
      <c r="A388" s="4" t="s">
        <v>2671</v>
      </c>
      <c r="B388" s="2" t="s">
        <v>1307</v>
      </c>
      <c r="C388" s="3">
        <v>1</v>
      </c>
      <c r="D388" s="5">
        <v>32.5</v>
      </c>
      <c r="E388" s="3" t="s">
        <v>1308</v>
      </c>
      <c r="F388" s="2" t="s">
        <v>193</v>
      </c>
      <c r="G388" s="6" t="s">
        <v>181</v>
      </c>
      <c r="H388" s="2" t="s">
        <v>194</v>
      </c>
      <c r="I388" s="2" t="s">
        <v>195</v>
      </c>
      <c r="J388" s="2" t="s">
        <v>19</v>
      </c>
      <c r="K388" s="2" t="s">
        <v>1108</v>
      </c>
      <c r="L388" s="7" t="str">
        <f>HYPERLINK("http://slimages.macys.com/is/image/MCY/12950211 ")</f>
        <v xml:space="preserve">http://slimages.macys.com/is/image/MCY/12950211 </v>
      </c>
    </row>
    <row r="389" spans="1:12" ht="24.75" x14ac:dyDescent="0.25">
      <c r="A389" s="4" t="s">
        <v>8689</v>
      </c>
      <c r="B389" s="2" t="s">
        <v>2486</v>
      </c>
      <c r="C389" s="3">
        <v>1</v>
      </c>
      <c r="D389" s="5">
        <v>44.63</v>
      </c>
      <c r="E389" s="3" t="s">
        <v>2487</v>
      </c>
      <c r="F389" s="2" t="s">
        <v>64</v>
      </c>
      <c r="G389" s="6" t="s">
        <v>27</v>
      </c>
      <c r="H389" s="2" t="s">
        <v>246</v>
      </c>
      <c r="I389" s="2" t="s">
        <v>487</v>
      </c>
      <c r="J389" s="2" t="s">
        <v>19</v>
      </c>
      <c r="K389" s="2" t="s">
        <v>409</v>
      </c>
      <c r="L389" s="7" t="str">
        <f>HYPERLINK("http://slimages.macys.com/is/image/MCY/11471043 ")</f>
        <v xml:space="preserve">http://slimages.macys.com/is/image/MCY/11471043 </v>
      </c>
    </row>
    <row r="390" spans="1:12" ht="24.75" x14ac:dyDescent="0.25">
      <c r="A390" s="4" t="s">
        <v>8690</v>
      </c>
      <c r="B390" s="2" t="s">
        <v>1314</v>
      </c>
      <c r="C390" s="3">
        <v>1</v>
      </c>
      <c r="D390" s="5">
        <v>24.99</v>
      </c>
      <c r="E390" s="3">
        <v>100010068</v>
      </c>
      <c r="F390" s="2" t="s">
        <v>998</v>
      </c>
      <c r="G390" s="6" t="s">
        <v>58</v>
      </c>
      <c r="H390" s="2" t="s">
        <v>228</v>
      </c>
      <c r="I390" s="2" t="s">
        <v>863</v>
      </c>
      <c r="J390" s="2" t="s">
        <v>19</v>
      </c>
      <c r="K390" s="2" t="s">
        <v>1315</v>
      </c>
      <c r="L390" s="7" t="str">
        <f t="shared" ref="L390:L397" si="1">HYPERLINK("http://slimages.macys.com/is/image/MCY/9190991 ")</f>
        <v xml:space="preserve">http://slimages.macys.com/is/image/MCY/9190991 </v>
      </c>
    </row>
    <row r="391" spans="1:12" ht="24.75" x14ac:dyDescent="0.25">
      <c r="A391" s="4" t="s">
        <v>1313</v>
      </c>
      <c r="B391" s="2" t="s">
        <v>1314</v>
      </c>
      <c r="C391" s="3">
        <v>1</v>
      </c>
      <c r="D391" s="5">
        <v>24.99</v>
      </c>
      <c r="E391" s="3">
        <v>100010068</v>
      </c>
      <c r="F391" s="2" t="s">
        <v>998</v>
      </c>
      <c r="G391" s="6" t="s">
        <v>106</v>
      </c>
      <c r="H391" s="2" t="s">
        <v>228</v>
      </c>
      <c r="I391" s="2" t="s">
        <v>863</v>
      </c>
      <c r="J391" s="2" t="s">
        <v>19</v>
      </c>
      <c r="K391" s="2" t="s">
        <v>1315</v>
      </c>
      <c r="L391" s="7" t="str">
        <f t="shared" si="1"/>
        <v xml:space="preserve">http://slimages.macys.com/is/image/MCY/9190991 </v>
      </c>
    </row>
    <row r="392" spans="1:12" ht="24.75" x14ac:dyDescent="0.25">
      <c r="A392" s="4" t="s">
        <v>8691</v>
      </c>
      <c r="B392" s="2" t="s">
        <v>1314</v>
      </c>
      <c r="C392" s="3">
        <v>1</v>
      </c>
      <c r="D392" s="5">
        <v>24.99</v>
      </c>
      <c r="E392" s="3">
        <v>100010068</v>
      </c>
      <c r="F392" s="2" t="s">
        <v>998</v>
      </c>
      <c r="G392" s="6" t="s">
        <v>27</v>
      </c>
      <c r="H392" s="2" t="s">
        <v>228</v>
      </c>
      <c r="I392" s="2" t="s">
        <v>863</v>
      </c>
      <c r="J392" s="2" t="s">
        <v>19</v>
      </c>
      <c r="K392" s="2" t="s">
        <v>1315</v>
      </c>
      <c r="L392" s="7" t="str">
        <f t="shared" si="1"/>
        <v xml:space="preserve">http://slimages.macys.com/is/image/MCY/9190991 </v>
      </c>
    </row>
    <row r="393" spans="1:12" ht="24.75" x14ac:dyDescent="0.25">
      <c r="A393" s="4" t="s">
        <v>8692</v>
      </c>
      <c r="B393" s="2" t="s">
        <v>1314</v>
      </c>
      <c r="C393" s="3">
        <v>2</v>
      </c>
      <c r="D393" s="5">
        <v>24.99</v>
      </c>
      <c r="E393" s="3">
        <v>100010068</v>
      </c>
      <c r="F393" s="2" t="s">
        <v>998</v>
      </c>
      <c r="G393" s="6" t="s">
        <v>65</v>
      </c>
      <c r="H393" s="2" t="s">
        <v>228</v>
      </c>
      <c r="I393" s="2" t="s">
        <v>863</v>
      </c>
      <c r="J393" s="2" t="s">
        <v>19</v>
      </c>
      <c r="K393" s="2" t="s">
        <v>1315</v>
      </c>
      <c r="L393" s="7" t="str">
        <f t="shared" si="1"/>
        <v xml:space="preserve">http://slimages.macys.com/is/image/MCY/9190991 </v>
      </c>
    </row>
    <row r="394" spans="1:12" ht="24.75" x14ac:dyDescent="0.25">
      <c r="A394" s="4" t="s">
        <v>8693</v>
      </c>
      <c r="B394" s="2" t="s">
        <v>1314</v>
      </c>
      <c r="C394" s="3">
        <v>1</v>
      </c>
      <c r="D394" s="5">
        <v>24.99</v>
      </c>
      <c r="E394" s="3">
        <v>100010068</v>
      </c>
      <c r="F394" s="2" t="s">
        <v>998</v>
      </c>
      <c r="G394" s="6" t="s">
        <v>22</v>
      </c>
      <c r="H394" s="2" t="s">
        <v>228</v>
      </c>
      <c r="I394" s="2" t="s">
        <v>863</v>
      </c>
      <c r="J394" s="2" t="s">
        <v>19</v>
      </c>
      <c r="K394" s="2" t="s">
        <v>1315</v>
      </c>
      <c r="L394" s="7" t="str">
        <f t="shared" si="1"/>
        <v xml:space="preserve">http://slimages.macys.com/is/image/MCY/9190991 </v>
      </c>
    </row>
    <row r="395" spans="1:12" ht="24.75" x14ac:dyDescent="0.25">
      <c r="A395" s="4" t="s">
        <v>8694</v>
      </c>
      <c r="B395" s="2" t="s">
        <v>3181</v>
      </c>
      <c r="C395" s="3">
        <v>1</v>
      </c>
      <c r="D395" s="5">
        <v>24.99</v>
      </c>
      <c r="E395" s="3">
        <v>100059296</v>
      </c>
      <c r="F395" s="2" t="s">
        <v>64</v>
      </c>
      <c r="G395" s="6" t="s">
        <v>112</v>
      </c>
      <c r="H395" s="2" t="s">
        <v>228</v>
      </c>
      <c r="I395" s="2" t="s">
        <v>229</v>
      </c>
      <c r="J395" s="2" t="s">
        <v>19</v>
      </c>
      <c r="K395" s="2" t="s">
        <v>1315</v>
      </c>
      <c r="L395" s="7" t="str">
        <f t="shared" si="1"/>
        <v xml:space="preserve">http://slimages.macys.com/is/image/MCY/9190991 </v>
      </c>
    </row>
    <row r="396" spans="1:12" ht="24.75" x14ac:dyDescent="0.25">
      <c r="A396" s="4" t="s">
        <v>8695</v>
      </c>
      <c r="B396" s="2" t="s">
        <v>3181</v>
      </c>
      <c r="C396" s="3">
        <v>1</v>
      </c>
      <c r="D396" s="5">
        <v>24.99</v>
      </c>
      <c r="E396" s="3">
        <v>100059296</v>
      </c>
      <c r="F396" s="2" t="s">
        <v>64</v>
      </c>
      <c r="G396" s="6" t="s">
        <v>65</v>
      </c>
      <c r="H396" s="2" t="s">
        <v>228</v>
      </c>
      <c r="I396" s="2" t="s">
        <v>229</v>
      </c>
      <c r="J396" s="2" t="s">
        <v>19</v>
      </c>
      <c r="K396" s="2" t="s">
        <v>1315</v>
      </c>
      <c r="L396" s="7" t="str">
        <f t="shared" si="1"/>
        <v xml:space="preserve">http://slimages.macys.com/is/image/MCY/9190991 </v>
      </c>
    </row>
    <row r="397" spans="1:12" ht="24.75" x14ac:dyDescent="0.25">
      <c r="A397" s="4" t="s">
        <v>8696</v>
      </c>
      <c r="B397" s="2" t="s">
        <v>3181</v>
      </c>
      <c r="C397" s="3">
        <v>1</v>
      </c>
      <c r="D397" s="5">
        <v>24.99</v>
      </c>
      <c r="E397" s="3">
        <v>100059296</v>
      </c>
      <c r="F397" s="2" t="s">
        <v>64</v>
      </c>
      <c r="G397" s="6" t="s">
        <v>27</v>
      </c>
      <c r="H397" s="2" t="s">
        <v>228</v>
      </c>
      <c r="I397" s="2" t="s">
        <v>229</v>
      </c>
      <c r="J397" s="2" t="s">
        <v>19</v>
      </c>
      <c r="K397" s="2" t="s">
        <v>1315</v>
      </c>
      <c r="L397" s="7" t="str">
        <f t="shared" si="1"/>
        <v xml:space="preserve">http://slimages.macys.com/is/image/MCY/9190991 </v>
      </c>
    </row>
    <row r="398" spans="1:12" ht="24.75" x14ac:dyDescent="0.25">
      <c r="A398" s="4" t="s">
        <v>8697</v>
      </c>
      <c r="B398" s="2" t="s">
        <v>5894</v>
      </c>
      <c r="C398" s="3">
        <v>1</v>
      </c>
      <c r="D398" s="5">
        <v>29.63</v>
      </c>
      <c r="E398" s="3" t="s">
        <v>8175</v>
      </c>
      <c r="F398" s="2" t="s">
        <v>562</v>
      </c>
      <c r="G398" s="6" t="s">
        <v>181</v>
      </c>
      <c r="H398" s="2" t="s">
        <v>284</v>
      </c>
      <c r="I398" s="2" t="s">
        <v>285</v>
      </c>
      <c r="J398" s="2" t="s">
        <v>19</v>
      </c>
      <c r="K398" s="2" t="s">
        <v>160</v>
      </c>
      <c r="L398" s="7" t="str">
        <f>HYPERLINK("http://slimages.macys.com/is/image/MCY/13081238 ")</f>
        <v xml:space="preserve">http://slimages.macys.com/is/image/MCY/13081238 </v>
      </c>
    </row>
    <row r="399" spans="1:12" ht="24.75" x14ac:dyDescent="0.25">
      <c r="A399" s="4" t="s">
        <v>8698</v>
      </c>
      <c r="B399" s="2" t="s">
        <v>1333</v>
      </c>
      <c r="C399" s="3">
        <v>1</v>
      </c>
      <c r="D399" s="5">
        <v>24.99</v>
      </c>
      <c r="E399" s="3" t="s">
        <v>1334</v>
      </c>
      <c r="F399" s="2" t="s">
        <v>417</v>
      </c>
      <c r="G399" s="6" t="s">
        <v>3866</v>
      </c>
      <c r="H399" s="2" t="s">
        <v>228</v>
      </c>
      <c r="I399" s="2" t="s">
        <v>229</v>
      </c>
      <c r="J399" s="2" t="s">
        <v>19</v>
      </c>
      <c r="K399" s="2" t="s">
        <v>253</v>
      </c>
      <c r="L399" s="7" t="str">
        <f>HYPERLINK("http://slimages.macys.com/is/image/MCY/8185688 ")</f>
        <v xml:space="preserve">http://slimages.macys.com/is/image/MCY/8185688 </v>
      </c>
    </row>
    <row r="400" spans="1:12" ht="24.75" x14ac:dyDescent="0.25">
      <c r="A400" s="4" t="s">
        <v>3859</v>
      </c>
      <c r="B400" s="2" t="s">
        <v>1330</v>
      </c>
      <c r="C400" s="3">
        <v>2</v>
      </c>
      <c r="D400" s="5">
        <v>37.130000000000003</v>
      </c>
      <c r="E400" s="3" t="s">
        <v>1331</v>
      </c>
      <c r="F400" s="2" t="s">
        <v>74</v>
      </c>
      <c r="G400" s="6" t="s">
        <v>154</v>
      </c>
      <c r="H400" s="2" t="s">
        <v>194</v>
      </c>
      <c r="I400" s="2" t="s">
        <v>195</v>
      </c>
      <c r="J400" s="2" t="s">
        <v>19</v>
      </c>
      <c r="K400" s="2" t="s">
        <v>247</v>
      </c>
      <c r="L400" s="7" t="str">
        <f t="shared" ref="L400:L405" si="2">HYPERLINK("http://slimages.macys.com/is/image/MCY/10889638 ")</f>
        <v xml:space="preserve">http://slimages.macys.com/is/image/MCY/10889638 </v>
      </c>
    </row>
    <row r="401" spans="1:12" ht="24.75" x14ac:dyDescent="0.25">
      <c r="A401" s="4" t="s">
        <v>1341</v>
      </c>
      <c r="B401" s="2" t="s">
        <v>1330</v>
      </c>
      <c r="C401" s="3">
        <v>1</v>
      </c>
      <c r="D401" s="5">
        <v>37.130000000000003</v>
      </c>
      <c r="E401" s="3" t="s">
        <v>1331</v>
      </c>
      <c r="F401" s="2" t="s">
        <v>417</v>
      </c>
      <c r="G401" s="6" t="s">
        <v>181</v>
      </c>
      <c r="H401" s="2" t="s">
        <v>194</v>
      </c>
      <c r="I401" s="2" t="s">
        <v>195</v>
      </c>
      <c r="J401" s="2" t="s">
        <v>19</v>
      </c>
      <c r="K401" s="2" t="s">
        <v>247</v>
      </c>
      <c r="L401" s="7" t="str">
        <f t="shared" si="2"/>
        <v xml:space="preserve">http://slimages.macys.com/is/image/MCY/10889638 </v>
      </c>
    </row>
    <row r="402" spans="1:12" ht="24.75" x14ac:dyDescent="0.25">
      <c r="A402" s="4" t="s">
        <v>8699</v>
      </c>
      <c r="B402" s="2" t="s">
        <v>1330</v>
      </c>
      <c r="C402" s="3">
        <v>1</v>
      </c>
      <c r="D402" s="5">
        <v>37.130000000000003</v>
      </c>
      <c r="E402" s="3" t="s">
        <v>1331</v>
      </c>
      <c r="F402" s="2" t="s">
        <v>417</v>
      </c>
      <c r="G402" s="6" t="s">
        <v>245</v>
      </c>
      <c r="H402" s="2" t="s">
        <v>194</v>
      </c>
      <c r="I402" s="2" t="s">
        <v>195</v>
      </c>
      <c r="J402" s="2" t="s">
        <v>19</v>
      </c>
      <c r="K402" s="2" t="s">
        <v>247</v>
      </c>
      <c r="L402" s="7" t="str">
        <f t="shared" si="2"/>
        <v xml:space="preserve">http://slimages.macys.com/is/image/MCY/10889638 </v>
      </c>
    </row>
    <row r="403" spans="1:12" ht="24.75" x14ac:dyDescent="0.25">
      <c r="A403" s="4" t="s">
        <v>1336</v>
      </c>
      <c r="B403" s="2" t="s">
        <v>1330</v>
      </c>
      <c r="C403" s="3">
        <v>1</v>
      </c>
      <c r="D403" s="5">
        <v>37.130000000000003</v>
      </c>
      <c r="E403" s="3" t="s">
        <v>1331</v>
      </c>
      <c r="F403" s="2" t="s">
        <v>74</v>
      </c>
      <c r="G403" s="6" t="s">
        <v>234</v>
      </c>
      <c r="H403" s="2" t="s">
        <v>194</v>
      </c>
      <c r="I403" s="2" t="s">
        <v>195</v>
      </c>
      <c r="J403" s="2" t="s">
        <v>19</v>
      </c>
      <c r="K403" s="2" t="s">
        <v>247</v>
      </c>
      <c r="L403" s="7" t="str">
        <f t="shared" si="2"/>
        <v xml:space="preserve">http://slimages.macys.com/is/image/MCY/10889638 </v>
      </c>
    </row>
    <row r="404" spans="1:12" ht="24.75" x14ac:dyDescent="0.25">
      <c r="A404" s="4" t="s">
        <v>1329</v>
      </c>
      <c r="B404" s="2" t="s">
        <v>1330</v>
      </c>
      <c r="C404" s="3">
        <v>2</v>
      </c>
      <c r="D404" s="5">
        <v>37.130000000000003</v>
      </c>
      <c r="E404" s="3" t="s">
        <v>1331</v>
      </c>
      <c r="F404" s="2" t="s">
        <v>417</v>
      </c>
      <c r="G404" s="6" t="s">
        <v>234</v>
      </c>
      <c r="H404" s="2" t="s">
        <v>194</v>
      </c>
      <c r="I404" s="2" t="s">
        <v>195</v>
      </c>
      <c r="J404" s="2" t="s">
        <v>19</v>
      </c>
      <c r="K404" s="2" t="s">
        <v>247</v>
      </c>
      <c r="L404" s="7" t="str">
        <f t="shared" si="2"/>
        <v xml:space="preserve">http://slimages.macys.com/is/image/MCY/10889638 </v>
      </c>
    </row>
    <row r="405" spans="1:12" ht="24.75" x14ac:dyDescent="0.25">
      <c r="A405" s="4" t="s">
        <v>2681</v>
      </c>
      <c r="B405" s="2" t="s">
        <v>1330</v>
      </c>
      <c r="C405" s="3">
        <v>1</v>
      </c>
      <c r="D405" s="5">
        <v>37.130000000000003</v>
      </c>
      <c r="E405" s="3" t="s">
        <v>1331</v>
      </c>
      <c r="F405" s="2" t="s">
        <v>417</v>
      </c>
      <c r="G405" s="6" t="s">
        <v>154</v>
      </c>
      <c r="H405" s="2" t="s">
        <v>194</v>
      </c>
      <c r="I405" s="2" t="s">
        <v>195</v>
      </c>
      <c r="J405" s="2" t="s">
        <v>19</v>
      </c>
      <c r="K405" s="2" t="s">
        <v>247</v>
      </c>
      <c r="L405" s="7" t="str">
        <f t="shared" si="2"/>
        <v xml:space="preserve">http://slimages.macys.com/is/image/MCY/10889638 </v>
      </c>
    </row>
    <row r="406" spans="1:12" ht="24.75" x14ac:dyDescent="0.25">
      <c r="A406" s="4" t="s">
        <v>4948</v>
      </c>
      <c r="B406" s="2" t="s">
        <v>2683</v>
      </c>
      <c r="C406" s="3">
        <v>1</v>
      </c>
      <c r="D406" s="5">
        <v>33.380000000000003</v>
      </c>
      <c r="E406" s="3" t="s">
        <v>2684</v>
      </c>
      <c r="F406" s="2" t="s">
        <v>752</v>
      </c>
      <c r="G406" s="6" t="s">
        <v>234</v>
      </c>
      <c r="H406" s="2" t="s">
        <v>194</v>
      </c>
      <c r="I406" s="2" t="s">
        <v>195</v>
      </c>
      <c r="J406" s="2" t="s">
        <v>19</v>
      </c>
      <c r="K406" s="2" t="s">
        <v>247</v>
      </c>
      <c r="L406" s="7" t="str">
        <f>HYPERLINK("http://slimages.macys.com/is/image/MCY/12404928 ")</f>
        <v xml:space="preserve">http://slimages.macys.com/is/image/MCY/12404928 </v>
      </c>
    </row>
    <row r="407" spans="1:12" ht="48.75" x14ac:dyDescent="0.25">
      <c r="A407" s="4" t="s">
        <v>4951</v>
      </c>
      <c r="B407" s="2" t="s">
        <v>1155</v>
      </c>
      <c r="C407" s="3">
        <v>1</v>
      </c>
      <c r="D407" s="5">
        <v>37.130000000000003</v>
      </c>
      <c r="E407" s="3" t="s">
        <v>3875</v>
      </c>
      <c r="F407" s="2" t="s">
        <v>26</v>
      </c>
      <c r="G407" s="6" t="s">
        <v>234</v>
      </c>
      <c r="H407" s="2" t="s">
        <v>194</v>
      </c>
      <c r="I407" s="2" t="s">
        <v>195</v>
      </c>
      <c r="J407" s="2" t="s">
        <v>19</v>
      </c>
      <c r="K407" s="2" t="s">
        <v>3879</v>
      </c>
      <c r="L407" s="7" t="str">
        <f>HYPERLINK("http://slimages.macys.com/is/image/MCY/12404881 ")</f>
        <v xml:space="preserve">http://slimages.macys.com/is/image/MCY/12404881 </v>
      </c>
    </row>
    <row r="408" spans="1:12" ht="48.75" x14ac:dyDescent="0.25">
      <c r="A408" s="4" t="s">
        <v>5874</v>
      </c>
      <c r="B408" s="2" t="s">
        <v>1155</v>
      </c>
      <c r="C408" s="3">
        <v>1</v>
      </c>
      <c r="D408" s="5">
        <v>37.130000000000003</v>
      </c>
      <c r="E408" s="3" t="s">
        <v>3875</v>
      </c>
      <c r="F408" s="2" t="s">
        <v>26</v>
      </c>
      <c r="G408" s="6" t="s">
        <v>181</v>
      </c>
      <c r="H408" s="2" t="s">
        <v>194</v>
      </c>
      <c r="I408" s="2" t="s">
        <v>195</v>
      </c>
      <c r="J408" s="2" t="s">
        <v>19</v>
      </c>
      <c r="K408" s="2" t="s">
        <v>3879</v>
      </c>
      <c r="L408" s="7" t="str">
        <f>HYPERLINK("http://slimages.macys.com/is/image/MCY/12404881 ")</f>
        <v xml:space="preserve">http://slimages.macys.com/is/image/MCY/12404881 </v>
      </c>
    </row>
    <row r="409" spans="1:12" ht="24.75" x14ac:dyDescent="0.25">
      <c r="A409" s="4" t="s">
        <v>3880</v>
      </c>
      <c r="B409" s="2" t="s">
        <v>1318</v>
      </c>
      <c r="C409" s="3">
        <v>1</v>
      </c>
      <c r="D409" s="5">
        <v>24.99</v>
      </c>
      <c r="E409" s="3" t="s">
        <v>1321</v>
      </c>
      <c r="F409" s="2" t="s">
        <v>506</v>
      </c>
      <c r="G409" s="6" t="s">
        <v>27</v>
      </c>
      <c r="H409" s="2" t="s">
        <v>228</v>
      </c>
      <c r="I409" s="2" t="s">
        <v>229</v>
      </c>
      <c r="J409" s="2" t="s">
        <v>19</v>
      </c>
      <c r="K409" s="2" t="s">
        <v>253</v>
      </c>
      <c r="L409" s="7" t="str">
        <f>HYPERLINK("http://slimages.macys.com/is/image/MCY/8296032 ")</f>
        <v xml:space="preserve">http://slimages.macys.com/is/image/MCY/8296032 </v>
      </c>
    </row>
    <row r="410" spans="1:12" ht="24.75" x14ac:dyDescent="0.25">
      <c r="A410" s="4" t="s">
        <v>5884</v>
      </c>
      <c r="B410" s="2" t="s">
        <v>1356</v>
      </c>
      <c r="C410" s="3">
        <v>1</v>
      </c>
      <c r="D410" s="5">
        <v>34.5</v>
      </c>
      <c r="E410" s="3">
        <v>100045813</v>
      </c>
      <c r="F410" s="2" t="s">
        <v>111</v>
      </c>
      <c r="G410" s="6" t="s">
        <v>112</v>
      </c>
      <c r="H410" s="2" t="s">
        <v>228</v>
      </c>
      <c r="I410" s="2" t="s">
        <v>229</v>
      </c>
      <c r="J410" s="2" t="s">
        <v>19</v>
      </c>
      <c r="K410" s="2" t="s">
        <v>353</v>
      </c>
      <c r="L410" s="7" t="str">
        <f>HYPERLINK("http://slimages.macys.com/is/image/MCY/11936020 ")</f>
        <v xml:space="preserve">http://slimages.macys.com/is/image/MCY/11936020 </v>
      </c>
    </row>
    <row r="411" spans="1:12" ht="24.75" x14ac:dyDescent="0.25">
      <c r="A411" s="4" t="s">
        <v>6647</v>
      </c>
      <c r="B411" s="2" t="s">
        <v>1356</v>
      </c>
      <c r="C411" s="3">
        <v>1</v>
      </c>
      <c r="D411" s="5">
        <v>34.5</v>
      </c>
      <c r="E411" s="3">
        <v>100045813</v>
      </c>
      <c r="F411" s="2" t="s">
        <v>111</v>
      </c>
      <c r="G411" s="6" t="s">
        <v>16</v>
      </c>
      <c r="H411" s="2" t="s">
        <v>228</v>
      </c>
      <c r="I411" s="2" t="s">
        <v>229</v>
      </c>
      <c r="J411" s="2" t="s">
        <v>19</v>
      </c>
      <c r="K411" s="2" t="s">
        <v>353</v>
      </c>
      <c r="L411" s="7" t="str">
        <f>HYPERLINK("http://slimages.macys.com/is/image/MCY/11936020 ")</f>
        <v xml:space="preserve">http://slimages.macys.com/is/image/MCY/11936020 </v>
      </c>
    </row>
    <row r="412" spans="1:12" ht="24.75" x14ac:dyDescent="0.25">
      <c r="A412" s="4" t="s">
        <v>6633</v>
      </c>
      <c r="B412" s="2" t="s">
        <v>1356</v>
      </c>
      <c r="C412" s="3">
        <v>1</v>
      </c>
      <c r="D412" s="5">
        <v>34.5</v>
      </c>
      <c r="E412" s="3">
        <v>100045813</v>
      </c>
      <c r="F412" s="2" t="s">
        <v>111</v>
      </c>
      <c r="G412" s="6" t="s">
        <v>141</v>
      </c>
      <c r="H412" s="2" t="s">
        <v>228</v>
      </c>
      <c r="I412" s="2" t="s">
        <v>229</v>
      </c>
      <c r="J412" s="2" t="s">
        <v>19</v>
      </c>
      <c r="K412" s="2" t="s">
        <v>353</v>
      </c>
      <c r="L412" s="7" t="str">
        <f>HYPERLINK("http://slimages.macys.com/is/image/MCY/11936020 ")</f>
        <v xml:space="preserve">http://slimages.macys.com/is/image/MCY/11936020 </v>
      </c>
    </row>
    <row r="413" spans="1:12" ht="24.75" x14ac:dyDescent="0.25">
      <c r="A413" s="4" t="s">
        <v>8700</v>
      </c>
      <c r="B413" s="2" t="s">
        <v>1318</v>
      </c>
      <c r="C413" s="3">
        <v>1</v>
      </c>
      <c r="D413" s="5">
        <v>24.99</v>
      </c>
      <c r="E413" s="3" t="s">
        <v>1321</v>
      </c>
      <c r="F413" s="2" t="s">
        <v>89</v>
      </c>
      <c r="G413" s="6" t="s">
        <v>22</v>
      </c>
      <c r="H413" s="2" t="s">
        <v>228</v>
      </c>
      <c r="I413" s="2" t="s">
        <v>229</v>
      </c>
      <c r="J413" s="2" t="s">
        <v>19</v>
      </c>
      <c r="K413" s="2" t="s">
        <v>253</v>
      </c>
      <c r="L413" s="7" t="str">
        <f>HYPERLINK("http://slimages.macys.com/is/image/MCY/9029356 ")</f>
        <v xml:space="preserve">http://slimages.macys.com/is/image/MCY/9029356 </v>
      </c>
    </row>
    <row r="414" spans="1:12" ht="24.75" x14ac:dyDescent="0.25">
      <c r="A414" s="4" t="s">
        <v>8701</v>
      </c>
      <c r="B414" s="2" t="s">
        <v>1318</v>
      </c>
      <c r="C414" s="3">
        <v>1</v>
      </c>
      <c r="D414" s="5">
        <v>24.99</v>
      </c>
      <c r="E414" s="3" t="s">
        <v>1321</v>
      </c>
      <c r="F414" s="2" t="s">
        <v>64</v>
      </c>
      <c r="G414" s="6" t="s">
        <v>27</v>
      </c>
      <c r="H414" s="2" t="s">
        <v>228</v>
      </c>
      <c r="I414" s="2" t="s">
        <v>229</v>
      </c>
      <c r="J414" s="2" t="s">
        <v>19</v>
      </c>
      <c r="K414" s="2" t="s">
        <v>253</v>
      </c>
      <c r="L414" s="7" t="str">
        <f>HYPERLINK("http://slimages.macys.com/is/image/MCY/9029356 ")</f>
        <v xml:space="preserve">http://slimages.macys.com/is/image/MCY/9029356 </v>
      </c>
    </row>
    <row r="415" spans="1:12" ht="24.75" x14ac:dyDescent="0.25">
      <c r="A415" s="4" t="s">
        <v>6629</v>
      </c>
      <c r="B415" s="2" t="s">
        <v>1318</v>
      </c>
      <c r="C415" s="3">
        <v>1</v>
      </c>
      <c r="D415" s="5">
        <v>24.99</v>
      </c>
      <c r="E415" s="3" t="s">
        <v>1321</v>
      </c>
      <c r="F415" s="2" t="s">
        <v>89</v>
      </c>
      <c r="G415" s="6" t="s">
        <v>16</v>
      </c>
      <c r="H415" s="2" t="s">
        <v>228</v>
      </c>
      <c r="I415" s="2" t="s">
        <v>229</v>
      </c>
      <c r="J415" s="2" t="s">
        <v>19</v>
      </c>
      <c r="K415" s="2" t="s">
        <v>253</v>
      </c>
      <c r="L415" s="7" t="str">
        <f>HYPERLINK("http://slimages.macys.com/is/image/MCY/9029356 ")</f>
        <v xml:space="preserve">http://slimages.macys.com/is/image/MCY/9029356 </v>
      </c>
    </row>
    <row r="416" spans="1:12" ht="24.75" x14ac:dyDescent="0.25">
      <c r="A416" s="4" t="s">
        <v>2697</v>
      </c>
      <c r="B416" s="2" t="s">
        <v>1356</v>
      </c>
      <c r="C416" s="3">
        <v>1</v>
      </c>
      <c r="D416" s="5">
        <v>29.99</v>
      </c>
      <c r="E416" s="3">
        <v>100045815</v>
      </c>
      <c r="F416" s="2" t="s">
        <v>26</v>
      </c>
      <c r="G416" s="6" t="s">
        <v>22</v>
      </c>
      <c r="H416" s="2" t="s">
        <v>228</v>
      </c>
      <c r="I416" s="2" t="s">
        <v>229</v>
      </c>
      <c r="J416" s="2" t="s">
        <v>19</v>
      </c>
      <c r="K416" s="2" t="s">
        <v>353</v>
      </c>
      <c r="L416" s="7" t="str">
        <f>HYPERLINK("http://slimages.macys.com/is/image/MCY/11936020 ")</f>
        <v xml:space="preserve">http://slimages.macys.com/is/image/MCY/11936020 </v>
      </c>
    </row>
    <row r="417" spans="1:12" ht="24.75" x14ac:dyDescent="0.25">
      <c r="A417" s="4" t="s">
        <v>8702</v>
      </c>
      <c r="B417" s="2" t="s">
        <v>1314</v>
      </c>
      <c r="C417" s="3">
        <v>1</v>
      </c>
      <c r="D417" s="5">
        <v>24.99</v>
      </c>
      <c r="E417" s="3">
        <v>100010068</v>
      </c>
      <c r="F417" s="2" t="s">
        <v>566</v>
      </c>
      <c r="G417" s="6" t="s">
        <v>65</v>
      </c>
      <c r="H417" s="2" t="s">
        <v>228</v>
      </c>
      <c r="I417" s="2" t="s">
        <v>863</v>
      </c>
      <c r="J417" s="2" t="s">
        <v>19</v>
      </c>
      <c r="K417" s="2" t="s">
        <v>1315</v>
      </c>
      <c r="L417" s="7" t="str">
        <f>HYPERLINK("http://slimages.macys.com/is/image/MCY/9190991 ")</f>
        <v xml:space="preserve">http://slimages.macys.com/is/image/MCY/9190991 </v>
      </c>
    </row>
    <row r="418" spans="1:12" ht="24.75" x14ac:dyDescent="0.25">
      <c r="A418" s="4" t="s">
        <v>8703</v>
      </c>
      <c r="B418" s="2" t="s">
        <v>1253</v>
      </c>
      <c r="C418" s="3">
        <v>1</v>
      </c>
      <c r="D418" s="5">
        <v>24.99</v>
      </c>
      <c r="E418" s="3" t="s">
        <v>2688</v>
      </c>
      <c r="F418" s="2" t="s">
        <v>506</v>
      </c>
      <c r="G418" s="6" t="s">
        <v>126</v>
      </c>
      <c r="H418" s="2" t="s">
        <v>426</v>
      </c>
      <c r="I418" s="2" t="s">
        <v>863</v>
      </c>
      <c r="J418" s="2" t="s">
        <v>19</v>
      </c>
      <c r="K418" s="2" t="s">
        <v>253</v>
      </c>
      <c r="L418" s="7" t="str">
        <f>HYPERLINK("http://slimages.macys.com/is/image/MCY/9029356 ")</f>
        <v xml:space="preserve">http://slimages.macys.com/is/image/MCY/9029356 </v>
      </c>
    </row>
    <row r="419" spans="1:12" ht="24.75" x14ac:dyDescent="0.25">
      <c r="A419" s="4" t="s">
        <v>8178</v>
      </c>
      <c r="B419" s="2" t="s">
        <v>1318</v>
      </c>
      <c r="C419" s="3">
        <v>1</v>
      </c>
      <c r="D419" s="5">
        <v>24.99</v>
      </c>
      <c r="E419" s="3">
        <v>100039649</v>
      </c>
      <c r="F419" s="2" t="s">
        <v>417</v>
      </c>
      <c r="G419" s="6" t="s">
        <v>141</v>
      </c>
      <c r="H419" s="2" t="s">
        <v>228</v>
      </c>
      <c r="I419" s="2" t="s">
        <v>863</v>
      </c>
      <c r="J419" s="2" t="s">
        <v>19</v>
      </c>
      <c r="K419" s="2" t="s">
        <v>2703</v>
      </c>
      <c r="L419" s="7" t="str">
        <f>HYPERLINK("http://slimages.macys.com/is/image/MCY/12667245 ")</f>
        <v xml:space="preserve">http://slimages.macys.com/is/image/MCY/12667245 </v>
      </c>
    </row>
    <row r="420" spans="1:12" ht="24.75" x14ac:dyDescent="0.25">
      <c r="A420" s="4" t="s">
        <v>2701</v>
      </c>
      <c r="B420" s="2" t="s">
        <v>1318</v>
      </c>
      <c r="C420" s="3">
        <v>1</v>
      </c>
      <c r="D420" s="5">
        <v>24.99</v>
      </c>
      <c r="E420" s="3" t="s">
        <v>1321</v>
      </c>
      <c r="F420" s="2" t="s">
        <v>89</v>
      </c>
      <c r="G420" s="6" t="s">
        <v>58</v>
      </c>
      <c r="H420" s="2" t="s">
        <v>228</v>
      </c>
      <c r="I420" s="2" t="s">
        <v>229</v>
      </c>
      <c r="J420" s="2" t="s">
        <v>19</v>
      </c>
      <c r="K420" s="2" t="s">
        <v>253</v>
      </c>
      <c r="L420" s="7" t="str">
        <f>HYPERLINK("http://slimages.macys.com/is/image/MCY/9029356 ")</f>
        <v xml:space="preserve">http://slimages.macys.com/is/image/MCY/9029356 </v>
      </c>
    </row>
    <row r="421" spans="1:12" ht="24.75" x14ac:dyDescent="0.25">
      <c r="A421" s="4" t="s">
        <v>3883</v>
      </c>
      <c r="B421" s="2" t="s">
        <v>1253</v>
      </c>
      <c r="C421" s="3">
        <v>1</v>
      </c>
      <c r="D421" s="5">
        <v>24.99</v>
      </c>
      <c r="E421" s="3" t="s">
        <v>2688</v>
      </c>
      <c r="F421" s="2" t="s">
        <v>506</v>
      </c>
      <c r="G421" s="6" t="s">
        <v>205</v>
      </c>
      <c r="H421" s="2" t="s">
        <v>426</v>
      </c>
      <c r="I421" s="2" t="s">
        <v>863</v>
      </c>
      <c r="J421" s="2" t="s">
        <v>19</v>
      </c>
      <c r="K421" s="2" t="s">
        <v>253</v>
      </c>
      <c r="L421" s="7" t="str">
        <f>HYPERLINK("http://slimages.macys.com/is/image/MCY/9029356 ")</f>
        <v xml:space="preserve">http://slimages.macys.com/is/image/MCY/9029356 </v>
      </c>
    </row>
    <row r="422" spans="1:12" ht="24.75" x14ac:dyDescent="0.25">
      <c r="A422" s="4" t="s">
        <v>3885</v>
      </c>
      <c r="B422" s="2" t="s">
        <v>1359</v>
      </c>
      <c r="C422" s="3">
        <v>1</v>
      </c>
      <c r="D422" s="5">
        <v>29.99</v>
      </c>
      <c r="E422" s="3" t="s">
        <v>1360</v>
      </c>
      <c r="F422" s="2" t="s">
        <v>26</v>
      </c>
      <c r="G422" s="6" t="s">
        <v>154</v>
      </c>
      <c r="H422" s="2" t="s">
        <v>246</v>
      </c>
      <c r="I422" s="2" t="s">
        <v>189</v>
      </c>
      <c r="J422" s="2" t="s">
        <v>19</v>
      </c>
      <c r="K422" s="2" t="s">
        <v>160</v>
      </c>
      <c r="L422" s="7" t="str">
        <f>HYPERLINK("http://slimages.macys.com/is/image/MCY/11420487 ")</f>
        <v xml:space="preserve">http://slimages.macys.com/is/image/MCY/11420487 </v>
      </c>
    </row>
    <row r="423" spans="1:12" ht="24.75" x14ac:dyDescent="0.25">
      <c r="A423" s="4" t="s">
        <v>8704</v>
      </c>
      <c r="B423" s="2" t="s">
        <v>8705</v>
      </c>
      <c r="C423" s="3">
        <v>1</v>
      </c>
      <c r="D423" s="5">
        <v>29.99</v>
      </c>
      <c r="E423" s="3" t="s">
        <v>8706</v>
      </c>
      <c r="F423" s="2"/>
      <c r="G423" s="6" t="s">
        <v>156</v>
      </c>
      <c r="H423" s="2" t="s">
        <v>246</v>
      </c>
      <c r="I423" s="2" t="s">
        <v>189</v>
      </c>
      <c r="J423" s="2" t="s">
        <v>19</v>
      </c>
      <c r="K423" s="2" t="s">
        <v>160</v>
      </c>
      <c r="L423" s="7" t="str">
        <f>HYPERLINK("http://slimages.macys.com/is/image/MCY/11517960 ")</f>
        <v xml:space="preserve">http://slimages.macys.com/is/image/MCY/11517960 </v>
      </c>
    </row>
    <row r="424" spans="1:12" ht="24.75" x14ac:dyDescent="0.25">
      <c r="A424" s="4" t="s">
        <v>1378</v>
      </c>
      <c r="B424" s="2" t="s">
        <v>1330</v>
      </c>
      <c r="C424" s="3">
        <v>1</v>
      </c>
      <c r="D424" s="5">
        <v>37.130000000000003</v>
      </c>
      <c r="E424" s="3" t="s">
        <v>1331</v>
      </c>
      <c r="F424" s="2" t="s">
        <v>170</v>
      </c>
      <c r="G424" s="6" t="s">
        <v>181</v>
      </c>
      <c r="H424" s="2" t="s">
        <v>194</v>
      </c>
      <c r="I424" s="2" t="s">
        <v>195</v>
      </c>
      <c r="J424" s="2" t="s">
        <v>19</v>
      </c>
      <c r="K424" s="2" t="s">
        <v>247</v>
      </c>
      <c r="L424" s="7" t="str">
        <f>HYPERLINK("http://slimages.macys.com/is/image/MCY/10889638 ")</f>
        <v xml:space="preserve">http://slimages.macys.com/is/image/MCY/10889638 </v>
      </c>
    </row>
    <row r="425" spans="1:12" ht="24.75" x14ac:dyDescent="0.25">
      <c r="A425" s="4" t="s">
        <v>1376</v>
      </c>
      <c r="B425" s="2" t="s">
        <v>1330</v>
      </c>
      <c r="C425" s="3">
        <v>2</v>
      </c>
      <c r="D425" s="5">
        <v>37.130000000000003</v>
      </c>
      <c r="E425" s="3" t="s">
        <v>1331</v>
      </c>
      <c r="F425" s="2" t="s">
        <v>125</v>
      </c>
      <c r="G425" s="6" t="s">
        <v>181</v>
      </c>
      <c r="H425" s="2" t="s">
        <v>194</v>
      </c>
      <c r="I425" s="2" t="s">
        <v>195</v>
      </c>
      <c r="J425" s="2" t="s">
        <v>19</v>
      </c>
      <c r="K425" s="2" t="s">
        <v>247</v>
      </c>
      <c r="L425" s="7" t="str">
        <f>HYPERLINK("http://slimages.macys.com/is/image/MCY/10889638 ")</f>
        <v xml:space="preserve">http://slimages.macys.com/is/image/MCY/10889638 </v>
      </c>
    </row>
    <row r="426" spans="1:12" ht="24.75" x14ac:dyDescent="0.25">
      <c r="A426" s="4" t="s">
        <v>2710</v>
      </c>
      <c r="B426" s="2" t="s">
        <v>1330</v>
      </c>
      <c r="C426" s="3">
        <v>5</v>
      </c>
      <c r="D426" s="5">
        <v>37.130000000000003</v>
      </c>
      <c r="E426" s="3" t="s">
        <v>1331</v>
      </c>
      <c r="F426" s="2" t="s">
        <v>125</v>
      </c>
      <c r="G426" s="6" t="s">
        <v>234</v>
      </c>
      <c r="H426" s="2" t="s">
        <v>194</v>
      </c>
      <c r="I426" s="2" t="s">
        <v>195</v>
      </c>
      <c r="J426" s="2" t="s">
        <v>19</v>
      </c>
      <c r="K426" s="2" t="s">
        <v>247</v>
      </c>
      <c r="L426" s="7" t="str">
        <f>HYPERLINK("http://slimages.macys.com/is/image/MCY/10889638 ")</f>
        <v xml:space="preserve">http://slimages.macys.com/is/image/MCY/10889638 </v>
      </c>
    </row>
    <row r="427" spans="1:12" ht="24.75" x14ac:dyDescent="0.25">
      <c r="A427" s="4" t="s">
        <v>1377</v>
      </c>
      <c r="B427" s="2" t="s">
        <v>1330</v>
      </c>
      <c r="C427" s="3">
        <v>2</v>
      </c>
      <c r="D427" s="5">
        <v>37.130000000000003</v>
      </c>
      <c r="E427" s="3" t="s">
        <v>1331</v>
      </c>
      <c r="F427" s="2" t="s">
        <v>125</v>
      </c>
      <c r="G427" s="6" t="s">
        <v>154</v>
      </c>
      <c r="H427" s="2" t="s">
        <v>194</v>
      </c>
      <c r="I427" s="2" t="s">
        <v>195</v>
      </c>
      <c r="J427" s="2" t="s">
        <v>19</v>
      </c>
      <c r="K427" s="2" t="s">
        <v>247</v>
      </c>
      <c r="L427" s="7" t="str">
        <f>HYPERLINK("http://slimages.macys.com/is/image/MCY/10889638 ")</f>
        <v xml:space="preserve">http://slimages.macys.com/is/image/MCY/10889638 </v>
      </c>
    </row>
    <row r="428" spans="1:12" ht="24.75" x14ac:dyDescent="0.25">
      <c r="A428" s="4" t="s">
        <v>2707</v>
      </c>
      <c r="B428" s="2" t="s">
        <v>1381</v>
      </c>
      <c r="C428" s="3">
        <v>3</v>
      </c>
      <c r="D428" s="5">
        <v>37.130000000000003</v>
      </c>
      <c r="E428" s="3" t="s">
        <v>1382</v>
      </c>
      <c r="F428" s="2" t="s">
        <v>170</v>
      </c>
      <c r="G428" s="6" t="s">
        <v>234</v>
      </c>
      <c r="H428" s="2" t="s">
        <v>194</v>
      </c>
      <c r="I428" s="2" t="s">
        <v>195</v>
      </c>
      <c r="J428" s="2" t="s">
        <v>19</v>
      </c>
      <c r="K428" s="2" t="s">
        <v>247</v>
      </c>
      <c r="L428" s="7" t="str">
        <f>HYPERLINK("http://slimages.macys.com/is/image/MCY/12668006 ")</f>
        <v xml:space="preserve">http://slimages.macys.com/is/image/MCY/12668006 </v>
      </c>
    </row>
    <row r="429" spans="1:12" ht="60.75" x14ac:dyDescent="0.25">
      <c r="A429" s="4" t="s">
        <v>3893</v>
      </c>
      <c r="B429" s="2" t="s">
        <v>3892</v>
      </c>
      <c r="C429" s="3">
        <v>1</v>
      </c>
      <c r="D429" s="5">
        <v>29.63</v>
      </c>
      <c r="E429" s="3">
        <v>100022669</v>
      </c>
      <c r="F429" s="2" t="s">
        <v>125</v>
      </c>
      <c r="G429" s="6" t="s">
        <v>154</v>
      </c>
      <c r="H429" s="2" t="s">
        <v>194</v>
      </c>
      <c r="I429" s="2" t="s">
        <v>1398</v>
      </c>
      <c r="J429" s="2" t="s">
        <v>19</v>
      </c>
      <c r="K429" s="2" t="s">
        <v>1399</v>
      </c>
      <c r="L429" s="7" t="str">
        <f>HYPERLINK("http://slimages.macys.com/is/image/MCY/13368177 ")</f>
        <v xml:space="preserve">http://slimages.macys.com/is/image/MCY/13368177 </v>
      </c>
    </row>
    <row r="430" spans="1:12" ht="36.75" x14ac:dyDescent="0.25">
      <c r="A430" s="4" t="s">
        <v>3895</v>
      </c>
      <c r="B430" s="2" t="s">
        <v>1388</v>
      </c>
      <c r="C430" s="3">
        <v>1</v>
      </c>
      <c r="D430" s="5">
        <v>29.63</v>
      </c>
      <c r="E430" s="3" t="s">
        <v>1389</v>
      </c>
      <c r="F430" s="2" t="s">
        <v>111</v>
      </c>
      <c r="G430" s="6" t="s">
        <v>156</v>
      </c>
      <c r="H430" s="2" t="s">
        <v>194</v>
      </c>
      <c r="I430" s="2" t="s">
        <v>195</v>
      </c>
      <c r="J430" s="2" t="s">
        <v>19</v>
      </c>
      <c r="K430" s="2" t="s">
        <v>1390</v>
      </c>
      <c r="L430" s="7" t="str">
        <f>HYPERLINK("http://slimages.macys.com/is/image/MCY/12734335 ")</f>
        <v xml:space="preserve">http://slimages.macys.com/is/image/MCY/12734335 </v>
      </c>
    </row>
    <row r="431" spans="1:12" ht="24.75" x14ac:dyDescent="0.25">
      <c r="A431" s="4" t="s">
        <v>3902</v>
      </c>
      <c r="B431" s="2" t="s">
        <v>1394</v>
      </c>
      <c r="C431" s="3">
        <v>2</v>
      </c>
      <c r="D431" s="5">
        <v>36.5</v>
      </c>
      <c r="E431" s="3" t="s">
        <v>3903</v>
      </c>
      <c r="F431" s="2" t="s">
        <v>15</v>
      </c>
      <c r="G431" s="6" t="s">
        <v>234</v>
      </c>
      <c r="H431" s="2" t="s">
        <v>194</v>
      </c>
      <c r="I431" s="2" t="s">
        <v>195</v>
      </c>
      <c r="J431" s="2" t="s">
        <v>19</v>
      </c>
      <c r="K431" s="2" t="s">
        <v>34</v>
      </c>
      <c r="L431" s="7" t="str">
        <f>HYPERLINK("http://slimages.macys.com/is/image/MCY/13367997 ")</f>
        <v xml:space="preserve">http://slimages.macys.com/is/image/MCY/13367997 </v>
      </c>
    </row>
    <row r="432" spans="1:12" ht="24.75" x14ac:dyDescent="0.25">
      <c r="A432" s="4" t="s">
        <v>1393</v>
      </c>
      <c r="B432" s="2" t="s">
        <v>1394</v>
      </c>
      <c r="C432" s="3">
        <v>1</v>
      </c>
      <c r="D432" s="5">
        <v>37.130000000000003</v>
      </c>
      <c r="E432" s="3" t="s">
        <v>1395</v>
      </c>
      <c r="F432" s="2" t="s">
        <v>33</v>
      </c>
      <c r="G432" s="6" t="s">
        <v>154</v>
      </c>
      <c r="H432" s="2" t="s">
        <v>194</v>
      </c>
      <c r="I432" s="2" t="s">
        <v>195</v>
      </c>
      <c r="J432" s="2" t="s">
        <v>19</v>
      </c>
      <c r="K432" s="2" t="s">
        <v>34</v>
      </c>
      <c r="L432" s="7" t="str">
        <f>HYPERLINK("http://slimages.macys.com/is/image/MCY/13367997 ")</f>
        <v xml:space="preserve">http://slimages.macys.com/is/image/MCY/13367997 </v>
      </c>
    </row>
    <row r="433" spans="1:12" ht="24.75" x14ac:dyDescent="0.25">
      <c r="A433" s="4" t="s">
        <v>3896</v>
      </c>
      <c r="B433" s="2" t="s">
        <v>3897</v>
      </c>
      <c r="C433" s="3">
        <v>1</v>
      </c>
      <c r="D433" s="5">
        <v>65</v>
      </c>
      <c r="E433" s="3" t="s">
        <v>3898</v>
      </c>
      <c r="F433" s="2" t="s">
        <v>887</v>
      </c>
      <c r="G433" s="6" t="s">
        <v>794</v>
      </c>
      <c r="H433" s="2" t="s">
        <v>447</v>
      </c>
      <c r="I433" s="2" t="s">
        <v>792</v>
      </c>
      <c r="J433" s="2" t="s">
        <v>19</v>
      </c>
      <c r="K433" s="2" t="s">
        <v>160</v>
      </c>
      <c r="L433" s="7" t="str">
        <f>HYPERLINK("http://slimages.macys.com/is/image/MCY/13941347 ")</f>
        <v xml:space="preserve">http://slimages.macys.com/is/image/MCY/13941347 </v>
      </c>
    </row>
    <row r="434" spans="1:12" ht="60.75" x14ac:dyDescent="0.25">
      <c r="A434" s="4" t="s">
        <v>8707</v>
      </c>
      <c r="B434" s="2" t="s">
        <v>1397</v>
      </c>
      <c r="C434" s="3">
        <v>1</v>
      </c>
      <c r="D434" s="5">
        <v>29.63</v>
      </c>
      <c r="E434" s="3">
        <v>100022669</v>
      </c>
      <c r="F434" s="2" t="s">
        <v>48</v>
      </c>
      <c r="G434" s="6" t="s">
        <v>154</v>
      </c>
      <c r="H434" s="2" t="s">
        <v>194</v>
      </c>
      <c r="I434" s="2" t="s">
        <v>1398</v>
      </c>
      <c r="J434" s="2" t="s">
        <v>19</v>
      </c>
      <c r="K434" s="2" t="s">
        <v>1399</v>
      </c>
      <c r="L434" s="7" t="str">
        <f>HYPERLINK("http://slimages.macys.com/is/image/MCY/13368177 ")</f>
        <v xml:space="preserve">http://slimages.macys.com/is/image/MCY/13368177 </v>
      </c>
    </row>
    <row r="435" spans="1:12" ht="24.75" x14ac:dyDescent="0.25">
      <c r="A435" s="4" t="s">
        <v>7491</v>
      </c>
      <c r="B435" s="2" t="s">
        <v>1373</v>
      </c>
      <c r="C435" s="3">
        <v>1</v>
      </c>
      <c r="D435" s="5">
        <v>37.130000000000003</v>
      </c>
      <c r="E435" s="3" t="s">
        <v>7492</v>
      </c>
      <c r="F435" s="2" t="s">
        <v>64</v>
      </c>
      <c r="G435" s="6"/>
      <c r="H435" s="2" t="s">
        <v>312</v>
      </c>
      <c r="I435" s="2" t="s">
        <v>195</v>
      </c>
      <c r="J435" s="2" t="s">
        <v>19</v>
      </c>
      <c r="K435" s="2" t="s">
        <v>247</v>
      </c>
      <c r="L435" s="7" t="str">
        <f>HYPERLINK("http://slimages.macys.com/is/image/MCY/12337196 ")</f>
        <v xml:space="preserve">http://slimages.macys.com/is/image/MCY/12337196 </v>
      </c>
    </row>
    <row r="436" spans="1:12" ht="24.75" x14ac:dyDescent="0.25">
      <c r="A436" s="4" t="s">
        <v>8708</v>
      </c>
      <c r="B436" s="2" t="s">
        <v>1373</v>
      </c>
      <c r="C436" s="3">
        <v>2</v>
      </c>
      <c r="D436" s="5">
        <v>37.130000000000003</v>
      </c>
      <c r="E436" s="3" t="s">
        <v>7492</v>
      </c>
      <c r="F436" s="2" t="s">
        <v>15</v>
      </c>
      <c r="G436" s="6"/>
      <c r="H436" s="2" t="s">
        <v>312</v>
      </c>
      <c r="I436" s="2" t="s">
        <v>195</v>
      </c>
      <c r="J436" s="2" t="s">
        <v>19</v>
      </c>
      <c r="K436" s="2" t="s">
        <v>247</v>
      </c>
      <c r="L436" s="7" t="str">
        <f>HYPERLINK("http://slimages.macys.com/is/image/MCY/12034773 ")</f>
        <v xml:space="preserve">http://slimages.macys.com/is/image/MCY/12034773 </v>
      </c>
    </row>
    <row r="437" spans="1:12" ht="24.75" x14ac:dyDescent="0.25">
      <c r="A437" s="4" t="s">
        <v>8709</v>
      </c>
      <c r="B437" s="2" t="s">
        <v>1373</v>
      </c>
      <c r="C437" s="3">
        <v>1</v>
      </c>
      <c r="D437" s="5">
        <v>37.130000000000003</v>
      </c>
      <c r="E437" s="3" t="s">
        <v>7492</v>
      </c>
      <c r="F437" s="2" t="s">
        <v>15</v>
      </c>
      <c r="G437" s="6"/>
      <c r="H437" s="2" t="s">
        <v>312</v>
      </c>
      <c r="I437" s="2" t="s">
        <v>195</v>
      </c>
      <c r="J437" s="2" t="s">
        <v>19</v>
      </c>
      <c r="K437" s="2" t="s">
        <v>247</v>
      </c>
      <c r="L437" s="7" t="str">
        <f>HYPERLINK("http://slimages.macys.com/is/image/MCY/12034773 ")</f>
        <v xml:space="preserve">http://slimages.macys.com/is/image/MCY/12034773 </v>
      </c>
    </row>
    <row r="438" spans="1:12" ht="24.75" x14ac:dyDescent="0.25">
      <c r="A438" s="4" t="s">
        <v>8710</v>
      </c>
      <c r="B438" s="2" t="s">
        <v>6652</v>
      </c>
      <c r="C438" s="3">
        <v>1</v>
      </c>
      <c r="D438" s="5">
        <v>37.130000000000003</v>
      </c>
      <c r="E438" s="3" t="s">
        <v>8711</v>
      </c>
      <c r="F438" s="2" t="s">
        <v>170</v>
      </c>
      <c r="G438" s="6"/>
      <c r="H438" s="2" t="s">
        <v>312</v>
      </c>
      <c r="I438" s="2" t="s">
        <v>195</v>
      </c>
      <c r="J438" s="2" t="s">
        <v>19</v>
      </c>
      <c r="K438" s="2" t="s">
        <v>247</v>
      </c>
      <c r="L438" s="7" t="str">
        <f>HYPERLINK("http://slimages.macys.com/is/image/MCY/12793936 ")</f>
        <v xml:space="preserve">http://slimages.macys.com/is/image/MCY/12793936 </v>
      </c>
    </row>
    <row r="439" spans="1:12" ht="24.75" x14ac:dyDescent="0.25">
      <c r="A439" s="4" t="s">
        <v>8712</v>
      </c>
      <c r="B439" s="2" t="s">
        <v>6666</v>
      </c>
      <c r="C439" s="3">
        <v>2</v>
      </c>
      <c r="D439" s="5">
        <v>24.99</v>
      </c>
      <c r="E439" s="3">
        <v>100060498</v>
      </c>
      <c r="F439" s="2" t="s">
        <v>33</v>
      </c>
      <c r="G439" s="6" t="s">
        <v>22</v>
      </c>
      <c r="H439" s="2" t="s">
        <v>228</v>
      </c>
      <c r="I439" s="2" t="s">
        <v>857</v>
      </c>
      <c r="J439" s="2" t="s">
        <v>19</v>
      </c>
      <c r="K439" s="2" t="s">
        <v>230</v>
      </c>
      <c r="L439" s="7" t="str">
        <f>HYPERLINK("http://slimages.macys.com/is/image/MCY/12850401 ")</f>
        <v xml:space="preserve">http://slimages.macys.com/is/image/MCY/12850401 </v>
      </c>
    </row>
    <row r="440" spans="1:12" ht="24.75" x14ac:dyDescent="0.25">
      <c r="A440" s="4" t="s">
        <v>8713</v>
      </c>
      <c r="B440" s="2" t="s">
        <v>6666</v>
      </c>
      <c r="C440" s="3">
        <v>1</v>
      </c>
      <c r="D440" s="5">
        <v>24.99</v>
      </c>
      <c r="E440" s="3">
        <v>100060498</v>
      </c>
      <c r="F440" s="2" t="s">
        <v>33</v>
      </c>
      <c r="G440" s="6" t="s">
        <v>58</v>
      </c>
      <c r="H440" s="2" t="s">
        <v>228</v>
      </c>
      <c r="I440" s="2" t="s">
        <v>857</v>
      </c>
      <c r="J440" s="2" t="s">
        <v>19</v>
      </c>
      <c r="K440" s="2" t="s">
        <v>230</v>
      </c>
      <c r="L440" s="7" t="str">
        <f>HYPERLINK("http://slimages.macys.com/is/image/MCY/12850401 ")</f>
        <v xml:space="preserve">http://slimages.macys.com/is/image/MCY/12850401 </v>
      </c>
    </row>
    <row r="441" spans="1:12" ht="24.75" x14ac:dyDescent="0.25">
      <c r="A441" s="4" t="s">
        <v>8714</v>
      </c>
      <c r="B441" s="2" t="s">
        <v>2718</v>
      </c>
      <c r="C441" s="3">
        <v>1</v>
      </c>
      <c r="D441" s="5">
        <v>34.880000000000003</v>
      </c>
      <c r="E441" s="3">
        <v>100054890</v>
      </c>
      <c r="F441" s="2" t="s">
        <v>26</v>
      </c>
      <c r="G441" s="6" t="s">
        <v>65</v>
      </c>
      <c r="H441" s="2" t="s">
        <v>194</v>
      </c>
      <c r="I441" s="2" t="s">
        <v>195</v>
      </c>
      <c r="J441" s="2" t="s">
        <v>19</v>
      </c>
      <c r="K441" s="2" t="s">
        <v>353</v>
      </c>
      <c r="L441" s="7" t="str">
        <f>HYPERLINK("http://slimages.macys.com/is/image/MCY/12331068 ")</f>
        <v xml:space="preserve">http://slimages.macys.com/is/image/MCY/12331068 </v>
      </c>
    </row>
    <row r="442" spans="1:12" ht="24.75" x14ac:dyDescent="0.25">
      <c r="A442" s="4" t="s">
        <v>8715</v>
      </c>
      <c r="B442" s="2" t="s">
        <v>2718</v>
      </c>
      <c r="C442" s="3">
        <v>1</v>
      </c>
      <c r="D442" s="5">
        <v>34.880000000000003</v>
      </c>
      <c r="E442" s="3">
        <v>100054890</v>
      </c>
      <c r="F442" s="2" t="s">
        <v>26</v>
      </c>
      <c r="G442" s="6" t="s">
        <v>58</v>
      </c>
      <c r="H442" s="2" t="s">
        <v>194</v>
      </c>
      <c r="I442" s="2" t="s">
        <v>195</v>
      </c>
      <c r="J442" s="2" t="s">
        <v>19</v>
      </c>
      <c r="K442" s="2" t="s">
        <v>353</v>
      </c>
      <c r="L442" s="7" t="str">
        <f>HYPERLINK("http://slimages.macys.com/is/image/MCY/12331068 ")</f>
        <v xml:space="preserve">http://slimages.macys.com/is/image/MCY/12331068 </v>
      </c>
    </row>
    <row r="443" spans="1:12" ht="24.75" x14ac:dyDescent="0.25">
      <c r="A443" s="4" t="s">
        <v>8716</v>
      </c>
      <c r="B443" s="2" t="s">
        <v>1397</v>
      </c>
      <c r="C443" s="3">
        <v>2</v>
      </c>
      <c r="D443" s="5">
        <v>29.63</v>
      </c>
      <c r="E443" s="3" t="s">
        <v>4974</v>
      </c>
      <c r="F443" s="2" t="s">
        <v>15</v>
      </c>
      <c r="G443" s="6"/>
      <c r="H443" s="2" t="s">
        <v>312</v>
      </c>
      <c r="I443" s="2" t="s">
        <v>1398</v>
      </c>
      <c r="J443" s="2"/>
      <c r="K443" s="2"/>
      <c r="L443" s="7" t="str">
        <f>HYPERLINK("http://slimages.macys.com/is/image/MCY/9504703 ")</f>
        <v xml:space="preserve">http://slimages.macys.com/is/image/MCY/9504703 </v>
      </c>
    </row>
    <row r="444" spans="1:12" ht="24.75" x14ac:dyDescent="0.25">
      <c r="A444" s="4" t="s">
        <v>8717</v>
      </c>
      <c r="B444" s="2" t="s">
        <v>2720</v>
      </c>
      <c r="C444" s="3">
        <v>1</v>
      </c>
      <c r="D444" s="5">
        <v>37.130000000000003</v>
      </c>
      <c r="E444" s="3" t="s">
        <v>2721</v>
      </c>
      <c r="F444" s="2" t="s">
        <v>64</v>
      </c>
      <c r="G444" s="6" t="s">
        <v>245</v>
      </c>
      <c r="H444" s="2" t="s">
        <v>246</v>
      </c>
      <c r="I444" s="2" t="s">
        <v>189</v>
      </c>
      <c r="J444" s="2" t="s">
        <v>19</v>
      </c>
      <c r="K444" s="2" t="s">
        <v>160</v>
      </c>
      <c r="L444" s="7" t="str">
        <f>HYPERLINK("http://slimages.macys.com/is/image/MCY/11883959 ")</f>
        <v xml:space="preserve">http://slimages.macys.com/is/image/MCY/11883959 </v>
      </c>
    </row>
    <row r="445" spans="1:12" ht="24.75" x14ac:dyDescent="0.25">
      <c r="A445" s="4" t="s">
        <v>3906</v>
      </c>
      <c r="B445" s="2" t="s">
        <v>1402</v>
      </c>
      <c r="C445" s="3">
        <v>1</v>
      </c>
      <c r="D445" s="5">
        <v>37.130000000000003</v>
      </c>
      <c r="E445" s="3" t="s">
        <v>1403</v>
      </c>
      <c r="F445" s="2" t="s">
        <v>376</v>
      </c>
      <c r="G445" s="6" t="s">
        <v>126</v>
      </c>
      <c r="H445" s="2" t="s">
        <v>312</v>
      </c>
      <c r="I445" s="2" t="s">
        <v>195</v>
      </c>
      <c r="J445" s="2" t="s">
        <v>19</v>
      </c>
      <c r="K445" s="2" t="s">
        <v>353</v>
      </c>
      <c r="L445" s="7" t="str">
        <f>HYPERLINK("http://slimages.macys.com/is/image/MCY/11934909 ")</f>
        <v xml:space="preserve">http://slimages.macys.com/is/image/MCY/11934909 </v>
      </c>
    </row>
    <row r="446" spans="1:12" ht="24.75" x14ac:dyDescent="0.25">
      <c r="A446" s="4" t="s">
        <v>2724</v>
      </c>
      <c r="B446" s="2" t="s">
        <v>1405</v>
      </c>
      <c r="C446" s="3">
        <v>1</v>
      </c>
      <c r="D446" s="5">
        <v>34.880000000000003</v>
      </c>
      <c r="E446" s="3">
        <v>100042372</v>
      </c>
      <c r="F446" s="2" t="s">
        <v>94</v>
      </c>
      <c r="G446" s="6" t="s">
        <v>22</v>
      </c>
      <c r="H446" s="2" t="s">
        <v>194</v>
      </c>
      <c r="I446" s="2" t="s">
        <v>195</v>
      </c>
      <c r="J446" s="2" t="s">
        <v>19</v>
      </c>
      <c r="K446" s="2" t="s">
        <v>353</v>
      </c>
      <c r="L446" s="7" t="str">
        <f t="shared" ref="L446:L454" si="3">HYPERLINK("http://slimages.macys.com/is/image/MCY/11935225 ")</f>
        <v xml:space="preserve">http://slimages.macys.com/is/image/MCY/11935225 </v>
      </c>
    </row>
    <row r="447" spans="1:12" ht="24.75" x14ac:dyDescent="0.25">
      <c r="A447" s="4" t="s">
        <v>1406</v>
      </c>
      <c r="B447" s="2" t="s">
        <v>1405</v>
      </c>
      <c r="C447" s="3">
        <v>2</v>
      </c>
      <c r="D447" s="5">
        <v>34.880000000000003</v>
      </c>
      <c r="E447" s="3">
        <v>100042372</v>
      </c>
      <c r="F447" s="2" t="s">
        <v>94</v>
      </c>
      <c r="G447" s="6" t="s">
        <v>141</v>
      </c>
      <c r="H447" s="2" t="s">
        <v>194</v>
      </c>
      <c r="I447" s="2" t="s">
        <v>195</v>
      </c>
      <c r="J447" s="2" t="s">
        <v>19</v>
      </c>
      <c r="K447" s="2" t="s">
        <v>353</v>
      </c>
      <c r="L447" s="7" t="str">
        <f t="shared" si="3"/>
        <v xml:space="preserve">http://slimages.macys.com/is/image/MCY/11935225 </v>
      </c>
    </row>
    <row r="448" spans="1:12" ht="24.75" x14ac:dyDescent="0.25">
      <c r="A448" s="4" t="s">
        <v>1407</v>
      </c>
      <c r="B448" s="2" t="s">
        <v>1405</v>
      </c>
      <c r="C448" s="3">
        <v>1</v>
      </c>
      <c r="D448" s="5">
        <v>34.880000000000003</v>
      </c>
      <c r="E448" s="3">
        <v>100042372</v>
      </c>
      <c r="F448" s="2" t="s">
        <v>94</v>
      </c>
      <c r="G448" s="6" t="s">
        <v>65</v>
      </c>
      <c r="H448" s="2" t="s">
        <v>194</v>
      </c>
      <c r="I448" s="2" t="s">
        <v>195</v>
      </c>
      <c r="J448" s="2" t="s">
        <v>19</v>
      </c>
      <c r="K448" s="2" t="s">
        <v>353</v>
      </c>
      <c r="L448" s="7" t="str">
        <f t="shared" si="3"/>
        <v xml:space="preserve">http://slimages.macys.com/is/image/MCY/11935225 </v>
      </c>
    </row>
    <row r="449" spans="1:12" ht="24.75" x14ac:dyDescent="0.25">
      <c r="A449" s="4" t="s">
        <v>4978</v>
      </c>
      <c r="B449" s="2" t="s">
        <v>1405</v>
      </c>
      <c r="C449" s="3">
        <v>1</v>
      </c>
      <c r="D449" s="5">
        <v>34.880000000000003</v>
      </c>
      <c r="E449" s="3">
        <v>100042372</v>
      </c>
      <c r="F449" s="2" t="s">
        <v>94</v>
      </c>
      <c r="G449" s="6" t="s">
        <v>27</v>
      </c>
      <c r="H449" s="2" t="s">
        <v>194</v>
      </c>
      <c r="I449" s="2" t="s">
        <v>195</v>
      </c>
      <c r="J449" s="2" t="s">
        <v>19</v>
      </c>
      <c r="K449" s="2" t="s">
        <v>353</v>
      </c>
      <c r="L449" s="7" t="str">
        <f t="shared" si="3"/>
        <v xml:space="preserve">http://slimages.macys.com/is/image/MCY/11935225 </v>
      </c>
    </row>
    <row r="450" spans="1:12" ht="24.75" x14ac:dyDescent="0.25">
      <c r="A450" s="4" t="s">
        <v>2726</v>
      </c>
      <c r="B450" s="2" t="s">
        <v>1405</v>
      </c>
      <c r="C450" s="3">
        <v>1</v>
      </c>
      <c r="D450" s="5">
        <v>34.880000000000003</v>
      </c>
      <c r="E450" s="3">
        <v>100042372</v>
      </c>
      <c r="F450" s="2" t="s">
        <v>94</v>
      </c>
      <c r="G450" s="6" t="s">
        <v>16</v>
      </c>
      <c r="H450" s="2" t="s">
        <v>194</v>
      </c>
      <c r="I450" s="2" t="s">
        <v>195</v>
      </c>
      <c r="J450" s="2" t="s">
        <v>19</v>
      </c>
      <c r="K450" s="2" t="s">
        <v>353</v>
      </c>
      <c r="L450" s="7" t="str">
        <f t="shared" si="3"/>
        <v xml:space="preserve">http://slimages.macys.com/is/image/MCY/11935225 </v>
      </c>
    </row>
    <row r="451" spans="1:12" ht="24.75" x14ac:dyDescent="0.25">
      <c r="A451" s="4" t="s">
        <v>4977</v>
      </c>
      <c r="B451" s="2" t="s">
        <v>1405</v>
      </c>
      <c r="C451" s="3">
        <v>1</v>
      </c>
      <c r="D451" s="5">
        <v>34.880000000000003</v>
      </c>
      <c r="E451" s="3">
        <v>100042372</v>
      </c>
      <c r="F451" s="2" t="s">
        <v>94</v>
      </c>
      <c r="G451" s="6" t="s">
        <v>112</v>
      </c>
      <c r="H451" s="2" t="s">
        <v>194</v>
      </c>
      <c r="I451" s="2" t="s">
        <v>195</v>
      </c>
      <c r="J451" s="2" t="s">
        <v>19</v>
      </c>
      <c r="K451" s="2" t="s">
        <v>353</v>
      </c>
      <c r="L451" s="7" t="str">
        <f t="shared" si="3"/>
        <v xml:space="preserve">http://slimages.macys.com/is/image/MCY/11935225 </v>
      </c>
    </row>
    <row r="452" spans="1:12" ht="24.75" x14ac:dyDescent="0.25">
      <c r="A452" s="4" t="s">
        <v>2722</v>
      </c>
      <c r="B452" s="2" t="s">
        <v>1405</v>
      </c>
      <c r="C452" s="3">
        <v>1</v>
      </c>
      <c r="D452" s="5">
        <v>34.880000000000003</v>
      </c>
      <c r="E452" s="3">
        <v>100042372</v>
      </c>
      <c r="F452" s="2" t="s">
        <v>676</v>
      </c>
      <c r="G452" s="6" t="s">
        <v>58</v>
      </c>
      <c r="H452" s="2" t="s">
        <v>194</v>
      </c>
      <c r="I452" s="2" t="s">
        <v>195</v>
      </c>
      <c r="J452" s="2" t="s">
        <v>19</v>
      </c>
      <c r="K452" s="2" t="s">
        <v>353</v>
      </c>
      <c r="L452" s="7" t="str">
        <f t="shared" si="3"/>
        <v xml:space="preserve">http://slimages.macys.com/is/image/MCY/11935225 </v>
      </c>
    </row>
    <row r="453" spans="1:12" ht="24.75" x14ac:dyDescent="0.25">
      <c r="A453" s="4" t="s">
        <v>2723</v>
      </c>
      <c r="B453" s="2" t="s">
        <v>1405</v>
      </c>
      <c r="C453" s="3">
        <v>1</v>
      </c>
      <c r="D453" s="5">
        <v>34.880000000000003</v>
      </c>
      <c r="E453" s="3">
        <v>100042372</v>
      </c>
      <c r="F453" s="2" t="s">
        <v>676</v>
      </c>
      <c r="G453" s="6" t="s">
        <v>22</v>
      </c>
      <c r="H453" s="2" t="s">
        <v>194</v>
      </c>
      <c r="I453" s="2" t="s">
        <v>195</v>
      </c>
      <c r="J453" s="2" t="s">
        <v>19</v>
      </c>
      <c r="K453" s="2" t="s">
        <v>353</v>
      </c>
      <c r="L453" s="7" t="str">
        <f t="shared" si="3"/>
        <v xml:space="preserve">http://slimages.macys.com/is/image/MCY/11935225 </v>
      </c>
    </row>
    <row r="454" spans="1:12" ht="24.75" x14ac:dyDescent="0.25">
      <c r="A454" s="4" t="s">
        <v>4979</v>
      </c>
      <c r="B454" s="2" t="s">
        <v>1405</v>
      </c>
      <c r="C454" s="3">
        <v>1</v>
      </c>
      <c r="D454" s="5">
        <v>34.880000000000003</v>
      </c>
      <c r="E454" s="3">
        <v>100042372</v>
      </c>
      <c r="F454" s="2" t="s">
        <v>94</v>
      </c>
      <c r="G454" s="6" t="s">
        <v>106</v>
      </c>
      <c r="H454" s="2" t="s">
        <v>194</v>
      </c>
      <c r="I454" s="2" t="s">
        <v>195</v>
      </c>
      <c r="J454" s="2" t="s">
        <v>19</v>
      </c>
      <c r="K454" s="2" t="s">
        <v>353</v>
      </c>
      <c r="L454" s="7" t="str">
        <f t="shared" si="3"/>
        <v xml:space="preserve">http://slimages.macys.com/is/image/MCY/11935225 </v>
      </c>
    </row>
    <row r="455" spans="1:12" ht="36.75" x14ac:dyDescent="0.25">
      <c r="A455" s="4" t="s">
        <v>2727</v>
      </c>
      <c r="B455" s="2" t="s">
        <v>1409</v>
      </c>
      <c r="C455" s="3">
        <v>1</v>
      </c>
      <c r="D455" s="5">
        <v>36.5</v>
      </c>
      <c r="E455" s="3" t="s">
        <v>1410</v>
      </c>
      <c r="F455" s="2" t="s">
        <v>170</v>
      </c>
      <c r="G455" s="6" t="s">
        <v>181</v>
      </c>
      <c r="H455" s="2" t="s">
        <v>194</v>
      </c>
      <c r="I455" s="2" t="s">
        <v>195</v>
      </c>
      <c r="J455" s="2" t="s">
        <v>19</v>
      </c>
      <c r="K455" s="2" t="s">
        <v>1411</v>
      </c>
      <c r="L455" s="7" t="str">
        <f>HYPERLINK("http://slimages.macys.com/is/image/MCY/11702017 ")</f>
        <v xml:space="preserve">http://slimages.macys.com/is/image/MCY/11702017 </v>
      </c>
    </row>
    <row r="456" spans="1:12" ht="36.75" x14ac:dyDescent="0.25">
      <c r="A456" s="4" t="s">
        <v>1408</v>
      </c>
      <c r="B456" s="2" t="s">
        <v>1409</v>
      </c>
      <c r="C456" s="3">
        <v>1</v>
      </c>
      <c r="D456" s="5">
        <v>36.5</v>
      </c>
      <c r="E456" s="3" t="s">
        <v>1410</v>
      </c>
      <c r="F456" s="2" t="s">
        <v>170</v>
      </c>
      <c r="G456" s="6" t="s">
        <v>154</v>
      </c>
      <c r="H456" s="2" t="s">
        <v>194</v>
      </c>
      <c r="I456" s="2" t="s">
        <v>195</v>
      </c>
      <c r="J456" s="2" t="s">
        <v>19</v>
      </c>
      <c r="K456" s="2" t="s">
        <v>1411</v>
      </c>
      <c r="L456" s="7" t="str">
        <f>HYPERLINK("http://slimages.macys.com/is/image/MCY/11702017 ")</f>
        <v xml:space="preserve">http://slimages.macys.com/is/image/MCY/11702017 </v>
      </c>
    </row>
    <row r="457" spans="1:12" ht="24.75" x14ac:dyDescent="0.25">
      <c r="A457" s="4" t="s">
        <v>4981</v>
      </c>
      <c r="B457" s="2" t="s">
        <v>2729</v>
      </c>
      <c r="C457" s="3">
        <v>1</v>
      </c>
      <c r="D457" s="5">
        <v>33.380000000000003</v>
      </c>
      <c r="E457" s="3" t="s">
        <v>2730</v>
      </c>
      <c r="F457" s="2" t="s">
        <v>26</v>
      </c>
      <c r="G457" s="6" t="s">
        <v>234</v>
      </c>
      <c r="H457" s="2" t="s">
        <v>194</v>
      </c>
      <c r="I457" s="2" t="s">
        <v>195</v>
      </c>
      <c r="J457" s="2" t="s">
        <v>19</v>
      </c>
      <c r="K457" s="2" t="s">
        <v>990</v>
      </c>
      <c r="L457" s="7" t="str">
        <f>HYPERLINK("http://slimages.macys.com/is/image/MCY/12734313 ")</f>
        <v xml:space="preserve">http://slimages.macys.com/is/image/MCY/12734313 </v>
      </c>
    </row>
    <row r="458" spans="1:12" ht="36.75" x14ac:dyDescent="0.25">
      <c r="A458" s="4" t="s">
        <v>2538</v>
      </c>
      <c r="B458" s="2" t="s">
        <v>1040</v>
      </c>
      <c r="C458" s="3">
        <v>1</v>
      </c>
      <c r="D458" s="5">
        <v>44.63</v>
      </c>
      <c r="E458" s="3" t="s">
        <v>1041</v>
      </c>
      <c r="F458" s="2" t="s">
        <v>94</v>
      </c>
      <c r="G458" s="6" t="s">
        <v>65</v>
      </c>
      <c r="H458" s="2" t="s">
        <v>246</v>
      </c>
      <c r="I458" s="2" t="s">
        <v>487</v>
      </c>
      <c r="J458" s="2" t="s">
        <v>19</v>
      </c>
      <c r="K458" s="2" t="s">
        <v>500</v>
      </c>
      <c r="L458" s="7" t="str">
        <f>HYPERLINK("http://slimages.macys.com/is/image/MCY/11231757 ")</f>
        <v xml:space="preserve">http://slimages.macys.com/is/image/MCY/11231757 </v>
      </c>
    </row>
    <row r="459" spans="1:12" ht="24.75" x14ac:dyDescent="0.25">
      <c r="A459" s="4" t="s">
        <v>8718</v>
      </c>
      <c r="B459" s="2" t="s">
        <v>1416</v>
      </c>
      <c r="C459" s="3">
        <v>1</v>
      </c>
      <c r="D459" s="5">
        <v>21.99</v>
      </c>
      <c r="E459" s="3" t="s">
        <v>8719</v>
      </c>
      <c r="F459" s="2" t="s">
        <v>413</v>
      </c>
      <c r="G459" s="6" t="s">
        <v>27</v>
      </c>
      <c r="H459" s="2" t="s">
        <v>194</v>
      </c>
      <c r="I459" s="2" t="s">
        <v>195</v>
      </c>
      <c r="J459" s="2" t="s">
        <v>19</v>
      </c>
      <c r="K459" s="2" t="s">
        <v>353</v>
      </c>
      <c r="L459" s="7" t="str">
        <f>HYPERLINK("http://slimages.macys.com/is/image/MCY/8141463 ")</f>
        <v xml:space="preserve">http://slimages.macys.com/is/image/MCY/8141463 </v>
      </c>
    </row>
    <row r="460" spans="1:12" ht="24.75" x14ac:dyDescent="0.25">
      <c r="A460" s="4" t="s">
        <v>8720</v>
      </c>
      <c r="B460" s="2" t="s">
        <v>1416</v>
      </c>
      <c r="C460" s="3">
        <v>3</v>
      </c>
      <c r="D460" s="5">
        <v>21.99</v>
      </c>
      <c r="E460" s="3" t="s">
        <v>8719</v>
      </c>
      <c r="F460" s="2" t="s">
        <v>413</v>
      </c>
      <c r="G460" s="6" t="s">
        <v>22</v>
      </c>
      <c r="H460" s="2" t="s">
        <v>194</v>
      </c>
      <c r="I460" s="2" t="s">
        <v>195</v>
      </c>
      <c r="J460" s="2" t="s">
        <v>19</v>
      </c>
      <c r="K460" s="2" t="s">
        <v>353</v>
      </c>
      <c r="L460" s="7" t="str">
        <f>HYPERLINK("http://slimages.macys.com/is/image/MCY/8141463 ")</f>
        <v xml:space="preserve">http://slimages.macys.com/is/image/MCY/8141463 </v>
      </c>
    </row>
    <row r="461" spans="1:12" ht="24.75" x14ac:dyDescent="0.25">
      <c r="A461" s="4" t="s">
        <v>7503</v>
      </c>
      <c r="B461" s="2" t="s">
        <v>1444</v>
      </c>
      <c r="C461" s="3">
        <v>2</v>
      </c>
      <c r="D461" s="5">
        <v>34.880000000000003</v>
      </c>
      <c r="E461" s="3">
        <v>100042376</v>
      </c>
      <c r="F461" s="2" t="s">
        <v>136</v>
      </c>
      <c r="G461" s="6" t="s">
        <v>141</v>
      </c>
      <c r="H461" s="2" t="s">
        <v>194</v>
      </c>
      <c r="I461" s="2" t="s">
        <v>195</v>
      </c>
      <c r="J461" s="2" t="s">
        <v>19</v>
      </c>
      <c r="K461" s="2" t="s">
        <v>353</v>
      </c>
      <c r="L461" s="7" t="str">
        <f>HYPERLINK("http://slimages.macys.com/is/image/MCY/11764758 ")</f>
        <v xml:space="preserve">http://slimages.macys.com/is/image/MCY/11764758 </v>
      </c>
    </row>
    <row r="462" spans="1:12" ht="24.75" x14ac:dyDescent="0.25">
      <c r="A462" s="4" t="s">
        <v>2732</v>
      </c>
      <c r="B462" s="2" t="s">
        <v>1444</v>
      </c>
      <c r="C462" s="3">
        <v>1</v>
      </c>
      <c r="D462" s="5">
        <v>34.880000000000003</v>
      </c>
      <c r="E462" s="3">
        <v>100042376</v>
      </c>
      <c r="F462" s="2" t="s">
        <v>64</v>
      </c>
      <c r="G462" s="6" t="s">
        <v>106</v>
      </c>
      <c r="H462" s="2" t="s">
        <v>194</v>
      </c>
      <c r="I462" s="2" t="s">
        <v>195</v>
      </c>
      <c r="J462" s="2" t="s">
        <v>19</v>
      </c>
      <c r="K462" s="2" t="s">
        <v>353</v>
      </c>
      <c r="L462" s="7" t="str">
        <f>HYPERLINK("http://slimages.macys.com/is/image/MCY/11764758 ")</f>
        <v xml:space="preserve">http://slimages.macys.com/is/image/MCY/11764758 </v>
      </c>
    </row>
    <row r="463" spans="1:12" ht="24.75" x14ac:dyDescent="0.25">
      <c r="A463" s="4" t="s">
        <v>1412</v>
      </c>
      <c r="B463" s="2" t="s">
        <v>1413</v>
      </c>
      <c r="C463" s="3">
        <v>1</v>
      </c>
      <c r="D463" s="5">
        <v>29.5</v>
      </c>
      <c r="E463" s="3" t="s">
        <v>1414</v>
      </c>
      <c r="F463" s="2" t="s">
        <v>79</v>
      </c>
      <c r="G463" s="6" t="s">
        <v>154</v>
      </c>
      <c r="H463" s="2" t="s">
        <v>194</v>
      </c>
      <c r="I463" s="2" t="s">
        <v>195</v>
      </c>
      <c r="J463" s="2" t="s">
        <v>19</v>
      </c>
      <c r="K463" s="2" t="s">
        <v>247</v>
      </c>
      <c r="L463" s="7" t="str">
        <f>HYPERLINK("http://slimages.macys.com/is/image/MCY/12063860 ")</f>
        <v xml:space="preserve">http://slimages.macys.com/is/image/MCY/12063860 </v>
      </c>
    </row>
    <row r="464" spans="1:12" ht="24.75" x14ac:dyDescent="0.25">
      <c r="A464" s="4" t="s">
        <v>8721</v>
      </c>
      <c r="B464" s="2" t="s">
        <v>8722</v>
      </c>
      <c r="C464" s="3">
        <v>1</v>
      </c>
      <c r="D464" s="5">
        <v>24.99</v>
      </c>
      <c r="E464" s="3" t="s">
        <v>8723</v>
      </c>
      <c r="F464" s="2" t="s">
        <v>252</v>
      </c>
      <c r="G464" s="6" t="s">
        <v>245</v>
      </c>
      <c r="H464" s="2" t="s">
        <v>1473</v>
      </c>
      <c r="I464" s="2" t="s">
        <v>1426</v>
      </c>
      <c r="J464" s="2" t="s">
        <v>19</v>
      </c>
      <c r="K464" s="2" t="s">
        <v>1431</v>
      </c>
      <c r="L464" s="7" t="str">
        <f>HYPERLINK("http://slimages.macys.com/is/image/MCY/11774078 ")</f>
        <v xml:space="preserve">http://slimages.macys.com/is/image/MCY/11774078 </v>
      </c>
    </row>
    <row r="465" spans="1:12" ht="24.75" x14ac:dyDescent="0.25">
      <c r="A465" s="4" t="s">
        <v>8724</v>
      </c>
      <c r="B465" s="2" t="s">
        <v>8722</v>
      </c>
      <c r="C465" s="3">
        <v>1</v>
      </c>
      <c r="D465" s="5">
        <v>24.99</v>
      </c>
      <c r="E465" s="3" t="s">
        <v>8723</v>
      </c>
      <c r="F465" s="2" t="s">
        <v>252</v>
      </c>
      <c r="G465" s="6" t="s">
        <v>156</v>
      </c>
      <c r="H465" s="2" t="s">
        <v>1473</v>
      </c>
      <c r="I465" s="2" t="s">
        <v>1426</v>
      </c>
      <c r="J465" s="2" t="s">
        <v>19</v>
      </c>
      <c r="K465" s="2" t="s">
        <v>1431</v>
      </c>
      <c r="L465" s="7" t="str">
        <f>HYPERLINK("http://slimages.macys.com/is/image/MCY/11774078 ")</f>
        <v xml:space="preserve">http://slimages.macys.com/is/image/MCY/11774078 </v>
      </c>
    </row>
    <row r="466" spans="1:12" ht="24.75" x14ac:dyDescent="0.25">
      <c r="A466" s="4" t="s">
        <v>2741</v>
      </c>
      <c r="B466" s="2" t="s">
        <v>1444</v>
      </c>
      <c r="C466" s="3">
        <v>1</v>
      </c>
      <c r="D466" s="5">
        <v>34.880000000000003</v>
      </c>
      <c r="E466" s="3">
        <v>100042376</v>
      </c>
      <c r="F466" s="2" t="s">
        <v>94</v>
      </c>
      <c r="G466" s="6" t="s">
        <v>27</v>
      </c>
      <c r="H466" s="2" t="s">
        <v>194</v>
      </c>
      <c r="I466" s="2" t="s">
        <v>195</v>
      </c>
      <c r="J466" s="2" t="s">
        <v>19</v>
      </c>
      <c r="K466" s="2" t="s">
        <v>353</v>
      </c>
      <c r="L466" s="7" t="str">
        <f>HYPERLINK("http://slimages.macys.com/is/image/MCY/11764758 ")</f>
        <v xml:space="preserve">http://slimages.macys.com/is/image/MCY/11764758 </v>
      </c>
    </row>
    <row r="467" spans="1:12" ht="24.75" x14ac:dyDescent="0.25">
      <c r="A467" s="4" t="s">
        <v>8725</v>
      </c>
      <c r="B467" s="2" t="s">
        <v>1444</v>
      </c>
      <c r="C467" s="3">
        <v>1</v>
      </c>
      <c r="D467" s="5">
        <v>34.880000000000003</v>
      </c>
      <c r="E467" s="3">
        <v>100042376</v>
      </c>
      <c r="F467" s="2" t="s">
        <v>257</v>
      </c>
      <c r="G467" s="6" t="s">
        <v>22</v>
      </c>
      <c r="H467" s="2" t="s">
        <v>194</v>
      </c>
      <c r="I467" s="2" t="s">
        <v>195</v>
      </c>
      <c r="J467" s="2" t="s">
        <v>19</v>
      </c>
      <c r="K467" s="2" t="s">
        <v>353</v>
      </c>
      <c r="L467" s="7" t="str">
        <f>HYPERLINK("http://slimages.macys.com/is/image/MCY/11764758 ")</f>
        <v xml:space="preserve">http://slimages.macys.com/is/image/MCY/11764758 </v>
      </c>
    </row>
    <row r="468" spans="1:12" ht="24.75" x14ac:dyDescent="0.25">
      <c r="A468" s="4" t="s">
        <v>5923</v>
      </c>
      <c r="B468" s="2" t="s">
        <v>1444</v>
      </c>
      <c r="C468" s="3">
        <v>1</v>
      </c>
      <c r="D468" s="5">
        <v>34.880000000000003</v>
      </c>
      <c r="E468" s="3">
        <v>100042376</v>
      </c>
      <c r="F468" s="2" t="s">
        <v>506</v>
      </c>
      <c r="G468" s="6" t="s">
        <v>22</v>
      </c>
      <c r="H468" s="2" t="s">
        <v>194</v>
      </c>
      <c r="I468" s="2" t="s">
        <v>195</v>
      </c>
      <c r="J468" s="2" t="s">
        <v>19</v>
      </c>
      <c r="K468" s="2" t="s">
        <v>353</v>
      </c>
      <c r="L468" s="7" t="str">
        <f>HYPERLINK("http://slimages.macys.com/is/image/MCY/11764758 ")</f>
        <v xml:space="preserve">http://slimages.macys.com/is/image/MCY/11764758 </v>
      </c>
    </row>
    <row r="469" spans="1:12" ht="24.75" x14ac:dyDescent="0.25">
      <c r="A469" s="4" t="s">
        <v>8726</v>
      </c>
      <c r="B469" s="2" t="s">
        <v>1444</v>
      </c>
      <c r="C469" s="3">
        <v>1</v>
      </c>
      <c r="D469" s="5">
        <v>34.880000000000003</v>
      </c>
      <c r="E469" s="3">
        <v>100042376</v>
      </c>
      <c r="F469" s="2" t="s">
        <v>94</v>
      </c>
      <c r="G469" s="6" t="s">
        <v>16</v>
      </c>
      <c r="H469" s="2" t="s">
        <v>194</v>
      </c>
      <c r="I469" s="2" t="s">
        <v>195</v>
      </c>
      <c r="J469" s="2" t="s">
        <v>19</v>
      </c>
      <c r="K469" s="2" t="s">
        <v>353</v>
      </c>
      <c r="L469" s="7" t="str">
        <f>HYPERLINK("http://slimages.macys.com/is/image/MCY/11764758 ")</f>
        <v xml:space="preserve">http://slimages.macys.com/is/image/MCY/11764758 </v>
      </c>
    </row>
    <row r="470" spans="1:12" ht="24.75" x14ac:dyDescent="0.25">
      <c r="A470" s="4" t="s">
        <v>3920</v>
      </c>
      <c r="B470" s="2" t="s">
        <v>1416</v>
      </c>
      <c r="C470" s="3">
        <v>1</v>
      </c>
      <c r="D470" s="5">
        <v>21.99</v>
      </c>
      <c r="E470" s="3" t="s">
        <v>1451</v>
      </c>
      <c r="F470" s="2" t="s">
        <v>79</v>
      </c>
      <c r="G470" s="6" t="s">
        <v>16</v>
      </c>
      <c r="H470" s="2" t="s">
        <v>194</v>
      </c>
      <c r="I470" s="2" t="s">
        <v>195</v>
      </c>
      <c r="J470" s="2" t="s">
        <v>19</v>
      </c>
      <c r="K470" s="2" t="s">
        <v>353</v>
      </c>
      <c r="L470" s="7" t="str">
        <f>HYPERLINK("http://slimages.macys.com/is/image/MCY/12033149 ")</f>
        <v xml:space="preserve">http://slimages.macys.com/is/image/MCY/12033149 </v>
      </c>
    </row>
    <row r="471" spans="1:12" ht="24.75" x14ac:dyDescent="0.25">
      <c r="A471" s="4" t="s">
        <v>8727</v>
      </c>
      <c r="B471" s="2" t="s">
        <v>1416</v>
      </c>
      <c r="C471" s="3">
        <v>1</v>
      </c>
      <c r="D471" s="5">
        <v>21.99</v>
      </c>
      <c r="E471" s="3" t="s">
        <v>1451</v>
      </c>
      <c r="F471" s="2" t="s">
        <v>79</v>
      </c>
      <c r="G471" s="6" t="s">
        <v>106</v>
      </c>
      <c r="H471" s="2" t="s">
        <v>194</v>
      </c>
      <c r="I471" s="2" t="s">
        <v>195</v>
      </c>
      <c r="J471" s="2" t="s">
        <v>19</v>
      </c>
      <c r="K471" s="2" t="s">
        <v>353</v>
      </c>
      <c r="L471" s="7" t="str">
        <f>HYPERLINK("http://slimages.macys.com/is/image/MCY/12033149 ")</f>
        <v xml:space="preserve">http://slimages.macys.com/is/image/MCY/12033149 </v>
      </c>
    </row>
    <row r="472" spans="1:12" ht="24.75" x14ac:dyDescent="0.25">
      <c r="A472" s="4" t="s">
        <v>8728</v>
      </c>
      <c r="B472" s="2" t="s">
        <v>1405</v>
      </c>
      <c r="C472" s="3">
        <v>1</v>
      </c>
      <c r="D472" s="5">
        <v>34.880000000000003</v>
      </c>
      <c r="E472" s="3" t="s">
        <v>5938</v>
      </c>
      <c r="F472" s="2" t="s">
        <v>136</v>
      </c>
      <c r="G472" s="6" t="s">
        <v>802</v>
      </c>
      <c r="H472" s="2" t="s">
        <v>312</v>
      </c>
      <c r="I472" s="2" t="s">
        <v>195</v>
      </c>
      <c r="J472" s="2" t="s">
        <v>19</v>
      </c>
      <c r="K472" s="2" t="s">
        <v>353</v>
      </c>
      <c r="L472" s="7" t="str">
        <f>HYPERLINK("http://slimages.macys.com/is/image/MCY/11465628 ")</f>
        <v xml:space="preserve">http://slimages.macys.com/is/image/MCY/11465628 </v>
      </c>
    </row>
    <row r="473" spans="1:12" ht="24.75" x14ac:dyDescent="0.25">
      <c r="A473" s="4" t="s">
        <v>4996</v>
      </c>
      <c r="B473" s="2" t="s">
        <v>1482</v>
      </c>
      <c r="C473" s="3">
        <v>1</v>
      </c>
      <c r="D473" s="5">
        <v>29.63</v>
      </c>
      <c r="E473" s="3" t="s">
        <v>4997</v>
      </c>
      <c r="F473" s="2" t="s">
        <v>252</v>
      </c>
      <c r="G473" s="6" t="s">
        <v>234</v>
      </c>
      <c r="H473" s="2" t="s">
        <v>194</v>
      </c>
      <c r="I473" s="2" t="s">
        <v>195</v>
      </c>
      <c r="J473" s="2" t="s">
        <v>19</v>
      </c>
      <c r="K473" s="2" t="s">
        <v>1082</v>
      </c>
      <c r="L473" s="7" t="str">
        <f>HYPERLINK("http://slimages.macys.com/is/image/MCY/12734370 ")</f>
        <v xml:space="preserve">http://slimages.macys.com/is/image/MCY/12734370 </v>
      </c>
    </row>
    <row r="474" spans="1:12" ht="24.75" x14ac:dyDescent="0.25">
      <c r="A474" s="4" t="s">
        <v>8228</v>
      </c>
      <c r="B474" s="2" t="s">
        <v>1465</v>
      </c>
      <c r="C474" s="3">
        <v>1</v>
      </c>
      <c r="D474" s="5">
        <v>34.880000000000003</v>
      </c>
      <c r="E474" s="3">
        <v>100054394</v>
      </c>
      <c r="F474" s="2" t="s">
        <v>566</v>
      </c>
      <c r="G474" s="6" t="s">
        <v>16</v>
      </c>
      <c r="H474" s="2" t="s">
        <v>194</v>
      </c>
      <c r="I474" s="2" t="s">
        <v>195</v>
      </c>
      <c r="J474" s="2" t="s">
        <v>19</v>
      </c>
      <c r="K474" s="2" t="s">
        <v>353</v>
      </c>
      <c r="L474" s="7" t="str">
        <f>HYPERLINK("http://slimages.macys.com/is/image/MCY/12404668 ")</f>
        <v xml:space="preserve">http://slimages.macys.com/is/image/MCY/12404668 </v>
      </c>
    </row>
    <row r="475" spans="1:12" ht="24.75" x14ac:dyDescent="0.25">
      <c r="A475" s="4" t="s">
        <v>8729</v>
      </c>
      <c r="B475" s="2" t="s">
        <v>2763</v>
      </c>
      <c r="C475" s="3">
        <v>1</v>
      </c>
      <c r="D475" s="5">
        <v>24.99</v>
      </c>
      <c r="E475" s="3" t="s">
        <v>6693</v>
      </c>
      <c r="F475" s="2" t="s">
        <v>413</v>
      </c>
      <c r="G475" s="6" t="s">
        <v>234</v>
      </c>
      <c r="H475" s="2" t="s">
        <v>1522</v>
      </c>
      <c r="I475" s="2" t="s">
        <v>1469</v>
      </c>
      <c r="J475" s="2" t="s">
        <v>19</v>
      </c>
      <c r="K475" s="2" t="s">
        <v>495</v>
      </c>
      <c r="L475" s="7" t="str">
        <f>HYPERLINK("http://slimages.macys.com/is/image/MCY/12636267 ")</f>
        <v xml:space="preserve">http://slimages.macys.com/is/image/MCY/12636267 </v>
      </c>
    </row>
    <row r="476" spans="1:12" ht="24.75" x14ac:dyDescent="0.25">
      <c r="A476" s="4" t="s">
        <v>8730</v>
      </c>
      <c r="B476" s="2" t="s">
        <v>5006</v>
      </c>
      <c r="C476" s="3">
        <v>3</v>
      </c>
      <c r="D476" s="5">
        <v>26.99</v>
      </c>
      <c r="E476" s="3" t="s">
        <v>5007</v>
      </c>
      <c r="F476" s="2" t="s">
        <v>15</v>
      </c>
      <c r="G476" s="6" t="s">
        <v>27</v>
      </c>
      <c r="H476" s="2" t="s">
        <v>1473</v>
      </c>
      <c r="I476" s="2" t="s">
        <v>1426</v>
      </c>
      <c r="J476" s="2" t="s">
        <v>19</v>
      </c>
      <c r="K476" s="2" t="s">
        <v>353</v>
      </c>
      <c r="L476" s="7" t="str">
        <f t="shared" ref="L476:L481" si="4">HYPERLINK("http://slimages.macys.com/is/image/MCY/11027855 ")</f>
        <v xml:space="preserve">http://slimages.macys.com/is/image/MCY/11027855 </v>
      </c>
    </row>
    <row r="477" spans="1:12" ht="24.75" x14ac:dyDescent="0.25">
      <c r="A477" s="4" t="s">
        <v>8231</v>
      </c>
      <c r="B477" s="2" t="s">
        <v>5006</v>
      </c>
      <c r="C477" s="3">
        <v>2</v>
      </c>
      <c r="D477" s="5">
        <v>26.99</v>
      </c>
      <c r="E477" s="3" t="s">
        <v>5007</v>
      </c>
      <c r="F477" s="2" t="s">
        <v>15</v>
      </c>
      <c r="G477" s="6" t="s">
        <v>112</v>
      </c>
      <c r="H477" s="2" t="s">
        <v>1473</v>
      </c>
      <c r="I477" s="2" t="s">
        <v>1426</v>
      </c>
      <c r="J477" s="2" t="s">
        <v>19</v>
      </c>
      <c r="K477" s="2" t="s">
        <v>353</v>
      </c>
      <c r="L477" s="7" t="str">
        <f t="shared" si="4"/>
        <v xml:space="preserve">http://slimages.macys.com/is/image/MCY/11027855 </v>
      </c>
    </row>
    <row r="478" spans="1:12" ht="24.75" x14ac:dyDescent="0.25">
      <c r="A478" s="4" t="s">
        <v>8731</v>
      </c>
      <c r="B478" s="2" t="s">
        <v>5006</v>
      </c>
      <c r="C478" s="3">
        <v>3</v>
      </c>
      <c r="D478" s="5">
        <v>26.99</v>
      </c>
      <c r="E478" s="3" t="s">
        <v>5007</v>
      </c>
      <c r="F478" s="2" t="s">
        <v>15</v>
      </c>
      <c r="G478" s="6" t="s">
        <v>58</v>
      </c>
      <c r="H478" s="2" t="s">
        <v>1473</v>
      </c>
      <c r="I478" s="2" t="s">
        <v>1426</v>
      </c>
      <c r="J478" s="2" t="s">
        <v>19</v>
      </c>
      <c r="K478" s="2" t="s">
        <v>353</v>
      </c>
      <c r="L478" s="7" t="str">
        <f t="shared" si="4"/>
        <v xml:space="preserve">http://slimages.macys.com/is/image/MCY/11027855 </v>
      </c>
    </row>
    <row r="479" spans="1:12" ht="24.75" x14ac:dyDescent="0.25">
      <c r="A479" s="4" t="s">
        <v>5005</v>
      </c>
      <c r="B479" s="2" t="s">
        <v>5006</v>
      </c>
      <c r="C479" s="3">
        <v>4</v>
      </c>
      <c r="D479" s="5">
        <v>26.99</v>
      </c>
      <c r="E479" s="3" t="s">
        <v>5007</v>
      </c>
      <c r="F479" s="2" t="s">
        <v>15</v>
      </c>
      <c r="G479" s="6" t="s">
        <v>22</v>
      </c>
      <c r="H479" s="2" t="s">
        <v>1473</v>
      </c>
      <c r="I479" s="2" t="s">
        <v>1426</v>
      </c>
      <c r="J479" s="2" t="s">
        <v>19</v>
      </c>
      <c r="K479" s="2" t="s">
        <v>353</v>
      </c>
      <c r="L479" s="7" t="str">
        <f t="shared" si="4"/>
        <v xml:space="preserve">http://slimages.macys.com/is/image/MCY/11027855 </v>
      </c>
    </row>
    <row r="480" spans="1:12" ht="24.75" x14ac:dyDescent="0.25">
      <c r="A480" s="4" t="s">
        <v>8732</v>
      </c>
      <c r="B480" s="2" t="s">
        <v>5006</v>
      </c>
      <c r="C480" s="3">
        <v>5</v>
      </c>
      <c r="D480" s="5">
        <v>26.99</v>
      </c>
      <c r="E480" s="3" t="s">
        <v>5007</v>
      </c>
      <c r="F480" s="2" t="s">
        <v>15</v>
      </c>
      <c r="G480" s="6" t="s">
        <v>16</v>
      </c>
      <c r="H480" s="2" t="s">
        <v>1473</v>
      </c>
      <c r="I480" s="2" t="s">
        <v>1426</v>
      </c>
      <c r="J480" s="2" t="s">
        <v>19</v>
      </c>
      <c r="K480" s="2" t="s">
        <v>353</v>
      </c>
      <c r="L480" s="7" t="str">
        <f t="shared" si="4"/>
        <v xml:space="preserve">http://slimages.macys.com/is/image/MCY/11027855 </v>
      </c>
    </row>
    <row r="481" spans="1:12" ht="24.75" x14ac:dyDescent="0.25">
      <c r="A481" s="4" t="s">
        <v>8733</v>
      </c>
      <c r="B481" s="2" t="s">
        <v>5006</v>
      </c>
      <c r="C481" s="3">
        <v>1</v>
      </c>
      <c r="D481" s="5">
        <v>26.99</v>
      </c>
      <c r="E481" s="3" t="s">
        <v>5007</v>
      </c>
      <c r="F481" s="2" t="s">
        <v>15</v>
      </c>
      <c r="G481" s="6" t="s">
        <v>106</v>
      </c>
      <c r="H481" s="2" t="s">
        <v>1473</v>
      </c>
      <c r="I481" s="2" t="s">
        <v>1426</v>
      </c>
      <c r="J481" s="2" t="s">
        <v>19</v>
      </c>
      <c r="K481" s="2" t="s">
        <v>353</v>
      </c>
      <c r="L481" s="7" t="str">
        <f t="shared" si="4"/>
        <v xml:space="preserve">http://slimages.macys.com/is/image/MCY/11027855 </v>
      </c>
    </row>
    <row r="482" spans="1:12" ht="24.75" x14ac:dyDescent="0.25">
      <c r="A482" s="4" t="s">
        <v>1470</v>
      </c>
      <c r="B482" s="2" t="s">
        <v>1471</v>
      </c>
      <c r="C482" s="3">
        <v>1</v>
      </c>
      <c r="D482" s="5">
        <v>26.99</v>
      </c>
      <c r="E482" s="3" t="s">
        <v>1472</v>
      </c>
      <c r="F482" s="2" t="s">
        <v>15</v>
      </c>
      <c r="G482" s="6" t="s">
        <v>58</v>
      </c>
      <c r="H482" s="2" t="s">
        <v>1473</v>
      </c>
      <c r="I482" s="2" t="s">
        <v>1426</v>
      </c>
      <c r="J482" s="2" t="s">
        <v>19</v>
      </c>
      <c r="K482" s="2" t="s">
        <v>353</v>
      </c>
      <c r="L482" s="7" t="str">
        <f>HYPERLINK("http://slimages.macys.com/is/image/MCY/11989623 ")</f>
        <v xml:space="preserve">http://slimages.macys.com/is/image/MCY/11989623 </v>
      </c>
    </row>
    <row r="483" spans="1:12" ht="24.75" x14ac:dyDescent="0.25">
      <c r="A483" s="4" t="s">
        <v>2761</v>
      </c>
      <c r="B483" s="2" t="s">
        <v>1471</v>
      </c>
      <c r="C483" s="3">
        <v>1</v>
      </c>
      <c r="D483" s="5">
        <v>26.99</v>
      </c>
      <c r="E483" s="3" t="s">
        <v>1472</v>
      </c>
      <c r="F483" s="2" t="s">
        <v>74</v>
      </c>
      <c r="G483" s="6" t="s">
        <v>22</v>
      </c>
      <c r="H483" s="2" t="s">
        <v>1473</v>
      </c>
      <c r="I483" s="2" t="s">
        <v>1426</v>
      </c>
      <c r="J483" s="2" t="s">
        <v>19</v>
      </c>
      <c r="K483" s="2" t="s">
        <v>353</v>
      </c>
      <c r="L483" s="7" t="str">
        <f>HYPERLINK("http://slimages.macys.com/is/image/MCY/11989623 ")</f>
        <v xml:space="preserve">http://slimages.macys.com/is/image/MCY/11989623 </v>
      </c>
    </row>
    <row r="484" spans="1:12" ht="24.75" x14ac:dyDescent="0.25">
      <c r="A484" s="4" t="s">
        <v>8734</v>
      </c>
      <c r="B484" s="2" t="s">
        <v>8735</v>
      </c>
      <c r="C484" s="3">
        <v>1</v>
      </c>
      <c r="D484" s="5">
        <v>37.130000000000003</v>
      </c>
      <c r="E484" s="3" t="s">
        <v>8736</v>
      </c>
      <c r="F484" s="2" t="s">
        <v>64</v>
      </c>
      <c r="G484" s="6" t="s">
        <v>154</v>
      </c>
      <c r="H484" s="2" t="s">
        <v>246</v>
      </c>
      <c r="I484" s="2" t="s">
        <v>189</v>
      </c>
      <c r="J484" s="2" t="s">
        <v>19</v>
      </c>
      <c r="K484" s="2" t="s">
        <v>648</v>
      </c>
      <c r="L484" s="7" t="str">
        <f>HYPERLINK("http://slimages.macys.com/is/image/MCY/12894532 ")</f>
        <v xml:space="preserve">http://slimages.macys.com/is/image/MCY/12894532 </v>
      </c>
    </row>
    <row r="485" spans="1:12" ht="36.75" x14ac:dyDescent="0.25">
      <c r="A485" s="4" t="s">
        <v>8232</v>
      </c>
      <c r="B485" s="2" t="s">
        <v>1482</v>
      </c>
      <c r="C485" s="3">
        <v>1</v>
      </c>
      <c r="D485" s="5">
        <v>32.5</v>
      </c>
      <c r="E485" s="3" t="s">
        <v>1483</v>
      </c>
      <c r="F485" s="2" t="s">
        <v>48</v>
      </c>
      <c r="G485" s="6"/>
      <c r="H485" s="2" t="s">
        <v>312</v>
      </c>
      <c r="I485" s="2" t="s">
        <v>195</v>
      </c>
      <c r="J485" s="2" t="s">
        <v>19</v>
      </c>
      <c r="K485" s="2" t="s">
        <v>1484</v>
      </c>
      <c r="L485" s="7" t="str">
        <f>HYPERLINK("http://slimages.macys.com/is/image/MCY/12064112 ")</f>
        <v xml:space="preserve">http://slimages.macys.com/is/image/MCY/12064112 </v>
      </c>
    </row>
    <row r="486" spans="1:12" ht="36.75" x14ac:dyDescent="0.25">
      <c r="A486" s="4" t="s">
        <v>5012</v>
      </c>
      <c r="B486" s="2" t="s">
        <v>1482</v>
      </c>
      <c r="C486" s="3">
        <v>1</v>
      </c>
      <c r="D486" s="5">
        <v>29.63</v>
      </c>
      <c r="E486" s="3" t="s">
        <v>5013</v>
      </c>
      <c r="F486" s="2" t="s">
        <v>15</v>
      </c>
      <c r="G486" s="6"/>
      <c r="H486" s="2" t="s">
        <v>312</v>
      </c>
      <c r="I486" s="2" t="s">
        <v>195</v>
      </c>
      <c r="J486" s="2" t="s">
        <v>19</v>
      </c>
      <c r="K486" s="2" t="s">
        <v>5014</v>
      </c>
      <c r="L486" s="7" t="str">
        <f>HYPERLINK("http://slimages.macys.com/is/image/MCY/12404964 ")</f>
        <v xml:space="preserve">http://slimages.macys.com/is/image/MCY/12404964 </v>
      </c>
    </row>
    <row r="487" spans="1:12" ht="36.75" x14ac:dyDescent="0.25">
      <c r="A487" s="4" t="s">
        <v>5017</v>
      </c>
      <c r="B487" s="2" t="s">
        <v>1482</v>
      </c>
      <c r="C487" s="3">
        <v>2</v>
      </c>
      <c r="D487" s="5">
        <v>29.63</v>
      </c>
      <c r="E487" s="3" t="s">
        <v>5013</v>
      </c>
      <c r="F487" s="2" t="s">
        <v>15</v>
      </c>
      <c r="G487" s="6"/>
      <c r="H487" s="2" t="s">
        <v>312</v>
      </c>
      <c r="I487" s="2" t="s">
        <v>195</v>
      </c>
      <c r="J487" s="2" t="s">
        <v>19</v>
      </c>
      <c r="K487" s="2" t="s">
        <v>5014</v>
      </c>
      <c r="L487" s="7" t="str">
        <f>HYPERLINK("http://slimages.macys.com/is/image/MCY/12404964 ")</f>
        <v xml:space="preserve">http://slimages.macys.com/is/image/MCY/12404964 </v>
      </c>
    </row>
    <row r="488" spans="1:12" ht="36.75" x14ac:dyDescent="0.25">
      <c r="A488" s="4" t="s">
        <v>5016</v>
      </c>
      <c r="B488" s="2" t="s">
        <v>1482</v>
      </c>
      <c r="C488" s="3">
        <v>4</v>
      </c>
      <c r="D488" s="5">
        <v>32.5</v>
      </c>
      <c r="E488" s="3" t="s">
        <v>1483</v>
      </c>
      <c r="F488" s="2" t="s">
        <v>48</v>
      </c>
      <c r="G488" s="6"/>
      <c r="H488" s="2" t="s">
        <v>312</v>
      </c>
      <c r="I488" s="2" t="s">
        <v>195</v>
      </c>
      <c r="J488" s="2" t="s">
        <v>19</v>
      </c>
      <c r="K488" s="2" t="s">
        <v>1484</v>
      </c>
      <c r="L488" s="7" t="str">
        <f>HYPERLINK("http://slimages.macys.com/is/image/MCY/12064112 ")</f>
        <v xml:space="preserve">http://slimages.macys.com/is/image/MCY/12064112 </v>
      </c>
    </row>
    <row r="489" spans="1:12" ht="24.75" x14ac:dyDescent="0.25">
      <c r="A489" s="4" t="s">
        <v>3934</v>
      </c>
      <c r="B489" s="2" t="s">
        <v>2779</v>
      </c>
      <c r="C489" s="3">
        <v>1</v>
      </c>
      <c r="D489" s="5">
        <v>29.63</v>
      </c>
      <c r="E489" s="3" t="s">
        <v>2780</v>
      </c>
      <c r="F489" s="2" t="s">
        <v>125</v>
      </c>
      <c r="G489" s="6" t="s">
        <v>154</v>
      </c>
      <c r="H489" s="2" t="s">
        <v>194</v>
      </c>
      <c r="I489" s="2" t="s">
        <v>195</v>
      </c>
      <c r="J489" s="2" t="s">
        <v>19</v>
      </c>
      <c r="K489" s="2" t="s">
        <v>247</v>
      </c>
      <c r="L489" s="7" t="str">
        <f>HYPERLINK("http://slimages.macys.com/is/image/MCY/12279859 ")</f>
        <v xml:space="preserve">http://slimages.macys.com/is/image/MCY/12279859 </v>
      </c>
    </row>
    <row r="490" spans="1:12" ht="24.75" x14ac:dyDescent="0.25">
      <c r="A490" s="4" t="s">
        <v>8737</v>
      </c>
      <c r="B490" s="2" t="s">
        <v>2779</v>
      </c>
      <c r="C490" s="3">
        <v>1</v>
      </c>
      <c r="D490" s="5">
        <v>29.63</v>
      </c>
      <c r="E490" s="3" t="s">
        <v>2780</v>
      </c>
      <c r="F490" s="2" t="s">
        <v>125</v>
      </c>
      <c r="G490" s="6" t="s">
        <v>245</v>
      </c>
      <c r="H490" s="2" t="s">
        <v>194</v>
      </c>
      <c r="I490" s="2" t="s">
        <v>195</v>
      </c>
      <c r="J490" s="2" t="s">
        <v>19</v>
      </c>
      <c r="K490" s="2" t="s">
        <v>247</v>
      </c>
      <c r="L490" s="7" t="str">
        <f>HYPERLINK("http://slimages.macys.com/is/image/MCY/12279859 ")</f>
        <v xml:space="preserve">http://slimages.macys.com/is/image/MCY/12279859 </v>
      </c>
    </row>
    <row r="491" spans="1:12" ht="24.75" x14ac:dyDescent="0.25">
      <c r="A491" s="4" t="s">
        <v>1493</v>
      </c>
      <c r="B491" s="2" t="s">
        <v>1494</v>
      </c>
      <c r="C491" s="3">
        <v>1</v>
      </c>
      <c r="D491" s="5">
        <v>24.99</v>
      </c>
      <c r="E491" s="3">
        <v>100011892</v>
      </c>
      <c r="F491" s="2" t="s">
        <v>417</v>
      </c>
      <c r="G491" s="6" t="s">
        <v>141</v>
      </c>
      <c r="H491" s="2" t="s">
        <v>228</v>
      </c>
      <c r="I491" s="2" t="s">
        <v>857</v>
      </c>
      <c r="J491" s="2" t="s">
        <v>19</v>
      </c>
      <c r="K491" s="2" t="s">
        <v>1495</v>
      </c>
      <c r="L491" s="7" t="str">
        <f>HYPERLINK("http://slimages.macys.com/is/image/MCY/12143827 ")</f>
        <v xml:space="preserve">http://slimages.macys.com/is/image/MCY/12143827 </v>
      </c>
    </row>
    <row r="492" spans="1:12" ht="24.75" x14ac:dyDescent="0.25">
      <c r="A492" s="4" t="s">
        <v>8738</v>
      </c>
      <c r="B492" s="2" t="s">
        <v>1516</v>
      </c>
      <c r="C492" s="3">
        <v>1</v>
      </c>
      <c r="D492" s="5">
        <v>24.99</v>
      </c>
      <c r="E492" s="3" t="s">
        <v>1517</v>
      </c>
      <c r="F492" s="2" t="s">
        <v>252</v>
      </c>
      <c r="G492" s="6" t="s">
        <v>58</v>
      </c>
      <c r="H492" s="2" t="s">
        <v>1473</v>
      </c>
      <c r="I492" s="2" t="s">
        <v>1426</v>
      </c>
      <c r="J492" s="2" t="s">
        <v>19</v>
      </c>
      <c r="K492" s="2" t="s">
        <v>353</v>
      </c>
      <c r="L492" s="7" t="str">
        <f>HYPERLINK("http://slimages.macys.com/is/image/MCY/11029826 ")</f>
        <v xml:space="preserve">http://slimages.macys.com/is/image/MCY/11029826 </v>
      </c>
    </row>
    <row r="493" spans="1:12" ht="24.75" x14ac:dyDescent="0.25">
      <c r="A493" s="4" t="s">
        <v>6706</v>
      </c>
      <c r="B493" s="2" t="s">
        <v>1516</v>
      </c>
      <c r="C493" s="3">
        <v>1</v>
      </c>
      <c r="D493" s="5">
        <v>24.99</v>
      </c>
      <c r="E493" s="3" t="s">
        <v>1517</v>
      </c>
      <c r="F493" s="2" t="s">
        <v>15</v>
      </c>
      <c r="G493" s="6" t="s">
        <v>16</v>
      </c>
      <c r="H493" s="2" t="s">
        <v>1473</v>
      </c>
      <c r="I493" s="2" t="s">
        <v>1426</v>
      </c>
      <c r="J493" s="2" t="s">
        <v>19</v>
      </c>
      <c r="K493" s="2" t="s">
        <v>353</v>
      </c>
      <c r="L493" s="7" t="str">
        <f>HYPERLINK("http://slimages.macys.com/is/image/MCY/11029826 ")</f>
        <v xml:space="preserve">http://slimages.macys.com/is/image/MCY/11029826 </v>
      </c>
    </row>
    <row r="494" spans="1:12" ht="24.75" x14ac:dyDescent="0.25">
      <c r="A494" s="4" t="s">
        <v>2803</v>
      </c>
      <c r="B494" s="2" t="s">
        <v>2804</v>
      </c>
      <c r="C494" s="3">
        <v>1</v>
      </c>
      <c r="D494" s="5">
        <v>24.99</v>
      </c>
      <c r="E494" s="3" t="s">
        <v>2805</v>
      </c>
      <c r="F494" s="2" t="s">
        <v>15</v>
      </c>
      <c r="G494" s="6" t="s">
        <v>205</v>
      </c>
      <c r="H494" s="2" t="s">
        <v>1425</v>
      </c>
      <c r="I494" s="2" t="s">
        <v>1426</v>
      </c>
      <c r="J494" s="2" t="s">
        <v>19</v>
      </c>
      <c r="K494" s="2" t="s">
        <v>353</v>
      </c>
      <c r="L494" s="7" t="str">
        <f>HYPERLINK("http://slimages.macys.com/is/image/MCY/11029945 ")</f>
        <v xml:space="preserve">http://slimages.macys.com/is/image/MCY/11029945 </v>
      </c>
    </row>
    <row r="495" spans="1:12" ht="24.75" x14ac:dyDescent="0.25">
      <c r="A495" s="4" t="s">
        <v>8739</v>
      </c>
      <c r="B495" s="2" t="s">
        <v>1516</v>
      </c>
      <c r="C495" s="3">
        <v>1</v>
      </c>
      <c r="D495" s="5">
        <v>24.99</v>
      </c>
      <c r="E495" s="3" t="s">
        <v>1517</v>
      </c>
      <c r="F495" s="2" t="s">
        <v>15</v>
      </c>
      <c r="G495" s="6" t="s">
        <v>112</v>
      </c>
      <c r="H495" s="2" t="s">
        <v>1473</v>
      </c>
      <c r="I495" s="2" t="s">
        <v>1426</v>
      </c>
      <c r="J495" s="2" t="s">
        <v>19</v>
      </c>
      <c r="K495" s="2" t="s">
        <v>353</v>
      </c>
      <c r="L495" s="7" t="str">
        <f>HYPERLINK("http://slimages.macys.com/is/image/MCY/11029826 ")</f>
        <v xml:space="preserve">http://slimages.macys.com/is/image/MCY/11029826 </v>
      </c>
    </row>
    <row r="496" spans="1:12" ht="24.75" x14ac:dyDescent="0.25">
      <c r="A496" s="4" t="s">
        <v>8740</v>
      </c>
      <c r="B496" s="2" t="s">
        <v>7544</v>
      </c>
      <c r="C496" s="3">
        <v>1</v>
      </c>
      <c r="D496" s="5">
        <v>24.99</v>
      </c>
      <c r="E496" s="3" t="s">
        <v>8741</v>
      </c>
      <c r="F496" s="2" t="s">
        <v>74</v>
      </c>
      <c r="G496" s="6"/>
      <c r="H496" s="2" t="s">
        <v>1425</v>
      </c>
      <c r="I496" s="2" t="s">
        <v>1426</v>
      </c>
      <c r="J496" s="2" t="s">
        <v>19</v>
      </c>
      <c r="K496" s="2" t="s">
        <v>648</v>
      </c>
      <c r="L496" s="7" t="str">
        <f>HYPERLINK("http://slimages.macys.com/is/image/MCY/9555145 ")</f>
        <v xml:space="preserve">http://slimages.macys.com/is/image/MCY/9555145 </v>
      </c>
    </row>
    <row r="497" spans="1:12" ht="24.75" x14ac:dyDescent="0.25">
      <c r="A497" s="4" t="s">
        <v>8742</v>
      </c>
      <c r="B497" s="2" t="s">
        <v>8743</v>
      </c>
      <c r="C497" s="3">
        <v>1</v>
      </c>
      <c r="D497" s="5">
        <v>24.99</v>
      </c>
      <c r="E497" s="3" t="s">
        <v>8744</v>
      </c>
      <c r="F497" s="2" t="s">
        <v>74</v>
      </c>
      <c r="G497" s="6"/>
      <c r="H497" s="2" t="s">
        <v>1425</v>
      </c>
      <c r="I497" s="2" t="s">
        <v>1426</v>
      </c>
      <c r="J497" s="2" t="s">
        <v>19</v>
      </c>
      <c r="K497" s="2" t="s">
        <v>338</v>
      </c>
      <c r="L497" s="7" t="str">
        <f>HYPERLINK("http://slimages.macys.com/is/image/MCY/9231711 ")</f>
        <v xml:space="preserve">http://slimages.macys.com/is/image/MCY/9231711 </v>
      </c>
    </row>
    <row r="498" spans="1:12" ht="24.75" x14ac:dyDescent="0.25">
      <c r="A498" s="4" t="s">
        <v>8745</v>
      </c>
      <c r="B498" s="2" t="s">
        <v>8743</v>
      </c>
      <c r="C498" s="3">
        <v>1</v>
      </c>
      <c r="D498" s="5">
        <v>24.99</v>
      </c>
      <c r="E498" s="3" t="s">
        <v>8744</v>
      </c>
      <c r="F498" s="2" t="s">
        <v>74</v>
      </c>
      <c r="G498" s="6"/>
      <c r="H498" s="2" t="s">
        <v>1425</v>
      </c>
      <c r="I498" s="2" t="s">
        <v>1426</v>
      </c>
      <c r="J498" s="2" t="s">
        <v>19</v>
      </c>
      <c r="K498" s="2" t="s">
        <v>338</v>
      </c>
      <c r="L498" s="7" t="str">
        <f>HYPERLINK("http://slimages.macys.com/is/image/MCY/9231711 ")</f>
        <v xml:space="preserve">http://slimages.macys.com/is/image/MCY/9231711 </v>
      </c>
    </row>
    <row r="499" spans="1:12" ht="24.75" x14ac:dyDescent="0.25">
      <c r="A499" s="4" t="s">
        <v>8746</v>
      </c>
      <c r="B499" s="2" t="s">
        <v>1508</v>
      </c>
      <c r="C499" s="3">
        <v>1</v>
      </c>
      <c r="D499" s="5">
        <v>26.99</v>
      </c>
      <c r="E499" s="3" t="s">
        <v>2789</v>
      </c>
      <c r="F499" s="2" t="s">
        <v>417</v>
      </c>
      <c r="G499" s="6" t="s">
        <v>934</v>
      </c>
      <c r="H499" s="2" t="s">
        <v>1425</v>
      </c>
      <c r="I499" s="2" t="s">
        <v>1426</v>
      </c>
      <c r="J499" s="2" t="s">
        <v>19</v>
      </c>
      <c r="K499" s="2" t="s">
        <v>353</v>
      </c>
      <c r="L499" s="7" t="str">
        <f>HYPERLINK("http://slimages.macys.com/is/image/MCY/11029993 ")</f>
        <v xml:space="preserve">http://slimages.macys.com/is/image/MCY/11029993 </v>
      </c>
    </row>
    <row r="500" spans="1:12" ht="24.75" x14ac:dyDescent="0.25">
      <c r="A500" s="4" t="s">
        <v>2802</v>
      </c>
      <c r="B500" s="2" t="s">
        <v>1508</v>
      </c>
      <c r="C500" s="3">
        <v>2</v>
      </c>
      <c r="D500" s="5">
        <v>26.99</v>
      </c>
      <c r="E500" s="3" t="s">
        <v>2789</v>
      </c>
      <c r="F500" s="2" t="s">
        <v>417</v>
      </c>
      <c r="G500" s="6" t="s">
        <v>126</v>
      </c>
      <c r="H500" s="2" t="s">
        <v>1425</v>
      </c>
      <c r="I500" s="2" t="s">
        <v>1426</v>
      </c>
      <c r="J500" s="2" t="s">
        <v>19</v>
      </c>
      <c r="K500" s="2" t="s">
        <v>353</v>
      </c>
      <c r="L500" s="7" t="str">
        <f>HYPERLINK("http://slimages.macys.com/is/image/MCY/11029993 ")</f>
        <v xml:space="preserve">http://slimages.macys.com/is/image/MCY/11029993 </v>
      </c>
    </row>
    <row r="501" spans="1:12" ht="24.75" x14ac:dyDescent="0.25">
      <c r="A501" s="4" t="s">
        <v>5035</v>
      </c>
      <c r="B501" s="2" t="s">
        <v>1508</v>
      </c>
      <c r="C501" s="3">
        <v>2</v>
      </c>
      <c r="D501" s="5">
        <v>26.99</v>
      </c>
      <c r="E501" s="3" t="s">
        <v>2789</v>
      </c>
      <c r="F501" s="2" t="s">
        <v>417</v>
      </c>
      <c r="G501" s="6" t="s">
        <v>165</v>
      </c>
      <c r="H501" s="2" t="s">
        <v>1425</v>
      </c>
      <c r="I501" s="2" t="s">
        <v>1426</v>
      </c>
      <c r="J501" s="2" t="s">
        <v>19</v>
      </c>
      <c r="K501" s="2" t="s">
        <v>353</v>
      </c>
      <c r="L501" s="7" t="str">
        <f>HYPERLINK("http://slimages.macys.com/is/image/MCY/11029993 ")</f>
        <v xml:space="preserve">http://slimages.macys.com/is/image/MCY/11029993 </v>
      </c>
    </row>
    <row r="502" spans="1:12" ht="24.75" x14ac:dyDescent="0.25">
      <c r="A502" s="4" t="s">
        <v>8747</v>
      </c>
      <c r="B502" s="2" t="s">
        <v>5032</v>
      </c>
      <c r="C502" s="3">
        <v>1</v>
      </c>
      <c r="D502" s="5">
        <v>24.99</v>
      </c>
      <c r="E502" s="3" t="s">
        <v>5033</v>
      </c>
      <c r="F502" s="2" t="s">
        <v>413</v>
      </c>
      <c r="G502" s="6"/>
      <c r="H502" s="2" t="s">
        <v>1425</v>
      </c>
      <c r="I502" s="2" t="s">
        <v>1469</v>
      </c>
      <c r="J502" s="2" t="s">
        <v>19</v>
      </c>
      <c r="K502" s="2" t="s">
        <v>990</v>
      </c>
      <c r="L502" s="7" t="str">
        <f>HYPERLINK("http://slimages.macys.com/is/image/MCY/12645266 ")</f>
        <v xml:space="preserve">http://slimages.macys.com/is/image/MCY/12645266 </v>
      </c>
    </row>
    <row r="503" spans="1:12" ht="24.75" x14ac:dyDescent="0.25">
      <c r="A503" s="4" t="s">
        <v>8748</v>
      </c>
      <c r="B503" s="2" t="s">
        <v>5032</v>
      </c>
      <c r="C503" s="3">
        <v>1</v>
      </c>
      <c r="D503" s="5">
        <v>24.99</v>
      </c>
      <c r="E503" s="3" t="s">
        <v>8252</v>
      </c>
      <c r="F503" s="2" t="s">
        <v>15</v>
      </c>
      <c r="G503" s="6" t="s">
        <v>181</v>
      </c>
      <c r="H503" s="2" t="s">
        <v>1522</v>
      </c>
      <c r="I503" s="2" t="s">
        <v>1469</v>
      </c>
      <c r="J503" s="2" t="s">
        <v>19</v>
      </c>
      <c r="K503" s="2" t="s">
        <v>648</v>
      </c>
      <c r="L503" s="7" t="str">
        <f>HYPERLINK("http://slimages.macys.com/is/image/MCY/12645250 ")</f>
        <v xml:space="preserve">http://slimages.macys.com/is/image/MCY/12645250 </v>
      </c>
    </row>
    <row r="504" spans="1:12" ht="24.75" x14ac:dyDescent="0.25">
      <c r="A504" s="4" t="s">
        <v>1504</v>
      </c>
      <c r="B504" s="2" t="s">
        <v>1505</v>
      </c>
      <c r="C504" s="3">
        <v>1</v>
      </c>
      <c r="D504" s="5">
        <v>21.99</v>
      </c>
      <c r="E504" s="3" t="s">
        <v>1506</v>
      </c>
      <c r="F504" s="2" t="s">
        <v>15</v>
      </c>
      <c r="G504" s="6"/>
      <c r="H504" s="2" t="s">
        <v>1425</v>
      </c>
      <c r="I504" s="2" t="s">
        <v>1426</v>
      </c>
      <c r="J504" s="2" t="s">
        <v>19</v>
      </c>
      <c r="K504" s="2" t="s">
        <v>338</v>
      </c>
      <c r="L504" s="7" t="str">
        <f>HYPERLINK("http://slimages.macys.com/is/image/MCY/11456803 ")</f>
        <v xml:space="preserve">http://slimages.macys.com/is/image/MCY/11456803 </v>
      </c>
    </row>
    <row r="505" spans="1:12" ht="24.75" x14ac:dyDescent="0.25">
      <c r="A505" s="4" t="s">
        <v>5037</v>
      </c>
      <c r="B505" s="2" t="s">
        <v>2779</v>
      </c>
      <c r="C505" s="3">
        <v>1</v>
      </c>
      <c r="D505" s="5">
        <v>29.63</v>
      </c>
      <c r="E505" s="3" t="s">
        <v>2810</v>
      </c>
      <c r="F505" s="2" t="s">
        <v>15</v>
      </c>
      <c r="G505" s="6"/>
      <c r="H505" s="2" t="s">
        <v>312</v>
      </c>
      <c r="I505" s="2" t="s">
        <v>195</v>
      </c>
      <c r="J505" s="2" t="s">
        <v>19</v>
      </c>
      <c r="K505" s="2" t="s">
        <v>247</v>
      </c>
      <c r="L505" s="7" t="str">
        <f>HYPERLINK("http://slimages.macys.com/is/image/MCY/12279859 ")</f>
        <v xml:space="preserve">http://slimages.macys.com/is/image/MCY/12279859 </v>
      </c>
    </row>
    <row r="506" spans="1:12" ht="24.75" x14ac:dyDescent="0.25">
      <c r="A506" s="4" t="s">
        <v>2809</v>
      </c>
      <c r="B506" s="2" t="s">
        <v>2779</v>
      </c>
      <c r="C506" s="3">
        <v>3</v>
      </c>
      <c r="D506" s="5">
        <v>29.63</v>
      </c>
      <c r="E506" s="3" t="s">
        <v>2810</v>
      </c>
      <c r="F506" s="2" t="s">
        <v>15</v>
      </c>
      <c r="G506" s="6"/>
      <c r="H506" s="2" t="s">
        <v>312</v>
      </c>
      <c r="I506" s="2" t="s">
        <v>195</v>
      </c>
      <c r="J506" s="2" t="s">
        <v>19</v>
      </c>
      <c r="K506" s="2" t="s">
        <v>247</v>
      </c>
      <c r="L506" s="7" t="str">
        <f>HYPERLINK("http://slimages.macys.com/is/image/MCY/12279859 ")</f>
        <v xml:space="preserve">http://slimages.macys.com/is/image/MCY/12279859 </v>
      </c>
    </row>
    <row r="507" spans="1:12" ht="24.75" x14ac:dyDescent="0.25">
      <c r="A507" s="4" t="s">
        <v>5039</v>
      </c>
      <c r="B507" s="2" t="s">
        <v>5040</v>
      </c>
      <c r="C507" s="3">
        <v>1</v>
      </c>
      <c r="D507" s="5">
        <v>29.63</v>
      </c>
      <c r="E507" s="3">
        <v>100018082</v>
      </c>
      <c r="F507" s="2" t="s">
        <v>15</v>
      </c>
      <c r="G507" s="6" t="s">
        <v>154</v>
      </c>
      <c r="H507" s="2" t="s">
        <v>194</v>
      </c>
      <c r="I507" s="2" t="s">
        <v>195</v>
      </c>
      <c r="J507" s="2" t="s">
        <v>19</v>
      </c>
      <c r="K507" s="2" t="s">
        <v>1082</v>
      </c>
      <c r="L507" s="7" t="str">
        <f>HYPERLINK("http://slimages.macys.com/is/image/MCY/13367475 ")</f>
        <v xml:space="preserve">http://slimages.macys.com/is/image/MCY/13367475 </v>
      </c>
    </row>
    <row r="508" spans="1:12" ht="24.75" x14ac:dyDescent="0.25">
      <c r="A508" s="4" t="s">
        <v>6721</v>
      </c>
      <c r="B508" s="2" t="s">
        <v>5040</v>
      </c>
      <c r="C508" s="3">
        <v>1</v>
      </c>
      <c r="D508" s="5">
        <v>29.63</v>
      </c>
      <c r="E508" s="3">
        <v>100018082</v>
      </c>
      <c r="F508" s="2" t="s">
        <v>15</v>
      </c>
      <c r="G508" s="6" t="s">
        <v>234</v>
      </c>
      <c r="H508" s="2" t="s">
        <v>194</v>
      </c>
      <c r="I508" s="2" t="s">
        <v>195</v>
      </c>
      <c r="J508" s="2" t="s">
        <v>19</v>
      </c>
      <c r="K508" s="2" t="s">
        <v>1082</v>
      </c>
      <c r="L508" s="7" t="str">
        <f>HYPERLINK("http://slimages.macys.com/is/image/MCY/13367475 ")</f>
        <v xml:space="preserve">http://slimages.macys.com/is/image/MCY/13367475 </v>
      </c>
    </row>
    <row r="509" spans="1:12" ht="24.75" x14ac:dyDescent="0.25">
      <c r="A509" s="4" t="s">
        <v>8749</v>
      </c>
      <c r="B509" s="2" t="s">
        <v>1529</v>
      </c>
      <c r="C509" s="3">
        <v>1</v>
      </c>
      <c r="D509" s="5">
        <v>37.130000000000003</v>
      </c>
      <c r="E509" s="3" t="s">
        <v>1530</v>
      </c>
      <c r="F509" s="2" t="s">
        <v>94</v>
      </c>
      <c r="G509" s="6" t="s">
        <v>205</v>
      </c>
      <c r="H509" s="2" t="s">
        <v>312</v>
      </c>
      <c r="I509" s="2" t="s">
        <v>195</v>
      </c>
      <c r="J509" s="2" t="s">
        <v>19</v>
      </c>
      <c r="K509" s="2" t="s">
        <v>353</v>
      </c>
      <c r="L509" s="7" t="str">
        <f>HYPERLINK("http://slimages.macys.com/is/image/MCY/11938040 ")</f>
        <v xml:space="preserve">http://slimages.macys.com/is/image/MCY/11938040 </v>
      </c>
    </row>
    <row r="510" spans="1:12" ht="24.75" x14ac:dyDescent="0.25">
      <c r="A510" s="4" t="s">
        <v>5975</v>
      </c>
      <c r="B510" s="2" t="s">
        <v>2812</v>
      </c>
      <c r="C510" s="3">
        <v>1</v>
      </c>
      <c r="D510" s="5">
        <v>34.5</v>
      </c>
      <c r="E510" s="3">
        <v>100019421</v>
      </c>
      <c r="F510" s="2" t="s">
        <v>417</v>
      </c>
      <c r="G510" s="6" t="s">
        <v>22</v>
      </c>
      <c r="H510" s="2" t="s">
        <v>228</v>
      </c>
      <c r="I510" s="2" t="s">
        <v>229</v>
      </c>
      <c r="J510" s="2" t="s">
        <v>19</v>
      </c>
      <c r="K510" s="2" t="s">
        <v>353</v>
      </c>
      <c r="L510" s="7" t="str">
        <f>HYPERLINK("http://slimages.macys.com/is/image/MCY/11936020 ")</f>
        <v xml:space="preserve">http://slimages.macys.com/is/image/MCY/11936020 </v>
      </c>
    </row>
    <row r="511" spans="1:12" ht="24.75" x14ac:dyDescent="0.25">
      <c r="A511" s="4" t="s">
        <v>8750</v>
      </c>
      <c r="B511" s="2" t="s">
        <v>2812</v>
      </c>
      <c r="C511" s="3">
        <v>1</v>
      </c>
      <c r="D511" s="5">
        <v>34.5</v>
      </c>
      <c r="E511" s="3">
        <v>100019211</v>
      </c>
      <c r="F511" s="2" t="s">
        <v>417</v>
      </c>
      <c r="G511" s="6" t="s">
        <v>141</v>
      </c>
      <c r="H511" s="2" t="s">
        <v>228</v>
      </c>
      <c r="I511" s="2" t="s">
        <v>229</v>
      </c>
      <c r="J511" s="2" t="s">
        <v>19</v>
      </c>
      <c r="K511" s="2" t="s">
        <v>353</v>
      </c>
      <c r="L511" s="7" t="str">
        <f>HYPERLINK("http://slimages.macys.com/is/image/MCY/9504729 ")</f>
        <v xml:space="preserve">http://slimages.macys.com/is/image/MCY/9504729 </v>
      </c>
    </row>
    <row r="512" spans="1:12" ht="24.75" x14ac:dyDescent="0.25">
      <c r="A512" s="4" t="s">
        <v>6723</v>
      </c>
      <c r="B512" s="2" t="s">
        <v>2812</v>
      </c>
      <c r="C512" s="3">
        <v>2</v>
      </c>
      <c r="D512" s="5">
        <v>34.5</v>
      </c>
      <c r="E512" s="3">
        <v>100019211</v>
      </c>
      <c r="F512" s="2" t="s">
        <v>417</v>
      </c>
      <c r="G512" s="6" t="s">
        <v>22</v>
      </c>
      <c r="H512" s="2" t="s">
        <v>228</v>
      </c>
      <c r="I512" s="2" t="s">
        <v>229</v>
      </c>
      <c r="J512" s="2" t="s">
        <v>19</v>
      </c>
      <c r="K512" s="2" t="s">
        <v>353</v>
      </c>
      <c r="L512" s="7" t="str">
        <f>HYPERLINK("http://slimages.macys.com/is/image/MCY/9504729 ")</f>
        <v xml:space="preserve">http://slimages.macys.com/is/image/MCY/9504729 </v>
      </c>
    </row>
    <row r="513" spans="1:12" ht="24.75" x14ac:dyDescent="0.25">
      <c r="A513" s="4" t="s">
        <v>2825</v>
      </c>
      <c r="B513" s="2" t="s">
        <v>1539</v>
      </c>
      <c r="C513" s="3">
        <v>5</v>
      </c>
      <c r="D513" s="5">
        <v>26.99</v>
      </c>
      <c r="E513" s="3" t="s">
        <v>1540</v>
      </c>
      <c r="F513" s="2" t="s">
        <v>252</v>
      </c>
      <c r="G513" s="6" t="s">
        <v>22</v>
      </c>
      <c r="H513" s="2" t="s">
        <v>1473</v>
      </c>
      <c r="I513" s="2" t="s">
        <v>1426</v>
      </c>
      <c r="J513" s="2" t="s">
        <v>19</v>
      </c>
      <c r="K513" s="2" t="s">
        <v>353</v>
      </c>
      <c r="L513" s="7" t="str">
        <f>HYPERLINK("http://slimages.macys.com/is/image/MCY/10786732 ")</f>
        <v xml:space="preserve">http://slimages.macys.com/is/image/MCY/10786732 </v>
      </c>
    </row>
    <row r="514" spans="1:12" ht="24.75" x14ac:dyDescent="0.25">
      <c r="A514" s="4" t="s">
        <v>3963</v>
      </c>
      <c r="B514" s="2" t="s">
        <v>1539</v>
      </c>
      <c r="C514" s="3">
        <v>2</v>
      </c>
      <c r="D514" s="5">
        <v>26.99</v>
      </c>
      <c r="E514" s="3" t="s">
        <v>1548</v>
      </c>
      <c r="F514" s="2" t="s">
        <v>998</v>
      </c>
      <c r="G514" s="6" t="s">
        <v>165</v>
      </c>
      <c r="H514" s="2" t="s">
        <v>1425</v>
      </c>
      <c r="I514" s="2" t="s">
        <v>1426</v>
      </c>
      <c r="J514" s="2" t="s">
        <v>19</v>
      </c>
      <c r="K514" s="2" t="s">
        <v>353</v>
      </c>
      <c r="L514" s="7" t="str">
        <f>HYPERLINK("http://slimages.macys.com/is/image/MCY/11092539 ")</f>
        <v xml:space="preserve">http://slimages.macys.com/is/image/MCY/11092539 </v>
      </c>
    </row>
    <row r="515" spans="1:12" ht="24.75" x14ac:dyDescent="0.25">
      <c r="A515" s="4" t="s">
        <v>2821</v>
      </c>
      <c r="B515" s="2" t="s">
        <v>1539</v>
      </c>
      <c r="C515" s="3">
        <v>2</v>
      </c>
      <c r="D515" s="5">
        <v>26.99</v>
      </c>
      <c r="E515" s="3" t="s">
        <v>1540</v>
      </c>
      <c r="F515" s="2" t="s">
        <v>998</v>
      </c>
      <c r="G515" s="6" t="s">
        <v>112</v>
      </c>
      <c r="H515" s="2" t="s">
        <v>1473</v>
      </c>
      <c r="I515" s="2" t="s">
        <v>1426</v>
      </c>
      <c r="J515" s="2" t="s">
        <v>19</v>
      </c>
      <c r="K515" s="2" t="s">
        <v>353</v>
      </c>
      <c r="L515" s="7" t="str">
        <f t="shared" ref="L515:L537" si="5">HYPERLINK("http://slimages.macys.com/is/image/MCY/10786732 ")</f>
        <v xml:space="preserve">http://slimages.macys.com/is/image/MCY/10786732 </v>
      </c>
    </row>
    <row r="516" spans="1:12" ht="24.75" x14ac:dyDescent="0.25">
      <c r="A516" s="4" t="s">
        <v>2829</v>
      </c>
      <c r="B516" s="2" t="s">
        <v>1539</v>
      </c>
      <c r="C516" s="3">
        <v>1</v>
      </c>
      <c r="D516" s="5">
        <v>26.99</v>
      </c>
      <c r="E516" s="3" t="s">
        <v>1540</v>
      </c>
      <c r="F516" s="2" t="s">
        <v>70</v>
      </c>
      <c r="G516" s="6" t="s">
        <v>112</v>
      </c>
      <c r="H516" s="2" t="s">
        <v>1473</v>
      </c>
      <c r="I516" s="2" t="s">
        <v>1426</v>
      </c>
      <c r="J516" s="2" t="s">
        <v>19</v>
      </c>
      <c r="K516" s="2" t="s">
        <v>353</v>
      </c>
      <c r="L516" s="7" t="str">
        <f t="shared" si="5"/>
        <v xml:space="preserve">http://slimages.macys.com/is/image/MCY/10786732 </v>
      </c>
    </row>
    <row r="517" spans="1:12" ht="24.75" x14ac:dyDescent="0.25">
      <c r="A517" s="4" t="s">
        <v>1551</v>
      </c>
      <c r="B517" s="2" t="s">
        <v>1539</v>
      </c>
      <c r="C517" s="3">
        <v>1</v>
      </c>
      <c r="D517" s="5">
        <v>26.99</v>
      </c>
      <c r="E517" s="3" t="s">
        <v>1540</v>
      </c>
      <c r="F517" s="2" t="s">
        <v>74</v>
      </c>
      <c r="G517" s="6" t="s">
        <v>141</v>
      </c>
      <c r="H517" s="2" t="s">
        <v>1473</v>
      </c>
      <c r="I517" s="2" t="s">
        <v>1426</v>
      </c>
      <c r="J517" s="2" t="s">
        <v>19</v>
      </c>
      <c r="K517" s="2" t="s">
        <v>353</v>
      </c>
      <c r="L517" s="7" t="str">
        <f t="shared" si="5"/>
        <v xml:space="preserve">http://slimages.macys.com/is/image/MCY/10786732 </v>
      </c>
    </row>
    <row r="518" spans="1:12" ht="24.75" x14ac:dyDescent="0.25">
      <c r="A518" s="4" t="s">
        <v>7551</v>
      </c>
      <c r="B518" s="2" t="s">
        <v>1539</v>
      </c>
      <c r="C518" s="3">
        <v>2</v>
      </c>
      <c r="D518" s="5">
        <v>26.99</v>
      </c>
      <c r="E518" s="3" t="s">
        <v>1540</v>
      </c>
      <c r="F518" s="2" t="s">
        <v>15</v>
      </c>
      <c r="G518" s="6" t="s">
        <v>58</v>
      </c>
      <c r="H518" s="2" t="s">
        <v>1473</v>
      </c>
      <c r="I518" s="2" t="s">
        <v>1426</v>
      </c>
      <c r="J518" s="2" t="s">
        <v>19</v>
      </c>
      <c r="K518" s="2" t="s">
        <v>353</v>
      </c>
      <c r="L518" s="7" t="str">
        <f t="shared" si="5"/>
        <v xml:space="preserve">http://slimages.macys.com/is/image/MCY/10786732 </v>
      </c>
    </row>
    <row r="519" spans="1:12" ht="24.75" x14ac:dyDescent="0.25">
      <c r="A519" s="4" t="s">
        <v>2815</v>
      </c>
      <c r="B519" s="2" t="s">
        <v>1539</v>
      </c>
      <c r="C519" s="3">
        <v>2</v>
      </c>
      <c r="D519" s="5">
        <v>26.99</v>
      </c>
      <c r="E519" s="3" t="s">
        <v>1540</v>
      </c>
      <c r="F519" s="2" t="s">
        <v>1234</v>
      </c>
      <c r="G519" s="6" t="s">
        <v>58</v>
      </c>
      <c r="H519" s="2" t="s">
        <v>1473</v>
      </c>
      <c r="I519" s="2" t="s">
        <v>1426</v>
      </c>
      <c r="J519" s="2" t="s">
        <v>19</v>
      </c>
      <c r="K519" s="2" t="s">
        <v>353</v>
      </c>
      <c r="L519" s="7" t="str">
        <f t="shared" si="5"/>
        <v xml:space="preserve">http://slimages.macys.com/is/image/MCY/10786732 </v>
      </c>
    </row>
    <row r="520" spans="1:12" ht="24.75" x14ac:dyDescent="0.25">
      <c r="A520" s="4" t="s">
        <v>8751</v>
      </c>
      <c r="B520" s="2" t="s">
        <v>1539</v>
      </c>
      <c r="C520" s="3">
        <v>2</v>
      </c>
      <c r="D520" s="5">
        <v>26.99</v>
      </c>
      <c r="E520" s="3" t="s">
        <v>1540</v>
      </c>
      <c r="F520" s="2" t="s">
        <v>998</v>
      </c>
      <c r="G520" s="6" t="s">
        <v>141</v>
      </c>
      <c r="H520" s="2" t="s">
        <v>1473</v>
      </c>
      <c r="I520" s="2" t="s">
        <v>1426</v>
      </c>
      <c r="J520" s="2" t="s">
        <v>19</v>
      </c>
      <c r="K520" s="2" t="s">
        <v>353</v>
      </c>
      <c r="L520" s="7" t="str">
        <f t="shared" si="5"/>
        <v xml:space="preserve">http://slimages.macys.com/is/image/MCY/10786732 </v>
      </c>
    </row>
    <row r="521" spans="1:12" ht="24.75" x14ac:dyDescent="0.25">
      <c r="A521" s="4" t="s">
        <v>2820</v>
      </c>
      <c r="B521" s="2" t="s">
        <v>1539</v>
      </c>
      <c r="C521" s="3">
        <v>7</v>
      </c>
      <c r="D521" s="5">
        <v>26.99</v>
      </c>
      <c r="E521" s="3" t="s">
        <v>1540</v>
      </c>
      <c r="F521" s="2" t="s">
        <v>998</v>
      </c>
      <c r="G521" s="6" t="s">
        <v>16</v>
      </c>
      <c r="H521" s="2" t="s">
        <v>1473</v>
      </c>
      <c r="I521" s="2" t="s">
        <v>1426</v>
      </c>
      <c r="J521" s="2" t="s">
        <v>19</v>
      </c>
      <c r="K521" s="2" t="s">
        <v>353</v>
      </c>
      <c r="L521" s="7" t="str">
        <f t="shared" si="5"/>
        <v xml:space="preserve">http://slimages.macys.com/is/image/MCY/10786732 </v>
      </c>
    </row>
    <row r="522" spans="1:12" ht="24.75" x14ac:dyDescent="0.25">
      <c r="A522" s="4" t="s">
        <v>2824</v>
      </c>
      <c r="B522" s="2" t="s">
        <v>1539</v>
      </c>
      <c r="C522" s="3">
        <v>1</v>
      </c>
      <c r="D522" s="5">
        <v>26.99</v>
      </c>
      <c r="E522" s="3" t="s">
        <v>1540</v>
      </c>
      <c r="F522" s="2" t="s">
        <v>1234</v>
      </c>
      <c r="G522" s="6" t="s">
        <v>27</v>
      </c>
      <c r="H522" s="2" t="s">
        <v>1473</v>
      </c>
      <c r="I522" s="2" t="s">
        <v>1426</v>
      </c>
      <c r="J522" s="2" t="s">
        <v>19</v>
      </c>
      <c r="K522" s="2" t="s">
        <v>353</v>
      </c>
      <c r="L522" s="7" t="str">
        <f t="shared" si="5"/>
        <v xml:space="preserve">http://slimages.macys.com/is/image/MCY/10786732 </v>
      </c>
    </row>
    <row r="523" spans="1:12" ht="24.75" x14ac:dyDescent="0.25">
      <c r="A523" s="4" t="s">
        <v>3956</v>
      </c>
      <c r="B523" s="2" t="s">
        <v>1539</v>
      </c>
      <c r="C523" s="3">
        <v>3</v>
      </c>
      <c r="D523" s="5">
        <v>26.99</v>
      </c>
      <c r="E523" s="3" t="s">
        <v>1540</v>
      </c>
      <c r="F523" s="2" t="s">
        <v>15</v>
      </c>
      <c r="G523" s="6" t="s">
        <v>27</v>
      </c>
      <c r="H523" s="2" t="s">
        <v>1473</v>
      </c>
      <c r="I523" s="2" t="s">
        <v>1426</v>
      </c>
      <c r="J523" s="2" t="s">
        <v>19</v>
      </c>
      <c r="K523" s="2" t="s">
        <v>353</v>
      </c>
      <c r="L523" s="7" t="str">
        <f t="shared" si="5"/>
        <v xml:space="preserve">http://slimages.macys.com/is/image/MCY/10786732 </v>
      </c>
    </row>
    <row r="524" spans="1:12" ht="24.75" x14ac:dyDescent="0.25">
      <c r="A524" s="4" t="s">
        <v>2822</v>
      </c>
      <c r="B524" s="2" t="s">
        <v>1539</v>
      </c>
      <c r="C524" s="3">
        <v>4</v>
      </c>
      <c r="D524" s="5">
        <v>26.99</v>
      </c>
      <c r="E524" s="3" t="s">
        <v>1540</v>
      </c>
      <c r="F524" s="2" t="s">
        <v>252</v>
      </c>
      <c r="G524" s="6" t="s">
        <v>27</v>
      </c>
      <c r="H524" s="2" t="s">
        <v>1473</v>
      </c>
      <c r="I524" s="2" t="s">
        <v>1426</v>
      </c>
      <c r="J524" s="2" t="s">
        <v>19</v>
      </c>
      <c r="K524" s="2" t="s">
        <v>353</v>
      </c>
      <c r="L524" s="7" t="str">
        <f t="shared" si="5"/>
        <v xml:space="preserve">http://slimages.macys.com/is/image/MCY/10786732 </v>
      </c>
    </row>
    <row r="525" spans="1:12" ht="24.75" x14ac:dyDescent="0.25">
      <c r="A525" s="4" t="s">
        <v>1552</v>
      </c>
      <c r="B525" s="2" t="s">
        <v>1539</v>
      </c>
      <c r="C525" s="3">
        <v>8</v>
      </c>
      <c r="D525" s="5">
        <v>26.99</v>
      </c>
      <c r="E525" s="3" t="s">
        <v>1540</v>
      </c>
      <c r="F525" s="2" t="s">
        <v>998</v>
      </c>
      <c r="G525" s="6" t="s">
        <v>22</v>
      </c>
      <c r="H525" s="2" t="s">
        <v>1473</v>
      </c>
      <c r="I525" s="2" t="s">
        <v>1426</v>
      </c>
      <c r="J525" s="2" t="s">
        <v>19</v>
      </c>
      <c r="K525" s="2" t="s">
        <v>353</v>
      </c>
      <c r="L525" s="7" t="str">
        <f t="shared" si="5"/>
        <v xml:space="preserve">http://slimages.macys.com/is/image/MCY/10786732 </v>
      </c>
    </row>
    <row r="526" spans="1:12" ht="24.75" x14ac:dyDescent="0.25">
      <c r="A526" s="4" t="s">
        <v>2826</v>
      </c>
      <c r="B526" s="2" t="s">
        <v>1539</v>
      </c>
      <c r="C526" s="3">
        <v>8</v>
      </c>
      <c r="D526" s="5">
        <v>26.99</v>
      </c>
      <c r="E526" s="3" t="s">
        <v>1540</v>
      </c>
      <c r="F526" s="2" t="s">
        <v>998</v>
      </c>
      <c r="G526" s="6" t="s">
        <v>27</v>
      </c>
      <c r="H526" s="2" t="s">
        <v>1473</v>
      </c>
      <c r="I526" s="2" t="s">
        <v>1426</v>
      </c>
      <c r="J526" s="2" t="s">
        <v>19</v>
      </c>
      <c r="K526" s="2" t="s">
        <v>353</v>
      </c>
      <c r="L526" s="7" t="str">
        <f t="shared" si="5"/>
        <v xml:space="preserve">http://slimages.macys.com/is/image/MCY/10786732 </v>
      </c>
    </row>
    <row r="527" spans="1:12" ht="24.75" x14ac:dyDescent="0.25">
      <c r="A527" s="4" t="s">
        <v>1545</v>
      </c>
      <c r="B527" s="2" t="s">
        <v>1539</v>
      </c>
      <c r="C527" s="3">
        <v>8</v>
      </c>
      <c r="D527" s="5">
        <v>26.99</v>
      </c>
      <c r="E527" s="3" t="s">
        <v>1540</v>
      </c>
      <c r="F527" s="2" t="s">
        <v>998</v>
      </c>
      <c r="G527" s="6" t="s">
        <v>58</v>
      </c>
      <c r="H527" s="2" t="s">
        <v>1473</v>
      </c>
      <c r="I527" s="2" t="s">
        <v>1426</v>
      </c>
      <c r="J527" s="2" t="s">
        <v>19</v>
      </c>
      <c r="K527" s="2" t="s">
        <v>353</v>
      </c>
      <c r="L527" s="7" t="str">
        <f t="shared" si="5"/>
        <v xml:space="preserve">http://slimages.macys.com/is/image/MCY/10786732 </v>
      </c>
    </row>
    <row r="528" spans="1:12" ht="24.75" x14ac:dyDescent="0.25">
      <c r="A528" s="4" t="s">
        <v>2823</v>
      </c>
      <c r="B528" s="2" t="s">
        <v>1539</v>
      </c>
      <c r="C528" s="3">
        <v>7</v>
      </c>
      <c r="D528" s="5">
        <v>26.99</v>
      </c>
      <c r="E528" s="3" t="s">
        <v>1540</v>
      </c>
      <c r="F528" s="2" t="s">
        <v>998</v>
      </c>
      <c r="G528" s="6" t="s">
        <v>106</v>
      </c>
      <c r="H528" s="2" t="s">
        <v>1473</v>
      </c>
      <c r="I528" s="2" t="s">
        <v>1426</v>
      </c>
      <c r="J528" s="2" t="s">
        <v>19</v>
      </c>
      <c r="K528" s="2" t="s">
        <v>353</v>
      </c>
      <c r="L528" s="7" t="str">
        <f t="shared" si="5"/>
        <v xml:space="preserve">http://slimages.macys.com/is/image/MCY/10786732 </v>
      </c>
    </row>
    <row r="529" spans="1:12" ht="24.75" x14ac:dyDescent="0.25">
      <c r="A529" s="4" t="s">
        <v>3959</v>
      </c>
      <c r="B529" s="2" t="s">
        <v>1539</v>
      </c>
      <c r="C529" s="3">
        <v>8</v>
      </c>
      <c r="D529" s="5">
        <v>26.99</v>
      </c>
      <c r="E529" s="3" t="s">
        <v>1540</v>
      </c>
      <c r="F529" s="2" t="s">
        <v>252</v>
      </c>
      <c r="G529" s="6" t="s">
        <v>16</v>
      </c>
      <c r="H529" s="2" t="s">
        <v>1473</v>
      </c>
      <c r="I529" s="2" t="s">
        <v>1426</v>
      </c>
      <c r="J529" s="2" t="s">
        <v>19</v>
      </c>
      <c r="K529" s="2" t="s">
        <v>353</v>
      </c>
      <c r="L529" s="7" t="str">
        <f t="shared" si="5"/>
        <v xml:space="preserve">http://slimages.macys.com/is/image/MCY/10786732 </v>
      </c>
    </row>
    <row r="530" spans="1:12" ht="24.75" x14ac:dyDescent="0.25">
      <c r="A530" s="4" t="s">
        <v>3961</v>
      </c>
      <c r="B530" s="2" t="s">
        <v>1539</v>
      </c>
      <c r="C530" s="3">
        <v>1</v>
      </c>
      <c r="D530" s="5">
        <v>26.99</v>
      </c>
      <c r="E530" s="3" t="s">
        <v>1540</v>
      </c>
      <c r="F530" s="2" t="s">
        <v>70</v>
      </c>
      <c r="G530" s="6" t="s">
        <v>58</v>
      </c>
      <c r="H530" s="2" t="s">
        <v>1473</v>
      </c>
      <c r="I530" s="2" t="s">
        <v>1426</v>
      </c>
      <c r="J530" s="2" t="s">
        <v>19</v>
      </c>
      <c r="K530" s="2" t="s">
        <v>353</v>
      </c>
      <c r="L530" s="7" t="str">
        <f t="shared" si="5"/>
        <v xml:space="preserve">http://slimages.macys.com/is/image/MCY/10786732 </v>
      </c>
    </row>
    <row r="531" spans="1:12" ht="24.75" x14ac:dyDescent="0.25">
      <c r="A531" s="4" t="s">
        <v>3960</v>
      </c>
      <c r="B531" s="2" t="s">
        <v>1539</v>
      </c>
      <c r="C531" s="3">
        <v>1</v>
      </c>
      <c r="D531" s="5">
        <v>26.99</v>
      </c>
      <c r="E531" s="3" t="s">
        <v>1540</v>
      </c>
      <c r="F531" s="2" t="s">
        <v>252</v>
      </c>
      <c r="G531" s="6" t="s">
        <v>106</v>
      </c>
      <c r="H531" s="2" t="s">
        <v>1473</v>
      </c>
      <c r="I531" s="2" t="s">
        <v>1426</v>
      </c>
      <c r="J531" s="2" t="s">
        <v>19</v>
      </c>
      <c r="K531" s="2" t="s">
        <v>353</v>
      </c>
      <c r="L531" s="7" t="str">
        <f t="shared" si="5"/>
        <v xml:space="preserve">http://slimages.macys.com/is/image/MCY/10786732 </v>
      </c>
    </row>
    <row r="532" spans="1:12" ht="24.75" x14ac:dyDescent="0.25">
      <c r="A532" s="4" t="s">
        <v>1546</v>
      </c>
      <c r="B532" s="2" t="s">
        <v>1539</v>
      </c>
      <c r="C532" s="3">
        <v>1</v>
      </c>
      <c r="D532" s="5">
        <v>26.99</v>
      </c>
      <c r="E532" s="3" t="s">
        <v>1540</v>
      </c>
      <c r="F532" s="2" t="s">
        <v>15</v>
      </c>
      <c r="G532" s="6" t="s">
        <v>112</v>
      </c>
      <c r="H532" s="2" t="s">
        <v>1473</v>
      </c>
      <c r="I532" s="2" t="s">
        <v>1426</v>
      </c>
      <c r="J532" s="2" t="s">
        <v>19</v>
      </c>
      <c r="K532" s="2" t="s">
        <v>353</v>
      </c>
      <c r="L532" s="7" t="str">
        <f t="shared" si="5"/>
        <v xml:space="preserve">http://slimages.macys.com/is/image/MCY/10786732 </v>
      </c>
    </row>
    <row r="533" spans="1:12" ht="24.75" x14ac:dyDescent="0.25">
      <c r="A533" s="4" t="s">
        <v>1544</v>
      </c>
      <c r="B533" s="2" t="s">
        <v>1539</v>
      </c>
      <c r="C533" s="3">
        <v>1</v>
      </c>
      <c r="D533" s="5">
        <v>26.99</v>
      </c>
      <c r="E533" s="3" t="s">
        <v>1540</v>
      </c>
      <c r="F533" s="2" t="s">
        <v>252</v>
      </c>
      <c r="G533" s="6" t="s">
        <v>112</v>
      </c>
      <c r="H533" s="2" t="s">
        <v>1473</v>
      </c>
      <c r="I533" s="2" t="s">
        <v>1426</v>
      </c>
      <c r="J533" s="2" t="s">
        <v>19</v>
      </c>
      <c r="K533" s="2" t="s">
        <v>353</v>
      </c>
      <c r="L533" s="7" t="str">
        <f t="shared" si="5"/>
        <v xml:space="preserve">http://slimages.macys.com/is/image/MCY/10786732 </v>
      </c>
    </row>
    <row r="534" spans="1:12" ht="24.75" x14ac:dyDescent="0.25">
      <c r="A534" s="4" t="s">
        <v>1542</v>
      </c>
      <c r="B534" s="2" t="s">
        <v>1539</v>
      </c>
      <c r="C534" s="3">
        <v>2</v>
      </c>
      <c r="D534" s="5">
        <v>26.99</v>
      </c>
      <c r="E534" s="3" t="s">
        <v>1540</v>
      </c>
      <c r="F534" s="2" t="s">
        <v>15</v>
      </c>
      <c r="G534" s="6" t="s">
        <v>141</v>
      </c>
      <c r="H534" s="2" t="s">
        <v>1473</v>
      </c>
      <c r="I534" s="2" t="s">
        <v>1426</v>
      </c>
      <c r="J534" s="2" t="s">
        <v>19</v>
      </c>
      <c r="K534" s="2" t="s">
        <v>353</v>
      </c>
      <c r="L534" s="7" t="str">
        <f t="shared" si="5"/>
        <v xml:space="preserve">http://slimages.macys.com/is/image/MCY/10786732 </v>
      </c>
    </row>
    <row r="535" spans="1:12" ht="24.75" x14ac:dyDescent="0.25">
      <c r="A535" s="4" t="s">
        <v>1541</v>
      </c>
      <c r="B535" s="2" t="s">
        <v>1539</v>
      </c>
      <c r="C535" s="3">
        <v>3</v>
      </c>
      <c r="D535" s="5">
        <v>26.99</v>
      </c>
      <c r="E535" s="3" t="s">
        <v>1540</v>
      </c>
      <c r="F535" s="2" t="s">
        <v>15</v>
      </c>
      <c r="G535" s="6" t="s">
        <v>106</v>
      </c>
      <c r="H535" s="2" t="s">
        <v>1473</v>
      </c>
      <c r="I535" s="2" t="s">
        <v>1426</v>
      </c>
      <c r="J535" s="2" t="s">
        <v>19</v>
      </c>
      <c r="K535" s="2" t="s">
        <v>353</v>
      </c>
      <c r="L535" s="7" t="str">
        <f t="shared" si="5"/>
        <v xml:space="preserve">http://slimages.macys.com/is/image/MCY/10786732 </v>
      </c>
    </row>
    <row r="536" spans="1:12" ht="24.75" x14ac:dyDescent="0.25">
      <c r="A536" s="4" t="s">
        <v>3958</v>
      </c>
      <c r="B536" s="2" t="s">
        <v>1539</v>
      </c>
      <c r="C536" s="3">
        <v>4</v>
      </c>
      <c r="D536" s="5">
        <v>26.99</v>
      </c>
      <c r="E536" s="3" t="s">
        <v>1540</v>
      </c>
      <c r="F536" s="2" t="s">
        <v>252</v>
      </c>
      <c r="G536" s="6" t="s">
        <v>58</v>
      </c>
      <c r="H536" s="2" t="s">
        <v>1473</v>
      </c>
      <c r="I536" s="2" t="s">
        <v>1426</v>
      </c>
      <c r="J536" s="2" t="s">
        <v>19</v>
      </c>
      <c r="K536" s="2" t="s">
        <v>353</v>
      </c>
      <c r="L536" s="7" t="str">
        <f t="shared" si="5"/>
        <v xml:space="preserve">http://slimages.macys.com/is/image/MCY/10786732 </v>
      </c>
    </row>
    <row r="537" spans="1:12" ht="24.75" x14ac:dyDescent="0.25">
      <c r="A537" s="4" t="s">
        <v>1538</v>
      </c>
      <c r="B537" s="2" t="s">
        <v>1539</v>
      </c>
      <c r="C537" s="3">
        <v>1</v>
      </c>
      <c r="D537" s="5">
        <v>26.99</v>
      </c>
      <c r="E537" s="3" t="s">
        <v>1540</v>
      </c>
      <c r="F537" s="2" t="s">
        <v>15</v>
      </c>
      <c r="G537" s="6" t="s">
        <v>22</v>
      </c>
      <c r="H537" s="2" t="s">
        <v>1473</v>
      </c>
      <c r="I537" s="2" t="s">
        <v>1426</v>
      </c>
      <c r="J537" s="2" t="s">
        <v>19</v>
      </c>
      <c r="K537" s="2" t="s">
        <v>353</v>
      </c>
      <c r="L537" s="7" t="str">
        <f t="shared" si="5"/>
        <v xml:space="preserve">http://slimages.macys.com/is/image/MCY/10786732 </v>
      </c>
    </row>
    <row r="538" spans="1:12" ht="24.75" x14ac:dyDescent="0.25">
      <c r="A538" s="4" t="s">
        <v>2831</v>
      </c>
      <c r="B538" s="2" t="s">
        <v>1539</v>
      </c>
      <c r="C538" s="3">
        <v>1</v>
      </c>
      <c r="D538" s="5">
        <v>26.99</v>
      </c>
      <c r="E538" s="3" t="s">
        <v>1548</v>
      </c>
      <c r="F538" s="2" t="s">
        <v>998</v>
      </c>
      <c r="G538" s="6" t="s">
        <v>238</v>
      </c>
      <c r="H538" s="2" t="s">
        <v>1425</v>
      </c>
      <c r="I538" s="2" t="s">
        <v>1426</v>
      </c>
      <c r="J538" s="2" t="s">
        <v>19</v>
      </c>
      <c r="K538" s="2" t="s">
        <v>353</v>
      </c>
      <c r="L538" s="7" t="str">
        <f>HYPERLINK("http://slimages.macys.com/is/image/MCY/11092539 ")</f>
        <v xml:space="preserve">http://slimages.macys.com/is/image/MCY/11092539 </v>
      </c>
    </row>
    <row r="539" spans="1:12" ht="24.75" x14ac:dyDescent="0.25">
      <c r="A539" s="4" t="s">
        <v>8752</v>
      </c>
      <c r="B539" s="2" t="s">
        <v>1539</v>
      </c>
      <c r="C539" s="3">
        <v>1</v>
      </c>
      <c r="D539" s="5">
        <v>26.99</v>
      </c>
      <c r="E539" s="3" t="s">
        <v>1548</v>
      </c>
      <c r="F539" s="2" t="s">
        <v>70</v>
      </c>
      <c r="G539" s="6" t="s">
        <v>238</v>
      </c>
      <c r="H539" s="2" t="s">
        <v>1425</v>
      </c>
      <c r="I539" s="2" t="s">
        <v>1426</v>
      </c>
      <c r="J539" s="2" t="s">
        <v>19</v>
      </c>
      <c r="K539" s="2" t="s">
        <v>353</v>
      </c>
      <c r="L539" s="7" t="str">
        <f>HYPERLINK("http://slimages.macys.com/is/image/MCY/11092539 ")</f>
        <v xml:space="preserve">http://slimages.macys.com/is/image/MCY/11092539 </v>
      </c>
    </row>
    <row r="540" spans="1:12" ht="24.75" x14ac:dyDescent="0.25">
      <c r="A540" s="4" t="s">
        <v>1547</v>
      </c>
      <c r="B540" s="2" t="s">
        <v>1539</v>
      </c>
      <c r="C540" s="3">
        <v>1</v>
      </c>
      <c r="D540" s="5">
        <v>26.99</v>
      </c>
      <c r="E540" s="3" t="s">
        <v>1548</v>
      </c>
      <c r="F540" s="2" t="s">
        <v>998</v>
      </c>
      <c r="G540" s="6" t="s">
        <v>934</v>
      </c>
      <c r="H540" s="2" t="s">
        <v>1425</v>
      </c>
      <c r="I540" s="2" t="s">
        <v>1426</v>
      </c>
      <c r="J540" s="2" t="s">
        <v>19</v>
      </c>
      <c r="K540" s="2" t="s">
        <v>353</v>
      </c>
      <c r="L540" s="7" t="str">
        <f>HYPERLINK("http://slimages.macys.com/is/image/MCY/11092539 ")</f>
        <v xml:space="preserve">http://slimages.macys.com/is/image/MCY/11092539 </v>
      </c>
    </row>
    <row r="541" spans="1:12" ht="24.75" x14ac:dyDescent="0.25">
      <c r="A541" s="4" t="s">
        <v>3962</v>
      </c>
      <c r="B541" s="2" t="s">
        <v>1539</v>
      </c>
      <c r="C541" s="3">
        <v>1</v>
      </c>
      <c r="D541" s="5">
        <v>26.99</v>
      </c>
      <c r="E541" s="3" t="s">
        <v>1548</v>
      </c>
      <c r="F541" s="2" t="s">
        <v>252</v>
      </c>
      <c r="G541" s="6" t="s">
        <v>934</v>
      </c>
      <c r="H541" s="2" t="s">
        <v>1425</v>
      </c>
      <c r="I541" s="2" t="s">
        <v>1426</v>
      </c>
      <c r="J541" s="2" t="s">
        <v>19</v>
      </c>
      <c r="K541" s="2" t="s">
        <v>353</v>
      </c>
      <c r="L541" s="7" t="str">
        <f>HYPERLINK("http://slimages.macys.com/is/image/MCY/11092539 ")</f>
        <v xml:space="preserve">http://slimages.macys.com/is/image/MCY/11092539 </v>
      </c>
    </row>
    <row r="542" spans="1:12" ht="24.75" x14ac:dyDescent="0.25">
      <c r="A542" s="4" t="s">
        <v>5044</v>
      </c>
      <c r="B542" s="2" t="s">
        <v>1539</v>
      </c>
      <c r="C542" s="3">
        <v>1</v>
      </c>
      <c r="D542" s="5">
        <v>26.99</v>
      </c>
      <c r="E542" s="3" t="s">
        <v>1548</v>
      </c>
      <c r="F542" s="2" t="s">
        <v>252</v>
      </c>
      <c r="G542" s="6" t="s">
        <v>165</v>
      </c>
      <c r="H542" s="2" t="s">
        <v>1425</v>
      </c>
      <c r="I542" s="2" t="s">
        <v>1426</v>
      </c>
      <c r="J542" s="2" t="s">
        <v>19</v>
      </c>
      <c r="K542" s="2" t="s">
        <v>353</v>
      </c>
      <c r="L542" s="7" t="str">
        <f>HYPERLINK("http://slimages.macys.com/is/image/MCY/11092539 ")</f>
        <v xml:space="preserve">http://slimages.macys.com/is/image/MCY/11092539 </v>
      </c>
    </row>
    <row r="543" spans="1:12" ht="24.75" x14ac:dyDescent="0.25">
      <c r="A543" s="4" t="s">
        <v>8753</v>
      </c>
      <c r="B543" s="2" t="s">
        <v>1539</v>
      </c>
      <c r="C543" s="3">
        <v>2</v>
      </c>
      <c r="D543" s="5">
        <v>26.99</v>
      </c>
      <c r="E543" s="3" t="s">
        <v>1540</v>
      </c>
      <c r="F543" s="2" t="s">
        <v>252</v>
      </c>
      <c r="G543" s="6" t="s">
        <v>141</v>
      </c>
      <c r="H543" s="2" t="s">
        <v>1473</v>
      </c>
      <c r="I543" s="2" t="s">
        <v>1426</v>
      </c>
      <c r="J543" s="2" t="s">
        <v>19</v>
      </c>
      <c r="K543" s="2" t="s">
        <v>353</v>
      </c>
      <c r="L543" s="7" t="str">
        <f>HYPERLINK("http://slimages.macys.com/is/image/MCY/10786732 ")</f>
        <v xml:space="preserve">http://slimages.macys.com/is/image/MCY/10786732 </v>
      </c>
    </row>
    <row r="544" spans="1:12" ht="24.75" x14ac:dyDescent="0.25">
      <c r="A544" s="4" t="s">
        <v>1553</v>
      </c>
      <c r="B544" s="2" t="s">
        <v>1539</v>
      </c>
      <c r="C544" s="3">
        <v>3</v>
      </c>
      <c r="D544" s="5">
        <v>26.99</v>
      </c>
      <c r="E544" s="3" t="s">
        <v>1540</v>
      </c>
      <c r="F544" s="2" t="s">
        <v>15</v>
      </c>
      <c r="G544" s="6" t="s">
        <v>16</v>
      </c>
      <c r="H544" s="2" t="s">
        <v>1473</v>
      </c>
      <c r="I544" s="2" t="s">
        <v>1426</v>
      </c>
      <c r="J544" s="2" t="s">
        <v>19</v>
      </c>
      <c r="K544" s="2" t="s">
        <v>353</v>
      </c>
      <c r="L544" s="7" t="str">
        <f>HYPERLINK("http://slimages.macys.com/is/image/MCY/10786732 ")</f>
        <v xml:space="preserve">http://slimages.macys.com/is/image/MCY/10786732 </v>
      </c>
    </row>
    <row r="545" spans="1:12" ht="24.75" x14ac:dyDescent="0.25">
      <c r="A545" s="4" t="s">
        <v>1557</v>
      </c>
      <c r="B545" s="2" t="s">
        <v>1556</v>
      </c>
      <c r="C545" s="3">
        <v>1</v>
      </c>
      <c r="D545" s="5">
        <v>25.88</v>
      </c>
      <c r="E545" s="3">
        <v>100018059</v>
      </c>
      <c r="F545" s="2" t="s">
        <v>64</v>
      </c>
      <c r="G545" s="6" t="s">
        <v>245</v>
      </c>
      <c r="H545" s="2" t="s">
        <v>194</v>
      </c>
      <c r="I545" s="2" t="s">
        <v>195</v>
      </c>
      <c r="J545" s="2" t="s">
        <v>19</v>
      </c>
      <c r="K545" s="2" t="s">
        <v>648</v>
      </c>
      <c r="L545" s="7" t="str">
        <f>HYPERLINK("http://slimages.macys.com/is/image/MCY/9795496 ")</f>
        <v xml:space="preserve">http://slimages.macys.com/is/image/MCY/9795496 </v>
      </c>
    </row>
    <row r="546" spans="1:12" ht="24.75" x14ac:dyDescent="0.25">
      <c r="A546" s="4" t="s">
        <v>8754</v>
      </c>
      <c r="B546" s="2" t="s">
        <v>6790</v>
      </c>
      <c r="C546" s="3">
        <v>1</v>
      </c>
      <c r="D546" s="5">
        <v>26.99</v>
      </c>
      <c r="E546" s="3" t="s">
        <v>8755</v>
      </c>
      <c r="F546" s="2" t="s">
        <v>74</v>
      </c>
      <c r="G546" s="6" t="s">
        <v>2276</v>
      </c>
      <c r="H546" s="2" t="s">
        <v>349</v>
      </c>
      <c r="I546" s="2" t="s">
        <v>285</v>
      </c>
      <c r="J546" s="2" t="s">
        <v>19</v>
      </c>
      <c r="K546" s="2" t="s">
        <v>247</v>
      </c>
      <c r="L546" s="7" t="str">
        <f>HYPERLINK("http://slimages.macys.com/is/image/MCY/12877143 ")</f>
        <v xml:space="preserve">http://slimages.macys.com/is/image/MCY/12877143 </v>
      </c>
    </row>
    <row r="547" spans="1:12" ht="24.75" x14ac:dyDescent="0.25">
      <c r="A547" s="4" t="s">
        <v>5049</v>
      </c>
      <c r="B547" s="2" t="s">
        <v>1559</v>
      </c>
      <c r="C547" s="3">
        <v>1</v>
      </c>
      <c r="D547" s="5">
        <v>24.99</v>
      </c>
      <c r="E547" s="3" t="s">
        <v>1564</v>
      </c>
      <c r="F547" s="2" t="s">
        <v>26</v>
      </c>
      <c r="G547" s="6"/>
      <c r="H547" s="2" t="s">
        <v>1425</v>
      </c>
      <c r="I547" s="2" t="s">
        <v>1469</v>
      </c>
      <c r="J547" s="2" t="s">
        <v>19</v>
      </c>
      <c r="K547" s="2" t="s">
        <v>353</v>
      </c>
      <c r="L547" s="7" t="str">
        <f>HYPERLINK("http://slimages.macys.com/is/image/MCY/11883694 ")</f>
        <v xml:space="preserve">http://slimages.macys.com/is/image/MCY/11883694 </v>
      </c>
    </row>
    <row r="548" spans="1:12" ht="36.75" x14ac:dyDescent="0.25">
      <c r="A548" s="4" t="s">
        <v>5050</v>
      </c>
      <c r="B548" s="2" t="s">
        <v>1575</v>
      </c>
      <c r="C548" s="3">
        <v>1</v>
      </c>
      <c r="D548" s="5">
        <v>33.380000000000003</v>
      </c>
      <c r="E548" s="3" t="s">
        <v>1576</v>
      </c>
      <c r="F548" s="2" t="s">
        <v>15</v>
      </c>
      <c r="G548" s="6" t="s">
        <v>156</v>
      </c>
      <c r="H548" s="2" t="s">
        <v>194</v>
      </c>
      <c r="I548" s="2" t="s">
        <v>195</v>
      </c>
      <c r="J548" s="2" t="s">
        <v>19</v>
      </c>
      <c r="K548" s="2" t="s">
        <v>1577</v>
      </c>
      <c r="L548" s="7" t="str">
        <f>HYPERLINK("http://slimages.macys.com/is/image/MCY/12734297 ")</f>
        <v xml:space="preserve">http://slimages.macys.com/is/image/MCY/12734297 </v>
      </c>
    </row>
    <row r="549" spans="1:12" ht="36.75" x14ac:dyDescent="0.25">
      <c r="A549" s="4" t="s">
        <v>3974</v>
      </c>
      <c r="B549" s="2" t="s">
        <v>1575</v>
      </c>
      <c r="C549" s="3">
        <v>2</v>
      </c>
      <c r="D549" s="5">
        <v>33.380000000000003</v>
      </c>
      <c r="E549" s="3" t="s">
        <v>1576</v>
      </c>
      <c r="F549" s="2" t="s">
        <v>15</v>
      </c>
      <c r="G549" s="6" t="s">
        <v>181</v>
      </c>
      <c r="H549" s="2" t="s">
        <v>194</v>
      </c>
      <c r="I549" s="2" t="s">
        <v>195</v>
      </c>
      <c r="J549" s="2" t="s">
        <v>19</v>
      </c>
      <c r="K549" s="2" t="s">
        <v>1577</v>
      </c>
      <c r="L549" s="7" t="str">
        <f>HYPERLINK("http://slimages.macys.com/is/image/MCY/12734297 ")</f>
        <v xml:space="preserve">http://slimages.macys.com/is/image/MCY/12734297 </v>
      </c>
    </row>
    <row r="550" spans="1:12" ht="24.75" x14ac:dyDescent="0.25">
      <c r="A550" s="4" t="s">
        <v>3977</v>
      </c>
      <c r="B550" s="2" t="s">
        <v>1600</v>
      </c>
      <c r="C550" s="3">
        <v>1</v>
      </c>
      <c r="D550" s="5">
        <v>21.99</v>
      </c>
      <c r="E550" s="3" t="s">
        <v>1601</v>
      </c>
      <c r="F550" s="2" t="s">
        <v>136</v>
      </c>
      <c r="G550" s="6"/>
      <c r="H550" s="2" t="s">
        <v>1425</v>
      </c>
      <c r="I550" s="2" t="s">
        <v>1426</v>
      </c>
      <c r="J550" s="2"/>
      <c r="K550" s="2"/>
      <c r="L550" s="7" t="str">
        <f>HYPERLINK("http://slimages.macys.com/is/image/MCY/10205122 ")</f>
        <v xml:space="preserve">http://slimages.macys.com/is/image/MCY/10205122 </v>
      </c>
    </row>
    <row r="551" spans="1:12" ht="24.75" x14ac:dyDescent="0.25">
      <c r="A551" s="4" t="s">
        <v>1599</v>
      </c>
      <c r="B551" s="2" t="s">
        <v>1600</v>
      </c>
      <c r="C551" s="3">
        <v>1</v>
      </c>
      <c r="D551" s="5">
        <v>21.99</v>
      </c>
      <c r="E551" s="3" t="s">
        <v>1601</v>
      </c>
      <c r="F551" s="2" t="s">
        <v>74</v>
      </c>
      <c r="G551" s="6"/>
      <c r="H551" s="2" t="s">
        <v>1425</v>
      </c>
      <c r="I551" s="2" t="s">
        <v>1426</v>
      </c>
      <c r="J551" s="2"/>
      <c r="K551" s="2"/>
      <c r="L551" s="7" t="str">
        <f>HYPERLINK("http://slimages.macys.com/is/image/MCY/10205122 ")</f>
        <v xml:space="preserve">http://slimages.macys.com/is/image/MCY/10205122 </v>
      </c>
    </row>
    <row r="552" spans="1:12" ht="24.75" x14ac:dyDescent="0.25">
      <c r="A552" s="4" t="s">
        <v>1603</v>
      </c>
      <c r="B552" s="2" t="s">
        <v>1586</v>
      </c>
      <c r="C552" s="3">
        <v>2</v>
      </c>
      <c r="D552" s="5">
        <v>21.99</v>
      </c>
      <c r="E552" s="3" t="s">
        <v>1587</v>
      </c>
      <c r="F552" s="2" t="s">
        <v>74</v>
      </c>
      <c r="G552" s="6"/>
      <c r="H552" s="2" t="s">
        <v>1425</v>
      </c>
      <c r="I552" s="2" t="s">
        <v>1426</v>
      </c>
      <c r="J552" s="2" t="s">
        <v>19</v>
      </c>
      <c r="K552" s="2" t="s">
        <v>34</v>
      </c>
      <c r="L552" s="7" t="str">
        <f>HYPERLINK("http://slimages.macys.com/is/image/MCY/11174709 ")</f>
        <v xml:space="preserve">http://slimages.macys.com/is/image/MCY/11174709 </v>
      </c>
    </row>
    <row r="553" spans="1:12" ht="24.75" x14ac:dyDescent="0.25">
      <c r="A553" s="4" t="s">
        <v>8756</v>
      </c>
      <c r="B553" s="2" t="s">
        <v>1600</v>
      </c>
      <c r="C553" s="3">
        <v>1</v>
      </c>
      <c r="D553" s="5">
        <v>21.99</v>
      </c>
      <c r="E553" s="3" t="s">
        <v>1601</v>
      </c>
      <c r="F553" s="2" t="s">
        <v>1234</v>
      </c>
      <c r="G553" s="6" t="s">
        <v>187</v>
      </c>
      <c r="H553" s="2" t="s">
        <v>1425</v>
      </c>
      <c r="I553" s="2" t="s">
        <v>1426</v>
      </c>
      <c r="J553" s="2"/>
      <c r="K553" s="2"/>
      <c r="L553" s="7" t="str">
        <f>HYPERLINK("http://slimages.macys.com/is/image/MCY/10205122 ")</f>
        <v xml:space="preserve">http://slimages.macys.com/is/image/MCY/10205122 </v>
      </c>
    </row>
    <row r="554" spans="1:12" ht="24.75" x14ac:dyDescent="0.25">
      <c r="A554" s="4" t="s">
        <v>8757</v>
      </c>
      <c r="B554" s="2" t="s">
        <v>1586</v>
      </c>
      <c r="C554" s="3">
        <v>1</v>
      </c>
      <c r="D554" s="5">
        <v>21.99</v>
      </c>
      <c r="E554" s="3" t="s">
        <v>1587</v>
      </c>
      <c r="F554" s="2" t="s">
        <v>136</v>
      </c>
      <c r="G554" s="6" t="s">
        <v>187</v>
      </c>
      <c r="H554" s="2" t="s">
        <v>1425</v>
      </c>
      <c r="I554" s="2" t="s">
        <v>1426</v>
      </c>
      <c r="J554" s="2" t="s">
        <v>19</v>
      </c>
      <c r="K554" s="2" t="s">
        <v>34</v>
      </c>
      <c r="L554" s="7" t="str">
        <f>HYPERLINK("http://slimages.macys.com/is/image/MCY/11174709 ")</f>
        <v xml:space="preserve">http://slimages.macys.com/is/image/MCY/11174709 </v>
      </c>
    </row>
    <row r="555" spans="1:12" ht="24.75" x14ac:dyDescent="0.25">
      <c r="A555" s="4" t="s">
        <v>5054</v>
      </c>
      <c r="B555" s="2" t="s">
        <v>1600</v>
      </c>
      <c r="C555" s="3">
        <v>2</v>
      </c>
      <c r="D555" s="5">
        <v>21.99</v>
      </c>
      <c r="E555" s="3" t="s">
        <v>1601</v>
      </c>
      <c r="F555" s="2" t="s">
        <v>136</v>
      </c>
      <c r="G555" s="6"/>
      <c r="H555" s="2" t="s">
        <v>1425</v>
      </c>
      <c r="I555" s="2" t="s">
        <v>1426</v>
      </c>
      <c r="J555" s="2"/>
      <c r="K555" s="2"/>
      <c r="L555" s="7" t="str">
        <f>HYPERLINK("http://slimages.macys.com/is/image/MCY/10205122 ")</f>
        <v xml:space="preserve">http://slimages.macys.com/is/image/MCY/10205122 </v>
      </c>
    </row>
    <row r="556" spans="1:12" ht="24.75" x14ac:dyDescent="0.25">
      <c r="A556" s="4" t="s">
        <v>2847</v>
      </c>
      <c r="B556" s="2" t="s">
        <v>1586</v>
      </c>
      <c r="C556" s="3">
        <v>1</v>
      </c>
      <c r="D556" s="5">
        <v>21.99</v>
      </c>
      <c r="E556" s="3" t="s">
        <v>1587</v>
      </c>
      <c r="F556" s="2" t="s">
        <v>136</v>
      </c>
      <c r="G556" s="6"/>
      <c r="H556" s="2" t="s">
        <v>1425</v>
      </c>
      <c r="I556" s="2" t="s">
        <v>1426</v>
      </c>
      <c r="J556" s="2" t="s">
        <v>19</v>
      </c>
      <c r="K556" s="2" t="s">
        <v>34</v>
      </c>
      <c r="L556" s="7" t="str">
        <f>HYPERLINK("http://slimages.macys.com/is/image/MCY/11174709 ")</f>
        <v xml:space="preserve">http://slimages.macys.com/is/image/MCY/11174709 </v>
      </c>
    </row>
    <row r="557" spans="1:12" ht="24.75" x14ac:dyDescent="0.25">
      <c r="A557" s="4" t="s">
        <v>5055</v>
      </c>
      <c r="B557" s="2" t="s">
        <v>1586</v>
      </c>
      <c r="C557" s="3">
        <v>1</v>
      </c>
      <c r="D557" s="5">
        <v>21.99</v>
      </c>
      <c r="E557" s="3" t="s">
        <v>1587</v>
      </c>
      <c r="F557" s="2" t="s">
        <v>1234</v>
      </c>
      <c r="G557" s="6" t="s">
        <v>187</v>
      </c>
      <c r="H557" s="2" t="s">
        <v>1425</v>
      </c>
      <c r="I557" s="2" t="s">
        <v>1426</v>
      </c>
      <c r="J557" s="2" t="s">
        <v>19</v>
      </c>
      <c r="K557" s="2" t="s">
        <v>34</v>
      </c>
      <c r="L557" s="7" t="str">
        <f>HYPERLINK("http://slimages.macys.com/is/image/MCY/11174709 ")</f>
        <v xml:space="preserve">http://slimages.macys.com/is/image/MCY/11174709 </v>
      </c>
    </row>
    <row r="558" spans="1:12" ht="24.75" x14ac:dyDescent="0.25">
      <c r="A558" s="4" t="s">
        <v>2846</v>
      </c>
      <c r="B558" s="2" t="s">
        <v>1586</v>
      </c>
      <c r="C558" s="3">
        <v>1</v>
      </c>
      <c r="D558" s="5">
        <v>21.99</v>
      </c>
      <c r="E558" s="3" t="s">
        <v>1587</v>
      </c>
      <c r="F558" s="2" t="s">
        <v>252</v>
      </c>
      <c r="G558" s="6"/>
      <c r="H558" s="2" t="s">
        <v>1425</v>
      </c>
      <c r="I558" s="2" t="s">
        <v>1426</v>
      </c>
      <c r="J558" s="2" t="s">
        <v>19</v>
      </c>
      <c r="K558" s="2" t="s">
        <v>34</v>
      </c>
      <c r="L558" s="7" t="str">
        <f>HYPERLINK("http://slimages.macys.com/is/image/MCY/11174709 ")</f>
        <v xml:space="preserve">http://slimages.macys.com/is/image/MCY/11174709 </v>
      </c>
    </row>
    <row r="559" spans="1:12" ht="24.75" x14ac:dyDescent="0.25">
      <c r="A559" s="4" t="s">
        <v>2848</v>
      </c>
      <c r="B559" s="2" t="s">
        <v>1600</v>
      </c>
      <c r="C559" s="3">
        <v>1</v>
      </c>
      <c r="D559" s="5">
        <v>21.99</v>
      </c>
      <c r="E559" s="3" t="s">
        <v>1601</v>
      </c>
      <c r="F559" s="2" t="s">
        <v>136</v>
      </c>
      <c r="G559" s="6" t="s">
        <v>187</v>
      </c>
      <c r="H559" s="2" t="s">
        <v>1425</v>
      </c>
      <c r="I559" s="2" t="s">
        <v>1426</v>
      </c>
      <c r="J559" s="2"/>
      <c r="K559" s="2"/>
      <c r="L559" s="7" t="str">
        <f>HYPERLINK("http://slimages.macys.com/is/image/MCY/10205122 ")</f>
        <v xml:space="preserve">http://slimages.macys.com/is/image/MCY/10205122 </v>
      </c>
    </row>
    <row r="560" spans="1:12" ht="24.75" x14ac:dyDescent="0.25">
      <c r="A560" s="4" t="s">
        <v>8758</v>
      </c>
      <c r="B560" s="2" t="s">
        <v>1586</v>
      </c>
      <c r="C560" s="3">
        <v>1</v>
      </c>
      <c r="D560" s="5">
        <v>21.99</v>
      </c>
      <c r="E560" s="3" t="s">
        <v>1587</v>
      </c>
      <c r="F560" s="2" t="s">
        <v>70</v>
      </c>
      <c r="G560" s="6"/>
      <c r="H560" s="2" t="s">
        <v>1425</v>
      </c>
      <c r="I560" s="2" t="s">
        <v>1426</v>
      </c>
      <c r="J560" s="2" t="s">
        <v>19</v>
      </c>
      <c r="K560" s="2" t="s">
        <v>34</v>
      </c>
      <c r="L560" s="7" t="str">
        <f>HYPERLINK("http://slimages.macys.com/is/image/MCY/11174709 ")</f>
        <v xml:space="preserve">http://slimages.macys.com/is/image/MCY/11174709 </v>
      </c>
    </row>
    <row r="561" spans="1:12" ht="24.75" x14ac:dyDescent="0.25">
      <c r="A561" s="4" t="s">
        <v>2852</v>
      </c>
      <c r="B561" s="2" t="s">
        <v>1600</v>
      </c>
      <c r="C561" s="3">
        <v>1</v>
      </c>
      <c r="D561" s="5">
        <v>21.99</v>
      </c>
      <c r="E561" s="3" t="s">
        <v>1601</v>
      </c>
      <c r="F561" s="2" t="s">
        <v>15</v>
      </c>
      <c r="G561" s="6"/>
      <c r="H561" s="2" t="s">
        <v>1425</v>
      </c>
      <c r="I561" s="2" t="s">
        <v>1426</v>
      </c>
      <c r="J561" s="2"/>
      <c r="K561" s="2"/>
      <c r="L561" s="7" t="str">
        <f>HYPERLINK("http://slimages.macys.com/is/image/MCY/10205122 ")</f>
        <v xml:space="preserve">http://slimages.macys.com/is/image/MCY/10205122 </v>
      </c>
    </row>
    <row r="562" spans="1:12" ht="24.75" x14ac:dyDescent="0.25">
      <c r="A562" s="4" t="s">
        <v>2854</v>
      </c>
      <c r="B562" s="2" t="s">
        <v>1586</v>
      </c>
      <c r="C562" s="3">
        <v>3</v>
      </c>
      <c r="D562" s="5">
        <v>21.99</v>
      </c>
      <c r="E562" s="3" t="s">
        <v>1587</v>
      </c>
      <c r="F562" s="2" t="s">
        <v>136</v>
      </c>
      <c r="G562" s="6"/>
      <c r="H562" s="2" t="s">
        <v>1425</v>
      </c>
      <c r="I562" s="2" t="s">
        <v>1426</v>
      </c>
      <c r="J562" s="2" t="s">
        <v>19</v>
      </c>
      <c r="K562" s="2" t="s">
        <v>34</v>
      </c>
      <c r="L562" s="7" t="str">
        <f>HYPERLINK("http://slimages.macys.com/is/image/MCY/11174709 ")</f>
        <v xml:space="preserve">http://slimages.macys.com/is/image/MCY/11174709 </v>
      </c>
    </row>
    <row r="563" spans="1:12" ht="24.75" x14ac:dyDescent="0.25">
      <c r="A563" s="4" t="s">
        <v>1606</v>
      </c>
      <c r="B563" s="2" t="s">
        <v>1600</v>
      </c>
      <c r="C563" s="3">
        <v>1</v>
      </c>
      <c r="D563" s="5">
        <v>21.99</v>
      </c>
      <c r="E563" s="3" t="s">
        <v>1601</v>
      </c>
      <c r="F563" s="2" t="s">
        <v>74</v>
      </c>
      <c r="G563" s="6"/>
      <c r="H563" s="2" t="s">
        <v>1425</v>
      </c>
      <c r="I563" s="2" t="s">
        <v>1426</v>
      </c>
      <c r="J563" s="2"/>
      <c r="K563" s="2"/>
      <c r="L563" s="7" t="str">
        <f>HYPERLINK("http://slimages.macys.com/is/image/MCY/10205122 ")</f>
        <v xml:space="preserve">http://slimages.macys.com/is/image/MCY/10205122 </v>
      </c>
    </row>
    <row r="564" spans="1:12" ht="24.75" x14ac:dyDescent="0.25">
      <c r="A564" s="4" t="s">
        <v>7561</v>
      </c>
      <c r="B564" s="2" t="s">
        <v>1586</v>
      </c>
      <c r="C564" s="3">
        <v>2</v>
      </c>
      <c r="D564" s="5">
        <v>21.99</v>
      </c>
      <c r="E564" s="3" t="s">
        <v>1587</v>
      </c>
      <c r="F564" s="2" t="s">
        <v>1234</v>
      </c>
      <c r="G564" s="6" t="s">
        <v>219</v>
      </c>
      <c r="H564" s="2" t="s">
        <v>1425</v>
      </c>
      <c r="I564" s="2" t="s">
        <v>1426</v>
      </c>
      <c r="J564" s="2" t="s">
        <v>19</v>
      </c>
      <c r="K564" s="2" t="s">
        <v>34</v>
      </c>
      <c r="L564" s="7" t="str">
        <f>HYPERLINK("http://slimages.macys.com/is/image/MCY/11174709 ")</f>
        <v xml:space="preserve">http://slimages.macys.com/is/image/MCY/11174709 </v>
      </c>
    </row>
    <row r="565" spans="1:12" ht="24.75" x14ac:dyDescent="0.25">
      <c r="A565" s="4" t="s">
        <v>5052</v>
      </c>
      <c r="B565" s="2" t="s">
        <v>1600</v>
      </c>
      <c r="C565" s="3">
        <v>1</v>
      </c>
      <c r="D565" s="5">
        <v>21.99</v>
      </c>
      <c r="E565" s="3" t="s">
        <v>1601</v>
      </c>
      <c r="F565" s="2" t="s">
        <v>15</v>
      </c>
      <c r="G565" s="6"/>
      <c r="H565" s="2" t="s">
        <v>1425</v>
      </c>
      <c r="I565" s="2" t="s">
        <v>1426</v>
      </c>
      <c r="J565" s="2"/>
      <c r="K565" s="2"/>
      <c r="L565" s="7" t="str">
        <f>HYPERLINK("http://slimages.macys.com/is/image/MCY/10205122 ")</f>
        <v xml:space="preserve">http://slimages.macys.com/is/image/MCY/10205122 </v>
      </c>
    </row>
    <row r="566" spans="1:12" ht="24.75" x14ac:dyDescent="0.25">
      <c r="A566" s="4" t="s">
        <v>1611</v>
      </c>
      <c r="B566" s="2" t="s">
        <v>1612</v>
      </c>
      <c r="C566" s="3">
        <v>1</v>
      </c>
      <c r="D566" s="5">
        <v>19.989999999999998</v>
      </c>
      <c r="E566" s="3" t="s">
        <v>1613</v>
      </c>
      <c r="F566" s="2" t="s">
        <v>1614</v>
      </c>
      <c r="G566" s="6" t="s">
        <v>234</v>
      </c>
      <c r="H566" s="2" t="s">
        <v>194</v>
      </c>
      <c r="I566" s="2" t="s">
        <v>195</v>
      </c>
      <c r="J566" s="2" t="s">
        <v>19</v>
      </c>
      <c r="K566" s="2" t="s">
        <v>247</v>
      </c>
      <c r="L566" s="7" t="str">
        <f>HYPERLINK("http://slimages.macys.com/is/image/MCY/11261943 ")</f>
        <v xml:space="preserve">http://slimages.macys.com/is/image/MCY/11261943 </v>
      </c>
    </row>
    <row r="567" spans="1:12" ht="24.75" x14ac:dyDescent="0.25">
      <c r="A567" s="4" t="s">
        <v>1621</v>
      </c>
      <c r="B567" s="2" t="s">
        <v>1529</v>
      </c>
      <c r="C567" s="3">
        <v>1</v>
      </c>
      <c r="D567" s="5">
        <v>37.130000000000003</v>
      </c>
      <c r="E567" s="3" t="s">
        <v>1530</v>
      </c>
      <c r="F567" s="2" t="s">
        <v>998</v>
      </c>
      <c r="G567" s="6" t="s">
        <v>205</v>
      </c>
      <c r="H567" s="2" t="s">
        <v>312</v>
      </c>
      <c r="I567" s="2" t="s">
        <v>195</v>
      </c>
      <c r="J567" s="2" t="s">
        <v>19</v>
      </c>
      <c r="K567" s="2" t="s">
        <v>353</v>
      </c>
      <c r="L567" s="7" t="str">
        <f>HYPERLINK("http://slimages.macys.com/is/image/MCY/11938040 ")</f>
        <v xml:space="preserve">http://slimages.macys.com/is/image/MCY/11938040 </v>
      </c>
    </row>
    <row r="568" spans="1:12" ht="24.75" x14ac:dyDescent="0.25">
      <c r="A568" s="4" t="s">
        <v>1625</v>
      </c>
      <c r="B568" s="2" t="s">
        <v>1529</v>
      </c>
      <c r="C568" s="3">
        <v>1</v>
      </c>
      <c r="D568" s="5">
        <v>37.130000000000003</v>
      </c>
      <c r="E568" s="3" t="s">
        <v>1530</v>
      </c>
      <c r="F568" s="2" t="s">
        <v>998</v>
      </c>
      <c r="G568" s="6" t="s">
        <v>126</v>
      </c>
      <c r="H568" s="2" t="s">
        <v>312</v>
      </c>
      <c r="I568" s="2" t="s">
        <v>195</v>
      </c>
      <c r="J568" s="2" t="s">
        <v>19</v>
      </c>
      <c r="K568" s="2" t="s">
        <v>353</v>
      </c>
      <c r="L568" s="7" t="str">
        <f>HYPERLINK("http://slimages.macys.com/is/image/MCY/11938040 ")</f>
        <v xml:space="preserve">http://slimages.macys.com/is/image/MCY/11938040 </v>
      </c>
    </row>
    <row r="569" spans="1:12" ht="24.75" x14ac:dyDescent="0.25">
      <c r="A569" s="4" t="s">
        <v>1622</v>
      </c>
      <c r="B569" s="2" t="s">
        <v>1529</v>
      </c>
      <c r="C569" s="3">
        <v>2</v>
      </c>
      <c r="D569" s="5">
        <v>37.130000000000003</v>
      </c>
      <c r="E569" s="3" t="s">
        <v>1530</v>
      </c>
      <c r="F569" s="2" t="s">
        <v>998</v>
      </c>
      <c r="G569" s="6" t="s">
        <v>802</v>
      </c>
      <c r="H569" s="2" t="s">
        <v>312</v>
      </c>
      <c r="I569" s="2" t="s">
        <v>195</v>
      </c>
      <c r="J569" s="2" t="s">
        <v>19</v>
      </c>
      <c r="K569" s="2" t="s">
        <v>353</v>
      </c>
      <c r="L569" s="7" t="str">
        <f>HYPERLINK("http://slimages.macys.com/is/image/MCY/11938040 ")</f>
        <v xml:space="preserve">http://slimages.macys.com/is/image/MCY/11938040 </v>
      </c>
    </row>
    <row r="570" spans="1:12" ht="24.75" x14ac:dyDescent="0.25">
      <c r="A570" s="4" t="s">
        <v>8759</v>
      </c>
      <c r="B570" s="2" t="s">
        <v>2859</v>
      </c>
      <c r="C570" s="3">
        <v>2</v>
      </c>
      <c r="D570" s="5">
        <v>24.99</v>
      </c>
      <c r="E570" s="3" t="s">
        <v>2860</v>
      </c>
      <c r="F570" s="2" t="s">
        <v>252</v>
      </c>
      <c r="G570" s="6" t="s">
        <v>219</v>
      </c>
      <c r="H570" s="2" t="s">
        <v>1425</v>
      </c>
      <c r="I570" s="2" t="s">
        <v>1426</v>
      </c>
      <c r="J570" s="2" t="s">
        <v>19</v>
      </c>
      <c r="K570" s="2" t="s">
        <v>648</v>
      </c>
      <c r="L570" s="7" t="str">
        <f>HYPERLINK("http://slimages.macys.com/is/image/MCY/11915841 ")</f>
        <v xml:space="preserve">http://slimages.macys.com/is/image/MCY/11915841 </v>
      </c>
    </row>
    <row r="571" spans="1:12" ht="24.75" x14ac:dyDescent="0.25">
      <c r="A571" s="4" t="s">
        <v>5057</v>
      </c>
      <c r="B571" s="2" t="s">
        <v>2856</v>
      </c>
      <c r="C571" s="3">
        <v>1</v>
      </c>
      <c r="D571" s="5">
        <v>24.99</v>
      </c>
      <c r="E571" s="3" t="s">
        <v>2857</v>
      </c>
      <c r="F571" s="2" t="s">
        <v>15</v>
      </c>
      <c r="G571" s="6"/>
      <c r="H571" s="2" t="s">
        <v>1425</v>
      </c>
      <c r="I571" s="2" t="s">
        <v>1426</v>
      </c>
      <c r="J571" s="2" t="s">
        <v>19</v>
      </c>
      <c r="K571" s="2" t="s">
        <v>495</v>
      </c>
      <c r="L571" s="7" t="str">
        <f>HYPERLINK("http://slimages.macys.com/is/image/MCY/11831271 ")</f>
        <v xml:space="preserve">http://slimages.macys.com/is/image/MCY/11831271 </v>
      </c>
    </row>
    <row r="572" spans="1:12" ht="24.75" x14ac:dyDescent="0.25">
      <c r="A572" s="4" t="s">
        <v>8760</v>
      </c>
      <c r="B572" s="2" t="s">
        <v>6746</v>
      </c>
      <c r="C572" s="3">
        <v>1</v>
      </c>
      <c r="D572" s="5">
        <v>24.99</v>
      </c>
      <c r="E572" s="3" t="s">
        <v>6747</v>
      </c>
      <c r="F572" s="2" t="s">
        <v>26</v>
      </c>
      <c r="G572" s="6"/>
      <c r="H572" s="2" t="s">
        <v>1425</v>
      </c>
      <c r="I572" s="2" t="s">
        <v>1426</v>
      </c>
      <c r="J572" s="2" t="s">
        <v>19</v>
      </c>
      <c r="K572" s="2" t="s">
        <v>990</v>
      </c>
      <c r="L572" s="7" t="str">
        <f>HYPERLINK("http://slimages.macys.com/is/image/MCY/9434403 ")</f>
        <v xml:space="preserve">http://slimages.macys.com/is/image/MCY/9434403 </v>
      </c>
    </row>
    <row r="573" spans="1:12" ht="24.75" x14ac:dyDescent="0.25">
      <c r="A573" s="4" t="s">
        <v>5060</v>
      </c>
      <c r="B573" s="2" t="s">
        <v>2856</v>
      </c>
      <c r="C573" s="3">
        <v>2</v>
      </c>
      <c r="D573" s="5">
        <v>24.99</v>
      </c>
      <c r="E573" s="3" t="s">
        <v>2857</v>
      </c>
      <c r="F573" s="2" t="s">
        <v>15</v>
      </c>
      <c r="G573" s="6" t="s">
        <v>219</v>
      </c>
      <c r="H573" s="2" t="s">
        <v>1425</v>
      </c>
      <c r="I573" s="2" t="s">
        <v>1426</v>
      </c>
      <c r="J573" s="2" t="s">
        <v>19</v>
      </c>
      <c r="K573" s="2" t="s">
        <v>495</v>
      </c>
      <c r="L573" s="7" t="str">
        <f>HYPERLINK("http://slimages.macys.com/is/image/MCY/11831271 ")</f>
        <v xml:space="preserve">http://slimages.macys.com/is/image/MCY/11831271 </v>
      </c>
    </row>
    <row r="574" spans="1:12" ht="24.75" x14ac:dyDescent="0.25">
      <c r="A574" s="4" t="s">
        <v>8761</v>
      </c>
      <c r="B574" s="2" t="s">
        <v>2862</v>
      </c>
      <c r="C574" s="3">
        <v>1</v>
      </c>
      <c r="D574" s="5">
        <v>24.99</v>
      </c>
      <c r="E574" s="3" t="s">
        <v>2863</v>
      </c>
      <c r="F574" s="2" t="s">
        <v>15</v>
      </c>
      <c r="G574" s="6"/>
      <c r="H574" s="2" t="s">
        <v>1425</v>
      </c>
      <c r="I574" s="2" t="s">
        <v>1426</v>
      </c>
      <c r="J574" s="2" t="s">
        <v>19</v>
      </c>
      <c r="K574" s="2" t="s">
        <v>648</v>
      </c>
      <c r="L574" s="7" t="str">
        <f>HYPERLINK("http://slimages.macys.com/is/image/MCY/12269110 ")</f>
        <v xml:space="preserve">http://slimages.macys.com/is/image/MCY/12269110 </v>
      </c>
    </row>
    <row r="575" spans="1:12" ht="24.75" x14ac:dyDescent="0.25">
      <c r="A575" s="4" t="s">
        <v>1630</v>
      </c>
      <c r="B575" s="2" t="s">
        <v>1627</v>
      </c>
      <c r="C575" s="3">
        <v>1</v>
      </c>
      <c r="D575" s="5">
        <v>25.88</v>
      </c>
      <c r="E575" s="3" t="s">
        <v>1628</v>
      </c>
      <c r="F575" s="2" t="s">
        <v>70</v>
      </c>
      <c r="G575" s="6" t="s">
        <v>156</v>
      </c>
      <c r="H575" s="2" t="s">
        <v>194</v>
      </c>
      <c r="I575" s="2" t="s">
        <v>195</v>
      </c>
      <c r="J575" s="2" t="s">
        <v>19</v>
      </c>
      <c r="K575" s="2" t="s">
        <v>1629</v>
      </c>
      <c r="L575" s="7" t="str">
        <f>HYPERLINK("http://slimages.macys.com/is/image/MCY/11531058 ")</f>
        <v xml:space="preserve">http://slimages.macys.com/is/image/MCY/11531058 </v>
      </c>
    </row>
    <row r="576" spans="1:12" ht="24.75" x14ac:dyDescent="0.25">
      <c r="A576" s="4" t="s">
        <v>2868</v>
      </c>
      <c r="B576" s="2" t="s">
        <v>1627</v>
      </c>
      <c r="C576" s="3">
        <v>1</v>
      </c>
      <c r="D576" s="5">
        <v>25.88</v>
      </c>
      <c r="E576" s="3" t="s">
        <v>1628</v>
      </c>
      <c r="F576" s="2" t="s">
        <v>70</v>
      </c>
      <c r="G576" s="6" t="s">
        <v>181</v>
      </c>
      <c r="H576" s="2" t="s">
        <v>194</v>
      </c>
      <c r="I576" s="2" t="s">
        <v>195</v>
      </c>
      <c r="J576" s="2" t="s">
        <v>19</v>
      </c>
      <c r="K576" s="2" t="s">
        <v>1629</v>
      </c>
      <c r="L576" s="7" t="str">
        <f>HYPERLINK("http://slimages.macys.com/is/image/MCY/11531058 ")</f>
        <v xml:space="preserve">http://slimages.macys.com/is/image/MCY/11531058 </v>
      </c>
    </row>
    <row r="577" spans="1:12" ht="24.75" x14ac:dyDescent="0.25">
      <c r="A577" s="4" t="s">
        <v>5061</v>
      </c>
      <c r="B577" s="2" t="s">
        <v>1627</v>
      </c>
      <c r="C577" s="3">
        <v>2</v>
      </c>
      <c r="D577" s="5">
        <v>25.88</v>
      </c>
      <c r="E577" s="3" t="s">
        <v>1628</v>
      </c>
      <c r="F577" s="2" t="s">
        <v>70</v>
      </c>
      <c r="G577" s="6" t="s">
        <v>154</v>
      </c>
      <c r="H577" s="2" t="s">
        <v>194</v>
      </c>
      <c r="I577" s="2" t="s">
        <v>195</v>
      </c>
      <c r="J577" s="2" t="s">
        <v>19</v>
      </c>
      <c r="K577" s="2" t="s">
        <v>1629</v>
      </c>
      <c r="L577" s="7" t="str">
        <f>HYPERLINK("http://slimages.macys.com/is/image/MCY/11531058 ")</f>
        <v xml:space="preserve">http://slimages.macys.com/is/image/MCY/11531058 </v>
      </c>
    </row>
    <row r="578" spans="1:12" ht="24.75" x14ac:dyDescent="0.25">
      <c r="A578" s="4" t="s">
        <v>8762</v>
      </c>
      <c r="B578" s="2" t="s">
        <v>1627</v>
      </c>
      <c r="C578" s="3">
        <v>2</v>
      </c>
      <c r="D578" s="5">
        <v>25.88</v>
      </c>
      <c r="E578" s="3" t="s">
        <v>1628</v>
      </c>
      <c r="F578" s="2" t="s">
        <v>70</v>
      </c>
      <c r="G578" s="6" t="s">
        <v>200</v>
      </c>
      <c r="H578" s="2" t="s">
        <v>194</v>
      </c>
      <c r="I578" s="2" t="s">
        <v>195</v>
      </c>
      <c r="J578" s="2" t="s">
        <v>19</v>
      </c>
      <c r="K578" s="2" t="s">
        <v>1629</v>
      </c>
      <c r="L578" s="7" t="str">
        <f>HYPERLINK("http://slimages.macys.com/is/image/MCY/11531058 ")</f>
        <v xml:space="preserve">http://slimages.macys.com/is/image/MCY/11531058 </v>
      </c>
    </row>
    <row r="579" spans="1:12" ht="24.75" x14ac:dyDescent="0.25">
      <c r="A579" s="4" t="s">
        <v>8763</v>
      </c>
      <c r="B579" s="2" t="s">
        <v>1572</v>
      </c>
      <c r="C579" s="3">
        <v>2</v>
      </c>
      <c r="D579" s="5">
        <v>36.5</v>
      </c>
      <c r="E579" s="3" t="s">
        <v>8764</v>
      </c>
      <c r="F579" s="2" t="s">
        <v>820</v>
      </c>
      <c r="G579" s="6"/>
      <c r="H579" s="2" t="s">
        <v>312</v>
      </c>
      <c r="I579" s="2" t="s">
        <v>195</v>
      </c>
      <c r="J579" s="2" t="s">
        <v>19</v>
      </c>
      <c r="K579" s="2" t="s">
        <v>247</v>
      </c>
      <c r="L579" s="7" t="str">
        <f>HYPERLINK("http://slimages.macys.com/is/image/MCY/12063852 ")</f>
        <v xml:space="preserve">http://slimages.macys.com/is/image/MCY/12063852 </v>
      </c>
    </row>
    <row r="580" spans="1:12" ht="24.75" x14ac:dyDescent="0.25">
      <c r="A580" s="4" t="s">
        <v>1638</v>
      </c>
      <c r="B580" s="2" t="s">
        <v>1635</v>
      </c>
      <c r="C580" s="3">
        <v>2</v>
      </c>
      <c r="D580" s="5">
        <v>25.88</v>
      </c>
      <c r="E580" s="3">
        <v>100011992</v>
      </c>
      <c r="F580" s="2" t="s">
        <v>53</v>
      </c>
      <c r="G580" s="6" t="s">
        <v>181</v>
      </c>
      <c r="H580" s="2" t="s">
        <v>194</v>
      </c>
      <c r="I580" s="2" t="s">
        <v>195</v>
      </c>
      <c r="J580" s="2" t="s">
        <v>19</v>
      </c>
      <c r="K580" s="2" t="s">
        <v>1617</v>
      </c>
      <c r="L580" s="7" t="str">
        <f t="shared" ref="L580:L588" si="6">HYPERLINK("http://slimages.macys.com/is/image/MCY/13314771 ")</f>
        <v xml:space="preserve">http://slimages.macys.com/is/image/MCY/13314771 </v>
      </c>
    </row>
    <row r="581" spans="1:12" ht="24.75" x14ac:dyDescent="0.25">
      <c r="A581" s="4" t="s">
        <v>1634</v>
      </c>
      <c r="B581" s="2" t="s">
        <v>1635</v>
      </c>
      <c r="C581" s="3">
        <v>2</v>
      </c>
      <c r="D581" s="5">
        <v>25.88</v>
      </c>
      <c r="E581" s="3">
        <v>100011992</v>
      </c>
      <c r="F581" s="2" t="s">
        <v>64</v>
      </c>
      <c r="G581" s="6" t="s">
        <v>156</v>
      </c>
      <c r="H581" s="2" t="s">
        <v>194</v>
      </c>
      <c r="I581" s="2" t="s">
        <v>195</v>
      </c>
      <c r="J581" s="2" t="s">
        <v>19</v>
      </c>
      <c r="K581" s="2" t="s">
        <v>1617</v>
      </c>
      <c r="L581" s="7" t="str">
        <f t="shared" si="6"/>
        <v xml:space="preserve">http://slimages.macys.com/is/image/MCY/13314771 </v>
      </c>
    </row>
    <row r="582" spans="1:12" ht="24.75" x14ac:dyDescent="0.25">
      <c r="A582" s="4" t="s">
        <v>8267</v>
      </c>
      <c r="B582" s="2" t="s">
        <v>1635</v>
      </c>
      <c r="C582" s="3">
        <v>1</v>
      </c>
      <c r="D582" s="5">
        <v>25.88</v>
      </c>
      <c r="E582" s="3">
        <v>100011992</v>
      </c>
      <c r="F582" s="2" t="s">
        <v>33</v>
      </c>
      <c r="G582" s="6" t="s">
        <v>234</v>
      </c>
      <c r="H582" s="2" t="s">
        <v>194</v>
      </c>
      <c r="I582" s="2" t="s">
        <v>195</v>
      </c>
      <c r="J582" s="2" t="s">
        <v>19</v>
      </c>
      <c r="K582" s="2" t="s">
        <v>1617</v>
      </c>
      <c r="L582" s="7" t="str">
        <f t="shared" si="6"/>
        <v xml:space="preserve">http://slimages.macys.com/is/image/MCY/13314771 </v>
      </c>
    </row>
    <row r="583" spans="1:12" ht="24.75" x14ac:dyDescent="0.25">
      <c r="A583" s="4" t="s">
        <v>2871</v>
      </c>
      <c r="B583" s="2" t="s">
        <v>1635</v>
      </c>
      <c r="C583" s="3">
        <v>1</v>
      </c>
      <c r="D583" s="5">
        <v>25.88</v>
      </c>
      <c r="E583" s="3">
        <v>100011992</v>
      </c>
      <c r="F583" s="2" t="s">
        <v>33</v>
      </c>
      <c r="G583" s="6" t="s">
        <v>154</v>
      </c>
      <c r="H583" s="2" t="s">
        <v>194</v>
      </c>
      <c r="I583" s="2" t="s">
        <v>195</v>
      </c>
      <c r="J583" s="2" t="s">
        <v>19</v>
      </c>
      <c r="K583" s="2" t="s">
        <v>1617</v>
      </c>
      <c r="L583" s="7" t="str">
        <f t="shared" si="6"/>
        <v xml:space="preserve">http://slimages.macys.com/is/image/MCY/13314771 </v>
      </c>
    </row>
    <row r="584" spans="1:12" ht="24.75" x14ac:dyDescent="0.25">
      <c r="A584" s="4" t="s">
        <v>2870</v>
      </c>
      <c r="B584" s="2" t="s">
        <v>1635</v>
      </c>
      <c r="C584" s="3">
        <v>1</v>
      </c>
      <c r="D584" s="5">
        <v>25.88</v>
      </c>
      <c r="E584" s="3">
        <v>100011992</v>
      </c>
      <c r="F584" s="2" t="s">
        <v>64</v>
      </c>
      <c r="G584" s="6" t="s">
        <v>181</v>
      </c>
      <c r="H584" s="2" t="s">
        <v>194</v>
      </c>
      <c r="I584" s="2" t="s">
        <v>195</v>
      </c>
      <c r="J584" s="2" t="s">
        <v>19</v>
      </c>
      <c r="K584" s="2" t="s">
        <v>1617</v>
      </c>
      <c r="L584" s="7" t="str">
        <f t="shared" si="6"/>
        <v xml:space="preserve">http://slimages.macys.com/is/image/MCY/13314771 </v>
      </c>
    </row>
    <row r="585" spans="1:12" ht="24.75" x14ac:dyDescent="0.25">
      <c r="A585" s="4" t="s">
        <v>1636</v>
      </c>
      <c r="B585" s="2" t="s">
        <v>1635</v>
      </c>
      <c r="C585" s="3">
        <v>2</v>
      </c>
      <c r="D585" s="5">
        <v>25.88</v>
      </c>
      <c r="E585" s="3">
        <v>100011992</v>
      </c>
      <c r="F585" s="2" t="s">
        <v>64</v>
      </c>
      <c r="G585" s="6" t="s">
        <v>154</v>
      </c>
      <c r="H585" s="2" t="s">
        <v>194</v>
      </c>
      <c r="I585" s="2" t="s">
        <v>195</v>
      </c>
      <c r="J585" s="2" t="s">
        <v>19</v>
      </c>
      <c r="K585" s="2" t="s">
        <v>1617</v>
      </c>
      <c r="L585" s="7" t="str">
        <f t="shared" si="6"/>
        <v xml:space="preserve">http://slimages.macys.com/is/image/MCY/13314771 </v>
      </c>
    </row>
    <row r="586" spans="1:12" ht="24.75" x14ac:dyDescent="0.25">
      <c r="A586" s="4" t="s">
        <v>1637</v>
      </c>
      <c r="B586" s="2" t="s">
        <v>1635</v>
      </c>
      <c r="C586" s="3">
        <v>1</v>
      </c>
      <c r="D586" s="5">
        <v>25.88</v>
      </c>
      <c r="E586" s="3">
        <v>100011992</v>
      </c>
      <c r="F586" s="2" t="s">
        <v>53</v>
      </c>
      <c r="G586" s="6" t="s">
        <v>245</v>
      </c>
      <c r="H586" s="2" t="s">
        <v>194</v>
      </c>
      <c r="I586" s="2" t="s">
        <v>195</v>
      </c>
      <c r="J586" s="2" t="s">
        <v>19</v>
      </c>
      <c r="K586" s="2" t="s">
        <v>1617</v>
      </c>
      <c r="L586" s="7" t="str">
        <f t="shared" si="6"/>
        <v xml:space="preserve">http://slimages.macys.com/is/image/MCY/13314771 </v>
      </c>
    </row>
    <row r="587" spans="1:12" ht="24.75" x14ac:dyDescent="0.25">
      <c r="A587" s="4" t="s">
        <v>2872</v>
      </c>
      <c r="B587" s="2" t="s">
        <v>1635</v>
      </c>
      <c r="C587" s="3">
        <v>1</v>
      </c>
      <c r="D587" s="5">
        <v>25.88</v>
      </c>
      <c r="E587" s="3">
        <v>100011992</v>
      </c>
      <c r="F587" s="2" t="s">
        <v>64</v>
      </c>
      <c r="G587" s="6" t="s">
        <v>245</v>
      </c>
      <c r="H587" s="2" t="s">
        <v>194</v>
      </c>
      <c r="I587" s="2" t="s">
        <v>195</v>
      </c>
      <c r="J587" s="2" t="s">
        <v>19</v>
      </c>
      <c r="K587" s="2" t="s">
        <v>1617</v>
      </c>
      <c r="L587" s="7" t="str">
        <f t="shared" si="6"/>
        <v xml:space="preserve">http://slimages.macys.com/is/image/MCY/13314771 </v>
      </c>
    </row>
    <row r="588" spans="1:12" ht="24.75" x14ac:dyDescent="0.25">
      <c r="A588" s="4" t="s">
        <v>1640</v>
      </c>
      <c r="B588" s="2" t="s">
        <v>1635</v>
      </c>
      <c r="C588" s="3">
        <v>1</v>
      </c>
      <c r="D588" s="5">
        <v>25.88</v>
      </c>
      <c r="E588" s="3">
        <v>100011992</v>
      </c>
      <c r="F588" s="2" t="s">
        <v>53</v>
      </c>
      <c r="G588" s="6" t="s">
        <v>234</v>
      </c>
      <c r="H588" s="2" t="s">
        <v>194</v>
      </c>
      <c r="I588" s="2" t="s">
        <v>195</v>
      </c>
      <c r="J588" s="2" t="s">
        <v>19</v>
      </c>
      <c r="K588" s="2" t="s">
        <v>1617</v>
      </c>
      <c r="L588" s="7" t="str">
        <f t="shared" si="6"/>
        <v xml:space="preserve">http://slimages.macys.com/is/image/MCY/13314771 </v>
      </c>
    </row>
    <row r="589" spans="1:12" ht="24.75" x14ac:dyDescent="0.25">
      <c r="A589" s="4" t="s">
        <v>1659</v>
      </c>
      <c r="B589" s="2" t="s">
        <v>1645</v>
      </c>
      <c r="C589" s="3">
        <v>1</v>
      </c>
      <c r="D589" s="5">
        <v>19.989999999999998</v>
      </c>
      <c r="E589" s="3" t="s">
        <v>1646</v>
      </c>
      <c r="F589" s="2" t="s">
        <v>820</v>
      </c>
      <c r="G589" s="6" t="s">
        <v>156</v>
      </c>
      <c r="H589" s="2" t="s">
        <v>194</v>
      </c>
      <c r="I589" s="2" t="s">
        <v>195</v>
      </c>
      <c r="J589" s="2" t="s">
        <v>19</v>
      </c>
      <c r="K589" s="2" t="s">
        <v>1647</v>
      </c>
      <c r="L589" s="7" t="str">
        <f>HYPERLINK("http://slimages.macys.com/is/image/MCY/12405276 ")</f>
        <v xml:space="preserve">http://slimages.macys.com/is/image/MCY/12405276 </v>
      </c>
    </row>
    <row r="590" spans="1:12" ht="24.75" x14ac:dyDescent="0.25">
      <c r="A590" s="4" t="s">
        <v>1656</v>
      </c>
      <c r="B590" s="2" t="s">
        <v>1645</v>
      </c>
      <c r="C590" s="3">
        <v>1</v>
      </c>
      <c r="D590" s="5">
        <v>19.989999999999998</v>
      </c>
      <c r="E590" s="3" t="s">
        <v>1646</v>
      </c>
      <c r="F590" s="2" t="s">
        <v>74</v>
      </c>
      <c r="G590" s="6" t="s">
        <v>156</v>
      </c>
      <c r="H590" s="2" t="s">
        <v>194</v>
      </c>
      <c r="I590" s="2" t="s">
        <v>195</v>
      </c>
      <c r="J590" s="2" t="s">
        <v>19</v>
      </c>
      <c r="K590" s="2" t="s">
        <v>1647</v>
      </c>
      <c r="L590" s="7" t="str">
        <f>HYPERLINK("http://slimages.macys.com/is/image/MCY/12405276 ")</f>
        <v xml:space="preserve">http://slimages.macys.com/is/image/MCY/12405276 </v>
      </c>
    </row>
    <row r="591" spans="1:12" ht="24.75" x14ac:dyDescent="0.25">
      <c r="A591" s="4" t="s">
        <v>2881</v>
      </c>
      <c r="B591" s="2" t="s">
        <v>1645</v>
      </c>
      <c r="C591" s="3">
        <v>1</v>
      </c>
      <c r="D591" s="5">
        <v>19.989999999999998</v>
      </c>
      <c r="E591" s="3" t="s">
        <v>1646</v>
      </c>
      <c r="F591" s="2" t="s">
        <v>74</v>
      </c>
      <c r="G591" s="6" t="s">
        <v>181</v>
      </c>
      <c r="H591" s="2" t="s">
        <v>194</v>
      </c>
      <c r="I591" s="2" t="s">
        <v>195</v>
      </c>
      <c r="J591" s="2" t="s">
        <v>19</v>
      </c>
      <c r="K591" s="2" t="s">
        <v>1647</v>
      </c>
      <c r="L591" s="7" t="str">
        <f>HYPERLINK("http://slimages.macys.com/is/image/MCY/12405276 ")</f>
        <v xml:space="preserve">http://slimages.macys.com/is/image/MCY/12405276 </v>
      </c>
    </row>
    <row r="592" spans="1:12" ht="24.75" x14ac:dyDescent="0.25">
      <c r="A592" s="4" t="s">
        <v>8765</v>
      </c>
      <c r="B592" s="2" t="s">
        <v>1645</v>
      </c>
      <c r="C592" s="3">
        <v>1</v>
      </c>
      <c r="D592" s="5">
        <v>19.989999999999998</v>
      </c>
      <c r="E592" s="3" t="s">
        <v>4012</v>
      </c>
      <c r="F592" s="2" t="s">
        <v>33</v>
      </c>
      <c r="G592" s="6"/>
      <c r="H592" s="2" t="s">
        <v>312</v>
      </c>
      <c r="I592" s="2" t="s">
        <v>195</v>
      </c>
      <c r="J592" s="2" t="s">
        <v>19</v>
      </c>
      <c r="K592" s="2" t="s">
        <v>247</v>
      </c>
      <c r="L592" s="7" t="str">
        <f>HYPERLINK("http://slimages.macys.com/is/image/MCY/9577022 ")</f>
        <v xml:space="preserve">http://slimages.macys.com/is/image/MCY/9577022 </v>
      </c>
    </row>
    <row r="593" spans="1:12" ht="24.75" x14ac:dyDescent="0.25">
      <c r="A593" s="4" t="s">
        <v>4016</v>
      </c>
      <c r="B593" s="2" t="s">
        <v>1699</v>
      </c>
      <c r="C593" s="3">
        <v>1</v>
      </c>
      <c r="D593" s="5">
        <v>19.989999999999998</v>
      </c>
      <c r="E593" s="3" t="s">
        <v>1700</v>
      </c>
      <c r="F593" s="2" t="s">
        <v>26</v>
      </c>
      <c r="G593" s="6" t="s">
        <v>154</v>
      </c>
      <c r="H593" s="2" t="s">
        <v>1473</v>
      </c>
      <c r="I593" s="2" t="s">
        <v>1426</v>
      </c>
      <c r="J593" s="2" t="s">
        <v>19</v>
      </c>
      <c r="K593" s="2" t="s">
        <v>990</v>
      </c>
      <c r="L593" s="7" t="str">
        <f>HYPERLINK("http://slimages.macys.com/is/image/MCY/11831242 ")</f>
        <v xml:space="preserve">http://slimages.macys.com/is/image/MCY/11831242 </v>
      </c>
    </row>
    <row r="594" spans="1:12" ht="24.75" x14ac:dyDescent="0.25">
      <c r="A594" s="4" t="s">
        <v>5084</v>
      </c>
      <c r="B594" s="2" t="s">
        <v>1699</v>
      </c>
      <c r="C594" s="3">
        <v>3</v>
      </c>
      <c r="D594" s="5">
        <v>19.989999999999998</v>
      </c>
      <c r="E594" s="3" t="s">
        <v>1700</v>
      </c>
      <c r="F594" s="2" t="s">
        <v>74</v>
      </c>
      <c r="G594" s="6" t="s">
        <v>234</v>
      </c>
      <c r="H594" s="2" t="s">
        <v>1473</v>
      </c>
      <c r="I594" s="2" t="s">
        <v>1426</v>
      </c>
      <c r="J594" s="2" t="s">
        <v>19</v>
      </c>
      <c r="K594" s="2" t="s">
        <v>990</v>
      </c>
      <c r="L594" s="7" t="str">
        <f>HYPERLINK("http://slimages.macys.com/is/image/MCY/11831242 ")</f>
        <v xml:space="preserve">http://slimages.macys.com/is/image/MCY/11831242 </v>
      </c>
    </row>
    <row r="595" spans="1:12" ht="24.75" x14ac:dyDescent="0.25">
      <c r="A595" s="4" t="s">
        <v>7577</v>
      </c>
      <c r="B595" s="2" t="s">
        <v>1705</v>
      </c>
      <c r="C595" s="3">
        <v>2</v>
      </c>
      <c r="D595" s="5">
        <v>24.99</v>
      </c>
      <c r="E595" s="3" t="s">
        <v>1706</v>
      </c>
      <c r="F595" s="2" t="s">
        <v>15</v>
      </c>
      <c r="G595" s="6"/>
      <c r="H595" s="2" t="s">
        <v>1425</v>
      </c>
      <c r="I595" s="2" t="s">
        <v>1469</v>
      </c>
      <c r="J595" s="2" t="s">
        <v>19</v>
      </c>
      <c r="K595" s="2" t="s">
        <v>990</v>
      </c>
      <c r="L595" s="7" t="str">
        <f>HYPERLINK("http://slimages.macys.com/is/image/MCY/9127920 ")</f>
        <v xml:space="preserve">http://slimages.macys.com/is/image/MCY/9127920 </v>
      </c>
    </row>
    <row r="596" spans="1:12" ht="24.75" x14ac:dyDescent="0.25">
      <c r="A596" s="4" t="s">
        <v>1707</v>
      </c>
      <c r="B596" s="2" t="s">
        <v>1705</v>
      </c>
      <c r="C596" s="3">
        <v>1</v>
      </c>
      <c r="D596" s="5">
        <v>24.99</v>
      </c>
      <c r="E596" s="3" t="s">
        <v>1706</v>
      </c>
      <c r="F596" s="2" t="s">
        <v>413</v>
      </c>
      <c r="G596" s="6"/>
      <c r="H596" s="2" t="s">
        <v>1425</v>
      </c>
      <c r="I596" s="2" t="s">
        <v>1469</v>
      </c>
      <c r="J596" s="2" t="s">
        <v>19</v>
      </c>
      <c r="K596" s="2" t="s">
        <v>990</v>
      </c>
      <c r="L596" s="7" t="str">
        <f>HYPERLINK("http://slimages.macys.com/is/image/MCY/9127920 ")</f>
        <v xml:space="preserve">http://slimages.macys.com/is/image/MCY/9127920 </v>
      </c>
    </row>
    <row r="597" spans="1:12" ht="24.75" x14ac:dyDescent="0.25">
      <c r="A597" s="4" t="s">
        <v>6762</v>
      </c>
      <c r="B597" s="2" t="s">
        <v>1705</v>
      </c>
      <c r="C597" s="3">
        <v>1</v>
      </c>
      <c r="D597" s="5">
        <v>24.99</v>
      </c>
      <c r="E597" s="3" t="s">
        <v>1706</v>
      </c>
      <c r="F597" s="2" t="s">
        <v>74</v>
      </c>
      <c r="G597" s="6" t="s">
        <v>187</v>
      </c>
      <c r="H597" s="2" t="s">
        <v>1425</v>
      </c>
      <c r="I597" s="2" t="s">
        <v>1469</v>
      </c>
      <c r="J597" s="2" t="s">
        <v>19</v>
      </c>
      <c r="K597" s="2" t="s">
        <v>990</v>
      </c>
      <c r="L597" s="7" t="str">
        <f>HYPERLINK("http://slimages.macys.com/is/image/MCY/9127920 ")</f>
        <v xml:space="preserve">http://slimages.macys.com/is/image/MCY/9127920 </v>
      </c>
    </row>
    <row r="598" spans="1:12" ht="24.75" x14ac:dyDescent="0.25">
      <c r="A598" s="4" t="s">
        <v>8766</v>
      </c>
      <c r="B598" s="2" t="s">
        <v>8767</v>
      </c>
      <c r="C598" s="3">
        <v>1</v>
      </c>
      <c r="D598" s="5">
        <v>24.99</v>
      </c>
      <c r="E598" s="3" t="s">
        <v>8768</v>
      </c>
      <c r="F598" s="2" t="s">
        <v>1296</v>
      </c>
      <c r="G598" s="6" t="s">
        <v>200</v>
      </c>
      <c r="H598" s="2" t="s">
        <v>1473</v>
      </c>
      <c r="I598" s="2" t="s">
        <v>8769</v>
      </c>
      <c r="J598" s="2" t="s">
        <v>19</v>
      </c>
      <c r="K598" s="2" t="s">
        <v>442</v>
      </c>
      <c r="L598" s="7" t="str">
        <f>HYPERLINK("http://slimages.macys.com/is/image/MCY/12549945 ")</f>
        <v xml:space="preserve">http://slimages.macys.com/is/image/MCY/12549945 </v>
      </c>
    </row>
    <row r="599" spans="1:12" ht="36.75" x14ac:dyDescent="0.25">
      <c r="A599" s="4" t="s">
        <v>2910</v>
      </c>
      <c r="B599" s="2" t="s">
        <v>2911</v>
      </c>
      <c r="C599" s="3">
        <v>1</v>
      </c>
      <c r="D599" s="5">
        <v>25.88</v>
      </c>
      <c r="E599" s="3">
        <v>100015718</v>
      </c>
      <c r="F599" s="2" t="s">
        <v>48</v>
      </c>
      <c r="G599" s="6" t="s">
        <v>154</v>
      </c>
      <c r="H599" s="2" t="s">
        <v>194</v>
      </c>
      <c r="I599" s="2" t="s">
        <v>195</v>
      </c>
      <c r="J599" s="2" t="s">
        <v>19</v>
      </c>
      <c r="K599" s="2" t="s">
        <v>1696</v>
      </c>
      <c r="L599" s="7" t="str">
        <f>HYPERLINK("http://slimages.macys.com/is/image/MCY/9504848 ")</f>
        <v xml:space="preserve">http://slimages.macys.com/is/image/MCY/9504848 </v>
      </c>
    </row>
    <row r="600" spans="1:12" ht="24.75" x14ac:dyDescent="0.25">
      <c r="A600" s="4" t="s">
        <v>8770</v>
      </c>
      <c r="B600" s="2" t="s">
        <v>1715</v>
      </c>
      <c r="C600" s="3">
        <v>1</v>
      </c>
      <c r="D600" s="5">
        <v>19.989999999999998</v>
      </c>
      <c r="E600" s="3" t="s">
        <v>1716</v>
      </c>
      <c r="F600" s="2" t="s">
        <v>74</v>
      </c>
      <c r="G600" s="6"/>
      <c r="H600" s="2" t="s">
        <v>188</v>
      </c>
      <c r="I600" s="2" t="s">
        <v>189</v>
      </c>
      <c r="J600" s="2" t="s">
        <v>19</v>
      </c>
      <c r="K600" s="2" t="s">
        <v>648</v>
      </c>
      <c r="L600" s="7" t="str">
        <f>HYPERLINK("http://slimages.macys.com/is/image/MCY/11621935 ")</f>
        <v xml:space="preserve">http://slimages.macys.com/is/image/MCY/11621935 </v>
      </c>
    </row>
    <row r="601" spans="1:12" ht="24.75" x14ac:dyDescent="0.25">
      <c r="A601" s="4" t="s">
        <v>8771</v>
      </c>
      <c r="B601" s="2" t="s">
        <v>8772</v>
      </c>
      <c r="C601" s="3">
        <v>1</v>
      </c>
      <c r="D601" s="5">
        <v>19.98</v>
      </c>
      <c r="E601" s="3" t="s">
        <v>8773</v>
      </c>
      <c r="F601" s="2" t="s">
        <v>53</v>
      </c>
      <c r="G601" s="6" t="s">
        <v>154</v>
      </c>
      <c r="H601" s="2" t="s">
        <v>246</v>
      </c>
      <c r="I601" s="2" t="s">
        <v>189</v>
      </c>
      <c r="J601" s="2" t="s">
        <v>19</v>
      </c>
      <c r="K601" s="2" t="s">
        <v>107</v>
      </c>
      <c r="L601" s="7" t="str">
        <f>HYPERLINK("http://slimages.macys.com/is/image/MCY/10337587 ")</f>
        <v xml:space="preserve">http://slimages.macys.com/is/image/MCY/10337587 </v>
      </c>
    </row>
    <row r="602" spans="1:12" ht="24.75" x14ac:dyDescent="0.25">
      <c r="A602" s="4" t="s">
        <v>8774</v>
      </c>
      <c r="B602" s="2" t="s">
        <v>1724</v>
      </c>
      <c r="C602" s="3">
        <v>1</v>
      </c>
      <c r="D602" s="5">
        <v>34.880000000000003</v>
      </c>
      <c r="E602" s="3">
        <v>100018041</v>
      </c>
      <c r="F602" s="2" t="s">
        <v>680</v>
      </c>
      <c r="G602" s="6" t="s">
        <v>58</v>
      </c>
      <c r="H602" s="2" t="s">
        <v>194</v>
      </c>
      <c r="I602" s="2" t="s">
        <v>195</v>
      </c>
      <c r="J602" s="2" t="s">
        <v>19</v>
      </c>
      <c r="K602" s="2" t="s">
        <v>353</v>
      </c>
      <c r="L602" s="7" t="str">
        <f>HYPERLINK("http://slimages.macys.com/is/image/MCY/12950342 ")</f>
        <v xml:space="preserve">http://slimages.macys.com/is/image/MCY/12950342 </v>
      </c>
    </row>
    <row r="603" spans="1:12" ht="24.75" x14ac:dyDescent="0.25">
      <c r="A603" s="4" t="s">
        <v>2915</v>
      </c>
      <c r="B603" s="2" t="s">
        <v>1724</v>
      </c>
      <c r="C603" s="3">
        <v>1</v>
      </c>
      <c r="D603" s="5">
        <v>34.880000000000003</v>
      </c>
      <c r="E603" s="3">
        <v>100018041</v>
      </c>
      <c r="F603" s="2" t="s">
        <v>566</v>
      </c>
      <c r="G603" s="6" t="s">
        <v>22</v>
      </c>
      <c r="H603" s="2" t="s">
        <v>194</v>
      </c>
      <c r="I603" s="2" t="s">
        <v>195</v>
      </c>
      <c r="J603" s="2" t="s">
        <v>19</v>
      </c>
      <c r="K603" s="2" t="s">
        <v>353</v>
      </c>
      <c r="L603" s="7" t="str">
        <f>HYPERLINK("http://slimages.macys.com/is/image/MCY/12950342 ")</f>
        <v xml:space="preserve">http://slimages.macys.com/is/image/MCY/12950342 </v>
      </c>
    </row>
    <row r="604" spans="1:12" ht="24.75" x14ac:dyDescent="0.25">
      <c r="A604" s="4" t="s">
        <v>8775</v>
      </c>
      <c r="B604" s="2" t="s">
        <v>1724</v>
      </c>
      <c r="C604" s="3">
        <v>1</v>
      </c>
      <c r="D604" s="5">
        <v>34.880000000000003</v>
      </c>
      <c r="E604" s="3">
        <v>100018041</v>
      </c>
      <c r="F604" s="2" t="s">
        <v>566</v>
      </c>
      <c r="G604" s="6" t="s">
        <v>58</v>
      </c>
      <c r="H604" s="2" t="s">
        <v>194</v>
      </c>
      <c r="I604" s="2" t="s">
        <v>195</v>
      </c>
      <c r="J604" s="2" t="s">
        <v>19</v>
      </c>
      <c r="K604" s="2" t="s">
        <v>353</v>
      </c>
      <c r="L604" s="7" t="str">
        <f>HYPERLINK("http://slimages.macys.com/is/image/MCY/12950342 ")</f>
        <v xml:space="preserve">http://slimages.macys.com/is/image/MCY/12950342 </v>
      </c>
    </row>
    <row r="605" spans="1:12" ht="24.75" x14ac:dyDescent="0.25">
      <c r="A605" s="4" t="s">
        <v>8776</v>
      </c>
      <c r="B605" s="2" t="s">
        <v>1729</v>
      </c>
      <c r="C605" s="3">
        <v>1</v>
      </c>
      <c r="D605" s="5">
        <v>37.130000000000003</v>
      </c>
      <c r="E605" s="3" t="s">
        <v>1730</v>
      </c>
      <c r="F605" s="2" t="s">
        <v>331</v>
      </c>
      <c r="G605" s="6" t="s">
        <v>200</v>
      </c>
      <c r="H605" s="2" t="s">
        <v>246</v>
      </c>
      <c r="I605" s="2" t="s">
        <v>189</v>
      </c>
      <c r="J605" s="2" t="s">
        <v>19</v>
      </c>
      <c r="K605" s="2" t="s">
        <v>990</v>
      </c>
      <c r="L605" s="7" t="str">
        <f>HYPERLINK("http://slimages.macys.com/is/image/MCY/11996044 ")</f>
        <v xml:space="preserve">http://slimages.macys.com/is/image/MCY/11996044 </v>
      </c>
    </row>
    <row r="606" spans="1:12" ht="24.75" x14ac:dyDescent="0.25">
      <c r="A606" s="4" t="s">
        <v>4045</v>
      </c>
      <c r="B606" s="2" t="s">
        <v>4046</v>
      </c>
      <c r="C606" s="3">
        <v>1</v>
      </c>
      <c r="D606" s="5">
        <v>19.989999999999998</v>
      </c>
      <c r="E606" s="3" t="s">
        <v>4047</v>
      </c>
      <c r="F606" s="2" t="s">
        <v>15</v>
      </c>
      <c r="G606" s="6" t="s">
        <v>154</v>
      </c>
      <c r="H606" s="2" t="s">
        <v>1473</v>
      </c>
      <c r="I606" s="2" t="s">
        <v>1426</v>
      </c>
      <c r="J606" s="2" t="s">
        <v>19</v>
      </c>
      <c r="K606" s="2" t="s">
        <v>495</v>
      </c>
      <c r="L606" s="7" t="str">
        <f>HYPERLINK("http://slimages.macys.com/is/image/MCY/12773814 ")</f>
        <v xml:space="preserve">http://slimages.macys.com/is/image/MCY/12773814 </v>
      </c>
    </row>
    <row r="607" spans="1:12" ht="24.75" x14ac:dyDescent="0.25">
      <c r="A607" s="4" t="s">
        <v>8777</v>
      </c>
      <c r="B607" s="2" t="s">
        <v>1724</v>
      </c>
      <c r="C607" s="3">
        <v>1</v>
      </c>
      <c r="D607" s="5">
        <v>34.880000000000003</v>
      </c>
      <c r="E607" s="3" t="s">
        <v>2925</v>
      </c>
      <c r="F607" s="2" t="s">
        <v>26</v>
      </c>
      <c r="G607" s="6" t="s">
        <v>126</v>
      </c>
      <c r="H607" s="2" t="s">
        <v>312</v>
      </c>
      <c r="I607" s="2" t="s">
        <v>195</v>
      </c>
      <c r="J607" s="2" t="s">
        <v>19</v>
      </c>
      <c r="K607" s="2" t="s">
        <v>353</v>
      </c>
      <c r="L607" s="7" t="str">
        <f>HYPERLINK("http://slimages.macys.com/is/image/MCY/9714189 ")</f>
        <v xml:space="preserve">http://slimages.macys.com/is/image/MCY/9714189 </v>
      </c>
    </row>
    <row r="608" spans="1:12" ht="24.75" x14ac:dyDescent="0.25">
      <c r="A608" s="4" t="s">
        <v>4055</v>
      </c>
      <c r="B608" s="2" t="s">
        <v>2936</v>
      </c>
      <c r="C608" s="3">
        <v>3</v>
      </c>
      <c r="D608" s="5">
        <v>20.99</v>
      </c>
      <c r="E608" s="3" t="s">
        <v>2937</v>
      </c>
      <c r="F608" s="2" t="s">
        <v>64</v>
      </c>
      <c r="G608" s="6" t="s">
        <v>234</v>
      </c>
      <c r="H608" s="2" t="s">
        <v>1473</v>
      </c>
      <c r="I608" s="2" t="s">
        <v>1864</v>
      </c>
      <c r="J608" s="2" t="s">
        <v>19</v>
      </c>
      <c r="K608" s="2" t="s">
        <v>107</v>
      </c>
      <c r="L608" s="7" t="str">
        <f>HYPERLINK("http://slimages.macys.com/is/image/MCY/12266786 ")</f>
        <v xml:space="preserve">http://slimages.macys.com/is/image/MCY/12266786 </v>
      </c>
    </row>
    <row r="609" spans="1:12" ht="24.75" x14ac:dyDescent="0.25">
      <c r="A609" s="4" t="s">
        <v>4052</v>
      </c>
      <c r="B609" s="2" t="s">
        <v>2936</v>
      </c>
      <c r="C609" s="3">
        <v>1</v>
      </c>
      <c r="D609" s="5">
        <v>20.99</v>
      </c>
      <c r="E609" s="3" t="s">
        <v>2937</v>
      </c>
      <c r="F609" s="2" t="s">
        <v>64</v>
      </c>
      <c r="G609" s="6" t="s">
        <v>156</v>
      </c>
      <c r="H609" s="2" t="s">
        <v>1473</v>
      </c>
      <c r="I609" s="2" t="s">
        <v>1864</v>
      </c>
      <c r="J609" s="2" t="s">
        <v>19</v>
      </c>
      <c r="K609" s="2" t="s">
        <v>107</v>
      </c>
      <c r="L609" s="7" t="str">
        <f>HYPERLINK("http://slimages.macys.com/is/image/MCY/12266786 ")</f>
        <v xml:space="preserve">http://slimages.macys.com/is/image/MCY/12266786 </v>
      </c>
    </row>
    <row r="610" spans="1:12" ht="24.75" x14ac:dyDescent="0.25">
      <c r="A610" s="4" t="s">
        <v>4054</v>
      </c>
      <c r="B610" s="2" t="s">
        <v>2936</v>
      </c>
      <c r="C610" s="3">
        <v>2</v>
      </c>
      <c r="D610" s="5">
        <v>20.99</v>
      </c>
      <c r="E610" s="3" t="s">
        <v>2937</v>
      </c>
      <c r="F610" s="2" t="s">
        <v>64</v>
      </c>
      <c r="G610" s="6" t="s">
        <v>154</v>
      </c>
      <c r="H610" s="2" t="s">
        <v>1473</v>
      </c>
      <c r="I610" s="2" t="s">
        <v>1864</v>
      </c>
      <c r="J610" s="2" t="s">
        <v>19</v>
      </c>
      <c r="K610" s="2" t="s">
        <v>107</v>
      </c>
      <c r="L610" s="7" t="str">
        <f>HYPERLINK("http://slimages.macys.com/is/image/MCY/12266786 ")</f>
        <v xml:space="preserve">http://slimages.macys.com/is/image/MCY/12266786 </v>
      </c>
    </row>
    <row r="611" spans="1:12" ht="24.75" x14ac:dyDescent="0.25">
      <c r="A611" s="4" t="s">
        <v>2935</v>
      </c>
      <c r="B611" s="2" t="s">
        <v>2936</v>
      </c>
      <c r="C611" s="3">
        <v>3</v>
      </c>
      <c r="D611" s="5">
        <v>20.99</v>
      </c>
      <c r="E611" s="3" t="s">
        <v>2937</v>
      </c>
      <c r="F611" s="2" t="s">
        <v>64</v>
      </c>
      <c r="G611" s="6" t="s">
        <v>181</v>
      </c>
      <c r="H611" s="2" t="s">
        <v>1473</v>
      </c>
      <c r="I611" s="2" t="s">
        <v>1864</v>
      </c>
      <c r="J611" s="2" t="s">
        <v>19</v>
      </c>
      <c r="K611" s="2" t="s">
        <v>107</v>
      </c>
      <c r="L611" s="7" t="str">
        <f>HYPERLINK("http://slimages.macys.com/is/image/MCY/12266786 ")</f>
        <v xml:space="preserve">http://slimages.macys.com/is/image/MCY/12266786 </v>
      </c>
    </row>
    <row r="612" spans="1:12" ht="24.75" x14ac:dyDescent="0.25">
      <c r="A612" s="4" t="s">
        <v>1744</v>
      </c>
      <c r="B612" s="2" t="s">
        <v>1627</v>
      </c>
      <c r="C612" s="3">
        <v>1</v>
      </c>
      <c r="D612" s="5">
        <v>25.88</v>
      </c>
      <c r="E612" s="3" t="s">
        <v>1745</v>
      </c>
      <c r="F612" s="2" t="s">
        <v>506</v>
      </c>
      <c r="G612" s="6"/>
      <c r="H612" s="2" t="s">
        <v>312</v>
      </c>
      <c r="I612" s="2" t="s">
        <v>195</v>
      </c>
      <c r="J612" s="2" t="s">
        <v>19</v>
      </c>
      <c r="K612" s="2" t="s">
        <v>1629</v>
      </c>
      <c r="L612" s="7" t="str">
        <f>HYPERLINK("http://slimages.macys.com/is/image/MCY/3314148 ")</f>
        <v xml:space="preserve">http://slimages.macys.com/is/image/MCY/3314148 </v>
      </c>
    </row>
    <row r="613" spans="1:12" ht="24.75" x14ac:dyDescent="0.25">
      <c r="A613" s="4" t="s">
        <v>2945</v>
      </c>
      <c r="B613" s="2" t="s">
        <v>1747</v>
      </c>
      <c r="C613" s="3">
        <v>1</v>
      </c>
      <c r="D613" s="5">
        <v>17.989999999999998</v>
      </c>
      <c r="E613" s="3" t="s">
        <v>1748</v>
      </c>
      <c r="F613" s="2" t="s">
        <v>70</v>
      </c>
      <c r="G613" s="6" t="s">
        <v>22</v>
      </c>
      <c r="H613" s="2" t="s">
        <v>1473</v>
      </c>
      <c r="I613" s="2" t="s">
        <v>1426</v>
      </c>
      <c r="J613" s="2" t="s">
        <v>19</v>
      </c>
      <c r="K613" s="2" t="s">
        <v>353</v>
      </c>
      <c r="L613" s="7" t="str">
        <f>HYPERLINK("http://slimages.macys.com/is/image/MCY/12776597 ")</f>
        <v xml:space="preserve">http://slimages.macys.com/is/image/MCY/12776597 </v>
      </c>
    </row>
    <row r="614" spans="1:12" ht="24.75" x14ac:dyDescent="0.25">
      <c r="A614" s="4" t="s">
        <v>8778</v>
      </c>
      <c r="B614" s="2" t="s">
        <v>5107</v>
      </c>
      <c r="C614" s="3">
        <v>1</v>
      </c>
      <c r="D614" s="5">
        <v>19.989999999999998</v>
      </c>
      <c r="E614" s="3" t="s">
        <v>8779</v>
      </c>
      <c r="F614" s="2" t="s">
        <v>74</v>
      </c>
      <c r="G614" s="6" t="s">
        <v>219</v>
      </c>
      <c r="H614" s="2" t="s">
        <v>1425</v>
      </c>
      <c r="I614" s="2" t="s">
        <v>1426</v>
      </c>
      <c r="J614" s="2" t="s">
        <v>19</v>
      </c>
      <c r="K614" s="2" t="s">
        <v>648</v>
      </c>
      <c r="L614" s="7" t="str">
        <f>HYPERLINK("http://slimages.macys.com/is/image/MCY/9837462 ")</f>
        <v xml:space="preserve">http://slimages.macys.com/is/image/MCY/9837462 </v>
      </c>
    </row>
    <row r="615" spans="1:12" ht="24.75" x14ac:dyDescent="0.25">
      <c r="A615" s="4" t="s">
        <v>2954</v>
      </c>
      <c r="B615" s="2" t="s">
        <v>1747</v>
      </c>
      <c r="C615" s="3">
        <v>1</v>
      </c>
      <c r="D615" s="5">
        <v>17.989999999999998</v>
      </c>
      <c r="E615" s="3" t="s">
        <v>1748</v>
      </c>
      <c r="F615" s="2" t="s">
        <v>70</v>
      </c>
      <c r="G615" s="6" t="s">
        <v>141</v>
      </c>
      <c r="H615" s="2" t="s">
        <v>1473</v>
      </c>
      <c r="I615" s="2" t="s">
        <v>1426</v>
      </c>
      <c r="J615" s="2" t="s">
        <v>19</v>
      </c>
      <c r="K615" s="2" t="s">
        <v>353</v>
      </c>
      <c r="L615" s="7" t="str">
        <f>HYPERLINK("http://slimages.macys.com/is/image/MCY/12776597 ")</f>
        <v xml:space="preserve">http://slimages.macys.com/is/image/MCY/12776597 </v>
      </c>
    </row>
    <row r="616" spans="1:12" ht="24.75" x14ac:dyDescent="0.25">
      <c r="A616" s="4" t="s">
        <v>2946</v>
      </c>
      <c r="B616" s="2" t="s">
        <v>1747</v>
      </c>
      <c r="C616" s="3">
        <v>1</v>
      </c>
      <c r="D616" s="5">
        <v>17.989999999999998</v>
      </c>
      <c r="E616" s="3" t="s">
        <v>1748</v>
      </c>
      <c r="F616" s="2" t="s">
        <v>998</v>
      </c>
      <c r="G616" s="6" t="s">
        <v>22</v>
      </c>
      <c r="H616" s="2" t="s">
        <v>1473</v>
      </c>
      <c r="I616" s="2" t="s">
        <v>1426</v>
      </c>
      <c r="J616" s="2" t="s">
        <v>19</v>
      </c>
      <c r="K616" s="2" t="s">
        <v>353</v>
      </c>
      <c r="L616" s="7" t="str">
        <f>HYPERLINK("http://slimages.macys.com/is/image/MCY/12776597 ")</f>
        <v xml:space="preserve">http://slimages.macys.com/is/image/MCY/12776597 </v>
      </c>
    </row>
    <row r="617" spans="1:12" ht="24.75" x14ac:dyDescent="0.25">
      <c r="A617" s="4" t="s">
        <v>8780</v>
      </c>
      <c r="B617" s="2" t="s">
        <v>2949</v>
      </c>
      <c r="C617" s="3">
        <v>1</v>
      </c>
      <c r="D617" s="5">
        <v>21.99</v>
      </c>
      <c r="E617" s="3" t="s">
        <v>2950</v>
      </c>
      <c r="F617" s="2" t="s">
        <v>15</v>
      </c>
      <c r="G617" s="6" t="s">
        <v>181</v>
      </c>
      <c r="H617" s="2" t="s">
        <v>1473</v>
      </c>
      <c r="I617" s="2" t="s">
        <v>1426</v>
      </c>
      <c r="J617" s="2" t="s">
        <v>19</v>
      </c>
      <c r="K617" s="2" t="s">
        <v>495</v>
      </c>
      <c r="L617" s="7" t="str">
        <f>HYPERLINK("http://slimages.macys.com/is/image/MCY/13511310 ")</f>
        <v xml:space="preserve">http://slimages.macys.com/is/image/MCY/13511310 </v>
      </c>
    </row>
    <row r="618" spans="1:12" ht="24.75" x14ac:dyDescent="0.25">
      <c r="A618" s="4" t="s">
        <v>5124</v>
      </c>
      <c r="B618" s="2" t="s">
        <v>1808</v>
      </c>
      <c r="C618" s="3">
        <v>1</v>
      </c>
      <c r="D618" s="5">
        <v>22.13</v>
      </c>
      <c r="E618" s="3" t="s">
        <v>5125</v>
      </c>
      <c r="F618" s="2" t="s">
        <v>53</v>
      </c>
      <c r="G618" s="6" t="s">
        <v>181</v>
      </c>
      <c r="H618" s="2" t="s">
        <v>194</v>
      </c>
      <c r="I618" s="2" t="s">
        <v>580</v>
      </c>
      <c r="J618" s="2" t="s">
        <v>19</v>
      </c>
      <c r="K618" s="2" t="s">
        <v>1758</v>
      </c>
      <c r="L618" s="7" t="str">
        <f>HYPERLINK("http://slimages.macys.com/is/image/MCY/12734376 ")</f>
        <v xml:space="preserve">http://slimages.macys.com/is/image/MCY/12734376 </v>
      </c>
    </row>
    <row r="619" spans="1:12" ht="24.75" x14ac:dyDescent="0.25">
      <c r="A619" s="4" t="s">
        <v>8781</v>
      </c>
      <c r="B619" s="2" t="s">
        <v>1776</v>
      </c>
      <c r="C619" s="3">
        <v>1</v>
      </c>
      <c r="D619" s="5">
        <v>22.13</v>
      </c>
      <c r="E619" s="3" t="s">
        <v>1777</v>
      </c>
      <c r="F619" s="2" t="s">
        <v>132</v>
      </c>
      <c r="G619" s="6" t="s">
        <v>200</v>
      </c>
      <c r="H619" s="2" t="s">
        <v>194</v>
      </c>
      <c r="I619" s="2" t="s">
        <v>1766</v>
      </c>
      <c r="J619" s="2" t="s">
        <v>19</v>
      </c>
      <c r="K619" s="2" t="s">
        <v>1082</v>
      </c>
      <c r="L619" s="7" t="str">
        <f>HYPERLINK("http://slimages.macys.com/is/image/MCY/12143920 ")</f>
        <v xml:space="preserve">http://slimages.macys.com/is/image/MCY/12143920 </v>
      </c>
    </row>
    <row r="620" spans="1:12" ht="24.75" x14ac:dyDescent="0.25">
      <c r="A620" s="4" t="s">
        <v>8782</v>
      </c>
      <c r="B620" s="2" t="s">
        <v>1761</v>
      </c>
      <c r="C620" s="3">
        <v>1</v>
      </c>
      <c r="D620" s="5">
        <v>22.13</v>
      </c>
      <c r="E620" s="3" t="s">
        <v>1762</v>
      </c>
      <c r="F620" s="2" t="s">
        <v>15</v>
      </c>
      <c r="G620" s="6" t="s">
        <v>154</v>
      </c>
      <c r="H620" s="2" t="s">
        <v>194</v>
      </c>
      <c r="I620" s="2" t="s">
        <v>580</v>
      </c>
      <c r="J620" s="2" t="s">
        <v>19</v>
      </c>
      <c r="K620" s="2" t="s">
        <v>1082</v>
      </c>
      <c r="L620" s="7" t="str">
        <f>HYPERLINK("http://slimages.macys.com/is/image/MCY/12794096 ")</f>
        <v xml:space="preserve">http://slimages.macys.com/is/image/MCY/12794096 </v>
      </c>
    </row>
    <row r="621" spans="1:12" ht="24.75" x14ac:dyDescent="0.25">
      <c r="A621" s="4" t="s">
        <v>8783</v>
      </c>
      <c r="B621" s="2" t="s">
        <v>4076</v>
      </c>
      <c r="C621" s="3">
        <v>1</v>
      </c>
      <c r="D621" s="5">
        <v>22.13</v>
      </c>
      <c r="E621" s="3" t="s">
        <v>4077</v>
      </c>
      <c r="F621" s="2" t="s">
        <v>887</v>
      </c>
      <c r="G621" s="6" t="s">
        <v>154</v>
      </c>
      <c r="H621" s="2" t="s">
        <v>194</v>
      </c>
      <c r="I621" s="2" t="s">
        <v>1766</v>
      </c>
      <c r="J621" s="2" t="s">
        <v>19</v>
      </c>
      <c r="K621" s="2" t="s">
        <v>1082</v>
      </c>
      <c r="L621" s="7" t="str">
        <f>HYPERLINK("http://slimages.macys.com/is/image/MCY/12950309 ")</f>
        <v xml:space="preserve">http://slimages.macys.com/is/image/MCY/12950309 </v>
      </c>
    </row>
    <row r="622" spans="1:12" ht="24.75" x14ac:dyDescent="0.25">
      <c r="A622" s="4" t="s">
        <v>2966</v>
      </c>
      <c r="B622" s="2" t="s">
        <v>2967</v>
      </c>
      <c r="C622" s="3">
        <v>1</v>
      </c>
      <c r="D622" s="5">
        <v>22.13</v>
      </c>
      <c r="E622" s="3" t="s">
        <v>2968</v>
      </c>
      <c r="F622" s="2" t="s">
        <v>48</v>
      </c>
      <c r="G622" s="6" t="s">
        <v>154</v>
      </c>
      <c r="H622" s="2" t="s">
        <v>194</v>
      </c>
      <c r="I622" s="2" t="s">
        <v>580</v>
      </c>
      <c r="J622" s="2" t="s">
        <v>19</v>
      </c>
      <c r="K622" s="2" t="s">
        <v>1758</v>
      </c>
      <c r="L622" s="7" t="str">
        <f>HYPERLINK("http://slimages.macys.com/is/image/MCY/11937981 ")</f>
        <v xml:space="preserve">http://slimages.macys.com/is/image/MCY/11937981 </v>
      </c>
    </row>
    <row r="623" spans="1:12" ht="24.75" x14ac:dyDescent="0.25">
      <c r="A623" s="4" t="s">
        <v>6788</v>
      </c>
      <c r="B623" s="2" t="s">
        <v>1808</v>
      </c>
      <c r="C623" s="3">
        <v>1</v>
      </c>
      <c r="D623" s="5">
        <v>22.13</v>
      </c>
      <c r="E623" s="3" t="s">
        <v>5125</v>
      </c>
      <c r="F623" s="2" t="s">
        <v>53</v>
      </c>
      <c r="G623" s="6" t="s">
        <v>156</v>
      </c>
      <c r="H623" s="2" t="s">
        <v>194</v>
      </c>
      <c r="I623" s="2" t="s">
        <v>580</v>
      </c>
      <c r="J623" s="2" t="s">
        <v>19</v>
      </c>
      <c r="K623" s="2" t="s">
        <v>1758</v>
      </c>
      <c r="L623" s="7" t="str">
        <f>HYPERLINK("http://slimages.macys.com/is/image/MCY/12734376 ")</f>
        <v xml:space="preserve">http://slimages.macys.com/is/image/MCY/12734376 </v>
      </c>
    </row>
    <row r="624" spans="1:12" ht="24.75" x14ac:dyDescent="0.25">
      <c r="A624" s="4" t="s">
        <v>7601</v>
      </c>
      <c r="B624" s="2" t="s">
        <v>1776</v>
      </c>
      <c r="C624" s="3">
        <v>1</v>
      </c>
      <c r="D624" s="5">
        <v>22.13</v>
      </c>
      <c r="E624" s="3" t="s">
        <v>1777</v>
      </c>
      <c r="F624" s="2" t="s">
        <v>132</v>
      </c>
      <c r="G624" s="6" t="s">
        <v>154</v>
      </c>
      <c r="H624" s="2" t="s">
        <v>194</v>
      </c>
      <c r="I624" s="2" t="s">
        <v>1766</v>
      </c>
      <c r="J624" s="2" t="s">
        <v>19</v>
      </c>
      <c r="K624" s="2" t="s">
        <v>1082</v>
      </c>
      <c r="L624" s="7" t="str">
        <f>HYPERLINK("http://slimages.macys.com/is/image/MCY/12143920 ")</f>
        <v xml:space="preserve">http://slimages.macys.com/is/image/MCY/12143920 </v>
      </c>
    </row>
    <row r="625" spans="1:12" ht="24.75" x14ac:dyDescent="0.25">
      <c r="A625" s="4" t="s">
        <v>8784</v>
      </c>
      <c r="B625" s="2" t="s">
        <v>6077</v>
      </c>
      <c r="C625" s="3">
        <v>1</v>
      </c>
      <c r="D625" s="5">
        <v>19.989999999999998</v>
      </c>
      <c r="E625" s="3" t="s">
        <v>6078</v>
      </c>
      <c r="F625" s="2" t="s">
        <v>74</v>
      </c>
      <c r="G625" s="6" t="s">
        <v>245</v>
      </c>
      <c r="H625" s="2" t="s">
        <v>1473</v>
      </c>
      <c r="I625" s="2" t="s">
        <v>1426</v>
      </c>
      <c r="J625" s="2" t="s">
        <v>19</v>
      </c>
      <c r="K625" s="2" t="s">
        <v>990</v>
      </c>
      <c r="L625" s="7" t="str">
        <f>HYPERLINK("http://slimages.macys.com/is/image/MCY/11831356 ")</f>
        <v xml:space="preserve">http://slimages.macys.com/is/image/MCY/11831356 </v>
      </c>
    </row>
    <row r="626" spans="1:12" ht="24.75" x14ac:dyDescent="0.25">
      <c r="A626" s="4" t="s">
        <v>2981</v>
      </c>
      <c r="B626" s="2" t="s">
        <v>1724</v>
      </c>
      <c r="C626" s="3">
        <v>1</v>
      </c>
      <c r="D626" s="5">
        <v>34.880000000000003</v>
      </c>
      <c r="E626" s="3">
        <v>100018041</v>
      </c>
      <c r="F626" s="2" t="s">
        <v>26</v>
      </c>
      <c r="G626" s="6" t="s">
        <v>27</v>
      </c>
      <c r="H626" s="2" t="s">
        <v>194</v>
      </c>
      <c r="I626" s="2" t="s">
        <v>195</v>
      </c>
      <c r="J626" s="2" t="s">
        <v>19</v>
      </c>
      <c r="K626" s="2" t="s">
        <v>353</v>
      </c>
      <c r="L626" s="7" t="str">
        <f>HYPERLINK("http://slimages.macys.com/is/image/MCY/12950342 ")</f>
        <v xml:space="preserve">http://slimages.macys.com/is/image/MCY/12950342 </v>
      </c>
    </row>
    <row r="627" spans="1:12" ht="24.75" x14ac:dyDescent="0.25">
      <c r="A627" s="4" t="s">
        <v>8785</v>
      </c>
      <c r="B627" s="2" t="s">
        <v>2988</v>
      </c>
      <c r="C627" s="3">
        <v>3</v>
      </c>
      <c r="D627" s="5">
        <v>20.99</v>
      </c>
      <c r="E627" s="3" t="s">
        <v>2989</v>
      </c>
      <c r="F627" s="2" t="s">
        <v>64</v>
      </c>
      <c r="G627" s="6" t="s">
        <v>181</v>
      </c>
      <c r="H627" s="2" t="s">
        <v>1473</v>
      </c>
      <c r="I627" s="2" t="s">
        <v>1864</v>
      </c>
      <c r="J627" s="2" t="s">
        <v>19</v>
      </c>
      <c r="K627" s="2" t="s">
        <v>990</v>
      </c>
      <c r="L627" s="7" t="str">
        <f>HYPERLINK("http://slimages.macys.com/is/image/MCY/10787778 ")</f>
        <v xml:space="preserve">http://slimages.macys.com/is/image/MCY/10787778 </v>
      </c>
    </row>
    <row r="628" spans="1:12" ht="24.75" x14ac:dyDescent="0.25">
      <c r="A628" s="4" t="s">
        <v>8786</v>
      </c>
      <c r="B628" s="2" t="s">
        <v>2988</v>
      </c>
      <c r="C628" s="3">
        <v>4</v>
      </c>
      <c r="D628" s="5">
        <v>20.99</v>
      </c>
      <c r="E628" s="3" t="s">
        <v>2989</v>
      </c>
      <c r="F628" s="2" t="s">
        <v>64</v>
      </c>
      <c r="G628" s="6" t="s">
        <v>234</v>
      </c>
      <c r="H628" s="2" t="s">
        <v>1473</v>
      </c>
      <c r="I628" s="2" t="s">
        <v>1864</v>
      </c>
      <c r="J628" s="2" t="s">
        <v>19</v>
      </c>
      <c r="K628" s="2" t="s">
        <v>990</v>
      </c>
      <c r="L628" s="7" t="str">
        <f>HYPERLINK("http://slimages.macys.com/is/image/MCY/10787778 ")</f>
        <v xml:space="preserve">http://slimages.macys.com/is/image/MCY/10787778 </v>
      </c>
    </row>
    <row r="629" spans="1:12" ht="24.75" x14ac:dyDescent="0.25">
      <c r="A629" s="4" t="s">
        <v>2990</v>
      </c>
      <c r="B629" s="2" t="s">
        <v>2988</v>
      </c>
      <c r="C629" s="3">
        <v>2</v>
      </c>
      <c r="D629" s="5">
        <v>20.99</v>
      </c>
      <c r="E629" s="3" t="s">
        <v>2989</v>
      </c>
      <c r="F629" s="2" t="s">
        <v>64</v>
      </c>
      <c r="G629" s="6" t="s">
        <v>154</v>
      </c>
      <c r="H629" s="2" t="s">
        <v>1473</v>
      </c>
      <c r="I629" s="2" t="s">
        <v>1864</v>
      </c>
      <c r="J629" s="2" t="s">
        <v>19</v>
      </c>
      <c r="K629" s="2" t="s">
        <v>990</v>
      </c>
      <c r="L629" s="7" t="str">
        <f>HYPERLINK("http://slimages.macys.com/is/image/MCY/10787778 ")</f>
        <v xml:space="preserve">http://slimages.macys.com/is/image/MCY/10787778 </v>
      </c>
    </row>
    <row r="630" spans="1:12" ht="24.75" x14ac:dyDescent="0.25">
      <c r="A630" s="4" t="s">
        <v>1800</v>
      </c>
      <c r="B630" s="2" t="s">
        <v>1801</v>
      </c>
      <c r="C630" s="3">
        <v>1</v>
      </c>
      <c r="D630" s="5">
        <v>21.5</v>
      </c>
      <c r="E630" s="3" t="s">
        <v>1802</v>
      </c>
      <c r="F630" s="2" t="s">
        <v>566</v>
      </c>
      <c r="G630" s="6"/>
      <c r="H630" s="2" t="s">
        <v>312</v>
      </c>
      <c r="I630" s="2" t="s">
        <v>580</v>
      </c>
      <c r="J630" s="2" t="s">
        <v>19</v>
      </c>
      <c r="K630" s="2" t="s">
        <v>1758</v>
      </c>
      <c r="L630" s="7" t="str">
        <f>HYPERLINK("http://slimages.macys.com/is/image/MCY/11515389 ")</f>
        <v xml:space="preserve">http://slimages.macys.com/is/image/MCY/11515389 </v>
      </c>
    </row>
    <row r="631" spans="1:12" ht="24.75" x14ac:dyDescent="0.25">
      <c r="A631" s="4" t="s">
        <v>6792</v>
      </c>
      <c r="B631" s="2" t="s">
        <v>1808</v>
      </c>
      <c r="C631" s="3">
        <v>1</v>
      </c>
      <c r="D631" s="5">
        <v>22.13</v>
      </c>
      <c r="E631" s="3" t="s">
        <v>1809</v>
      </c>
      <c r="F631" s="2" t="s">
        <v>572</v>
      </c>
      <c r="G631" s="6"/>
      <c r="H631" s="2" t="s">
        <v>312</v>
      </c>
      <c r="I631" s="2" t="s">
        <v>580</v>
      </c>
      <c r="J631" s="2" t="s">
        <v>19</v>
      </c>
      <c r="K631" s="2" t="s">
        <v>1082</v>
      </c>
      <c r="L631" s="7" t="str">
        <f>HYPERLINK("http://slimages.macys.com/is/image/MCY/12950293 ")</f>
        <v xml:space="preserve">http://slimages.macys.com/is/image/MCY/12950293 </v>
      </c>
    </row>
    <row r="632" spans="1:12" ht="24.75" x14ac:dyDescent="0.25">
      <c r="A632" s="4" t="s">
        <v>2987</v>
      </c>
      <c r="B632" s="2" t="s">
        <v>2988</v>
      </c>
      <c r="C632" s="3">
        <v>1</v>
      </c>
      <c r="D632" s="5">
        <v>20.99</v>
      </c>
      <c r="E632" s="3" t="s">
        <v>2989</v>
      </c>
      <c r="F632" s="2" t="s">
        <v>64</v>
      </c>
      <c r="G632" s="6" t="s">
        <v>156</v>
      </c>
      <c r="H632" s="2" t="s">
        <v>1473</v>
      </c>
      <c r="I632" s="2" t="s">
        <v>1864</v>
      </c>
      <c r="J632" s="2" t="s">
        <v>19</v>
      </c>
      <c r="K632" s="2" t="s">
        <v>990</v>
      </c>
      <c r="L632" s="7" t="str">
        <f>HYPERLINK("http://slimages.macys.com/is/image/MCY/10787778 ")</f>
        <v xml:space="preserve">http://slimages.macys.com/is/image/MCY/10787778 </v>
      </c>
    </row>
    <row r="633" spans="1:12" ht="24.75" x14ac:dyDescent="0.25">
      <c r="A633" s="4" t="s">
        <v>8787</v>
      </c>
      <c r="B633" s="2" t="s">
        <v>2983</v>
      </c>
      <c r="C633" s="3">
        <v>1</v>
      </c>
      <c r="D633" s="5">
        <v>20.99</v>
      </c>
      <c r="E633" s="3" t="s">
        <v>2984</v>
      </c>
      <c r="F633" s="2" t="s">
        <v>64</v>
      </c>
      <c r="G633" s="6" t="s">
        <v>187</v>
      </c>
      <c r="H633" s="2" t="s">
        <v>1425</v>
      </c>
      <c r="I633" s="2" t="s">
        <v>1864</v>
      </c>
      <c r="J633" s="2" t="s">
        <v>19</v>
      </c>
      <c r="K633" s="2" t="s">
        <v>107</v>
      </c>
      <c r="L633" s="7" t="str">
        <f>HYPERLINK("http://slimages.macys.com/is/image/MCY/10787778 ")</f>
        <v xml:space="preserve">http://slimages.macys.com/is/image/MCY/10787778 </v>
      </c>
    </row>
    <row r="634" spans="1:12" ht="24.75" x14ac:dyDescent="0.25">
      <c r="A634" s="4" t="s">
        <v>2982</v>
      </c>
      <c r="B634" s="2" t="s">
        <v>2983</v>
      </c>
      <c r="C634" s="3">
        <v>1</v>
      </c>
      <c r="D634" s="5">
        <v>20.99</v>
      </c>
      <c r="E634" s="3" t="s">
        <v>2984</v>
      </c>
      <c r="F634" s="2" t="s">
        <v>64</v>
      </c>
      <c r="G634" s="6"/>
      <c r="H634" s="2" t="s">
        <v>1425</v>
      </c>
      <c r="I634" s="2" t="s">
        <v>1864</v>
      </c>
      <c r="J634" s="2" t="s">
        <v>19</v>
      </c>
      <c r="K634" s="2" t="s">
        <v>107</v>
      </c>
      <c r="L634" s="7" t="str">
        <f>HYPERLINK("http://slimages.macys.com/is/image/MCY/10787778 ")</f>
        <v xml:space="preserve">http://slimages.macys.com/is/image/MCY/10787778 </v>
      </c>
    </row>
    <row r="635" spans="1:12" ht="24.75" x14ac:dyDescent="0.25">
      <c r="A635" s="4" t="s">
        <v>8788</v>
      </c>
      <c r="B635" s="2" t="s">
        <v>8789</v>
      </c>
      <c r="C635" s="3">
        <v>5</v>
      </c>
      <c r="D635" s="5">
        <v>19.98</v>
      </c>
      <c r="E635" s="3" t="s">
        <v>8790</v>
      </c>
      <c r="F635" s="2" t="s">
        <v>53</v>
      </c>
      <c r="G635" s="6" t="s">
        <v>154</v>
      </c>
      <c r="H635" s="2" t="s">
        <v>246</v>
      </c>
      <c r="I635" s="2" t="s">
        <v>189</v>
      </c>
      <c r="J635" s="2" t="s">
        <v>19</v>
      </c>
      <c r="K635" s="2" t="s">
        <v>648</v>
      </c>
      <c r="L635" s="7" t="str">
        <f>HYPERLINK("http://slimages.macys.com/is/image/MCY/9454315 ")</f>
        <v xml:space="preserve">http://slimages.macys.com/is/image/MCY/9454315 </v>
      </c>
    </row>
    <row r="636" spans="1:12" ht="24.75" x14ac:dyDescent="0.25">
      <c r="A636" s="4" t="s">
        <v>8791</v>
      </c>
      <c r="B636" s="2" t="s">
        <v>8792</v>
      </c>
      <c r="C636" s="3">
        <v>1</v>
      </c>
      <c r="D636" s="5">
        <v>19.98</v>
      </c>
      <c r="E636" s="3" t="s">
        <v>8793</v>
      </c>
      <c r="F636" s="2" t="s">
        <v>562</v>
      </c>
      <c r="G636" s="6" t="s">
        <v>154</v>
      </c>
      <c r="H636" s="2" t="s">
        <v>246</v>
      </c>
      <c r="I636" s="2" t="s">
        <v>189</v>
      </c>
      <c r="J636" s="2" t="s">
        <v>19</v>
      </c>
      <c r="K636" s="2" t="s">
        <v>648</v>
      </c>
      <c r="L636" s="7" t="str">
        <f>HYPERLINK("http://slimages.macys.com/is/image/MCY/10336215 ")</f>
        <v xml:space="preserve">http://slimages.macys.com/is/image/MCY/10336215 </v>
      </c>
    </row>
    <row r="637" spans="1:12" ht="24.75" x14ac:dyDescent="0.25">
      <c r="A637" s="4" t="s">
        <v>8794</v>
      </c>
      <c r="B637" s="2" t="s">
        <v>8795</v>
      </c>
      <c r="C637" s="3">
        <v>1</v>
      </c>
      <c r="D637" s="5">
        <v>17.989999999999998</v>
      </c>
      <c r="E637" s="3" t="s">
        <v>8796</v>
      </c>
      <c r="F637" s="2" t="s">
        <v>417</v>
      </c>
      <c r="G637" s="6"/>
      <c r="H637" s="2" t="s">
        <v>1425</v>
      </c>
      <c r="I637" s="2" t="s">
        <v>1426</v>
      </c>
      <c r="J637" s="2" t="s">
        <v>19</v>
      </c>
      <c r="K637" s="2" t="s">
        <v>495</v>
      </c>
      <c r="L637" s="7" t="str">
        <f>HYPERLINK("http://slimages.macys.com/is/image/MCY/11989658 ")</f>
        <v xml:space="preserve">http://slimages.macys.com/is/image/MCY/11989658 </v>
      </c>
    </row>
    <row r="638" spans="1:12" ht="24.75" x14ac:dyDescent="0.25">
      <c r="A638" s="4" t="s">
        <v>8797</v>
      </c>
      <c r="B638" s="2" t="s">
        <v>8795</v>
      </c>
      <c r="C638" s="3">
        <v>1</v>
      </c>
      <c r="D638" s="5">
        <v>17.989999999999998</v>
      </c>
      <c r="E638" s="3" t="s">
        <v>8798</v>
      </c>
      <c r="F638" s="2" t="s">
        <v>417</v>
      </c>
      <c r="G638" s="6" t="s">
        <v>200</v>
      </c>
      <c r="H638" s="2" t="s">
        <v>1473</v>
      </c>
      <c r="I638" s="2" t="s">
        <v>1426</v>
      </c>
      <c r="J638" s="2" t="s">
        <v>19</v>
      </c>
      <c r="K638" s="2" t="s">
        <v>495</v>
      </c>
      <c r="L638" s="7" t="str">
        <f>HYPERLINK("http://slimages.macys.com/is/image/MCY/11989658 ")</f>
        <v xml:space="preserve">http://slimages.macys.com/is/image/MCY/11989658 </v>
      </c>
    </row>
    <row r="639" spans="1:12" ht="24.75" x14ac:dyDescent="0.25">
      <c r="A639" s="4" t="s">
        <v>8799</v>
      </c>
      <c r="B639" s="2" t="s">
        <v>8795</v>
      </c>
      <c r="C639" s="3">
        <v>1</v>
      </c>
      <c r="D639" s="5">
        <v>17.989999999999998</v>
      </c>
      <c r="E639" s="3" t="s">
        <v>8798</v>
      </c>
      <c r="F639" s="2" t="s">
        <v>417</v>
      </c>
      <c r="G639" s="6" t="s">
        <v>234</v>
      </c>
      <c r="H639" s="2" t="s">
        <v>1473</v>
      </c>
      <c r="I639" s="2" t="s">
        <v>1426</v>
      </c>
      <c r="J639" s="2" t="s">
        <v>19</v>
      </c>
      <c r="K639" s="2" t="s">
        <v>495</v>
      </c>
      <c r="L639" s="7" t="str">
        <f>HYPERLINK("http://slimages.macys.com/is/image/MCY/11989658 ")</f>
        <v xml:space="preserve">http://slimages.macys.com/is/image/MCY/11989658 </v>
      </c>
    </row>
    <row r="640" spans="1:12" ht="24.75" x14ac:dyDescent="0.25">
      <c r="A640" s="4" t="s">
        <v>8800</v>
      </c>
      <c r="B640" s="2" t="s">
        <v>5138</v>
      </c>
      <c r="C640" s="3">
        <v>1</v>
      </c>
      <c r="D640" s="5">
        <v>19.989999999999998</v>
      </c>
      <c r="E640" s="3" t="s">
        <v>5139</v>
      </c>
      <c r="F640" s="2" t="s">
        <v>15</v>
      </c>
      <c r="G640" s="6" t="s">
        <v>154</v>
      </c>
      <c r="H640" s="2" t="s">
        <v>1473</v>
      </c>
      <c r="I640" s="2" t="s">
        <v>1426</v>
      </c>
      <c r="J640" s="2" t="s">
        <v>19</v>
      </c>
      <c r="K640" s="2" t="s">
        <v>648</v>
      </c>
      <c r="L640" s="7" t="str">
        <f>HYPERLINK("http://slimages.macys.com/is/image/MCY/12774735 ")</f>
        <v xml:space="preserve">http://slimages.macys.com/is/image/MCY/12774735 </v>
      </c>
    </row>
    <row r="641" spans="1:12" ht="24.75" x14ac:dyDescent="0.25">
      <c r="A641" s="4" t="s">
        <v>3002</v>
      </c>
      <c r="B641" s="2" t="s">
        <v>1817</v>
      </c>
      <c r="C641" s="3">
        <v>1</v>
      </c>
      <c r="D641" s="5">
        <v>17.989999999999998</v>
      </c>
      <c r="E641" s="3" t="s">
        <v>1818</v>
      </c>
      <c r="F641" s="2" t="s">
        <v>998</v>
      </c>
      <c r="G641" s="6" t="s">
        <v>16</v>
      </c>
      <c r="H641" s="2" t="s">
        <v>1473</v>
      </c>
      <c r="I641" s="2" t="s">
        <v>1426</v>
      </c>
      <c r="J641" s="2" t="s">
        <v>19</v>
      </c>
      <c r="K641" s="2" t="s">
        <v>353</v>
      </c>
      <c r="L641" s="7" t="str">
        <f>HYPERLINK("http://slimages.macys.com/is/image/MCY/12070597 ")</f>
        <v xml:space="preserve">http://slimages.macys.com/is/image/MCY/12070597 </v>
      </c>
    </row>
    <row r="642" spans="1:12" ht="24.75" x14ac:dyDescent="0.25">
      <c r="A642" s="4" t="s">
        <v>8801</v>
      </c>
      <c r="B642" s="2" t="s">
        <v>8802</v>
      </c>
      <c r="C642" s="3">
        <v>1</v>
      </c>
      <c r="D642" s="5">
        <v>17.989999999999998</v>
      </c>
      <c r="E642" s="3" t="s">
        <v>8803</v>
      </c>
      <c r="F642" s="2" t="s">
        <v>15</v>
      </c>
      <c r="G642" s="6" t="s">
        <v>156</v>
      </c>
      <c r="H642" s="2" t="s">
        <v>1473</v>
      </c>
      <c r="I642" s="2" t="s">
        <v>1426</v>
      </c>
      <c r="J642" s="2" t="s">
        <v>19</v>
      </c>
      <c r="K642" s="2" t="s">
        <v>803</v>
      </c>
      <c r="L642" s="7" t="str">
        <f>HYPERLINK("http://slimages.macys.com/is/image/MCY/12144758 ")</f>
        <v xml:space="preserve">http://slimages.macys.com/is/image/MCY/12144758 </v>
      </c>
    </row>
    <row r="643" spans="1:12" ht="24.75" x14ac:dyDescent="0.25">
      <c r="A643" s="4" t="s">
        <v>8804</v>
      </c>
      <c r="B643" s="2" t="s">
        <v>4106</v>
      </c>
      <c r="C643" s="3">
        <v>1</v>
      </c>
      <c r="D643" s="5">
        <v>21.99</v>
      </c>
      <c r="E643" s="3" t="s">
        <v>4107</v>
      </c>
      <c r="F643" s="2" t="s">
        <v>15</v>
      </c>
      <c r="G643" s="6" t="s">
        <v>154</v>
      </c>
      <c r="H643" s="2" t="s">
        <v>284</v>
      </c>
      <c r="I643" s="2" t="s">
        <v>285</v>
      </c>
      <c r="J643" s="2" t="s">
        <v>19</v>
      </c>
      <c r="K643" s="2" t="s">
        <v>247</v>
      </c>
      <c r="L643" s="7" t="str">
        <f>HYPERLINK("http://slimages.macys.com/is/image/MCY/12876530 ")</f>
        <v xml:space="preserve">http://slimages.macys.com/is/image/MCY/12876530 </v>
      </c>
    </row>
    <row r="644" spans="1:12" ht="24.75" x14ac:dyDescent="0.25">
      <c r="A644" s="4" t="s">
        <v>8805</v>
      </c>
      <c r="B644" s="2" t="s">
        <v>4106</v>
      </c>
      <c r="C644" s="3">
        <v>1</v>
      </c>
      <c r="D644" s="5">
        <v>21.99</v>
      </c>
      <c r="E644" s="3" t="s">
        <v>4107</v>
      </c>
      <c r="F644" s="2" t="s">
        <v>15</v>
      </c>
      <c r="G644" s="6" t="s">
        <v>234</v>
      </c>
      <c r="H644" s="2" t="s">
        <v>284</v>
      </c>
      <c r="I644" s="2" t="s">
        <v>285</v>
      </c>
      <c r="J644" s="2" t="s">
        <v>19</v>
      </c>
      <c r="K644" s="2" t="s">
        <v>247</v>
      </c>
      <c r="L644" s="7" t="str">
        <f>HYPERLINK("http://slimages.macys.com/is/image/MCY/12876530 ")</f>
        <v xml:space="preserve">http://slimages.macys.com/is/image/MCY/12876530 </v>
      </c>
    </row>
    <row r="645" spans="1:12" ht="24.75" x14ac:dyDescent="0.25">
      <c r="A645" s="4" t="s">
        <v>8806</v>
      </c>
      <c r="B645" s="2" t="s">
        <v>5144</v>
      </c>
      <c r="C645" s="3">
        <v>1</v>
      </c>
      <c r="D645" s="5">
        <v>19.989999999999998</v>
      </c>
      <c r="E645" s="3" t="s">
        <v>5145</v>
      </c>
      <c r="F645" s="2" t="s">
        <v>74</v>
      </c>
      <c r="G645" s="6" t="s">
        <v>219</v>
      </c>
      <c r="H645" s="2" t="s">
        <v>1425</v>
      </c>
      <c r="I645" s="2" t="s">
        <v>1426</v>
      </c>
      <c r="J645" s="2" t="s">
        <v>19</v>
      </c>
      <c r="K645" s="2" t="s">
        <v>1108</v>
      </c>
      <c r="L645" s="7" t="str">
        <f>HYPERLINK("http://slimages.macys.com/is/image/MCY/10782750 ")</f>
        <v xml:space="preserve">http://slimages.macys.com/is/image/MCY/10782750 </v>
      </c>
    </row>
    <row r="646" spans="1:12" ht="24.75" x14ac:dyDescent="0.25">
      <c r="A646" s="4" t="s">
        <v>3011</v>
      </c>
      <c r="B646" s="2" t="s">
        <v>3012</v>
      </c>
      <c r="C646" s="3">
        <v>1</v>
      </c>
      <c r="D646" s="5">
        <v>22.13</v>
      </c>
      <c r="E646" s="3" t="s">
        <v>3013</v>
      </c>
      <c r="F646" s="2" t="s">
        <v>752</v>
      </c>
      <c r="G646" s="6" t="s">
        <v>234</v>
      </c>
      <c r="H646" s="2" t="s">
        <v>194</v>
      </c>
      <c r="I646" s="2" t="s">
        <v>195</v>
      </c>
      <c r="J646" s="2" t="s">
        <v>19</v>
      </c>
      <c r="K646" s="2" t="s">
        <v>1082</v>
      </c>
      <c r="L646" s="7" t="str">
        <f>HYPERLINK("http://slimages.macys.com/is/image/MCY/12724768 ")</f>
        <v xml:space="preserve">http://slimages.macys.com/is/image/MCY/12724768 </v>
      </c>
    </row>
    <row r="647" spans="1:12" ht="24.75" x14ac:dyDescent="0.25">
      <c r="A647" s="4" t="s">
        <v>8807</v>
      </c>
      <c r="B647" s="2" t="s">
        <v>8808</v>
      </c>
      <c r="C647" s="3">
        <v>1</v>
      </c>
      <c r="D647" s="5">
        <v>19.989999999999998</v>
      </c>
      <c r="E647" s="3" t="s">
        <v>8809</v>
      </c>
      <c r="F647" s="2" t="s">
        <v>26</v>
      </c>
      <c r="G647" s="6" t="s">
        <v>187</v>
      </c>
      <c r="H647" s="2" t="s">
        <v>188</v>
      </c>
      <c r="I647" s="2" t="s">
        <v>189</v>
      </c>
      <c r="J647" s="2" t="s">
        <v>19</v>
      </c>
      <c r="K647" s="2" t="s">
        <v>648</v>
      </c>
      <c r="L647" s="7" t="str">
        <f>HYPERLINK("http://slimages.macys.com/is/image/MCY/11621950 ")</f>
        <v xml:space="preserve">http://slimages.macys.com/is/image/MCY/11621950 </v>
      </c>
    </row>
    <row r="648" spans="1:12" ht="24.75" x14ac:dyDescent="0.25">
      <c r="A648" s="4" t="s">
        <v>8810</v>
      </c>
      <c r="B648" s="2" t="s">
        <v>4128</v>
      </c>
      <c r="C648" s="3">
        <v>1</v>
      </c>
      <c r="D648" s="5">
        <v>19.989999999999998</v>
      </c>
      <c r="E648" s="3" t="s">
        <v>4129</v>
      </c>
      <c r="F648" s="2" t="s">
        <v>70</v>
      </c>
      <c r="G648" s="6" t="s">
        <v>187</v>
      </c>
      <c r="H648" s="2" t="s">
        <v>1425</v>
      </c>
      <c r="I648" s="2" t="s">
        <v>1426</v>
      </c>
      <c r="J648" s="2" t="s">
        <v>19</v>
      </c>
      <c r="K648" s="2" t="s">
        <v>1108</v>
      </c>
      <c r="L648" s="7" t="str">
        <f>HYPERLINK("http://slimages.macys.com/is/image/MCY/11831170 ")</f>
        <v xml:space="preserve">http://slimages.macys.com/is/image/MCY/11831170 </v>
      </c>
    </row>
    <row r="649" spans="1:12" ht="24.75" x14ac:dyDescent="0.25">
      <c r="A649" s="4" t="s">
        <v>8811</v>
      </c>
      <c r="B649" s="2" t="s">
        <v>8812</v>
      </c>
      <c r="C649" s="3">
        <v>2</v>
      </c>
      <c r="D649" s="5">
        <v>19.989999999999998</v>
      </c>
      <c r="E649" s="3" t="s">
        <v>8813</v>
      </c>
      <c r="F649" s="2" t="s">
        <v>33</v>
      </c>
      <c r="G649" s="6" t="s">
        <v>234</v>
      </c>
      <c r="H649" s="2" t="s">
        <v>1473</v>
      </c>
      <c r="I649" s="2" t="s">
        <v>1426</v>
      </c>
      <c r="J649" s="2" t="s">
        <v>19</v>
      </c>
      <c r="K649" s="2" t="s">
        <v>1108</v>
      </c>
      <c r="L649" s="7" t="str">
        <f>HYPERLINK("http://slimages.macys.com/is/image/MCY/11832079 ")</f>
        <v xml:space="preserve">http://slimages.macys.com/is/image/MCY/11832079 </v>
      </c>
    </row>
    <row r="650" spans="1:12" ht="24.75" x14ac:dyDescent="0.25">
      <c r="A650" s="4" t="s">
        <v>8814</v>
      </c>
      <c r="B650" s="2" t="s">
        <v>4128</v>
      </c>
      <c r="C650" s="3">
        <v>1</v>
      </c>
      <c r="D650" s="5">
        <v>19.989999999999998</v>
      </c>
      <c r="E650" s="3" t="s">
        <v>5153</v>
      </c>
      <c r="F650" s="2" t="s">
        <v>820</v>
      </c>
      <c r="G650" s="6" t="s">
        <v>154</v>
      </c>
      <c r="H650" s="2" t="s">
        <v>1473</v>
      </c>
      <c r="I650" s="2" t="s">
        <v>1426</v>
      </c>
      <c r="J650" s="2" t="s">
        <v>19</v>
      </c>
      <c r="K650" s="2" t="s">
        <v>1108</v>
      </c>
      <c r="L650" s="7" t="str">
        <f>HYPERLINK("http://slimages.macys.com/is/image/MCY/11831179 ")</f>
        <v xml:space="preserve">http://slimages.macys.com/is/image/MCY/11831179 </v>
      </c>
    </row>
    <row r="651" spans="1:12" ht="24.75" x14ac:dyDescent="0.25">
      <c r="A651" s="4" t="s">
        <v>8815</v>
      </c>
      <c r="B651" s="2" t="s">
        <v>8808</v>
      </c>
      <c r="C651" s="3">
        <v>1</v>
      </c>
      <c r="D651" s="5">
        <v>19.989999999999998</v>
      </c>
      <c r="E651" s="3" t="s">
        <v>8809</v>
      </c>
      <c r="F651" s="2" t="s">
        <v>26</v>
      </c>
      <c r="G651" s="6" t="s">
        <v>219</v>
      </c>
      <c r="H651" s="2" t="s">
        <v>188</v>
      </c>
      <c r="I651" s="2" t="s">
        <v>189</v>
      </c>
      <c r="J651" s="2" t="s">
        <v>19</v>
      </c>
      <c r="K651" s="2" t="s">
        <v>648</v>
      </c>
      <c r="L651" s="7" t="str">
        <f>HYPERLINK("http://slimages.macys.com/is/image/MCY/11621950 ")</f>
        <v xml:space="preserve">http://slimages.macys.com/is/image/MCY/11621950 </v>
      </c>
    </row>
    <row r="652" spans="1:12" ht="24.75" x14ac:dyDescent="0.25">
      <c r="A652" s="4" t="s">
        <v>8816</v>
      </c>
      <c r="B652" s="2" t="s">
        <v>8817</v>
      </c>
      <c r="C652" s="3">
        <v>1</v>
      </c>
      <c r="D652" s="5">
        <v>19.989999999999998</v>
      </c>
      <c r="E652" s="3" t="s">
        <v>8818</v>
      </c>
      <c r="F652" s="2" t="s">
        <v>70</v>
      </c>
      <c r="G652" s="6" t="s">
        <v>234</v>
      </c>
      <c r="H652" s="2" t="s">
        <v>1473</v>
      </c>
      <c r="I652" s="2" t="s">
        <v>1426</v>
      </c>
      <c r="J652" s="2" t="s">
        <v>19</v>
      </c>
      <c r="K652" s="2" t="s">
        <v>495</v>
      </c>
      <c r="L652" s="7" t="str">
        <f>HYPERLINK("http://slimages.macys.com/is/image/MCY/11634175 ")</f>
        <v xml:space="preserve">http://slimages.macys.com/is/image/MCY/11634175 </v>
      </c>
    </row>
    <row r="653" spans="1:12" ht="24.75" x14ac:dyDescent="0.25">
      <c r="A653" s="4" t="s">
        <v>3031</v>
      </c>
      <c r="B653" s="2" t="s">
        <v>1829</v>
      </c>
      <c r="C653" s="3">
        <v>1</v>
      </c>
      <c r="D653" s="5">
        <v>14.99</v>
      </c>
      <c r="E653" s="3" t="s">
        <v>3032</v>
      </c>
      <c r="F653" s="2" t="s">
        <v>1788</v>
      </c>
      <c r="G653" s="6" t="s">
        <v>156</v>
      </c>
      <c r="H653" s="2" t="s">
        <v>194</v>
      </c>
      <c r="I653" s="2" t="s">
        <v>307</v>
      </c>
      <c r="J653" s="2" t="s">
        <v>19</v>
      </c>
      <c r="K653" s="2" t="s">
        <v>34</v>
      </c>
      <c r="L653" s="7" t="str">
        <f>HYPERLINK("http://slimages.macys.com/is/image/MCY/11936089 ")</f>
        <v xml:space="preserve">http://slimages.macys.com/is/image/MCY/11936089 </v>
      </c>
    </row>
    <row r="654" spans="1:12" ht="24.75" x14ac:dyDescent="0.25">
      <c r="A654" s="4" t="s">
        <v>4132</v>
      </c>
      <c r="B654" s="2" t="s">
        <v>1829</v>
      </c>
      <c r="C654" s="3">
        <v>1</v>
      </c>
      <c r="D654" s="5">
        <v>14.99</v>
      </c>
      <c r="E654" s="3" t="s">
        <v>1836</v>
      </c>
      <c r="F654" s="2" t="s">
        <v>252</v>
      </c>
      <c r="G654" s="6" t="s">
        <v>234</v>
      </c>
      <c r="H654" s="2" t="s">
        <v>194</v>
      </c>
      <c r="I654" s="2" t="s">
        <v>307</v>
      </c>
      <c r="J654" s="2" t="s">
        <v>19</v>
      </c>
      <c r="K654" s="2" t="s">
        <v>34</v>
      </c>
      <c r="L654" s="7" t="str">
        <f>HYPERLINK("http://slimages.macys.com/is/image/MCY/11937942 ")</f>
        <v xml:space="preserve">http://slimages.macys.com/is/image/MCY/11937942 </v>
      </c>
    </row>
    <row r="655" spans="1:12" ht="24.75" x14ac:dyDescent="0.25">
      <c r="A655" s="4" t="s">
        <v>8819</v>
      </c>
      <c r="B655" s="2" t="s">
        <v>1833</v>
      </c>
      <c r="C655" s="3">
        <v>1</v>
      </c>
      <c r="D655" s="5">
        <v>14.99</v>
      </c>
      <c r="E655" s="3" t="s">
        <v>6110</v>
      </c>
      <c r="F655" s="2" t="s">
        <v>101</v>
      </c>
      <c r="G655" s="6" t="s">
        <v>245</v>
      </c>
      <c r="H655" s="2" t="s">
        <v>194</v>
      </c>
      <c r="I655" s="2" t="s">
        <v>307</v>
      </c>
      <c r="J655" s="2" t="s">
        <v>19</v>
      </c>
      <c r="K655" s="2" t="s">
        <v>34</v>
      </c>
      <c r="L655" s="7" t="str">
        <f>HYPERLINK("http://slimages.macys.com/is/image/MCY/11515395 ")</f>
        <v xml:space="preserve">http://slimages.macys.com/is/image/MCY/11515395 </v>
      </c>
    </row>
    <row r="656" spans="1:12" ht="24.75" x14ac:dyDescent="0.25">
      <c r="A656" s="4" t="s">
        <v>8820</v>
      </c>
      <c r="B656" s="2" t="s">
        <v>8821</v>
      </c>
      <c r="C656" s="3">
        <v>1</v>
      </c>
      <c r="D656" s="5">
        <v>17.989999999999998</v>
      </c>
      <c r="E656" s="3" t="s">
        <v>8822</v>
      </c>
      <c r="F656" s="2" t="s">
        <v>26</v>
      </c>
      <c r="G656" s="6"/>
      <c r="H656" s="2" t="s">
        <v>1425</v>
      </c>
      <c r="I656" s="2" t="s">
        <v>1469</v>
      </c>
      <c r="J656" s="2" t="s">
        <v>19</v>
      </c>
      <c r="K656" s="2" t="s">
        <v>353</v>
      </c>
      <c r="L656" s="7" t="str">
        <f>HYPERLINK("http://slimages.macys.com/is/image/MCY/2880260 ")</f>
        <v xml:space="preserve">http://slimages.macys.com/is/image/MCY/2880260 </v>
      </c>
    </row>
    <row r="657" spans="1:12" ht="24.75" x14ac:dyDescent="0.25">
      <c r="A657" s="4" t="s">
        <v>1869</v>
      </c>
      <c r="B657" s="2" t="s">
        <v>1862</v>
      </c>
      <c r="C657" s="3">
        <v>3</v>
      </c>
      <c r="D657" s="5">
        <v>20.99</v>
      </c>
      <c r="E657" s="3" t="s">
        <v>1868</v>
      </c>
      <c r="F657" s="2" t="s">
        <v>15</v>
      </c>
      <c r="G657" s="6" t="s">
        <v>154</v>
      </c>
      <c r="H657" s="2" t="s">
        <v>1473</v>
      </c>
      <c r="I657" s="2" t="s">
        <v>1864</v>
      </c>
      <c r="J657" s="2" t="s">
        <v>19</v>
      </c>
      <c r="K657" s="2" t="s">
        <v>648</v>
      </c>
      <c r="L657" s="7" t="str">
        <f t="shared" ref="L657:L666" si="7">HYPERLINK("http://slimages.macys.com/is/image/MCY/12267099 ")</f>
        <v xml:space="preserve">http://slimages.macys.com/is/image/MCY/12267099 </v>
      </c>
    </row>
    <row r="658" spans="1:12" ht="24.75" x14ac:dyDescent="0.25">
      <c r="A658" s="4" t="s">
        <v>1870</v>
      </c>
      <c r="B658" s="2" t="s">
        <v>1862</v>
      </c>
      <c r="C658" s="3">
        <v>1</v>
      </c>
      <c r="D658" s="5">
        <v>20.99</v>
      </c>
      <c r="E658" s="3" t="s">
        <v>1868</v>
      </c>
      <c r="F658" s="2" t="s">
        <v>15</v>
      </c>
      <c r="G658" s="6" t="s">
        <v>156</v>
      </c>
      <c r="H658" s="2" t="s">
        <v>1473</v>
      </c>
      <c r="I658" s="2" t="s">
        <v>1864</v>
      </c>
      <c r="J658" s="2" t="s">
        <v>19</v>
      </c>
      <c r="K658" s="2" t="s">
        <v>648</v>
      </c>
      <c r="L658" s="7" t="str">
        <f t="shared" si="7"/>
        <v xml:space="preserve">http://slimages.macys.com/is/image/MCY/12267099 </v>
      </c>
    </row>
    <row r="659" spans="1:12" ht="24.75" x14ac:dyDescent="0.25">
      <c r="A659" s="4" t="s">
        <v>1871</v>
      </c>
      <c r="B659" s="2" t="s">
        <v>1862</v>
      </c>
      <c r="C659" s="3">
        <v>1</v>
      </c>
      <c r="D659" s="5">
        <v>20.99</v>
      </c>
      <c r="E659" s="3" t="s">
        <v>1868</v>
      </c>
      <c r="F659" s="2" t="s">
        <v>70</v>
      </c>
      <c r="G659" s="6" t="s">
        <v>156</v>
      </c>
      <c r="H659" s="2" t="s">
        <v>1473</v>
      </c>
      <c r="I659" s="2" t="s">
        <v>1864</v>
      </c>
      <c r="J659" s="2" t="s">
        <v>19</v>
      </c>
      <c r="K659" s="2" t="s">
        <v>648</v>
      </c>
      <c r="L659" s="7" t="str">
        <f t="shared" si="7"/>
        <v xml:space="preserve">http://slimages.macys.com/is/image/MCY/12267099 </v>
      </c>
    </row>
    <row r="660" spans="1:12" ht="24.75" x14ac:dyDescent="0.25">
      <c r="A660" s="4" t="s">
        <v>3047</v>
      </c>
      <c r="B660" s="2" t="s">
        <v>1862</v>
      </c>
      <c r="C660" s="3">
        <v>3</v>
      </c>
      <c r="D660" s="5">
        <v>20.99</v>
      </c>
      <c r="E660" s="3" t="s">
        <v>1868</v>
      </c>
      <c r="F660" s="2" t="s">
        <v>15</v>
      </c>
      <c r="G660" s="6" t="s">
        <v>181</v>
      </c>
      <c r="H660" s="2" t="s">
        <v>1473</v>
      </c>
      <c r="I660" s="2" t="s">
        <v>1864</v>
      </c>
      <c r="J660" s="2" t="s">
        <v>19</v>
      </c>
      <c r="K660" s="2" t="s">
        <v>648</v>
      </c>
      <c r="L660" s="7" t="str">
        <f t="shared" si="7"/>
        <v xml:space="preserve">http://slimages.macys.com/is/image/MCY/12267099 </v>
      </c>
    </row>
    <row r="661" spans="1:12" ht="24.75" x14ac:dyDescent="0.25">
      <c r="A661" s="4" t="s">
        <v>8823</v>
      </c>
      <c r="B661" s="2" t="s">
        <v>1862</v>
      </c>
      <c r="C661" s="3">
        <v>1</v>
      </c>
      <c r="D661" s="5">
        <v>20.99</v>
      </c>
      <c r="E661" s="3" t="s">
        <v>1868</v>
      </c>
      <c r="F661" s="2" t="s">
        <v>70</v>
      </c>
      <c r="G661" s="6" t="s">
        <v>154</v>
      </c>
      <c r="H661" s="2" t="s">
        <v>1473</v>
      </c>
      <c r="I661" s="2" t="s">
        <v>1864</v>
      </c>
      <c r="J661" s="2" t="s">
        <v>19</v>
      </c>
      <c r="K661" s="2" t="s">
        <v>648</v>
      </c>
      <c r="L661" s="7" t="str">
        <f t="shared" si="7"/>
        <v xml:space="preserve">http://slimages.macys.com/is/image/MCY/12267099 </v>
      </c>
    </row>
    <row r="662" spans="1:12" ht="24.75" x14ac:dyDescent="0.25">
      <c r="A662" s="4" t="s">
        <v>3044</v>
      </c>
      <c r="B662" s="2" t="s">
        <v>1862</v>
      </c>
      <c r="C662" s="3">
        <v>2</v>
      </c>
      <c r="D662" s="5">
        <v>20.99</v>
      </c>
      <c r="E662" s="3" t="s">
        <v>1868</v>
      </c>
      <c r="F662" s="2" t="s">
        <v>15</v>
      </c>
      <c r="G662" s="6" t="s">
        <v>234</v>
      </c>
      <c r="H662" s="2" t="s">
        <v>1473</v>
      </c>
      <c r="I662" s="2" t="s">
        <v>1864</v>
      </c>
      <c r="J662" s="2" t="s">
        <v>19</v>
      </c>
      <c r="K662" s="2" t="s">
        <v>648</v>
      </c>
      <c r="L662" s="7" t="str">
        <f t="shared" si="7"/>
        <v xml:space="preserve">http://slimages.macys.com/is/image/MCY/12267099 </v>
      </c>
    </row>
    <row r="663" spans="1:12" ht="24.75" x14ac:dyDescent="0.25">
      <c r="A663" s="4" t="s">
        <v>3045</v>
      </c>
      <c r="B663" s="2" t="s">
        <v>1862</v>
      </c>
      <c r="C663" s="3">
        <v>1</v>
      </c>
      <c r="D663" s="5">
        <v>20.99</v>
      </c>
      <c r="E663" s="3" t="s">
        <v>1868</v>
      </c>
      <c r="F663" s="2" t="s">
        <v>998</v>
      </c>
      <c r="G663" s="6" t="s">
        <v>181</v>
      </c>
      <c r="H663" s="2" t="s">
        <v>1473</v>
      </c>
      <c r="I663" s="2" t="s">
        <v>1864</v>
      </c>
      <c r="J663" s="2" t="s">
        <v>19</v>
      </c>
      <c r="K663" s="2" t="s">
        <v>648</v>
      </c>
      <c r="L663" s="7" t="str">
        <f t="shared" si="7"/>
        <v xml:space="preserve">http://slimages.macys.com/is/image/MCY/12267099 </v>
      </c>
    </row>
    <row r="664" spans="1:12" ht="24.75" x14ac:dyDescent="0.25">
      <c r="A664" s="4" t="s">
        <v>6832</v>
      </c>
      <c r="B664" s="2" t="s">
        <v>1862</v>
      </c>
      <c r="C664" s="3">
        <v>1</v>
      </c>
      <c r="D664" s="5">
        <v>20.99</v>
      </c>
      <c r="E664" s="3" t="s">
        <v>1868</v>
      </c>
      <c r="F664" s="2" t="s">
        <v>998</v>
      </c>
      <c r="G664" s="6" t="s">
        <v>234</v>
      </c>
      <c r="H664" s="2" t="s">
        <v>1473</v>
      </c>
      <c r="I664" s="2" t="s">
        <v>1864</v>
      </c>
      <c r="J664" s="2" t="s">
        <v>19</v>
      </c>
      <c r="K664" s="2" t="s">
        <v>648</v>
      </c>
      <c r="L664" s="7" t="str">
        <f t="shared" si="7"/>
        <v xml:space="preserve">http://slimages.macys.com/is/image/MCY/12267099 </v>
      </c>
    </row>
    <row r="665" spans="1:12" ht="24.75" x14ac:dyDescent="0.25">
      <c r="A665" s="4" t="s">
        <v>3046</v>
      </c>
      <c r="B665" s="2" t="s">
        <v>1862</v>
      </c>
      <c r="C665" s="3">
        <v>3</v>
      </c>
      <c r="D665" s="5">
        <v>20.99</v>
      </c>
      <c r="E665" s="3" t="s">
        <v>1868</v>
      </c>
      <c r="F665" s="2" t="s">
        <v>998</v>
      </c>
      <c r="G665" s="6" t="s">
        <v>154</v>
      </c>
      <c r="H665" s="2" t="s">
        <v>1473</v>
      </c>
      <c r="I665" s="2" t="s">
        <v>1864</v>
      </c>
      <c r="J665" s="2" t="s">
        <v>19</v>
      </c>
      <c r="K665" s="2" t="s">
        <v>648</v>
      </c>
      <c r="L665" s="7" t="str">
        <f t="shared" si="7"/>
        <v xml:space="preserve">http://slimages.macys.com/is/image/MCY/12267099 </v>
      </c>
    </row>
    <row r="666" spans="1:12" ht="24.75" x14ac:dyDescent="0.25">
      <c r="A666" s="4" t="s">
        <v>3043</v>
      </c>
      <c r="B666" s="2" t="s">
        <v>1862</v>
      </c>
      <c r="C666" s="3">
        <v>2</v>
      </c>
      <c r="D666" s="5">
        <v>20.99</v>
      </c>
      <c r="E666" s="3" t="s">
        <v>1868</v>
      </c>
      <c r="F666" s="2" t="s">
        <v>70</v>
      </c>
      <c r="G666" s="6" t="s">
        <v>181</v>
      </c>
      <c r="H666" s="2" t="s">
        <v>1473</v>
      </c>
      <c r="I666" s="2" t="s">
        <v>1864</v>
      </c>
      <c r="J666" s="2" t="s">
        <v>19</v>
      </c>
      <c r="K666" s="2" t="s">
        <v>648</v>
      </c>
      <c r="L666" s="7" t="str">
        <f t="shared" si="7"/>
        <v xml:space="preserve">http://slimages.macys.com/is/image/MCY/12267099 </v>
      </c>
    </row>
    <row r="667" spans="1:12" ht="24.75" x14ac:dyDescent="0.25">
      <c r="A667" s="4" t="s">
        <v>8824</v>
      </c>
      <c r="B667" s="2" t="s">
        <v>1873</v>
      </c>
      <c r="C667" s="3">
        <v>1</v>
      </c>
      <c r="D667" s="5">
        <v>17.989999999999998</v>
      </c>
      <c r="E667" s="3" t="s">
        <v>2123</v>
      </c>
      <c r="F667" s="2" t="s">
        <v>33</v>
      </c>
      <c r="G667" s="6" t="s">
        <v>181</v>
      </c>
      <c r="H667" s="2" t="s">
        <v>1522</v>
      </c>
      <c r="I667" s="2" t="s">
        <v>1469</v>
      </c>
      <c r="J667" s="2" t="s">
        <v>19</v>
      </c>
      <c r="K667" s="2" t="s">
        <v>495</v>
      </c>
      <c r="L667" s="7" t="str">
        <f>HYPERLINK("http://slimages.macys.com/is/image/MCY/11690386 ")</f>
        <v xml:space="preserve">http://slimages.macys.com/is/image/MCY/11690386 </v>
      </c>
    </row>
    <row r="668" spans="1:12" ht="24.75" x14ac:dyDescent="0.25">
      <c r="A668" s="4" t="s">
        <v>8825</v>
      </c>
      <c r="B668" s="2" t="s">
        <v>7644</v>
      </c>
      <c r="C668" s="3">
        <v>1</v>
      </c>
      <c r="D668" s="5">
        <v>29.63</v>
      </c>
      <c r="E668" s="3" t="s">
        <v>7645</v>
      </c>
      <c r="F668" s="2" t="s">
        <v>15</v>
      </c>
      <c r="G668" s="6" t="s">
        <v>154</v>
      </c>
      <c r="H668" s="2" t="s">
        <v>284</v>
      </c>
      <c r="I668" s="2" t="s">
        <v>285</v>
      </c>
      <c r="J668" s="2" t="s">
        <v>19</v>
      </c>
      <c r="K668" s="2" t="s">
        <v>160</v>
      </c>
      <c r="L668" s="7" t="str">
        <f>HYPERLINK("http://slimages.macys.com/is/image/MCY/12671557 ")</f>
        <v xml:space="preserve">http://slimages.macys.com/is/image/MCY/12671557 </v>
      </c>
    </row>
    <row r="669" spans="1:12" ht="24.75" x14ac:dyDescent="0.25">
      <c r="A669" s="4" t="s">
        <v>1904</v>
      </c>
      <c r="B669" s="2" t="s">
        <v>1892</v>
      </c>
      <c r="C669" s="3">
        <v>3</v>
      </c>
      <c r="D669" s="5">
        <v>20.99</v>
      </c>
      <c r="E669" s="3" t="s">
        <v>1893</v>
      </c>
      <c r="F669" s="2" t="s">
        <v>15</v>
      </c>
      <c r="G669" s="6"/>
      <c r="H669" s="2" t="s">
        <v>1425</v>
      </c>
      <c r="I669" s="2" t="s">
        <v>1864</v>
      </c>
      <c r="J669" s="2" t="s">
        <v>19</v>
      </c>
      <c r="K669" s="2" t="s">
        <v>1894</v>
      </c>
      <c r="L669" s="7" t="str">
        <f>HYPERLINK("http://slimages.macys.com/is/image/MCY/11689288 ")</f>
        <v xml:space="preserve">http://slimages.macys.com/is/image/MCY/11689288 </v>
      </c>
    </row>
    <row r="670" spans="1:12" ht="24.75" x14ac:dyDescent="0.25">
      <c r="A670" s="4" t="s">
        <v>3055</v>
      </c>
      <c r="B670" s="2" t="s">
        <v>1892</v>
      </c>
      <c r="C670" s="3">
        <v>1</v>
      </c>
      <c r="D670" s="5">
        <v>20.99</v>
      </c>
      <c r="E670" s="3" t="s">
        <v>1901</v>
      </c>
      <c r="F670" s="2" t="s">
        <v>74</v>
      </c>
      <c r="G670" s="6" t="s">
        <v>156</v>
      </c>
      <c r="H670" s="2" t="s">
        <v>1473</v>
      </c>
      <c r="I670" s="2" t="s">
        <v>1864</v>
      </c>
      <c r="J670" s="2" t="s">
        <v>19</v>
      </c>
      <c r="K670" s="2" t="s">
        <v>648</v>
      </c>
      <c r="L670" s="7" t="str">
        <f>HYPERLINK("http://slimages.macys.com/is/image/MCY/11689284 ")</f>
        <v xml:space="preserve">http://slimages.macys.com/is/image/MCY/11689284 </v>
      </c>
    </row>
    <row r="671" spans="1:12" ht="24.75" x14ac:dyDescent="0.25">
      <c r="A671" s="4" t="s">
        <v>5176</v>
      </c>
      <c r="B671" s="2" t="s">
        <v>1896</v>
      </c>
      <c r="C671" s="3">
        <v>3</v>
      </c>
      <c r="D671" s="5">
        <v>20.99</v>
      </c>
      <c r="E671" s="3" t="s">
        <v>1899</v>
      </c>
      <c r="F671" s="2" t="s">
        <v>252</v>
      </c>
      <c r="G671" s="6" t="s">
        <v>154</v>
      </c>
      <c r="H671" s="2" t="s">
        <v>1473</v>
      </c>
      <c r="I671" s="2" t="s">
        <v>1864</v>
      </c>
      <c r="J671" s="2" t="s">
        <v>19</v>
      </c>
      <c r="K671" s="2" t="s">
        <v>648</v>
      </c>
      <c r="L671" s="7" t="str">
        <f>HYPERLINK("http://slimages.macys.com/is/image/MCY/10787705 ")</f>
        <v xml:space="preserve">http://slimages.macys.com/is/image/MCY/10787705 </v>
      </c>
    </row>
    <row r="672" spans="1:12" ht="24.75" x14ac:dyDescent="0.25">
      <c r="A672" s="4" t="s">
        <v>3060</v>
      </c>
      <c r="B672" s="2" t="s">
        <v>1896</v>
      </c>
      <c r="C672" s="3">
        <v>1</v>
      </c>
      <c r="D672" s="5">
        <v>20.99</v>
      </c>
      <c r="E672" s="3" t="s">
        <v>1899</v>
      </c>
      <c r="F672" s="2" t="s">
        <v>15</v>
      </c>
      <c r="G672" s="6" t="s">
        <v>156</v>
      </c>
      <c r="H672" s="2" t="s">
        <v>1473</v>
      </c>
      <c r="I672" s="2" t="s">
        <v>1864</v>
      </c>
      <c r="J672" s="2" t="s">
        <v>19</v>
      </c>
      <c r="K672" s="2" t="s">
        <v>648</v>
      </c>
      <c r="L672" s="7" t="str">
        <f>HYPERLINK("http://slimages.macys.com/is/image/MCY/10787705 ")</f>
        <v xml:space="preserve">http://slimages.macys.com/is/image/MCY/10787705 </v>
      </c>
    </row>
    <row r="673" spans="1:12" ht="24.75" x14ac:dyDescent="0.25">
      <c r="A673" s="4" t="s">
        <v>3051</v>
      </c>
      <c r="B673" s="2" t="s">
        <v>1892</v>
      </c>
      <c r="C673" s="3">
        <v>1</v>
      </c>
      <c r="D673" s="5">
        <v>20.99</v>
      </c>
      <c r="E673" s="3" t="s">
        <v>1901</v>
      </c>
      <c r="F673" s="2" t="s">
        <v>998</v>
      </c>
      <c r="G673" s="6" t="s">
        <v>154</v>
      </c>
      <c r="H673" s="2" t="s">
        <v>1473</v>
      </c>
      <c r="I673" s="2" t="s">
        <v>1864</v>
      </c>
      <c r="J673" s="2" t="s">
        <v>19</v>
      </c>
      <c r="K673" s="2" t="s">
        <v>648</v>
      </c>
      <c r="L673" s="7" t="str">
        <f>HYPERLINK("http://slimages.macys.com/is/image/MCY/11689284 ")</f>
        <v xml:space="preserve">http://slimages.macys.com/is/image/MCY/11689284 </v>
      </c>
    </row>
    <row r="674" spans="1:12" ht="24.75" x14ac:dyDescent="0.25">
      <c r="A674" s="4" t="s">
        <v>3064</v>
      </c>
      <c r="B674" s="2" t="s">
        <v>1896</v>
      </c>
      <c r="C674" s="3">
        <v>1</v>
      </c>
      <c r="D674" s="5">
        <v>20.99</v>
      </c>
      <c r="E674" s="3" t="s">
        <v>1899</v>
      </c>
      <c r="F674" s="2" t="s">
        <v>252</v>
      </c>
      <c r="G674" s="6" t="s">
        <v>156</v>
      </c>
      <c r="H674" s="2" t="s">
        <v>1473</v>
      </c>
      <c r="I674" s="2" t="s">
        <v>1864</v>
      </c>
      <c r="J674" s="2" t="s">
        <v>19</v>
      </c>
      <c r="K674" s="2" t="s">
        <v>648</v>
      </c>
      <c r="L674" s="7" t="str">
        <f>HYPERLINK("http://slimages.macys.com/is/image/MCY/10787705 ")</f>
        <v xml:space="preserve">http://slimages.macys.com/is/image/MCY/10787705 </v>
      </c>
    </row>
    <row r="675" spans="1:12" ht="24.75" x14ac:dyDescent="0.25">
      <c r="A675" s="4" t="s">
        <v>3066</v>
      </c>
      <c r="B675" s="2" t="s">
        <v>1896</v>
      </c>
      <c r="C675" s="3">
        <v>1</v>
      </c>
      <c r="D675" s="5">
        <v>20.99</v>
      </c>
      <c r="E675" s="3" t="s">
        <v>1899</v>
      </c>
      <c r="F675" s="2" t="s">
        <v>74</v>
      </c>
      <c r="G675" s="6" t="s">
        <v>245</v>
      </c>
      <c r="H675" s="2" t="s">
        <v>1473</v>
      </c>
      <c r="I675" s="2" t="s">
        <v>1864</v>
      </c>
      <c r="J675" s="2" t="s">
        <v>19</v>
      </c>
      <c r="K675" s="2" t="s">
        <v>648</v>
      </c>
      <c r="L675" s="7" t="str">
        <f>HYPERLINK("http://slimages.macys.com/is/image/MCY/10787705 ")</f>
        <v xml:space="preserve">http://slimages.macys.com/is/image/MCY/10787705 </v>
      </c>
    </row>
    <row r="676" spans="1:12" ht="24.75" x14ac:dyDescent="0.25">
      <c r="A676" s="4" t="s">
        <v>5175</v>
      </c>
      <c r="B676" s="2" t="s">
        <v>1892</v>
      </c>
      <c r="C676" s="3">
        <v>5</v>
      </c>
      <c r="D676" s="5">
        <v>20.99</v>
      </c>
      <c r="E676" s="3" t="s">
        <v>1901</v>
      </c>
      <c r="F676" s="2" t="s">
        <v>74</v>
      </c>
      <c r="G676" s="6" t="s">
        <v>181</v>
      </c>
      <c r="H676" s="2" t="s">
        <v>1473</v>
      </c>
      <c r="I676" s="2" t="s">
        <v>1864</v>
      </c>
      <c r="J676" s="2" t="s">
        <v>19</v>
      </c>
      <c r="K676" s="2" t="s">
        <v>648</v>
      </c>
      <c r="L676" s="7" t="str">
        <f>HYPERLINK("http://slimages.macys.com/is/image/MCY/11689284 ")</f>
        <v xml:space="preserve">http://slimages.macys.com/is/image/MCY/11689284 </v>
      </c>
    </row>
    <row r="677" spans="1:12" ht="24.75" x14ac:dyDescent="0.25">
      <c r="A677" s="4" t="s">
        <v>3071</v>
      </c>
      <c r="B677" s="2" t="s">
        <v>1892</v>
      </c>
      <c r="C677" s="3">
        <v>2</v>
      </c>
      <c r="D677" s="5">
        <v>20.99</v>
      </c>
      <c r="E677" s="3" t="s">
        <v>1901</v>
      </c>
      <c r="F677" s="2" t="s">
        <v>74</v>
      </c>
      <c r="G677" s="6" t="s">
        <v>154</v>
      </c>
      <c r="H677" s="2" t="s">
        <v>1473</v>
      </c>
      <c r="I677" s="2" t="s">
        <v>1864</v>
      </c>
      <c r="J677" s="2" t="s">
        <v>19</v>
      </c>
      <c r="K677" s="2" t="s">
        <v>648</v>
      </c>
      <c r="L677" s="7" t="str">
        <f>HYPERLINK("http://slimages.macys.com/is/image/MCY/11689284 ")</f>
        <v xml:space="preserve">http://slimages.macys.com/is/image/MCY/11689284 </v>
      </c>
    </row>
    <row r="678" spans="1:12" ht="24.75" x14ac:dyDescent="0.25">
      <c r="A678" s="4" t="s">
        <v>1898</v>
      </c>
      <c r="B678" s="2" t="s">
        <v>1896</v>
      </c>
      <c r="C678" s="3">
        <v>4</v>
      </c>
      <c r="D678" s="5">
        <v>20.99</v>
      </c>
      <c r="E678" s="3" t="s">
        <v>1899</v>
      </c>
      <c r="F678" s="2" t="s">
        <v>74</v>
      </c>
      <c r="G678" s="6" t="s">
        <v>154</v>
      </c>
      <c r="H678" s="2" t="s">
        <v>1473</v>
      </c>
      <c r="I678" s="2" t="s">
        <v>1864</v>
      </c>
      <c r="J678" s="2" t="s">
        <v>19</v>
      </c>
      <c r="K678" s="2" t="s">
        <v>648</v>
      </c>
      <c r="L678" s="7" t="str">
        <f>HYPERLINK("http://slimages.macys.com/is/image/MCY/10787705 ")</f>
        <v xml:space="preserve">http://slimages.macys.com/is/image/MCY/10787705 </v>
      </c>
    </row>
    <row r="679" spans="1:12" ht="24.75" x14ac:dyDescent="0.25">
      <c r="A679" s="4" t="s">
        <v>5177</v>
      </c>
      <c r="B679" s="2" t="s">
        <v>1892</v>
      </c>
      <c r="C679" s="3">
        <v>1</v>
      </c>
      <c r="D679" s="5">
        <v>20.99</v>
      </c>
      <c r="E679" s="3" t="s">
        <v>1901</v>
      </c>
      <c r="F679" s="2" t="s">
        <v>74</v>
      </c>
      <c r="G679" s="6" t="s">
        <v>234</v>
      </c>
      <c r="H679" s="2" t="s">
        <v>1473</v>
      </c>
      <c r="I679" s="2" t="s">
        <v>1864</v>
      </c>
      <c r="J679" s="2" t="s">
        <v>19</v>
      </c>
      <c r="K679" s="2" t="s">
        <v>648</v>
      </c>
      <c r="L679" s="7" t="str">
        <f>HYPERLINK("http://slimages.macys.com/is/image/MCY/11689284 ")</f>
        <v xml:space="preserve">http://slimages.macys.com/is/image/MCY/11689284 </v>
      </c>
    </row>
    <row r="680" spans="1:12" ht="24.75" x14ac:dyDescent="0.25">
      <c r="A680" s="4" t="s">
        <v>1891</v>
      </c>
      <c r="B680" s="2" t="s">
        <v>1892</v>
      </c>
      <c r="C680" s="3">
        <v>1</v>
      </c>
      <c r="D680" s="5">
        <v>20.99</v>
      </c>
      <c r="E680" s="3" t="s">
        <v>1893</v>
      </c>
      <c r="F680" s="2" t="s">
        <v>15</v>
      </c>
      <c r="G680" s="6"/>
      <c r="H680" s="2" t="s">
        <v>1425</v>
      </c>
      <c r="I680" s="2" t="s">
        <v>1864</v>
      </c>
      <c r="J680" s="2" t="s">
        <v>19</v>
      </c>
      <c r="K680" s="2" t="s">
        <v>1894</v>
      </c>
      <c r="L680" s="7" t="str">
        <f>HYPERLINK("http://slimages.macys.com/is/image/MCY/11689288 ")</f>
        <v xml:space="preserve">http://slimages.macys.com/is/image/MCY/11689288 </v>
      </c>
    </row>
    <row r="681" spans="1:12" ht="24.75" x14ac:dyDescent="0.25">
      <c r="A681" s="4" t="s">
        <v>8345</v>
      </c>
      <c r="B681" s="2" t="s">
        <v>1892</v>
      </c>
      <c r="C681" s="3">
        <v>3</v>
      </c>
      <c r="D681" s="5">
        <v>20.99</v>
      </c>
      <c r="E681" s="3" t="s">
        <v>1901</v>
      </c>
      <c r="F681" s="2" t="s">
        <v>1296</v>
      </c>
      <c r="G681" s="6" t="s">
        <v>234</v>
      </c>
      <c r="H681" s="2" t="s">
        <v>1473</v>
      </c>
      <c r="I681" s="2" t="s">
        <v>1864</v>
      </c>
      <c r="J681" s="2" t="s">
        <v>19</v>
      </c>
      <c r="K681" s="2" t="s">
        <v>648</v>
      </c>
      <c r="L681" s="7" t="str">
        <f>HYPERLINK("http://slimages.macys.com/is/image/MCY/11689284 ")</f>
        <v xml:space="preserve">http://slimages.macys.com/is/image/MCY/11689284 </v>
      </c>
    </row>
    <row r="682" spans="1:12" ht="24.75" x14ac:dyDescent="0.25">
      <c r="A682" s="4" t="s">
        <v>3068</v>
      </c>
      <c r="B682" s="2" t="s">
        <v>1896</v>
      </c>
      <c r="C682" s="3">
        <v>1</v>
      </c>
      <c r="D682" s="5">
        <v>20.99</v>
      </c>
      <c r="E682" s="3" t="s">
        <v>1899</v>
      </c>
      <c r="F682" s="2" t="s">
        <v>74</v>
      </c>
      <c r="G682" s="6" t="s">
        <v>181</v>
      </c>
      <c r="H682" s="2" t="s">
        <v>1473</v>
      </c>
      <c r="I682" s="2" t="s">
        <v>1864</v>
      </c>
      <c r="J682" s="2" t="s">
        <v>19</v>
      </c>
      <c r="K682" s="2" t="s">
        <v>648</v>
      </c>
      <c r="L682" s="7" t="str">
        <f>HYPERLINK("http://slimages.macys.com/is/image/MCY/10787705 ")</f>
        <v xml:space="preserve">http://slimages.macys.com/is/image/MCY/10787705 </v>
      </c>
    </row>
    <row r="683" spans="1:12" ht="24.75" x14ac:dyDescent="0.25">
      <c r="A683" s="4" t="s">
        <v>7650</v>
      </c>
      <c r="B683" s="2" t="s">
        <v>1896</v>
      </c>
      <c r="C683" s="3">
        <v>4</v>
      </c>
      <c r="D683" s="5">
        <v>20.99</v>
      </c>
      <c r="E683" s="3" t="s">
        <v>1899</v>
      </c>
      <c r="F683" s="2" t="s">
        <v>252</v>
      </c>
      <c r="G683" s="6" t="s">
        <v>181</v>
      </c>
      <c r="H683" s="2" t="s">
        <v>1473</v>
      </c>
      <c r="I683" s="2" t="s">
        <v>1864</v>
      </c>
      <c r="J683" s="2" t="s">
        <v>19</v>
      </c>
      <c r="K683" s="2" t="s">
        <v>648</v>
      </c>
      <c r="L683" s="7" t="str">
        <f>HYPERLINK("http://slimages.macys.com/is/image/MCY/10787705 ")</f>
        <v xml:space="preserve">http://slimages.macys.com/is/image/MCY/10787705 </v>
      </c>
    </row>
    <row r="684" spans="1:12" ht="24.75" x14ac:dyDescent="0.25">
      <c r="A684" s="4" t="s">
        <v>3053</v>
      </c>
      <c r="B684" s="2" t="s">
        <v>1896</v>
      </c>
      <c r="C684" s="3">
        <v>1</v>
      </c>
      <c r="D684" s="5">
        <v>20.99</v>
      </c>
      <c r="E684" s="3" t="s">
        <v>1899</v>
      </c>
      <c r="F684" s="2" t="s">
        <v>15</v>
      </c>
      <c r="G684" s="6" t="s">
        <v>234</v>
      </c>
      <c r="H684" s="2" t="s">
        <v>1473</v>
      </c>
      <c r="I684" s="2" t="s">
        <v>1864</v>
      </c>
      <c r="J684" s="2" t="s">
        <v>19</v>
      </c>
      <c r="K684" s="2" t="s">
        <v>648</v>
      </c>
      <c r="L684" s="7" t="str">
        <f>HYPERLINK("http://slimages.macys.com/is/image/MCY/10787705 ")</f>
        <v xml:space="preserve">http://slimages.macys.com/is/image/MCY/10787705 </v>
      </c>
    </row>
    <row r="685" spans="1:12" ht="24.75" x14ac:dyDescent="0.25">
      <c r="A685" s="4" t="s">
        <v>4156</v>
      </c>
      <c r="B685" s="2" t="s">
        <v>1892</v>
      </c>
      <c r="C685" s="3">
        <v>1</v>
      </c>
      <c r="D685" s="5">
        <v>20.99</v>
      </c>
      <c r="E685" s="3" t="s">
        <v>1893</v>
      </c>
      <c r="F685" s="2" t="s">
        <v>15</v>
      </c>
      <c r="G685" s="6" t="s">
        <v>187</v>
      </c>
      <c r="H685" s="2" t="s">
        <v>1425</v>
      </c>
      <c r="I685" s="2" t="s">
        <v>1864</v>
      </c>
      <c r="J685" s="2" t="s">
        <v>19</v>
      </c>
      <c r="K685" s="2" t="s">
        <v>1894</v>
      </c>
      <c r="L685" s="7" t="str">
        <f>HYPERLINK("http://slimages.macys.com/is/image/MCY/11689288 ")</f>
        <v xml:space="preserve">http://slimages.macys.com/is/image/MCY/11689288 </v>
      </c>
    </row>
    <row r="686" spans="1:12" ht="24.75" x14ac:dyDescent="0.25">
      <c r="A686" s="4" t="s">
        <v>3062</v>
      </c>
      <c r="B686" s="2" t="s">
        <v>1892</v>
      </c>
      <c r="C686" s="3">
        <v>2</v>
      </c>
      <c r="D686" s="5">
        <v>20.99</v>
      </c>
      <c r="E686" s="3" t="s">
        <v>1893</v>
      </c>
      <c r="F686" s="2" t="s">
        <v>15</v>
      </c>
      <c r="G686" s="6" t="s">
        <v>219</v>
      </c>
      <c r="H686" s="2" t="s">
        <v>1425</v>
      </c>
      <c r="I686" s="2" t="s">
        <v>1864</v>
      </c>
      <c r="J686" s="2" t="s">
        <v>19</v>
      </c>
      <c r="K686" s="2" t="s">
        <v>1894</v>
      </c>
      <c r="L686" s="7" t="str">
        <f>HYPERLINK("http://slimages.macys.com/is/image/MCY/11689288 ")</f>
        <v xml:space="preserve">http://slimages.macys.com/is/image/MCY/11689288 </v>
      </c>
    </row>
    <row r="687" spans="1:12" ht="24.75" x14ac:dyDescent="0.25">
      <c r="A687" s="4" t="s">
        <v>8826</v>
      </c>
      <c r="B687" s="2" t="s">
        <v>1892</v>
      </c>
      <c r="C687" s="3">
        <v>1</v>
      </c>
      <c r="D687" s="5">
        <v>20.99</v>
      </c>
      <c r="E687" s="3" t="s">
        <v>1901</v>
      </c>
      <c r="F687" s="2" t="s">
        <v>252</v>
      </c>
      <c r="G687" s="6" t="s">
        <v>154</v>
      </c>
      <c r="H687" s="2" t="s">
        <v>1473</v>
      </c>
      <c r="I687" s="2" t="s">
        <v>1864</v>
      </c>
      <c r="J687" s="2" t="s">
        <v>19</v>
      </c>
      <c r="K687" s="2" t="s">
        <v>648</v>
      </c>
      <c r="L687" s="7" t="str">
        <f>HYPERLINK("http://slimages.macys.com/is/image/MCY/11689284 ")</f>
        <v xml:space="preserve">http://slimages.macys.com/is/image/MCY/11689284 </v>
      </c>
    </row>
    <row r="688" spans="1:12" ht="24.75" x14ac:dyDescent="0.25">
      <c r="A688" s="4" t="s">
        <v>4154</v>
      </c>
      <c r="B688" s="2" t="s">
        <v>1892</v>
      </c>
      <c r="C688" s="3">
        <v>1</v>
      </c>
      <c r="D688" s="5">
        <v>20.99</v>
      </c>
      <c r="E688" s="3" t="s">
        <v>1901</v>
      </c>
      <c r="F688" s="2" t="s">
        <v>252</v>
      </c>
      <c r="G688" s="6" t="s">
        <v>181</v>
      </c>
      <c r="H688" s="2" t="s">
        <v>1473</v>
      </c>
      <c r="I688" s="2" t="s">
        <v>1864</v>
      </c>
      <c r="J688" s="2" t="s">
        <v>19</v>
      </c>
      <c r="K688" s="2" t="s">
        <v>648</v>
      </c>
      <c r="L688" s="7" t="str">
        <f>HYPERLINK("http://slimages.macys.com/is/image/MCY/11689284 ")</f>
        <v xml:space="preserve">http://slimages.macys.com/is/image/MCY/11689284 </v>
      </c>
    </row>
    <row r="689" spans="1:12" ht="24.75" x14ac:dyDescent="0.25">
      <c r="A689" s="4" t="s">
        <v>4152</v>
      </c>
      <c r="B689" s="2" t="s">
        <v>1892</v>
      </c>
      <c r="C689" s="3">
        <v>1</v>
      </c>
      <c r="D689" s="5">
        <v>20.99</v>
      </c>
      <c r="E689" s="3" t="s">
        <v>1901</v>
      </c>
      <c r="F689" s="2" t="s">
        <v>15</v>
      </c>
      <c r="G689" s="6" t="s">
        <v>181</v>
      </c>
      <c r="H689" s="2" t="s">
        <v>1473</v>
      </c>
      <c r="I689" s="2" t="s">
        <v>1864</v>
      </c>
      <c r="J689" s="2" t="s">
        <v>19</v>
      </c>
      <c r="K689" s="2" t="s">
        <v>648</v>
      </c>
      <c r="L689" s="7" t="str">
        <f>HYPERLINK("http://slimages.macys.com/is/image/MCY/11689284 ")</f>
        <v xml:space="preserve">http://slimages.macys.com/is/image/MCY/11689284 </v>
      </c>
    </row>
    <row r="690" spans="1:12" ht="24.75" x14ac:dyDescent="0.25">
      <c r="A690" s="4" t="s">
        <v>3076</v>
      </c>
      <c r="B690" s="2" t="s">
        <v>1896</v>
      </c>
      <c r="C690" s="3">
        <v>2</v>
      </c>
      <c r="D690" s="5">
        <v>20.99</v>
      </c>
      <c r="E690" s="3" t="s">
        <v>1899</v>
      </c>
      <c r="F690" s="2" t="s">
        <v>70</v>
      </c>
      <c r="G690" s="6" t="s">
        <v>154</v>
      </c>
      <c r="H690" s="2" t="s">
        <v>1473</v>
      </c>
      <c r="I690" s="2" t="s">
        <v>1864</v>
      </c>
      <c r="J690" s="2" t="s">
        <v>19</v>
      </c>
      <c r="K690" s="2" t="s">
        <v>648</v>
      </c>
      <c r="L690" s="7" t="str">
        <f t="shared" ref="L690:L695" si="8">HYPERLINK("http://slimages.macys.com/is/image/MCY/10787705 ")</f>
        <v xml:space="preserve">http://slimages.macys.com/is/image/MCY/10787705 </v>
      </c>
    </row>
    <row r="691" spans="1:12" ht="24.75" x14ac:dyDescent="0.25">
      <c r="A691" s="4" t="s">
        <v>8344</v>
      </c>
      <c r="B691" s="2" t="s">
        <v>1896</v>
      </c>
      <c r="C691" s="3">
        <v>4</v>
      </c>
      <c r="D691" s="5">
        <v>20.99</v>
      </c>
      <c r="E691" s="3" t="s">
        <v>1899</v>
      </c>
      <c r="F691" s="2" t="s">
        <v>70</v>
      </c>
      <c r="G691" s="6" t="s">
        <v>181</v>
      </c>
      <c r="H691" s="2" t="s">
        <v>1473</v>
      </c>
      <c r="I691" s="2" t="s">
        <v>1864</v>
      </c>
      <c r="J691" s="2" t="s">
        <v>19</v>
      </c>
      <c r="K691" s="2" t="s">
        <v>648</v>
      </c>
      <c r="L691" s="7" t="str">
        <f t="shared" si="8"/>
        <v xml:space="preserve">http://slimages.macys.com/is/image/MCY/10787705 </v>
      </c>
    </row>
    <row r="692" spans="1:12" ht="24.75" x14ac:dyDescent="0.25">
      <c r="A692" s="4" t="s">
        <v>3052</v>
      </c>
      <c r="B692" s="2" t="s">
        <v>1896</v>
      </c>
      <c r="C692" s="3">
        <v>1</v>
      </c>
      <c r="D692" s="5">
        <v>20.99</v>
      </c>
      <c r="E692" s="3" t="s">
        <v>1899</v>
      </c>
      <c r="F692" s="2" t="s">
        <v>74</v>
      </c>
      <c r="G692" s="6" t="s">
        <v>156</v>
      </c>
      <c r="H692" s="2" t="s">
        <v>1473</v>
      </c>
      <c r="I692" s="2" t="s">
        <v>1864</v>
      </c>
      <c r="J692" s="2" t="s">
        <v>19</v>
      </c>
      <c r="K692" s="2" t="s">
        <v>648</v>
      </c>
      <c r="L692" s="7" t="str">
        <f t="shared" si="8"/>
        <v xml:space="preserve">http://slimages.macys.com/is/image/MCY/10787705 </v>
      </c>
    </row>
    <row r="693" spans="1:12" ht="24.75" x14ac:dyDescent="0.25">
      <c r="A693" s="4" t="s">
        <v>3075</v>
      </c>
      <c r="B693" s="2" t="s">
        <v>1896</v>
      </c>
      <c r="C693" s="3">
        <v>8</v>
      </c>
      <c r="D693" s="5">
        <v>20.99</v>
      </c>
      <c r="E693" s="3" t="s">
        <v>1899</v>
      </c>
      <c r="F693" s="2" t="s">
        <v>998</v>
      </c>
      <c r="G693" s="6" t="s">
        <v>154</v>
      </c>
      <c r="H693" s="2" t="s">
        <v>1473</v>
      </c>
      <c r="I693" s="2" t="s">
        <v>1864</v>
      </c>
      <c r="J693" s="2" t="s">
        <v>19</v>
      </c>
      <c r="K693" s="2" t="s">
        <v>648</v>
      </c>
      <c r="L693" s="7" t="str">
        <f t="shared" si="8"/>
        <v xml:space="preserve">http://slimages.macys.com/is/image/MCY/10787705 </v>
      </c>
    </row>
    <row r="694" spans="1:12" ht="24.75" x14ac:dyDescent="0.25">
      <c r="A694" s="4" t="s">
        <v>3069</v>
      </c>
      <c r="B694" s="2" t="s">
        <v>1896</v>
      </c>
      <c r="C694" s="3">
        <v>5</v>
      </c>
      <c r="D694" s="5">
        <v>20.99</v>
      </c>
      <c r="E694" s="3" t="s">
        <v>1899</v>
      </c>
      <c r="F694" s="2" t="s">
        <v>998</v>
      </c>
      <c r="G694" s="6" t="s">
        <v>181</v>
      </c>
      <c r="H694" s="2" t="s">
        <v>1473</v>
      </c>
      <c r="I694" s="2" t="s">
        <v>1864</v>
      </c>
      <c r="J694" s="2" t="s">
        <v>19</v>
      </c>
      <c r="K694" s="2" t="s">
        <v>648</v>
      </c>
      <c r="L694" s="7" t="str">
        <f t="shared" si="8"/>
        <v xml:space="preserve">http://slimages.macys.com/is/image/MCY/10787705 </v>
      </c>
    </row>
    <row r="695" spans="1:12" ht="24.75" x14ac:dyDescent="0.25">
      <c r="A695" s="4" t="s">
        <v>3059</v>
      </c>
      <c r="B695" s="2" t="s">
        <v>1896</v>
      </c>
      <c r="C695" s="3">
        <v>1</v>
      </c>
      <c r="D695" s="5">
        <v>20.99</v>
      </c>
      <c r="E695" s="3" t="s">
        <v>1899</v>
      </c>
      <c r="F695" s="2" t="s">
        <v>74</v>
      </c>
      <c r="G695" s="6" t="s">
        <v>234</v>
      </c>
      <c r="H695" s="2" t="s">
        <v>1473</v>
      </c>
      <c r="I695" s="2" t="s">
        <v>1864</v>
      </c>
      <c r="J695" s="2" t="s">
        <v>19</v>
      </c>
      <c r="K695" s="2" t="s">
        <v>648</v>
      </c>
      <c r="L695" s="7" t="str">
        <f t="shared" si="8"/>
        <v xml:space="preserve">http://slimages.macys.com/is/image/MCY/10787705 </v>
      </c>
    </row>
    <row r="696" spans="1:12" ht="24.75" x14ac:dyDescent="0.25">
      <c r="A696" s="4" t="s">
        <v>3054</v>
      </c>
      <c r="B696" s="2" t="s">
        <v>1892</v>
      </c>
      <c r="C696" s="3">
        <v>1</v>
      </c>
      <c r="D696" s="5">
        <v>20.99</v>
      </c>
      <c r="E696" s="3" t="s">
        <v>1901</v>
      </c>
      <c r="F696" s="2" t="s">
        <v>252</v>
      </c>
      <c r="G696" s="6" t="s">
        <v>156</v>
      </c>
      <c r="H696" s="2" t="s">
        <v>1473</v>
      </c>
      <c r="I696" s="2" t="s">
        <v>1864</v>
      </c>
      <c r="J696" s="2" t="s">
        <v>19</v>
      </c>
      <c r="K696" s="2" t="s">
        <v>648</v>
      </c>
      <c r="L696" s="7" t="str">
        <f t="shared" ref="L696:L702" si="9">HYPERLINK("http://slimages.macys.com/is/image/MCY/11689284 ")</f>
        <v xml:space="preserve">http://slimages.macys.com/is/image/MCY/11689284 </v>
      </c>
    </row>
    <row r="697" spans="1:12" ht="24.75" x14ac:dyDescent="0.25">
      <c r="A697" s="4" t="s">
        <v>8827</v>
      </c>
      <c r="B697" s="2" t="s">
        <v>1892</v>
      </c>
      <c r="C697" s="3">
        <v>2</v>
      </c>
      <c r="D697" s="5">
        <v>20.99</v>
      </c>
      <c r="E697" s="3" t="s">
        <v>1901</v>
      </c>
      <c r="F697" s="2" t="s">
        <v>1296</v>
      </c>
      <c r="G697" s="6" t="s">
        <v>181</v>
      </c>
      <c r="H697" s="2" t="s">
        <v>1473</v>
      </c>
      <c r="I697" s="2" t="s">
        <v>1864</v>
      </c>
      <c r="J697" s="2" t="s">
        <v>19</v>
      </c>
      <c r="K697" s="2" t="s">
        <v>648</v>
      </c>
      <c r="L697" s="7" t="str">
        <f t="shared" si="9"/>
        <v xml:space="preserve">http://slimages.macys.com/is/image/MCY/11689284 </v>
      </c>
    </row>
    <row r="698" spans="1:12" ht="24.75" x14ac:dyDescent="0.25">
      <c r="A698" s="4" t="s">
        <v>6134</v>
      </c>
      <c r="B698" s="2" t="s">
        <v>1892</v>
      </c>
      <c r="C698" s="3">
        <v>3</v>
      </c>
      <c r="D698" s="5">
        <v>20.99</v>
      </c>
      <c r="E698" s="3" t="s">
        <v>1901</v>
      </c>
      <c r="F698" s="2" t="s">
        <v>1296</v>
      </c>
      <c r="G698" s="6" t="s">
        <v>154</v>
      </c>
      <c r="H698" s="2" t="s">
        <v>1473</v>
      </c>
      <c r="I698" s="2" t="s">
        <v>1864</v>
      </c>
      <c r="J698" s="2" t="s">
        <v>19</v>
      </c>
      <c r="K698" s="2" t="s">
        <v>648</v>
      </c>
      <c r="L698" s="7" t="str">
        <f t="shared" si="9"/>
        <v xml:space="preserve">http://slimages.macys.com/is/image/MCY/11689284 </v>
      </c>
    </row>
    <row r="699" spans="1:12" ht="24.75" x14ac:dyDescent="0.25">
      <c r="A699" s="4" t="s">
        <v>4153</v>
      </c>
      <c r="B699" s="2" t="s">
        <v>1892</v>
      </c>
      <c r="C699" s="3">
        <v>1</v>
      </c>
      <c r="D699" s="5">
        <v>20.99</v>
      </c>
      <c r="E699" s="3" t="s">
        <v>1901</v>
      </c>
      <c r="F699" s="2" t="s">
        <v>1788</v>
      </c>
      <c r="G699" s="6" t="s">
        <v>234</v>
      </c>
      <c r="H699" s="2" t="s">
        <v>1473</v>
      </c>
      <c r="I699" s="2" t="s">
        <v>1864</v>
      </c>
      <c r="J699" s="2" t="s">
        <v>19</v>
      </c>
      <c r="K699" s="2" t="s">
        <v>648</v>
      </c>
      <c r="L699" s="7" t="str">
        <f t="shared" si="9"/>
        <v xml:space="preserve">http://slimages.macys.com/is/image/MCY/11689284 </v>
      </c>
    </row>
    <row r="700" spans="1:12" ht="24.75" x14ac:dyDescent="0.25">
      <c r="A700" s="4" t="s">
        <v>8828</v>
      </c>
      <c r="B700" s="2" t="s">
        <v>1892</v>
      </c>
      <c r="C700" s="3">
        <v>3</v>
      </c>
      <c r="D700" s="5">
        <v>20.99</v>
      </c>
      <c r="E700" s="3" t="s">
        <v>1901</v>
      </c>
      <c r="F700" s="2" t="s">
        <v>15</v>
      </c>
      <c r="G700" s="6" t="s">
        <v>234</v>
      </c>
      <c r="H700" s="2" t="s">
        <v>1473</v>
      </c>
      <c r="I700" s="2" t="s">
        <v>1864</v>
      </c>
      <c r="J700" s="2" t="s">
        <v>19</v>
      </c>
      <c r="K700" s="2" t="s">
        <v>648</v>
      </c>
      <c r="L700" s="7" t="str">
        <f t="shared" si="9"/>
        <v xml:space="preserve">http://slimages.macys.com/is/image/MCY/11689284 </v>
      </c>
    </row>
    <row r="701" spans="1:12" ht="24.75" x14ac:dyDescent="0.25">
      <c r="A701" s="4" t="s">
        <v>3072</v>
      </c>
      <c r="B701" s="2" t="s">
        <v>1892</v>
      </c>
      <c r="C701" s="3">
        <v>3</v>
      </c>
      <c r="D701" s="5">
        <v>20.99</v>
      </c>
      <c r="E701" s="3" t="s">
        <v>1901</v>
      </c>
      <c r="F701" s="2" t="s">
        <v>1788</v>
      </c>
      <c r="G701" s="6" t="s">
        <v>181</v>
      </c>
      <c r="H701" s="2" t="s">
        <v>1473</v>
      </c>
      <c r="I701" s="2" t="s">
        <v>1864</v>
      </c>
      <c r="J701" s="2" t="s">
        <v>19</v>
      </c>
      <c r="K701" s="2" t="s">
        <v>648</v>
      </c>
      <c r="L701" s="7" t="str">
        <f t="shared" si="9"/>
        <v xml:space="preserve">http://slimages.macys.com/is/image/MCY/11689284 </v>
      </c>
    </row>
    <row r="702" spans="1:12" ht="24.75" x14ac:dyDescent="0.25">
      <c r="A702" s="4" t="s">
        <v>6133</v>
      </c>
      <c r="B702" s="2" t="s">
        <v>1892</v>
      </c>
      <c r="C702" s="3">
        <v>2</v>
      </c>
      <c r="D702" s="5">
        <v>20.99</v>
      </c>
      <c r="E702" s="3" t="s">
        <v>1901</v>
      </c>
      <c r="F702" s="2" t="s">
        <v>15</v>
      </c>
      <c r="G702" s="6" t="s">
        <v>154</v>
      </c>
      <c r="H702" s="2" t="s">
        <v>1473</v>
      </c>
      <c r="I702" s="2" t="s">
        <v>1864</v>
      </c>
      <c r="J702" s="2" t="s">
        <v>19</v>
      </c>
      <c r="K702" s="2" t="s">
        <v>648</v>
      </c>
      <c r="L702" s="7" t="str">
        <f t="shared" si="9"/>
        <v xml:space="preserve">http://slimages.macys.com/is/image/MCY/11689284 </v>
      </c>
    </row>
    <row r="703" spans="1:12" ht="24.75" x14ac:dyDescent="0.25">
      <c r="A703" s="4" t="s">
        <v>3073</v>
      </c>
      <c r="B703" s="2" t="s">
        <v>1896</v>
      </c>
      <c r="C703" s="3">
        <v>1</v>
      </c>
      <c r="D703" s="5">
        <v>20.99</v>
      </c>
      <c r="E703" s="3" t="s">
        <v>1899</v>
      </c>
      <c r="F703" s="2" t="s">
        <v>15</v>
      </c>
      <c r="G703" s="6" t="s">
        <v>181</v>
      </c>
      <c r="H703" s="2" t="s">
        <v>1473</v>
      </c>
      <c r="I703" s="2" t="s">
        <v>1864</v>
      </c>
      <c r="J703" s="2" t="s">
        <v>19</v>
      </c>
      <c r="K703" s="2" t="s">
        <v>648</v>
      </c>
      <c r="L703" s="7" t="str">
        <f>HYPERLINK("http://slimages.macys.com/is/image/MCY/10787705 ")</f>
        <v xml:space="preserve">http://slimages.macys.com/is/image/MCY/10787705 </v>
      </c>
    </row>
    <row r="704" spans="1:12" ht="24.75" x14ac:dyDescent="0.25">
      <c r="A704" s="4" t="s">
        <v>8829</v>
      </c>
      <c r="B704" s="2" t="s">
        <v>8830</v>
      </c>
      <c r="C704" s="3">
        <v>1</v>
      </c>
      <c r="D704" s="5">
        <v>21.99</v>
      </c>
      <c r="E704" s="3" t="s">
        <v>8831</v>
      </c>
      <c r="F704" s="2" t="s">
        <v>74</v>
      </c>
      <c r="G704" s="6" t="s">
        <v>746</v>
      </c>
      <c r="H704" s="2" t="s">
        <v>349</v>
      </c>
      <c r="I704" s="2" t="s">
        <v>285</v>
      </c>
      <c r="J704" s="2" t="s">
        <v>19</v>
      </c>
      <c r="K704" s="2" t="s">
        <v>160</v>
      </c>
      <c r="L704" s="7" t="str">
        <f>HYPERLINK("http://slimages.macys.com/is/image/MCY/12077778 ")</f>
        <v xml:space="preserve">http://slimages.macys.com/is/image/MCY/12077778 </v>
      </c>
    </row>
    <row r="705" spans="1:12" x14ac:dyDescent="0.25">
      <c r="A705" s="4" t="s">
        <v>6852</v>
      </c>
      <c r="B705" s="2" t="s">
        <v>4159</v>
      </c>
      <c r="C705" s="3">
        <v>1</v>
      </c>
      <c r="D705" s="5">
        <v>39.5</v>
      </c>
      <c r="E705" s="3" t="s">
        <v>4160</v>
      </c>
      <c r="F705" s="2" t="s">
        <v>111</v>
      </c>
      <c r="G705" s="6" t="s">
        <v>187</v>
      </c>
      <c r="H705" s="2" t="s">
        <v>206</v>
      </c>
      <c r="I705" s="2" t="s">
        <v>207</v>
      </c>
      <c r="J705" s="2" t="s">
        <v>19</v>
      </c>
      <c r="K705" s="2" t="s">
        <v>247</v>
      </c>
      <c r="L705" s="7" t="str">
        <f>HYPERLINK("http://slimages.macys.com/is/image/MCY/9815602 ")</f>
        <v xml:space="preserve">http://slimages.macys.com/is/image/MCY/9815602 </v>
      </c>
    </row>
    <row r="706" spans="1:12" ht="24.75" x14ac:dyDescent="0.25">
      <c r="A706" s="4" t="s">
        <v>3100</v>
      </c>
      <c r="B706" s="2" t="s">
        <v>3101</v>
      </c>
      <c r="C706" s="3">
        <v>1</v>
      </c>
      <c r="D706" s="5">
        <v>14.99</v>
      </c>
      <c r="E706" s="3" t="s">
        <v>3102</v>
      </c>
      <c r="F706" s="2" t="s">
        <v>15</v>
      </c>
      <c r="G706" s="6"/>
      <c r="H706" s="2" t="s">
        <v>1425</v>
      </c>
      <c r="I706" s="2" t="s">
        <v>1426</v>
      </c>
      <c r="J706" s="2"/>
      <c r="K706" s="2"/>
      <c r="L706" s="7" t="str">
        <f>HYPERLINK("http://slimages.macys.com/is/image/MCY/9931748 ")</f>
        <v xml:space="preserve">http://slimages.macys.com/is/image/MCY/9931748 </v>
      </c>
    </row>
    <row r="707" spans="1:12" ht="24.75" x14ac:dyDescent="0.25">
      <c r="A707" s="4" t="s">
        <v>6146</v>
      </c>
      <c r="B707" s="2" t="s">
        <v>3101</v>
      </c>
      <c r="C707" s="3">
        <v>1</v>
      </c>
      <c r="D707" s="5">
        <v>14.99</v>
      </c>
      <c r="E707" s="3" t="s">
        <v>3102</v>
      </c>
      <c r="F707" s="2" t="s">
        <v>74</v>
      </c>
      <c r="G707" s="6" t="s">
        <v>187</v>
      </c>
      <c r="H707" s="2" t="s">
        <v>1425</v>
      </c>
      <c r="I707" s="2" t="s">
        <v>1426</v>
      </c>
      <c r="J707" s="2"/>
      <c r="K707" s="2"/>
      <c r="L707" s="7" t="str">
        <f>HYPERLINK("http://slimages.macys.com/is/image/MCY/9931748 ")</f>
        <v xml:space="preserve">http://slimages.macys.com/is/image/MCY/9931748 </v>
      </c>
    </row>
    <row r="708" spans="1:12" ht="24.75" x14ac:dyDescent="0.25">
      <c r="A708" s="4" t="s">
        <v>8832</v>
      </c>
      <c r="B708" s="2" t="s">
        <v>8833</v>
      </c>
      <c r="C708" s="3">
        <v>1</v>
      </c>
      <c r="D708" s="5">
        <v>17.989999999999998</v>
      </c>
      <c r="E708" s="3" t="s">
        <v>8834</v>
      </c>
      <c r="F708" s="2" t="s">
        <v>26</v>
      </c>
      <c r="G708" s="6" t="s">
        <v>181</v>
      </c>
      <c r="H708" s="2" t="s">
        <v>1522</v>
      </c>
      <c r="I708" s="2" t="s">
        <v>1469</v>
      </c>
      <c r="J708" s="2" t="s">
        <v>19</v>
      </c>
      <c r="K708" s="2" t="s">
        <v>332</v>
      </c>
      <c r="L708" s="7" t="str">
        <f>HYPERLINK("http://slimages.macys.com/is/image/MCY/11774930 ")</f>
        <v xml:space="preserve">http://slimages.macys.com/is/image/MCY/11774930 </v>
      </c>
    </row>
    <row r="709" spans="1:12" ht="24.75" x14ac:dyDescent="0.25">
      <c r="A709" s="4" t="s">
        <v>8835</v>
      </c>
      <c r="B709" s="2" t="s">
        <v>8836</v>
      </c>
      <c r="C709" s="3">
        <v>1</v>
      </c>
      <c r="D709" s="5">
        <v>21.99</v>
      </c>
      <c r="E709" s="3" t="s">
        <v>8837</v>
      </c>
      <c r="F709" s="2" t="s">
        <v>3267</v>
      </c>
      <c r="G709" s="6" t="s">
        <v>234</v>
      </c>
      <c r="H709" s="2" t="s">
        <v>284</v>
      </c>
      <c r="I709" s="2" t="s">
        <v>285</v>
      </c>
      <c r="J709" s="2" t="s">
        <v>19</v>
      </c>
      <c r="K709" s="2" t="s">
        <v>160</v>
      </c>
      <c r="L709" s="7" t="str">
        <f>HYPERLINK("http://slimages.macys.com/is/image/MCY/12671636 ")</f>
        <v xml:space="preserve">http://slimages.macys.com/is/image/MCY/12671636 </v>
      </c>
    </row>
    <row r="710" spans="1:12" ht="24.75" x14ac:dyDescent="0.25">
      <c r="A710" s="4" t="s">
        <v>5185</v>
      </c>
      <c r="B710" s="2" t="s">
        <v>1927</v>
      </c>
      <c r="C710" s="3">
        <v>1</v>
      </c>
      <c r="D710" s="5">
        <v>17.989999999999998</v>
      </c>
      <c r="E710" s="3" t="s">
        <v>3105</v>
      </c>
      <c r="F710" s="2" t="s">
        <v>74</v>
      </c>
      <c r="G710" s="6" t="s">
        <v>187</v>
      </c>
      <c r="H710" s="2" t="s">
        <v>1425</v>
      </c>
      <c r="I710" s="2" t="s">
        <v>1426</v>
      </c>
      <c r="J710" s="2" t="s">
        <v>19</v>
      </c>
      <c r="K710" s="2" t="s">
        <v>803</v>
      </c>
      <c r="L710" s="7" t="str">
        <f>HYPERLINK("http://slimages.macys.com/is/image/MCY/11882201 ")</f>
        <v xml:space="preserve">http://slimages.macys.com/is/image/MCY/11882201 </v>
      </c>
    </row>
    <row r="711" spans="1:12" ht="24.75" x14ac:dyDescent="0.25">
      <c r="A711" s="4" t="s">
        <v>8838</v>
      </c>
      <c r="B711" s="2" t="s">
        <v>8839</v>
      </c>
      <c r="C711" s="3">
        <v>1</v>
      </c>
      <c r="D711" s="5">
        <v>14.99</v>
      </c>
      <c r="E711" s="3" t="s">
        <v>8840</v>
      </c>
      <c r="F711" s="2" t="s">
        <v>64</v>
      </c>
      <c r="G711" s="6" t="s">
        <v>200</v>
      </c>
      <c r="H711" s="2" t="s">
        <v>1522</v>
      </c>
      <c r="I711" s="2" t="s">
        <v>1469</v>
      </c>
      <c r="J711" s="2" t="s">
        <v>19</v>
      </c>
      <c r="K711" s="2" t="s">
        <v>495</v>
      </c>
      <c r="L711" s="7" t="str">
        <f>HYPERLINK("http://slimages.macys.com/is/image/MCY/12269135 ")</f>
        <v xml:space="preserve">http://slimages.macys.com/is/image/MCY/12269135 </v>
      </c>
    </row>
    <row r="712" spans="1:12" ht="24.75" x14ac:dyDescent="0.25">
      <c r="A712" s="4" t="s">
        <v>3106</v>
      </c>
      <c r="B712" s="2" t="s">
        <v>1927</v>
      </c>
      <c r="C712" s="3">
        <v>2</v>
      </c>
      <c r="D712" s="5">
        <v>17.989999999999998</v>
      </c>
      <c r="E712" s="3" t="s">
        <v>3105</v>
      </c>
      <c r="F712" s="2" t="s">
        <v>74</v>
      </c>
      <c r="G712" s="6"/>
      <c r="H712" s="2" t="s">
        <v>1425</v>
      </c>
      <c r="I712" s="2" t="s">
        <v>1426</v>
      </c>
      <c r="J712" s="2" t="s">
        <v>19</v>
      </c>
      <c r="K712" s="2" t="s">
        <v>803</v>
      </c>
      <c r="L712" s="7" t="str">
        <f>HYPERLINK("http://slimages.macys.com/is/image/MCY/11882201 ")</f>
        <v xml:space="preserve">http://slimages.macys.com/is/image/MCY/11882201 </v>
      </c>
    </row>
    <row r="713" spans="1:12" ht="24.75" x14ac:dyDescent="0.25">
      <c r="A713" s="4" t="s">
        <v>1934</v>
      </c>
      <c r="B713" s="2" t="s">
        <v>1932</v>
      </c>
      <c r="C713" s="3">
        <v>1</v>
      </c>
      <c r="D713" s="5">
        <v>16.989999999999998</v>
      </c>
      <c r="E713" s="3" t="s">
        <v>1933</v>
      </c>
      <c r="F713" s="2" t="s">
        <v>15</v>
      </c>
      <c r="G713" s="6" t="s">
        <v>156</v>
      </c>
      <c r="H713" s="2" t="s">
        <v>1473</v>
      </c>
      <c r="I713" s="2" t="s">
        <v>1864</v>
      </c>
      <c r="J713" s="2" t="s">
        <v>19</v>
      </c>
      <c r="K713" s="2" t="s">
        <v>648</v>
      </c>
      <c r="L713" s="7" t="str">
        <f>HYPERLINK("http://slimages.macys.com/is/image/MCY/11634794 ")</f>
        <v xml:space="preserve">http://slimages.macys.com/is/image/MCY/11634794 </v>
      </c>
    </row>
    <row r="714" spans="1:12" ht="24.75" x14ac:dyDescent="0.25">
      <c r="A714" s="4" t="s">
        <v>3115</v>
      </c>
      <c r="B714" s="2" t="s">
        <v>1932</v>
      </c>
      <c r="C714" s="3">
        <v>1</v>
      </c>
      <c r="D714" s="5">
        <v>16.989999999999998</v>
      </c>
      <c r="E714" s="3" t="s">
        <v>1933</v>
      </c>
      <c r="F714" s="2" t="s">
        <v>15</v>
      </c>
      <c r="G714" s="6" t="s">
        <v>181</v>
      </c>
      <c r="H714" s="2" t="s">
        <v>1473</v>
      </c>
      <c r="I714" s="2" t="s">
        <v>1864</v>
      </c>
      <c r="J714" s="2" t="s">
        <v>19</v>
      </c>
      <c r="K714" s="2" t="s">
        <v>648</v>
      </c>
      <c r="L714" s="7" t="str">
        <f>HYPERLINK("http://slimages.macys.com/is/image/MCY/11634794 ")</f>
        <v xml:space="preserve">http://slimages.macys.com/is/image/MCY/11634794 </v>
      </c>
    </row>
    <row r="715" spans="1:12" ht="24.75" x14ac:dyDescent="0.25">
      <c r="A715" s="4" t="s">
        <v>3114</v>
      </c>
      <c r="B715" s="2" t="s">
        <v>1932</v>
      </c>
      <c r="C715" s="3">
        <v>1</v>
      </c>
      <c r="D715" s="5">
        <v>16.989999999999998</v>
      </c>
      <c r="E715" s="3" t="s">
        <v>1933</v>
      </c>
      <c r="F715" s="2" t="s">
        <v>15</v>
      </c>
      <c r="G715" s="6" t="s">
        <v>245</v>
      </c>
      <c r="H715" s="2" t="s">
        <v>1473</v>
      </c>
      <c r="I715" s="2" t="s">
        <v>1864</v>
      </c>
      <c r="J715" s="2" t="s">
        <v>19</v>
      </c>
      <c r="K715" s="2" t="s">
        <v>648</v>
      </c>
      <c r="L715" s="7" t="str">
        <f>HYPERLINK("http://slimages.macys.com/is/image/MCY/11634794 ")</f>
        <v xml:space="preserve">http://slimages.macys.com/is/image/MCY/11634794 </v>
      </c>
    </row>
    <row r="716" spans="1:12" ht="24.75" x14ac:dyDescent="0.25">
      <c r="A716" s="4" t="s">
        <v>8841</v>
      </c>
      <c r="B716" s="2" t="s">
        <v>6098</v>
      </c>
      <c r="C716" s="3">
        <v>1</v>
      </c>
      <c r="D716" s="5">
        <v>17.989999999999998</v>
      </c>
      <c r="E716" s="3" t="s">
        <v>8842</v>
      </c>
      <c r="F716" s="2" t="s">
        <v>74</v>
      </c>
      <c r="G716" s="6"/>
      <c r="H716" s="2" t="s">
        <v>632</v>
      </c>
      <c r="I716" s="2" t="s">
        <v>285</v>
      </c>
      <c r="J716" s="2" t="s">
        <v>19</v>
      </c>
      <c r="K716" s="2" t="s">
        <v>247</v>
      </c>
      <c r="L716" s="7" t="str">
        <f>HYPERLINK("http://slimages.macys.com/is/image/MCY/9400561 ")</f>
        <v xml:space="preserve">http://slimages.macys.com/is/image/MCY/9400561 </v>
      </c>
    </row>
    <row r="717" spans="1:12" ht="24.75" x14ac:dyDescent="0.25">
      <c r="A717" s="4" t="s">
        <v>8843</v>
      </c>
      <c r="B717" s="2" t="s">
        <v>7674</v>
      </c>
      <c r="C717" s="3">
        <v>1</v>
      </c>
      <c r="D717" s="5">
        <v>14.99</v>
      </c>
      <c r="E717" s="3" t="s">
        <v>7675</v>
      </c>
      <c r="F717" s="2" t="s">
        <v>33</v>
      </c>
      <c r="G717" s="6" t="s">
        <v>187</v>
      </c>
      <c r="H717" s="2" t="s">
        <v>1425</v>
      </c>
      <c r="I717" s="2" t="s">
        <v>1469</v>
      </c>
      <c r="J717" s="2" t="s">
        <v>19</v>
      </c>
      <c r="K717" s="2" t="s">
        <v>495</v>
      </c>
      <c r="L717" s="7" t="str">
        <f>HYPERLINK("http://slimages.macys.com/is/image/MCY/11028879 ")</f>
        <v xml:space="preserve">http://slimages.macys.com/is/image/MCY/11028879 </v>
      </c>
    </row>
    <row r="718" spans="1:12" ht="24.75" x14ac:dyDescent="0.25">
      <c r="A718" s="4" t="s">
        <v>8844</v>
      </c>
      <c r="B718" s="2" t="s">
        <v>7674</v>
      </c>
      <c r="C718" s="3">
        <v>2</v>
      </c>
      <c r="D718" s="5">
        <v>14.99</v>
      </c>
      <c r="E718" s="3" t="s">
        <v>7675</v>
      </c>
      <c r="F718" s="2" t="s">
        <v>33</v>
      </c>
      <c r="G718" s="6"/>
      <c r="H718" s="2" t="s">
        <v>1425</v>
      </c>
      <c r="I718" s="2" t="s">
        <v>1469</v>
      </c>
      <c r="J718" s="2" t="s">
        <v>19</v>
      </c>
      <c r="K718" s="2" t="s">
        <v>495</v>
      </c>
      <c r="L718" s="7" t="str">
        <f>HYPERLINK("http://slimages.macys.com/is/image/MCY/11028879 ")</f>
        <v xml:space="preserve">http://slimages.macys.com/is/image/MCY/11028879 </v>
      </c>
    </row>
    <row r="719" spans="1:12" ht="24.75" x14ac:dyDescent="0.25">
      <c r="A719" s="4" t="s">
        <v>8845</v>
      </c>
      <c r="B719" s="2" t="s">
        <v>1948</v>
      </c>
      <c r="C719" s="3">
        <v>1</v>
      </c>
      <c r="D719" s="5">
        <v>17.989999999999998</v>
      </c>
      <c r="E719" s="3" t="s">
        <v>1949</v>
      </c>
      <c r="F719" s="2" t="s">
        <v>15</v>
      </c>
      <c r="G719" s="6"/>
      <c r="H719" s="2" t="s">
        <v>1425</v>
      </c>
      <c r="I719" s="2" t="s">
        <v>1469</v>
      </c>
      <c r="J719" s="2" t="s">
        <v>19</v>
      </c>
      <c r="K719" s="2" t="s">
        <v>353</v>
      </c>
      <c r="L719" s="7" t="str">
        <f>HYPERLINK("http://slimages.macys.com/is/image/MCY/10743537 ")</f>
        <v xml:space="preserve">http://slimages.macys.com/is/image/MCY/10743537 </v>
      </c>
    </row>
    <row r="720" spans="1:12" ht="24.75" x14ac:dyDescent="0.25">
      <c r="A720" s="4" t="s">
        <v>8846</v>
      </c>
      <c r="B720" s="2" t="s">
        <v>1948</v>
      </c>
      <c r="C720" s="3">
        <v>1</v>
      </c>
      <c r="D720" s="5">
        <v>17.989999999999998</v>
      </c>
      <c r="E720" s="3" t="s">
        <v>1949</v>
      </c>
      <c r="F720" s="2" t="s">
        <v>64</v>
      </c>
      <c r="G720" s="6" t="s">
        <v>219</v>
      </c>
      <c r="H720" s="2" t="s">
        <v>1425</v>
      </c>
      <c r="I720" s="2" t="s">
        <v>1469</v>
      </c>
      <c r="J720" s="2" t="s">
        <v>19</v>
      </c>
      <c r="K720" s="2" t="s">
        <v>353</v>
      </c>
      <c r="L720" s="7" t="str">
        <f>HYPERLINK("http://slimages.macys.com/is/image/MCY/10743537 ")</f>
        <v xml:space="preserve">http://slimages.macys.com/is/image/MCY/10743537 </v>
      </c>
    </row>
    <row r="721" spans="1:12" ht="24.75" x14ac:dyDescent="0.25">
      <c r="A721" s="4" t="s">
        <v>8847</v>
      </c>
      <c r="B721" s="2" t="s">
        <v>1948</v>
      </c>
      <c r="C721" s="3">
        <v>1</v>
      </c>
      <c r="D721" s="5">
        <v>17.989999999999998</v>
      </c>
      <c r="E721" s="3" t="s">
        <v>1949</v>
      </c>
      <c r="F721" s="2" t="s">
        <v>74</v>
      </c>
      <c r="G721" s="6" t="s">
        <v>219</v>
      </c>
      <c r="H721" s="2" t="s">
        <v>1425</v>
      </c>
      <c r="I721" s="2" t="s">
        <v>1469</v>
      </c>
      <c r="J721" s="2" t="s">
        <v>19</v>
      </c>
      <c r="K721" s="2" t="s">
        <v>353</v>
      </c>
      <c r="L721" s="7" t="str">
        <f>HYPERLINK("http://slimages.macys.com/is/image/MCY/10743537 ")</f>
        <v xml:space="preserve">http://slimages.macys.com/is/image/MCY/10743537 </v>
      </c>
    </row>
    <row r="722" spans="1:12" ht="24.75" x14ac:dyDescent="0.25">
      <c r="A722" s="4" t="s">
        <v>8848</v>
      </c>
      <c r="B722" s="2" t="s">
        <v>1942</v>
      </c>
      <c r="C722" s="3">
        <v>2</v>
      </c>
      <c r="D722" s="5">
        <v>17.989999999999998</v>
      </c>
      <c r="E722" s="3" t="s">
        <v>1943</v>
      </c>
      <c r="F722" s="2" t="s">
        <v>26</v>
      </c>
      <c r="G722" s="6" t="s">
        <v>154</v>
      </c>
      <c r="H722" s="2" t="s">
        <v>1522</v>
      </c>
      <c r="I722" s="2" t="s">
        <v>1469</v>
      </c>
      <c r="J722" s="2" t="s">
        <v>19</v>
      </c>
      <c r="K722" s="2" t="s">
        <v>353</v>
      </c>
      <c r="L722" s="7" t="str">
        <f>HYPERLINK("http://slimages.macys.com/is/image/MCY/10743541 ")</f>
        <v xml:space="preserve">http://slimages.macys.com/is/image/MCY/10743541 </v>
      </c>
    </row>
    <row r="723" spans="1:12" ht="24.75" x14ac:dyDescent="0.25">
      <c r="A723" s="4" t="s">
        <v>6881</v>
      </c>
      <c r="B723" s="2" t="s">
        <v>3122</v>
      </c>
      <c r="C723" s="3">
        <v>2</v>
      </c>
      <c r="D723" s="5">
        <v>14.99</v>
      </c>
      <c r="E723" s="3" t="s">
        <v>3123</v>
      </c>
      <c r="F723" s="2" t="s">
        <v>79</v>
      </c>
      <c r="G723" s="6" t="s">
        <v>156</v>
      </c>
      <c r="H723" s="2" t="s">
        <v>1522</v>
      </c>
      <c r="I723" s="2" t="s">
        <v>1469</v>
      </c>
      <c r="J723" s="2" t="s">
        <v>19</v>
      </c>
      <c r="K723" s="2" t="s">
        <v>495</v>
      </c>
      <c r="L723" s="7" t="str">
        <f>HYPERLINK("http://slimages.macys.com/is/image/MCY/9957413 ")</f>
        <v xml:space="preserve">http://slimages.macys.com/is/image/MCY/9957413 </v>
      </c>
    </row>
    <row r="724" spans="1:12" ht="24.75" x14ac:dyDescent="0.25">
      <c r="A724" s="4" t="s">
        <v>4193</v>
      </c>
      <c r="B724" s="2" t="s">
        <v>3122</v>
      </c>
      <c r="C724" s="3">
        <v>3</v>
      </c>
      <c r="D724" s="5">
        <v>14.99</v>
      </c>
      <c r="E724" s="3" t="s">
        <v>3123</v>
      </c>
      <c r="F724" s="2" t="s">
        <v>79</v>
      </c>
      <c r="G724" s="6" t="s">
        <v>234</v>
      </c>
      <c r="H724" s="2" t="s">
        <v>1522</v>
      </c>
      <c r="I724" s="2" t="s">
        <v>1469</v>
      </c>
      <c r="J724" s="2" t="s">
        <v>19</v>
      </c>
      <c r="K724" s="2" t="s">
        <v>495</v>
      </c>
      <c r="L724" s="7" t="str">
        <f>HYPERLINK("http://slimages.macys.com/is/image/MCY/9957413 ")</f>
        <v xml:space="preserve">http://slimages.macys.com/is/image/MCY/9957413 </v>
      </c>
    </row>
    <row r="725" spans="1:12" ht="24.75" x14ac:dyDescent="0.25">
      <c r="A725" s="4" t="s">
        <v>4194</v>
      </c>
      <c r="B725" s="2" t="s">
        <v>3122</v>
      </c>
      <c r="C725" s="3">
        <v>1</v>
      </c>
      <c r="D725" s="5">
        <v>14.99</v>
      </c>
      <c r="E725" s="3" t="s">
        <v>3123</v>
      </c>
      <c r="F725" s="2" t="s">
        <v>79</v>
      </c>
      <c r="G725" s="6" t="s">
        <v>181</v>
      </c>
      <c r="H725" s="2" t="s">
        <v>1522</v>
      </c>
      <c r="I725" s="2" t="s">
        <v>1469</v>
      </c>
      <c r="J725" s="2" t="s">
        <v>19</v>
      </c>
      <c r="K725" s="2" t="s">
        <v>495</v>
      </c>
      <c r="L725" s="7" t="str">
        <f>HYPERLINK("http://slimages.macys.com/is/image/MCY/9957413 ")</f>
        <v xml:space="preserve">http://slimages.macys.com/is/image/MCY/9957413 </v>
      </c>
    </row>
    <row r="726" spans="1:12" ht="24.75" x14ac:dyDescent="0.25">
      <c r="A726" s="4" t="s">
        <v>8849</v>
      </c>
      <c r="B726" s="2" t="s">
        <v>8850</v>
      </c>
      <c r="C726" s="3">
        <v>1</v>
      </c>
      <c r="D726" s="5">
        <v>17.989999999999998</v>
      </c>
      <c r="E726" s="3" t="s">
        <v>8851</v>
      </c>
      <c r="F726" s="2" t="s">
        <v>74</v>
      </c>
      <c r="G726" s="6" t="s">
        <v>181</v>
      </c>
      <c r="H726" s="2" t="s">
        <v>1473</v>
      </c>
      <c r="I726" s="2" t="s">
        <v>1426</v>
      </c>
      <c r="J726" s="2" t="s">
        <v>19</v>
      </c>
      <c r="K726" s="2" t="s">
        <v>990</v>
      </c>
      <c r="L726" s="7" t="str">
        <f>HYPERLINK("http://slimages.macys.com/is/image/MCY/12646601 ")</f>
        <v xml:space="preserve">http://slimages.macys.com/is/image/MCY/12646601 </v>
      </c>
    </row>
    <row r="727" spans="1:12" ht="24.75" x14ac:dyDescent="0.25">
      <c r="A727" s="4" t="s">
        <v>8852</v>
      </c>
      <c r="B727" s="2" t="s">
        <v>1948</v>
      </c>
      <c r="C727" s="3">
        <v>1</v>
      </c>
      <c r="D727" s="5">
        <v>17.989999999999998</v>
      </c>
      <c r="E727" s="3" t="s">
        <v>1949</v>
      </c>
      <c r="F727" s="2" t="s">
        <v>1945</v>
      </c>
      <c r="G727" s="6" t="s">
        <v>219</v>
      </c>
      <c r="H727" s="2" t="s">
        <v>1425</v>
      </c>
      <c r="I727" s="2" t="s">
        <v>1469</v>
      </c>
      <c r="J727" s="2" t="s">
        <v>19</v>
      </c>
      <c r="K727" s="2" t="s">
        <v>353</v>
      </c>
      <c r="L727" s="7" t="str">
        <f>HYPERLINK("http://slimages.macys.com/is/image/MCY/10743537 ")</f>
        <v xml:space="preserve">http://slimages.macys.com/is/image/MCY/10743537 </v>
      </c>
    </row>
    <row r="728" spans="1:12" ht="24.75" x14ac:dyDescent="0.25">
      <c r="A728" s="4" t="s">
        <v>3167</v>
      </c>
      <c r="B728" s="2" t="s">
        <v>3128</v>
      </c>
      <c r="C728" s="3">
        <v>1</v>
      </c>
      <c r="D728" s="5">
        <v>14.99</v>
      </c>
      <c r="E728" s="3" t="s">
        <v>3129</v>
      </c>
      <c r="F728" s="2" t="s">
        <v>26</v>
      </c>
      <c r="G728" s="6" t="s">
        <v>219</v>
      </c>
      <c r="H728" s="2" t="s">
        <v>1425</v>
      </c>
      <c r="I728" s="2" t="s">
        <v>1426</v>
      </c>
      <c r="J728" s="2" t="s">
        <v>19</v>
      </c>
      <c r="K728" s="2" t="s">
        <v>495</v>
      </c>
      <c r="L728" s="7" t="str">
        <f>HYPERLINK("http://slimages.macys.com/is/image/MCY/12064003 ")</f>
        <v xml:space="preserve">http://slimages.macys.com/is/image/MCY/12064003 </v>
      </c>
    </row>
    <row r="729" spans="1:12" ht="24.75" x14ac:dyDescent="0.25">
      <c r="A729" s="4" t="s">
        <v>5201</v>
      </c>
      <c r="B729" s="2" t="s">
        <v>3128</v>
      </c>
      <c r="C729" s="3">
        <v>1</v>
      </c>
      <c r="D729" s="5">
        <v>14.99</v>
      </c>
      <c r="E729" s="3" t="s">
        <v>3129</v>
      </c>
      <c r="F729" s="2" t="s">
        <v>26</v>
      </c>
      <c r="G729" s="6"/>
      <c r="H729" s="2" t="s">
        <v>1425</v>
      </c>
      <c r="I729" s="2" t="s">
        <v>1426</v>
      </c>
      <c r="J729" s="2" t="s">
        <v>19</v>
      </c>
      <c r="K729" s="2" t="s">
        <v>495</v>
      </c>
      <c r="L729" s="7" t="str">
        <f>HYPERLINK("http://slimages.macys.com/is/image/MCY/12064003 ")</f>
        <v xml:space="preserve">http://slimages.macys.com/is/image/MCY/12064003 </v>
      </c>
    </row>
    <row r="730" spans="1:12" ht="24.75" x14ac:dyDescent="0.25">
      <c r="A730" s="4" t="s">
        <v>8853</v>
      </c>
      <c r="B730" s="2" t="s">
        <v>1951</v>
      </c>
      <c r="C730" s="3">
        <v>1</v>
      </c>
      <c r="D730" s="5">
        <v>14.99</v>
      </c>
      <c r="E730" s="3" t="s">
        <v>1952</v>
      </c>
      <c r="F730" s="2" t="s">
        <v>417</v>
      </c>
      <c r="G730" s="6" t="s">
        <v>154</v>
      </c>
      <c r="H730" s="2" t="s">
        <v>1473</v>
      </c>
      <c r="I730" s="2" t="s">
        <v>1426</v>
      </c>
      <c r="J730" s="2" t="s">
        <v>19</v>
      </c>
      <c r="K730" s="2" t="s">
        <v>495</v>
      </c>
      <c r="L730" s="7" t="str">
        <f>HYPERLINK("http://slimages.macys.com/is/image/MCY/12327052 ")</f>
        <v xml:space="preserve">http://slimages.macys.com/is/image/MCY/12327052 </v>
      </c>
    </row>
    <row r="731" spans="1:12" ht="24.75" x14ac:dyDescent="0.25">
      <c r="A731" s="4" t="s">
        <v>3127</v>
      </c>
      <c r="B731" s="2" t="s">
        <v>3128</v>
      </c>
      <c r="C731" s="3">
        <v>2</v>
      </c>
      <c r="D731" s="5">
        <v>14.99</v>
      </c>
      <c r="E731" s="3" t="s">
        <v>3129</v>
      </c>
      <c r="F731" s="2" t="s">
        <v>26</v>
      </c>
      <c r="G731" s="6"/>
      <c r="H731" s="2" t="s">
        <v>1425</v>
      </c>
      <c r="I731" s="2" t="s">
        <v>1426</v>
      </c>
      <c r="J731" s="2" t="s">
        <v>19</v>
      </c>
      <c r="K731" s="2" t="s">
        <v>495</v>
      </c>
      <c r="L731" s="7" t="str">
        <f>HYPERLINK("http://slimages.macys.com/is/image/MCY/12064003 ")</f>
        <v xml:space="preserve">http://slimages.macys.com/is/image/MCY/12064003 </v>
      </c>
    </row>
    <row r="732" spans="1:12" ht="24.75" x14ac:dyDescent="0.25">
      <c r="A732" s="4" t="s">
        <v>8854</v>
      </c>
      <c r="B732" s="2" t="s">
        <v>3155</v>
      </c>
      <c r="C732" s="3">
        <v>1</v>
      </c>
      <c r="D732" s="5">
        <v>14.99</v>
      </c>
      <c r="E732" s="3" t="s">
        <v>8855</v>
      </c>
      <c r="F732" s="2" t="s">
        <v>413</v>
      </c>
      <c r="G732" s="6"/>
      <c r="H732" s="2" t="s">
        <v>1425</v>
      </c>
      <c r="I732" s="2" t="s">
        <v>1426</v>
      </c>
      <c r="J732" s="2" t="s">
        <v>19</v>
      </c>
      <c r="K732" s="2" t="s">
        <v>495</v>
      </c>
      <c r="L732" s="7" t="str">
        <f>HYPERLINK("http://slimages.macys.com/is/image/MCY/11832052 ")</f>
        <v xml:space="preserve">http://slimages.macys.com/is/image/MCY/11832052 </v>
      </c>
    </row>
    <row r="733" spans="1:12" ht="24.75" x14ac:dyDescent="0.25">
      <c r="A733" s="4" t="s">
        <v>8856</v>
      </c>
      <c r="B733" s="2" t="s">
        <v>3140</v>
      </c>
      <c r="C733" s="3">
        <v>1</v>
      </c>
      <c r="D733" s="5">
        <v>14.99</v>
      </c>
      <c r="E733" s="3" t="s">
        <v>4204</v>
      </c>
      <c r="F733" s="2" t="s">
        <v>15</v>
      </c>
      <c r="G733" s="6"/>
      <c r="H733" s="2" t="s">
        <v>1425</v>
      </c>
      <c r="I733" s="2" t="s">
        <v>1426</v>
      </c>
      <c r="J733" s="2" t="s">
        <v>19</v>
      </c>
      <c r="K733" s="2" t="s">
        <v>495</v>
      </c>
      <c r="L733" s="7" t="str">
        <f>HYPERLINK("http://slimages.macys.com/is/image/MCY/11774199 ")</f>
        <v xml:space="preserve">http://slimages.macys.com/is/image/MCY/11774199 </v>
      </c>
    </row>
    <row r="734" spans="1:12" ht="24.75" x14ac:dyDescent="0.25">
      <c r="A734" s="4" t="s">
        <v>3152</v>
      </c>
      <c r="B734" s="2" t="s">
        <v>3137</v>
      </c>
      <c r="C734" s="3">
        <v>1</v>
      </c>
      <c r="D734" s="5">
        <v>14.99</v>
      </c>
      <c r="E734" s="3" t="s">
        <v>3153</v>
      </c>
      <c r="F734" s="2" t="s">
        <v>26</v>
      </c>
      <c r="G734" s="6" t="s">
        <v>181</v>
      </c>
      <c r="H734" s="2" t="s">
        <v>1473</v>
      </c>
      <c r="I734" s="2" t="s">
        <v>1426</v>
      </c>
      <c r="J734" s="2" t="s">
        <v>19</v>
      </c>
      <c r="K734" s="2" t="s">
        <v>495</v>
      </c>
      <c r="L734" s="7" t="str">
        <f>HYPERLINK("http://slimages.macys.com/is/image/MCY/11915563 ")</f>
        <v xml:space="preserve">http://slimages.macys.com/is/image/MCY/11915563 </v>
      </c>
    </row>
    <row r="735" spans="1:12" ht="24.75" x14ac:dyDescent="0.25">
      <c r="A735" s="4" t="s">
        <v>8857</v>
      </c>
      <c r="B735" s="2" t="s">
        <v>3155</v>
      </c>
      <c r="C735" s="3">
        <v>1</v>
      </c>
      <c r="D735" s="5">
        <v>14.99</v>
      </c>
      <c r="E735" s="3" t="s">
        <v>3156</v>
      </c>
      <c r="F735" s="2" t="s">
        <v>413</v>
      </c>
      <c r="G735" s="6" t="s">
        <v>181</v>
      </c>
      <c r="H735" s="2" t="s">
        <v>1473</v>
      </c>
      <c r="I735" s="2" t="s">
        <v>1426</v>
      </c>
      <c r="J735" s="2" t="s">
        <v>19</v>
      </c>
      <c r="K735" s="2" t="s">
        <v>495</v>
      </c>
      <c r="L735" s="7" t="str">
        <f>HYPERLINK("http://slimages.macys.com/is/image/MCY/11832049 ")</f>
        <v xml:space="preserve">http://slimages.macys.com/is/image/MCY/11832049 </v>
      </c>
    </row>
    <row r="736" spans="1:12" ht="24.75" x14ac:dyDescent="0.25">
      <c r="A736" s="4" t="s">
        <v>8858</v>
      </c>
      <c r="B736" s="2" t="s">
        <v>3128</v>
      </c>
      <c r="C736" s="3">
        <v>1</v>
      </c>
      <c r="D736" s="5">
        <v>14.99</v>
      </c>
      <c r="E736" s="3" t="s">
        <v>3129</v>
      </c>
      <c r="F736" s="2" t="s">
        <v>26</v>
      </c>
      <c r="G736" s="6"/>
      <c r="H736" s="2" t="s">
        <v>1425</v>
      </c>
      <c r="I736" s="2" t="s">
        <v>1426</v>
      </c>
      <c r="J736" s="2" t="s">
        <v>19</v>
      </c>
      <c r="K736" s="2" t="s">
        <v>495</v>
      </c>
      <c r="L736" s="7" t="str">
        <f>HYPERLINK("http://slimages.macys.com/is/image/MCY/12064003 ")</f>
        <v xml:space="preserve">http://slimages.macys.com/is/image/MCY/12064003 </v>
      </c>
    </row>
    <row r="737" spans="1:12" ht="24.75" x14ac:dyDescent="0.25">
      <c r="A737" s="4" t="s">
        <v>8859</v>
      </c>
      <c r="B737" s="2" t="s">
        <v>2068</v>
      </c>
      <c r="C737" s="3">
        <v>1</v>
      </c>
      <c r="D737" s="5">
        <v>12.99</v>
      </c>
      <c r="E737" s="3" t="s">
        <v>2069</v>
      </c>
      <c r="F737" s="2" t="s">
        <v>70</v>
      </c>
      <c r="G737" s="6" t="s">
        <v>156</v>
      </c>
      <c r="H737" s="2" t="s">
        <v>194</v>
      </c>
      <c r="I737" s="2" t="s">
        <v>195</v>
      </c>
      <c r="J737" s="2" t="s">
        <v>19</v>
      </c>
      <c r="K737" s="2" t="s">
        <v>648</v>
      </c>
      <c r="L737" s="7" t="str">
        <f>HYPERLINK("http://slimages.macys.com/is/image/MCY/12316464 ")</f>
        <v xml:space="preserve">http://slimages.macys.com/is/image/MCY/12316464 </v>
      </c>
    </row>
    <row r="738" spans="1:12" ht="24.75" x14ac:dyDescent="0.25">
      <c r="A738" s="4" t="s">
        <v>8860</v>
      </c>
      <c r="B738" s="2" t="s">
        <v>1962</v>
      </c>
      <c r="C738" s="3">
        <v>1</v>
      </c>
      <c r="D738" s="5">
        <v>21.99</v>
      </c>
      <c r="E738" s="3">
        <v>100017611</v>
      </c>
      <c r="F738" s="2" t="s">
        <v>956</v>
      </c>
      <c r="G738" s="6" t="s">
        <v>245</v>
      </c>
      <c r="H738" s="2" t="s">
        <v>284</v>
      </c>
      <c r="I738" s="2" t="s">
        <v>285</v>
      </c>
      <c r="J738" s="2" t="s">
        <v>19</v>
      </c>
      <c r="K738" s="2" t="s">
        <v>247</v>
      </c>
      <c r="L738" s="7" t="str">
        <f>HYPERLINK("http://slimages.macys.com/is/image/MCY/14013654 ")</f>
        <v xml:space="preserve">http://slimages.macys.com/is/image/MCY/14013654 </v>
      </c>
    </row>
    <row r="739" spans="1:12" ht="24.75" x14ac:dyDescent="0.25">
      <c r="A739" s="4" t="s">
        <v>5210</v>
      </c>
      <c r="B739" s="2" t="s">
        <v>1970</v>
      </c>
      <c r="C739" s="3">
        <v>1</v>
      </c>
      <c r="D739" s="5">
        <v>14.99</v>
      </c>
      <c r="E739" s="3" t="s">
        <v>1971</v>
      </c>
      <c r="F739" s="2" t="s">
        <v>1945</v>
      </c>
      <c r="G739" s="6" t="s">
        <v>156</v>
      </c>
      <c r="H739" s="2" t="s">
        <v>1522</v>
      </c>
      <c r="I739" s="2" t="s">
        <v>1469</v>
      </c>
      <c r="J739" s="2" t="s">
        <v>19</v>
      </c>
      <c r="K739" s="2" t="s">
        <v>353</v>
      </c>
      <c r="L739" s="7" t="str">
        <f>HYPERLINK("http://slimages.macys.com/is/image/MCY/13741861 ")</f>
        <v xml:space="preserve">http://slimages.macys.com/is/image/MCY/13741861 </v>
      </c>
    </row>
    <row r="740" spans="1:12" ht="24.75" x14ac:dyDescent="0.25">
      <c r="A740" s="4" t="s">
        <v>8861</v>
      </c>
      <c r="B740" s="2" t="s">
        <v>3181</v>
      </c>
      <c r="C740" s="3">
        <v>1</v>
      </c>
      <c r="D740" s="5">
        <v>14.99</v>
      </c>
      <c r="E740" s="3" t="s">
        <v>3182</v>
      </c>
      <c r="F740" s="2" t="s">
        <v>38</v>
      </c>
      <c r="G740" s="6"/>
      <c r="H740" s="2" t="s">
        <v>1425</v>
      </c>
      <c r="I740" s="2" t="s">
        <v>1469</v>
      </c>
      <c r="J740" s="2" t="s">
        <v>19</v>
      </c>
      <c r="K740" s="2" t="s">
        <v>353</v>
      </c>
      <c r="L740" s="7" t="str">
        <f>HYPERLINK("http://slimages.macys.com/is/image/MCY/10743852 ")</f>
        <v xml:space="preserve">http://slimages.macys.com/is/image/MCY/10743852 </v>
      </c>
    </row>
    <row r="741" spans="1:12" ht="24.75" x14ac:dyDescent="0.25">
      <c r="A741" s="4" t="s">
        <v>8862</v>
      </c>
      <c r="B741" s="2" t="s">
        <v>1970</v>
      </c>
      <c r="C741" s="3">
        <v>1</v>
      </c>
      <c r="D741" s="5">
        <v>14.99</v>
      </c>
      <c r="E741" s="3" t="s">
        <v>1971</v>
      </c>
      <c r="F741" s="2" t="s">
        <v>1945</v>
      </c>
      <c r="G741" s="6" t="s">
        <v>200</v>
      </c>
      <c r="H741" s="2" t="s">
        <v>1522</v>
      </c>
      <c r="I741" s="2" t="s">
        <v>1469</v>
      </c>
      <c r="J741" s="2" t="s">
        <v>19</v>
      </c>
      <c r="K741" s="2" t="s">
        <v>353</v>
      </c>
      <c r="L741" s="7" t="str">
        <f>HYPERLINK("http://slimages.macys.com/is/image/MCY/13741861 ")</f>
        <v xml:space="preserve">http://slimages.macys.com/is/image/MCY/13741861 </v>
      </c>
    </row>
    <row r="742" spans="1:12" ht="24.75" x14ac:dyDescent="0.25">
      <c r="A742" s="4" t="s">
        <v>4219</v>
      </c>
      <c r="B742" s="2" t="s">
        <v>1970</v>
      </c>
      <c r="C742" s="3">
        <v>1</v>
      </c>
      <c r="D742" s="5">
        <v>14.99</v>
      </c>
      <c r="E742" s="3" t="s">
        <v>1971</v>
      </c>
      <c r="F742" s="2" t="s">
        <v>1945</v>
      </c>
      <c r="G742" s="6" t="s">
        <v>234</v>
      </c>
      <c r="H742" s="2" t="s">
        <v>1522</v>
      </c>
      <c r="I742" s="2" t="s">
        <v>1469</v>
      </c>
      <c r="J742" s="2" t="s">
        <v>19</v>
      </c>
      <c r="K742" s="2" t="s">
        <v>353</v>
      </c>
      <c r="L742" s="7" t="str">
        <f>HYPERLINK("http://slimages.macys.com/is/image/MCY/13741861 ")</f>
        <v xml:space="preserve">http://slimages.macys.com/is/image/MCY/13741861 </v>
      </c>
    </row>
    <row r="743" spans="1:12" ht="24.75" x14ac:dyDescent="0.25">
      <c r="A743" s="4" t="s">
        <v>4217</v>
      </c>
      <c r="B743" s="2" t="s">
        <v>1970</v>
      </c>
      <c r="C743" s="3">
        <v>1</v>
      </c>
      <c r="D743" s="5">
        <v>14.99</v>
      </c>
      <c r="E743" s="3" t="s">
        <v>1971</v>
      </c>
      <c r="F743" s="2" t="s">
        <v>64</v>
      </c>
      <c r="G743" s="6" t="s">
        <v>154</v>
      </c>
      <c r="H743" s="2" t="s">
        <v>1522</v>
      </c>
      <c r="I743" s="2" t="s">
        <v>1469</v>
      </c>
      <c r="J743" s="2" t="s">
        <v>19</v>
      </c>
      <c r="K743" s="2" t="s">
        <v>353</v>
      </c>
      <c r="L743" s="7" t="str">
        <f>HYPERLINK("http://slimages.macys.com/is/image/MCY/13741861 ")</f>
        <v xml:space="preserve">http://slimages.macys.com/is/image/MCY/13741861 </v>
      </c>
    </row>
    <row r="744" spans="1:12" ht="24.75" x14ac:dyDescent="0.25">
      <c r="A744" s="4" t="s">
        <v>4226</v>
      </c>
      <c r="B744" s="2" t="s">
        <v>1973</v>
      </c>
      <c r="C744" s="3">
        <v>1</v>
      </c>
      <c r="D744" s="5">
        <v>16.989999999999998</v>
      </c>
      <c r="E744" s="3" t="s">
        <v>1974</v>
      </c>
      <c r="F744" s="2" t="s">
        <v>15</v>
      </c>
      <c r="G744" s="6" t="s">
        <v>234</v>
      </c>
      <c r="H744" s="2" t="s">
        <v>1473</v>
      </c>
      <c r="I744" s="2" t="s">
        <v>1864</v>
      </c>
      <c r="J744" s="2" t="s">
        <v>19</v>
      </c>
      <c r="K744" s="2" t="s">
        <v>648</v>
      </c>
      <c r="L744" s="7" t="str">
        <f>HYPERLINK("http://slimages.macys.com/is/image/MCY/11634794 ")</f>
        <v xml:space="preserve">http://slimages.macys.com/is/image/MCY/11634794 </v>
      </c>
    </row>
    <row r="745" spans="1:12" ht="24.75" x14ac:dyDescent="0.25">
      <c r="A745" s="4" t="s">
        <v>3185</v>
      </c>
      <c r="B745" s="2" t="s">
        <v>1973</v>
      </c>
      <c r="C745" s="3">
        <v>3</v>
      </c>
      <c r="D745" s="5">
        <v>16.989999999999998</v>
      </c>
      <c r="E745" s="3" t="s">
        <v>1974</v>
      </c>
      <c r="F745" s="2" t="s">
        <v>998</v>
      </c>
      <c r="G745" s="6" t="s">
        <v>154</v>
      </c>
      <c r="H745" s="2" t="s">
        <v>1473</v>
      </c>
      <c r="I745" s="2" t="s">
        <v>1864</v>
      </c>
      <c r="J745" s="2" t="s">
        <v>19</v>
      </c>
      <c r="K745" s="2" t="s">
        <v>648</v>
      </c>
      <c r="L745" s="7" t="str">
        <f>HYPERLINK("http://slimages.macys.com/is/image/MCY/11634794 ")</f>
        <v xml:space="preserve">http://slimages.macys.com/is/image/MCY/11634794 </v>
      </c>
    </row>
    <row r="746" spans="1:12" ht="24.75" x14ac:dyDescent="0.25">
      <c r="A746" s="4" t="s">
        <v>8863</v>
      </c>
      <c r="B746" s="2" t="s">
        <v>1973</v>
      </c>
      <c r="C746" s="3">
        <v>1</v>
      </c>
      <c r="D746" s="5">
        <v>16.989999999999998</v>
      </c>
      <c r="E746" s="3" t="s">
        <v>1974</v>
      </c>
      <c r="F746" s="2" t="s">
        <v>1322</v>
      </c>
      <c r="G746" s="6" t="s">
        <v>154</v>
      </c>
      <c r="H746" s="2" t="s">
        <v>1473</v>
      </c>
      <c r="I746" s="2" t="s">
        <v>1864</v>
      </c>
      <c r="J746" s="2" t="s">
        <v>19</v>
      </c>
      <c r="K746" s="2" t="s">
        <v>648</v>
      </c>
      <c r="L746" s="7" t="str">
        <f>HYPERLINK("http://slimages.macys.com/is/image/MCY/11634794 ")</f>
        <v xml:space="preserve">http://slimages.macys.com/is/image/MCY/11634794 </v>
      </c>
    </row>
    <row r="747" spans="1:12" ht="24.75" x14ac:dyDescent="0.25">
      <c r="A747" s="4" t="s">
        <v>5215</v>
      </c>
      <c r="B747" s="2" t="s">
        <v>1973</v>
      </c>
      <c r="C747" s="3">
        <v>2</v>
      </c>
      <c r="D747" s="5">
        <v>16.989999999999998</v>
      </c>
      <c r="E747" s="3" t="s">
        <v>1976</v>
      </c>
      <c r="F747" s="2" t="s">
        <v>70</v>
      </c>
      <c r="G747" s="6" t="s">
        <v>219</v>
      </c>
      <c r="H747" s="2" t="s">
        <v>1425</v>
      </c>
      <c r="I747" s="2" t="s">
        <v>1864</v>
      </c>
      <c r="J747" s="2" t="s">
        <v>19</v>
      </c>
      <c r="K747" s="2" t="s">
        <v>648</v>
      </c>
      <c r="L747" s="7" t="str">
        <f>HYPERLINK("http://slimages.macys.com/is/image/MCY/11634785 ")</f>
        <v xml:space="preserve">http://slimages.macys.com/is/image/MCY/11634785 </v>
      </c>
    </row>
    <row r="748" spans="1:12" ht="24.75" x14ac:dyDescent="0.25">
      <c r="A748" s="4" t="s">
        <v>6897</v>
      </c>
      <c r="B748" s="2" t="s">
        <v>1973</v>
      </c>
      <c r="C748" s="3">
        <v>1</v>
      </c>
      <c r="D748" s="5">
        <v>16.989999999999998</v>
      </c>
      <c r="E748" s="3" t="s">
        <v>1976</v>
      </c>
      <c r="F748" s="2" t="s">
        <v>1296</v>
      </c>
      <c r="G748" s="6" t="s">
        <v>187</v>
      </c>
      <c r="H748" s="2" t="s">
        <v>1425</v>
      </c>
      <c r="I748" s="2" t="s">
        <v>1864</v>
      </c>
      <c r="J748" s="2" t="s">
        <v>19</v>
      </c>
      <c r="K748" s="2" t="s">
        <v>648</v>
      </c>
      <c r="L748" s="7" t="str">
        <f>HYPERLINK("http://slimages.macys.com/is/image/MCY/11634785 ")</f>
        <v xml:space="preserve">http://slimages.macys.com/is/image/MCY/11634785 </v>
      </c>
    </row>
    <row r="749" spans="1:12" ht="24.75" x14ac:dyDescent="0.25">
      <c r="A749" s="4" t="s">
        <v>4229</v>
      </c>
      <c r="B749" s="2" t="s">
        <v>1973</v>
      </c>
      <c r="C749" s="3">
        <v>1</v>
      </c>
      <c r="D749" s="5">
        <v>16.989999999999998</v>
      </c>
      <c r="E749" s="3" t="s">
        <v>1976</v>
      </c>
      <c r="F749" s="2" t="s">
        <v>998</v>
      </c>
      <c r="G749" s="6"/>
      <c r="H749" s="2" t="s">
        <v>1425</v>
      </c>
      <c r="I749" s="2" t="s">
        <v>1864</v>
      </c>
      <c r="J749" s="2" t="s">
        <v>19</v>
      </c>
      <c r="K749" s="2" t="s">
        <v>648</v>
      </c>
      <c r="L749" s="7" t="str">
        <f>HYPERLINK("http://slimages.macys.com/is/image/MCY/11634785 ")</f>
        <v xml:space="preserve">http://slimages.macys.com/is/image/MCY/11634785 </v>
      </c>
    </row>
    <row r="750" spans="1:12" ht="24.75" x14ac:dyDescent="0.25">
      <c r="A750" s="4" t="s">
        <v>8368</v>
      </c>
      <c r="B750" s="2" t="s">
        <v>1973</v>
      </c>
      <c r="C750" s="3">
        <v>1</v>
      </c>
      <c r="D750" s="5">
        <v>16.989999999999998</v>
      </c>
      <c r="E750" s="3" t="s">
        <v>1974</v>
      </c>
      <c r="F750" s="2" t="s">
        <v>998</v>
      </c>
      <c r="G750" s="6" t="s">
        <v>234</v>
      </c>
      <c r="H750" s="2" t="s">
        <v>1473</v>
      </c>
      <c r="I750" s="2" t="s">
        <v>1864</v>
      </c>
      <c r="J750" s="2" t="s">
        <v>19</v>
      </c>
      <c r="K750" s="2" t="s">
        <v>648</v>
      </c>
      <c r="L750" s="7" t="str">
        <f>HYPERLINK("http://slimages.macys.com/is/image/MCY/11634794 ")</f>
        <v xml:space="preserve">http://slimages.macys.com/is/image/MCY/11634794 </v>
      </c>
    </row>
    <row r="751" spans="1:12" ht="24.75" x14ac:dyDescent="0.25">
      <c r="A751" s="4" t="s">
        <v>8864</v>
      </c>
      <c r="B751" s="2" t="s">
        <v>1973</v>
      </c>
      <c r="C751" s="3">
        <v>1</v>
      </c>
      <c r="D751" s="5">
        <v>16.989999999999998</v>
      </c>
      <c r="E751" s="3" t="s">
        <v>1976</v>
      </c>
      <c r="F751" s="2" t="s">
        <v>15</v>
      </c>
      <c r="G751" s="6"/>
      <c r="H751" s="2" t="s">
        <v>1425</v>
      </c>
      <c r="I751" s="2" t="s">
        <v>1864</v>
      </c>
      <c r="J751" s="2" t="s">
        <v>19</v>
      </c>
      <c r="K751" s="2" t="s">
        <v>648</v>
      </c>
      <c r="L751" s="7" t="str">
        <f>HYPERLINK("http://slimages.macys.com/is/image/MCY/11634785 ")</f>
        <v xml:space="preserve">http://slimages.macys.com/is/image/MCY/11634785 </v>
      </c>
    </row>
    <row r="752" spans="1:12" ht="24.75" x14ac:dyDescent="0.25">
      <c r="A752" s="4" t="s">
        <v>1985</v>
      </c>
      <c r="B752" s="2" t="s">
        <v>1973</v>
      </c>
      <c r="C752" s="3">
        <v>1</v>
      </c>
      <c r="D752" s="5">
        <v>16.989999999999998</v>
      </c>
      <c r="E752" s="3" t="s">
        <v>1976</v>
      </c>
      <c r="F752" s="2" t="s">
        <v>15</v>
      </c>
      <c r="G752" s="6" t="s">
        <v>219</v>
      </c>
      <c r="H752" s="2" t="s">
        <v>1425</v>
      </c>
      <c r="I752" s="2" t="s">
        <v>1864</v>
      </c>
      <c r="J752" s="2" t="s">
        <v>19</v>
      </c>
      <c r="K752" s="2" t="s">
        <v>648</v>
      </c>
      <c r="L752" s="7" t="str">
        <f>HYPERLINK("http://slimages.macys.com/is/image/MCY/11634785 ")</f>
        <v xml:space="preserve">http://slimages.macys.com/is/image/MCY/11634785 </v>
      </c>
    </row>
    <row r="753" spans="1:12" ht="24.75" x14ac:dyDescent="0.25">
      <c r="A753" s="4" t="s">
        <v>8865</v>
      </c>
      <c r="B753" s="2" t="s">
        <v>1988</v>
      </c>
      <c r="C753" s="3">
        <v>1</v>
      </c>
      <c r="D753" s="5">
        <v>14.99</v>
      </c>
      <c r="E753" s="3" t="s">
        <v>1989</v>
      </c>
      <c r="F753" s="2" t="s">
        <v>1322</v>
      </c>
      <c r="G753" s="6"/>
      <c r="H753" s="2" t="s">
        <v>1425</v>
      </c>
      <c r="I753" s="2" t="s">
        <v>1426</v>
      </c>
      <c r="J753" s="2" t="s">
        <v>19</v>
      </c>
      <c r="K753" s="2" t="s">
        <v>648</v>
      </c>
      <c r="L753" s="7" t="str">
        <f>HYPERLINK("http://slimages.macys.com/is/image/MCY/11678994 ")</f>
        <v xml:space="preserve">http://slimages.macys.com/is/image/MCY/11678994 </v>
      </c>
    </row>
    <row r="754" spans="1:12" ht="24.75" x14ac:dyDescent="0.25">
      <c r="A754" s="4" t="s">
        <v>3209</v>
      </c>
      <c r="B754" s="2" t="s">
        <v>1988</v>
      </c>
      <c r="C754" s="3">
        <v>1</v>
      </c>
      <c r="D754" s="5">
        <v>14.99</v>
      </c>
      <c r="E754" s="3" t="s">
        <v>1989</v>
      </c>
      <c r="F754" s="2" t="s">
        <v>26</v>
      </c>
      <c r="G754" s="6"/>
      <c r="H754" s="2" t="s">
        <v>1425</v>
      </c>
      <c r="I754" s="2" t="s">
        <v>1426</v>
      </c>
      <c r="J754" s="2" t="s">
        <v>19</v>
      </c>
      <c r="K754" s="2" t="s">
        <v>648</v>
      </c>
      <c r="L754" s="7" t="str">
        <f>HYPERLINK("http://slimages.macys.com/is/image/MCY/11678994 ")</f>
        <v xml:space="preserve">http://slimages.macys.com/is/image/MCY/11678994 </v>
      </c>
    </row>
    <row r="755" spans="1:12" ht="24.75" x14ac:dyDescent="0.25">
      <c r="A755" s="4" t="s">
        <v>3208</v>
      </c>
      <c r="B755" s="2" t="s">
        <v>1988</v>
      </c>
      <c r="C755" s="3">
        <v>1</v>
      </c>
      <c r="D755" s="5">
        <v>14.99</v>
      </c>
      <c r="E755" s="3" t="s">
        <v>1989</v>
      </c>
      <c r="F755" s="2" t="s">
        <v>15</v>
      </c>
      <c r="G755" s="6"/>
      <c r="H755" s="2" t="s">
        <v>1425</v>
      </c>
      <c r="I755" s="2" t="s">
        <v>1426</v>
      </c>
      <c r="J755" s="2" t="s">
        <v>19</v>
      </c>
      <c r="K755" s="2" t="s">
        <v>648</v>
      </c>
      <c r="L755" s="7" t="str">
        <f>HYPERLINK("http://slimages.macys.com/is/image/MCY/11678994 ")</f>
        <v xml:space="preserve">http://slimages.macys.com/is/image/MCY/11678994 </v>
      </c>
    </row>
    <row r="756" spans="1:12" ht="24.75" x14ac:dyDescent="0.25">
      <c r="A756" s="4" t="s">
        <v>8866</v>
      </c>
      <c r="B756" s="2" t="s">
        <v>1988</v>
      </c>
      <c r="C756" s="3">
        <v>1</v>
      </c>
      <c r="D756" s="5">
        <v>14.99</v>
      </c>
      <c r="E756" s="3" t="s">
        <v>1991</v>
      </c>
      <c r="F756" s="2"/>
      <c r="G756" s="6" t="s">
        <v>181</v>
      </c>
      <c r="H756" s="2" t="s">
        <v>1473</v>
      </c>
      <c r="I756" s="2" t="s">
        <v>1426</v>
      </c>
      <c r="J756" s="2" t="s">
        <v>19</v>
      </c>
      <c r="K756" s="2" t="s">
        <v>648</v>
      </c>
      <c r="L756" s="7" t="str">
        <f>HYPERLINK("http://slimages.macys.com/is/image/MCY/12767912 ")</f>
        <v xml:space="preserve">http://slimages.macys.com/is/image/MCY/12767912 </v>
      </c>
    </row>
    <row r="757" spans="1:12" ht="24.75" x14ac:dyDescent="0.25">
      <c r="A757" s="4" t="s">
        <v>6178</v>
      </c>
      <c r="B757" s="2" t="s">
        <v>1988</v>
      </c>
      <c r="C757" s="3">
        <v>1</v>
      </c>
      <c r="D757" s="5">
        <v>14.99</v>
      </c>
      <c r="E757" s="3" t="s">
        <v>1991</v>
      </c>
      <c r="F757" s="2" t="s">
        <v>413</v>
      </c>
      <c r="G757" s="6" t="s">
        <v>154</v>
      </c>
      <c r="H757" s="2" t="s">
        <v>1473</v>
      </c>
      <c r="I757" s="2" t="s">
        <v>1426</v>
      </c>
      <c r="J757" s="2" t="s">
        <v>19</v>
      </c>
      <c r="K757" s="2" t="s">
        <v>648</v>
      </c>
      <c r="L757" s="7" t="str">
        <f>HYPERLINK("http://slimages.macys.com/is/image/MCY/12767912 ")</f>
        <v xml:space="preserve">http://slimages.macys.com/is/image/MCY/12767912 </v>
      </c>
    </row>
    <row r="758" spans="1:12" ht="24.75" x14ac:dyDescent="0.25">
      <c r="A758" s="4" t="s">
        <v>8867</v>
      </c>
      <c r="B758" s="2" t="s">
        <v>1988</v>
      </c>
      <c r="C758" s="3">
        <v>1</v>
      </c>
      <c r="D758" s="5">
        <v>14.99</v>
      </c>
      <c r="E758" s="3" t="s">
        <v>1991</v>
      </c>
      <c r="F758" s="2" t="s">
        <v>26</v>
      </c>
      <c r="G758" s="6" t="s">
        <v>200</v>
      </c>
      <c r="H758" s="2" t="s">
        <v>1473</v>
      </c>
      <c r="I758" s="2" t="s">
        <v>1426</v>
      </c>
      <c r="J758" s="2" t="s">
        <v>19</v>
      </c>
      <c r="K758" s="2" t="s">
        <v>648</v>
      </c>
      <c r="L758" s="7" t="str">
        <f>HYPERLINK("http://slimages.macys.com/is/image/MCY/12767912 ")</f>
        <v xml:space="preserve">http://slimages.macys.com/is/image/MCY/12767912 </v>
      </c>
    </row>
    <row r="759" spans="1:12" ht="24.75" x14ac:dyDescent="0.25">
      <c r="A759" s="4" t="s">
        <v>3213</v>
      </c>
      <c r="B759" s="2" t="s">
        <v>1988</v>
      </c>
      <c r="C759" s="3">
        <v>1</v>
      </c>
      <c r="D759" s="5">
        <v>14.99</v>
      </c>
      <c r="E759" s="3" t="s">
        <v>1991</v>
      </c>
      <c r="F759" s="2" t="s">
        <v>26</v>
      </c>
      <c r="G759" s="6" t="s">
        <v>154</v>
      </c>
      <c r="H759" s="2" t="s">
        <v>1473</v>
      </c>
      <c r="I759" s="2" t="s">
        <v>1426</v>
      </c>
      <c r="J759" s="2" t="s">
        <v>19</v>
      </c>
      <c r="K759" s="2" t="s">
        <v>648</v>
      </c>
      <c r="L759" s="7" t="str">
        <f>HYPERLINK("http://slimages.macys.com/is/image/MCY/12767912 ")</f>
        <v xml:space="preserve">http://slimages.macys.com/is/image/MCY/12767912 </v>
      </c>
    </row>
    <row r="760" spans="1:12" ht="24.75" x14ac:dyDescent="0.25">
      <c r="A760" s="4" t="s">
        <v>8868</v>
      </c>
      <c r="B760" s="2" t="s">
        <v>1988</v>
      </c>
      <c r="C760" s="3">
        <v>2</v>
      </c>
      <c r="D760" s="5">
        <v>14.99</v>
      </c>
      <c r="E760" s="3" t="s">
        <v>1991</v>
      </c>
      <c r="F760" s="2" t="s">
        <v>33</v>
      </c>
      <c r="G760" s="6" t="s">
        <v>234</v>
      </c>
      <c r="H760" s="2" t="s">
        <v>1473</v>
      </c>
      <c r="I760" s="2" t="s">
        <v>1426</v>
      </c>
      <c r="J760" s="2" t="s">
        <v>19</v>
      </c>
      <c r="K760" s="2" t="s">
        <v>648</v>
      </c>
      <c r="L760" s="7" t="str">
        <f>HYPERLINK("http://slimages.macys.com/is/image/MCY/12767912 ")</f>
        <v xml:space="preserve">http://slimages.macys.com/is/image/MCY/12767912 </v>
      </c>
    </row>
    <row r="761" spans="1:12" ht="24.75" x14ac:dyDescent="0.25">
      <c r="A761" s="4" t="s">
        <v>6185</v>
      </c>
      <c r="B761" s="2" t="s">
        <v>3026</v>
      </c>
      <c r="C761" s="3">
        <v>1</v>
      </c>
      <c r="D761" s="5">
        <v>21.99</v>
      </c>
      <c r="E761" s="3" t="s">
        <v>6186</v>
      </c>
      <c r="F761" s="2" t="s">
        <v>252</v>
      </c>
      <c r="G761" s="6"/>
      <c r="H761" s="2" t="s">
        <v>632</v>
      </c>
      <c r="I761" s="2" t="s">
        <v>285</v>
      </c>
      <c r="J761" s="2" t="s">
        <v>19</v>
      </c>
      <c r="K761" s="2" t="s">
        <v>247</v>
      </c>
      <c r="L761" s="7" t="str">
        <f>HYPERLINK("http://slimages.macys.com/is/image/MCY/3742720 ")</f>
        <v xml:space="preserve">http://slimages.macys.com/is/image/MCY/3742720 </v>
      </c>
    </row>
    <row r="762" spans="1:12" ht="24.75" x14ac:dyDescent="0.25">
      <c r="A762" s="4" t="s">
        <v>8869</v>
      </c>
      <c r="B762" s="2" t="s">
        <v>3216</v>
      </c>
      <c r="C762" s="3">
        <v>1</v>
      </c>
      <c r="D762" s="5">
        <v>21.99</v>
      </c>
      <c r="E762" s="3" t="s">
        <v>3217</v>
      </c>
      <c r="F762" s="2" t="s">
        <v>413</v>
      </c>
      <c r="G762" s="6" t="s">
        <v>181</v>
      </c>
      <c r="H762" s="2" t="s">
        <v>284</v>
      </c>
      <c r="I762" s="2" t="s">
        <v>285</v>
      </c>
      <c r="J762" s="2"/>
      <c r="K762" s="2"/>
      <c r="L762" s="7" t="str">
        <f>HYPERLINK("http://slimages.macys.com/is/image/MCY/8549196 ")</f>
        <v xml:space="preserve">http://slimages.macys.com/is/image/MCY/8549196 </v>
      </c>
    </row>
    <row r="763" spans="1:12" ht="24.75" x14ac:dyDescent="0.25">
      <c r="A763" s="4" t="s">
        <v>5224</v>
      </c>
      <c r="B763" s="2" t="s">
        <v>5225</v>
      </c>
      <c r="C763" s="3">
        <v>1</v>
      </c>
      <c r="D763" s="5">
        <v>12.99</v>
      </c>
      <c r="E763" s="3" t="s">
        <v>5226</v>
      </c>
      <c r="F763" s="2" t="s">
        <v>48</v>
      </c>
      <c r="G763" s="6" t="s">
        <v>245</v>
      </c>
      <c r="H763" s="2" t="s">
        <v>194</v>
      </c>
      <c r="I763" s="2" t="s">
        <v>195</v>
      </c>
      <c r="J763" s="2" t="s">
        <v>19</v>
      </c>
      <c r="K763" s="2" t="s">
        <v>495</v>
      </c>
      <c r="L763" s="7" t="str">
        <f>HYPERLINK("http://slimages.macys.com/is/image/MCY/8523520 ")</f>
        <v xml:space="preserve">http://slimages.macys.com/is/image/MCY/8523520 </v>
      </c>
    </row>
    <row r="764" spans="1:12" ht="24.75" x14ac:dyDescent="0.25">
      <c r="A764" s="4" t="s">
        <v>6907</v>
      </c>
      <c r="B764" s="2" t="s">
        <v>2005</v>
      </c>
      <c r="C764" s="3">
        <v>1</v>
      </c>
      <c r="D764" s="5">
        <v>14.99</v>
      </c>
      <c r="E764" s="3" t="s">
        <v>2006</v>
      </c>
      <c r="F764" s="2" t="s">
        <v>1945</v>
      </c>
      <c r="G764" s="6" t="s">
        <v>234</v>
      </c>
      <c r="H764" s="2" t="s">
        <v>1522</v>
      </c>
      <c r="I764" s="2" t="s">
        <v>1469</v>
      </c>
      <c r="J764" s="2" t="s">
        <v>19</v>
      </c>
      <c r="K764" s="2" t="s">
        <v>353</v>
      </c>
      <c r="L764" s="7" t="str">
        <f t="shared" ref="L764:L775" si="10">HYPERLINK("http://slimages.macys.com/is/image/MCY/10743611 ")</f>
        <v xml:space="preserve">http://slimages.macys.com/is/image/MCY/10743611 </v>
      </c>
    </row>
    <row r="765" spans="1:12" ht="24.75" x14ac:dyDescent="0.25">
      <c r="A765" s="4" t="s">
        <v>2004</v>
      </c>
      <c r="B765" s="2" t="s">
        <v>2005</v>
      </c>
      <c r="C765" s="3">
        <v>3</v>
      </c>
      <c r="D765" s="5">
        <v>14.99</v>
      </c>
      <c r="E765" s="3" t="s">
        <v>2006</v>
      </c>
      <c r="F765" s="2" t="s">
        <v>1945</v>
      </c>
      <c r="G765" s="6" t="s">
        <v>156</v>
      </c>
      <c r="H765" s="2" t="s">
        <v>1522</v>
      </c>
      <c r="I765" s="2" t="s">
        <v>1469</v>
      </c>
      <c r="J765" s="2" t="s">
        <v>19</v>
      </c>
      <c r="K765" s="2" t="s">
        <v>353</v>
      </c>
      <c r="L765" s="7" t="str">
        <f t="shared" si="10"/>
        <v xml:space="preserve">http://slimages.macys.com/is/image/MCY/10743611 </v>
      </c>
    </row>
    <row r="766" spans="1:12" ht="24.75" x14ac:dyDescent="0.25">
      <c r="A766" s="4" t="s">
        <v>5232</v>
      </c>
      <c r="B766" s="2" t="s">
        <v>2005</v>
      </c>
      <c r="C766" s="3">
        <v>1</v>
      </c>
      <c r="D766" s="5">
        <v>14.99</v>
      </c>
      <c r="E766" s="3" t="s">
        <v>2006</v>
      </c>
      <c r="F766" s="2" t="s">
        <v>38</v>
      </c>
      <c r="G766" s="6" t="s">
        <v>154</v>
      </c>
      <c r="H766" s="2" t="s">
        <v>1522</v>
      </c>
      <c r="I766" s="2" t="s">
        <v>1469</v>
      </c>
      <c r="J766" s="2" t="s">
        <v>19</v>
      </c>
      <c r="K766" s="2" t="s">
        <v>353</v>
      </c>
      <c r="L766" s="7" t="str">
        <f t="shared" si="10"/>
        <v xml:space="preserve">http://slimages.macys.com/is/image/MCY/10743611 </v>
      </c>
    </row>
    <row r="767" spans="1:12" ht="24.75" x14ac:dyDescent="0.25">
      <c r="A767" s="4" t="s">
        <v>5228</v>
      </c>
      <c r="B767" s="2" t="s">
        <v>2005</v>
      </c>
      <c r="C767" s="3">
        <v>2</v>
      </c>
      <c r="D767" s="5">
        <v>14.99</v>
      </c>
      <c r="E767" s="3" t="s">
        <v>2006</v>
      </c>
      <c r="F767" s="2" t="s">
        <v>74</v>
      </c>
      <c r="G767" s="6" t="s">
        <v>154</v>
      </c>
      <c r="H767" s="2" t="s">
        <v>1522</v>
      </c>
      <c r="I767" s="2" t="s">
        <v>1469</v>
      </c>
      <c r="J767" s="2" t="s">
        <v>19</v>
      </c>
      <c r="K767" s="2" t="s">
        <v>353</v>
      </c>
      <c r="L767" s="7" t="str">
        <f t="shared" si="10"/>
        <v xml:space="preserve">http://slimages.macys.com/is/image/MCY/10743611 </v>
      </c>
    </row>
    <row r="768" spans="1:12" ht="24.75" x14ac:dyDescent="0.25">
      <c r="A768" s="4" t="s">
        <v>2008</v>
      </c>
      <c r="B768" s="2" t="s">
        <v>2005</v>
      </c>
      <c r="C768" s="3">
        <v>1</v>
      </c>
      <c r="D768" s="5">
        <v>14.99</v>
      </c>
      <c r="E768" s="3" t="s">
        <v>2006</v>
      </c>
      <c r="F768" s="2" t="s">
        <v>74</v>
      </c>
      <c r="G768" s="6" t="s">
        <v>156</v>
      </c>
      <c r="H768" s="2" t="s">
        <v>1522</v>
      </c>
      <c r="I768" s="2" t="s">
        <v>1469</v>
      </c>
      <c r="J768" s="2" t="s">
        <v>19</v>
      </c>
      <c r="K768" s="2" t="s">
        <v>353</v>
      </c>
      <c r="L768" s="7" t="str">
        <f t="shared" si="10"/>
        <v xml:space="preserve">http://slimages.macys.com/is/image/MCY/10743611 </v>
      </c>
    </row>
    <row r="769" spans="1:12" ht="24.75" x14ac:dyDescent="0.25">
      <c r="A769" s="4" t="s">
        <v>4254</v>
      </c>
      <c r="B769" s="2" t="s">
        <v>2005</v>
      </c>
      <c r="C769" s="3">
        <v>1</v>
      </c>
      <c r="D769" s="5">
        <v>14.99</v>
      </c>
      <c r="E769" s="3" t="s">
        <v>2006</v>
      </c>
      <c r="F769" s="2" t="s">
        <v>38</v>
      </c>
      <c r="G769" s="6" t="s">
        <v>234</v>
      </c>
      <c r="H769" s="2" t="s">
        <v>1522</v>
      </c>
      <c r="I769" s="2" t="s">
        <v>1469</v>
      </c>
      <c r="J769" s="2" t="s">
        <v>19</v>
      </c>
      <c r="K769" s="2" t="s">
        <v>353</v>
      </c>
      <c r="L769" s="7" t="str">
        <f t="shared" si="10"/>
        <v xml:space="preserve">http://slimages.macys.com/is/image/MCY/10743611 </v>
      </c>
    </row>
    <row r="770" spans="1:12" ht="24.75" x14ac:dyDescent="0.25">
      <c r="A770" s="4" t="s">
        <v>7706</v>
      </c>
      <c r="B770" s="2" t="s">
        <v>2005</v>
      </c>
      <c r="C770" s="3">
        <v>3</v>
      </c>
      <c r="D770" s="5">
        <v>14.99</v>
      </c>
      <c r="E770" s="3" t="s">
        <v>2006</v>
      </c>
      <c r="F770" s="2" t="s">
        <v>74</v>
      </c>
      <c r="G770" s="6" t="s">
        <v>181</v>
      </c>
      <c r="H770" s="2" t="s">
        <v>1522</v>
      </c>
      <c r="I770" s="2" t="s">
        <v>1469</v>
      </c>
      <c r="J770" s="2" t="s">
        <v>19</v>
      </c>
      <c r="K770" s="2" t="s">
        <v>353</v>
      </c>
      <c r="L770" s="7" t="str">
        <f t="shared" si="10"/>
        <v xml:space="preserve">http://slimages.macys.com/is/image/MCY/10743611 </v>
      </c>
    </row>
    <row r="771" spans="1:12" ht="24.75" x14ac:dyDescent="0.25">
      <c r="A771" s="4" t="s">
        <v>5229</v>
      </c>
      <c r="B771" s="2" t="s">
        <v>2005</v>
      </c>
      <c r="C771" s="3">
        <v>1</v>
      </c>
      <c r="D771" s="5">
        <v>14.99</v>
      </c>
      <c r="E771" s="3" t="s">
        <v>2006</v>
      </c>
      <c r="F771" s="2" t="s">
        <v>74</v>
      </c>
      <c r="G771" s="6" t="s">
        <v>200</v>
      </c>
      <c r="H771" s="2" t="s">
        <v>1522</v>
      </c>
      <c r="I771" s="2" t="s">
        <v>1469</v>
      </c>
      <c r="J771" s="2" t="s">
        <v>19</v>
      </c>
      <c r="K771" s="2" t="s">
        <v>353</v>
      </c>
      <c r="L771" s="7" t="str">
        <f t="shared" si="10"/>
        <v xml:space="preserve">http://slimages.macys.com/is/image/MCY/10743611 </v>
      </c>
    </row>
    <row r="772" spans="1:12" ht="24.75" x14ac:dyDescent="0.25">
      <c r="A772" s="4" t="s">
        <v>2007</v>
      </c>
      <c r="B772" s="2" t="s">
        <v>2005</v>
      </c>
      <c r="C772" s="3">
        <v>1</v>
      </c>
      <c r="D772" s="5">
        <v>14.99</v>
      </c>
      <c r="E772" s="3" t="s">
        <v>2006</v>
      </c>
      <c r="F772" s="2" t="s">
        <v>64</v>
      </c>
      <c r="G772" s="6" t="s">
        <v>245</v>
      </c>
      <c r="H772" s="2" t="s">
        <v>1522</v>
      </c>
      <c r="I772" s="2" t="s">
        <v>1469</v>
      </c>
      <c r="J772" s="2" t="s">
        <v>19</v>
      </c>
      <c r="K772" s="2" t="s">
        <v>353</v>
      </c>
      <c r="L772" s="7" t="str">
        <f t="shared" si="10"/>
        <v xml:space="preserve">http://slimages.macys.com/is/image/MCY/10743611 </v>
      </c>
    </row>
    <row r="773" spans="1:12" ht="24.75" x14ac:dyDescent="0.25">
      <c r="A773" s="4" t="s">
        <v>6908</v>
      </c>
      <c r="B773" s="2" t="s">
        <v>2005</v>
      </c>
      <c r="C773" s="3">
        <v>1</v>
      </c>
      <c r="D773" s="5">
        <v>14.99</v>
      </c>
      <c r="E773" s="3" t="s">
        <v>2006</v>
      </c>
      <c r="F773" s="2" t="s">
        <v>26</v>
      </c>
      <c r="G773" s="6" t="s">
        <v>154</v>
      </c>
      <c r="H773" s="2" t="s">
        <v>1522</v>
      </c>
      <c r="I773" s="2" t="s">
        <v>1469</v>
      </c>
      <c r="J773" s="2" t="s">
        <v>19</v>
      </c>
      <c r="K773" s="2" t="s">
        <v>353</v>
      </c>
      <c r="L773" s="7" t="str">
        <f t="shared" si="10"/>
        <v xml:space="preserve">http://slimages.macys.com/is/image/MCY/10743611 </v>
      </c>
    </row>
    <row r="774" spans="1:12" ht="24.75" x14ac:dyDescent="0.25">
      <c r="A774" s="4" t="s">
        <v>3222</v>
      </c>
      <c r="B774" s="2" t="s">
        <v>2005</v>
      </c>
      <c r="C774" s="3">
        <v>1</v>
      </c>
      <c r="D774" s="5">
        <v>14.99</v>
      </c>
      <c r="E774" s="3" t="s">
        <v>2006</v>
      </c>
      <c r="F774" s="2" t="s">
        <v>15</v>
      </c>
      <c r="G774" s="6" t="s">
        <v>154</v>
      </c>
      <c r="H774" s="2" t="s">
        <v>1522</v>
      </c>
      <c r="I774" s="2" t="s">
        <v>1469</v>
      </c>
      <c r="J774" s="2" t="s">
        <v>19</v>
      </c>
      <c r="K774" s="2" t="s">
        <v>353</v>
      </c>
      <c r="L774" s="7" t="str">
        <f t="shared" si="10"/>
        <v xml:space="preserve">http://slimages.macys.com/is/image/MCY/10743611 </v>
      </c>
    </row>
    <row r="775" spans="1:12" ht="24.75" x14ac:dyDescent="0.25">
      <c r="A775" s="4" t="s">
        <v>3223</v>
      </c>
      <c r="B775" s="2" t="s">
        <v>2005</v>
      </c>
      <c r="C775" s="3">
        <v>3</v>
      </c>
      <c r="D775" s="5">
        <v>14.99</v>
      </c>
      <c r="E775" s="3" t="s">
        <v>2006</v>
      </c>
      <c r="F775" s="2" t="s">
        <v>74</v>
      </c>
      <c r="G775" s="6" t="s">
        <v>234</v>
      </c>
      <c r="H775" s="2" t="s">
        <v>1522</v>
      </c>
      <c r="I775" s="2" t="s">
        <v>1469</v>
      </c>
      <c r="J775" s="2" t="s">
        <v>19</v>
      </c>
      <c r="K775" s="2" t="s">
        <v>353</v>
      </c>
      <c r="L775" s="7" t="str">
        <f t="shared" si="10"/>
        <v xml:space="preserve">http://slimages.macys.com/is/image/MCY/10743611 </v>
      </c>
    </row>
    <row r="776" spans="1:12" ht="24.75" x14ac:dyDescent="0.25">
      <c r="A776" s="4" t="s">
        <v>4265</v>
      </c>
      <c r="B776" s="2" t="s">
        <v>3226</v>
      </c>
      <c r="C776" s="3">
        <v>1</v>
      </c>
      <c r="D776" s="5">
        <v>12.99</v>
      </c>
      <c r="E776" s="3" t="s">
        <v>3227</v>
      </c>
      <c r="F776" s="2" t="s">
        <v>33</v>
      </c>
      <c r="G776" s="6"/>
      <c r="H776" s="2" t="s">
        <v>312</v>
      </c>
      <c r="I776" s="2" t="s">
        <v>195</v>
      </c>
      <c r="J776" s="2" t="s">
        <v>19</v>
      </c>
      <c r="K776" s="2" t="s">
        <v>648</v>
      </c>
      <c r="L776" s="7" t="str">
        <f>HYPERLINK("http://slimages.macys.com/is/image/MCY/12063878 ")</f>
        <v xml:space="preserve">http://slimages.macys.com/is/image/MCY/12063878 </v>
      </c>
    </row>
    <row r="777" spans="1:12" ht="24.75" x14ac:dyDescent="0.25">
      <c r="A777" s="4" t="s">
        <v>8870</v>
      </c>
      <c r="B777" s="2" t="s">
        <v>3229</v>
      </c>
      <c r="C777" s="3">
        <v>1</v>
      </c>
      <c r="D777" s="5">
        <v>12.99</v>
      </c>
      <c r="E777" s="3" t="s">
        <v>3230</v>
      </c>
      <c r="F777" s="2" t="s">
        <v>752</v>
      </c>
      <c r="G777" s="6"/>
      <c r="H777" s="2" t="s">
        <v>312</v>
      </c>
      <c r="I777" s="2" t="s">
        <v>195</v>
      </c>
      <c r="J777" s="2" t="s">
        <v>19</v>
      </c>
      <c r="K777" s="2" t="s">
        <v>648</v>
      </c>
      <c r="L777" s="7" t="str">
        <f>HYPERLINK("http://slimages.macys.com/is/image/MCY/12850773 ")</f>
        <v xml:space="preserve">http://slimages.macys.com/is/image/MCY/12850773 </v>
      </c>
    </row>
    <row r="778" spans="1:12" ht="24.75" x14ac:dyDescent="0.25">
      <c r="A778" s="4" t="s">
        <v>6211</v>
      </c>
      <c r="B778" s="2" t="s">
        <v>6208</v>
      </c>
      <c r="C778" s="3">
        <v>1</v>
      </c>
      <c r="D778" s="5">
        <v>12.99</v>
      </c>
      <c r="E778" s="3">
        <v>100007532</v>
      </c>
      <c r="F778" s="2" t="s">
        <v>64</v>
      </c>
      <c r="G778" s="6" t="s">
        <v>154</v>
      </c>
      <c r="H778" s="2" t="s">
        <v>194</v>
      </c>
      <c r="I778" s="2" t="s">
        <v>195</v>
      </c>
      <c r="J778" s="2"/>
      <c r="K778" s="2"/>
      <c r="L778" s="7" t="str">
        <f>HYPERLINK("http://slimages.macys.com/is/image/MCY/8805211 ")</f>
        <v xml:space="preserve">http://slimages.macys.com/is/image/MCY/8805211 </v>
      </c>
    </row>
    <row r="779" spans="1:12" ht="24.75" x14ac:dyDescent="0.25">
      <c r="A779" s="4" t="s">
        <v>8871</v>
      </c>
      <c r="B779" s="2" t="s">
        <v>4367</v>
      </c>
      <c r="C779" s="3">
        <v>2</v>
      </c>
      <c r="D779" s="5">
        <v>9.99</v>
      </c>
      <c r="E779" s="3" t="s">
        <v>4368</v>
      </c>
      <c r="F779" s="2" t="s">
        <v>33</v>
      </c>
      <c r="G779" s="6" t="s">
        <v>200</v>
      </c>
      <c r="H779" s="2" t="s">
        <v>194</v>
      </c>
      <c r="I779" s="2" t="s">
        <v>195</v>
      </c>
      <c r="J779" s="2" t="s">
        <v>19</v>
      </c>
      <c r="K779" s="2" t="s">
        <v>247</v>
      </c>
      <c r="L779" s="7" t="str">
        <f>HYPERLINK("http://slimages.macys.com/is/image/MCY/13368198 ")</f>
        <v xml:space="preserve">http://slimages.macys.com/is/image/MCY/13368198 </v>
      </c>
    </row>
    <row r="780" spans="1:12" ht="24.75" x14ac:dyDescent="0.25">
      <c r="A780" s="4" t="s">
        <v>8872</v>
      </c>
      <c r="B780" s="2" t="s">
        <v>4277</v>
      </c>
      <c r="C780" s="3">
        <v>1</v>
      </c>
      <c r="D780" s="5">
        <v>12.99</v>
      </c>
      <c r="E780" s="3" t="s">
        <v>4278</v>
      </c>
      <c r="F780" s="2"/>
      <c r="G780" s="6" t="s">
        <v>181</v>
      </c>
      <c r="H780" s="2" t="s">
        <v>1473</v>
      </c>
      <c r="I780" s="2" t="s">
        <v>1426</v>
      </c>
      <c r="J780" s="2" t="s">
        <v>19</v>
      </c>
      <c r="K780" s="2" t="s">
        <v>648</v>
      </c>
      <c r="L780" s="7" t="str">
        <f>HYPERLINK("http://slimages.macys.com/is/image/MCY/9770425 ")</f>
        <v xml:space="preserve">http://slimages.macys.com/is/image/MCY/9770425 </v>
      </c>
    </row>
    <row r="781" spans="1:12" ht="24.75" x14ac:dyDescent="0.25">
      <c r="A781" s="4" t="s">
        <v>8873</v>
      </c>
      <c r="B781" s="2" t="s">
        <v>4277</v>
      </c>
      <c r="C781" s="3">
        <v>1</v>
      </c>
      <c r="D781" s="5">
        <v>12.99</v>
      </c>
      <c r="E781" s="3" t="s">
        <v>4278</v>
      </c>
      <c r="F781" s="2" t="s">
        <v>74</v>
      </c>
      <c r="G781" s="6" t="s">
        <v>156</v>
      </c>
      <c r="H781" s="2" t="s">
        <v>1473</v>
      </c>
      <c r="I781" s="2" t="s">
        <v>1426</v>
      </c>
      <c r="J781" s="2" t="s">
        <v>19</v>
      </c>
      <c r="K781" s="2" t="s">
        <v>648</v>
      </c>
      <c r="L781" s="7" t="str">
        <f>HYPERLINK("http://slimages.macys.com/is/image/MCY/9770425 ")</f>
        <v xml:space="preserve">http://slimages.macys.com/is/image/MCY/9770425 </v>
      </c>
    </row>
    <row r="782" spans="1:12" ht="24.75" x14ac:dyDescent="0.25">
      <c r="A782" s="4" t="s">
        <v>8874</v>
      </c>
      <c r="B782" s="2" t="s">
        <v>3237</v>
      </c>
      <c r="C782" s="3">
        <v>1</v>
      </c>
      <c r="D782" s="5">
        <v>9.99</v>
      </c>
      <c r="E782" s="3" t="s">
        <v>3238</v>
      </c>
      <c r="F782" s="2" t="s">
        <v>70</v>
      </c>
      <c r="G782" s="6" t="s">
        <v>154</v>
      </c>
      <c r="H782" s="2" t="s">
        <v>194</v>
      </c>
      <c r="I782" s="2" t="s">
        <v>195</v>
      </c>
      <c r="J782" s="2" t="s">
        <v>19</v>
      </c>
      <c r="K782" s="2" t="s">
        <v>247</v>
      </c>
      <c r="L782" s="7" t="str">
        <f>HYPERLINK("http://slimages.macys.com/is/image/MCY/15522855 ")</f>
        <v xml:space="preserve">http://slimages.macys.com/is/image/MCY/15522855 </v>
      </c>
    </row>
    <row r="783" spans="1:12" ht="24.75" x14ac:dyDescent="0.25">
      <c r="A783" s="4" t="s">
        <v>8875</v>
      </c>
      <c r="B783" s="2" t="s">
        <v>2036</v>
      </c>
      <c r="C783" s="3">
        <v>1</v>
      </c>
      <c r="D783" s="5">
        <v>12.99</v>
      </c>
      <c r="E783" s="3" t="s">
        <v>2037</v>
      </c>
      <c r="F783" s="2" t="s">
        <v>170</v>
      </c>
      <c r="G783" s="6" t="s">
        <v>245</v>
      </c>
      <c r="H783" s="2" t="s">
        <v>194</v>
      </c>
      <c r="I783" s="2" t="s">
        <v>195</v>
      </c>
      <c r="J783" s="2" t="s">
        <v>19</v>
      </c>
      <c r="K783" s="2" t="s">
        <v>495</v>
      </c>
      <c r="L783" s="7" t="str">
        <f>HYPERLINK("http://slimages.macys.com/is/image/MCY/10191342 ")</f>
        <v xml:space="preserve">http://slimages.macys.com/is/image/MCY/10191342 </v>
      </c>
    </row>
    <row r="784" spans="1:12" ht="24.75" x14ac:dyDescent="0.25">
      <c r="A784" s="4" t="s">
        <v>4300</v>
      </c>
      <c r="B784" s="2" t="s">
        <v>2045</v>
      </c>
      <c r="C784" s="3">
        <v>1</v>
      </c>
      <c r="D784" s="5">
        <v>9.99</v>
      </c>
      <c r="E784" s="3" t="s">
        <v>2046</v>
      </c>
      <c r="F784" s="2" t="s">
        <v>94</v>
      </c>
      <c r="G784" s="6" t="s">
        <v>181</v>
      </c>
      <c r="H784" s="2" t="s">
        <v>1473</v>
      </c>
      <c r="I784" s="2" t="s">
        <v>1426</v>
      </c>
      <c r="J784" s="2" t="s">
        <v>19</v>
      </c>
      <c r="K784" s="2" t="s">
        <v>495</v>
      </c>
      <c r="L784" s="7" t="str">
        <f>HYPERLINK("http://slimages.macys.com/is/image/MCY/11533691 ")</f>
        <v xml:space="preserve">http://slimages.macys.com/is/image/MCY/11533691 </v>
      </c>
    </row>
    <row r="785" spans="1:12" ht="24.75" x14ac:dyDescent="0.25">
      <c r="A785" s="4" t="s">
        <v>8388</v>
      </c>
      <c r="B785" s="2" t="s">
        <v>2061</v>
      </c>
      <c r="C785" s="3">
        <v>1</v>
      </c>
      <c r="D785" s="5">
        <v>9.99</v>
      </c>
      <c r="E785" s="3" t="s">
        <v>4306</v>
      </c>
      <c r="F785" s="2" t="s">
        <v>413</v>
      </c>
      <c r="G785" s="6" t="s">
        <v>154</v>
      </c>
      <c r="H785" s="2" t="s">
        <v>1473</v>
      </c>
      <c r="I785" s="2" t="s">
        <v>1426</v>
      </c>
      <c r="J785" s="2" t="s">
        <v>19</v>
      </c>
      <c r="K785" s="2" t="s">
        <v>495</v>
      </c>
      <c r="L785" s="7" t="str">
        <f>HYPERLINK("http://slimages.macys.com/is/image/MCY/11915620 ")</f>
        <v xml:space="preserve">http://slimages.macys.com/is/image/MCY/11915620 </v>
      </c>
    </row>
    <row r="786" spans="1:12" ht="24.75" x14ac:dyDescent="0.25">
      <c r="A786" s="4" t="s">
        <v>4310</v>
      </c>
      <c r="B786" s="2" t="s">
        <v>2061</v>
      </c>
      <c r="C786" s="3">
        <v>2</v>
      </c>
      <c r="D786" s="5">
        <v>9.99</v>
      </c>
      <c r="E786" s="3" t="s">
        <v>4306</v>
      </c>
      <c r="F786" s="2" t="s">
        <v>413</v>
      </c>
      <c r="G786" s="6" t="s">
        <v>156</v>
      </c>
      <c r="H786" s="2" t="s">
        <v>1473</v>
      </c>
      <c r="I786" s="2" t="s">
        <v>1426</v>
      </c>
      <c r="J786" s="2" t="s">
        <v>19</v>
      </c>
      <c r="K786" s="2" t="s">
        <v>495</v>
      </c>
      <c r="L786" s="7" t="str">
        <f>HYPERLINK("http://slimages.macys.com/is/image/MCY/11915620 ")</f>
        <v xml:space="preserve">http://slimages.macys.com/is/image/MCY/11915620 </v>
      </c>
    </row>
    <row r="787" spans="1:12" ht="24.75" x14ac:dyDescent="0.25">
      <c r="A787" s="4" t="s">
        <v>4297</v>
      </c>
      <c r="B787" s="2" t="s">
        <v>2045</v>
      </c>
      <c r="C787" s="3">
        <v>1</v>
      </c>
      <c r="D787" s="5">
        <v>9.99</v>
      </c>
      <c r="E787" s="3" t="s">
        <v>2046</v>
      </c>
      <c r="F787" s="2" t="s">
        <v>94</v>
      </c>
      <c r="G787" s="6" t="s">
        <v>156</v>
      </c>
      <c r="H787" s="2" t="s">
        <v>1473</v>
      </c>
      <c r="I787" s="2" t="s">
        <v>1426</v>
      </c>
      <c r="J787" s="2" t="s">
        <v>19</v>
      </c>
      <c r="K787" s="2" t="s">
        <v>495</v>
      </c>
      <c r="L787" s="7" t="str">
        <f>HYPERLINK("http://slimages.macys.com/is/image/MCY/11533691 ")</f>
        <v xml:space="preserve">http://slimages.macys.com/is/image/MCY/11533691 </v>
      </c>
    </row>
    <row r="788" spans="1:12" ht="24.75" x14ac:dyDescent="0.25">
      <c r="A788" s="4" t="s">
        <v>8876</v>
      </c>
      <c r="B788" s="2" t="s">
        <v>8877</v>
      </c>
      <c r="C788" s="3">
        <v>1</v>
      </c>
      <c r="D788" s="5">
        <v>9.99</v>
      </c>
      <c r="E788" s="3" t="s">
        <v>8878</v>
      </c>
      <c r="F788" s="2" t="s">
        <v>15</v>
      </c>
      <c r="G788" s="6" t="s">
        <v>156</v>
      </c>
      <c r="H788" s="2" t="s">
        <v>1473</v>
      </c>
      <c r="I788" s="2" t="s">
        <v>1426</v>
      </c>
      <c r="J788" s="2" t="s">
        <v>19</v>
      </c>
      <c r="K788" s="2" t="s">
        <v>495</v>
      </c>
      <c r="L788" s="7" t="str">
        <f>HYPERLINK("http://slimages.macys.com/is/image/MCY/11029761 ")</f>
        <v xml:space="preserve">http://slimages.macys.com/is/image/MCY/11029761 </v>
      </c>
    </row>
    <row r="789" spans="1:12" ht="24.75" x14ac:dyDescent="0.25">
      <c r="A789" s="4" t="s">
        <v>2047</v>
      </c>
      <c r="B789" s="2" t="s">
        <v>2048</v>
      </c>
      <c r="C789" s="3">
        <v>1</v>
      </c>
      <c r="D789" s="5">
        <v>9.99</v>
      </c>
      <c r="E789" s="3" t="s">
        <v>2049</v>
      </c>
      <c r="F789" s="2" t="s">
        <v>413</v>
      </c>
      <c r="G789" s="6" t="s">
        <v>154</v>
      </c>
      <c r="H789" s="2" t="s">
        <v>1473</v>
      </c>
      <c r="I789" s="2" t="s">
        <v>1426</v>
      </c>
      <c r="J789" s="2" t="s">
        <v>19</v>
      </c>
      <c r="K789" s="2" t="s">
        <v>495</v>
      </c>
      <c r="L789" s="7" t="str">
        <f>HYPERLINK("http://slimages.macys.com/is/image/MCY/11830759 ")</f>
        <v xml:space="preserve">http://slimages.macys.com/is/image/MCY/11830759 </v>
      </c>
    </row>
    <row r="790" spans="1:12" ht="24.75" x14ac:dyDescent="0.25">
      <c r="A790" s="4" t="s">
        <v>8879</v>
      </c>
      <c r="B790" s="2" t="s">
        <v>2061</v>
      </c>
      <c r="C790" s="3">
        <v>1</v>
      </c>
      <c r="D790" s="5">
        <v>9.99</v>
      </c>
      <c r="E790" s="3" t="s">
        <v>4306</v>
      </c>
      <c r="F790" s="2" t="s">
        <v>413</v>
      </c>
      <c r="G790" s="6" t="s">
        <v>181</v>
      </c>
      <c r="H790" s="2" t="s">
        <v>1473</v>
      </c>
      <c r="I790" s="2" t="s">
        <v>1426</v>
      </c>
      <c r="J790" s="2" t="s">
        <v>19</v>
      </c>
      <c r="K790" s="2" t="s">
        <v>495</v>
      </c>
      <c r="L790" s="7" t="str">
        <f>HYPERLINK("http://slimages.macys.com/is/image/MCY/11915620 ")</f>
        <v xml:space="preserve">http://slimages.macys.com/is/image/MCY/11915620 </v>
      </c>
    </row>
    <row r="791" spans="1:12" ht="24.75" x14ac:dyDescent="0.25">
      <c r="A791" s="4" t="s">
        <v>2044</v>
      </c>
      <c r="B791" s="2" t="s">
        <v>2045</v>
      </c>
      <c r="C791" s="3">
        <v>3</v>
      </c>
      <c r="D791" s="5">
        <v>9.99</v>
      </c>
      <c r="E791" s="3" t="s">
        <v>2046</v>
      </c>
      <c r="F791" s="2" t="s">
        <v>94</v>
      </c>
      <c r="G791" s="6" t="s">
        <v>154</v>
      </c>
      <c r="H791" s="2" t="s">
        <v>1473</v>
      </c>
      <c r="I791" s="2" t="s">
        <v>1426</v>
      </c>
      <c r="J791" s="2" t="s">
        <v>19</v>
      </c>
      <c r="K791" s="2" t="s">
        <v>495</v>
      </c>
      <c r="L791" s="7" t="str">
        <f>HYPERLINK("http://slimages.macys.com/is/image/MCY/11533691 ")</f>
        <v xml:space="preserve">http://slimages.macys.com/is/image/MCY/11533691 </v>
      </c>
    </row>
    <row r="792" spans="1:12" ht="24.75" x14ac:dyDescent="0.25">
      <c r="A792" s="4" t="s">
        <v>4304</v>
      </c>
      <c r="B792" s="2" t="s">
        <v>2045</v>
      </c>
      <c r="C792" s="3">
        <v>3</v>
      </c>
      <c r="D792" s="5">
        <v>9.99</v>
      </c>
      <c r="E792" s="3" t="s">
        <v>2046</v>
      </c>
      <c r="F792" s="2" t="s">
        <v>94</v>
      </c>
      <c r="G792" s="6" t="s">
        <v>234</v>
      </c>
      <c r="H792" s="2" t="s">
        <v>1473</v>
      </c>
      <c r="I792" s="2" t="s">
        <v>1426</v>
      </c>
      <c r="J792" s="2" t="s">
        <v>19</v>
      </c>
      <c r="K792" s="2" t="s">
        <v>495</v>
      </c>
      <c r="L792" s="7" t="str">
        <f>HYPERLINK("http://slimages.macys.com/is/image/MCY/11533691 ")</f>
        <v xml:space="preserve">http://slimages.macys.com/is/image/MCY/11533691 </v>
      </c>
    </row>
    <row r="793" spans="1:12" ht="24.75" x14ac:dyDescent="0.25">
      <c r="A793" s="4" t="s">
        <v>8880</v>
      </c>
      <c r="B793" s="2" t="s">
        <v>8881</v>
      </c>
      <c r="C793" s="3">
        <v>1</v>
      </c>
      <c r="D793" s="5">
        <v>9.99</v>
      </c>
      <c r="E793" s="3" t="s">
        <v>8882</v>
      </c>
      <c r="F793" s="2" t="s">
        <v>1322</v>
      </c>
      <c r="G793" s="6" t="s">
        <v>156</v>
      </c>
      <c r="H793" s="2" t="s">
        <v>1473</v>
      </c>
      <c r="I793" s="2" t="s">
        <v>1426</v>
      </c>
      <c r="J793" s="2" t="s">
        <v>19</v>
      </c>
      <c r="K793" s="2" t="s">
        <v>495</v>
      </c>
      <c r="L793" s="7" t="str">
        <f>HYPERLINK("http://slimages.macys.com/is/image/MCY/11029775 ")</f>
        <v xml:space="preserve">http://slimages.macys.com/is/image/MCY/11029775 </v>
      </c>
    </row>
    <row r="794" spans="1:12" ht="24.75" x14ac:dyDescent="0.25">
      <c r="A794" s="4" t="s">
        <v>8883</v>
      </c>
      <c r="B794" s="2" t="s">
        <v>6930</v>
      </c>
      <c r="C794" s="3">
        <v>1</v>
      </c>
      <c r="D794" s="5">
        <v>9.99</v>
      </c>
      <c r="E794" s="3" t="s">
        <v>8884</v>
      </c>
      <c r="F794" s="2" t="s">
        <v>15</v>
      </c>
      <c r="G794" s="6" t="s">
        <v>187</v>
      </c>
      <c r="H794" s="2" t="s">
        <v>1425</v>
      </c>
      <c r="I794" s="2" t="s">
        <v>1426</v>
      </c>
      <c r="J794" s="2" t="s">
        <v>19</v>
      </c>
      <c r="K794" s="2" t="s">
        <v>495</v>
      </c>
      <c r="L794" s="7" t="str">
        <f>HYPERLINK("http://slimages.macys.com/is/image/MCY/11269936 ")</f>
        <v xml:space="preserve">http://slimages.macys.com/is/image/MCY/11269936 </v>
      </c>
    </row>
    <row r="795" spans="1:12" ht="24.75" x14ac:dyDescent="0.25">
      <c r="A795" s="4" t="s">
        <v>8885</v>
      </c>
      <c r="B795" s="2" t="s">
        <v>6930</v>
      </c>
      <c r="C795" s="3">
        <v>2</v>
      </c>
      <c r="D795" s="5">
        <v>9.99</v>
      </c>
      <c r="E795" s="3" t="s">
        <v>8884</v>
      </c>
      <c r="F795" s="2" t="s">
        <v>15</v>
      </c>
      <c r="G795" s="6"/>
      <c r="H795" s="2" t="s">
        <v>1425</v>
      </c>
      <c r="I795" s="2" t="s">
        <v>1426</v>
      </c>
      <c r="J795" s="2" t="s">
        <v>19</v>
      </c>
      <c r="K795" s="2" t="s">
        <v>495</v>
      </c>
      <c r="L795" s="7" t="str">
        <f>HYPERLINK("http://slimages.macys.com/is/image/MCY/11269936 ")</f>
        <v xml:space="preserve">http://slimages.macys.com/is/image/MCY/11269936 </v>
      </c>
    </row>
    <row r="796" spans="1:12" ht="24.75" x14ac:dyDescent="0.25">
      <c r="A796" s="4" t="s">
        <v>8886</v>
      </c>
      <c r="B796" s="2" t="s">
        <v>6930</v>
      </c>
      <c r="C796" s="3">
        <v>2</v>
      </c>
      <c r="D796" s="5">
        <v>9.99</v>
      </c>
      <c r="E796" s="3" t="s">
        <v>8884</v>
      </c>
      <c r="F796" s="2" t="s">
        <v>15</v>
      </c>
      <c r="G796" s="6"/>
      <c r="H796" s="2" t="s">
        <v>1425</v>
      </c>
      <c r="I796" s="2" t="s">
        <v>1426</v>
      </c>
      <c r="J796" s="2" t="s">
        <v>19</v>
      </c>
      <c r="K796" s="2" t="s">
        <v>495</v>
      </c>
      <c r="L796" s="7" t="str">
        <f>HYPERLINK("http://slimages.macys.com/is/image/MCY/11269936 ")</f>
        <v xml:space="preserve">http://slimages.macys.com/is/image/MCY/11269936 </v>
      </c>
    </row>
    <row r="797" spans="1:12" ht="24.75" x14ac:dyDescent="0.25">
      <c r="A797" s="4" t="s">
        <v>8887</v>
      </c>
      <c r="B797" s="2" t="s">
        <v>2064</v>
      </c>
      <c r="C797" s="3">
        <v>1</v>
      </c>
      <c r="D797" s="5">
        <v>9.99</v>
      </c>
      <c r="E797" s="3" t="s">
        <v>3279</v>
      </c>
      <c r="F797" s="2" t="s">
        <v>1788</v>
      </c>
      <c r="G797" s="6" t="s">
        <v>245</v>
      </c>
      <c r="H797" s="2" t="s">
        <v>1473</v>
      </c>
      <c r="I797" s="2" t="s">
        <v>1426</v>
      </c>
      <c r="J797" s="2" t="s">
        <v>19</v>
      </c>
      <c r="K797" s="2" t="s">
        <v>990</v>
      </c>
      <c r="L797" s="7" t="str">
        <f>HYPERLINK("http://slimages.macys.com/is/image/MCY/11130625 ")</f>
        <v xml:space="preserve">http://slimages.macys.com/is/image/MCY/11130625 </v>
      </c>
    </row>
    <row r="798" spans="1:12" ht="24.75" x14ac:dyDescent="0.25">
      <c r="A798" s="4" t="s">
        <v>5276</v>
      </c>
      <c r="B798" s="2" t="s">
        <v>2064</v>
      </c>
      <c r="C798" s="3">
        <v>1</v>
      </c>
      <c r="D798" s="5">
        <v>9.99</v>
      </c>
      <c r="E798" s="3" t="s">
        <v>3279</v>
      </c>
      <c r="F798" s="2" t="s">
        <v>1914</v>
      </c>
      <c r="G798" s="6" t="s">
        <v>181</v>
      </c>
      <c r="H798" s="2" t="s">
        <v>1473</v>
      </c>
      <c r="I798" s="2" t="s">
        <v>1426</v>
      </c>
      <c r="J798" s="2" t="s">
        <v>19</v>
      </c>
      <c r="K798" s="2" t="s">
        <v>990</v>
      </c>
      <c r="L798" s="7" t="str">
        <f>HYPERLINK("http://slimages.macys.com/is/image/MCY/11130625 ")</f>
        <v xml:space="preserve">http://slimages.macys.com/is/image/MCY/11130625 </v>
      </c>
    </row>
    <row r="799" spans="1:12" ht="24.75" x14ac:dyDescent="0.25">
      <c r="A799" s="4" t="s">
        <v>8393</v>
      </c>
      <c r="B799" s="2" t="s">
        <v>2064</v>
      </c>
      <c r="C799" s="3">
        <v>1</v>
      </c>
      <c r="D799" s="5">
        <v>9.99</v>
      </c>
      <c r="E799" s="3" t="s">
        <v>3279</v>
      </c>
      <c r="F799" s="2" t="s">
        <v>1914</v>
      </c>
      <c r="G799" s="6" t="s">
        <v>234</v>
      </c>
      <c r="H799" s="2" t="s">
        <v>1473</v>
      </c>
      <c r="I799" s="2" t="s">
        <v>1426</v>
      </c>
      <c r="J799" s="2" t="s">
        <v>19</v>
      </c>
      <c r="K799" s="2" t="s">
        <v>990</v>
      </c>
      <c r="L799" s="7" t="str">
        <f>HYPERLINK("http://slimages.macys.com/is/image/MCY/11130625 ")</f>
        <v xml:space="preserve">http://slimages.macys.com/is/image/MCY/11130625 </v>
      </c>
    </row>
    <row r="800" spans="1:12" ht="24.75" x14ac:dyDescent="0.25">
      <c r="A800" s="4" t="s">
        <v>7734</v>
      </c>
      <c r="B800" s="2" t="s">
        <v>2064</v>
      </c>
      <c r="C800" s="3">
        <v>1</v>
      </c>
      <c r="D800" s="5">
        <v>9.99</v>
      </c>
      <c r="E800" s="3" t="s">
        <v>3279</v>
      </c>
      <c r="F800" s="2" t="s">
        <v>1914</v>
      </c>
      <c r="G800" s="6" t="s">
        <v>154</v>
      </c>
      <c r="H800" s="2" t="s">
        <v>1473</v>
      </c>
      <c r="I800" s="2" t="s">
        <v>1426</v>
      </c>
      <c r="J800" s="2" t="s">
        <v>19</v>
      </c>
      <c r="K800" s="2" t="s">
        <v>990</v>
      </c>
      <c r="L800" s="7" t="str">
        <f>HYPERLINK("http://slimages.macys.com/is/image/MCY/11130625 ")</f>
        <v xml:space="preserve">http://slimages.macys.com/is/image/MCY/11130625 </v>
      </c>
    </row>
    <row r="801" spans="1:12" ht="24.75" x14ac:dyDescent="0.25">
      <c r="A801" s="4" t="s">
        <v>8888</v>
      </c>
      <c r="B801" s="2" t="s">
        <v>4318</v>
      </c>
      <c r="C801" s="3">
        <v>1</v>
      </c>
      <c r="D801" s="5">
        <v>9.99</v>
      </c>
      <c r="E801" s="3" t="s">
        <v>4319</v>
      </c>
      <c r="F801" s="2"/>
      <c r="G801" s="6" t="s">
        <v>154</v>
      </c>
      <c r="H801" s="2" t="s">
        <v>1473</v>
      </c>
      <c r="I801" s="2" t="s">
        <v>1426</v>
      </c>
      <c r="J801" s="2" t="s">
        <v>19</v>
      </c>
      <c r="K801" s="2" t="s">
        <v>648</v>
      </c>
      <c r="L801" s="7" t="str">
        <f>HYPERLINK("http://slimages.macys.com/is/image/MCY/13301237 ")</f>
        <v xml:space="preserve">http://slimages.macys.com/is/image/MCY/13301237 </v>
      </c>
    </row>
    <row r="802" spans="1:12" ht="24.75" x14ac:dyDescent="0.25">
      <c r="A802" s="4" t="s">
        <v>8889</v>
      </c>
      <c r="B802" s="2" t="s">
        <v>4326</v>
      </c>
      <c r="C802" s="3">
        <v>1</v>
      </c>
      <c r="D802" s="5">
        <v>9.99</v>
      </c>
      <c r="E802" s="3" t="s">
        <v>8890</v>
      </c>
      <c r="F802" s="2" t="s">
        <v>74</v>
      </c>
      <c r="G802" s="6" t="s">
        <v>219</v>
      </c>
      <c r="H802" s="2" t="s">
        <v>1425</v>
      </c>
      <c r="I802" s="2" t="s">
        <v>1426</v>
      </c>
      <c r="J802" s="2" t="s">
        <v>19</v>
      </c>
      <c r="K802" s="2" t="s">
        <v>107</v>
      </c>
      <c r="L802" s="7" t="str">
        <f>HYPERLINK("http://slimages.macys.com/is/image/MCY/10742492 ")</f>
        <v xml:space="preserve">http://slimages.macys.com/is/image/MCY/10742492 </v>
      </c>
    </row>
    <row r="803" spans="1:12" ht="24.75" x14ac:dyDescent="0.25">
      <c r="A803" s="4" t="s">
        <v>8396</v>
      </c>
      <c r="B803" s="2" t="s">
        <v>2075</v>
      </c>
      <c r="C803" s="3">
        <v>1</v>
      </c>
      <c r="D803" s="5">
        <v>9.99</v>
      </c>
      <c r="E803" s="3" t="s">
        <v>2076</v>
      </c>
      <c r="F803" s="2" t="s">
        <v>94</v>
      </c>
      <c r="G803" s="6" t="s">
        <v>154</v>
      </c>
      <c r="H803" s="2" t="s">
        <v>1473</v>
      </c>
      <c r="I803" s="2" t="s">
        <v>1426</v>
      </c>
      <c r="J803" s="2" t="s">
        <v>19</v>
      </c>
      <c r="K803" s="2" t="s">
        <v>990</v>
      </c>
      <c r="L803" s="7" t="str">
        <f>HYPERLINK("http://slimages.macys.com/is/image/MCY/15161436 ")</f>
        <v xml:space="preserve">http://slimages.macys.com/is/image/MCY/15161436 </v>
      </c>
    </row>
    <row r="804" spans="1:12" ht="24.75" x14ac:dyDescent="0.25">
      <c r="A804" s="4" t="s">
        <v>8891</v>
      </c>
      <c r="B804" s="2" t="s">
        <v>2083</v>
      </c>
      <c r="C804" s="3">
        <v>1</v>
      </c>
      <c r="D804" s="5">
        <v>9.99</v>
      </c>
      <c r="E804" s="3" t="s">
        <v>3251</v>
      </c>
      <c r="F804" s="2" t="s">
        <v>33</v>
      </c>
      <c r="G804" s="6"/>
      <c r="H804" s="2" t="s">
        <v>1425</v>
      </c>
      <c r="I804" s="2" t="s">
        <v>1426</v>
      </c>
      <c r="J804" s="2" t="s">
        <v>19</v>
      </c>
      <c r="K804" s="2" t="s">
        <v>648</v>
      </c>
      <c r="L804" s="7" t="str">
        <f>HYPERLINK("http://slimages.macys.com/is/image/MCY/12315459 ")</f>
        <v xml:space="preserve">http://slimages.macys.com/is/image/MCY/12315459 </v>
      </c>
    </row>
    <row r="805" spans="1:12" ht="24.75" x14ac:dyDescent="0.25">
      <c r="A805" s="4" t="s">
        <v>5310</v>
      </c>
      <c r="B805" s="2" t="s">
        <v>2083</v>
      </c>
      <c r="C805" s="3">
        <v>2</v>
      </c>
      <c r="D805" s="5">
        <v>9.99</v>
      </c>
      <c r="E805" s="3" t="s">
        <v>3251</v>
      </c>
      <c r="F805" s="2" t="s">
        <v>74</v>
      </c>
      <c r="G805" s="6"/>
      <c r="H805" s="2" t="s">
        <v>1425</v>
      </c>
      <c r="I805" s="2" t="s">
        <v>1426</v>
      </c>
      <c r="J805" s="2" t="s">
        <v>19</v>
      </c>
      <c r="K805" s="2" t="s">
        <v>648</v>
      </c>
      <c r="L805" s="7" t="str">
        <f>HYPERLINK("http://slimages.macys.com/is/image/MCY/12315459 ")</f>
        <v xml:space="preserve">http://slimages.macys.com/is/image/MCY/12315459 </v>
      </c>
    </row>
    <row r="806" spans="1:12" ht="24.75" x14ac:dyDescent="0.25">
      <c r="A806" s="4" t="s">
        <v>5326</v>
      </c>
      <c r="B806" s="2" t="s">
        <v>3265</v>
      </c>
      <c r="C806" s="3">
        <v>1</v>
      </c>
      <c r="D806" s="5">
        <v>9.99</v>
      </c>
      <c r="E806" s="3" t="s">
        <v>3266</v>
      </c>
      <c r="F806" s="2" t="s">
        <v>3267</v>
      </c>
      <c r="G806" s="6" t="s">
        <v>181</v>
      </c>
      <c r="H806" s="2" t="s">
        <v>1473</v>
      </c>
      <c r="I806" s="2" t="s">
        <v>1426</v>
      </c>
      <c r="J806" s="2" t="s">
        <v>19</v>
      </c>
      <c r="K806" s="2" t="s">
        <v>495</v>
      </c>
      <c r="L806" s="7" t="str">
        <f>HYPERLINK("http://slimages.macys.com/is/image/MCY/11532809 ")</f>
        <v xml:space="preserve">http://slimages.macys.com/is/image/MCY/11532809 </v>
      </c>
    </row>
    <row r="807" spans="1:12" ht="24.75" x14ac:dyDescent="0.25">
      <c r="A807" s="4" t="s">
        <v>8892</v>
      </c>
      <c r="B807" s="2" t="s">
        <v>2103</v>
      </c>
      <c r="C807" s="3">
        <v>1</v>
      </c>
      <c r="D807" s="5">
        <v>9.99</v>
      </c>
      <c r="E807" s="3" t="s">
        <v>8893</v>
      </c>
      <c r="F807" s="2" t="s">
        <v>15</v>
      </c>
      <c r="G807" s="6" t="s">
        <v>187</v>
      </c>
      <c r="H807" s="2" t="s">
        <v>1425</v>
      </c>
      <c r="I807" s="2" t="s">
        <v>1426</v>
      </c>
      <c r="J807" s="2" t="s">
        <v>19</v>
      </c>
      <c r="K807" s="2" t="s">
        <v>495</v>
      </c>
      <c r="L807" s="7" t="str">
        <f>HYPERLINK("http://slimages.macys.com/is/image/MCY/10746425 ")</f>
        <v xml:space="preserve">http://slimages.macys.com/is/image/MCY/10746425 </v>
      </c>
    </row>
    <row r="808" spans="1:12" ht="24.75" x14ac:dyDescent="0.25">
      <c r="A808" s="4" t="s">
        <v>8894</v>
      </c>
      <c r="B808" s="2" t="s">
        <v>5316</v>
      </c>
      <c r="C808" s="3">
        <v>1</v>
      </c>
      <c r="D808" s="5">
        <v>9.99</v>
      </c>
      <c r="E808" s="3" t="s">
        <v>7760</v>
      </c>
      <c r="F808" s="2" t="s">
        <v>33</v>
      </c>
      <c r="G808" s="6" t="s">
        <v>187</v>
      </c>
      <c r="H808" s="2" t="s">
        <v>1425</v>
      </c>
      <c r="I808" s="2" t="s">
        <v>1426</v>
      </c>
      <c r="J808" s="2" t="s">
        <v>19</v>
      </c>
      <c r="K808" s="2" t="s">
        <v>495</v>
      </c>
      <c r="L808" s="7" t="str">
        <f>HYPERLINK("http://slimages.macys.com/is/image/MCY/12269156 ")</f>
        <v xml:space="preserve">http://slimages.macys.com/is/image/MCY/12269156 </v>
      </c>
    </row>
    <row r="809" spans="1:12" ht="24.75" x14ac:dyDescent="0.25">
      <c r="A809" s="4" t="s">
        <v>4350</v>
      </c>
      <c r="B809" s="2" t="s">
        <v>3265</v>
      </c>
      <c r="C809" s="3">
        <v>1</v>
      </c>
      <c r="D809" s="5">
        <v>9.99</v>
      </c>
      <c r="E809" s="3" t="s">
        <v>3266</v>
      </c>
      <c r="F809" s="2" t="s">
        <v>33</v>
      </c>
      <c r="G809" s="6" t="s">
        <v>154</v>
      </c>
      <c r="H809" s="2" t="s">
        <v>1473</v>
      </c>
      <c r="I809" s="2" t="s">
        <v>1426</v>
      </c>
      <c r="J809" s="2" t="s">
        <v>19</v>
      </c>
      <c r="K809" s="2" t="s">
        <v>495</v>
      </c>
      <c r="L809" s="7" t="str">
        <f>HYPERLINK("http://slimages.macys.com/is/image/MCY/11532809 ")</f>
        <v xml:space="preserve">http://slimages.macys.com/is/image/MCY/11532809 </v>
      </c>
    </row>
    <row r="810" spans="1:12" ht="24.75" x14ac:dyDescent="0.25">
      <c r="A810" s="4" t="s">
        <v>7759</v>
      </c>
      <c r="B810" s="2" t="s">
        <v>5316</v>
      </c>
      <c r="C810" s="3">
        <v>2</v>
      </c>
      <c r="D810" s="5">
        <v>9.99</v>
      </c>
      <c r="E810" s="3" t="s">
        <v>7760</v>
      </c>
      <c r="F810" s="2" t="s">
        <v>33</v>
      </c>
      <c r="G810" s="6"/>
      <c r="H810" s="2" t="s">
        <v>1425</v>
      </c>
      <c r="I810" s="2" t="s">
        <v>1426</v>
      </c>
      <c r="J810" s="2" t="s">
        <v>19</v>
      </c>
      <c r="K810" s="2" t="s">
        <v>495</v>
      </c>
      <c r="L810" s="7" t="str">
        <f>HYPERLINK("http://slimages.macys.com/is/image/MCY/12269156 ")</f>
        <v xml:space="preserve">http://slimages.macys.com/is/image/MCY/12269156 </v>
      </c>
    </row>
    <row r="811" spans="1:12" ht="24.75" x14ac:dyDescent="0.25">
      <c r="A811" s="4" t="s">
        <v>8895</v>
      </c>
      <c r="B811" s="2" t="s">
        <v>5316</v>
      </c>
      <c r="C811" s="3">
        <v>2</v>
      </c>
      <c r="D811" s="5">
        <v>9.99</v>
      </c>
      <c r="E811" s="3" t="s">
        <v>7760</v>
      </c>
      <c r="F811" s="2" t="s">
        <v>33</v>
      </c>
      <c r="G811" s="6" t="s">
        <v>219</v>
      </c>
      <c r="H811" s="2" t="s">
        <v>1425</v>
      </c>
      <c r="I811" s="2" t="s">
        <v>1426</v>
      </c>
      <c r="J811" s="2" t="s">
        <v>19</v>
      </c>
      <c r="K811" s="2" t="s">
        <v>495</v>
      </c>
      <c r="L811" s="7" t="str">
        <f>HYPERLINK("http://slimages.macys.com/is/image/MCY/12269156 ")</f>
        <v xml:space="preserve">http://slimages.macys.com/is/image/MCY/12269156 </v>
      </c>
    </row>
    <row r="812" spans="1:12" ht="24.75" x14ac:dyDescent="0.25">
      <c r="A812" s="4" t="s">
        <v>8896</v>
      </c>
      <c r="B812" s="2" t="s">
        <v>8420</v>
      </c>
      <c r="C812" s="3">
        <v>1</v>
      </c>
      <c r="D812" s="5">
        <v>9.99</v>
      </c>
      <c r="E812" s="3" t="s">
        <v>8421</v>
      </c>
      <c r="F812" s="2" t="s">
        <v>15</v>
      </c>
      <c r="G812" s="6" t="s">
        <v>245</v>
      </c>
      <c r="H812" s="2" t="s">
        <v>1473</v>
      </c>
      <c r="I812" s="2" t="s">
        <v>1426</v>
      </c>
      <c r="J812" s="2" t="s">
        <v>19</v>
      </c>
      <c r="K812" s="2" t="s">
        <v>495</v>
      </c>
      <c r="L812" s="7" t="str">
        <f>HYPERLINK("http://slimages.macys.com/is/image/MCY/10746178 ")</f>
        <v xml:space="preserve">http://slimages.macys.com/is/image/MCY/10746178 </v>
      </c>
    </row>
    <row r="813" spans="1:12" ht="24.75" x14ac:dyDescent="0.25">
      <c r="A813" s="4" t="s">
        <v>8897</v>
      </c>
      <c r="B813" s="2" t="s">
        <v>2103</v>
      </c>
      <c r="C813" s="3">
        <v>3</v>
      </c>
      <c r="D813" s="5">
        <v>9.99</v>
      </c>
      <c r="E813" s="3" t="s">
        <v>8893</v>
      </c>
      <c r="F813" s="2" t="s">
        <v>15</v>
      </c>
      <c r="G813" s="6" t="s">
        <v>219</v>
      </c>
      <c r="H813" s="2" t="s">
        <v>1425</v>
      </c>
      <c r="I813" s="2" t="s">
        <v>1426</v>
      </c>
      <c r="J813" s="2" t="s">
        <v>19</v>
      </c>
      <c r="K813" s="2" t="s">
        <v>495</v>
      </c>
      <c r="L813" s="7" t="str">
        <f>HYPERLINK("http://slimages.macys.com/is/image/MCY/10746425 ")</f>
        <v xml:space="preserve">http://slimages.macys.com/is/image/MCY/10746425 </v>
      </c>
    </row>
    <row r="814" spans="1:12" ht="24.75" x14ac:dyDescent="0.25">
      <c r="A814" s="4" t="s">
        <v>6955</v>
      </c>
      <c r="B814" s="2" t="s">
        <v>2072</v>
      </c>
      <c r="C814" s="3">
        <v>1</v>
      </c>
      <c r="D814" s="5">
        <v>9.99</v>
      </c>
      <c r="E814" s="3" t="s">
        <v>6956</v>
      </c>
      <c r="F814" s="2" t="s">
        <v>413</v>
      </c>
      <c r="G814" s="6" t="s">
        <v>156</v>
      </c>
      <c r="H814" s="2" t="s">
        <v>1473</v>
      </c>
      <c r="I814" s="2" t="s">
        <v>1426</v>
      </c>
      <c r="J814" s="2" t="s">
        <v>19</v>
      </c>
      <c r="K814" s="2" t="s">
        <v>648</v>
      </c>
      <c r="L814" s="7" t="str">
        <f>HYPERLINK("http://slimages.macys.com/is/image/MCY/10741447 ")</f>
        <v xml:space="preserve">http://slimages.macys.com/is/image/MCY/10741447 </v>
      </c>
    </row>
    <row r="815" spans="1:12" ht="24.75" x14ac:dyDescent="0.25">
      <c r="A815" s="4" t="s">
        <v>8898</v>
      </c>
      <c r="B815" s="2" t="s">
        <v>2072</v>
      </c>
      <c r="C815" s="3">
        <v>1</v>
      </c>
      <c r="D815" s="5">
        <v>9.99</v>
      </c>
      <c r="E815" s="3" t="s">
        <v>6956</v>
      </c>
      <c r="F815" s="2" t="s">
        <v>413</v>
      </c>
      <c r="G815" s="6" t="s">
        <v>245</v>
      </c>
      <c r="H815" s="2" t="s">
        <v>1473</v>
      </c>
      <c r="I815" s="2" t="s">
        <v>1426</v>
      </c>
      <c r="J815" s="2" t="s">
        <v>19</v>
      </c>
      <c r="K815" s="2" t="s">
        <v>648</v>
      </c>
      <c r="L815" s="7" t="str">
        <f>HYPERLINK("http://slimages.macys.com/is/image/MCY/10741447 ")</f>
        <v xml:space="preserve">http://slimages.macys.com/is/image/MCY/10741447 </v>
      </c>
    </row>
    <row r="816" spans="1:12" ht="24.75" x14ac:dyDescent="0.25">
      <c r="A816" s="4" t="s">
        <v>8899</v>
      </c>
      <c r="B816" s="2" t="s">
        <v>2113</v>
      </c>
      <c r="C816" s="3">
        <v>1</v>
      </c>
      <c r="D816" s="5">
        <v>9.99</v>
      </c>
      <c r="E816" s="3" t="s">
        <v>2114</v>
      </c>
      <c r="F816" s="2" t="s">
        <v>79</v>
      </c>
      <c r="G816" s="6" t="s">
        <v>187</v>
      </c>
      <c r="H816" s="2" t="s">
        <v>1425</v>
      </c>
      <c r="I816" s="2" t="s">
        <v>1426</v>
      </c>
      <c r="J816" s="2" t="s">
        <v>19</v>
      </c>
      <c r="K816" s="2" t="s">
        <v>648</v>
      </c>
      <c r="L816" s="7" t="str">
        <f>HYPERLINK("http://slimages.macys.com/is/image/MCY/10703601 ")</f>
        <v xml:space="preserve">http://slimages.macys.com/is/image/MCY/10703601 </v>
      </c>
    </row>
    <row r="817" spans="1:12" ht="24.75" x14ac:dyDescent="0.25">
      <c r="A817" s="4" t="s">
        <v>5298</v>
      </c>
      <c r="B817" s="2" t="s">
        <v>2083</v>
      </c>
      <c r="C817" s="3">
        <v>1</v>
      </c>
      <c r="D817" s="5">
        <v>9.99</v>
      </c>
      <c r="E817" s="3" t="s">
        <v>2084</v>
      </c>
      <c r="F817" s="2" t="s">
        <v>74</v>
      </c>
      <c r="G817" s="6" t="s">
        <v>154</v>
      </c>
      <c r="H817" s="2" t="s">
        <v>1473</v>
      </c>
      <c r="I817" s="2" t="s">
        <v>1426</v>
      </c>
      <c r="J817" s="2" t="s">
        <v>19</v>
      </c>
      <c r="K817" s="2" t="s">
        <v>648</v>
      </c>
      <c r="L817" s="7" t="str">
        <f>HYPERLINK("http://slimages.macys.com/is/image/MCY/10703349 ")</f>
        <v xml:space="preserve">http://slimages.macys.com/is/image/MCY/10703349 </v>
      </c>
    </row>
    <row r="818" spans="1:12" ht="24.75" x14ac:dyDescent="0.25">
      <c r="A818" s="4" t="s">
        <v>5299</v>
      </c>
      <c r="B818" s="2" t="s">
        <v>2083</v>
      </c>
      <c r="C818" s="3">
        <v>1</v>
      </c>
      <c r="D818" s="5">
        <v>9.99</v>
      </c>
      <c r="E818" s="3" t="s">
        <v>2084</v>
      </c>
      <c r="F818" s="2" t="s">
        <v>136</v>
      </c>
      <c r="G818" s="6" t="s">
        <v>234</v>
      </c>
      <c r="H818" s="2" t="s">
        <v>1473</v>
      </c>
      <c r="I818" s="2" t="s">
        <v>1426</v>
      </c>
      <c r="J818" s="2" t="s">
        <v>19</v>
      </c>
      <c r="K818" s="2" t="s">
        <v>648</v>
      </c>
      <c r="L818" s="7" t="str">
        <f>HYPERLINK("http://slimages.macys.com/is/image/MCY/10703349 ")</f>
        <v xml:space="preserve">http://slimages.macys.com/is/image/MCY/10703349 </v>
      </c>
    </row>
    <row r="819" spans="1:12" ht="24.75" x14ac:dyDescent="0.25">
      <c r="A819" s="4" t="s">
        <v>4336</v>
      </c>
      <c r="B819" s="2" t="s">
        <v>2083</v>
      </c>
      <c r="C819" s="3">
        <v>2</v>
      </c>
      <c r="D819" s="5">
        <v>9.99</v>
      </c>
      <c r="E819" s="3" t="s">
        <v>2084</v>
      </c>
      <c r="F819" s="2" t="s">
        <v>136</v>
      </c>
      <c r="G819" s="6" t="s">
        <v>154</v>
      </c>
      <c r="H819" s="2" t="s">
        <v>1473</v>
      </c>
      <c r="I819" s="2" t="s">
        <v>1426</v>
      </c>
      <c r="J819" s="2" t="s">
        <v>19</v>
      </c>
      <c r="K819" s="2" t="s">
        <v>648</v>
      </c>
      <c r="L819" s="7" t="str">
        <f>HYPERLINK("http://slimages.macys.com/is/image/MCY/10703349 ")</f>
        <v xml:space="preserve">http://slimages.macys.com/is/image/MCY/10703349 </v>
      </c>
    </row>
    <row r="820" spans="1:12" ht="24.75" x14ac:dyDescent="0.25">
      <c r="A820" s="4" t="s">
        <v>8900</v>
      </c>
      <c r="B820" s="2" t="s">
        <v>374</v>
      </c>
      <c r="C820" s="3">
        <v>1</v>
      </c>
      <c r="D820" s="5">
        <v>52.13</v>
      </c>
      <c r="E820" s="3" t="s">
        <v>394</v>
      </c>
      <c r="F820" s="2" t="s">
        <v>26</v>
      </c>
      <c r="G820" s="6" t="s">
        <v>205</v>
      </c>
      <c r="H820" s="2" t="s">
        <v>188</v>
      </c>
      <c r="I820" s="2" t="s">
        <v>189</v>
      </c>
      <c r="J820" s="2"/>
      <c r="K820" s="2"/>
      <c r="L820" s="7"/>
    </row>
    <row r="821" spans="1:12" ht="24.75" x14ac:dyDescent="0.25">
      <c r="A821" s="4" t="s">
        <v>4365</v>
      </c>
      <c r="B821" s="2" t="s">
        <v>2120</v>
      </c>
      <c r="C821" s="3">
        <v>1</v>
      </c>
      <c r="D821" s="5">
        <v>40.5</v>
      </c>
      <c r="E821" s="3">
        <v>100067921</v>
      </c>
      <c r="F821" s="2" t="s">
        <v>74</v>
      </c>
      <c r="G821" s="6" t="s">
        <v>27</v>
      </c>
      <c r="H821" s="2" t="s">
        <v>228</v>
      </c>
      <c r="I821" s="2" t="s">
        <v>229</v>
      </c>
      <c r="J821" s="2"/>
      <c r="K821" s="2"/>
      <c r="L821" s="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4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8901</v>
      </c>
      <c r="B2" s="2" t="s">
        <v>8902</v>
      </c>
      <c r="C2" s="3">
        <v>1</v>
      </c>
      <c r="D2" s="5">
        <v>168</v>
      </c>
      <c r="E2" s="3" t="s">
        <v>8903</v>
      </c>
      <c r="F2" s="2" t="s">
        <v>64</v>
      </c>
      <c r="G2" s="6" t="s">
        <v>27</v>
      </c>
      <c r="H2" s="2" t="s">
        <v>17</v>
      </c>
      <c r="I2" s="2" t="s">
        <v>18</v>
      </c>
      <c r="J2" s="2" t="s">
        <v>19</v>
      </c>
      <c r="K2" s="2" t="s">
        <v>8904</v>
      </c>
      <c r="L2" s="7" t="str">
        <f>HYPERLINK("http://slimages.macys.com/is/image/MCY/11713640 ")</f>
        <v xml:space="preserve">http://slimages.macys.com/is/image/MCY/11713640 </v>
      </c>
    </row>
    <row r="3" spans="1:12" ht="24.75" x14ac:dyDescent="0.25">
      <c r="A3" s="4" t="s">
        <v>30</v>
      </c>
      <c r="B3" s="2" t="s">
        <v>31</v>
      </c>
      <c r="C3" s="3">
        <v>1</v>
      </c>
      <c r="D3" s="5">
        <v>158</v>
      </c>
      <c r="E3" s="3" t="s">
        <v>32</v>
      </c>
      <c r="F3" s="2" t="s">
        <v>33</v>
      </c>
      <c r="G3" s="6" t="s">
        <v>16</v>
      </c>
      <c r="H3" s="2" t="s">
        <v>17</v>
      </c>
      <c r="I3" s="2" t="s">
        <v>18</v>
      </c>
      <c r="J3" s="2" t="s">
        <v>19</v>
      </c>
      <c r="K3" s="2" t="s">
        <v>34</v>
      </c>
      <c r="L3" s="7" t="str">
        <f>HYPERLINK("http://slimages.macys.com/is/image/MCY/13289754 ")</f>
        <v xml:space="preserve">http://slimages.macys.com/is/image/MCY/13289754 </v>
      </c>
    </row>
    <row r="4" spans="1:12" ht="24.75" x14ac:dyDescent="0.25">
      <c r="A4" s="4" t="s">
        <v>60</v>
      </c>
      <c r="B4" s="2" t="s">
        <v>51</v>
      </c>
      <c r="C4" s="3">
        <v>1</v>
      </c>
      <c r="D4" s="5">
        <v>138</v>
      </c>
      <c r="E4" s="3" t="s">
        <v>52</v>
      </c>
      <c r="F4" s="2" t="s">
        <v>53</v>
      </c>
      <c r="G4" s="6" t="s">
        <v>27</v>
      </c>
      <c r="H4" s="2" t="s">
        <v>17</v>
      </c>
      <c r="I4" s="2" t="s">
        <v>18</v>
      </c>
      <c r="J4" s="2" t="s">
        <v>19</v>
      </c>
      <c r="K4" s="2" t="s">
        <v>34</v>
      </c>
      <c r="L4" s="7" t="str">
        <f>HYPERLINK("http://slimages.macys.com/is/image/MCY/12649079 ")</f>
        <v xml:space="preserve">http://slimages.macys.com/is/image/MCY/12649079 </v>
      </c>
    </row>
    <row r="5" spans="1:12" ht="24.75" x14ac:dyDescent="0.25">
      <c r="A5" s="4" t="s">
        <v>8905</v>
      </c>
      <c r="B5" s="2" t="s">
        <v>8906</v>
      </c>
      <c r="C5" s="3">
        <v>1</v>
      </c>
      <c r="D5" s="5">
        <v>148</v>
      </c>
      <c r="E5" s="3" t="s">
        <v>8907</v>
      </c>
      <c r="F5" s="2" t="s">
        <v>1614</v>
      </c>
      <c r="G5" s="6" t="s">
        <v>58</v>
      </c>
      <c r="H5" s="2" t="s">
        <v>17</v>
      </c>
      <c r="I5" s="2" t="s">
        <v>40</v>
      </c>
      <c r="J5" s="2" t="s">
        <v>19</v>
      </c>
      <c r="K5" s="2" t="s">
        <v>258</v>
      </c>
      <c r="L5" s="7" t="str">
        <f>HYPERLINK("http://slimages.macys.com/is/image/MCY/12498725 ")</f>
        <v xml:space="preserve">http://slimages.macys.com/is/image/MCY/12498725 </v>
      </c>
    </row>
    <row r="6" spans="1:12" ht="24.75" x14ac:dyDescent="0.25">
      <c r="A6" s="4" t="s">
        <v>8908</v>
      </c>
      <c r="B6" s="2" t="s">
        <v>72</v>
      </c>
      <c r="C6" s="3">
        <v>1</v>
      </c>
      <c r="D6" s="5">
        <v>128</v>
      </c>
      <c r="E6" s="3" t="s">
        <v>73</v>
      </c>
      <c r="F6" s="2" t="s">
        <v>53</v>
      </c>
      <c r="G6" s="6" t="s">
        <v>65</v>
      </c>
      <c r="H6" s="2" t="s">
        <v>17</v>
      </c>
      <c r="I6" s="2" t="s">
        <v>18</v>
      </c>
      <c r="J6" s="2" t="s">
        <v>19</v>
      </c>
      <c r="K6" s="2" t="s">
        <v>75</v>
      </c>
      <c r="L6" s="7" t="str">
        <f>HYPERLINK("http://slimages.macys.com/is/image/MCY/12646967 ")</f>
        <v xml:space="preserve">http://slimages.macys.com/is/image/MCY/12646967 </v>
      </c>
    </row>
    <row r="7" spans="1:12" ht="24.75" x14ac:dyDescent="0.25">
      <c r="A7" s="4" t="s">
        <v>8909</v>
      </c>
      <c r="B7" s="2" t="s">
        <v>109</v>
      </c>
      <c r="C7" s="3">
        <v>1</v>
      </c>
      <c r="D7" s="5">
        <v>128</v>
      </c>
      <c r="E7" s="3" t="s">
        <v>110</v>
      </c>
      <c r="F7" s="2" t="s">
        <v>111</v>
      </c>
      <c r="G7" s="6" t="s">
        <v>22</v>
      </c>
      <c r="H7" s="2" t="s">
        <v>17</v>
      </c>
      <c r="I7" s="2" t="s">
        <v>40</v>
      </c>
      <c r="J7" s="2" t="s">
        <v>19</v>
      </c>
      <c r="K7" s="2" t="s">
        <v>34</v>
      </c>
      <c r="L7" s="7" t="str">
        <f>HYPERLINK("http://slimages.macys.com/is/image/MCY/12898262 ")</f>
        <v xml:space="preserve">http://slimages.macys.com/is/image/MCY/12898262 </v>
      </c>
    </row>
    <row r="8" spans="1:12" ht="24.75" x14ac:dyDescent="0.25">
      <c r="A8" s="4" t="s">
        <v>8910</v>
      </c>
      <c r="B8" s="2" t="s">
        <v>8439</v>
      </c>
      <c r="C8" s="3">
        <v>1</v>
      </c>
      <c r="D8" s="5">
        <v>99</v>
      </c>
      <c r="E8" s="3" t="s">
        <v>8440</v>
      </c>
      <c r="F8" s="2" t="s">
        <v>331</v>
      </c>
      <c r="G8" s="6" t="s">
        <v>27</v>
      </c>
      <c r="H8" s="2" t="s">
        <v>95</v>
      </c>
      <c r="I8" s="2" t="s">
        <v>96</v>
      </c>
      <c r="J8" s="2" t="s">
        <v>19</v>
      </c>
      <c r="K8" s="2" t="s">
        <v>8441</v>
      </c>
      <c r="L8" s="7" t="str">
        <f>HYPERLINK("http://slimages.macys.com/is/image/MCY/12794470 ")</f>
        <v xml:space="preserve">http://slimages.macys.com/is/image/MCY/12794470 </v>
      </c>
    </row>
    <row r="9" spans="1:12" ht="24.75" x14ac:dyDescent="0.25">
      <c r="A9" s="4" t="s">
        <v>8911</v>
      </c>
      <c r="B9" s="2" t="s">
        <v>8439</v>
      </c>
      <c r="C9" s="3">
        <v>1</v>
      </c>
      <c r="D9" s="5">
        <v>99</v>
      </c>
      <c r="E9" s="3" t="s">
        <v>8440</v>
      </c>
      <c r="F9" s="2" t="s">
        <v>331</v>
      </c>
      <c r="G9" s="6" t="s">
        <v>39</v>
      </c>
      <c r="H9" s="2" t="s">
        <v>95</v>
      </c>
      <c r="I9" s="2" t="s">
        <v>96</v>
      </c>
      <c r="J9" s="2" t="s">
        <v>19</v>
      </c>
      <c r="K9" s="2" t="s">
        <v>8441</v>
      </c>
      <c r="L9" s="7" t="str">
        <f>HYPERLINK("http://slimages.macys.com/is/image/MCY/12794470 ")</f>
        <v xml:space="preserve">http://slimages.macys.com/is/image/MCY/12794470 </v>
      </c>
    </row>
    <row r="10" spans="1:12" ht="24.75" x14ac:dyDescent="0.25">
      <c r="A10" s="4" t="s">
        <v>138</v>
      </c>
      <c r="B10" s="2" t="s">
        <v>139</v>
      </c>
      <c r="C10" s="3">
        <v>1</v>
      </c>
      <c r="D10" s="5">
        <v>99</v>
      </c>
      <c r="E10" s="3" t="s">
        <v>140</v>
      </c>
      <c r="F10" s="2" t="s">
        <v>64</v>
      </c>
      <c r="G10" s="6" t="s">
        <v>141</v>
      </c>
      <c r="H10" s="2" t="s">
        <v>95</v>
      </c>
      <c r="I10" s="2" t="s">
        <v>96</v>
      </c>
      <c r="J10" s="2" t="s">
        <v>19</v>
      </c>
      <c r="K10" s="2" t="s">
        <v>137</v>
      </c>
      <c r="L10" s="7" t="str">
        <f>HYPERLINK("http://slimages.macys.com/is/image/MCY/12794480 ")</f>
        <v xml:space="preserve">http://slimages.macys.com/is/image/MCY/12794480 </v>
      </c>
    </row>
    <row r="11" spans="1:12" ht="24.75" x14ac:dyDescent="0.25">
      <c r="A11" s="4" t="s">
        <v>8912</v>
      </c>
      <c r="B11" s="2" t="s">
        <v>4413</v>
      </c>
      <c r="C11" s="3">
        <v>1</v>
      </c>
      <c r="D11" s="5">
        <v>99</v>
      </c>
      <c r="E11" s="3" t="s">
        <v>4414</v>
      </c>
      <c r="F11" s="2" t="s">
        <v>887</v>
      </c>
      <c r="G11" s="6" t="s">
        <v>4401</v>
      </c>
      <c r="H11" s="2" t="s">
        <v>17</v>
      </c>
      <c r="I11" s="2" t="s">
        <v>145</v>
      </c>
      <c r="J11" s="2" t="s">
        <v>19</v>
      </c>
      <c r="K11" s="2" t="s">
        <v>75</v>
      </c>
      <c r="L11" s="7" t="str">
        <f>HYPERLINK("http://slimages.macys.com/is/image/MCY/11407685 ")</f>
        <v xml:space="preserve">http://slimages.macys.com/is/image/MCY/11407685 </v>
      </c>
    </row>
    <row r="12" spans="1:12" ht="24.75" x14ac:dyDescent="0.25">
      <c r="A12" s="4" t="s">
        <v>8913</v>
      </c>
      <c r="B12" s="2" t="s">
        <v>3312</v>
      </c>
      <c r="C12" s="3">
        <v>1</v>
      </c>
      <c r="D12" s="5">
        <v>89</v>
      </c>
      <c r="E12" s="3" t="s">
        <v>3313</v>
      </c>
      <c r="F12" s="2" t="s">
        <v>26</v>
      </c>
      <c r="G12" s="6" t="s">
        <v>27</v>
      </c>
      <c r="H12" s="2" t="s">
        <v>95</v>
      </c>
      <c r="I12" s="2" t="s">
        <v>96</v>
      </c>
      <c r="J12" s="2" t="s">
        <v>19</v>
      </c>
      <c r="K12" s="2" t="s">
        <v>338</v>
      </c>
      <c r="L12" s="7" t="str">
        <f>HYPERLINK("http://slimages.macys.com/is/image/MCY/11784614 ")</f>
        <v xml:space="preserve">http://slimages.macys.com/is/image/MCY/11784614 </v>
      </c>
    </row>
    <row r="13" spans="1:12" ht="24.75" x14ac:dyDescent="0.25">
      <c r="A13" s="4" t="s">
        <v>2157</v>
      </c>
      <c r="B13" s="2" t="s">
        <v>153</v>
      </c>
      <c r="C13" s="3">
        <v>2</v>
      </c>
      <c r="D13" s="5">
        <v>79.5</v>
      </c>
      <c r="E13" s="3">
        <v>10719732</v>
      </c>
      <c r="F13" s="2" t="s">
        <v>33</v>
      </c>
      <c r="G13" s="6" t="s">
        <v>245</v>
      </c>
      <c r="H13" s="2" t="s">
        <v>17</v>
      </c>
      <c r="I13" s="2" t="s">
        <v>121</v>
      </c>
      <c r="J13" s="2" t="s">
        <v>19</v>
      </c>
      <c r="K13" s="2" t="s">
        <v>34</v>
      </c>
      <c r="L13" s="7" t="str">
        <f>HYPERLINK("http://slimages.macys.com/is/image/MCY/10534487 ")</f>
        <v xml:space="preserve">http://slimages.macys.com/is/image/MCY/10534487 </v>
      </c>
    </row>
    <row r="14" spans="1:12" ht="24.75" x14ac:dyDescent="0.25">
      <c r="A14" s="4" t="s">
        <v>8914</v>
      </c>
      <c r="B14" s="2" t="s">
        <v>8915</v>
      </c>
      <c r="C14" s="3">
        <v>2</v>
      </c>
      <c r="D14" s="5">
        <v>59.63</v>
      </c>
      <c r="E14" s="3" t="s">
        <v>8916</v>
      </c>
      <c r="F14" s="2" t="s">
        <v>26</v>
      </c>
      <c r="G14" s="6" t="s">
        <v>746</v>
      </c>
      <c r="H14" s="2" t="s">
        <v>349</v>
      </c>
      <c r="I14" s="2" t="s">
        <v>8917</v>
      </c>
      <c r="J14" s="2" t="s">
        <v>19</v>
      </c>
      <c r="K14" s="2" t="s">
        <v>1480</v>
      </c>
      <c r="L14" s="7" t="str">
        <f>HYPERLINK("http://slimages.macys.com/is/image/MCY/11712555 ")</f>
        <v xml:space="preserve">http://slimages.macys.com/is/image/MCY/11712555 </v>
      </c>
    </row>
    <row r="15" spans="1:12" ht="24.75" x14ac:dyDescent="0.25">
      <c r="A15" s="4" t="s">
        <v>8918</v>
      </c>
      <c r="B15" s="2" t="s">
        <v>8919</v>
      </c>
      <c r="C15" s="3">
        <v>1</v>
      </c>
      <c r="D15" s="5">
        <v>59</v>
      </c>
      <c r="E15" s="3">
        <v>10717688</v>
      </c>
      <c r="F15" s="2" t="s">
        <v>74</v>
      </c>
      <c r="G15" s="6" t="s">
        <v>154</v>
      </c>
      <c r="H15" s="2" t="s">
        <v>2154</v>
      </c>
      <c r="I15" s="2" t="s">
        <v>2155</v>
      </c>
      <c r="J15" s="2" t="s">
        <v>19</v>
      </c>
      <c r="K15" s="2" t="s">
        <v>495</v>
      </c>
      <c r="L15" s="7" t="str">
        <f>HYPERLINK("http://slimages.macys.com/is/image/MCY/11853518 ")</f>
        <v xml:space="preserve">http://slimages.macys.com/is/image/MCY/11853518 </v>
      </c>
    </row>
    <row r="16" spans="1:12" ht="24.75" x14ac:dyDescent="0.25">
      <c r="A16" s="4" t="s">
        <v>8920</v>
      </c>
      <c r="B16" s="2" t="s">
        <v>5375</v>
      </c>
      <c r="C16" s="3">
        <v>1</v>
      </c>
      <c r="D16" s="5">
        <v>59</v>
      </c>
      <c r="E16" s="3">
        <v>10727424</v>
      </c>
      <c r="F16" s="2" t="s">
        <v>89</v>
      </c>
      <c r="G16" s="6" t="s">
        <v>181</v>
      </c>
      <c r="H16" s="2" t="s">
        <v>2154</v>
      </c>
      <c r="I16" s="2" t="s">
        <v>2155</v>
      </c>
      <c r="J16" s="2" t="s">
        <v>19</v>
      </c>
      <c r="K16" s="2" t="s">
        <v>34</v>
      </c>
      <c r="L16" s="7" t="str">
        <f>HYPERLINK("http://slimages.macys.com/is/image/MCY/12794638 ")</f>
        <v xml:space="preserve">http://slimages.macys.com/is/image/MCY/12794638 </v>
      </c>
    </row>
    <row r="17" spans="1:12" ht="24.75" x14ac:dyDescent="0.25">
      <c r="A17" s="4" t="s">
        <v>8921</v>
      </c>
      <c r="B17" s="2" t="s">
        <v>8922</v>
      </c>
      <c r="C17" s="3">
        <v>1</v>
      </c>
      <c r="D17" s="5">
        <v>74.5</v>
      </c>
      <c r="E17" s="3" t="s">
        <v>8923</v>
      </c>
      <c r="F17" s="2" t="s">
        <v>79</v>
      </c>
      <c r="G17" s="6" t="s">
        <v>165</v>
      </c>
      <c r="H17" s="2" t="s">
        <v>127</v>
      </c>
      <c r="I17" s="2" t="s">
        <v>128</v>
      </c>
      <c r="J17" s="2" t="s">
        <v>19</v>
      </c>
      <c r="K17" s="2" t="s">
        <v>34</v>
      </c>
      <c r="L17" s="7" t="str">
        <f>HYPERLINK("http://slimages.macys.com/is/image/MCY/11782919 ")</f>
        <v xml:space="preserve">http://slimages.macys.com/is/image/MCY/11782919 </v>
      </c>
    </row>
    <row r="18" spans="1:12" ht="48.75" x14ac:dyDescent="0.25">
      <c r="A18" s="4" t="s">
        <v>4436</v>
      </c>
      <c r="B18" s="2" t="s">
        <v>4433</v>
      </c>
      <c r="C18" s="3">
        <v>1</v>
      </c>
      <c r="D18" s="5">
        <v>99.5</v>
      </c>
      <c r="E18" s="3" t="s">
        <v>4434</v>
      </c>
      <c r="F18" s="2" t="s">
        <v>15</v>
      </c>
      <c r="G18" s="6"/>
      <c r="H18" s="2" t="s">
        <v>206</v>
      </c>
      <c r="I18" s="2" t="s">
        <v>207</v>
      </c>
      <c r="J18" s="2" t="s">
        <v>19</v>
      </c>
      <c r="K18" s="2" t="s">
        <v>4435</v>
      </c>
      <c r="L18" s="7" t="str">
        <f>HYPERLINK("http://slimages.macys.com/is/image/MCY/12067752 ")</f>
        <v xml:space="preserve">http://slimages.macys.com/is/image/MCY/12067752 </v>
      </c>
    </row>
    <row r="19" spans="1:12" ht="24.75" x14ac:dyDescent="0.25">
      <c r="A19" s="4" t="s">
        <v>8924</v>
      </c>
      <c r="B19" s="2" t="s">
        <v>8452</v>
      </c>
      <c r="C19" s="3">
        <v>1</v>
      </c>
      <c r="D19" s="5">
        <v>79.5</v>
      </c>
      <c r="E19" s="3">
        <v>100062618</v>
      </c>
      <c r="F19" s="2" t="s">
        <v>64</v>
      </c>
      <c r="G19" s="6" t="s">
        <v>65</v>
      </c>
      <c r="H19" s="2" t="s">
        <v>386</v>
      </c>
      <c r="I19" s="2" t="s">
        <v>337</v>
      </c>
      <c r="J19" s="2" t="s">
        <v>19</v>
      </c>
      <c r="K19" s="2" t="s">
        <v>929</v>
      </c>
      <c r="L19" s="7" t="str">
        <f>HYPERLINK("http://slimages.macys.com/is/image/MCY/12231398 ")</f>
        <v xml:space="preserve">http://slimages.macys.com/is/image/MCY/12231398 </v>
      </c>
    </row>
    <row r="20" spans="1:12" ht="24.75" x14ac:dyDescent="0.25">
      <c r="A20" s="4" t="s">
        <v>5381</v>
      </c>
      <c r="B20" s="2" t="s">
        <v>222</v>
      </c>
      <c r="C20" s="3">
        <v>1</v>
      </c>
      <c r="D20" s="5">
        <v>79.5</v>
      </c>
      <c r="E20" s="3" t="s">
        <v>223</v>
      </c>
      <c r="F20" s="2" t="s">
        <v>74</v>
      </c>
      <c r="G20" s="6" t="s">
        <v>363</v>
      </c>
      <c r="H20" s="2" t="s">
        <v>127</v>
      </c>
      <c r="I20" s="2" t="s">
        <v>128</v>
      </c>
      <c r="J20" s="2" t="s">
        <v>19</v>
      </c>
      <c r="K20" s="2" t="s">
        <v>34</v>
      </c>
      <c r="L20" s="7" t="str">
        <f>HYPERLINK("http://slimages.macys.com/is/image/MCY/13838292 ")</f>
        <v xml:space="preserve">http://slimages.macys.com/is/image/MCY/13838292 </v>
      </c>
    </row>
    <row r="21" spans="1:12" ht="24.75" x14ac:dyDescent="0.25">
      <c r="A21" s="4" t="s">
        <v>8925</v>
      </c>
      <c r="B21" s="2" t="s">
        <v>222</v>
      </c>
      <c r="C21" s="3">
        <v>1</v>
      </c>
      <c r="D21" s="5">
        <v>79.5</v>
      </c>
      <c r="E21" s="3" t="s">
        <v>223</v>
      </c>
      <c r="F21" s="2" t="s">
        <v>74</v>
      </c>
      <c r="G21" s="6" t="s">
        <v>336</v>
      </c>
      <c r="H21" s="2" t="s">
        <v>127</v>
      </c>
      <c r="I21" s="2" t="s">
        <v>128</v>
      </c>
      <c r="J21" s="2" t="s">
        <v>19</v>
      </c>
      <c r="K21" s="2" t="s">
        <v>34</v>
      </c>
      <c r="L21" s="7" t="str">
        <f>HYPERLINK("http://slimages.macys.com/is/image/MCY/13838292 ")</f>
        <v xml:space="preserve">http://slimages.macys.com/is/image/MCY/13838292 </v>
      </c>
    </row>
    <row r="22" spans="1:12" x14ac:dyDescent="0.25">
      <c r="A22" s="4" t="s">
        <v>232</v>
      </c>
      <c r="B22" s="2" t="s">
        <v>178</v>
      </c>
      <c r="C22" s="3">
        <v>1</v>
      </c>
      <c r="D22" s="5">
        <v>55.65</v>
      </c>
      <c r="E22" s="3" t="s">
        <v>179</v>
      </c>
      <c r="F22" s="2" t="s">
        <v>74</v>
      </c>
      <c r="G22" s="6" t="s">
        <v>181</v>
      </c>
      <c r="H22" s="2" t="s">
        <v>182</v>
      </c>
      <c r="I22" s="2" t="s">
        <v>183</v>
      </c>
      <c r="J22" s="2" t="s">
        <v>19</v>
      </c>
      <c r="K22" s="2" t="s">
        <v>34</v>
      </c>
      <c r="L22" s="7" t="str">
        <f>HYPERLINK("http://slimages.macys.com/is/image/MCY/12935648 ")</f>
        <v xml:space="preserve">http://slimages.macys.com/is/image/MCY/12935648 </v>
      </c>
    </row>
    <row r="23" spans="1:12" x14ac:dyDescent="0.25">
      <c r="A23" s="4" t="s">
        <v>233</v>
      </c>
      <c r="B23" s="2" t="s">
        <v>178</v>
      </c>
      <c r="C23" s="3">
        <v>1</v>
      </c>
      <c r="D23" s="5">
        <v>55.65</v>
      </c>
      <c r="E23" s="3" t="s">
        <v>179</v>
      </c>
      <c r="F23" s="2" t="s">
        <v>74</v>
      </c>
      <c r="G23" s="6" t="s">
        <v>234</v>
      </c>
      <c r="H23" s="2" t="s">
        <v>182</v>
      </c>
      <c r="I23" s="2" t="s">
        <v>183</v>
      </c>
      <c r="J23" s="2" t="s">
        <v>19</v>
      </c>
      <c r="K23" s="2" t="s">
        <v>34</v>
      </c>
      <c r="L23" s="7" t="str">
        <f>HYPERLINK("http://slimages.macys.com/is/image/MCY/12935648 ")</f>
        <v xml:space="preserve">http://slimages.macys.com/is/image/MCY/12935648 </v>
      </c>
    </row>
    <row r="24" spans="1:12" x14ac:dyDescent="0.25">
      <c r="A24" s="4" t="s">
        <v>8926</v>
      </c>
      <c r="B24" s="2" t="s">
        <v>8927</v>
      </c>
      <c r="C24" s="3">
        <v>1</v>
      </c>
      <c r="D24" s="5">
        <v>99.5</v>
      </c>
      <c r="E24" s="3" t="s">
        <v>8928</v>
      </c>
      <c r="F24" s="2" t="s">
        <v>26</v>
      </c>
      <c r="G24" s="6"/>
      <c r="H24" s="2" t="s">
        <v>206</v>
      </c>
      <c r="I24" s="2" t="s">
        <v>207</v>
      </c>
      <c r="J24" s="2" t="s">
        <v>19</v>
      </c>
      <c r="K24" s="2" t="s">
        <v>1480</v>
      </c>
      <c r="L24" s="7" t="str">
        <f>HYPERLINK("http://slimages.macys.com/is/image/MCY/11619376 ")</f>
        <v xml:space="preserve">http://slimages.macys.com/is/image/MCY/11619376 </v>
      </c>
    </row>
    <row r="25" spans="1:12" ht="24.75" x14ac:dyDescent="0.25">
      <c r="A25" s="4" t="s">
        <v>7074</v>
      </c>
      <c r="B25" s="2" t="s">
        <v>2176</v>
      </c>
      <c r="C25" s="3">
        <v>1</v>
      </c>
      <c r="D25" s="5">
        <v>51.75</v>
      </c>
      <c r="E25" s="3">
        <v>100053415</v>
      </c>
      <c r="F25" s="2" t="s">
        <v>15</v>
      </c>
      <c r="G25" s="6" t="s">
        <v>200</v>
      </c>
      <c r="H25" s="2" t="s">
        <v>228</v>
      </c>
      <c r="I25" s="2" t="s">
        <v>229</v>
      </c>
      <c r="J25" s="2" t="s">
        <v>19</v>
      </c>
      <c r="K25" s="2" t="s">
        <v>230</v>
      </c>
      <c r="L25" s="7" t="str">
        <f>HYPERLINK("http://slimages.macys.com/is/image/MCY/12317942 ")</f>
        <v xml:space="preserve">http://slimages.macys.com/is/image/MCY/12317942 </v>
      </c>
    </row>
    <row r="26" spans="1:12" ht="24.75" x14ac:dyDescent="0.25">
      <c r="A26" s="4" t="s">
        <v>2175</v>
      </c>
      <c r="B26" s="2" t="s">
        <v>2176</v>
      </c>
      <c r="C26" s="3">
        <v>1</v>
      </c>
      <c r="D26" s="5">
        <v>51.75</v>
      </c>
      <c r="E26" s="3">
        <v>100053415</v>
      </c>
      <c r="F26" s="2" t="s">
        <v>15</v>
      </c>
      <c r="G26" s="6" t="s">
        <v>181</v>
      </c>
      <c r="H26" s="2" t="s">
        <v>228</v>
      </c>
      <c r="I26" s="2" t="s">
        <v>229</v>
      </c>
      <c r="J26" s="2" t="s">
        <v>19</v>
      </c>
      <c r="K26" s="2" t="s">
        <v>230</v>
      </c>
      <c r="L26" s="7" t="str">
        <f>HYPERLINK("http://slimages.macys.com/is/image/MCY/12317942 ")</f>
        <v xml:space="preserve">http://slimages.macys.com/is/image/MCY/12317942 </v>
      </c>
    </row>
    <row r="27" spans="1:12" ht="24.75" x14ac:dyDescent="0.25">
      <c r="A27" s="4" t="s">
        <v>6306</v>
      </c>
      <c r="B27" s="2" t="s">
        <v>2176</v>
      </c>
      <c r="C27" s="3">
        <v>1</v>
      </c>
      <c r="D27" s="5">
        <v>51.75</v>
      </c>
      <c r="E27" s="3">
        <v>100053415</v>
      </c>
      <c r="F27" s="2" t="s">
        <v>15</v>
      </c>
      <c r="G27" s="6" t="s">
        <v>234</v>
      </c>
      <c r="H27" s="2" t="s">
        <v>228</v>
      </c>
      <c r="I27" s="2" t="s">
        <v>229</v>
      </c>
      <c r="J27" s="2" t="s">
        <v>19</v>
      </c>
      <c r="K27" s="2" t="s">
        <v>230</v>
      </c>
      <c r="L27" s="7" t="str">
        <f>HYPERLINK("http://slimages.macys.com/is/image/MCY/12317942 ")</f>
        <v xml:space="preserve">http://slimages.macys.com/is/image/MCY/12317942 </v>
      </c>
    </row>
    <row r="28" spans="1:12" ht="24.75" x14ac:dyDescent="0.25">
      <c r="A28" s="4" t="s">
        <v>8929</v>
      </c>
      <c r="B28" s="2" t="s">
        <v>5387</v>
      </c>
      <c r="C28" s="3">
        <v>1</v>
      </c>
      <c r="D28" s="5">
        <v>52.13</v>
      </c>
      <c r="E28" s="3" t="s">
        <v>5388</v>
      </c>
      <c r="F28" s="2" t="s">
        <v>26</v>
      </c>
      <c r="G28" s="6" t="s">
        <v>181</v>
      </c>
      <c r="H28" s="2" t="s">
        <v>246</v>
      </c>
      <c r="I28" s="2" t="s">
        <v>189</v>
      </c>
      <c r="J28" s="2" t="s">
        <v>19</v>
      </c>
      <c r="K28" s="2" t="s">
        <v>2180</v>
      </c>
      <c r="L28" s="7" t="str">
        <f>HYPERLINK("http://slimages.macys.com/is/image/MCY/11707408 ")</f>
        <v xml:space="preserve">http://slimages.macys.com/is/image/MCY/11707408 </v>
      </c>
    </row>
    <row r="29" spans="1:12" ht="24.75" x14ac:dyDescent="0.25">
      <c r="A29" s="4" t="s">
        <v>8930</v>
      </c>
      <c r="B29" s="2" t="s">
        <v>8931</v>
      </c>
      <c r="C29" s="3">
        <v>1</v>
      </c>
      <c r="D29" s="5">
        <v>74.5</v>
      </c>
      <c r="E29" s="3" t="s">
        <v>8932</v>
      </c>
      <c r="F29" s="2" t="s">
        <v>74</v>
      </c>
      <c r="G29" s="6" t="s">
        <v>3715</v>
      </c>
      <c r="H29" s="2" t="s">
        <v>127</v>
      </c>
      <c r="I29" s="2" t="s">
        <v>128</v>
      </c>
      <c r="J29" s="2" t="s">
        <v>19</v>
      </c>
      <c r="K29" s="2" t="s">
        <v>361</v>
      </c>
      <c r="L29" s="7" t="str">
        <f>HYPERLINK("http://slimages.macys.com/is/image/MCY/11711279 ")</f>
        <v xml:space="preserve">http://slimages.macys.com/is/image/MCY/11711279 </v>
      </c>
    </row>
    <row r="30" spans="1:12" ht="24.75" x14ac:dyDescent="0.25">
      <c r="A30" s="4" t="s">
        <v>8933</v>
      </c>
      <c r="B30" s="2" t="s">
        <v>8934</v>
      </c>
      <c r="C30" s="3">
        <v>1</v>
      </c>
      <c r="D30" s="5">
        <v>55.5</v>
      </c>
      <c r="E30" s="3" t="s">
        <v>8935</v>
      </c>
      <c r="F30" s="2" t="s">
        <v>74</v>
      </c>
      <c r="G30" s="6" t="s">
        <v>2276</v>
      </c>
      <c r="H30" s="2" t="s">
        <v>349</v>
      </c>
      <c r="I30" s="2" t="s">
        <v>285</v>
      </c>
      <c r="J30" s="2" t="s">
        <v>19</v>
      </c>
      <c r="K30" s="2" t="s">
        <v>137</v>
      </c>
      <c r="L30" s="7" t="str">
        <f>HYPERLINK("http://slimages.macys.com/is/image/MCY/11939661 ")</f>
        <v xml:space="preserve">http://slimages.macys.com/is/image/MCY/11939661 </v>
      </c>
    </row>
    <row r="31" spans="1:12" ht="24.75" x14ac:dyDescent="0.25">
      <c r="A31" s="4" t="s">
        <v>8936</v>
      </c>
      <c r="B31" s="2" t="s">
        <v>276</v>
      </c>
      <c r="C31" s="3">
        <v>1</v>
      </c>
      <c r="D31" s="5">
        <v>62.65</v>
      </c>
      <c r="E31" s="3" t="s">
        <v>277</v>
      </c>
      <c r="F31" s="2" t="s">
        <v>1914</v>
      </c>
      <c r="G31" s="6" t="s">
        <v>234</v>
      </c>
      <c r="H31" s="2" t="s">
        <v>182</v>
      </c>
      <c r="I31" s="2" t="s">
        <v>183</v>
      </c>
      <c r="J31" s="2" t="s">
        <v>19</v>
      </c>
      <c r="K31" s="2" t="s">
        <v>208</v>
      </c>
      <c r="L31" s="7" t="str">
        <f>HYPERLINK("http://slimages.macys.com/is/image/MCY/12343023 ")</f>
        <v xml:space="preserve">http://slimages.macys.com/is/image/MCY/12343023 </v>
      </c>
    </row>
    <row r="32" spans="1:12" ht="24.75" x14ac:dyDescent="0.25">
      <c r="A32" s="4" t="s">
        <v>8937</v>
      </c>
      <c r="B32" s="2" t="s">
        <v>5393</v>
      </c>
      <c r="C32" s="3">
        <v>1</v>
      </c>
      <c r="D32" s="5">
        <v>59.63</v>
      </c>
      <c r="E32" s="3" t="s">
        <v>5394</v>
      </c>
      <c r="F32" s="2" t="s">
        <v>74</v>
      </c>
      <c r="G32" s="6" t="s">
        <v>746</v>
      </c>
      <c r="H32" s="2" t="s">
        <v>349</v>
      </c>
      <c r="I32" s="2" t="s">
        <v>285</v>
      </c>
      <c r="J32" s="2" t="s">
        <v>19</v>
      </c>
      <c r="K32" s="2" t="s">
        <v>75</v>
      </c>
      <c r="L32" s="7" t="str">
        <f>HYPERLINK("http://slimages.macys.com/is/image/MCY/12284907 ")</f>
        <v xml:space="preserve">http://slimages.macys.com/is/image/MCY/12284907 </v>
      </c>
    </row>
    <row r="33" spans="1:12" ht="24.75" x14ac:dyDescent="0.25">
      <c r="A33" s="4" t="s">
        <v>8938</v>
      </c>
      <c r="B33" s="2" t="s">
        <v>8939</v>
      </c>
      <c r="C33" s="3">
        <v>1</v>
      </c>
      <c r="D33" s="5">
        <v>51.5</v>
      </c>
      <c r="E33" s="3" t="s">
        <v>8940</v>
      </c>
      <c r="F33" s="2" t="s">
        <v>74</v>
      </c>
      <c r="G33" s="6"/>
      <c r="H33" s="2" t="s">
        <v>312</v>
      </c>
      <c r="I33" s="2" t="s">
        <v>195</v>
      </c>
      <c r="J33" s="2" t="s">
        <v>19</v>
      </c>
      <c r="K33" s="2" t="s">
        <v>201</v>
      </c>
      <c r="L33" s="7" t="str">
        <f>HYPERLINK("http://slimages.macys.com/is/image/MCY/11804497 ")</f>
        <v xml:space="preserve">http://slimages.macys.com/is/image/MCY/11804497 </v>
      </c>
    </row>
    <row r="34" spans="1:12" ht="24.75" x14ac:dyDescent="0.25">
      <c r="A34" s="4" t="s">
        <v>8941</v>
      </c>
      <c r="B34" s="2" t="s">
        <v>310</v>
      </c>
      <c r="C34" s="3">
        <v>1</v>
      </c>
      <c r="D34" s="5">
        <v>52.13</v>
      </c>
      <c r="E34" s="3" t="s">
        <v>311</v>
      </c>
      <c r="F34" s="2" t="s">
        <v>74</v>
      </c>
      <c r="G34" s="6"/>
      <c r="H34" s="2" t="s">
        <v>312</v>
      </c>
      <c r="I34" s="2" t="s">
        <v>307</v>
      </c>
      <c r="J34" s="2" t="s">
        <v>19</v>
      </c>
      <c r="K34" s="2" t="s">
        <v>247</v>
      </c>
      <c r="L34" s="7" t="str">
        <f>HYPERLINK("http://slimages.macys.com/is/image/MCY/11937882 ")</f>
        <v xml:space="preserve">http://slimages.macys.com/is/image/MCY/11937882 </v>
      </c>
    </row>
    <row r="35" spans="1:12" ht="24.75" x14ac:dyDescent="0.25">
      <c r="A35" s="4" t="s">
        <v>8942</v>
      </c>
      <c r="B35" s="2" t="s">
        <v>269</v>
      </c>
      <c r="C35" s="3">
        <v>1</v>
      </c>
      <c r="D35" s="5">
        <v>50.65</v>
      </c>
      <c r="E35" s="3" t="s">
        <v>270</v>
      </c>
      <c r="F35" s="2" t="s">
        <v>413</v>
      </c>
      <c r="G35" s="6" t="s">
        <v>200</v>
      </c>
      <c r="H35" s="2" t="s">
        <v>182</v>
      </c>
      <c r="I35" s="2" t="s">
        <v>183</v>
      </c>
      <c r="J35" s="2" t="s">
        <v>19</v>
      </c>
      <c r="K35" s="2" t="s">
        <v>208</v>
      </c>
      <c r="L35" s="7" t="str">
        <f>HYPERLINK("http://slimages.macys.com/is/image/MCY/12465154 ")</f>
        <v xml:space="preserve">http://slimages.macys.com/is/image/MCY/12465154 </v>
      </c>
    </row>
    <row r="36" spans="1:12" ht="24.75" x14ac:dyDescent="0.25">
      <c r="A36" s="4" t="s">
        <v>5405</v>
      </c>
      <c r="B36" s="2" t="s">
        <v>269</v>
      </c>
      <c r="C36" s="3">
        <v>1</v>
      </c>
      <c r="D36" s="5">
        <v>50.65</v>
      </c>
      <c r="E36" s="3" t="s">
        <v>270</v>
      </c>
      <c r="F36" s="2" t="s">
        <v>413</v>
      </c>
      <c r="G36" s="6" t="s">
        <v>154</v>
      </c>
      <c r="H36" s="2" t="s">
        <v>182</v>
      </c>
      <c r="I36" s="2" t="s">
        <v>183</v>
      </c>
      <c r="J36" s="2" t="s">
        <v>19</v>
      </c>
      <c r="K36" s="2" t="s">
        <v>208</v>
      </c>
      <c r="L36" s="7" t="str">
        <f>HYPERLINK("http://slimages.macys.com/is/image/MCY/12465154 ")</f>
        <v xml:space="preserve">http://slimages.macys.com/is/image/MCY/12465154 </v>
      </c>
    </row>
    <row r="37" spans="1:12" ht="24.75" x14ac:dyDescent="0.25">
      <c r="A37" s="4" t="s">
        <v>8943</v>
      </c>
      <c r="B37" s="2" t="s">
        <v>8944</v>
      </c>
      <c r="C37" s="3">
        <v>1</v>
      </c>
      <c r="D37" s="5">
        <v>29.98</v>
      </c>
      <c r="E37" s="3">
        <v>7110</v>
      </c>
      <c r="F37" s="2" t="s">
        <v>74</v>
      </c>
      <c r="G37" s="6"/>
      <c r="H37" s="2" t="s">
        <v>3402</v>
      </c>
      <c r="I37" s="2" t="s">
        <v>3409</v>
      </c>
      <c r="J37" s="2" t="s">
        <v>19</v>
      </c>
      <c r="K37" s="2" t="s">
        <v>338</v>
      </c>
      <c r="L37" s="7" t="str">
        <f>HYPERLINK("http://slimages.macys.com/is/image/MCY/663497 ")</f>
        <v xml:space="preserve">http://slimages.macys.com/is/image/MCY/663497 </v>
      </c>
    </row>
    <row r="38" spans="1:12" ht="24.75" x14ac:dyDescent="0.25">
      <c r="A38" s="4" t="s">
        <v>8476</v>
      </c>
      <c r="B38" s="2" t="s">
        <v>340</v>
      </c>
      <c r="C38" s="3">
        <v>1</v>
      </c>
      <c r="D38" s="5">
        <v>44.63</v>
      </c>
      <c r="E38" s="3" t="s">
        <v>341</v>
      </c>
      <c r="F38" s="2" t="s">
        <v>15</v>
      </c>
      <c r="G38" s="6" t="s">
        <v>154</v>
      </c>
      <c r="H38" s="2" t="s">
        <v>194</v>
      </c>
      <c r="I38" s="2" t="s">
        <v>195</v>
      </c>
      <c r="J38" s="2" t="s">
        <v>19</v>
      </c>
      <c r="K38" s="2" t="s">
        <v>201</v>
      </c>
      <c r="L38" s="7" t="str">
        <f>HYPERLINK("http://slimages.macys.com/is/image/MCY/12794062 ")</f>
        <v xml:space="preserve">http://slimages.macys.com/is/image/MCY/12794062 </v>
      </c>
    </row>
    <row r="39" spans="1:12" ht="24.75" x14ac:dyDescent="0.25">
      <c r="A39" s="4" t="s">
        <v>3380</v>
      </c>
      <c r="B39" s="2" t="s">
        <v>340</v>
      </c>
      <c r="C39" s="3">
        <v>1</v>
      </c>
      <c r="D39" s="5">
        <v>44.63</v>
      </c>
      <c r="E39" s="3" t="s">
        <v>341</v>
      </c>
      <c r="F39" s="2" t="s">
        <v>15</v>
      </c>
      <c r="G39" s="6" t="s">
        <v>234</v>
      </c>
      <c r="H39" s="2" t="s">
        <v>194</v>
      </c>
      <c r="I39" s="2" t="s">
        <v>195</v>
      </c>
      <c r="J39" s="2" t="s">
        <v>19</v>
      </c>
      <c r="K39" s="2" t="s">
        <v>201</v>
      </c>
      <c r="L39" s="7" t="str">
        <f>HYPERLINK("http://slimages.macys.com/is/image/MCY/12794062 ")</f>
        <v xml:space="preserve">http://slimages.macys.com/is/image/MCY/12794062 </v>
      </c>
    </row>
    <row r="40" spans="1:12" ht="24.75" x14ac:dyDescent="0.25">
      <c r="A40" s="4" t="s">
        <v>8945</v>
      </c>
      <c r="B40" s="2" t="s">
        <v>340</v>
      </c>
      <c r="C40" s="3">
        <v>1</v>
      </c>
      <c r="D40" s="5">
        <v>44.63</v>
      </c>
      <c r="E40" s="3" t="s">
        <v>341</v>
      </c>
      <c r="F40" s="2" t="s">
        <v>15</v>
      </c>
      <c r="G40" s="6" t="s">
        <v>245</v>
      </c>
      <c r="H40" s="2" t="s">
        <v>194</v>
      </c>
      <c r="I40" s="2" t="s">
        <v>195</v>
      </c>
      <c r="J40" s="2" t="s">
        <v>19</v>
      </c>
      <c r="K40" s="2" t="s">
        <v>201</v>
      </c>
      <c r="L40" s="7" t="str">
        <f>HYPERLINK("http://slimages.macys.com/is/image/MCY/12794062 ")</f>
        <v xml:space="preserve">http://slimages.macys.com/is/image/MCY/12794062 </v>
      </c>
    </row>
    <row r="41" spans="1:12" ht="36.75" x14ac:dyDescent="0.25">
      <c r="A41" s="4" t="s">
        <v>2222</v>
      </c>
      <c r="B41" s="2" t="s">
        <v>2223</v>
      </c>
      <c r="C41" s="3">
        <v>1</v>
      </c>
      <c r="D41" s="5">
        <v>48.38</v>
      </c>
      <c r="E41" s="3" t="s">
        <v>2224</v>
      </c>
      <c r="F41" s="2" t="s">
        <v>26</v>
      </c>
      <c r="G41" s="6" t="s">
        <v>746</v>
      </c>
      <c r="H41" s="2" t="s">
        <v>349</v>
      </c>
      <c r="I41" s="2" t="s">
        <v>285</v>
      </c>
      <c r="J41" s="2" t="s">
        <v>19</v>
      </c>
      <c r="K41" s="2" t="s">
        <v>2225</v>
      </c>
      <c r="L41" s="7" t="str">
        <f>HYPERLINK("http://slimages.macys.com/is/image/MCY/12077740 ")</f>
        <v xml:space="preserve">http://slimages.macys.com/is/image/MCY/12077740 </v>
      </c>
    </row>
    <row r="42" spans="1:12" ht="24.75" x14ac:dyDescent="0.25">
      <c r="A42" s="4" t="s">
        <v>4489</v>
      </c>
      <c r="B42" s="2" t="s">
        <v>2227</v>
      </c>
      <c r="C42" s="3">
        <v>1</v>
      </c>
      <c r="D42" s="5">
        <v>79.5</v>
      </c>
      <c r="E42" s="3">
        <v>100050172</v>
      </c>
      <c r="F42" s="2" t="s">
        <v>64</v>
      </c>
      <c r="G42" s="6" t="s">
        <v>16</v>
      </c>
      <c r="H42" s="2" t="s">
        <v>386</v>
      </c>
      <c r="I42" s="2" t="s">
        <v>391</v>
      </c>
      <c r="J42" s="2" t="s">
        <v>19</v>
      </c>
      <c r="K42" s="2" t="s">
        <v>392</v>
      </c>
      <c r="L42" s="7" t="str">
        <f>HYPERLINK("http://slimages.macys.com/is/image/MCY/12067831 ")</f>
        <v xml:space="preserve">http://slimages.macys.com/is/image/MCY/12067831 </v>
      </c>
    </row>
    <row r="43" spans="1:12" ht="24.75" x14ac:dyDescent="0.25">
      <c r="A43" s="4" t="s">
        <v>8946</v>
      </c>
      <c r="B43" s="2" t="s">
        <v>2236</v>
      </c>
      <c r="C43" s="3">
        <v>1</v>
      </c>
      <c r="D43" s="5">
        <v>48.38</v>
      </c>
      <c r="E43" s="3" t="s">
        <v>2237</v>
      </c>
      <c r="F43" s="2" t="s">
        <v>64</v>
      </c>
      <c r="G43" s="6" t="s">
        <v>234</v>
      </c>
      <c r="H43" s="2" t="s">
        <v>246</v>
      </c>
      <c r="I43" s="2" t="s">
        <v>189</v>
      </c>
      <c r="J43" s="2" t="s">
        <v>19</v>
      </c>
      <c r="K43" s="2" t="s">
        <v>241</v>
      </c>
      <c r="L43" s="7" t="str">
        <f>HYPERLINK("http://slimages.macys.com/is/image/MCY/11938495 ")</f>
        <v xml:space="preserve">http://slimages.macys.com/is/image/MCY/11938495 </v>
      </c>
    </row>
    <row r="44" spans="1:12" ht="24.75" x14ac:dyDescent="0.25">
      <c r="A44" s="4" t="s">
        <v>3382</v>
      </c>
      <c r="B44" s="2" t="s">
        <v>359</v>
      </c>
      <c r="C44" s="3">
        <v>1</v>
      </c>
      <c r="D44" s="5">
        <v>59.5</v>
      </c>
      <c r="E44" s="3" t="s">
        <v>360</v>
      </c>
      <c r="F44" s="2" t="s">
        <v>26</v>
      </c>
      <c r="G44" s="6" t="s">
        <v>126</v>
      </c>
      <c r="H44" s="2" t="s">
        <v>127</v>
      </c>
      <c r="I44" s="2" t="s">
        <v>128</v>
      </c>
      <c r="J44" s="2" t="s">
        <v>19</v>
      </c>
      <c r="K44" s="2" t="s">
        <v>361</v>
      </c>
      <c r="L44" s="7" t="str">
        <f>HYPERLINK("http://slimages.macys.com/is/image/MCY/10890960 ")</f>
        <v xml:space="preserve">http://slimages.macys.com/is/image/MCY/10890960 </v>
      </c>
    </row>
    <row r="45" spans="1:12" ht="24.75" x14ac:dyDescent="0.25">
      <c r="A45" s="4" t="s">
        <v>358</v>
      </c>
      <c r="B45" s="2" t="s">
        <v>359</v>
      </c>
      <c r="C45" s="3">
        <v>1</v>
      </c>
      <c r="D45" s="5">
        <v>59.5</v>
      </c>
      <c r="E45" s="3" t="s">
        <v>360</v>
      </c>
      <c r="F45" s="2" t="s">
        <v>26</v>
      </c>
      <c r="G45" s="6" t="s">
        <v>205</v>
      </c>
      <c r="H45" s="2" t="s">
        <v>127</v>
      </c>
      <c r="I45" s="2" t="s">
        <v>128</v>
      </c>
      <c r="J45" s="2" t="s">
        <v>19</v>
      </c>
      <c r="K45" s="2" t="s">
        <v>361</v>
      </c>
      <c r="L45" s="7" t="str">
        <f>HYPERLINK("http://slimages.macys.com/is/image/MCY/10890960 ")</f>
        <v xml:space="preserve">http://slimages.macys.com/is/image/MCY/10890960 </v>
      </c>
    </row>
    <row r="46" spans="1:12" ht="24.75" x14ac:dyDescent="0.25">
      <c r="A46" s="4" t="s">
        <v>2243</v>
      </c>
      <c r="B46" s="2" t="s">
        <v>2244</v>
      </c>
      <c r="C46" s="3">
        <v>1</v>
      </c>
      <c r="D46" s="5">
        <v>44.63</v>
      </c>
      <c r="E46" s="3" t="s">
        <v>2245</v>
      </c>
      <c r="F46" s="2" t="s">
        <v>125</v>
      </c>
      <c r="G46" s="6" t="s">
        <v>154</v>
      </c>
      <c r="H46" s="2" t="s">
        <v>194</v>
      </c>
      <c r="I46" s="2" t="s">
        <v>195</v>
      </c>
      <c r="J46" s="2" t="s">
        <v>19</v>
      </c>
      <c r="K46" s="2" t="s">
        <v>34</v>
      </c>
      <c r="L46" s="7" t="str">
        <f>HYPERLINK("http://slimages.macys.com/is/image/MCY/12756091 ")</f>
        <v xml:space="preserve">http://slimages.macys.com/is/image/MCY/12756091 </v>
      </c>
    </row>
    <row r="47" spans="1:12" ht="24.75" x14ac:dyDescent="0.25">
      <c r="A47" s="4" t="s">
        <v>8947</v>
      </c>
      <c r="B47" s="2" t="s">
        <v>8948</v>
      </c>
      <c r="C47" s="3">
        <v>1</v>
      </c>
      <c r="D47" s="5">
        <v>59.5</v>
      </c>
      <c r="E47" s="3" t="s">
        <v>8949</v>
      </c>
      <c r="F47" s="2" t="s">
        <v>170</v>
      </c>
      <c r="G47" s="6"/>
      <c r="H47" s="2" t="s">
        <v>127</v>
      </c>
      <c r="I47" s="2" t="s">
        <v>128</v>
      </c>
      <c r="J47" s="2" t="s">
        <v>19</v>
      </c>
      <c r="K47" s="2" t="s">
        <v>258</v>
      </c>
      <c r="L47" s="7" t="str">
        <f>HYPERLINK("http://slimages.macys.com/is/image/MCY/11945980 ")</f>
        <v xml:space="preserve">http://slimages.macys.com/is/image/MCY/11945980 </v>
      </c>
    </row>
    <row r="48" spans="1:12" ht="24.75" x14ac:dyDescent="0.25">
      <c r="A48" s="4" t="s">
        <v>8950</v>
      </c>
      <c r="B48" s="2" t="s">
        <v>4511</v>
      </c>
      <c r="C48" s="3">
        <v>1</v>
      </c>
      <c r="D48" s="5">
        <v>49</v>
      </c>
      <c r="E48" s="3" t="s">
        <v>4512</v>
      </c>
      <c r="F48" s="2" t="s">
        <v>89</v>
      </c>
      <c r="G48" s="6" t="s">
        <v>234</v>
      </c>
      <c r="H48" s="2" t="s">
        <v>95</v>
      </c>
      <c r="I48" s="2" t="s">
        <v>96</v>
      </c>
      <c r="J48" s="2" t="s">
        <v>19</v>
      </c>
      <c r="K48" s="2" t="s">
        <v>160</v>
      </c>
      <c r="L48" s="7" t="str">
        <f>HYPERLINK("http://slimages.macys.com/is/image/MCY/13292520 ")</f>
        <v xml:space="preserve">http://slimages.macys.com/is/image/MCY/13292520 </v>
      </c>
    </row>
    <row r="49" spans="1:12" x14ac:dyDescent="0.25">
      <c r="A49" s="4" t="s">
        <v>8951</v>
      </c>
      <c r="B49" s="2" t="s">
        <v>2265</v>
      </c>
      <c r="C49" s="3">
        <v>1</v>
      </c>
      <c r="D49" s="5">
        <v>79.5</v>
      </c>
      <c r="E49" s="3">
        <v>100060510</v>
      </c>
      <c r="F49" s="2" t="s">
        <v>74</v>
      </c>
      <c r="G49" s="6" t="s">
        <v>22</v>
      </c>
      <c r="H49" s="2" t="s">
        <v>386</v>
      </c>
      <c r="I49" s="2" t="s">
        <v>207</v>
      </c>
      <c r="J49" s="2" t="s">
        <v>19</v>
      </c>
      <c r="K49" s="2" t="s">
        <v>353</v>
      </c>
      <c r="L49" s="7" t="str">
        <f>HYPERLINK("http://slimages.macys.com/is/image/MCY/12792713 ")</f>
        <v xml:space="preserve">http://slimages.macys.com/is/image/MCY/12792713 </v>
      </c>
    </row>
    <row r="50" spans="1:12" ht="24.75" x14ac:dyDescent="0.25">
      <c r="A50" s="4" t="s">
        <v>8952</v>
      </c>
      <c r="B50" s="2" t="s">
        <v>8953</v>
      </c>
      <c r="C50" s="3">
        <v>1</v>
      </c>
      <c r="D50" s="5">
        <v>47.5</v>
      </c>
      <c r="E50" s="3">
        <v>100043253</v>
      </c>
      <c r="F50" s="2" t="s">
        <v>417</v>
      </c>
      <c r="G50" s="6" t="s">
        <v>181</v>
      </c>
      <c r="H50" s="2" t="s">
        <v>228</v>
      </c>
      <c r="I50" s="2" t="s">
        <v>229</v>
      </c>
      <c r="J50" s="2" t="s">
        <v>19</v>
      </c>
      <c r="K50" s="2" t="s">
        <v>230</v>
      </c>
      <c r="L50" s="7" t="str">
        <f>HYPERLINK("http://slimages.macys.com/is/image/MCY/10888553 ")</f>
        <v xml:space="preserve">http://slimages.macys.com/is/image/MCY/10888553 </v>
      </c>
    </row>
    <row r="51" spans="1:12" ht="24.75" x14ac:dyDescent="0.25">
      <c r="A51" s="4" t="s">
        <v>4537</v>
      </c>
      <c r="B51" s="2" t="s">
        <v>2268</v>
      </c>
      <c r="C51" s="3">
        <v>1</v>
      </c>
      <c r="D51" s="5">
        <v>44.63</v>
      </c>
      <c r="E51" s="3" t="s">
        <v>2269</v>
      </c>
      <c r="F51" s="2" t="s">
        <v>94</v>
      </c>
      <c r="G51" s="6" t="s">
        <v>746</v>
      </c>
      <c r="H51" s="2" t="s">
        <v>349</v>
      </c>
      <c r="I51" s="2" t="s">
        <v>285</v>
      </c>
      <c r="J51" s="2" t="s">
        <v>19</v>
      </c>
      <c r="K51" s="2" t="s">
        <v>160</v>
      </c>
      <c r="L51" s="7" t="str">
        <f>HYPERLINK("http://slimages.macys.com/is/image/MCY/13039993 ")</f>
        <v xml:space="preserve">http://slimages.macys.com/is/image/MCY/13039993 </v>
      </c>
    </row>
    <row r="52" spans="1:12" ht="24.75" x14ac:dyDescent="0.25">
      <c r="A52" s="4" t="s">
        <v>452</v>
      </c>
      <c r="B52" s="2" t="s">
        <v>453</v>
      </c>
      <c r="C52" s="3">
        <v>1</v>
      </c>
      <c r="D52" s="5">
        <v>44.63</v>
      </c>
      <c r="E52" s="3" t="s">
        <v>454</v>
      </c>
      <c r="F52" s="2" t="s">
        <v>74</v>
      </c>
      <c r="G52" s="6" t="s">
        <v>348</v>
      </c>
      <c r="H52" s="2" t="s">
        <v>349</v>
      </c>
      <c r="I52" s="2" t="s">
        <v>285</v>
      </c>
      <c r="J52" s="2" t="s">
        <v>19</v>
      </c>
      <c r="K52" s="2" t="s">
        <v>323</v>
      </c>
      <c r="L52" s="7" t="str">
        <f>HYPERLINK("http://slimages.macys.com/is/image/MCY/12343071 ")</f>
        <v xml:space="preserve">http://slimages.macys.com/is/image/MCY/12343071 </v>
      </c>
    </row>
    <row r="53" spans="1:12" ht="24.75" x14ac:dyDescent="0.25">
      <c r="A53" s="4" t="s">
        <v>2273</v>
      </c>
      <c r="B53" s="2" t="s">
        <v>453</v>
      </c>
      <c r="C53" s="3">
        <v>1</v>
      </c>
      <c r="D53" s="5">
        <v>44.63</v>
      </c>
      <c r="E53" s="3" t="s">
        <v>454</v>
      </c>
      <c r="F53" s="2" t="s">
        <v>74</v>
      </c>
      <c r="G53" s="6" t="s">
        <v>746</v>
      </c>
      <c r="H53" s="2" t="s">
        <v>349</v>
      </c>
      <c r="I53" s="2" t="s">
        <v>285</v>
      </c>
      <c r="J53" s="2" t="s">
        <v>19</v>
      </c>
      <c r="K53" s="2" t="s">
        <v>323</v>
      </c>
      <c r="L53" s="7" t="str">
        <f>HYPERLINK("http://slimages.macys.com/is/image/MCY/12343071 ")</f>
        <v xml:space="preserve">http://slimages.macys.com/is/image/MCY/12343071 </v>
      </c>
    </row>
    <row r="54" spans="1:12" ht="24.75" x14ac:dyDescent="0.25">
      <c r="A54" s="4" t="s">
        <v>8954</v>
      </c>
      <c r="B54" s="2" t="s">
        <v>4543</v>
      </c>
      <c r="C54" s="3">
        <v>1</v>
      </c>
      <c r="D54" s="5">
        <v>34.99</v>
      </c>
      <c r="E54" s="3" t="s">
        <v>4544</v>
      </c>
      <c r="F54" s="2" t="s">
        <v>26</v>
      </c>
      <c r="G54" s="6" t="s">
        <v>4545</v>
      </c>
      <c r="H54" s="2" t="s">
        <v>349</v>
      </c>
      <c r="I54" s="2" t="s">
        <v>408</v>
      </c>
      <c r="J54" s="2" t="s">
        <v>19</v>
      </c>
      <c r="K54" s="2" t="s">
        <v>409</v>
      </c>
      <c r="L54" s="7" t="str">
        <f>HYPERLINK("http://slimages.macys.com/is/image/MCY/9420343 ")</f>
        <v xml:space="preserve">http://slimages.macys.com/is/image/MCY/9420343 </v>
      </c>
    </row>
    <row r="55" spans="1:12" ht="24.75" x14ac:dyDescent="0.25">
      <c r="A55" s="4" t="s">
        <v>8955</v>
      </c>
      <c r="B55" s="2" t="s">
        <v>456</v>
      </c>
      <c r="C55" s="3">
        <v>1</v>
      </c>
      <c r="D55" s="5">
        <v>44.63</v>
      </c>
      <c r="E55" s="3" t="s">
        <v>457</v>
      </c>
      <c r="F55" s="2" t="s">
        <v>26</v>
      </c>
      <c r="G55" s="6"/>
      <c r="H55" s="2" t="s">
        <v>349</v>
      </c>
      <c r="I55" s="2" t="s">
        <v>458</v>
      </c>
      <c r="J55" s="2" t="s">
        <v>19</v>
      </c>
      <c r="K55" s="2" t="s">
        <v>459</v>
      </c>
      <c r="L55" s="7" t="str">
        <f>HYPERLINK("http://slimages.macys.com/is/image/MCY/11030035 ")</f>
        <v xml:space="preserve">http://slimages.macys.com/is/image/MCY/11030035 </v>
      </c>
    </row>
    <row r="56" spans="1:12" ht="24.75" x14ac:dyDescent="0.25">
      <c r="A56" s="4" t="s">
        <v>2284</v>
      </c>
      <c r="B56" s="2" t="s">
        <v>492</v>
      </c>
      <c r="C56" s="3">
        <v>1</v>
      </c>
      <c r="D56" s="5">
        <v>44.5</v>
      </c>
      <c r="E56" s="3" t="s">
        <v>493</v>
      </c>
      <c r="F56" s="2" t="s">
        <v>494</v>
      </c>
      <c r="G56" s="6" t="s">
        <v>181</v>
      </c>
      <c r="H56" s="2" t="s">
        <v>194</v>
      </c>
      <c r="I56" s="2" t="s">
        <v>195</v>
      </c>
      <c r="J56" s="2" t="s">
        <v>19</v>
      </c>
      <c r="K56" s="2" t="s">
        <v>495</v>
      </c>
      <c r="L56" s="7" t="str">
        <f>HYPERLINK("http://slimages.macys.com/is/image/MCY/11937857 ")</f>
        <v xml:space="preserve">http://slimages.macys.com/is/image/MCY/11937857 </v>
      </c>
    </row>
    <row r="57" spans="1:12" ht="36.75" x14ac:dyDescent="0.25">
      <c r="A57" s="4" t="s">
        <v>501</v>
      </c>
      <c r="B57" s="2" t="s">
        <v>502</v>
      </c>
      <c r="C57" s="3">
        <v>1</v>
      </c>
      <c r="D57" s="5">
        <v>40.880000000000003</v>
      </c>
      <c r="E57" s="3">
        <v>100047671</v>
      </c>
      <c r="F57" s="2" t="s">
        <v>79</v>
      </c>
      <c r="G57" s="6" t="s">
        <v>58</v>
      </c>
      <c r="H57" s="2" t="s">
        <v>194</v>
      </c>
      <c r="I57" s="2" t="s">
        <v>503</v>
      </c>
      <c r="J57" s="2" t="s">
        <v>19</v>
      </c>
      <c r="K57" s="2" t="s">
        <v>504</v>
      </c>
      <c r="L57" s="7" t="str">
        <f>HYPERLINK("http://slimages.macys.com/is/image/MCY/11937756 ")</f>
        <v xml:space="preserve">http://slimages.macys.com/is/image/MCY/11937756 </v>
      </c>
    </row>
    <row r="58" spans="1:12" ht="24.75" x14ac:dyDescent="0.25">
      <c r="A58" s="4" t="s">
        <v>8956</v>
      </c>
      <c r="B58" s="2" t="s">
        <v>2300</v>
      </c>
      <c r="C58" s="3">
        <v>1</v>
      </c>
      <c r="D58" s="5">
        <v>44.63</v>
      </c>
      <c r="E58" s="3" t="s">
        <v>2301</v>
      </c>
      <c r="F58" s="2" t="s">
        <v>26</v>
      </c>
      <c r="G58" s="6" t="s">
        <v>245</v>
      </c>
      <c r="H58" s="2" t="s">
        <v>194</v>
      </c>
      <c r="I58" s="2" t="s">
        <v>195</v>
      </c>
      <c r="J58" s="2" t="s">
        <v>19</v>
      </c>
      <c r="K58" s="2" t="s">
        <v>2302</v>
      </c>
      <c r="L58" s="7" t="str">
        <f>HYPERLINK("http://slimages.macys.com/is/image/MCY/12668044 ")</f>
        <v xml:space="preserve">http://slimages.macys.com/is/image/MCY/12668044 </v>
      </c>
    </row>
    <row r="59" spans="1:12" ht="24.75" x14ac:dyDescent="0.25">
      <c r="A59" s="4" t="s">
        <v>6372</v>
      </c>
      <c r="B59" s="2" t="s">
        <v>4572</v>
      </c>
      <c r="C59" s="3">
        <v>1</v>
      </c>
      <c r="D59" s="5">
        <v>48.38</v>
      </c>
      <c r="E59" s="3" t="s">
        <v>4573</v>
      </c>
      <c r="F59" s="2" t="s">
        <v>64</v>
      </c>
      <c r="G59" s="6"/>
      <c r="H59" s="2" t="s">
        <v>188</v>
      </c>
      <c r="I59" s="2" t="s">
        <v>189</v>
      </c>
      <c r="J59" s="2" t="s">
        <v>19</v>
      </c>
      <c r="K59" s="2" t="s">
        <v>4574</v>
      </c>
      <c r="L59" s="7" t="str">
        <f>HYPERLINK("http://slimages.macys.com/is/image/MCY/12894516 ")</f>
        <v xml:space="preserve">http://slimages.macys.com/is/image/MCY/12894516 </v>
      </c>
    </row>
    <row r="60" spans="1:12" ht="24.75" x14ac:dyDescent="0.25">
      <c r="A60" s="4" t="s">
        <v>7157</v>
      </c>
      <c r="B60" s="2" t="s">
        <v>4572</v>
      </c>
      <c r="C60" s="3">
        <v>1</v>
      </c>
      <c r="D60" s="5">
        <v>48.38</v>
      </c>
      <c r="E60" s="3" t="s">
        <v>4573</v>
      </c>
      <c r="F60" s="2" t="s">
        <v>64</v>
      </c>
      <c r="G60" s="6"/>
      <c r="H60" s="2" t="s">
        <v>188</v>
      </c>
      <c r="I60" s="2" t="s">
        <v>189</v>
      </c>
      <c r="J60" s="2" t="s">
        <v>19</v>
      </c>
      <c r="K60" s="2" t="s">
        <v>4574</v>
      </c>
      <c r="L60" s="7" t="str">
        <f>HYPERLINK("http://slimages.macys.com/is/image/MCY/12894516 ")</f>
        <v xml:space="preserve">http://slimages.macys.com/is/image/MCY/12894516 </v>
      </c>
    </row>
    <row r="61" spans="1:12" ht="36.75" x14ac:dyDescent="0.25">
      <c r="A61" s="4" t="s">
        <v>3445</v>
      </c>
      <c r="B61" s="2" t="s">
        <v>519</v>
      </c>
      <c r="C61" s="3">
        <v>1</v>
      </c>
      <c r="D61" s="5">
        <v>44.63</v>
      </c>
      <c r="E61" s="3" t="s">
        <v>520</v>
      </c>
      <c r="F61" s="2" t="s">
        <v>15</v>
      </c>
      <c r="G61" s="6" t="s">
        <v>156</v>
      </c>
      <c r="H61" s="2" t="s">
        <v>194</v>
      </c>
      <c r="I61" s="2" t="s">
        <v>195</v>
      </c>
      <c r="J61" s="2" t="s">
        <v>19</v>
      </c>
      <c r="K61" s="2" t="s">
        <v>521</v>
      </c>
      <c r="L61" s="7" t="str">
        <f>HYPERLINK("http://slimages.macys.com/is/image/MCY/12279320 ")</f>
        <v xml:space="preserve">http://slimages.macys.com/is/image/MCY/12279320 </v>
      </c>
    </row>
    <row r="62" spans="1:12" ht="36.75" x14ac:dyDescent="0.25">
      <c r="A62" s="4" t="s">
        <v>2307</v>
      </c>
      <c r="B62" s="2" t="s">
        <v>519</v>
      </c>
      <c r="C62" s="3">
        <v>1</v>
      </c>
      <c r="D62" s="5">
        <v>44.63</v>
      </c>
      <c r="E62" s="3" t="s">
        <v>520</v>
      </c>
      <c r="F62" s="2" t="s">
        <v>125</v>
      </c>
      <c r="G62" s="6" t="s">
        <v>156</v>
      </c>
      <c r="H62" s="2" t="s">
        <v>194</v>
      </c>
      <c r="I62" s="2" t="s">
        <v>195</v>
      </c>
      <c r="J62" s="2" t="s">
        <v>19</v>
      </c>
      <c r="K62" s="2" t="s">
        <v>521</v>
      </c>
      <c r="L62" s="7" t="str">
        <f>HYPERLINK("http://slimages.macys.com/is/image/MCY/12279320 ")</f>
        <v xml:space="preserve">http://slimages.macys.com/is/image/MCY/12279320 </v>
      </c>
    </row>
    <row r="63" spans="1:12" ht="36.75" x14ac:dyDescent="0.25">
      <c r="A63" s="4" t="s">
        <v>8957</v>
      </c>
      <c r="B63" s="2" t="s">
        <v>519</v>
      </c>
      <c r="C63" s="3">
        <v>1</v>
      </c>
      <c r="D63" s="5">
        <v>44.63</v>
      </c>
      <c r="E63" s="3" t="s">
        <v>520</v>
      </c>
      <c r="F63" s="2" t="s">
        <v>125</v>
      </c>
      <c r="G63" s="6" t="s">
        <v>181</v>
      </c>
      <c r="H63" s="2" t="s">
        <v>194</v>
      </c>
      <c r="I63" s="2" t="s">
        <v>195</v>
      </c>
      <c r="J63" s="2" t="s">
        <v>19</v>
      </c>
      <c r="K63" s="2" t="s">
        <v>521</v>
      </c>
      <c r="L63" s="7" t="str">
        <f>HYPERLINK("http://slimages.macys.com/is/image/MCY/12279320 ")</f>
        <v xml:space="preserve">http://slimages.macys.com/is/image/MCY/12279320 </v>
      </c>
    </row>
    <row r="64" spans="1:12" x14ac:dyDescent="0.25">
      <c r="A64" s="4" t="s">
        <v>8958</v>
      </c>
      <c r="B64" s="2" t="s">
        <v>8959</v>
      </c>
      <c r="C64" s="3">
        <v>1</v>
      </c>
      <c r="D64" s="5">
        <v>59.5</v>
      </c>
      <c r="E64" s="3">
        <v>100061335</v>
      </c>
      <c r="F64" s="2" t="s">
        <v>64</v>
      </c>
      <c r="G64" s="6" t="s">
        <v>106</v>
      </c>
      <c r="H64" s="2" t="s">
        <v>386</v>
      </c>
      <c r="I64" s="2" t="s">
        <v>207</v>
      </c>
      <c r="J64" s="2" t="s">
        <v>19</v>
      </c>
      <c r="K64" s="2" t="s">
        <v>353</v>
      </c>
      <c r="L64" s="7" t="str">
        <f>HYPERLINK("http://slimages.macys.com/is/image/MCY/12792778 ")</f>
        <v xml:space="preserve">http://slimages.macys.com/is/image/MCY/12792778 </v>
      </c>
    </row>
    <row r="65" spans="1:12" ht="24.75" x14ac:dyDescent="0.25">
      <c r="A65" s="4" t="s">
        <v>3451</v>
      </c>
      <c r="B65" s="2" t="s">
        <v>527</v>
      </c>
      <c r="C65" s="3">
        <v>1</v>
      </c>
      <c r="D65" s="5">
        <v>48.38</v>
      </c>
      <c r="E65" s="3" t="s">
        <v>528</v>
      </c>
      <c r="F65" s="2" t="s">
        <v>417</v>
      </c>
      <c r="G65" s="6" t="s">
        <v>2276</v>
      </c>
      <c r="H65" s="2" t="s">
        <v>349</v>
      </c>
      <c r="I65" s="2" t="s">
        <v>285</v>
      </c>
      <c r="J65" s="2" t="s">
        <v>19</v>
      </c>
      <c r="K65" s="2" t="s">
        <v>160</v>
      </c>
      <c r="L65" s="7" t="str">
        <f>HYPERLINK("http://slimages.macys.com/is/image/MCY/12715708 ")</f>
        <v xml:space="preserve">http://slimages.macys.com/is/image/MCY/12715708 </v>
      </c>
    </row>
    <row r="66" spans="1:12" ht="24.75" x14ac:dyDescent="0.25">
      <c r="A66" s="4" t="s">
        <v>2320</v>
      </c>
      <c r="B66" s="2" t="s">
        <v>530</v>
      </c>
      <c r="C66" s="3">
        <v>1</v>
      </c>
      <c r="D66" s="5">
        <v>44.63</v>
      </c>
      <c r="E66" s="3" t="s">
        <v>531</v>
      </c>
      <c r="F66" s="2" t="s">
        <v>532</v>
      </c>
      <c r="G66" s="6" t="s">
        <v>154</v>
      </c>
      <c r="H66" s="2" t="s">
        <v>194</v>
      </c>
      <c r="I66" s="2" t="s">
        <v>195</v>
      </c>
      <c r="J66" s="2" t="s">
        <v>19</v>
      </c>
      <c r="K66" s="2" t="s">
        <v>533</v>
      </c>
      <c r="L66" s="7" t="str">
        <f>HYPERLINK("http://slimages.macys.com/is/image/MCY/12316730 ")</f>
        <v xml:space="preserve">http://slimages.macys.com/is/image/MCY/12316730 </v>
      </c>
    </row>
    <row r="67" spans="1:12" ht="24.75" x14ac:dyDescent="0.25">
      <c r="A67" s="4" t="s">
        <v>3452</v>
      </c>
      <c r="B67" s="2" t="s">
        <v>530</v>
      </c>
      <c r="C67" s="3">
        <v>1</v>
      </c>
      <c r="D67" s="5">
        <v>44.63</v>
      </c>
      <c r="E67" s="3" t="s">
        <v>531</v>
      </c>
      <c r="F67" s="2" t="s">
        <v>532</v>
      </c>
      <c r="G67" s="6" t="s">
        <v>156</v>
      </c>
      <c r="H67" s="2" t="s">
        <v>194</v>
      </c>
      <c r="I67" s="2" t="s">
        <v>195</v>
      </c>
      <c r="J67" s="2" t="s">
        <v>19</v>
      </c>
      <c r="K67" s="2" t="s">
        <v>533</v>
      </c>
      <c r="L67" s="7" t="str">
        <f>HYPERLINK("http://slimages.macys.com/is/image/MCY/12316730 ")</f>
        <v xml:space="preserve">http://slimages.macys.com/is/image/MCY/12316730 </v>
      </c>
    </row>
    <row r="68" spans="1:12" ht="48.75" x14ac:dyDescent="0.25">
      <c r="A68" s="4" t="s">
        <v>8960</v>
      </c>
      <c r="B68" s="2" t="s">
        <v>551</v>
      </c>
      <c r="C68" s="3">
        <v>1</v>
      </c>
      <c r="D68" s="5">
        <v>48</v>
      </c>
      <c r="E68" s="3">
        <v>100053418</v>
      </c>
      <c r="F68" s="2" t="s">
        <v>26</v>
      </c>
      <c r="G68" s="6" t="s">
        <v>245</v>
      </c>
      <c r="H68" s="2" t="s">
        <v>228</v>
      </c>
      <c r="I68" s="2" t="s">
        <v>229</v>
      </c>
      <c r="J68" s="2" t="s">
        <v>19</v>
      </c>
      <c r="K68" s="2" t="s">
        <v>552</v>
      </c>
      <c r="L68" s="7" t="str">
        <f>HYPERLINK("http://slimages.macys.com/is/image/MCY/12158587 ")</f>
        <v xml:space="preserve">http://slimages.macys.com/is/image/MCY/12158587 </v>
      </c>
    </row>
    <row r="69" spans="1:12" ht="48.75" x14ac:dyDescent="0.25">
      <c r="A69" s="4" t="s">
        <v>8961</v>
      </c>
      <c r="B69" s="2" t="s">
        <v>8962</v>
      </c>
      <c r="C69" s="3">
        <v>1</v>
      </c>
      <c r="D69" s="5">
        <v>48</v>
      </c>
      <c r="E69" s="3">
        <v>100010021</v>
      </c>
      <c r="F69" s="2" t="s">
        <v>417</v>
      </c>
      <c r="G69" s="6" t="s">
        <v>181</v>
      </c>
      <c r="H69" s="2" t="s">
        <v>228</v>
      </c>
      <c r="I69" s="2" t="s">
        <v>229</v>
      </c>
      <c r="J69" s="2" t="s">
        <v>19</v>
      </c>
      <c r="K69" s="2" t="s">
        <v>552</v>
      </c>
      <c r="L69" s="7" t="str">
        <f>HYPERLINK("http://slimages.macys.com/is/image/MCY/12158587 ")</f>
        <v xml:space="preserve">http://slimages.macys.com/is/image/MCY/12158587 </v>
      </c>
    </row>
    <row r="70" spans="1:12" ht="48.75" x14ac:dyDescent="0.25">
      <c r="A70" s="4" t="s">
        <v>8963</v>
      </c>
      <c r="B70" s="2" t="s">
        <v>8962</v>
      </c>
      <c r="C70" s="3">
        <v>1</v>
      </c>
      <c r="D70" s="5">
        <v>48</v>
      </c>
      <c r="E70" s="3">
        <v>100010021</v>
      </c>
      <c r="F70" s="2" t="s">
        <v>417</v>
      </c>
      <c r="G70" s="6" t="s">
        <v>200</v>
      </c>
      <c r="H70" s="2" t="s">
        <v>228</v>
      </c>
      <c r="I70" s="2" t="s">
        <v>229</v>
      </c>
      <c r="J70" s="2" t="s">
        <v>19</v>
      </c>
      <c r="K70" s="2" t="s">
        <v>552</v>
      </c>
      <c r="L70" s="7" t="str">
        <f>HYPERLINK("http://slimages.macys.com/is/image/MCY/12158587 ")</f>
        <v xml:space="preserve">http://slimages.macys.com/is/image/MCY/12158587 </v>
      </c>
    </row>
    <row r="71" spans="1:12" ht="24.75" x14ac:dyDescent="0.25">
      <c r="A71" s="4" t="s">
        <v>4593</v>
      </c>
      <c r="B71" s="2" t="s">
        <v>2334</v>
      </c>
      <c r="C71" s="3">
        <v>1</v>
      </c>
      <c r="D71" s="5">
        <v>59.5</v>
      </c>
      <c r="E71" s="3" t="s">
        <v>2335</v>
      </c>
      <c r="F71" s="2" t="s">
        <v>74</v>
      </c>
      <c r="G71" s="6"/>
      <c r="H71" s="2" t="s">
        <v>127</v>
      </c>
      <c r="I71" s="2" t="s">
        <v>128</v>
      </c>
      <c r="J71" s="2" t="s">
        <v>19</v>
      </c>
      <c r="K71" s="2" t="s">
        <v>160</v>
      </c>
      <c r="L71" s="7" t="str">
        <f>HYPERLINK("http://slimages.macys.com/is/image/MCY/9599934 ")</f>
        <v xml:space="preserve">http://slimages.macys.com/is/image/MCY/9599934 </v>
      </c>
    </row>
    <row r="72" spans="1:12" ht="24.75" x14ac:dyDescent="0.25">
      <c r="A72" s="4" t="s">
        <v>8964</v>
      </c>
      <c r="B72" s="2" t="s">
        <v>570</v>
      </c>
      <c r="C72" s="3">
        <v>1</v>
      </c>
      <c r="D72" s="5">
        <v>40.880000000000003</v>
      </c>
      <c r="E72" s="3" t="s">
        <v>571</v>
      </c>
      <c r="F72" s="2" t="s">
        <v>26</v>
      </c>
      <c r="G72" s="6" t="s">
        <v>22</v>
      </c>
      <c r="H72" s="2" t="s">
        <v>246</v>
      </c>
      <c r="I72" s="2" t="s">
        <v>525</v>
      </c>
      <c r="J72" s="2" t="s">
        <v>19</v>
      </c>
      <c r="K72" s="2" t="s">
        <v>338</v>
      </c>
      <c r="L72" s="7" t="str">
        <f>HYPERLINK("http://slimages.macys.com/is/image/MCY/11746434 ")</f>
        <v xml:space="preserve">http://slimages.macys.com/is/image/MCY/11746434 </v>
      </c>
    </row>
    <row r="73" spans="1:12" ht="24.75" x14ac:dyDescent="0.25">
      <c r="A73" s="4" t="s">
        <v>8965</v>
      </c>
      <c r="B73" s="2" t="s">
        <v>614</v>
      </c>
      <c r="C73" s="3">
        <v>1</v>
      </c>
      <c r="D73" s="5">
        <v>40.880000000000003</v>
      </c>
      <c r="E73" s="3" t="s">
        <v>6385</v>
      </c>
      <c r="F73" s="2" t="s">
        <v>26</v>
      </c>
      <c r="G73" s="6"/>
      <c r="H73" s="2" t="s">
        <v>632</v>
      </c>
      <c r="I73" s="2" t="s">
        <v>408</v>
      </c>
      <c r="J73" s="2" t="s">
        <v>19</v>
      </c>
      <c r="K73" s="2" t="s">
        <v>409</v>
      </c>
      <c r="L73" s="7" t="str">
        <f>HYPERLINK("http://slimages.macys.com/is/image/MCY/12672193 ")</f>
        <v xml:space="preserve">http://slimages.macys.com/is/image/MCY/12672193 </v>
      </c>
    </row>
    <row r="74" spans="1:12" ht="24.75" x14ac:dyDescent="0.25">
      <c r="A74" s="4" t="s">
        <v>8966</v>
      </c>
      <c r="B74" s="2" t="s">
        <v>614</v>
      </c>
      <c r="C74" s="3">
        <v>1</v>
      </c>
      <c r="D74" s="5">
        <v>40.880000000000003</v>
      </c>
      <c r="E74" s="3" t="s">
        <v>6385</v>
      </c>
      <c r="F74" s="2" t="s">
        <v>26</v>
      </c>
      <c r="G74" s="6" t="s">
        <v>794</v>
      </c>
      <c r="H74" s="2" t="s">
        <v>632</v>
      </c>
      <c r="I74" s="2" t="s">
        <v>408</v>
      </c>
      <c r="J74" s="2" t="s">
        <v>19</v>
      </c>
      <c r="K74" s="2" t="s">
        <v>409</v>
      </c>
      <c r="L74" s="7" t="str">
        <f>HYPERLINK("http://slimages.macys.com/is/image/MCY/12672193 ")</f>
        <v xml:space="preserve">http://slimages.macys.com/is/image/MCY/12672193 </v>
      </c>
    </row>
    <row r="75" spans="1:12" ht="24.75" x14ac:dyDescent="0.25">
      <c r="A75" s="4" t="s">
        <v>8967</v>
      </c>
      <c r="B75" s="2" t="s">
        <v>595</v>
      </c>
      <c r="C75" s="3">
        <v>1</v>
      </c>
      <c r="D75" s="5">
        <v>44.63</v>
      </c>
      <c r="E75" s="3">
        <v>100018127</v>
      </c>
      <c r="F75" s="2" t="s">
        <v>579</v>
      </c>
      <c r="G75" s="6" t="s">
        <v>200</v>
      </c>
      <c r="H75" s="2" t="s">
        <v>194</v>
      </c>
      <c r="I75" s="2" t="s">
        <v>195</v>
      </c>
      <c r="J75" s="2" t="s">
        <v>19</v>
      </c>
      <c r="K75" s="2" t="s">
        <v>34</v>
      </c>
      <c r="L75" s="7" t="str">
        <f>HYPERLINK("http://slimages.macys.com/is/image/MCY/9694255 ")</f>
        <v xml:space="preserve">http://slimages.macys.com/is/image/MCY/9694255 </v>
      </c>
    </row>
    <row r="76" spans="1:12" ht="24.75" x14ac:dyDescent="0.25">
      <c r="A76" s="4" t="s">
        <v>596</v>
      </c>
      <c r="B76" s="2" t="s">
        <v>595</v>
      </c>
      <c r="C76" s="3">
        <v>1</v>
      </c>
      <c r="D76" s="5">
        <v>44.63</v>
      </c>
      <c r="E76" s="3">
        <v>100018127</v>
      </c>
      <c r="F76" s="2" t="s">
        <v>579</v>
      </c>
      <c r="G76" s="6" t="s">
        <v>154</v>
      </c>
      <c r="H76" s="2" t="s">
        <v>194</v>
      </c>
      <c r="I76" s="2" t="s">
        <v>195</v>
      </c>
      <c r="J76" s="2" t="s">
        <v>19</v>
      </c>
      <c r="K76" s="2" t="s">
        <v>34</v>
      </c>
      <c r="L76" s="7" t="str">
        <f>HYPERLINK("http://slimages.macys.com/is/image/MCY/9694255 ")</f>
        <v xml:space="preserve">http://slimages.macys.com/is/image/MCY/9694255 </v>
      </c>
    </row>
    <row r="77" spans="1:12" ht="24.75" x14ac:dyDescent="0.25">
      <c r="A77" s="4" t="s">
        <v>8968</v>
      </c>
      <c r="B77" s="2" t="s">
        <v>8528</v>
      </c>
      <c r="C77" s="3">
        <v>1</v>
      </c>
      <c r="D77" s="5">
        <v>51.5</v>
      </c>
      <c r="E77" s="3" t="s">
        <v>8529</v>
      </c>
      <c r="F77" s="2" t="s">
        <v>26</v>
      </c>
      <c r="G77" s="6" t="s">
        <v>181</v>
      </c>
      <c r="H77" s="2" t="s">
        <v>246</v>
      </c>
      <c r="I77" s="2" t="s">
        <v>189</v>
      </c>
      <c r="J77" s="2" t="s">
        <v>19</v>
      </c>
      <c r="K77" s="2" t="s">
        <v>34</v>
      </c>
      <c r="L77" s="7" t="str">
        <f>HYPERLINK("http://slimages.macys.com/is/image/MCY/11746920 ")</f>
        <v xml:space="preserve">http://slimages.macys.com/is/image/MCY/11746920 </v>
      </c>
    </row>
    <row r="78" spans="1:12" ht="48.75" x14ac:dyDescent="0.25">
      <c r="A78" s="4" t="s">
        <v>5515</v>
      </c>
      <c r="B78" s="2" t="s">
        <v>599</v>
      </c>
      <c r="C78" s="3">
        <v>2</v>
      </c>
      <c r="D78" s="5">
        <v>37.130000000000003</v>
      </c>
      <c r="E78" s="3" t="s">
        <v>600</v>
      </c>
      <c r="F78" s="2" t="s">
        <v>125</v>
      </c>
      <c r="G78" s="6" t="s">
        <v>156</v>
      </c>
      <c r="H78" s="2" t="s">
        <v>194</v>
      </c>
      <c r="I78" s="2" t="s">
        <v>195</v>
      </c>
      <c r="J78" s="2" t="s">
        <v>19</v>
      </c>
      <c r="K78" s="2" t="s">
        <v>601</v>
      </c>
      <c r="L78" s="7" t="str">
        <f>HYPERLINK("http://slimages.macys.com/is/image/MCY/12734338 ")</f>
        <v xml:space="preserve">http://slimages.macys.com/is/image/MCY/12734338 </v>
      </c>
    </row>
    <row r="79" spans="1:12" ht="48.75" x14ac:dyDescent="0.25">
      <c r="A79" s="4" t="s">
        <v>4598</v>
      </c>
      <c r="B79" s="2" t="s">
        <v>599</v>
      </c>
      <c r="C79" s="3">
        <v>1</v>
      </c>
      <c r="D79" s="5">
        <v>37.130000000000003</v>
      </c>
      <c r="E79" s="3" t="s">
        <v>600</v>
      </c>
      <c r="F79" s="2" t="s">
        <v>125</v>
      </c>
      <c r="G79" s="6" t="s">
        <v>200</v>
      </c>
      <c r="H79" s="2" t="s">
        <v>194</v>
      </c>
      <c r="I79" s="2" t="s">
        <v>195</v>
      </c>
      <c r="J79" s="2" t="s">
        <v>19</v>
      </c>
      <c r="K79" s="2" t="s">
        <v>601</v>
      </c>
      <c r="L79" s="7" t="str">
        <f>HYPERLINK("http://slimages.macys.com/is/image/MCY/12734338 ")</f>
        <v xml:space="preserve">http://slimages.macys.com/is/image/MCY/12734338 </v>
      </c>
    </row>
    <row r="80" spans="1:12" ht="24.75" x14ac:dyDescent="0.25">
      <c r="A80" s="4" t="s">
        <v>2344</v>
      </c>
      <c r="B80" s="2" t="s">
        <v>606</v>
      </c>
      <c r="C80" s="3">
        <v>1</v>
      </c>
      <c r="D80" s="5">
        <v>37.130000000000003</v>
      </c>
      <c r="E80" s="3">
        <v>100054430</v>
      </c>
      <c r="F80" s="2" t="s">
        <v>15</v>
      </c>
      <c r="G80" s="6" t="s">
        <v>27</v>
      </c>
      <c r="H80" s="2" t="s">
        <v>194</v>
      </c>
      <c r="I80" s="2" t="s">
        <v>503</v>
      </c>
      <c r="J80" s="2" t="s">
        <v>19</v>
      </c>
      <c r="K80" s="2" t="s">
        <v>607</v>
      </c>
      <c r="L80" s="7" t="str">
        <f>HYPERLINK("http://slimages.macys.com/is/image/MCY/12063680 ")</f>
        <v xml:space="preserve">http://slimages.macys.com/is/image/MCY/12063680 </v>
      </c>
    </row>
    <row r="81" spans="1:12" ht="36.75" x14ac:dyDescent="0.25">
      <c r="A81" s="4" t="s">
        <v>8969</v>
      </c>
      <c r="B81" s="2" t="s">
        <v>6390</v>
      </c>
      <c r="C81" s="3">
        <v>1</v>
      </c>
      <c r="D81" s="5">
        <v>40.880000000000003</v>
      </c>
      <c r="E81" s="3">
        <v>100016238</v>
      </c>
      <c r="F81" s="2" t="s">
        <v>33</v>
      </c>
      <c r="G81" s="6" t="s">
        <v>200</v>
      </c>
      <c r="H81" s="2" t="s">
        <v>194</v>
      </c>
      <c r="I81" s="2" t="s">
        <v>195</v>
      </c>
      <c r="J81" s="2" t="s">
        <v>19</v>
      </c>
      <c r="K81" s="2" t="s">
        <v>6391</v>
      </c>
      <c r="L81" s="7" t="str">
        <f>HYPERLINK("http://slimages.macys.com/is/image/MCY/9577018 ")</f>
        <v xml:space="preserve">http://slimages.macys.com/is/image/MCY/9577018 </v>
      </c>
    </row>
    <row r="82" spans="1:12" ht="24.75" x14ac:dyDescent="0.25">
      <c r="A82" s="4" t="s">
        <v>8970</v>
      </c>
      <c r="B82" s="2" t="s">
        <v>612</v>
      </c>
      <c r="C82" s="3">
        <v>1</v>
      </c>
      <c r="D82" s="5">
        <v>37.130000000000003</v>
      </c>
      <c r="E82" s="3">
        <v>100042366</v>
      </c>
      <c r="F82" s="2" t="s">
        <v>111</v>
      </c>
      <c r="G82" s="6" t="s">
        <v>200</v>
      </c>
      <c r="H82" s="2" t="s">
        <v>194</v>
      </c>
      <c r="I82" s="2" t="s">
        <v>195</v>
      </c>
      <c r="J82" s="2" t="s">
        <v>19</v>
      </c>
      <c r="K82" s="2" t="s">
        <v>546</v>
      </c>
      <c r="L82" s="7" t="str">
        <f>HYPERLINK("http://slimages.macys.com/is/image/MCY/12734278 ")</f>
        <v xml:space="preserve">http://slimages.macys.com/is/image/MCY/12734278 </v>
      </c>
    </row>
    <row r="83" spans="1:12" ht="24.75" x14ac:dyDescent="0.25">
      <c r="A83" s="4" t="s">
        <v>2348</v>
      </c>
      <c r="B83" s="2" t="s">
        <v>612</v>
      </c>
      <c r="C83" s="3">
        <v>1</v>
      </c>
      <c r="D83" s="5">
        <v>37.130000000000003</v>
      </c>
      <c r="E83" s="3">
        <v>100042366</v>
      </c>
      <c r="F83" s="2" t="s">
        <v>111</v>
      </c>
      <c r="G83" s="6" t="s">
        <v>181</v>
      </c>
      <c r="H83" s="2" t="s">
        <v>194</v>
      </c>
      <c r="I83" s="2" t="s">
        <v>195</v>
      </c>
      <c r="J83" s="2" t="s">
        <v>19</v>
      </c>
      <c r="K83" s="2" t="s">
        <v>546</v>
      </c>
      <c r="L83" s="7" t="str">
        <f>HYPERLINK("http://slimages.macys.com/is/image/MCY/12734278 ")</f>
        <v xml:space="preserve">http://slimages.macys.com/is/image/MCY/12734278 </v>
      </c>
    </row>
    <row r="84" spans="1:12" ht="24.75" x14ac:dyDescent="0.25">
      <c r="A84" s="4" t="s">
        <v>618</v>
      </c>
      <c r="B84" s="2" t="s">
        <v>617</v>
      </c>
      <c r="C84" s="3">
        <v>1</v>
      </c>
      <c r="D84" s="5">
        <v>44.63</v>
      </c>
      <c r="E84" s="3">
        <v>100054444</v>
      </c>
      <c r="F84" s="2" t="s">
        <v>111</v>
      </c>
      <c r="G84" s="6" t="s">
        <v>200</v>
      </c>
      <c r="H84" s="2" t="s">
        <v>194</v>
      </c>
      <c r="I84" s="2" t="s">
        <v>195</v>
      </c>
      <c r="J84" s="2" t="s">
        <v>19</v>
      </c>
      <c r="K84" s="2" t="s">
        <v>546</v>
      </c>
      <c r="L84" s="7" t="str">
        <f>HYPERLINK("http://slimages.macys.com/is/image/MCY/12279794 ")</f>
        <v xml:space="preserve">http://slimages.macys.com/is/image/MCY/12279794 </v>
      </c>
    </row>
    <row r="85" spans="1:12" ht="24.75" x14ac:dyDescent="0.25">
      <c r="A85" s="4" t="s">
        <v>8971</v>
      </c>
      <c r="B85" s="2" t="s">
        <v>606</v>
      </c>
      <c r="C85" s="3">
        <v>1</v>
      </c>
      <c r="D85" s="5">
        <v>37.130000000000003</v>
      </c>
      <c r="E85" s="3" t="s">
        <v>8972</v>
      </c>
      <c r="F85" s="2" t="s">
        <v>26</v>
      </c>
      <c r="G85" s="6" t="s">
        <v>802</v>
      </c>
      <c r="H85" s="2" t="s">
        <v>312</v>
      </c>
      <c r="I85" s="2" t="s">
        <v>503</v>
      </c>
      <c r="J85" s="2" t="s">
        <v>19</v>
      </c>
      <c r="K85" s="2" t="s">
        <v>607</v>
      </c>
      <c r="L85" s="7" t="str">
        <f>HYPERLINK("http://slimages.macys.com/is/image/MCY/12063684 ")</f>
        <v xml:space="preserve">http://slimages.macys.com/is/image/MCY/12063684 </v>
      </c>
    </row>
    <row r="86" spans="1:12" ht="24.75" x14ac:dyDescent="0.25">
      <c r="A86" s="4" t="s">
        <v>8973</v>
      </c>
      <c r="B86" s="2" t="s">
        <v>8974</v>
      </c>
      <c r="C86" s="3">
        <v>1</v>
      </c>
      <c r="D86" s="5">
        <v>59.5</v>
      </c>
      <c r="E86" s="3">
        <v>100060501</v>
      </c>
      <c r="F86" s="2" t="s">
        <v>64</v>
      </c>
      <c r="G86" s="6" t="s">
        <v>22</v>
      </c>
      <c r="H86" s="2" t="s">
        <v>386</v>
      </c>
      <c r="I86" s="2" t="s">
        <v>207</v>
      </c>
      <c r="J86" s="2" t="s">
        <v>19</v>
      </c>
      <c r="K86" s="2" t="s">
        <v>8975</v>
      </c>
      <c r="L86" s="7" t="str">
        <f>HYPERLINK("http://slimages.macys.com/is/image/MCY/12953426 ")</f>
        <v xml:space="preserve">http://slimages.macys.com/is/image/MCY/12953426 </v>
      </c>
    </row>
    <row r="87" spans="1:12" x14ac:dyDescent="0.25">
      <c r="A87" s="4" t="s">
        <v>8976</v>
      </c>
      <c r="B87" s="2" t="s">
        <v>8977</v>
      </c>
      <c r="C87" s="3">
        <v>1</v>
      </c>
      <c r="D87" s="5">
        <v>69.5</v>
      </c>
      <c r="E87" s="3" t="s">
        <v>8978</v>
      </c>
      <c r="F87" s="2" t="s">
        <v>74</v>
      </c>
      <c r="G87" s="6" t="s">
        <v>219</v>
      </c>
      <c r="H87" s="2" t="s">
        <v>206</v>
      </c>
      <c r="I87" s="2" t="s">
        <v>207</v>
      </c>
      <c r="J87" s="2" t="s">
        <v>19</v>
      </c>
      <c r="K87" s="2" t="s">
        <v>160</v>
      </c>
      <c r="L87" s="7" t="str">
        <f>HYPERLINK("http://slimages.macys.com/is/image/MCY/11972492 ")</f>
        <v xml:space="preserve">http://slimages.macys.com/is/image/MCY/11972492 </v>
      </c>
    </row>
    <row r="88" spans="1:12" ht="24.75" x14ac:dyDescent="0.25">
      <c r="A88" s="4" t="s">
        <v>5526</v>
      </c>
      <c r="B88" s="2" t="s">
        <v>2351</v>
      </c>
      <c r="C88" s="3">
        <v>1</v>
      </c>
      <c r="D88" s="5">
        <v>37.130000000000003</v>
      </c>
      <c r="E88" s="3" t="s">
        <v>2352</v>
      </c>
      <c r="F88" s="2" t="s">
        <v>111</v>
      </c>
      <c r="G88" s="6" t="s">
        <v>156</v>
      </c>
      <c r="H88" s="2" t="s">
        <v>194</v>
      </c>
      <c r="I88" s="2" t="s">
        <v>195</v>
      </c>
      <c r="J88" s="2" t="s">
        <v>19</v>
      </c>
      <c r="K88" s="2" t="s">
        <v>438</v>
      </c>
      <c r="L88" s="7" t="str">
        <f>HYPERLINK("http://slimages.macys.com/is/image/MCY/12667948 ")</f>
        <v xml:space="preserve">http://slimages.macys.com/is/image/MCY/12667948 </v>
      </c>
    </row>
    <row r="89" spans="1:12" ht="24.75" x14ac:dyDescent="0.25">
      <c r="A89" s="4" t="s">
        <v>3482</v>
      </c>
      <c r="B89" s="2" t="s">
        <v>2351</v>
      </c>
      <c r="C89" s="3">
        <v>1</v>
      </c>
      <c r="D89" s="5">
        <v>37.130000000000003</v>
      </c>
      <c r="E89" s="3" t="s">
        <v>2352</v>
      </c>
      <c r="F89" s="2" t="s">
        <v>111</v>
      </c>
      <c r="G89" s="6" t="s">
        <v>154</v>
      </c>
      <c r="H89" s="2" t="s">
        <v>194</v>
      </c>
      <c r="I89" s="2" t="s">
        <v>195</v>
      </c>
      <c r="J89" s="2" t="s">
        <v>19</v>
      </c>
      <c r="K89" s="2" t="s">
        <v>438</v>
      </c>
      <c r="L89" s="7" t="str">
        <f>HYPERLINK("http://slimages.macys.com/is/image/MCY/12667948 ")</f>
        <v xml:space="preserve">http://slimages.macys.com/is/image/MCY/12667948 </v>
      </c>
    </row>
    <row r="90" spans="1:12" ht="24.75" x14ac:dyDescent="0.25">
      <c r="A90" s="4" t="s">
        <v>3481</v>
      </c>
      <c r="B90" s="2" t="s">
        <v>2351</v>
      </c>
      <c r="C90" s="3">
        <v>1</v>
      </c>
      <c r="D90" s="5">
        <v>37.130000000000003</v>
      </c>
      <c r="E90" s="3" t="s">
        <v>2352</v>
      </c>
      <c r="F90" s="2" t="s">
        <v>111</v>
      </c>
      <c r="G90" s="6" t="s">
        <v>200</v>
      </c>
      <c r="H90" s="2" t="s">
        <v>194</v>
      </c>
      <c r="I90" s="2" t="s">
        <v>195</v>
      </c>
      <c r="J90" s="2" t="s">
        <v>19</v>
      </c>
      <c r="K90" s="2" t="s">
        <v>438</v>
      </c>
      <c r="L90" s="7" t="str">
        <f>HYPERLINK("http://slimages.macys.com/is/image/MCY/12667948 ")</f>
        <v xml:space="preserve">http://slimages.macys.com/is/image/MCY/12667948 </v>
      </c>
    </row>
    <row r="91" spans="1:12" ht="24.75" x14ac:dyDescent="0.25">
      <c r="A91" s="4" t="s">
        <v>8979</v>
      </c>
      <c r="B91" s="2" t="s">
        <v>8980</v>
      </c>
      <c r="C91" s="3">
        <v>1</v>
      </c>
      <c r="D91" s="5">
        <v>59.5</v>
      </c>
      <c r="E91" s="3" t="s">
        <v>8981</v>
      </c>
      <c r="F91" s="2" t="s">
        <v>417</v>
      </c>
      <c r="G91" s="6" t="s">
        <v>363</v>
      </c>
      <c r="H91" s="2" t="s">
        <v>127</v>
      </c>
      <c r="I91" s="2" t="s">
        <v>128</v>
      </c>
      <c r="J91" s="2" t="s">
        <v>19</v>
      </c>
      <c r="K91" s="2" t="s">
        <v>75</v>
      </c>
      <c r="L91" s="7" t="str">
        <f>HYPERLINK("http://slimages.macys.com/is/image/MCY/11834132 ")</f>
        <v xml:space="preserve">http://slimages.macys.com/is/image/MCY/11834132 </v>
      </c>
    </row>
    <row r="92" spans="1:12" ht="24.75" x14ac:dyDescent="0.25">
      <c r="A92" s="4" t="s">
        <v>8982</v>
      </c>
      <c r="B92" s="2" t="s">
        <v>638</v>
      </c>
      <c r="C92" s="3">
        <v>1</v>
      </c>
      <c r="D92" s="5">
        <v>44.63</v>
      </c>
      <c r="E92" s="3" t="s">
        <v>639</v>
      </c>
      <c r="F92" s="2" t="s">
        <v>26</v>
      </c>
      <c r="G92" s="6" t="s">
        <v>200</v>
      </c>
      <c r="H92" s="2" t="s">
        <v>246</v>
      </c>
      <c r="I92" s="2" t="s">
        <v>189</v>
      </c>
      <c r="J92" s="2" t="s">
        <v>19</v>
      </c>
      <c r="K92" s="2" t="s">
        <v>160</v>
      </c>
      <c r="L92" s="7" t="str">
        <f>HYPERLINK("http://slimages.macys.com/is/image/MCY/11994891 ")</f>
        <v xml:space="preserve">http://slimages.macys.com/is/image/MCY/11994891 </v>
      </c>
    </row>
    <row r="93" spans="1:12" ht="24.75" x14ac:dyDescent="0.25">
      <c r="A93" s="4" t="s">
        <v>8983</v>
      </c>
      <c r="B93" s="2" t="s">
        <v>638</v>
      </c>
      <c r="C93" s="3">
        <v>1</v>
      </c>
      <c r="D93" s="5">
        <v>44.63</v>
      </c>
      <c r="E93" s="3" t="s">
        <v>639</v>
      </c>
      <c r="F93" s="2" t="s">
        <v>26</v>
      </c>
      <c r="G93" s="6" t="s">
        <v>154</v>
      </c>
      <c r="H93" s="2" t="s">
        <v>246</v>
      </c>
      <c r="I93" s="2" t="s">
        <v>189</v>
      </c>
      <c r="J93" s="2" t="s">
        <v>19</v>
      </c>
      <c r="K93" s="2" t="s">
        <v>160</v>
      </c>
      <c r="L93" s="7" t="str">
        <f>HYPERLINK("http://slimages.macys.com/is/image/MCY/11994891 ")</f>
        <v xml:space="preserve">http://slimages.macys.com/is/image/MCY/11994891 </v>
      </c>
    </row>
    <row r="94" spans="1:12" ht="24.75" x14ac:dyDescent="0.25">
      <c r="A94" s="4" t="s">
        <v>3503</v>
      </c>
      <c r="B94" s="2" t="s">
        <v>641</v>
      </c>
      <c r="C94" s="3">
        <v>1</v>
      </c>
      <c r="D94" s="5">
        <v>34.99</v>
      </c>
      <c r="E94" s="3" t="s">
        <v>642</v>
      </c>
      <c r="F94" s="2" t="s">
        <v>64</v>
      </c>
      <c r="G94" s="6" t="s">
        <v>2276</v>
      </c>
      <c r="H94" s="2" t="s">
        <v>349</v>
      </c>
      <c r="I94" s="2" t="s">
        <v>408</v>
      </c>
      <c r="J94" s="2" t="s">
        <v>19</v>
      </c>
      <c r="K94" s="2" t="s">
        <v>409</v>
      </c>
      <c r="L94" s="7" t="str">
        <f>HYPERLINK("http://slimages.macys.com/is/image/MCY/9297288 ")</f>
        <v xml:space="preserve">http://slimages.macys.com/is/image/MCY/9297288 </v>
      </c>
    </row>
    <row r="95" spans="1:12" ht="24.75" x14ac:dyDescent="0.25">
      <c r="A95" s="4" t="s">
        <v>8984</v>
      </c>
      <c r="B95" s="2" t="s">
        <v>3506</v>
      </c>
      <c r="C95" s="3">
        <v>1</v>
      </c>
      <c r="D95" s="5">
        <v>41.65</v>
      </c>
      <c r="E95" s="3" t="s">
        <v>3507</v>
      </c>
      <c r="F95" s="2" t="s">
        <v>26</v>
      </c>
      <c r="G95" s="6" t="s">
        <v>245</v>
      </c>
      <c r="H95" s="2" t="s">
        <v>182</v>
      </c>
      <c r="I95" s="2" t="s">
        <v>183</v>
      </c>
      <c r="J95" s="2" t="s">
        <v>19</v>
      </c>
      <c r="K95" s="2" t="s">
        <v>338</v>
      </c>
      <c r="L95" s="7" t="str">
        <f>HYPERLINK("http://slimages.macys.com/is/image/MCY/11833375 ")</f>
        <v xml:space="preserve">http://slimages.macys.com/is/image/MCY/11833375 </v>
      </c>
    </row>
    <row r="96" spans="1:12" ht="24.75" x14ac:dyDescent="0.25">
      <c r="A96" s="4" t="s">
        <v>7947</v>
      </c>
      <c r="B96" s="2" t="s">
        <v>2542</v>
      </c>
      <c r="C96" s="3">
        <v>1</v>
      </c>
      <c r="D96" s="5">
        <v>59.5</v>
      </c>
      <c r="E96" s="3">
        <v>100061927</v>
      </c>
      <c r="F96" s="2" t="s">
        <v>252</v>
      </c>
      <c r="G96" s="6" t="s">
        <v>141</v>
      </c>
      <c r="H96" s="2" t="s">
        <v>386</v>
      </c>
      <c r="I96" s="2" t="s">
        <v>207</v>
      </c>
      <c r="J96" s="2" t="s">
        <v>19</v>
      </c>
      <c r="K96" s="2" t="s">
        <v>1251</v>
      </c>
      <c r="L96" s="7" t="str">
        <f>HYPERLINK("http://slimages.macys.com/is/image/MCY/11963036 ")</f>
        <v xml:space="preserve">http://slimages.macys.com/is/image/MCY/11963036 </v>
      </c>
    </row>
    <row r="97" spans="1:12" ht="24.75" x14ac:dyDescent="0.25">
      <c r="A97" s="4" t="s">
        <v>4630</v>
      </c>
      <c r="B97" s="2" t="s">
        <v>4631</v>
      </c>
      <c r="C97" s="3">
        <v>1</v>
      </c>
      <c r="D97" s="5">
        <v>40.880000000000003</v>
      </c>
      <c r="E97" s="3" t="s">
        <v>4632</v>
      </c>
      <c r="F97" s="2" t="s">
        <v>125</v>
      </c>
      <c r="G97" s="6" t="s">
        <v>154</v>
      </c>
      <c r="H97" s="2" t="s">
        <v>194</v>
      </c>
      <c r="I97" s="2" t="s">
        <v>195</v>
      </c>
      <c r="J97" s="2" t="s">
        <v>19</v>
      </c>
      <c r="K97" s="2" t="s">
        <v>107</v>
      </c>
      <c r="L97" s="7" t="str">
        <f>HYPERLINK("http://slimages.macys.com/is/image/MCY/12279952 ")</f>
        <v xml:space="preserve">http://slimages.macys.com/is/image/MCY/12279952 </v>
      </c>
    </row>
    <row r="98" spans="1:12" ht="24.75" x14ac:dyDescent="0.25">
      <c r="A98" s="4" t="s">
        <v>6407</v>
      </c>
      <c r="B98" s="2" t="s">
        <v>4631</v>
      </c>
      <c r="C98" s="3">
        <v>1</v>
      </c>
      <c r="D98" s="5">
        <v>40.880000000000003</v>
      </c>
      <c r="E98" s="3" t="s">
        <v>4632</v>
      </c>
      <c r="F98" s="2" t="s">
        <v>125</v>
      </c>
      <c r="G98" s="6" t="s">
        <v>181</v>
      </c>
      <c r="H98" s="2" t="s">
        <v>194</v>
      </c>
      <c r="I98" s="2" t="s">
        <v>195</v>
      </c>
      <c r="J98" s="2" t="s">
        <v>19</v>
      </c>
      <c r="K98" s="2" t="s">
        <v>107</v>
      </c>
      <c r="L98" s="7" t="str">
        <f>HYPERLINK("http://slimages.macys.com/is/image/MCY/12279952 ")</f>
        <v xml:space="preserve">http://slimages.macys.com/is/image/MCY/12279952 </v>
      </c>
    </row>
    <row r="99" spans="1:12" ht="24.75" x14ac:dyDescent="0.25">
      <c r="A99" s="4" t="s">
        <v>7204</v>
      </c>
      <c r="B99" s="2" t="s">
        <v>4631</v>
      </c>
      <c r="C99" s="3">
        <v>1</v>
      </c>
      <c r="D99" s="5">
        <v>40.880000000000003</v>
      </c>
      <c r="E99" s="3" t="s">
        <v>4632</v>
      </c>
      <c r="F99" s="2" t="s">
        <v>125</v>
      </c>
      <c r="G99" s="6" t="s">
        <v>234</v>
      </c>
      <c r="H99" s="2" t="s">
        <v>194</v>
      </c>
      <c r="I99" s="2" t="s">
        <v>195</v>
      </c>
      <c r="J99" s="2" t="s">
        <v>19</v>
      </c>
      <c r="K99" s="2" t="s">
        <v>107</v>
      </c>
      <c r="L99" s="7" t="str">
        <f>HYPERLINK("http://slimages.macys.com/is/image/MCY/12279952 ")</f>
        <v xml:space="preserve">http://slimages.macys.com/is/image/MCY/12279952 </v>
      </c>
    </row>
    <row r="100" spans="1:12" ht="24.75" x14ac:dyDescent="0.25">
      <c r="A100" s="4" t="s">
        <v>8985</v>
      </c>
      <c r="B100" s="2" t="s">
        <v>8986</v>
      </c>
      <c r="C100" s="3">
        <v>1</v>
      </c>
      <c r="D100" s="5">
        <v>34</v>
      </c>
      <c r="E100" s="3">
        <v>9120</v>
      </c>
      <c r="F100" s="2" t="s">
        <v>15</v>
      </c>
      <c r="G100" s="6" t="s">
        <v>106</v>
      </c>
      <c r="H100" s="2" t="s">
        <v>3402</v>
      </c>
      <c r="I100" s="2" t="s">
        <v>3409</v>
      </c>
      <c r="J100" s="2" t="s">
        <v>19</v>
      </c>
      <c r="K100" s="2" t="s">
        <v>34</v>
      </c>
      <c r="L100" s="7" t="str">
        <f>HYPERLINK("http://slimages.macys.com/is/image/MCY/13289851 ")</f>
        <v xml:space="preserve">http://slimages.macys.com/is/image/MCY/13289851 </v>
      </c>
    </row>
    <row r="101" spans="1:12" ht="24.75" x14ac:dyDescent="0.25">
      <c r="A101" s="4" t="s">
        <v>8987</v>
      </c>
      <c r="B101" s="2" t="s">
        <v>8988</v>
      </c>
      <c r="C101" s="3">
        <v>1</v>
      </c>
      <c r="D101" s="5">
        <v>34</v>
      </c>
      <c r="E101" s="3">
        <v>9120</v>
      </c>
      <c r="F101" s="2" t="s">
        <v>1296</v>
      </c>
      <c r="G101" s="6" t="s">
        <v>112</v>
      </c>
      <c r="H101" s="2" t="s">
        <v>3402</v>
      </c>
      <c r="I101" s="2" t="s">
        <v>3409</v>
      </c>
      <c r="J101" s="2" t="s">
        <v>19</v>
      </c>
      <c r="K101" s="2" t="s">
        <v>34</v>
      </c>
      <c r="L101" s="7" t="str">
        <f>HYPERLINK("http://slimages.macys.com/is/image/MCY/13289851 ")</f>
        <v xml:space="preserve">http://slimages.macys.com/is/image/MCY/13289851 </v>
      </c>
    </row>
    <row r="102" spans="1:12" ht="24.75" x14ac:dyDescent="0.25">
      <c r="A102" s="4" t="s">
        <v>8989</v>
      </c>
      <c r="B102" s="2" t="s">
        <v>2331</v>
      </c>
      <c r="C102" s="3">
        <v>1</v>
      </c>
      <c r="D102" s="5">
        <v>51.5</v>
      </c>
      <c r="E102" s="3" t="s">
        <v>3456</v>
      </c>
      <c r="F102" s="2" t="s">
        <v>331</v>
      </c>
      <c r="G102" s="6" t="s">
        <v>181</v>
      </c>
      <c r="H102" s="2" t="s">
        <v>246</v>
      </c>
      <c r="I102" s="2" t="s">
        <v>189</v>
      </c>
      <c r="J102" s="2" t="s">
        <v>19</v>
      </c>
      <c r="K102" s="2" t="s">
        <v>1480</v>
      </c>
      <c r="L102" s="7" t="str">
        <f>HYPERLINK("http://slimages.macys.com/is/image/MCY/9910820 ")</f>
        <v xml:space="preserve">http://slimages.macys.com/is/image/MCY/9910820 </v>
      </c>
    </row>
    <row r="103" spans="1:12" ht="24.75" x14ac:dyDescent="0.25">
      <c r="A103" s="4" t="s">
        <v>8990</v>
      </c>
      <c r="B103" s="2" t="s">
        <v>8991</v>
      </c>
      <c r="C103" s="3">
        <v>1</v>
      </c>
      <c r="D103" s="5">
        <v>49.5</v>
      </c>
      <c r="E103" s="3" t="s">
        <v>8992</v>
      </c>
      <c r="F103" s="2" t="s">
        <v>820</v>
      </c>
      <c r="G103" s="6"/>
      <c r="H103" s="2" t="s">
        <v>127</v>
      </c>
      <c r="I103" s="2" t="s">
        <v>128</v>
      </c>
      <c r="J103" s="2" t="s">
        <v>19</v>
      </c>
      <c r="K103" s="2" t="s">
        <v>160</v>
      </c>
      <c r="L103" s="7" t="str">
        <f>HYPERLINK("http://slimages.macys.com/is/image/MCY/12745208 ")</f>
        <v xml:space="preserve">http://slimages.macys.com/is/image/MCY/12745208 </v>
      </c>
    </row>
    <row r="104" spans="1:12" ht="24.75" x14ac:dyDescent="0.25">
      <c r="A104" s="4" t="s">
        <v>7953</v>
      </c>
      <c r="B104" s="2" t="s">
        <v>689</v>
      </c>
      <c r="C104" s="3">
        <v>1</v>
      </c>
      <c r="D104" s="5">
        <v>40.880000000000003</v>
      </c>
      <c r="E104" s="3" t="s">
        <v>690</v>
      </c>
      <c r="F104" s="2" t="s">
        <v>15</v>
      </c>
      <c r="G104" s="6" t="s">
        <v>245</v>
      </c>
      <c r="H104" s="2" t="s">
        <v>194</v>
      </c>
      <c r="I104" s="2" t="s">
        <v>195</v>
      </c>
      <c r="J104" s="2" t="s">
        <v>19</v>
      </c>
      <c r="K104" s="2" t="s">
        <v>691</v>
      </c>
      <c r="L104" s="7" t="str">
        <f>HYPERLINK("http://slimages.macys.com/is/image/MCY/12279956 ")</f>
        <v xml:space="preserve">http://slimages.macys.com/is/image/MCY/12279956 </v>
      </c>
    </row>
    <row r="105" spans="1:12" ht="24.75" x14ac:dyDescent="0.25">
      <c r="A105" s="4" t="s">
        <v>8993</v>
      </c>
      <c r="B105" s="2" t="s">
        <v>689</v>
      </c>
      <c r="C105" s="3">
        <v>1</v>
      </c>
      <c r="D105" s="5">
        <v>40.880000000000003</v>
      </c>
      <c r="E105" s="3" t="s">
        <v>690</v>
      </c>
      <c r="F105" s="2" t="s">
        <v>15</v>
      </c>
      <c r="G105" s="6" t="s">
        <v>156</v>
      </c>
      <c r="H105" s="2" t="s">
        <v>194</v>
      </c>
      <c r="I105" s="2" t="s">
        <v>195</v>
      </c>
      <c r="J105" s="2" t="s">
        <v>19</v>
      </c>
      <c r="K105" s="2" t="s">
        <v>691</v>
      </c>
      <c r="L105" s="7" t="str">
        <f>HYPERLINK("http://slimages.macys.com/is/image/MCY/12279956 ")</f>
        <v xml:space="preserve">http://slimages.macys.com/is/image/MCY/12279956 </v>
      </c>
    </row>
    <row r="106" spans="1:12" ht="24.75" x14ac:dyDescent="0.25">
      <c r="A106" s="4" t="s">
        <v>8994</v>
      </c>
      <c r="B106" s="2" t="s">
        <v>693</v>
      </c>
      <c r="C106" s="3">
        <v>1</v>
      </c>
      <c r="D106" s="5">
        <v>29.99</v>
      </c>
      <c r="E106" s="3" t="s">
        <v>7955</v>
      </c>
      <c r="F106" s="2" t="s">
        <v>331</v>
      </c>
      <c r="G106" s="6" t="s">
        <v>154</v>
      </c>
      <c r="H106" s="2" t="s">
        <v>284</v>
      </c>
      <c r="I106" s="2" t="s">
        <v>408</v>
      </c>
      <c r="J106" s="2" t="s">
        <v>19</v>
      </c>
      <c r="K106" s="2" t="s">
        <v>409</v>
      </c>
      <c r="L106" s="7" t="str">
        <f>HYPERLINK("http://slimages.macys.com/is/image/MCY/9387631 ")</f>
        <v xml:space="preserve">http://slimages.macys.com/is/image/MCY/9387631 </v>
      </c>
    </row>
    <row r="107" spans="1:12" ht="24.75" x14ac:dyDescent="0.25">
      <c r="A107" s="4" t="s">
        <v>8995</v>
      </c>
      <c r="B107" s="2" t="s">
        <v>2385</v>
      </c>
      <c r="C107" s="3">
        <v>1</v>
      </c>
      <c r="D107" s="5">
        <v>39.5</v>
      </c>
      <c r="E107" s="3" t="s">
        <v>2386</v>
      </c>
      <c r="F107" s="2" t="s">
        <v>417</v>
      </c>
      <c r="G107" s="6" t="s">
        <v>200</v>
      </c>
      <c r="H107" s="2" t="s">
        <v>194</v>
      </c>
      <c r="I107" s="2" t="s">
        <v>195</v>
      </c>
      <c r="J107" s="2" t="s">
        <v>19</v>
      </c>
      <c r="K107" s="2" t="s">
        <v>201</v>
      </c>
      <c r="L107" s="7" t="str">
        <f>HYPERLINK("http://slimages.macys.com/is/image/MCY/12034726 ")</f>
        <v xml:space="preserve">http://slimages.macys.com/is/image/MCY/12034726 </v>
      </c>
    </row>
    <row r="108" spans="1:12" ht="24.75" x14ac:dyDescent="0.25">
      <c r="A108" s="4" t="s">
        <v>2392</v>
      </c>
      <c r="B108" s="2" t="s">
        <v>2385</v>
      </c>
      <c r="C108" s="3">
        <v>1</v>
      </c>
      <c r="D108" s="5">
        <v>39.5</v>
      </c>
      <c r="E108" s="3" t="s">
        <v>2386</v>
      </c>
      <c r="F108" s="2" t="s">
        <v>26</v>
      </c>
      <c r="G108" s="6" t="s">
        <v>181</v>
      </c>
      <c r="H108" s="2" t="s">
        <v>194</v>
      </c>
      <c r="I108" s="2" t="s">
        <v>195</v>
      </c>
      <c r="J108" s="2" t="s">
        <v>19</v>
      </c>
      <c r="K108" s="2" t="s">
        <v>201</v>
      </c>
      <c r="L108" s="7" t="str">
        <f>HYPERLINK("http://slimages.macys.com/is/image/MCY/12034726 ")</f>
        <v xml:space="preserve">http://slimages.macys.com/is/image/MCY/12034726 </v>
      </c>
    </row>
    <row r="109" spans="1:12" ht="24.75" x14ac:dyDescent="0.25">
      <c r="A109" s="4" t="s">
        <v>7961</v>
      </c>
      <c r="B109" s="2" t="s">
        <v>707</v>
      </c>
      <c r="C109" s="3">
        <v>1</v>
      </c>
      <c r="D109" s="5">
        <v>40.880000000000003</v>
      </c>
      <c r="E109" s="3">
        <v>100047657</v>
      </c>
      <c r="F109" s="2" t="s">
        <v>376</v>
      </c>
      <c r="G109" s="6" t="s">
        <v>27</v>
      </c>
      <c r="H109" s="2" t="s">
        <v>194</v>
      </c>
      <c r="I109" s="2" t="s">
        <v>195</v>
      </c>
      <c r="J109" s="2" t="s">
        <v>19</v>
      </c>
      <c r="K109" s="2" t="s">
        <v>546</v>
      </c>
      <c r="L109" s="7" t="str">
        <f>HYPERLINK("http://slimages.macys.com/is/image/MCY/12143636 ")</f>
        <v xml:space="preserve">http://slimages.macys.com/is/image/MCY/12143636 </v>
      </c>
    </row>
    <row r="110" spans="1:12" ht="24.75" x14ac:dyDescent="0.25">
      <c r="A110" s="4" t="s">
        <v>2389</v>
      </c>
      <c r="B110" s="2" t="s">
        <v>707</v>
      </c>
      <c r="C110" s="3">
        <v>3</v>
      </c>
      <c r="D110" s="5">
        <v>40.880000000000003</v>
      </c>
      <c r="E110" s="3">
        <v>100047657</v>
      </c>
      <c r="F110" s="2" t="s">
        <v>376</v>
      </c>
      <c r="G110" s="6" t="s">
        <v>16</v>
      </c>
      <c r="H110" s="2" t="s">
        <v>194</v>
      </c>
      <c r="I110" s="2" t="s">
        <v>195</v>
      </c>
      <c r="J110" s="2" t="s">
        <v>19</v>
      </c>
      <c r="K110" s="2" t="s">
        <v>546</v>
      </c>
      <c r="L110" s="7" t="str">
        <f>HYPERLINK("http://slimages.macys.com/is/image/MCY/12143636 ")</f>
        <v xml:space="preserve">http://slimages.macys.com/is/image/MCY/12143636 </v>
      </c>
    </row>
    <row r="111" spans="1:12" ht="24.75" x14ac:dyDescent="0.25">
      <c r="A111" s="4" t="s">
        <v>8996</v>
      </c>
      <c r="B111" s="2" t="s">
        <v>707</v>
      </c>
      <c r="C111" s="3">
        <v>1</v>
      </c>
      <c r="D111" s="5">
        <v>40.880000000000003</v>
      </c>
      <c r="E111" s="3">
        <v>100047657</v>
      </c>
      <c r="F111" s="2" t="s">
        <v>376</v>
      </c>
      <c r="G111" s="6" t="s">
        <v>106</v>
      </c>
      <c r="H111" s="2" t="s">
        <v>194</v>
      </c>
      <c r="I111" s="2" t="s">
        <v>195</v>
      </c>
      <c r="J111" s="2" t="s">
        <v>19</v>
      </c>
      <c r="K111" s="2" t="s">
        <v>546</v>
      </c>
      <c r="L111" s="7" t="str">
        <f>HYPERLINK("http://slimages.macys.com/is/image/MCY/12143636 ")</f>
        <v xml:space="preserve">http://slimages.macys.com/is/image/MCY/12143636 </v>
      </c>
    </row>
    <row r="112" spans="1:12" ht="24.75" x14ac:dyDescent="0.25">
      <c r="A112" s="4" t="s">
        <v>6411</v>
      </c>
      <c r="B112" s="2" t="s">
        <v>2385</v>
      </c>
      <c r="C112" s="3">
        <v>2</v>
      </c>
      <c r="D112" s="5">
        <v>39.5</v>
      </c>
      <c r="E112" s="3" t="s">
        <v>2386</v>
      </c>
      <c r="F112" s="2" t="s">
        <v>417</v>
      </c>
      <c r="G112" s="6" t="s">
        <v>154</v>
      </c>
      <c r="H112" s="2" t="s">
        <v>194</v>
      </c>
      <c r="I112" s="2" t="s">
        <v>195</v>
      </c>
      <c r="J112" s="2" t="s">
        <v>19</v>
      </c>
      <c r="K112" s="2" t="s">
        <v>201</v>
      </c>
      <c r="L112" s="7" t="str">
        <f>HYPERLINK("http://slimages.macys.com/is/image/MCY/12034726 ")</f>
        <v xml:space="preserve">http://slimages.macys.com/is/image/MCY/12034726 </v>
      </c>
    </row>
    <row r="113" spans="1:12" ht="24.75" x14ac:dyDescent="0.25">
      <c r="A113" s="4" t="s">
        <v>723</v>
      </c>
      <c r="B113" s="2" t="s">
        <v>453</v>
      </c>
      <c r="C113" s="3">
        <v>1</v>
      </c>
      <c r="D113" s="5">
        <v>37.130000000000003</v>
      </c>
      <c r="E113" s="3" t="s">
        <v>721</v>
      </c>
      <c r="F113" s="2" t="s">
        <v>417</v>
      </c>
      <c r="G113" s="6" t="s">
        <v>200</v>
      </c>
      <c r="H113" s="2" t="s">
        <v>284</v>
      </c>
      <c r="I113" s="2" t="s">
        <v>285</v>
      </c>
      <c r="J113" s="2" t="s">
        <v>19</v>
      </c>
      <c r="K113" s="2" t="s">
        <v>323</v>
      </c>
      <c r="L113" s="7" t="str">
        <f>HYPERLINK("http://slimages.macys.com/is/image/MCY/9678668 ")</f>
        <v xml:space="preserve">http://slimages.macys.com/is/image/MCY/9678668 </v>
      </c>
    </row>
    <row r="114" spans="1:12" ht="24.75" x14ac:dyDescent="0.25">
      <c r="A114" s="4" t="s">
        <v>2398</v>
      </c>
      <c r="B114" s="2" t="s">
        <v>453</v>
      </c>
      <c r="C114" s="3">
        <v>1</v>
      </c>
      <c r="D114" s="5">
        <v>37.130000000000003</v>
      </c>
      <c r="E114" s="3" t="s">
        <v>721</v>
      </c>
      <c r="F114" s="2" t="s">
        <v>417</v>
      </c>
      <c r="G114" s="6" t="s">
        <v>181</v>
      </c>
      <c r="H114" s="2" t="s">
        <v>284</v>
      </c>
      <c r="I114" s="2" t="s">
        <v>285</v>
      </c>
      <c r="J114" s="2" t="s">
        <v>19</v>
      </c>
      <c r="K114" s="2" t="s">
        <v>323</v>
      </c>
      <c r="L114" s="7" t="str">
        <f>HYPERLINK("http://slimages.macys.com/is/image/MCY/9678668 ")</f>
        <v xml:space="preserve">http://slimages.macys.com/is/image/MCY/9678668 </v>
      </c>
    </row>
    <row r="115" spans="1:12" ht="48.75" x14ac:dyDescent="0.25">
      <c r="A115" s="4" t="s">
        <v>5571</v>
      </c>
      <c r="B115" s="2" t="s">
        <v>3536</v>
      </c>
      <c r="C115" s="3">
        <v>1</v>
      </c>
      <c r="D115" s="5">
        <v>40.880000000000003</v>
      </c>
      <c r="E115" s="3" t="s">
        <v>3537</v>
      </c>
      <c r="F115" s="2" t="s">
        <v>111</v>
      </c>
      <c r="G115" s="6" t="s">
        <v>181</v>
      </c>
      <c r="H115" s="2" t="s">
        <v>284</v>
      </c>
      <c r="I115" s="2" t="s">
        <v>285</v>
      </c>
      <c r="J115" s="2" t="s">
        <v>19</v>
      </c>
      <c r="K115" s="2" t="s">
        <v>3542</v>
      </c>
      <c r="L115" s="7" t="str">
        <f>HYPERLINK("http://slimages.macys.com/is/image/MCY/11858366 ")</f>
        <v xml:space="preserve">http://slimages.macys.com/is/image/MCY/11858366 </v>
      </c>
    </row>
    <row r="116" spans="1:12" ht="36.75" x14ac:dyDescent="0.25">
      <c r="A116" s="4" t="s">
        <v>8997</v>
      </c>
      <c r="B116" s="2" t="s">
        <v>8998</v>
      </c>
      <c r="C116" s="3">
        <v>1</v>
      </c>
      <c r="D116" s="5">
        <v>40.880000000000003</v>
      </c>
      <c r="E116" s="3" t="s">
        <v>8999</v>
      </c>
      <c r="F116" s="2" t="s">
        <v>64</v>
      </c>
      <c r="G116" s="6" t="s">
        <v>234</v>
      </c>
      <c r="H116" s="2" t="s">
        <v>246</v>
      </c>
      <c r="I116" s="2" t="s">
        <v>189</v>
      </c>
      <c r="J116" s="2" t="s">
        <v>19</v>
      </c>
      <c r="K116" s="2" t="s">
        <v>9000</v>
      </c>
      <c r="L116" s="7" t="str">
        <f>HYPERLINK("http://slimages.macys.com/is/image/MCY/12326927 ")</f>
        <v xml:space="preserve">http://slimages.macys.com/is/image/MCY/12326927 </v>
      </c>
    </row>
    <row r="117" spans="1:12" ht="24.75" x14ac:dyDescent="0.25">
      <c r="A117" s="4" t="s">
        <v>5586</v>
      </c>
      <c r="B117" s="2" t="s">
        <v>5587</v>
      </c>
      <c r="C117" s="3">
        <v>1</v>
      </c>
      <c r="D117" s="5">
        <v>44.63</v>
      </c>
      <c r="E117" s="3" t="s">
        <v>5588</v>
      </c>
      <c r="F117" s="2" t="s">
        <v>26</v>
      </c>
      <c r="G117" s="6" t="s">
        <v>154</v>
      </c>
      <c r="H117" s="2" t="s">
        <v>246</v>
      </c>
      <c r="I117" s="2" t="s">
        <v>189</v>
      </c>
      <c r="J117" s="2" t="s">
        <v>19</v>
      </c>
      <c r="K117" s="2" t="s">
        <v>705</v>
      </c>
      <c r="L117" s="7" t="str">
        <f>HYPERLINK("http://slimages.macys.com/is/image/MCY/9630962 ")</f>
        <v xml:space="preserve">http://slimages.macys.com/is/image/MCY/9630962 </v>
      </c>
    </row>
    <row r="118" spans="1:12" ht="48.75" x14ac:dyDescent="0.25">
      <c r="A118" s="4" t="s">
        <v>3543</v>
      </c>
      <c r="B118" s="2" t="s">
        <v>750</v>
      </c>
      <c r="C118" s="3">
        <v>1</v>
      </c>
      <c r="D118" s="5">
        <v>44.63</v>
      </c>
      <c r="E118" s="3" t="s">
        <v>751</v>
      </c>
      <c r="F118" s="2" t="s">
        <v>752</v>
      </c>
      <c r="G118" s="6" t="s">
        <v>200</v>
      </c>
      <c r="H118" s="2" t="s">
        <v>194</v>
      </c>
      <c r="I118" s="2" t="s">
        <v>195</v>
      </c>
      <c r="J118" s="2" t="s">
        <v>19</v>
      </c>
      <c r="K118" s="2" t="s">
        <v>753</v>
      </c>
      <c r="L118" s="7" t="str">
        <f>HYPERLINK("http://slimages.macys.com/is/image/MCY/12734332 ")</f>
        <v xml:space="preserve">http://slimages.macys.com/is/image/MCY/12734332 </v>
      </c>
    </row>
    <row r="119" spans="1:12" ht="36.75" x14ac:dyDescent="0.25">
      <c r="A119" s="4" t="s">
        <v>9001</v>
      </c>
      <c r="B119" s="2" t="s">
        <v>3545</v>
      </c>
      <c r="C119" s="3">
        <v>1</v>
      </c>
      <c r="D119" s="5">
        <v>36.99</v>
      </c>
      <c r="E119" s="3" t="s">
        <v>3546</v>
      </c>
      <c r="F119" s="2" t="s">
        <v>74</v>
      </c>
      <c r="G119" s="6" t="s">
        <v>200</v>
      </c>
      <c r="H119" s="2" t="s">
        <v>284</v>
      </c>
      <c r="I119" s="2" t="s">
        <v>285</v>
      </c>
      <c r="J119" s="2" t="s">
        <v>19</v>
      </c>
      <c r="K119" s="2" t="s">
        <v>3554</v>
      </c>
      <c r="L119" s="7" t="str">
        <f>HYPERLINK("http://slimages.macys.com/is/image/MCY/13041414 ")</f>
        <v xml:space="preserve">http://slimages.macys.com/is/image/MCY/13041414 </v>
      </c>
    </row>
    <row r="120" spans="1:12" ht="24.75" x14ac:dyDescent="0.25">
      <c r="A120" s="4" t="s">
        <v>2409</v>
      </c>
      <c r="B120" s="2" t="s">
        <v>768</v>
      </c>
      <c r="C120" s="3">
        <v>1</v>
      </c>
      <c r="D120" s="5">
        <v>34.880000000000003</v>
      </c>
      <c r="E120" s="3">
        <v>100054400</v>
      </c>
      <c r="F120" s="2" t="s">
        <v>64</v>
      </c>
      <c r="G120" s="6" t="s">
        <v>16</v>
      </c>
      <c r="H120" s="2" t="s">
        <v>194</v>
      </c>
      <c r="I120" s="2" t="s">
        <v>195</v>
      </c>
      <c r="J120" s="2" t="s">
        <v>19</v>
      </c>
      <c r="K120" s="2" t="s">
        <v>546</v>
      </c>
      <c r="L120" s="7" t="str">
        <f>HYPERLINK("http://slimages.macys.com/is/image/MCY/12850455 ")</f>
        <v xml:space="preserve">http://slimages.macys.com/is/image/MCY/12850455 </v>
      </c>
    </row>
    <row r="121" spans="1:12" ht="24.75" x14ac:dyDescent="0.25">
      <c r="A121" s="4" t="s">
        <v>767</v>
      </c>
      <c r="B121" s="2" t="s">
        <v>768</v>
      </c>
      <c r="C121" s="3">
        <v>1</v>
      </c>
      <c r="D121" s="5">
        <v>34.880000000000003</v>
      </c>
      <c r="E121" s="3">
        <v>100054400</v>
      </c>
      <c r="F121" s="2" t="s">
        <v>64</v>
      </c>
      <c r="G121" s="6" t="s">
        <v>22</v>
      </c>
      <c r="H121" s="2" t="s">
        <v>194</v>
      </c>
      <c r="I121" s="2" t="s">
        <v>195</v>
      </c>
      <c r="J121" s="2" t="s">
        <v>19</v>
      </c>
      <c r="K121" s="2" t="s">
        <v>546</v>
      </c>
      <c r="L121" s="7" t="str">
        <f>HYPERLINK("http://slimages.macys.com/is/image/MCY/12850455 ")</f>
        <v xml:space="preserve">http://slimages.macys.com/is/image/MCY/12850455 </v>
      </c>
    </row>
    <row r="122" spans="1:12" ht="24.75" x14ac:dyDescent="0.25">
      <c r="A122" s="4" t="s">
        <v>2407</v>
      </c>
      <c r="B122" s="2" t="s">
        <v>768</v>
      </c>
      <c r="C122" s="3">
        <v>1</v>
      </c>
      <c r="D122" s="5">
        <v>34.880000000000003</v>
      </c>
      <c r="E122" s="3">
        <v>100054400</v>
      </c>
      <c r="F122" s="2" t="s">
        <v>64</v>
      </c>
      <c r="G122" s="6" t="s">
        <v>58</v>
      </c>
      <c r="H122" s="2" t="s">
        <v>194</v>
      </c>
      <c r="I122" s="2" t="s">
        <v>195</v>
      </c>
      <c r="J122" s="2" t="s">
        <v>19</v>
      </c>
      <c r="K122" s="2" t="s">
        <v>546</v>
      </c>
      <c r="L122" s="7" t="str">
        <f>HYPERLINK("http://slimages.macys.com/is/image/MCY/12850455 ")</f>
        <v xml:space="preserve">http://slimages.macys.com/is/image/MCY/12850455 </v>
      </c>
    </row>
    <row r="123" spans="1:12" ht="36.75" x14ac:dyDescent="0.25">
      <c r="A123" s="4" t="s">
        <v>2408</v>
      </c>
      <c r="B123" s="2" t="s">
        <v>764</v>
      </c>
      <c r="C123" s="3">
        <v>1</v>
      </c>
      <c r="D123" s="5">
        <v>37.130000000000003</v>
      </c>
      <c r="E123" s="3" t="s">
        <v>765</v>
      </c>
      <c r="F123" s="2" t="s">
        <v>566</v>
      </c>
      <c r="G123" s="6" t="s">
        <v>154</v>
      </c>
      <c r="H123" s="2" t="s">
        <v>284</v>
      </c>
      <c r="I123" s="2" t="s">
        <v>458</v>
      </c>
      <c r="J123" s="2" t="s">
        <v>19</v>
      </c>
      <c r="K123" s="2" t="s">
        <v>514</v>
      </c>
      <c r="L123" s="7" t="str">
        <f>HYPERLINK("http://slimages.macys.com/is/image/MCY/13804604 ")</f>
        <v xml:space="preserve">http://slimages.macys.com/is/image/MCY/13804604 </v>
      </c>
    </row>
    <row r="124" spans="1:12" ht="36.75" x14ac:dyDescent="0.25">
      <c r="A124" s="4" t="s">
        <v>763</v>
      </c>
      <c r="B124" s="2" t="s">
        <v>764</v>
      </c>
      <c r="C124" s="3">
        <v>1</v>
      </c>
      <c r="D124" s="5">
        <v>37.130000000000003</v>
      </c>
      <c r="E124" s="3" t="s">
        <v>765</v>
      </c>
      <c r="F124" s="2" t="s">
        <v>566</v>
      </c>
      <c r="G124" s="6" t="s">
        <v>181</v>
      </c>
      <c r="H124" s="2" t="s">
        <v>284</v>
      </c>
      <c r="I124" s="2" t="s">
        <v>458</v>
      </c>
      <c r="J124" s="2" t="s">
        <v>19</v>
      </c>
      <c r="K124" s="2" t="s">
        <v>514</v>
      </c>
      <c r="L124" s="7" t="str">
        <f>HYPERLINK("http://slimages.macys.com/is/image/MCY/13804604 ")</f>
        <v xml:space="preserve">http://slimages.macys.com/is/image/MCY/13804604 </v>
      </c>
    </row>
    <row r="125" spans="1:12" ht="24.75" x14ac:dyDescent="0.25">
      <c r="A125" s="4" t="s">
        <v>7975</v>
      </c>
      <c r="B125" s="2" t="s">
        <v>768</v>
      </c>
      <c r="C125" s="3">
        <v>2</v>
      </c>
      <c r="D125" s="5">
        <v>34.880000000000003</v>
      </c>
      <c r="E125" s="3">
        <v>100054400</v>
      </c>
      <c r="F125" s="2" t="s">
        <v>64</v>
      </c>
      <c r="G125" s="6" t="s">
        <v>27</v>
      </c>
      <c r="H125" s="2" t="s">
        <v>194</v>
      </c>
      <c r="I125" s="2" t="s">
        <v>195</v>
      </c>
      <c r="J125" s="2" t="s">
        <v>19</v>
      </c>
      <c r="K125" s="2" t="s">
        <v>546</v>
      </c>
      <c r="L125" s="7" t="str">
        <f>HYPERLINK("http://slimages.macys.com/is/image/MCY/12850455 ")</f>
        <v xml:space="preserve">http://slimages.macys.com/is/image/MCY/12850455 </v>
      </c>
    </row>
    <row r="126" spans="1:12" ht="48.75" x14ac:dyDescent="0.25">
      <c r="A126" s="4" t="s">
        <v>4683</v>
      </c>
      <c r="B126" s="2" t="s">
        <v>750</v>
      </c>
      <c r="C126" s="3">
        <v>1</v>
      </c>
      <c r="D126" s="5">
        <v>44.63</v>
      </c>
      <c r="E126" s="3" t="s">
        <v>770</v>
      </c>
      <c r="F126" s="2" t="s">
        <v>752</v>
      </c>
      <c r="G126" s="6"/>
      <c r="H126" s="2" t="s">
        <v>312</v>
      </c>
      <c r="I126" s="2" t="s">
        <v>195</v>
      </c>
      <c r="J126" s="2" t="s">
        <v>19</v>
      </c>
      <c r="K126" s="2" t="s">
        <v>771</v>
      </c>
      <c r="L126" s="7" t="str">
        <f>HYPERLINK("http://slimages.macys.com/is/image/MCY/12734332 ")</f>
        <v xml:space="preserve">http://slimages.macys.com/is/image/MCY/12734332 </v>
      </c>
    </row>
    <row r="127" spans="1:12" ht="48.75" x14ac:dyDescent="0.25">
      <c r="A127" s="4" t="s">
        <v>6419</v>
      </c>
      <c r="B127" s="2" t="s">
        <v>750</v>
      </c>
      <c r="C127" s="3">
        <v>1</v>
      </c>
      <c r="D127" s="5">
        <v>44.63</v>
      </c>
      <c r="E127" s="3" t="s">
        <v>770</v>
      </c>
      <c r="F127" s="2" t="s">
        <v>752</v>
      </c>
      <c r="G127" s="6"/>
      <c r="H127" s="2" t="s">
        <v>312</v>
      </c>
      <c r="I127" s="2" t="s">
        <v>195</v>
      </c>
      <c r="J127" s="2" t="s">
        <v>19</v>
      </c>
      <c r="K127" s="2" t="s">
        <v>771</v>
      </c>
      <c r="L127" s="7" t="str">
        <f>HYPERLINK("http://slimages.macys.com/is/image/MCY/12734332 ")</f>
        <v xml:space="preserve">http://slimages.macys.com/is/image/MCY/12734332 </v>
      </c>
    </row>
    <row r="128" spans="1:12" ht="48.75" x14ac:dyDescent="0.25">
      <c r="A128" s="4" t="s">
        <v>9002</v>
      </c>
      <c r="B128" s="2" t="s">
        <v>773</v>
      </c>
      <c r="C128" s="3">
        <v>1</v>
      </c>
      <c r="D128" s="5">
        <v>37.130000000000003</v>
      </c>
      <c r="E128" s="3" t="s">
        <v>774</v>
      </c>
      <c r="F128" s="2" t="s">
        <v>26</v>
      </c>
      <c r="G128" s="6"/>
      <c r="H128" s="2" t="s">
        <v>632</v>
      </c>
      <c r="I128" s="2" t="s">
        <v>408</v>
      </c>
      <c r="J128" s="2" t="s">
        <v>19</v>
      </c>
      <c r="K128" s="2" t="s">
        <v>775</v>
      </c>
      <c r="L128" s="7" t="str">
        <f>HYPERLINK("http://slimages.macys.com/is/image/MCY/12876503 ")</f>
        <v xml:space="preserve">http://slimages.macys.com/is/image/MCY/12876503 </v>
      </c>
    </row>
    <row r="129" spans="1:12" ht="24.75" x14ac:dyDescent="0.25">
      <c r="A129" s="4" t="s">
        <v>776</v>
      </c>
      <c r="B129" s="2" t="s">
        <v>777</v>
      </c>
      <c r="C129" s="3">
        <v>1</v>
      </c>
      <c r="D129" s="5">
        <v>34.880000000000003</v>
      </c>
      <c r="E129" s="3" t="s">
        <v>778</v>
      </c>
      <c r="F129" s="2" t="s">
        <v>74</v>
      </c>
      <c r="G129" s="6"/>
      <c r="H129" s="2" t="s">
        <v>312</v>
      </c>
      <c r="I129" s="2" t="s">
        <v>503</v>
      </c>
      <c r="J129" s="2" t="s">
        <v>19</v>
      </c>
      <c r="K129" s="2" t="s">
        <v>353</v>
      </c>
      <c r="L129" s="7" t="str">
        <f>HYPERLINK("http://slimages.macys.com/is/image/MCY/11146051 ")</f>
        <v xml:space="preserve">http://slimages.macys.com/is/image/MCY/11146051 </v>
      </c>
    </row>
    <row r="130" spans="1:12" ht="24.75" x14ac:dyDescent="0.25">
      <c r="A130" s="4" t="s">
        <v>5609</v>
      </c>
      <c r="B130" s="2" t="s">
        <v>777</v>
      </c>
      <c r="C130" s="3">
        <v>1</v>
      </c>
      <c r="D130" s="5">
        <v>34.880000000000003</v>
      </c>
      <c r="E130" s="3" t="s">
        <v>778</v>
      </c>
      <c r="F130" s="2" t="s">
        <v>506</v>
      </c>
      <c r="G130" s="6"/>
      <c r="H130" s="2" t="s">
        <v>312</v>
      </c>
      <c r="I130" s="2" t="s">
        <v>503</v>
      </c>
      <c r="J130" s="2" t="s">
        <v>19</v>
      </c>
      <c r="K130" s="2" t="s">
        <v>353</v>
      </c>
      <c r="L130" s="7" t="str">
        <f>HYPERLINK("http://slimages.macys.com/is/image/MCY/11146051 ")</f>
        <v xml:space="preserve">http://slimages.macys.com/is/image/MCY/11146051 </v>
      </c>
    </row>
    <row r="131" spans="1:12" ht="24.75" x14ac:dyDescent="0.25">
      <c r="A131" s="4" t="s">
        <v>4689</v>
      </c>
      <c r="B131" s="2" t="s">
        <v>777</v>
      </c>
      <c r="C131" s="3">
        <v>1</v>
      </c>
      <c r="D131" s="5">
        <v>34.880000000000003</v>
      </c>
      <c r="E131" s="3" t="s">
        <v>778</v>
      </c>
      <c r="F131" s="2" t="s">
        <v>506</v>
      </c>
      <c r="G131" s="6"/>
      <c r="H131" s="2" t="s">
        <v>312</v>
      </c>
      <c r="I131" s="2" t="s">
        <v>503</v>
      </c>
      <c r="J131" s="2" t="s">
        <v>19</v>
      </c>
      <c r="K131" s="2" t="s">
        <v>353</v>
      </c>
      <c r="L131" s="7" t="str">
        <f>HYPERLINK("http://slimages.macys.com/is/image/MCY/11146051 ")</f>
        <v xml:space="preserve">http://slimages.macys.com/is/image/MCY/11146051 </v>
      </c>
    </row>
    <row r="132" spans="1:12" ht="36.75" x14ac:dyDescent="0.25">
      <c r="A132" s="4" t="s">
        <v>9003</v>
      </c>
      <c r="B132" s="2" t="s">
        <v>3572</v>
      </c>
      <c r="C132" s="3">
        <v>1</v>
      </c>
      <c r="D132" s="5">
        <v>34.979999999999997</v>
      </c>
      <c r="E132" s="3" t="s">
        <v>3573</v>
      </c>
      <c r="F132" s="2" t="s">
        <v>417</v>
      </c>
      <c r="G132" s="6" t="s">
        <v>499</v>
      </c>
      <c r="H132" s="2" t="s">
        <v>349</v>
      </c>
      <c r="I132" s="2" t="s">
        <v>408</v>
      </c>
      <c r="J132" s="2" t="s">
        <v>19</v>
      </c>
      <c r="K132" s="2" t="s">
        <v>3579</v>
      </c>
      <c r="L132" s="7" t="str">
        <f>HYPERLINK("http://slimages.macys.com/is/image/MCY/1697450 ")</f>
        <v xml:space="preserve">http://slimages.macys.com/is/image/MCY/1697450 </v>
      </c>
    </row>
    <row r="133" spans="1:12" ht="36.75" x14ac:dyDescent="0.25">
      <c r="A133" s="4" t="s">
        <v>9004</v>
      </c>
      <c r="B133" s="2" t="s">
        <v>3572</v>
      </c>
      <c r="C133" s="3">
        <v>1</v>
      </c>
      <c r="D133" s="5">
        <v>34.979999999999997</v>
      </c>
      <c r="E133" s="3" t="s">
        <v>3573</v>
      </c>
      <c r="F133" s="2" t="s">
        <v>38</v>
      </c>
      <c r="G133" s="6" t="s">
        <v>499</v>
      </c>
      <c r="H133" s="2" t="s">
        <v>349</v>
      </c>
      <c r="I133" s="2" t="s">
        <v>408</v>
      </c>
      <c r="J133" s="2" t="s">
        <v>19</v>
      </c>
      <c r="K133" s="2" t="s">
        <v>3579</v>
      </c>
      <c r="L133" s="7" t="str">
        <f>HYPERLINK("http://slimages.macys.com/is/image/MCY/1697450 ")</f>
        <v xml:space="preserve">http://slimages.macys.com/is/image/MCY/1697450 </v>
      </c>
    </row>
    <row r="134" spans="1:12" ht="24.75" x14ac:dyDescent="0.25">
      <c r="A134" s="4" t="s">
        <v>9005</v>
      </c>
      <c r="B134" s="2" t="s">
        <v>9006</v>
      </c>
      <c r="C134" s="3">
        <v>1</v>
      </c>
      <c r="D134" s="5">
        <v>39.99</v>
      </c>
      <c r="E134" s="3" t="s">
        <v>9007</v>
      </c>
      <c r="F134" s="2" t="s">
        <v>1584</v>
      </c>
      <c r="G134" s="6" t="s">
        <v>156</v>
      </c>
      <c r="H134" s="2" t="s">
        <v>246</v>
      </c>
      <c r="I134" s="2" t="s">
        <v>189</v>
      </c>
      <c r="J134" s="2" t="s">
        <v>19</v>
      </c>
      <c r="K134" s="2" t="s">
        <v>1480</v>
      </c>
      <c r="L134" s="7" t="str">
        <f>HYPERLINK("http://slimages.macys.com/is/image/MCY/12226167 ")</f>
        <v xml:space="preserve">http://slimages.macys.com/is/image/MCY/12226167 </v>
      </c>
    </row>
    <row r="135" spans="1:12" ht="24.75" x14ac:dyDescent="0.25">
      <c r="A135" s="4" t="s">
        <v>9008</v>
      </c>
      <c r="B135" s="2" t="s">
        <v>4691</v>
      </c>
      <c r="C135" s="3">
        <v>1</v>
      </c>
      <c r="D135" s="5">
        <v>36.75</v>
      </c>
      <c r="E135" s="3">
        <v>100060495</v>
      </c>
      <c r="F135" s="2" t="s">
        <v>89</v>
      </c>
      <c r="G135" s="6" t="s">
        <v>141</v>
      </c>
      <c r="H135" s="2" t="s">
        <v>228</v>
      </c>
      <c r="I135" s="2" t="s">
        <v>229</v>
      </c>
      <c r="J135" s="2" t="s">
        <v>19</v>
      </c>
      <c r="K135" s="2" t="s">
        <v>230</v>
      </c>
      <c r="L135" s="7" t="str">
        <f>HYPERLINK("http://slimages.macys.com/is/image/MCY/12316599 ")</f>
        <v xml:space="preserve">http://slimages.macys.com/is/image/MCY/12316599 </v>
      </c>
    </row>
    <row r="136" spans="1:12" ht="24.75" x14ac:dyDescent="0.25">
      <c r="A136" s="4" t="s">
        <v>809</v>
      </c>
      <c r="B136" s="2" t="s">
        <v>808</v>
      </c>
      <c r="C136" s="3">
        <v>1</v>
      </c>
      <c r="D136" s="5">
        <v>37.130000000000003</v>
      </c>
      <c r="E136" s="3">
        <v>100013676</v>
      </c>
      <c r="F136" s="2" t="s">
        <v>53</v>
      </c>
      <c r="G136" s="6" t="s">
        <v>234</v>
      </c>
      <c r="H136" s="2" t="s">
        <v>194</v>
      </c>
      <c r="I136" s="2" t="s">
        <v>503</v>
      </c>
      <c r="J136" s="2" t="s">
        <v>19</v>
      </c>
      <c r="K136" s="2" t="s">
        <v>546</v>
      </c>
      <c r="L136" s="7" t="str">
        <f>HYPERLINK("http://slimages.macys.com/is/image/MCY/9340718 ")</f>
        <v xml:space="preserve">http://slimages.macys.com/is/image/MCY/9340718 </v>
      </c>
    </row>
    <row r="137" spans="1:12" ht="24.75" x14ac:dyDescent="0.25">
      <c r="A137" s="4" t="s">
        <v>9009</v>
      </c>
      <c r="B137" s="2" t="s">
        <v>9010</v>
      </c>
      <c r="C137" s="3">
        <v>1</v>
      </c>
      <c r="D137" s="5">
        <v>37.130000000000003</v>
      </c>
      <c r="E137" s="3" t="s">
        <v>9011</v>
      </c>
      <c r="F137" s="2" t="s">
        <v>74</v>
      </c>
      <c r="G137" s="6" t="s">
        <v>154</v>
      </c>
      <c r="H137" s="2" t="s">
        <v>284</v>
      </c>
      <c r="I137" s="2" t="s">
        <v>458</v>
      </c>
      <c r="J137" s="2" t="s">
        <v>19</v>
      </c>
      <c r="K137" s="2" t="s">
        <v>160</v>
      </c>
      <c r="L137" s="7" t="str">
        <f>HYPERLINK("http://slimages.macys.com/is/image/MCY/13580929 ")</f>
        <v xml:space="preserve">http://slimages.macys.com/is/image/MCY/13580929 </v>
      </c>
    </row>
    <row r="138" spans="1:12" ht="24.75" x14ac:dyDescent="0.25">
      <c r="A138" s="4" t="s">
        <v>810</v>
      </c>
      <c r="B138" s="2" t="s">
        <v>811</v>
      </c>
      <c r="C138" s="3">
        <v>1</v>
      </c>
      <c r="D138" s="5">
        <v>37.130000000000003</v>
      </c>
      <c r="E138" s="3" t="s">
        <v>812</v>
      </c>
      <c r="F138" s="2" t="s">
        <v>170</v>
      </c>
      <c r="G138" s="6" t="s">
        <v>181</v>
      </c>
      <c r="H138" s="2" t="s">
        <v>194</v>
      </c>
      <c r="I138" s="2" t="s">
        <v>195</v>
      </c>
      <c r="J138" s="2" t="s">
        <v>19</v>
      </c>
      <c r="K138" s="2" t="s">
        <v>160</v>
      </c>
      <c r="L138" s="7" t="str">
        <f>HYPERLINK("http://slimages.macys.com/is/image/MCY/11804348 ")</f>
        <v xml:space="preserve">http://slimages.macys.com/is/image/MCY/11804348 </v>
      </c>
    </row>
    <row r="139" spans="1:12" ht="24.75" x14ac:dyDescent="0.25">
      <c r="A139" s="4" t="s">
        <v>9012</v>
      </c>
      <c r="B139" s="2" t="s">
        <v>815</v>
      </c>
      <c r="C139" s="3">
        <v>1</v>
      </c>
      <c r="D139" s="5">
        <v>44.63</v>
      </c>
      <c r="E139" s="3" t="s">
        <v>816</v>
      </c>
      <c r="F139" s="2" t="s">
        <v>26</v>
      </c>
      <c r="G139" s="6" t="s">
        <v>16</v>
      </c>
      <c r="H139" s="2" t="s">
        <v>246</v>
      </c>
      <c r="I139" s="2" t="s">
        <v>487</v>
      </c>
      <c r="J139" s="2" t="s">
        <v>19</v>
      </c>
      <c r="K139" s="2" t="s">
        <v>409</v>
      </c>
      <c r="L139" s="7" t="str">
        <f>HYPERLINK("http://slimages.macys.com/is/image/MCY/12893394 ")</f>
        <v xml:space="preserve">http://slimages.macys.com/is/image/MCY/12893394 </v>
      </c>
    </row>
    <row r="140" spans="1:12" ht="24.75" x14ac:dyDescent="0.25">
      <c r="A140" s="4" t="s">
        <v>2432</v>
      </c>
      <c r="B140" s="2" t="s">
        <v>818</v>
      </c>
      <c r="C140" s="3">
        <v>2</v>
      </c>
      <c r="D140" s="5">
        <v>36.5</v>
      </c>
      <c r="E140" s="3" t="s">
        <v>819</v>
      </c>
      <c r="F140" s="2" t="s">
        <v>820</v>
      </c>
      <c r="G140" s="6" t="s">
        <v>181</v>
      </c>
      <c r="H140" s="2" t="s">
        <v>194</v>
      </c>
      <c r="I140" s="2" t="s">
        <v>195</v>
      </c>
      <c r="J140" s="2" t="s">
        <v>19</v>
      </c>
      <c r="K140" s="2" t="s">
        <v>201</v>
      </c>
      <c r="L140" s="7" t="str">
        <f>HYPERLINK("http://slimages.macys.com/is/image/MCY/11935616 ")</f>
        <v xml:space="preserve">http://slimages.macys.com/is/image/MCY/11935616 </v>
      </c>
    </row>
    <row r="141" spans="1:12" ht="24.75" x14ac:dyDescent="0.25">
      <c r="A141" s="4" t="s">
        <v>817</v>
      </c>
      <c r="B141" s="2" t="s">
        <v>818</v>
      </c>
      <c r="C141" s="3">
        <v>1</v>
      </c>
      <c r="D141" s="5">
        <v>36.5</v>
      </c>
      <c r="E141" s="3" t="s">
        <v>819</v>
      </c>
      <c r="F141" s="2" t="s">
        <v>820</v>
      </c>
      <c r="G141" s="6" t="s">
        <v>234</v>
      </c>
      <c r="H141" s="2" t="s">
        <v>194</v>
      </c>
      <c r="I141" s="2" t="s">
        <v>195</v>
      </c>
      <c r="J141" s="2" t="s">
        <v>19</v>
      </c>
      <c r="K141" s="2" t="s">
        <v>201</v>
      </c>
      <c r="L141" s="7" t="str">
        <f>HYPERLINK("http://slimages.macys.com/is/image/MCY/11935616 ")</f>
        <v xml:space="preserve">http://slimages.macys.com/is/image/MCY/11935616 </v>
      </c>
    </row>
    <row r="142" spans="1:12" ht="24.75" x14ac:dyDescent="0.25">
      <c r="A142" s="4" t="s">
        <v>821</v>
      </c>
      <c r="B142" s="2" t="s">
        <v>818</v>
      </c>
      <c r="C142" s="3">
        <v>3</v>
      </c>
      <c r="D142" s="5">
        <v>36.5</v>
      </c>
      <c r="E142" s="3" t="s">
        <v>819</v>
      </c>
      <c r="F142" s="2" t="s">
        <v>820</v>
      </c>
      <c r="G142" s="6" t="s">
        <v>154</v>
      </c>
      <c r="H142" s="2" t="s">
        <v>194</v>
      </c>
      <c r="I142" s="2" t="s">
        <v>195</v>
      </c>
      <c r="J142" s="2" t="s">
        <v>19</v>
      </c>
      <c r="K142" s="2" t="s">
        <v>201</v>
      </c>
      <c r="L142" s="7" t="str">
        <f>HYPERLINK("http://slimages.macys.com/is/image/MCY/11935616 ")</f>
        <v xml:space="preserve">http://slimages.macys.com/is/image/MCY/11935616 </v>
      </c>
    </row>
    <row r="143" spans="1:12" ht="24.75" x14ac:dyDescent="0.25">
      <c r="A143" s="4" t="s">
        <v>2435</v>
      </c>
      <c r="B143" s="2" t="s">
        <v>824</v>
      </c>
      <c r="C143" s="3">
        <v>3</v>
      </c>
      <c r="D143" s="5">
        <v>36.5</v>
      </c>
      <c r="E143" s="3" t="s">
        <v>825</v>
      </c>
      <c r="F143" s="2" t="s">
        <v>26</v>
      </c>
      <c r="G143" s="6" t="s">
        <v>154</v>
      </c>
      <c r="H143" s="2" t="s">
        <v>194</v>
      </c>
      <c r="I143" s="2" t="s">
        <v>307</v>
      </c>
      <c r="J143" s="2" t="s">
        <v>19</v>
      </c>
      <c r="K143" s="2" t="s">
        <v>160</v>
      </c>
      <c r="L143" s="7" t="str">
        <f>HYPERLINK("http://slimages.macys.com/is/image/MCY/11936006 ")</f>
        <v xml:space="preserve">http://slimages.macys.com/is/image/MCY/11936006 </v>
      </c>
    </row>
    <row r="144" spans="1:12" ht="24.75" x14ac:dyDescent="0.25">
      <c r="A144" s="4" t="s">
        <v>9013</v>
      </c>
      <c r="B144" s="2" t="s">
        <v>824</v>
      </c>
      <c r="C144" s="3">
        <v>1</v>
      </c>
      <c r="D144" s="5">
        <v>36.5</v>
      </c>
      <c r="E144" s="3" t="s">
        <v>825</v>
      </c>
      <c r="F144" s="2" t="s">
        <v>26</v>
      </c>
      <c r="G144" s="6" t="s">
        <v>245</v>
      </c>
      <c r="H144" s="2" t="s">
        <v>194</v>
      </c>
      <c r="I144" s="2" t="s">
        <v>307</v>
      </c>
      <c r="J144" s="2" t="s">
        <v>19</v>
      </c>
      <c r="K144" s="2" t="s">
        <v>160</v>
      </c>
      <c r="L144" s="7" t="str">
        <f>HYPERLINK("http://slimages.macys.com/is/image/MCY/11936006 ")</f>
        <v xml:space="preserve">http://slimages.macys.com/is/image/MCY/11936006 </v>
      </c>
    </row>
    <row r="145" spans="1:12" ht="24.75" x14ac:dyDescent="0.25">
      <c r="A145" s="4" t="s">
        <v>6441</v>
      </c>
      <c r="B145" s="2" t="s">
        <v>827</v>
      </c>
      <c r="C145" s="3">
        <v>1</v>
      </c>
      <c r="D145" s="5">
        <v>37.130000000000003</v>
      </c>
      <c r="E145" s="3">
        <v>100009535</v>
      </c>
      <c r="F145" s="2" t="s">
        <v>376</v>
      </c>
      <c r="G145" s="6" t="s">
        <v>141</v>
      </c>
      <c r="H145" s="2" t="s">
        <v>194</v>
      </c>
      <c r="I145" s="2" t="s">
        <v>503</v>
      </c>
      <c r="J145" s="2" t="s">
        <v>19</v>
      </c>
      <c r="K145" s="2" t="s">
        <v>353</v>
      </c>
      <c r="L145" s="7" t="str">
        <f>HYPERLINK("http://slimages.macys.com/is/image/MCY/9340634 ")</f>
        <v xml:space="preserve">http://slimages.macys.com/is/image/MCY/9340634 </v>
      </c>
    </row>
    <row r="146" spans="1:12" ht="24.75" x14ac:dyDescent="0.25">
      <c r="A146" s="4" t="s">
        <v>2444</v>
      </c>
      <c r="B146" s="2" t="s">
        <v>2439</v>
      </c>
      <c r="C146" s="3">
        <v>1</v>
      </c>
      <c r="D146" s="5">
        <v>44.63</v>
      </c>
      <c r="E146" s="3" t="s">
        <v>2440</v>
      </c>
      <c r="F146" s="2" t="s">
        <v>956</v>
      </c>
      <c r="G146" s="6" t="s">
        <v>181</v>
      </c>
      <c r="H146" s="2" t="s">
        <v>194</v>
      </c>
      <c r="I146" s="2" t="s">
        <v>195</v>
      </c>
      <c r="J146" s="2" t="s">
        <v>19</v>
      </c>
      <c r="K146" s="2" t="s">
        <v>34</v>
      </c>
      <c r="L146" s="7" t="str">
        <f>HYPERLINK("http://slimages.macys.com/is/image/MCY/11527019 ")</f>
        <v xml:space="preserve">http://slimages.macys.com/is/image/MCY/11527019 </v>
      </c>
    </row>
    <row r="147" spans="1:12" ht="24.75" x14ac:dyDescent="0.25">
      <c r="A147" s="4" t="s">
        <v>9014</v>
      </c>
      <c r="B147" s="2" t="s">
        <v>827</v>
      </c>
      <c r="C147" s="3">
        <v>1</v>
      </c>
      <c r="D147" s="5">
        <v>37.130000000000003</v>
      </c>
      <c r="E147" s="3">
        <v>100009535</v>
      </c>
      <c r="F147" s="2" t="s">
        <v>566</v>
      </c>
      <c r="G147" s="6" t="s">
        <v>58</v>
      </c>
      <c r="H147" s="2" t="s">
        <v>194</v>
      </c>
      <c r="I147" s="2" t="s">
        <v>503</v>
      </c>
      <c r="J147" s="2" t="s">
        <v>19</v>
      </c>
      <c r="K147" s="2" t="s">
        <v>353</v>
      </c>
      <c r="L147" s="7" t="str">
        <f>HYPERLINK("http://slimages.macys.com/is/image/MCY/9340634 ")</f>
        <v xml:space="preserve">http://slimages.macys.com/is/image/MCY/9340634 </v>
      </c>
    </row>
    <row r="148" spans="1:12" ht="24.75" x14ac:dyDescent="0.25">
      <c r="A148" s="4" t="s">
        <v>8010</v>
      </c>
      <c r="B148" s="2" t="s">
        <v>827</v>
      </c>
      <c r="C148" s="3">
        <v>3</v>
      </c>
      <c r="D148" s="5">
        <v>37.130000000000003</v>
      </c>
      <c r="E148" s="3">
        <v>100009535</v>
      </c>
      <c r="F148" s="2" t="s">
        <v>15</v>
      </c>
      <c r="G148" s="6" t="s">
        <v>141</v>
      </c>
      <c r="H148" s="2" t="s">
        <v>194</v>
      </c>
      <c r="I148" s="2" t="s">
        <v>503</v>
      </c>
      <c r="J148" s="2" t="s">
        <v>19</v>
      </c>
      <c r="K148" s="2" t="s">
        <v>353</v>
      </c>
      <c r="L148" s="7" t="str">
        <f>HYPERLINK("http://slimages.macys.com/is/image/MCY/9340634 ")</f>
        <v xml:space="preserve">http://slimages.macys.com/is/image/MCY/9340634 </v>
      </c>
    </row>
    <row r="149" spans="1:12" ht="24.75" x14ac:dyDescent="0.25">
      <c r="A149" s="4" t="s">
        <v>9015</v>
      </c>
      <c r="B149" s="2" t="s">
        <v>827</v>
      </c>
      <c r="C149" s="3">
        <v>1</v>
      </c>
      <c r="D149" s="5">
        <v>37.130000000000003</v>
      </c>
      <c r="E149" s="3">
        <v>100009535</v>
      </c>
      <c r="F149" s="2" t="s">
        <v>26</v>
      </c>
      <c r="G149" s="6" t="s">
        <v>65</v>
      </c>
      <c r="H149" s="2" t="s">
        <v>194</v>
      </c>
      <c r="I149" s="2" t="s">
        <v>503</v>
      </c>
      <c r="J149" s="2" t="s">
        <v>19</v>
      </c>
      <c r="K149" s="2" t="s">
        <v>353</v>
      </c>
      <c r="L149" s="7" t="str">
        <f>HYPERLINK("http://slimages.macys.com/is/image/MCY/9450411 ")</f>
        <v xml:space="preserve">http://slimages.macys.com/is/image/MCY/9450411 </v>
      </c>
    </row>
    <row r="150" spans="1:12" ht="24.75" x14ac:dyDescent="0.25">
      <c r="A150" s="4" t="s">
        <v>5623</v>
      </c>
      <c r="B150" s="2" t="s">
        <v>827</v>
      </c>
      <c r="C150" s="3">
        <v>1</v>
      </c>
      <c r="D150" s="5">
        <v>37.130000000000003</v>
      </c>
      <c r="E150" s="3">
        <v>100009535</v>
      </c>
      <c r="F150" s="2" t="s">
        <v>376</v>
      </c>
      <c r="G150" s="6" t="s">
        <v>16</v>
      </c>
      <c r="H150" s="2" t="s">
        <v>194</v>
      </c>
      <c r="I150" s="2" t="s">
        <v>503</v>
      </c>
      <c r="J150" s="2" t="s">
        <v>19</v>
      </c>
      <c r="K150" s="2" t="s">
        <v>353</v>
      </c>
      <c r="L150" s="7" t="str">
        <f>HYPERLINK("http://slimages.macys.com/is/image/MCY/9340634 ")</f>
        <v xml:space="preserve">http://slimages.macys.com/is/image/MCY/9340634 </v>
      </c>
    </row>
    <row r="151" spans="1:12" ht="24.75" x14ac:dyDescent="0.25">
      <c r="A151" s="4" t="s">
        <v>6439</v>
      </c>
      <c r="B151" s="2" t="s">
        <v>827</v>
      </c>
      <c r="C151" s="3">
        <v>1</v>
      </c>
      <c r="D151" s="5">
        <v>37.130000000000003</v>
      </c>
      <c r="E151" s="3">
        <v>100009535</v>
      </c>
      <c r="F151" s="2" t="s">
        <v>566</v>
      </c>
      <c r="G151" s="6" t="s">
        <v>27</v>
      </c>
      <c r="H151" s="2" t="s">
        <v>194</v>
      </c>
      <c r="I151" s="2" t="s">
        <v>503</v>
      </c>
      <c r="J151" s="2" t="s">
        <v>19</v>
      </c>
      <c r="K151" s="2" t="s">
        <v>353</v>
      </c>
      <c r="L151" s="7" t="str">
        <f>HYPERLINK("http://slimages.macys.com/is/image/MCY/9340634 ")</f>
        <v xml:space="preserve">http://slimages.macys.com/is/image/MCY/9340634 </v>
      </c>
    </row>
    <row r="152" spans="1:12" ht="24.75" x14ac:dyDescent="0.25">
      <c r="A152" s="4" t="s">
        <v>2445</v>
      </c>
      <c r="B152" s="2" t="s">
        <v>2439</v>
      </c>
      <c r="C152" s="3">
        <v>1</v>
      </c>
      <c r="D152" s="5">
        <v>44.63</v>
      </c>
      <c r="E152" s="3" t="s">
        <v>2440</v>
      </c>
      <c r="F152" s="2" t="s">
        <v>956</v>
      </c>
      <c r="G152" s="6" t="s">
        <v>154</v>
      </c>
      <c r="H152" s="2" t="s">
        <v>194</v>
      </c>
      <c r="I152" s="2" t="s">
        <v>195</v>
      </c>
      <c r="J152" s="2" t="s">
        <v>19</v>
      </c>
      <c r="K152" s="2" t="s">
        <v>34</v>
      </c>
      <c r="L152" s="7" t="str">
        <f>HYPERLINK("http://slimages.macys.com/is/image/MCY/11527019 ")</f>
        <v xml:space="preserve">http://slimages.macys.com/is/image/MCY/11527019 </v>
      </c>
    </row>
    <row r="153" spans="1:12" ht="24.75" x14ac:dyDescent="0.25">
      <c r="A153" s="4" t="s">
        <v>8011</v>
      </c>
      <c r="B153" s="2" t="s">
        <v>827</v>
      </c>
      <c r="C153" s="3">
        <v>1</v>
      </c>
      <c r="D153" s="5">
        <v>37.130000000000003</v>
      </c>
      <c r="E153" s="3">
        <v>100009535</v>
      </c>
      <c r="F153" s="2" t="s">
        <v>15</v>
      </c>
      <c r="G153" s="6" t="s">
        <v>65</v>
      </c>
      <c r="H153" s="2" t="s">
        <v>194</v>
      </c>
      <c r="I153" s="2" t="s">
        <v>503</v>
      </c>
      <c r="J153" s="2" t="s">
        <v>19</v>
      </c>
      <c r="K153" s="2" t="s">
        <v>353</v>
      </c>
      <c r="L153" s="7" t="str">
        <f>HYPERLINK("http://slimages.macys.com/is/image/MCY/9340634 ")</f>
        <v xml:space="preserve">http://slimages.macys.com/is/image/MCY/9340634 </v>
      </c>
    </row>
    <row r="154" spans="1:12" ht="24.75" x14ac:dyDescent="0.25">
      <c r="A154" s="4" t="s">
        <v>8009</v>
      </c>
      <c r="B154" s="2" t="s">
        <v>827</v>
      </c>
      <c r="C154" s="3">
        <v>1</v>
      </c>
      <c r="D154" s="5">
        <v>37.130000000000003</v>
      </c>
      <c r="E154" s="3">
        <v>100009535</v>
      </c>
      <c r="F154" s="2" t="s">
        <v>566</v>
      </c>
      <c r="G154" s="6" t="s">
        <v>112</v>
      </c>
      <c r="H154" s="2" t="s">
        <v>194</v>
      </c>
      <c r="I154" s="2" t="s">
        <v>503</v>
      </c>
      <c r="J154" s="2" t="s">
        <v>19</v>
      </c>
      <c r="K154" s="2" t="s">
        <v>353</v>
      </c>
      <c r="L154" s="7" t="str">
        <f>HYPERLINK("http://slimages.macys.com/is/image/MCY/9340634 ")</f>
        <v xml:space="preserve">http://slimages.macys.com/is/image/MCY/9340634 </v>
      </c>
    </row>
    <row r="155" spans="1:12" ht="24.75" x14ac:dyDescent="0.25">
      <c r="A155" s="4" t="s">
        <v>9016</v>
      </c>
      <c r="B155" s="2" t="s">
        <v>827</v>
      </c>
      <c r="C155" s="3">
        <v>1</v>
      </c>
      <c r="D155" s="5">
        <v>37.130000000000003</v>
      </c>
      <c r="E155" s="3">
        <v>100009535</v>
      </c>
      <c r="F155" s="2" t="s">
        <v>15</v>
      </c>
      <c r="G155" s="6" t="s">
        <v>58</v>
      </c>
      <c r="H155" s="2" t="s">
        <v>194</v>
      </c>
      <c r="I155" s="2" t="s">
        <v>503</v>
      </c>
      <c r="J155" s="2" t="s">
        <v>19</v>
      </c>
      <c r="K155" s="2" t="s">
        <v>353</v>
      </c>
      <c r="L155" s="7" t="str">
        <f>HYPERLINK("http://slimages.macys.com/is/image/MCY/9340634 ")</f>
        <v xml:space="preserve">http://slimages.macys.com/is/image/MCY/9340634 </v>
      </c>
    </row>
    <row r="156" spans="1:12" ht="24.75" x14ac:dyDescent="0.25">
      <c r="A156" s="4" t="s">
        <v>5624</v>
      </c>
      <c r="B156" s="2" t="s">
        <v>827</v>
      </c>
      <c r="C156" s="3">
        <v>1</v>
      </c>
      <c r="D156" s="5">
        <v>37.130000000000003</v>
      </c>
      <c r="E156" s="3">
        <v>100009535</v>
      </c>
      <c r="F156" s="2" t="s">
        <v>15</v>
      </c>
      <c r="G156" s="6" t="s">
        <v>27</v>
      </c>
      <c r="H156" s="2" t="s">
        <v>194</v>
      </c>
      <c r="I156" s="2" t="s">
        <v>503</v>
      </c>
      <c r="J156" s="2" t="s">
        <v>19</v>
      </c>
      <c r="K156" s="2" t="s">
        <v>353</v>
      </c>
      <c r="L156" s="7" t="str">
        <f>HYPERLINK("http://slimages.macys.com/is/image/MCY/9340634 ")</f>
        <v xml:space="preserve">http://slimages.macys.com/is/image/MCY/9340634 </v>
      </c>
    </row>
    <row r="157" spans="1:12" ht="24.75" x14ac:dyDescent="0.25">
      <c r="A157" s="4" t="s">
        <v>9017</v>
      </c>
      <c r="B157" s="2" t="s">
        <v>6445</v>
      </c>
      <c r="C157" s="3">
        <v>1</v>
      </c>
      <c r="D157" s="5">
        <v>40.880000000000003</v>
      </c>
      <c r="E157" s="3" t="s">
        <v>6446</v>
      </c>
      <c r="F157" s="2" t="s">
        <v>417</v>
      </c>
      <c r="G157" s="6" t="s">
        <v>156</v>
      </c>
      <c r="H157" s="2" t="s">
        <v>284</v>
      </c>
      <c r="I157" s="2" t="s">
        <v>285</v>
      </c>
      <c r="J157" s="2" t="s">
        <v>19</v>
      </c>
      <c r="K157" s="2" t="s">
        <v>6447</v>
      </c>
      <c r="L157" s="7" t="str">
        <f>HYPERLINK("http://slimages.macys.com/is/image/MCY/12716783 ")</f>
        <v xml:space="preserve">http://slimages.macys.com/is/image/MCY/12716783 </v>
      </c>
    </row>
    <row r="158" spans="1:12" ht="36.75" x14ac:dyDescent="0.25">
      <c r="A158" s="4" t="s">
        <v>9018</v>
      </c>
      <c r="B158" s="2" t="s">
        <v>9019</v>
      </c>
      <c r="C158" s="3">
        <v>1</v>
      </c>
      <c r="D158" s="5">
        <v>37.130000000000003</v>
      </c>
      <c r="E158" s="3">
        <v>100015630</v>
      </c>
      <c r="F158" s="2" t="s">
        <v>74</v>
      </c>
      <c r="G158" s="6" t="s">
        <v>156</v>
      </c>
      <c r="H158" s="2" t="s">
        <v>194</v>
      </c>
      <c r="I158" s="2" t="s">
        <v>195</v>
      </c>
      <c r="J158" s="2" t="s">
        <v>19</v>
      </c>
      <c r="K158" s="2" t="s">
        <v>9020</v>
      </c>
      <c r="L158" s="7" t="str">
        <f>HYPERLINK("http://slimages.macys.com/is/image/MCY/9504685 ")</f>
        <v xml:space="preserve">http://slimages.macys.com/is/image/MCY/9504685 </v>
      </c>
    </row>
    <row r="159" spans="1:12" ht="24.75" x14ac:dyDescent="0.25">
      <c r="A159" s="4" t="s">
        <v>4715</v>
      </c>
      <c r="B159" s="2" t="s">
        <v>837</v>
      </c>
      <c r="C159" s="3">
        <v>1</v>
      </c>
      <c r="D159" s="5">
        <v>40.880000000000003</v>
      </c>
      <c r="E159" s="3" t="s">
        <v>838</v>
      </c>
      <c r="F159" s="2" t="s">
        <v>57</v>
      </c>
      <c r="G159" s="6" t="s">
        <v>363</v>
      </c>
      <c r="H159" s="2" t="s">
        <v>188</v>
      </c>
      <c r="I159" s="2" t="s">
        <v>189</v>
      </c>
      <c r="J159" s="2" t="s">
        <v>19</v>
      </c>
      <c r="K159" s="2" t="s">
        <v>839</v>
      </c>
      <c r="L159" s="7" t="str">
        <f>HYPERLINK("http://slimages.macys.com/is/image/MCY/11940229 ")</f>
        <v xml:space="preserve">http://slimages.macys.com/is/image/MCY/11940229 </v>
      </c>
    </row>
    <row r="160" spans="1:12" ht="48.75" x14ac:dyDescent="0.25">
      <c r="A160" s="4" t="s">
        <v>2454</v>
      </c>
      <c r="B160" s="2" t="s">
        <v>841</v>
      </c>
      <c r="C160" s="3">
        <v>1</v>
      </c>
      <c r="D160" s="5">
        <v>34.99</v>
      </c>
      <c r="E160" s="3" t="s">
        <v>842</v>
      </c>
      <c r="F160" s="2" t="s">
        <v>26</v>
      </c>
      <c r="G160" s="6" t="s">
        <v>499</v>
      </c>
      <c r="H160" s="2" t="s">
        <v>349</v>
      </c>
      <c r="I160" s="2" t="s">
        <v>408</v>
      </c>
      <c r="J160" s="2" t="s">
        <v>19</v>
      </c>
      <c r="K160" s="2" t="s">
        <v>787</v>
      </c>
      <c r="L160" s="7" t="str">
        <f>HYPERLINK("http://slimages.macys.com/is/image/MCY/3935281 ")</f>
        <v xml:space="preserve">http://slimages.macys.com/is/image/MCY/3935281 </v>
      </c>
    </row>
    <row r="161" spans="1:12" ht="48.75" x14ac:dyDescent="0.25">
      <c r="A161" s="4" t="s">
        <v>840</v>
      </c>
      <c r="B161" s="2" t="s">
        <v>841</v>
      </c>
      <c r="C161" s="3">
        <v>1</v>
      </c>
      <c r="D161" s="5">
        <v>34.99</v>
      </c>
      <c r="E161" s="3" t="s">
        <v>842</v>
      </c>
      <c r="F161" s="2" t="s">
        <v>26</v>
      </c>
      <c r="G161" s="6" t="s">
        <v>407</v>
      </c>
      <c r="H161" s="2" t="s">
        <v>349</v>
      </c>
      <c r="I161" s="2" t="s">
        <v>408</v>
      </c>
      <c r="J161" s="2" t="s">
        <v>19</v>
      </c>
      <c r="K161" s="2" t="s">
        <v>787</v>
      </c>
      <c r="L161" s="7" t="str">
        <f>HYPERLINK("http://slimages.macys.com/is/image/MCY/3935281 ")</f>
        <v xml:space="preserve">http://slimages.macys.com/is/image/MCY/3935281 </v>
      </c>
    </row>
    <row r="162" spans="1:12" ht="48.75" x14ac:dyDescent="0.25">
      <c r="A162" s="4" t="s">
        <v>846</v>
      </c>
      <c r="B162" s="2" t="s">
        <v>841</v>
      </c>
      <c r="C162" s="3">
        <v>1</v>
      </c>
      <c r="D162" s="5">
        <v>34.99</v>
      </c>
      <c r="E162" s="3" t="s">
        <v>842</v>
      </c>
      <c r="F162" s="2" t="s">
        <v>26</v>
      </c>
      <c r="G162" s="6" t="s">
        <v>847</v>
      </c>
      <c r="H162" s="2" t="s">
        <v>349</v>
      </c>
      <c r="I162" s="2" t="s">
        <v>408</v>
      </c>
      <c r="J162" s="2" t="s">
        <v>19</v>
      </c>
      <c r="K162" s="2" t="s">
        <v>787</v>
      </c>
      <c r="L162" s="7" t="str">
        <f>HYPERLINK("http://slimages.macys.com/is/image/MCY/3935281 ")</f>
        <v xml:space="preserve">http://slimages.macys.com/is/image/MCY/3935281 </v>
      </c>
    </row>
    <row r="163" spans="1:12" ht="48.75" x14ac:dyDescent="0.25">
      <c r="A163" s="4" t="s">
        <v>2457</v>
      </c>
      <c r="B163" s="2" t="s">
        <v>841</v>
      </c>
      <c r="C163" s="3">
        <v>1</v>
      </c>
      <c r="D163" s="5">
        <v>34.99</v>
      </c>
      <c r="E163" s="3" t="s">
        <v>842</v>
      </c>
      <c r="F163" s="2" t="s">
        <v>26</v>
      </c>
      <c r="G163" s="6" t="s">
        <v>2458</v>
      </c>
      <c r="H163" s="2" t="s">
        <v>349</v>
      </c>
      <c r="I163" s="2" t="s">
        <v>408</v>
      </c>
      <c r="J163" s="2" t="s">
        <v>19</v>
      </c>
      <c r="K163" s="2" t="s">
        <v>787</v>
      </c>
      <c r="L163" s="7" t="str">
        <f>HYPERLINK("http://slimages.macys.com/is/image/MCY/3935281 ")</f>
        <v xml:space="preserve">http://slimages.macys.com/is/image/MCY/3935281 </v>
      </c>
    </row>
    <row r="164" spans="1:12" ht="24.75" x14ac:dyDescent="0.25">
      <c r="A164" s="4" t="s">
        <v>9021</v>
      </c>
      <c r="B164" s="2" t="s">
        <v>849</v>
      </c>
      <c r="C164" s="3">
        <v>1</v>
      </c>
      <c r="D164" s="5">
        <v>40.65</v>
      </c>
      <c r="E164" s="3" t="s">
        <v>850</v>
      </c>
      <c r="F164" s="2" t="s">
        <v>74</v>
      </c>
      <c r="G164" s="6" t="s">
        <v>156</v>
      </c>
      <c r="H164" s="2" t="s">
        <v>182</v>
      </c>
      <c r="I164" s="2" t="s">
        <v>183</v>
      </c>
      <c r="J164" s="2" t="s">
        <v>19</v>
      </c>
      <c r="K164" s="2" t="s">
        <v>851</v>
      </c>
      <c r="L164" s="7" t="str">
        <f>HYPERLINK("http://slimages.macys.com/is/image/MCY/12851655 ")</f>
        <v xml:space="preserve">http://slimages.macys.com/is/image/MCY/12851655 </v>
      </c>
    </row>
    <row r="165" spans="1:12" ht="24.75" x14ac:dyDescent="0.25">
      <c r="A165" s="4" t="s">
        <v>9022</v>
      </c>
      <c r="B165" s="2" t="s">
        <v>853</v>
      </c>
      <c r="C165" s="3">
        <v>1</v>
      </c>
      <c r="D165" s="5">
        <v>37.130000000000003</v>
      </c>
      <c r="E165" s="3" t="s">
        <v>854</v>
      </c>
      <c r="F165" s="2" t="s">
        <v>74</v>
      </c>
      <c r="G165" s="6" t="s">
        <v>141</v>
      </c>
      <c r="H165" s="2" t="s">
        <v>246</v>
      </c>
      <c r="I165" s="2" t="s">
        <v>214</v>
      </c>
      <c r="J165" s="2" t="s">
        <v>19</v>
      </c>
      <c r="K165" s="2" t="s">
        <v>353</v>
      </c>
      <c r="L165" s="7" t="str">
        <f>HYPERLINK("http://slimages.macys.com/is/image/MCY/10679381 ")</f>
        <v xml:space="preserve">http://slimages.macys.com/is/image/MCY/10679381 </v>
      </c>
    </row>
    <row r="166" spans="1:12" ht="24.75" x14ac:dyDescent="0.25">
      <c r="A166" s="4" t="s">
        <v>2463</v>
      </c>
      <c r="B166" s="2" t="s">
        <v>856</v>
      </c>
      <c r="C166" s="3">
        <v>3</v>
      </c>
      <c r="D166" s="5">
        <v>48</v>
      </c>
      <c r="E166" s="3">
        <v>100013497</v>
      </c>
      <c r="F166" s="2" t="s">
        <v>252</v>
      </c>
      <c r="G166" s="6" t="s">
        <v>22</v>
      </c>
      <c r="H166" s="2" t="s">
        <v>228</v>
      </c>
      <c r="I166" s="2" t="s">
        <v>857</v>
      </c>
      <c r="J166" s="2" t="s">
        <v>19</v>
      </c>
      <c r="K166" s="2" t="s">
        <v>387</v>
      </c>
      <c r="L166" s="7" t="str">
        <f>HYPERLINK("http://slimages.macys.com/is/image/MCY/9478981 ")</f>
        <v xml:space="preserve">http://slimages.macys.com/is/image/MCY/9478981 </v>
      </c>
    </row>
    <row r="167" spans="1:12" ht="24.75" x14ac:dyDescent="0.25">
      <c r="A167" s="4" t="s">
        <v>9023</v>
      </c>
      <c r="B167" s="2" t="s">
        <v>853</v>
      </c>
      <c r="C167" s="3">
        <v>1</v>
      </c>
      <c r="D167" s="5">
        <v>37.130000000000003</v>
      </c>
      <c r="E167" s="3" t="s">
        <v>854</v>
      </c>
      <c r="F167" s="2" t="s">
        <v>74</v>
      </c>
      <c r="G167" s="6" t="s">
        <v>112</v>
      </c>
      <c r="H167" s="2" t="s">
        <v>246</v>
      </c>
      <c r="I167" s="2" t="s">
        <v>214</v>
      </c>
      <c r="J167" s="2" t="s">
        <v>19</v>
      </c>
      <c r="K167" s="2" t="s">
        <v>353</v>
      </c>
      <c r="L167" s="7" t="str">
        <f>HYPERLINK("http://slimages.macys.com/is/image/MCY/10679381 ")</f>
        <v xml:space="preserve">http://slimages.macys.com/is/image/MCY/10679381 </v>
      </c>
    </row>
    <row r="168" spans="1:12" ht="24.75" x14ac:dyDescent="0.25">
      <c r="A168" s="4" t="s">
        <v>9024</v>
      </c>
      <c r="B168" s="2" t="s">
        <v>853</v>
      </c>
      <c r="C168" s="3">
        <v>1</v>
      </c>
      <c r="D168" s="5">
        <v>37.130000000000003</v>
      </c>
      <c r="E168" s="3" t="s">
        <v>854</v>
      </c>
      <c r="F168" s="2" t="s">
        <v>74</v>
      </c>
      <c r="G168" s="6" t="s">
        <v>22</v>
      </c>
      <c r="H168" s="2" t="s">
        <v>246</v>
      </c>
      <c r="I168" s="2" t="s">
        <v>214</v>
      </c>
      <c r="J168" s="2" t="s">
        <v>19</v>
      </c>
      <c r="K168" s="2" t="s">
        <v>353</v>
      </c>
      <c r="L168" s="7" t="str">
        <f>HYPERLINK("http://slimages.macys.com/is/image/MCY/10679381 ")</f>
        <v xml:space="preserve">http://slimages.macys.com/is/image/MCY/10679381 </v>
      </c>
    </row>
    <row r="169" spans="1:12" ht="24.75" x14ac:dyDescent="0.25">
      <c r="A169" s="4" t="s">
        <v>3605</v>
      </c>
      <c r="B169" s="2" t="s">
        <v>818</v>
      </c>
      <c r="C169" s="3">
        <v>2</v>
      </c>
      <c r="D169" s="5">
        <v>36.5</v>
      </c>
      <c r="E169" s="3" t="s">
        <v>2465</v>
      </c>
      <c r="F169" s="2" t="s">
        <v>26</v>
      </c>
      <c r="G169" s="6" t="s">
        <v>154</v>
      </c>
      <c r="H169" s="2" t="s">
        <v>194</v>
      </c>
      <c r="I169" s="2" t="s">
        <v>195</v>
      </c>
      <c r="J169" s="2" t="s">
        <v>19</v>
      </c>
      <c r="K169" s="2" t="s">
        <v>247</v>
      </c>
      <c r="L169" s="7" t="str">
        <f>HYPERLINK("http://slimages.macys.com/is/image/MCY/11764566 ")</f>
        <v xml:space="preserve">http://slimages.macys.com/is/image/MCY/11764566 </v>
      </c>
    </row>
    <row r="170" spans="1:12" ht="24.75" x14ac:dyDescent="0.25">
      <c r="A170" s="4" t="s">
        <v>2464</v>
      </c>
      <c r="B170" s="2" t="s">
        <v>818</v>
      </c>
      <c r="C170" s="3">
        <v>2</v>
      </c>
      <c r="D170" s="5">
        <v>36.5</v>
      </c>
      <c r="E170" s="3" t="s">
        <v>2465</v>
      </c>
      <c r="F170" s="2" t="s">
        <v>26</v>
      </c>
      <c r="G170" s="6" t="s">
        <v>181</v>
      </c>
      <c r="H170" s="2" t="s">
        <v>194</v>
      </c>
      <c r="I170" s="2" t="s">
        <v>195</v>
      </c>
      <c r="J170" s="2" t="s">
        <v>19</v>
      </c>
      <c r="K170" s="2" t="s">
        <v>247</v>
      </c>
      <c r="L170" s="7" t="str">
        <f>HYPERLINK("http://slimages.macys.com/is/image/MCY/11764566 ")</f>
        <v xml:space="preserve">http://slimages.macys.com/is/image/MCY/11764566 </v>
      </c>
    </row>
    <row r="171" spans="1:12" ht="24.75" x14ac:dyDescent="0.25">
      <c r="A171" s="4" t="s">
        <v>9025</v>
      </c>
      <c r="B171" s="2" t="s">
        <v>859</v>
      </c>
      <c r="C171" s="3">
        <v>1</v>
      </c>
      <c r="D171" s="5">
        <v>69.5</v>
      </c>
      <c r="E171" s="3">
        <v>100052217</v>
      </c>
      <c r="F171" s="2" t="s">
        <v>74</v>
      </c>
      <c r="G171" s="6" t="s">
        <v>106</v>
      </c>
      <c r="H171" s="2" t="s">
        <v>386</v>
      </c>
      <c r="I171" s="2" t="s">
        <v>207</v>
      </c>
      <c r="J171" s="2" t="s">
        <v>19</v>
      </c>
      <c r="K171" s="2" t="s">
        <v>387</v>
      </c>
      <c r="L171" s="7" t="str">
        <f>HYPERLINK("http://slimages.macys.com/is/image/MCY/11435549 ")</f>
        <v xml:space="preserve">http://slimages.macys.com/is/image/MCY/11435549 </v>
      </c>
    </row>
    <row r="172" spans="1:12" ht="24.75" x14ac:dyDescent="0.25">
      <c r="A172" s="4" t="s">
        <v>2256</v>
      </c>
      <c r="B172" s="2" t="s">
        <v>374</v>
      </c>
      <c r="C172" s="3">
        <v>1</v>
      </c>
      <c r="D172" s="5">
        <v>52.13</v>
      </c>
      <c r="E172" s="3" t="s">
        <v>375</v>
      </c>
      <c r="F172" s="2" t="s">
        <v>170</v>
      </c>
      <c r="G172" s="6" t="s">
        <v>27</v>
      </c>
      <c r="H172" s="2" t="s">
        <v>246</v>
      </c>
      <c r="I172" s="2" t="s">
        <v>189</v>
      </c>
      <c r="J172" s="2" t="s">
        <v>19</v>
      </c>
      <c r="K172" s="2" t="s">
        <v>361</v>
      </c>
      <c r="L172" s="7" t="str">
        <f>HYPERLINK("http://slimages.macys.com/is/image/MCY/10676355 ")</f>
        <v xml:space="preserve">http://slimages.macys.com/is/image/MCY/10676355 </v>
      </c>
    </row>
    <row r="173" spans="1:12" ht="24.75" x14ac:dyDescent="0.25">
      <c r="A173" s="4" t="s">
        <v>378</v>
      </c>
      <c r="B173" s="2" t="s">
        <v>374</v>
      </c>
      <c r="C173" s="3">
        <v>1</v>
      </c>
      <c r="D173" s="5">
        <v>52.13</v>
      </c>
      <c r="E173" s="3" t="s">
        <v>375</v>
      </c>
      <c r="F173" s="2" t="s">
        <v>376</v>
      </c>
      <c r="G173" s="6" t="s">
        <v>27</v>
      </c>
      <c r="H173" s="2" t="s">
        <v>246</v>
      </c>
      <c r="I173" s="2" t="s">
        <v>189</v>
      </c>
      <c r="J173" s="2" t="s">
        <v>19</v>
      </c>
      <c r="K173" s="2" t="s">
        <v>361</v>
      </c>
      <c r="L173" s="7" t="str">
        <f>HYPERLINK("http://slimages.macys.com/is/image/MCY/10676355 ")</f>
        <v xml:space="preserve">http://slimages.macys.com/is/image/MCY/10676355 </v>
      </c>
    </row>
    <row r="174" spans="1:12" ht="24.75" x14ac:dyDescent="0.25">
      <c r="A174" s="4" t="s">
        <v>397</v>
      </c>
      <c r="B174" s="2" t="s">
        <v>374</v>
      </c>
      <c r="C174" s="3">
        <v>1</v>
      </c>
      <c r="D174" s="5">
        <v>52.13</v>
      </c>
      <c r="E174" s="3" t="s">
        <v>375</v>
      </c>
      <c r="F174" s="2" t="s">
        <v>74</v>
      </c>
      <c r="G174" s="6" t="s">
        <v>22</v>
      </c>
      <c r="H174" s="2" t="s">
        <v>246</v>
      </c>
      <c r="I174" s="2" t="s">
        <v>189</v>
      </c>
      <c r="J174" s="2" t="s">
        <v>19</v>
      </c>
      <c r="K174" s="2" t="s">
        <v>361</v>
      </c>
      <c r="L174" s="7" t="str">
        <f>HYPERLINK("http://slimages.macys.com/is/image/MCY/10676355 ")</f>
        <v xml:space="preserve">http://slimages.macys.com/is/image/MCY/10676355 </v>
      </c>
    </row>
    <row r="175" spans="1:12" ht="24.75" x14ac:dyDescent="0.25">
      <c r="A175" s="4" t="s">
        <v>7278</v>
      </c>
      <c r="B175" s="2" t="s">
        <v>374</v>
      </c>
      <c r="C175" s="3">
        <v>1</v>
      </c>
      <c r="D175" s="5">
        <v>52.13</v>
      </c>
      <c r="E175" s="3" t="s">
        <v>375</v>
      </c>
      <c r="F175" s="2" t="s">
        <v>170</v>
      </c>
      <c r="G175" s="6" t="s">
        <v>16</v>
      </c>
      <c r="H175" s="2" t="s">
        <v>246</v>
      </c>
      <c r="I175" s="2" t="s">
        <v>189</v>
      </c>
      <c r="J175" s="2" t="s">
        <v>19</v>
      </c>
      <c r="K175" s="2" t="s">
        <v>361</v>
      </c>
      <c r="L175" s="7" t="str">
        <f>HYPERLINK("http://slimages.macys.com/is/image/MCY/10676355 ")</f>
        <v xml:space="preserve">http://slimages.macys.com/is/image/MCY/10676355 </v>
      </c>
    </row>
    <row r="176" spans="1:12" ht="24.75" x14ac:dyDescent="0.25">
      <c r="A176" s="4" t="s">
        <v>9026</v>
      </c>
      <c r="B176" s="2" t="s">
        <v>374</v>
      </c>
      <c r="C176" s="3">
        <v>1</v>
      </c>
      <c r="D176" s="5">
        <v>52.13</v>
      </c>
      <c r="E176" s="3" t="s">
        <v>375</v>
      </c>
      <c r="F176" s="2" t="s">
        <v>64</v>
      </c>
      <c r="G176" s="6" t="s">
        <v>16</v>
      </c>
      <c r="H176" s="2" t="s">
        <v>246</v>
      </c>
      <c r="I176" s="2" t="s">
        <v>189</v>
      </c>
      <c r="J176" s="2" t="s">
        <v>19</v>
      </c>
      <c r="K176" s="2" t="s">
        <v>361</v>
      </c>
      <c r="L176" s="7" t="str">
        <f>HYPERLINK("http://slimages.macys.com/is/image/MCY/10676355 ")</f>
        <v xml:space="preserve">http://slimages.macys.com/is/image/MCY/10676355 </v>
      </c>
    </row>
    <row r="177" spans="1:12" ht="24.75" x14ac:dyDescent="0.25">
      <c r="A177" s="4" t="s">
        <v>8027</v>
      </c>
      <c r="B177" s="2" t="s">
        <v>861</v>
      </c>
      <c r="C177" s="3">
        <v>1</v>
      </c>
      <c r="D177" s="5">
        <v>34.5</v>
      </c>
      <c r="E177" s="3" t="s">
        <v>862</v>
      </c>
      <c r="F177" s="2" t="s">
        <v>64</v>
      </c>
      <c r="G177" s="6" t="s">
        <v>473</v>
      </c>
      <c r="H177" s="2" t="s">
        <v>228</v>
      </c>
      <c r="I177" s="2" t="s">
        <v>863</v>
      </c>
      <c r="J177" s="2" t="s">
        <v>19</v>
      </c>
      <c r="K177" s="2" t="s">
        <v>253</v>
      </c>
      <c r="L177" s="7" t="str">
        <f>HYPERLINK("http://slimages.macys.com/is/image/MCY/3650197 ")</f>
        <v xml:space="preserve">http://slimages.macys.com/is/image/MCY/3650197 </v>
      </c>
    </row>
    <row r="178" spans="1:12" ht="24.75" x14ac:dyDescent="0.25">
      <c r="A178" s="4" t="s">
        <v>2478</v>
      </c>
      <c r="B178" s="2" t="s">
        <v>2476</v>
      </c>
      <c r="C178" s="3">
        <v>2</v>
      </c>
      <c r="D178" s="5">
        <v>40.880000000000003</v>
      </c>
      <c r="E178" s="3" t="s">
        <v>2479</v>
      </c>
      <c r="F178" s="2" t="s">
        <v>1614</v>
      </c>
      <c r="G178" s="6" t="s">
        <v>154</v>
      </c>
      <c r="H178" s="2" t="s">
        <v>194</v>
      </c>
      <c r="I178" s="2" t="s">
        <v>195</v>
      </c>
      <c r="J178" s="2" t="s">
        <v>19</v>
      </c>
      <c r="K178" s="2" t="s">
        <v>34</v>
      </c>
      <c r="L178" s="7" t="str">
        <f>HYPERLINK("http://slimages.macys.com/is/image/MCY/11526932 ")</f>
        <v xml:space="preserve">http://slimages.macys.com/is/image/MCY/11526932 </v>
      </c>
    </row>
    <row r="179" spans="1:12" ht="24.75" x14ac:dyDescent="0.25">
      <c r="A179" s="4" t="s">
        <v>9027</v>
      </c>
      <c r="B179" s="2" t="s">
        <v>9028</v>
      </c>
      <c r="C179" s="3">
        <v>1</v>
      </c>
      <c r="D179" s="5">
        <v>39.99</v>
      </c>
      <c r="E179" s="3" t="s">
        <v>9029</v>
      </c>
      <c r="F179" s="2" t="s">
        <v>64</v>
      </c>
      <c r="G179" s="6" t="s">
        <v>181</v>
      </c>
      <c r="H179" s="2" t="s">
        <v>246</v>
      </c>
      <c r="I179" s="2" t="s">
        <v>189</v>
      </c>
      <c r="J179" s="2" t="s">
        <v>19</v>
      </c>
      <c r="K179" s="2" t="s">
        <v>1480</v>
      </c>
      <c r="L179" s="7" t="str">
        <f>HYPERLINK("http://slimages.macys.com/is/image/MCY/11031544 ")</f>
        <v xml:space="preserve">http://slimages.macys.com/is/image/MCY/11031544 </v>
      </c>
    </row>
    <row r="180" spans="1:12" ht="24.75" x14ac:dyDescent="0.25">
      <c r="A180" s="4" t="s">
        <v>3632</v>
      </c>
      <c r="B180" s="2" t="s">
        <v>2483</v>
      </c>
      <c r="C180" s="3">
        <v>2</v>
      </c>
      <c r="D180" s="5">
        <v>34.880000000000003</v>
      </c>
      <c r="E180" s="3">
        <v>100058189</v>
      </c>
      <c r="F180" s="2" t="s">
        <v>15</v>
      </c>
      <c r="G180" s="6" t="s">
        <v>58</v>
      </c>
      <c r="H180" s="2" t="s">
        <v>194</v>
      </c>
      <c r="I180" s="2" t="s">
        <v>195</v>
      </c>
      <c r="J180" s="2" t="s">
        <v>19</v>
      </c>
      <c r="K180" s="2" t="s">
        <v>648</v>
      </c>
      <c r="L180" s="7" t="str">
        <f>HYPERLINK("http://slimages.macys.com/is/image/MCY/12802459 ")</f>
        <v xml:space="preserve">http://slimages.macys.com/is/image/MCY/12802459 </v>
      </c>
    </row>
    <row r="181" spans="1:12" ht="24.75" x14ac:dyDescent="0.25">
      <c r="A181" s="4" t="s">
        <v>6466</v>
      </c>
      <c r="B181" s="2" t="s">
        <v>2483</v>
      </c>
      <c r="C181" s="3">
        <v>1</v>
      </c>
      <c r="D181" s="5">
        <v>34.880000000000003</v>
      </c>
      <c r="E181" s="3">
        <v>100058189</v>
      </c>
      <c r="F181" s="2" t="s">
        <v>15</v>
      </c>
      <c r="G181" s="6" t="s">
        <v>16</v>
      </c>
      <c r="H181" s="2" t="s">
        <v>194</v>
      </c>
      <c r="I181" s="2" t="s">
        <v>195</v>
      </c>
      <c r="J181" s="2" t="s">
        <v>19</v>
      </c>
      <c r="K181" s="2" t="s">
        <v>648</v>
      </c>
      <c r="L181" s="7" t="str">
        <f>HYPERLINK("http://slimages.macys.com/is/image/MCY/12802459 ")</f>
        <v xml:space="preserve">http://slimages.macys.com/is/image/MCY/12802459 </v>
      </c>
    </row>
    <row r="182" spans="1:12" ht="24.75" x14ac:dyDescent="0.25">
      <c r="A182" s="4" t="s">
        <v>8034</v>
      </c>
      <c r="B182" s="2" t="s">
        <v>2483</v>
      </c>
      <c r="C182" s="3">
        <v>1</v>
      </c>
      <c r="D182" s="5">
        <v>34.880000000000003</v>
      </c>
      <c r="E182" s="3">
        <v>100058189</v>
      </c>
      <c r="F182" s="2" t="s">
        <v>15</v>
      </c>
      <c r="G182" s="6" t="s">
        <v>106</v>
      </c>
      <c r="H182" s="2" t="s">
        <v>194</v>
      </c>
      <c r="I182" s="2" t="s">
        <v>195</v>
      </c>
      <c r="J182" s="2" t="s">
        <v>19</v>
      </c>
      <c r="K182" s="2" t="s">
        <v>648</v>
      </c>
      <c r="L182" s="7" t="str">
        <f>HYPERLINK("http://slimages.macys.com/is/image/MCY/12802459 ")</f>
        <v xml:space="preserve">http://slimages.macys.com/is/image/MCY/12802459 </v>
      </c>
    </row>
    <row r="183" spans="1:12" ht="24.75" x14ac:dyDescent="0.25">
      <c r="A183" s="4" t="s">
        <v>5640</v>
      </c>
      <c r="B183" s="2" t="s">
        <v>2483</v>
      </c>
      <c r="C183" s="3">
        <v>3</v>
      </c>
      <c r="D183" s="5">
        <v>34.880000000000003</v>
      </c>
      <c r="E183" s="3">
        <v>100058189</v>
      </c>
      <c r="F183" s="2" t="s">
        <v>15</v>
      </c>
      <c r="G183" s="6" t="s">
        <v>22</v>
      </c>
      <c r="H183" s="2" t="s">
        <v>194</v>
      </c>
      <c r="I183" s="2" t="s">
        <v>195</v>
      </c>
      <c r="J183" s="2" t="s">
        <v>19</v>
      </c>
      <c r="K183" s="2" t="s">
        <v>648</v>
      </c>
      <c r="L183" s="7" t="str">
        <f>HYPERLINK("http://slimages.macys.com/is/image/MCY/12802459 ")</f>
        <v xml:space="preserve">http://slimages.macys.com/is/image/MCY/12802459 </v>
      </c>
    </row>
    <row r="184" spans="1:12" ht="24.75" x14ac:dyDescent="0.25">
      <c r="A184" s="4" t="s">
        <v>2482</v>
      </c>
      <c r="B184" s="2" t="s">
        <v>2483</v>
      </c>
      <c r="C184" s="3">
        <v>3</v>
      </c>
      <c r="D184" s="5">
        <v>34.880000000000003</v>
      </c>
      <c r="E184" s="3">
        <v>100058189</v>
      </c>
      <c r="F184" s="2" t="s">
        <v>15</v>
      </c>
      <c r="G184" s="6" t="s">
        <v>27</v>
      </c>
      <c r="H184" s="2" t="s">
        <v>194</v>
      </c>
      <c r="I184" s="2" t="s">
        <v>195</v>
      </c>
      <c r="J184" s="2" t="s">
        <v>19</v>
      </c>
      <c r="K184" s="2" t="s">
        <v>648</v>
      </c>
      <c r="L184" s="7" t="str">
        <f>HYPERLINK("http://slimages.macys.com/is/image/MCY/12802459 ")</f>
        <v xml:space="preserve">http://slimages.macys.com/is/image/MCY/12802459 </v>
      </c>
    </row>
    <row r="185" spans="1:12" ht="36.75" x14ac:dyDescent="0.25">
      <c r="A185" s="4" t="s">
        <v>8041</v>
      </c>
      <c r="B185" s="2" t="s">
        <v>895</v>
      </c>
      <c r="C185" s="3">
        <v>1</v>
      </c>
      <c r="D185" s="5">
        <v>44.99</v>
      </c>
      <c r="E185" s="3" t="s">
        <v>8040</v>
      </c>
      <c r="F185" s="2" t="s">
        <v>417</v>
      </c>
      <c r="G185" s="6" t="s">
        <v>802</v>
      </c>
      <c r="H185" s="2" t="s">
        <v>127</v>
      </c>
      <c r="I185" s="2" t="s">
        <v>541</v>
      </c>
      <c r="J185" s="2" t="s">
        <v>19</v>
      </c>
      <c r="K185" s="2" t="s">
        <v>500</v>
      </c>
      <c r="L185" s="7" t="str">
        <f>HYPERLINK("http://slimages.macys.com/is/image/MCY/16583426 ")</f>
        <v xml:space="preserve">http://slimages.macys.com/is/image/MCY/16583426 </v>
      </c>
    </row>
    <row r="186" spans="1:12" ht="24.75" x14ac:dyDescent="0.25">
      <c r="A186" s="4" t="s">
        <v>6472</v>
      </c>
      <c r="B186" s="2" t="s">
        <v>898</v>
      </c>
      <c r="C186" s="3">
        <v>1</v>
      </c>
      <c r="D186" s="5">
        <v>37.130000000000003</v>
      </c>
      <c r="E186" s="3">
        <v>100009193</v>
      </c>
      <c r="F186" s="2" t="s">
        <v>376</v>
      </c>
      <c r="G186" s="6" t="s">
        <v>16</v>
      </c>
      <c r="H186" s="2" t="s">
        <v>194</v>
      </c>
      <c r="I186" s="2" t="s">
        <v>503</v>
      </c>
      <c r="J186" s="2" t="s">
        <v>19</v>
      </c>
      <c r="K186" s="2" t="s">
        <v>353</v>
      </c>
      <c r="L186" s="7" t="str">
        <f>HYPERLINK("http://slimages.macys.com/is/image/MCY/11804644 ")</f>
        <v xml:space="preserve">http://slimages.macys.com/is/image/MCY/11804644 </v>
      </c>
    </row>
    <row r="187" spans="1:12" ht="24.75" x14ac:dyDescent="0.25">
      <c r="A187" s="4" t="s">
        <v>9030</v>
      </c>
      <c r="B187" s="2" t="s">
        <v>898</v>
      </c>
      <c r="C187" s="3">
        <v>1</v>
      </c>
      <c r="D187" s="5">
        <v>37.130000000000003</v>
      </c>
      <c r="E187" s="3">
        <v>100009193</v>
      </c>
      <c r="F187" s="2" t="s">
        <v>376</v>
      </c>
      <c r="G187" s="6" t="s">
        <v>141</v>
      </c>
      <c r="H187" s="2" t="s">
        <v>194</v>
      </c>
      <c r="I187" s="2" t="s">
        <v>503</v>
      </c>
      <c r="J187" s="2" t="s">
        <v>19</v>
      </c>
      <c r="K187" s="2" t="s">
        <v>353</v>
      </c>
      <c r="L187" s="7" t="str">
        <f>HYPERLINK("http://slimages.macys.com/is/image/MCY/11804644 ")</f>
        <v xml:space="preserve">http://slimages.macys.com/is/image/MCY/11804644 </v>
      </c>
    </row>
    <row r="188" spans="1:12" ht="24.75" x14ac:dyDescent="0.25">
      <c r="A188" s="4" t="s">
        <v>3642</v>
      </c>
      <c r="B188" s="2" t="s">
        <v>901</v>
      </c>
      <c r="C188" s="3">
        <v>1</v>
      </c>
      <c r="D188" s="5">
        <v>39.5</v>
      </c>
      <c r="E188" s="3" t="s">
        <v>902</v>
      </c>
      <c r="F188" s="2" t="s">
        <v>417</v>
      </c>
      <c r="G188" s="6" t="s">
        <v>154</v>
      </c>
      <c r="H188" s="2" t="s">
        <v>194</v>
      </c>
      <c r="I188" s="2" t="s">
        <v>195</v>
      </c>
      <c r="J188" s="2" t="s">
        <v>19</v>
      </c>
      <c r="K188" s="2" t="s">
        <v>438</v>
      </c>
      <c r="L188" s="7" t="str">
        <f>HYPERLINK("http://slimages.macys.com/is/image/MCY/12143757 ")</f>
        <v xml:space="preserve">http://slimages.macys.com/is/image/MCY/12143757 </v>
      </c>
    </row>
    <row r="189" spans="1:12" ht="24.75" x14ac:dyDescent="0.25">
      <c r="A189" s="4" t="s">
        <v>9031</v>
      </c>
      <c r="B189" s="2" t="s">
        <v>898</v>
      </c>
      <c r="C189" s="3">
        <v>2</v>
      </c>
      <c r="D189" s="5">
        <v>37.130000000000003</v>
      </c>
      <c r="E189" s="3">
        <v>100009193</v>
      </c>
      <c r="F189" s="2" t="s">
        <v>170</v>
      </c>
      <c r="G189" s="6" t="s">
        <v>27</v>
      </c>
      <c r="H189" s="2" t="s">
        <v>194</v>
      </c>
      <c r="I189" s="2" t="s">
        <v>503</v>
      </c>
      <c r="J189" s="2" t="s">
        <v>19</v>
      </c>
      <c r="K189" s="2" t="s">
        <v>353</v>
      </c>
      <c r="L189" s="7" t="str">
        <f>HYPERLINK("http://slimages.macys.com/is/image/MCY/11804644 ")</f>
        <v xml:space="preserve">http://slimages.macys.com/is/image/MCY/11804644 </v>
      </c>
    </row>
    <row r="190" spans="1:12" ht="24.75" x14ac:dyDescent="0.25">
      <c r="A190" s="4" t="s">
        <v>3647</v>
      </c>
      <c r="B190" s="2" t="s">
        <v>904</v>
      </c>
      <c r="C190" s="3">
        <v>1</v>
      </c>
      <c r="D190" s="5">
        <v>34.5</v>
      </c>
      <c r="E190" s="3" t="s">
        <v>905</v>
      </c>
      <c r="F190" s="2" t="s">
        <v>74</v>
      </c>
      <c r="G190" s="6" t="s">
        <v>156</v>
      </c>
      <c r="H190" s="2" t="s">
        <v>228</v>
      </c>
      <c r="I190" s="2" t="s">
        <v>229</v>
      </c>
      <c r="J190" s="2" t="s">
        <v>19</v>
      </c>
      <c r="K190" s="2" t="s">
        <v>253</v>
      </c>
      <c r="L190" s="7" t="str">
        <f>HYPERLINK("http://slimages.macys.com/is/image/MCY/12794164 ")</f>
        <v xml:space="preserve">http://slimages.macys.com/is/image/MCY/12794164 </v>
      </c>
    </row>
    <row r="191" spans="1:12" ht="24.75" x14ac:dyDescent="0.25">
      <c r="A191" s="4" t="s">
        <v>9032</v>
      </c>
      <c r="B191" s="2" t="s">
        <v>909</v>
      </c>
      <c r="C191" s="3">
        <v>1</v>
      </c>
      <c r="D191" s="5">
        <v>40.880000000000003</v>
      </c>
      <c r="E191" s="3" t="s">
        <v>910</v>
      </c>
      <c r="F191" s="2" t="s">
        <v>911</v>
      </c>
      <c r="G191" s="6" t="s">
        <v>16</v>
      </c>
      <c r="H191" s="2" t="s">
        <v>246</v>
      </c>
      <c r="I191" s="2" t="s">
        <v>189</v>
      </c>
      <c r="J191" s="2" t="s">
        <v>19</v>
      </c>
      <c r="K191" s="2" t="s">
        <v>648</v>
      </c>
      <c r="L191" s="7" t="str">
        <f>HYPERLINK("http://slimages.macys.com/is/image/MCY/11940216 ")</f>
        <v xml:space="preserve">http://slimages.macys.com/is/image/MCY/11940216 </v>
      </c>
    </row>
    <row r="192" spans="1:12" ht="24.75" x14ac:dyDescent="0.25">
      <c r="A192" s="4" t="s">
        <v>9033</v>
      </c>
      <c r="B192" s="2" t="s">
        <v>909</v>
      </c>
      <c r="C192" s="3">
        <v>1</v>
      </c>
      <c r="D192" s="5">
        <v>40.880000000000003</v>
      </c>
      <c r="E192" s="3" t="s">
        <v>910</v>
      </c>
      <c r="F192" s="2" t="s">
        <v>1584</v>
      </c>
      <c r="G192" s="6" t="s">
        <v>22</v>
      </c>
      <c r="H192" s="2" t="s">
        <v>246</v>
      </c>
      <c r="I192" s="2" t="s">
        <v>189</v>
      </c>
      <c r="J192" s="2" t="s">
        <v>19</v>
      </c>
      <c r="K192" s="2" t="s">
        <v>648</v>
      </c>
      <c r="L192" s="7" t="str">
        <f>HYPERLINK("http://slimages.macys.com/is/image/MCY/11940216 ")</f>
        <v xml:space="preserve">http://slimages.macys.com/is/image/MCY/11940216 </v>
      </c>
    </row>
    <row r="193" spans="1:12" ht="24.75" x14ac:dyDescent="0.25">
      <c r="A193" s="4" t="s">
        <v>8056</v>
      </c>
      <c r="B193" s="2" t="s">
        <v>909</v>
      </c>
      <c r="C193" s="3">
        <v>1</v>
      </c>
      <c r="D193" s="5">
        <v>40.880000000000003</v>
      </c>
      <c r="E193" s="3" t="s">
        <v>7295</v>
      </c>
      <c r="F193" s="2" t="s">
        <v>1584</v>
      </c>
      <c r="G193" s="6" t="s">
        <v>165</v>
      </c>
      <c r="H193" s="2" t="s">
        <v>188</v>
      </c>
      <c r="I193" s="2" t="s">
        <v>189</v>
      </c>
      <c r="J193" s="2" t="s">
        <v>19</v>
      </c>
      <c r="K193" s="2" t="s">
        <v>648</v>
      </c>
      <c r="L193" s="7" t="str">
        <f>HYPERLINK("http://slimages.macys.com/is/image/MCY/12268099 ")</f>
        <v xml:space="preserve">http://slimages.macys.com/is/image/MCY/12268099 </v>
      </c>
    </row>
    <row r="194" spans="1:12" ht="24.75" x14ac:dyDescent="0.25">
      <c r="A194" s="4" t="s">
        <v>9034</v>
      </c>
      <c r="B194" s="2" t="s">
        <v>2460</v>
      </c>
      <c r="C194" s="3">
        <v>1</v>
      </c>
      <c r="D194" s="5">
        <v>34.880000000000003</v>
      </c>
      <c r="E194" s="3">
        <v>100009313</v>
      </c>
      <c r="F194" s="2" t="s">
        <v>1234</v>
      </c>
      <c r="G194" s="6" t="s">
        <v>22</v>
      </c>
      <c r="H194" s="2" t="s">
        <v>194</v>
      </c>
      <c r="I194" s="2" t="s">
        <v>503</v>
      </c>
      <c r="J194" s="2" t="s">
        <v>19</v>
      </c>
      <c r="K194" s="2" t="s">
        <v>353</v>
      </c>
      <c r="L194" s="7" t="str">
        <f>HYPERLINK("http://slimages.macys.com/is/image/MCY/9340611 ")</f>
        <v xml:space="preserve">http://slimages.macys.com/is/image/MCY/9340611 </v>
      </c>
    </row>
    <row r="195" spans="1:12" ht="24.75" x14ac:dyDescent="0.25">
      <c r="A195" s="4" t="s">
        <v>9035</v>
      </c>
      <c r="B195" s="2" t="s">
        <v>941</v>
      </c>
      <c r="C195" s="3">
        <v>1</v>
      </c>
      <c r="D195" s="5">
        <v>40.880000000000003</v>
      </c>
      <c r="E195" s="3" t="s">
        <v>942</v>
      </c>
      <c r="F195" s="2" t="s">
        <v>74</v>
      </c>
      <c r="G195" s="6" t="s">
        <v>205</v>
      </c>
      <c r="H195" s="2" t="s">
        <v>188</v>
      </c>
      <c r="I195" s="2" t="s">
        <v>214</v>
      </c>
      <c r="J195" s="2" t="s">
        <v>19</v>
      </c>
      <c r="K195" s="2" t="s">
        <v>387</v>
      </c>
      <c r="L195" s="7" t="str">
        <f>HYPERLINK("http://slimages.macys.com/is/image/MCY/11699651 ")</f>
        <v xml:space="preserve">http://slimages.macys.com/is/image/MCY/11699651 </v>
      </c>
    </row>
    <row r="196" spans="1:12" ht="48.75" x14ac:dyDescent="0.25">
      <c r="A196" s="4" t="s">
        <v>9036</v>
      </c>
      <c r="B196" s="2" t="s">
        <v>5662</v>
      </c>
      <c r="C196" s="3">
        <v>1</v>
      </c>
      <c r="D196" s="5">
        <v>29.99</v>
      </c>
      <c r="E196" s="3" t="s">
        <v>5663</v>
      </c>
      <c r="F196" s="2" t="s">
        <v>94</v>
      </c>
      <c r="G196" s="6" t="s">
        <v>200</v>
      </c>
      <c r="H196" s="2" t="s">
        <v>284</v>
      </c>
      <c r="I196" s="2" t="s">
        <v>408</v>
      </c>
      <c r="J196" s="2" t="s">
        <v>19</v>
      </c>
      <c r="K196" s="2" t="s">
        <v>775</v>
      </c>
      <c r="L196" s="7" t="str">
        <f>HYPERLINK("http://slimages.macys.com/is/image/MCY/3173200 ")</f>
        <v xml:space="preserve">http://slimages.macys.com/is/image/MCY/3173200 </v>
      </c>
    </row>
    <row r="197" spans="1:12" ht="48.75" x14ac:dyDescent="0.25">
      <c r="A197" s="4" t="s">
        <v>9037</v>
      </c>
      <c r="B197" s="2" t="s">
        <v>7305</v>
      </c>
      <c r="C197" s="3">
        <v>1</v>
      </c>
      <c r="D197" s="5">
        <v>40.880000000000003</v>
      </c>
      <c r="E197" s="3" t="s">
        <v>7306</v>
      </c>
      <c r="F197" s="2" t="s">
        <v>417</v>
      </c>
      <c r="G197" s="6" t="s">
        <v>16</v>
      </c>
      <c r="H197" s="2" t="s">
        <v>246</v>
      </c>
      <c r="I197" s="2" t="s">
        <v>487</v>
      </c>
      <c r="J197" s="2" t="s">
        <v>19</v>
      </c>
      <c r="K197" s="2" t="s">
        <v>775</v>
      </c>
      <c r="L197" s="7" t="str">
        <f>HYPERLINK("http://slimages.macys.com/is/image/MCY/12401713 ")</f>
        <v xml:space="preserve">http://slimages.macys.com/is/image/MCY/12401713 </v>
      </c>
    </row>
    <row r="198" spans="1:12" ht="24.75" x14ac:dyDescent="0.25">
      <c r="A198" s="4" t="s">
        <v>9038</v>
      </c>
      <c r="B198" s="2" t="s">
        <v>948</v>
      </c>
      <c r="C198" s="3">
        <v>1</v>
      </c>
      <c r="D198" s="5">
        <v>34.880000000000003</v>
      </c>
      <c r="E198" s="3">
        <v>100038962</v>
      </c>
      <c r="F198" s="2" t="s">
        <v>376</v>
      </c>
      <c r="G198" s="6" t="s">
        <v>112</v>
      </c>
      <c r="H198" s="2" t="s">
        <v>194</v>
      </c>
      <c r="I198" s="2" t="s">
        <v>195</v>
      </c>
      <c r="J198" s="2" t="s">
        <v>19</v>
      </c>
      <c r="K198" s="2" t="s">
        <v>353</v>
      </c>
      <c r="L198" s="7" t="str">
        <f>HYPERLINK("http://slimages.macys.com/is/image/MCY/11145019 ")</f>
        <v xml:space="preserve">http://slimages.macys.com/is/image/MCY/11145019 </v>
      </c>
    </row>
    <row r="199" spans="1:12" ht="36.75" x14ac:dyDescent="0.25">
      <c r="A199" s="4" t="s">
        <v>9039</v>
      </c>
      <c r="B199" s="2" t="s">
        <v>964</v>
      </c>
      <c r="C199" s="3">
        <v>1</v>
      </c>
      <c r="D199" s="5">
        <v>37.130000000000003</v>
      </c>
      <c r="E199" s="3">
        <v>100026210</v>
      </c>
      <c r="F199" s="2" t="s">
        <v>125</v>
      </c>
      <c r="G199" s="6" t="s">
        <v>181</v>
      </c>
      <c r="H199" s="2" t="s">
        <v>194</v>
      </c>
      <c r="I199" s="2" t="s">
        <v>195</v>
      </c>
      <c r="J199" s="2" t="s">
        <v>19</v>
      </c>
      <c r="K199" s="2" t="s">
        <v>965</v>
      </c>
      <c r="L199" s="7" t="str">
        <f>HYPERLINK("http://slimages.macys.com/is/image/MCY/9714233 ")</f>
        <v xml:space="preserve">http://slimages.macys.com/is/image/MCY/9714233 </v>
      </c>
    </row>
    <row r="200" spans="1:12" ht="24.75" x14ac:dyDescent="0.25">
      <c r="A200" s="4" t="s">
        <v>9040</v>
      </c>
      <c r="B200" s="2" t="s">
        <v>9041</v>
      </c>
      <c r="C200" s="3">
        <v>1</v>
      </c>
      <c r="D200" s="5">
        <v>39</v>
      </c>
      <c r="E200" s="3" t="s">
        <v>9042</v>
      </c>
      <c r="F200" s="2" t="s">
        <v>74</v>
      </c>
      <c r="G200" s="6" t="s">
        <v>22</v>
      </c>
      <c r="H200" s="2" t="s">
        <v>716</v>
      </c>
      <c r="I200" s="2" t="s">
        <v>717</v>
      </c>
      <c r="J200" s="2" t="s">
        <v>19</v>
      </c>
      <c r="K200" s="2" t="s">
        <v>353</v>
      </c>
      <c r="L200" s="7" t="str">
        <f>HYPERLINK("http://slimages.macys.com/is/image/MCY/11524684 ")</f>
        <v xml:space="preserve">http://slimages.macys.com/is/image/MCY/11524684 </v>
      </c>
    </row>
    <row r="201" spans="1:12" ht="24.75" x14ac:dyDescent="0.25">
      <c r="A201" s="4" t="s">
        <v>9043</v>
      </c>
      <c r="B201" s="2" t="s">
        <v>641</v>
      </c>
      <c r="C201" s="3">
        <v>1</v>
      </c>
      <c r="D201" s="5">
        <v>29.99</v>
      </c>
      <c r="E201" s="3" t="s">
        <v>977</v>
      </c>
      <c r="F201" s="2" t="s">
        <v>74</v>
      </c>
      <c r="G201" s="6" t="s">
        <v>154</v>
      </c>
      <c r="H201" s="2" t="s">
        <v>284</v>
      </c>
      <c r="I201" s="2" t="s">
        <v>408</v>
      </c>
      <c r="J201" s="2" t="s">
        <v>19</v>
      </c>
      <c r="K201" s="2" t="s">
        <v>409</v>
      </c>
      <c r="L201" s="7" t="str">
        <f>HYPERLINK("http://slimages.macys.com/is/image/MCY/9387631 ")</f>
        <v xml:space="preserve">http://slimages.macys.com/is/image/MCY/9387631 </v>
      </c>
    </row>
    <row r="202" spans="1:12" ht="24.75" x14ac:dyDescent="0.25">
      <c r="A202" s="4" t="s">
        <v>9044</v>
      </c>
      <c r="B202" s="2" t="s">
        <v>9045</v>
      </c>
      <c r="C202" s="3">
        <v>1</v>
      </c>
      <c r="D202" s="5">
        <v>37.130000000000003</v>
      </c>
      <c r="E202" s="3" t="s">
        <v>9046</v>
      </c>
      <c r="F202" s="2" t="s">
        <v>252</v>
      </c>
      <c r="G202" s="6" t="s">
        <v>181</v>
      </c>
      <c r="H202" s="2" t="s">
        <v>194</v>
      </c>
      <c r="I202" s="2" t="s">
        <v>195</v>
      </c>
      <c r="J202" s="2" t="s">
        <v>19</v>
      </c>
      <c r="K202" s="2" t="s">
        <v>4830</v>
      </c>
      <c r="L202" s="7" t="str">
        <f>HYPERLINK("http://slimages.macys.com/is/image/MCY/12143855 ")</f>
        <v xml:space="preserve">http://slimages.macys.com/is/image/MCY/12143855 </v>
      </c>
    </row>
    <row r="203" spans="1:12" ht="24.75" x14ac:dyDescent="0.25">
      <c r="A203" s="4" t="s">
        <v>7324</v>
      </c>
      <c r="B203" s="2" t="s">
        <v>7325</v>
      </c>
      <c r="C203" s="3">
        <v>1</v>
      </c>
      <c r="D203" s="5">
        <v>35.65</v>
      </c>
      <c r="E203" s="3" t="s">
        <v>4804</v>
      </c>
      <c r="F203" s="2" t="s">
        <v>180</v>
      </c>
      <c r="G203" s="6" t="s">
        <v>181</v>
      </c>
      <c r="H203" s="2" t="s">
        <v>182</v>
      </c>
      <c r="I203" s="2" t="s">
        <v>183</v>
      </c>
      <c r="J203" s="2" t="s">
        <v>19</v>
      </c>
      <c r="K203" s="2" t="s">
        <v>34</v>
      </c>
      <c r="L203" s="7" t="str">
        <f>HYPERLINK("http://slimages.macys.com/is/image/MCY/12801985 ")</f>
        <v xml:space="preserve">http://slimages.macys.com/is/image/MCY/12801985 </v>
      </c>
    </row>
    <row r="204" spans="1:12" ht="24.75" x14ac:dyDescent="0.25">
      <c r="A204" s="4" t="s">
        <v>6513</v>
      </c>
      <c r="B204" s="2" t="s">
        <v>992</v>
      </c>
      <c r="C204" s="3">
        <v>1</v>
      </c>
      <c r="D204" s="5">
        <v>34.5</v>
      </c>
      <c r="E204" s="3" t="s">
        <v>993</v>
      </c>
      <c r="F204" s="2" t="s">
        <v>74</v>
      </c>
      <c r="G204" s="6" t="s">
        <v>187</v>
      </c>
      <c r="H204" s="2" t="s">
        <v>426</v>
      </c>
      <c r="I204" s="2" t="s">
        <v>229</v>
      </c>
      <c r="J204" s="2" t="s">
        <v>19</v>
      </c>
      <c r="K204" s="2" t="s">
        <v>353</v>
      </c>
      <c r="L204" s="7" t="str">
        <f>HYPERLINK("http://slimages.macys.com/is/image/MCY/11934830 ")</f>
        <v xml:space="preserve">http://slimages.macys.com/is/image/MCY/11934830 </v>
      </c>
    </row>
    <row r="205" spans="1:12" ht="24.75" x14ac:dyDescent="0.25">
      <c r="A205" s="4" t="s">
        <v>8091</v>
      </c>
      <c r="B205" s="2" t="s">
        <v>904</v>
      </c>
      <c r="C205" s="3">
        <v>1</v>
      </c>
      <c r="D205" s="5">
        <v>34.5</v>
      </c>
      <c r="E205" s="3" t="s">
        <v>5707</v>
      </c>
      <c r="F205" s="2" t="s">
        <v>33</v>
      </c>
      <c r="G205" s="6"/>
      <c r="H205" s="2" t="s">
        <v>426</v>
      </c>
      <c r="I205" s="2" t="s">
        <v>229</v>
      </c>
      <c r="J205" s="2" t="s">
        <v>19</v>
      </c>
      <c r="K205" s="2" t="s">
        <v>353</v>
      </c>
      <c r="L205" s="7" t="str">
        <f>HYPERLINK("http://slimages.macys.com/is/image/MCY/11934830 ")</f>
        <v xml:space="preserve">http://slimages.macys.com/is/image/MCY/11934830 </v>
      </c>
    </row>
    <row r="206" spans="1:12" ht="24.75" x14ac:dyDescent="0.25">
      <c r="A206" s="4" t="s">
        <v>9047</v>
      </c>
      <c r="B206" s="2" t="s">
        <v>5709</v>
      </c>
      <c r="C206" s="3">
        <v>1</v>
      </c>
      <c r="D206" s="5">
        <v>49.5</v>
      </c>
      <c r="E206" s="3" t="s">
        <v>5710</v>
      </c>
      <c r="F206" s="2" t="s">
        <v>26</v>
      </c>
      <c r="G206" s="6" t="s">
        <v>187</v>
      </c>
      <c r="H206" s="2" t="s">
        <v>127</v>
      </c>
      <c r="I206" s="2" t="s">
        <v>128</v>
      </c>
      <c r="J206" s="2" t="s">
        <v>19</v>
      </c>
      <c r="K206" s="2" t="s">
        <v>208</v>
      </c>
      <c r="L206" s="7" t="str">
        <f>HYPERLINK("http://slimages.macys.com/is/image/MCY/13040302 ")</f>
        <v xml:space="preserve">http://slimages.macys.com/is/image/MCY/13040302 </v>
      </c>
    </row>
    <row r="207" spans="1:12" ht="36.75" x14ac:dyDescent="0.25">
      <c r="A207" s="4" t="s">
        <v>5718</v>
      </c>
      <c r="B207" s="2" t="s">
        <v>5715</v>
      </c>
      <c r="C207" s="3">
        <v>1</v>
      </c>
      <c r="D207" s="5">
        <v>40.880000000000003</v>
      </c>
      <c r="E207" s="3" t="s">
        <v>5716</v>
      </c>
      <c r="F207" s="2" t="s">
        <v>1584</v>
      </c>
      <c r="G207" s="6" t="s">
        <v>200</v>
      </c>
      <c r="H207" s="2" t="s">
        <v>284</v>
      </c>
      <c r="I207" s="2" t="s">
        <v>285</v>
      </c>
      <c r="J207" s="2" t="s">
        <v>19</v>
      </c>
      <c r="K207" s="2" t="s">
        <v>5717</v>
      </c>
      <c r="L207" s="7" t="str">
        <f>HYPERLINK("http://slimages.macys.com/is/image/MCY/13700621 ")</f>
        <v xml:space="preserve">http://slimages.macys.com/is/image/MCY/13700621 </v>
      </c>
    </row>
    <row r="208" spans="1:12" ht="24.75" x14ac:dyDescent="0.25">
      <c r="A208" s="4" t="s">
        <v>9048</v>
      </c>
      <c r="B208" s="2" t="s">
        <v>4777</v>
      </c>
      <c r="C208" s="3">
        <v>1</v>
      </c>
      <c r="D208" s="5">
        <v>49.5</v>
      </c>
      <c r="E208" s="3" t="s">
        <v>4778</v>
      </c>
      <c r="F208" s="2" t="s">
        <v>676</v>
      </c>
      <c r="G208" s="6" t="s">
        <v>363</v>
      </c>
      <c r="H208" s="2" t="s">
        <v>206</v>
      </c>
      <c r="I208" s="2" t="s">
        <v>1010</v>
      </c>
      <c r="J208" s="2" t="s">
        <v>19</v>
      </c>
      <c r="K208" s="2" t="s">
        <v>409</v>
      </c>
      <c r="L208" s="7" t="str">
        <f>HYPERLINK("http://slimages.macys.com/is/image/MCY/9044823 ")</f>
        <v xml:space="preserve">http://slimages.macys.com/is/image/MCY/9044823 </v>
      </c>
    </row>
    <row r="209" spans="1:12" ht="24.75" x14ac:dyDescent="0.25">
      <c r="A209" s="4" t="s">
        <v>9049</v>
      </c>
      <c r="B209" s="2" t="s">
        <v>1012</v>
      </c>
      <c r="C209" s="3">
        <v>1</v>
      </c>
      <c r="D209" s="5">
        <v>37.130000000000003</v>
      </c>
      <c r="E209" s="3" t="s">
        <v>1013</v>
      </c>
      <c r="F209" s="2" t="s">
        <v>26</v>
      </c>
      <c r="G209" s="6" t="s">
        <v>141</v>
      </c>
      <c r="H209" s="2" t="s">
        <v>246</v>
      </c>
      <c r="I209" s="2" t="s">
        <v>214</v>
      </c>
      <c r="J209" s="2" t="s">
        <v>19</v>
      </c>
      <c r="K209" s="2" t="s">
        <v>253</v>
      </c>
      <c r="L209" s="7" t="str">
        <f>HYPERLINK("http://slimages.macys.com/is/image/MCY/10679372 ")</f>
        <v xml:space="preserve">http://slimages.macys.com/is/image/MCY/10679372 </v>
      </c>
    </row>
    <row r="210" spans="1:12" ht="24.75" x14ac:dyDescent="0.25">
      <c r="A210" s="4" t="s">
        <v>1011</v>
      </c>
      <c r="B210" s="2" t="s">
        <v>1012</v>
      </c>
      <c r="C210" s="3">
        <v>1</v>
      </c>
      <c r="D210" s="5">
        <v>37.130000000000003</v>
      </c>
      <c r="E210" s="3" t="s">
        <v>1013</v>
      </c>
      <c r="F210" s="2" t="s">
        <v>64</v>
      </c>
      <c r="G210" s="6" t="s">
        <v>106</v>
      </c>
      <c r="H210" s="2" t="s">
        <v>246</v>
      </c>
      <c r="I210" s="2" t="s">
        <v>214</v>
      </c>
      <c r="J210" s="2" t="s">
        <v>19</v>
      </c>
      <c r="K210" s="2" t="s">
        <v>253</v>
      </c>
      <c r="L210" s="7" t="str">
        <f>HYPERLINK("http://slimages.macys.com/is/image/MCY/10679372 ")</f>
        <v xml:space="preserve">http://slimages.macys.com/is/image/MCY/10679372 </v>
      </c>
    </row>
    <row r="211" spans="1:12" ht="24.75" x14ac:dyDescent="0.25">
      <c r="A211" s="4" t="s">
        <v>1023</v>
      </c>
      <c r="B211" s="2" t="s">
        <v>1012</v>
      </c>
      <c r="C211" s="3">
        <v>1</v>
      </c>
      <c r="D211" s="5">
        <v>37.130000000000003</v>
      </c>
      <c r="E211" s="3" t="s">
        <v>1013</v>
      </c>
      <c r="F211" s="2" t="s">
        <v>64</v>
      </c>
      <c r="G211" s="6" t="s">
        <v>58</v>
      </c>
      <c r="H211" s="2" t="s">
        <v>246</v>
      </c>
      <c r="I211" s="2" t="s">
        <v>214</v>
      </c>
      <c r="J211" s="2" t="s">
        <v>19</v>
      </c>
      <c r="K211" s="2" t="s">
        <v>253</v>
      </c>
      <c r="L211" s="7" t="str">
        <f>HYPERLINK("http://slimages.macys.com/is/image/MCY/10679372 ")</f>
        <v xml:space="preserve">http://slimages.macys.com/is/image/MCY/10679372 </v>
      </c>
    </row>
    <row r="212" spans="1:12" ht="24.75" x14ac:dyDescent="0.25">
      <c r="A212" s="4" t="s">
        <v>1022</v>
      </c>
      <c r="B212" s="2" t="s">
        <v>1012</v>
      </c>
      <c r="C212" s="3">
        <v>1</v>
      </c>
      <c r="D212" s="5">
        <v>37.130000000000003</v>
      </c>
      <c r="E212" s="3" t="s">
        <v>1013</v>
      </c>
      <c r="F212" s="2" t="s">
        <v>494</v>
      </c>
      <c r="G212" s="6" t="s">
        <v>65</v>
      </c>
      <c r="H212" s="2" t="s">
        <v>246</v>
      </c>
      <c r="I212" s="2" t="s">
        <v>214</v>
      </c>
      <c r="J212" s="2" t="s">
        <v>19</v>
      </c>
      <c r="K212" s="2" t="s">
        <v>253</v>
      </c>
      <c r="L212" s="7" t="str">
        <f>HYPERLINK("http://slimages.macys.com/is/image/MCY/10679372 ")</f>
        <v xml:space="preserve">http://slimages.macys.com/is/image/MCY/10679372 </v>
      </c>
    </row>
    <row r="213" spans="1:12" ht="24.75" x14ac:dyDescent="0.25">
      <c r="A213" s="4" t="s">
        <v>9050</v>
      </c>
      <c r="B213" s="2" t="s">
        <v>1012</v>
      </c>
      <c r="C213" s="3">
        <v>1</v>
      </c>
      <c r="D213" s="5">
        <v>37.130000000000003</v>
      </c>
      <c r="E213" s="3" t="s">
        <v>1013</v>
      </c>
      <c r="F213" s="2" t="s">
        <v>26</v>
      </c>
      <c r="G213" s="6" t="s">
        <v>106</v>
      </c>
      <c r="H213" s="2" t="s">
        <v>246</v>
      </c>
      <c r="I213" s="2" t="s">
        <v>214</v>
      </c>
      <c r="J213" s="2" t="s">
        <v>19</v>
      </c>
      <c r="K213" s="2" t="s">
        <v>253</v>
      </c>
      <c r="L213" s="7" t="str">
        <f>HYPERLINK("http://slimages.macys.com/is/image/MCY/10679372 ")</f>
        <v xml:space="preserve">http://slimages.macys.com/is/image/MCY/10679372 </v>
      </c>
    </row>
    <row r="214" spans="1:12" ht="24.75" x14ac:dyDescent="0.25">
      <c r="A214" s="4" t="s">
        <v>6525</v>
      </c>
      <c r="B214" s="2" t="s">
        <v>2530</v>
      </c>
      <c r="C214" s="3">
        <v>1</v>
      </c>
      <c r="D214" s="5">
        <v>34.5</v>
      </c>
      <c r="E214" s="3">
        <v>100054339</v>
      </c>
      <c r="F214" s="2" t="s">
        <v>26</v>
      </c>
      <c r="G214" s="6" t="s">
        <v>234</v>
      </c>
      <c r="H214" s="2" t="s">
        <v>228</v>
      </c>
      <c r="I214" s="2" t="s">
        <v>857</v>
      </c>
      <c r="J214" s="2" t="s">
        <v>19</v>
      </c>
      <c r="K214" s="2" t="s">
        <v>338</v>
      </c>
      <c r="L214" s="7" t="str">
        <f>HYPERLINK("http://slimages.macys.com/is/image/MCY/12144139 ")</f>
        <v xml:space="preserve">http://slimages.macys.com/is/image/MCY/12144139 </v>
      </c>
    </row>
    <row r="215" spans="1:12" ht="24.75" x14ac:dyDescent="0.25">
      <c r="A215" s="4" t="s">
        <v>9051</v>
      </c>
      <c r="B215" s="2" t="s">
        <v>7357</v>
      </c>
      <c r="C215" s="3">
        <v>1</v>
      </c>
      <c r="D215" s="5">
        <v>37.130000000000003</v>
      </c>
      <c r="E215" s="3" t="s">
        <v>7358</v>
      </c>
      <c r="F215" s="2" t="s">
        <v>26</v>
      </c>
      <c r="G215" s="6"/>
      <c r="H215" s="2" t="s">
        <v>312</v>
      </c>
      <c r="I215" s="2" t="s">
        <v>195</v>
      </c>
      <c r="J215" s="2" t="s">
        <v>19</v>
      </c>
      <c r="K215" s="2" t="s">
        <v>648</v>
      </c>
      <c r="L215" s="7" t="str">
        <f>HYPERLINK("http://slimages.macys.com/is/image/MCY/9893924 ")</f>
        <v xml:space="preserve">http://slimages.macys.com/is/image/MCY/9893924 </v>
      </c>
    </row>
    <row r="216" spans="1:12" ht="24.75" x14ac:dyDescent="0.25">
      <c r="A216" s="4" t="s">
        <v>9052</v>
      </c>
      <c r="B216" s="2" t="s">
        <v>9053</v>
      </c>
      <c r="C216" s="3">
        <v>1</v>
      </c>
      <c r="D216" s="5">
        <v>37.130000000000003</v>
      </c>
      <c r="E216" s="3" t="s">
        <v>9054</v>
      </c>
      <c r="F216" s="2" t="s">
        <v>225</v>
      </c>
      <c r="G216" s="6"/>
      <c r="H216" s="2" t="s">
        <v>312</v>
      </c>
      <c r="I216" s="2" t="s">
        <v>919</v>
      </c>
      <c r="J216" s="2" t="s">
        <v>19</v>
      </c>
      <c r="K216" s="2" t="s">
        <v>409</v>
      </c>
      <c r="L216" s="7" t="str">
        <f>HYPERLINK("http://slimages.macys.com/is/image/MCY/9977248 ")</f>
        <v xml:space="preserve">http://slimages.macys.com/is/image/MCY/9977248 </v>
      </c>
    </row>
    <row r="217" spans="1:12" ht="24.75" x14ac:dyDescent="0.25">
      <c r="A217" s="4" t="s">
        <v>8618</v>
      </c>
      <c r="B217" s="2" t="s">
        <v>1047</v>
      </c>
      <c r="C217" s="3">
        <v>1</v>
      </c>
      <c r="D217" s="5">
        <v>34.880000000000003</v>
      </c>
      <c r="E217" s="3">
        <v>100009312</v>
      </c>
      <c r="F217" s="2" t="s">
        <v>64</v>
      </c>
      <c r="G217" s="6" t="s">
        <v>245</v>
      </c>
      <c r="H217" s="2" t="s">
        <v>194</v>
      </c>
      <c r="I217" s="2" t="s">
        <v>195</v>
      </c>
      <c r="J217" s="2" t="s">
        <v>19</v>
      </c>
      <c r="K217" s="2" t="s">
        <v>353</v>
      </c>
      <c r="L217" s="7" t="str">
        <f>HYPERLINK("http://slimages.macys.com/is/image/MCY/9603701 ")</f>
        <v xml:space="preserve">http://slimages.macys.com/is/image/MCY/9603701 </v>
      </c>
    </row>
    <row r="218" spans="1:12" ht="24.75" x14ac:dyDescent="0.25">
      <c r="A218" s="4" t="s">
        <v>2540</v>
      </c>
      <c r="B218" s="2" t="s">
        <v>1047</v>
      </c>
      <c r="C218" s="3">
        <v>1</v>
      </c>
      <c r="D218" s="5">
        <v>34.880000000000003</v>
      </c>
      <c r="E218" s="3">
        <v>100009312</v>
      </c>
      <c r="F218" s="2" t="s">
        <v>26</v>
      </c>
      <c r="G218" s="6" t="s">
        <v>154</v>
      </c>
      <c r="H218" s="2" t="s">
        <v>194</v>
      </c>
      <c r="I218" s="2" t="s">
        <v>195</v>
      </c>
      <c r="J218" s="2" t="s">
        <v>19</v>
      </c>
      <c r="K218" s="2" t="s">
        <v>353</v>
      </c>
      <c r="L218" s="7" t="str">
        <f>HYPERLINK("http://slimages.macys.com/is/image/MCY/9603701 ")</f>
        <v xml:space="preserve">http://slimages.macys.com/is/image/MCY/9603701 </v>
      </c>
    </row>
    <row r="219" spans="1:12" ht="24.75" x14ac:dyDescent="0.25">
      <c r="A219" s="4" t="s">
        <v>4799</v>
      </c>
      <c r="B219" s="2" t="s">
        <v>1047</v>
      </c>
      <c r="C219" s="3">
        <v>1</v>
      </c>
      <c r="D219" s="5">
        <v>34.880000000000003</v>
      </c>
      <c r="E219" s="3">
        <v>100009312</v>
      </c>
      <c r="F219" s="2" t="s">
        <v>506</v>
      </c>
      <c r="G219" s="6" t="s">
        <v>154</v>
      </c>
      <c r="H219" s="2" t="s">
        <v>194</v>
      </c>
      <c r="I219" s="2" t="s">
        <v>195</v>
      </c>
      <c r="J219" s="2" t="s">
        <v>19</v>
      </c>
      <c r="K219" s="2" t="s">
        <v>353</v>
      </c>
      <c r="L219" s="7" t="str">
        <f>HYPERLINK("http://slimages.macys.com/is/image/MCY/9603701 ")</f>
        <v xml:space="preserve">http://slimages.macys.com/is/image/MCY/9603701 </v>
      </c>
    </row>
    <row r="220" spans="1:12" ht="24.75" x14ac:dyDescent="0.25">
      <c r="A220" s="4" t="s">
        <v>9055</v>
      </c>
      <c r="B220" s="2" t="s">
        <v>4803</v>
      </c>
      <c r="C220" s="3">
        <v>1</v>
      </c>
      <c r="D220" s="5">
        <v>35.65</v>
      </c>
      <c r="E220" s="3" t="s">
        <v>4804</v>
      </c>
      <c r="F220" s="2" t="s">
        <v>1914</v>
      </c>
      <c r="G220" s="6" t="s">
        <v>234</v>
      </c>
      <c r="H220" s="2" t="s">
        <v>182</v>
      </c>
      <c r="I220" s="2" t="s">
        <v>183</v>
      </c>
      <c r="J220" s="2" t="s">
        <v>19</v>
      </c>
      <c r="K220" s="2" t="s">
        <v>34</v>
      </c>
      <c r="L220" s="7" t="str">
        <f>HYPERLINK("http://slimages.macys.com/is/image/MCY/12801985 ")</f>
        <v xml:space="preserve">http://slimages.macys.com/is/image/MCY/12801985 </v>
      </c>
    </row>
    <row r="221" spans="1:12" ht="24.75" x14ac:dyDescent="0.25">
      <c r="A221" s="4" t="s">
        <v>9056</v>
      </c>
      <c r="B221" s="2" t="s">
        <v>1054</v>
      </c>
      <c r="C221" s="3">
        <v>1</v>
      </c>
      <c r="D221" s="5">
        <v>36.5</v>
      </c>
      <c r="E221" s="3" t="s">
        <v>1055</v>
      </c>
      <c r="F221" s="2" t="s">
        <v>15</v>
      </c>
      <c r="G221" s="6" t="s">
        <v>200</v>
      </c>
      <c r="H221" s="2" t="s">
        <v>194</v>
      </c>
      <c r="I221" s="2" t="s">
        <v>195</v>
      </c>
      <c r="J221" s="2" t="s">
        <v>19</v>
      </c>
      <c r="K221" s="2" t="s">
        <v>438</v>
      </c>
      <c r="L221" s="7" t="str">
        <f>HYPERLINK("http://slimages.macys.com/is/image/MCY/11764614 ")</f>
        <v xml:space="preserve">http://slimages.macys.com/is/image/MCY/11764614 </v>
      </c>
    </row>
    <row r="222" spans="1:12" ht="24.75" x14ac:dyDescent="0.25">
      <c r="A222" s="4" t="s">
        <v>2551</v>
      </c>
      <c r="B222" s="2" t="s">
        <v>1062</v>
      </c>
      <c r="C222" s="3">
        <v>1</v>
      </c>
      <c r="D222" s="5">
        <v>36.5</v>
      </c>
      <c r="E222" s="3" t="s">
        <v>1063</v>
      </c>
      <c r="F222" s="2" t="s">
        <v>26</v>
      </c>
      <c r="G222" s="6" t="s">
        <v>181</v>
      </c>
      <c r="H222" s="2" t="s">
        <v>194</v>
      </c>
      <c r="I222" s="2" t="s">
        <v>195</v>
      </c>
      <c r="J222" s="2" t="s">
        <v>19</v>
      </c>
      <c r="K222" s="2" t="s">
        <v>247</v>
      </c>
      <c r="L222" s="7" t="str">
        <f>HYPERLINK("http://slimages.macys.com/is/image/MCY/11515386 ")</f>
        <v xml:space="preserve">http://slimages.macys.com/is/image/MCY/11515386 </v>
      </c>
    </row>
    <row r="223" spans="1:12" ht="24.75" x14ac:dyDescent="0.25">
      <c r="A223" s="4" t="s">
        <v>1061</v>
      </c>
      <c r="B223" s="2" t="s">
        <v>1062</v>
      </c>
      <c r="C223" s="3">
        <v>1</v>
      </c>
      <c r="D223" s="5">
        <v>36.5</v>
      </c>
      <c r="E223" s="3" t="s">
        <v>1063</v>
      </c>
      <c r="F223" s="2" t="s">
        <v>26</v>
      </c>
      <c r="G223" s="6" t="s">
        <v>154</v>
      </c>
      <c r="H223" s="2" t="s">
        <v>194</v>
      </c>
      <c r="I223" s="2" t="s">
        <v>195</v>
      </c>
      <c r="J223" s="2" t="s">
        <v>19</v>
      </c>
      <c r="K223" s="2" t="s">
        <v>247</v>
      </c>
      <c r="L223" s="7" t="str">
        <f>HYPERLINK("http://slimages.macys.com/is/image/MCY/11515386 ")</f>
        <v xml:space="preserve">http://slimages.macys.com/is/image/MCY/11515386 </v>
      </c>
    </row>
    <row r="224" spans="1:12" ht="24.75" x14ac:dyDescent="0.25">
      <c r="A224" s="4" t="s">
        <v>9057</v>
      </c>
      <c r="B224" s="2" t="s">
        <v>4811</v>
      </c>
      <c r="C224" s="3">
        <v>1</v>
      </c>
      <c r="D224" s="5">
        <v>44.63</v>
      </c>
      <c r="E224" s="3" t="s">
        <v>4812</v>
      </c>
      <c r="F224" s="2" t="s">
        <v>15</v>
      </c>
      <c r="G224" s="6"/>
      <c r="H224" s="2" t="s">
        <v>312</v>
      </c>
      <c r="I224" s="2" t="s">
        <v>195</v>
      </c>
      <c r="J224" s="2" t="s">
        <v>19</v>
      </c>
      <c r="K224" s="2" t="s">
        <v>610</v>
      </c>
      <c r="L224" s="7" t="str">
        <f>HYPERLINK("http://slimages.macys.com/is/image/MCY/9821843 ")</f>
        <v xml:space="preserve">http://slimages.macys.com/is/image/MCY/9821843 </v>
      </c>
    </row>
    <row r="225" spans="1:12" ht="24.75" x14ac:dyDescent="0.25">
      <c r="A225" s="4" t="s">
        <v>1072</v>
      </c>
      <c r="B225" s="2" t="s">
        <v>898</v>
      </c>
      <c r="C225" s="3">
        <v>1</v>
      </c>
      <c r="D225" s="5">
        <v>37.130000000000003</v>
      </c>
      <c r="E225" s="3">
        <v>100009193</v>
      </c>
      <c r="F225" s="2" t="s">
        <v>15</v>
      </c>
      <c r="G225" s="6" t="s">
        <v>141</v>
      </c>
      <c r="H225" s="2" t="s">
        <v>194</v>
      </c>
      <c r="I225" s="2" t="s">
        <v>503</v>
      </c>
      <c r="J225" s="2" t="s">
        <v>19</v>
      </c>
      <c r="K225" s="2" t="s">
        <v>353</v>
      </c>
      <c r="L225" s="7" t="str">
        <f>HYPERLINK("http://slimages.macys.com/is/image/MCY/11804644 ")</f>
        <v xml:space="preserve">http://slimages.macys.com/is/image/MCY/11804644 </v>
      </c>
    </row>
    <row r="226" spans="1:12" ht="24.75" x14ac:dyDescent="0.25">
      <c r="A226" s="4" t="s">
        <v>7365</v>
      </c>
      <c r="B226" s="2" t="s">
        <v>898</v>
      </c>
      <c r="C226" s="3">
        <v>2</v>
      </c>
      <c r="D226" s="5">
        <v>37.130000000000003</v>
      </c>
      <c r="E226" s="3">
        <v>100009193</v>
      </c>
      <c r="F226" s="2" t="s">
        <v>26</v>
      </c>
      <c r="G226" s="6" t="s">
        <v>16</v>
      </c>
      <c r="H226" s="2" t="s">
        <v>194</v>
      </c>
      <c r="I226" s="2" t="s">
        <v>503</v>
      </c>
      <c r="J226" s="2" t="s">
        <v>19</v>
      </c>
      <c r="K226" s="2" t="s">
        <v>353</v>
      </c>
      <c r="L226" s="7" t="str">
        <f>HYPERLINK("http://slimages.macys.com/is/image/MCY/11804644 ")</f>
        <v xml:space="preserve">http://slimages.macys.com/is/image/MCY/11804644 </v>
      </c>
    </row>
    <row r="227" spans="1:12" ht="24.75" x14ac:dyDescent="0.25">
      <c r="A227" s="4" t="s">
        <v>7364</v>
      </c>
      <c r="B227" s="2" t="s">
        <v>898</v>
      </c>
      <c r="C227" s="3">
        <v>3</v>
      </c>
      <c r="D227" s="5">
        <v>37.130000000000003</v>
      </c>
      <c r="E227" s="3">
        <v>100009193</v>
      </c>
      <c r="F227" s="2" t="s">
        <v>26</v>
      </c>
      <c r="G227" s="6" t="s">
        <v>27</v>
      </c>
      <c r="H227" s="2" t="s">
        <v>194</v>
      </c>
      <c r="I227" s="2" t="s">
        <v>503</v>
      </c>
      <c r="J227" s="2" t="s">
        <v>19</v>
      </c>
      <c r="K227" s="2" t="s">
        <v>353</v>
      </c>
      <c r="L227" s="7" t="str">
        <f>HYPERLINK("http://slimages.macys.com/is/image/MCY/11804644 ")</f>
        <v xml:space="preserve">http://slimages.macys.com/is/image/MCY/11804644 </v>
      </c>
    </row>
    <row r="228" spans="1:12" ht="24.75" x14ac:dyDescent="0.25">
      <c r="A228" s="4" t="s">
        <v>2558</v>
      </c>
      <c r="B228" s="2" t="s">
        <v>898</v>
      </c>
      <c r="C228" s="3">
        <v>1</v>
      </c>
      <c r="D228" s="5">
        <v>37.130000000000003</v>
      </c>
      <c r="E228" s="3">
        <v>100009193</v>
      </c>
      <c r="F228" s="2" t="s">
        <v>15</v>
      </c>
      <c r="G228" s="6" t="s">
        <v>27</v>
      </c>
      <c r="H228" s="2" t="s">
        <v>194</v>
      </c>
      <c r="I228" s="2" t="s">
        <v>503</v>
      </c>
      <c r="J228" s="2" t="s">
        <v>19</v>
      </c>
      <c r="K228" s="2" t="s">
        <v>353</v>
      </c>
      <c r="L228" s="7" t="str">
        <f>HYPERLINK("http://slimages.macys.com/is/image/MCY/11804644 ")</f>
        <v xml:space="preserve">http://slimages.macys.com/is/image/MCY/11804644 </v>
      </c>
    </row>
    <row r="229" spans="1:12" ht="24.75" x14ac:dyDescent="0.25">
      <c r="A229" s="4" t="s">
        <v>6551</v>
      </c>
      <c r="B229" s="2" t="s">
        <v>898</v>
      </c>
      <c r="C229" s="3">
        <v>1</v>
      </c>
      <c r="D229" s="5">
        <v>37.130000000000003</v>
      </c>
      <c r="E229" s="3">
        <v>100009193</v>
      </c>
      <c r="F229" s="2" t="s">
        <v>26</v>
      </c>
      <c r="G229" s="6" t="s">
        <v>58</v>
      </c>
      <c r="H229" s="2" t="s">
        <v>194</v>
      </c>
      <c r="I229" s="2" t="s">
        <v>503</v>
      </c>
      <c r="J229" s="2" t="s">
        <v>19</v>
      </c>
      <c r="K229" s="2" t="s">
        <v>353</v>
      </c>
      <c r="L229" s="7" t="str">
        <f>HYPERLINK("http://slimages.macys.com/is/image/MCY/11804644 ")</f>
        <v xml:space="preserve">http://slimages.macys.com/is/image/MCY/11804644 </v>
      </c>
    </row>
    <row r="230" spans="1:12" ht="24.75" x14ac:dyDescent="0.25">
      <c r="A230" s="4" t="s">
        <v>9058</v>
      </c>
      <c r="B230" s="2" t="s">
        <v>9059</v>
      </c>
      <c r="C230" s="3">
        <v>1</v>
      </c>
      <c r="D230" s="5">
        <v>54.5</v>
      </c>
      <c r="E230" s="3">
        <v>100056426</v>
      </c>
      <c r="F230" s="2" t="s">
        <v>64</v>
      </c>
      <c r="G230" s="6" t="s">
        <v>141</v>
      </c>
      <c r="H230" s="2" t="s">
        <v>386</v>
      </c>
      <c r="I230" s="2" t="s">
        <v>207</v>
      </c>
      <c r="J230" s="2" t="s">
        <v>19</v>
      </c>
      <c r="K230" s="2" t="s">
        <v>338</v>
      </c>
      <c r="L230" s="7" t="str">
        <f>HYPERLINK("http://slimages.macys.com/is/image/MCY/11950570 ")</f>
        <v xml:space="preserve">http://slimages.macys.com/is/image/MCY/11950570 </v>
      </c>
    </row>
    <row r="231" spans="1:12" ht="24.75" x14ac:dyDescent="0.25">
      <c r="A231" s="4" t="s">
        <v>9060</v>
      </c>
      <c r="B231" s="2" t="s">
        <v>9059</v>
      </c>
      <c r="C231" s="3">
        <v>1</v>
      </c>
      <c r="D231" s="5">
        <v>54.5</v>
      </c>
      <c r="E231" s="3">
        <v>100056426</v>
      </c>
      <c r="F231" s="2" t="s">
        <v>64</v>
      </c>
      <c r="G231" s="6" t="s">
        <v>58</v>
      </c>
      <c r="H231" s="2" t="s">
        <v>386</v>
      </c>
      <c r="I231" s="2" t="s">
        <v>207</v>
      </c>
      <c r="J231" s="2" t="s">
        <v>19</v>
      </c>
      <c r="K231" s="2" t="s">
        <v>338</v>
      </c>
      <c r="L231" s="7" t="str">
        <f>HYPERLINK("http://slimages.macys.com/is/image/MCY/11950570 ")</f>
        <v xml:space="preserve">http://slimages.macys.com/is/image/MCY/11950570 </v>
      </c>
    </row>
    <row r="232" spans="1:12" ht="24.75" x14ac:dyDescent="0.25">
      <c r="A232" s="4" t="s">
        <v>9061</v>
      </c>
      <c r="B232" s="2" t="s">
        <v>2571</v>
      </c>
      <c r="C232" s="3">
        <v>1</v>
      </c>
      <c r="D232" s="5">
        <v>36.5</v>
      </c>
      <c r="E232" s="3" t="s">
        <v>2572</v>
      </c>
      <c r="F232" s="2" t="s">
        <v>413</v>
      </c>
      <c r="G232" s="6" t="s">
        <v>156</v>
      </c>
      <c r="H232" s="2" t="s">
        <v>246</v>
      </c>
      <c r="I232" s="2" t="s">
        <v>189</v>
      </c>
      <c r="J232" s="2" t="s">
        <v>19</v>
      </c>
      <c r="K232" s="2" t="s">
        <v>1230</v>
      </c>
      <c r="L232" s="7" t="str">
        <f>HYPERLINK("http://slimages.macys.com/is/image/MCY/9818614 ")</f>
        <v xml:space="preserve">http://slimages.macys.com/is/image/MCY/9818614 </v>
      </c>
    </row>
    <row r="233" spans="1:12" ht="24.75" x14ac:dyDescent="0.25">
      <c r="A233" s="4" t="s">
        <v>5750</v>
      </c>
      <c r="B233" s="2" t="s">
        <v>890</v>
      </c>
      <c r="C233" s="3">
        <v>1</v>
      </c>
      <c r="D233" s="5">
        <v>34.5</v>
      </c>
      <c r="E233" s="3" t="s">
        <v>4818</v>
      </c>
      <c r="F233" s="2" t="s">
        <v>193</v>
      </c>
      <c r="G233" s="6" t="s">
        <v>22</v>
      </c>
      <c r="H233" s="2" t="s">
        <v>228</v>
      </c>
      <c r="I233" s="2" t="s">
        <v>863</v>
      </c>
      <c r="J233" s="2" t="s">
        <v>19</v>
      </c>
      <c r="K233" s="2" t="s">
        <v>253</v>
      </c>
      <c r="L233" s="7" t="str">
        <f>HYPERLINK("http://slimages.macys.com/is/image/MCY/11804239 ")</f>
        <v xml:space="preserve">http://slimages.macys.com/is/image/MCY/11804239 </v>
      </c>
    </row>
    <row r="234" spans="1:12" ht="24.75" x14ac:dyDescent="0.25">
      <c r="A234" s="4" t="s">
        <v>4819</v>
      </c>
      <c r="B234" s="2" t="s">
        <v>890</v>
      </c>
      <c r="C234" s="3">
        <v>1</v>
      </c>
      <c r="D234" s="5">
        <v>34.5</v>
      </c>
      <c r="E234" s="3" t="s">
        <v>4818</v>
      </c>
      <c r="F234" s="2" t="s">
        <v>193</v>
      </c>
      <c r="G234" s="6" t="s">
        <v>58</v>
      </c>
      <c r="H234" s="2" t="s">
        <v>228</v>
      </c>
      <c r="I234" s="2" t="s">
        <v>863</v>
      </c>
      <c r="J234" s="2" t="s">
        <v>19</v>
      </c>
      <c r="K234" s="2" t="s">
        <v>253</v>
      </c>
      <c r="L234" s="7" t="str">
        <f>HYPERLINK("http://slimages.macys.com/is/image/MCY/11804239 ")</f>
        <v xml:space="preserve">http://slimages.macys.com/is/image/MCY/11804239 </v>
      </c>
    </row>
    <row r="235" spans="1:12" ht="24.75" x14ac:dyDescent="0.25">
      <c r="A235" s="4" t="s">
        <v>9062</v>
      </c>
      <c r="B235" s="2" t="s">
        <v>7371</v>
      </c>
      <c r="C235" s="3">
        <v>1</v>
      </c>
      <c r="D235" s="5">
        <v>33.380000000000003</v>
      </c>
      <c r="E235" s="3" t="s">
        <v>7372</v>
      </c>
      <c r="F235" s="2" t="s">
        <v>752</v>
      </c>
      <c r="G235" s="6" t="s">
        <v>154</v>
      </c>
      <c r="H235" s="2" t="s">
        <v>194</v>
      </c>
      <c r="I235" s="2" t="s">
        <v>195</v>
      </c>
      <c r="J235" s="2" t="s">
        <v>19</v>
      </c>
      <c r="K235" s="2" t="s">
        <v>323</v>
      </c>
      <c r="L235" s="7" t="str">
        <f>HYPERLINK("http://slimages.macys.com/is/image/MCY/12734325 ")</f>
        <v xml:space="preserve">http://slimages.macys.com/is/image/MCY/12734325 </v>
      </c>
    </row>
    <row r="236" spans="1:12" ht="24.75" x14ac:dyDescent="0.25">
      <c r="A236" s="4" t="s">
        <v>7369</v>
      </c>
      <c r="B236" s="2" t="s">
        <v>1080</v>
      </c>
      <c r="C236" s="3">
        <v>1</v>
      </c>
      <c r="D236" s="5">
        <v>33.380000000000003</v>
      </c>
      <c r="E236" s="3" t="s">
        <v>1081</v>
      </c>
      <c r="F236" s="2" t="s">
        <v>252</v>
      </c>
      <c r="G236" s="6" t="s">
        <v>234</v>
      </c>
      <c r="H236" s="2" t="s">
        <v>194</v>
      </c>
      <c r="I236" s="2" t="s">
        <v>195</v>
      </c>
      <c r="J236" s="2" t="s">
        <v>19</v>
      </c>
      <c r="K236" s="2" t="s">
        <v>1082</v>
      </c>
      <c r="L236" s="7" t="str">
        <f>HYPERLINK("http://slimages.macys.com/is/image/MCY/13120798 ")</f>
        <v xml:space="preserve">http://slimages.macys.com/is/image/MCY/13120798 </v>
      </c>
    </row>
    <row r="237" spans="1:12" ht="24.75" x14ac:dyDescent="0.25">
      <c r="A237" s="4" t="s">
        <v>1089</v>
      </c>
      <c r="B237" s="2" t="s">
        <v>1090</v>
      </c>
      <c r="C237" s="3">
        <v>1</v>
      </c>
      <c r="D237" s="5">
        <v>34.5</v>
      </c>
      <c r="E237" s="3" t="s">
        <v>1091</v>
      </c>
      <c r="F237" s="2" t="s">
        <v>111</v>
      </c>
      <c r="G237" s="6"/>
      <c r="H237" s="2" t="s">
        <v>426</v>
      </c>
      <c r="I237" s="2" t="s">
        <v>229</v>
      </c>
      <c r="J237" s="2" t="s">
        <v>19</v>
      </c>
      <c r="K237" s="2" t="s">
        <v>383</v>
      </c>
      <c r="L237" s="7" t="str">
        <f>HYPERLINK("http://slimages.macys.com/is/image/MCY/11804183 ")</f>
        <v xml:space="preserve">http://slimages.macys.com/is/image/MCY/11804183 </v>
      </c>
    </row>
    <row r="238" spans="1:12" x14ac:dyDescent="0.25">
      <c r="A238" s="4" t="s">
        <v>8116</v>
      </c>
      <c r="B238" s="2" t="s">
        <v>1101</v>
      </c>
      <c r="C238" s="3">
        <v>1</v>
      </c>
      <c r="D238" s="5">
        <v>39.5</v>
      </c>
      <c r="E238" s="3" t="s">
        <v>1102</v>
      </c>
      <c r="F238" s="2" t="s">
        <v>506</v>
      </c>
      <c r="G238" s="6"/>
      <c r="H238" s="2" t="s">
        <v>206</v>
      </c>
      <c r="I238" s="2" t="s">
        <v>207</v>
      </c>
      <c r="J238" s="2" t="s">
        <v>19</v>
      </c>
      <c r="K238" s="2" t="s">
        <v>160</v>
      </c>
      <c r="L238" s="7" t="str">
        <f>HYPERLINK("http://slimages.macys.com/is/image/MCY/10453045 ")</f>
        <v xml:space="preserve">http://slimages.macys.com/is/image/MCY/10453045 </v>
      </c>
    </row>
    <row r="239" spans="1:12" ht="24.75" x14ac:dyDescent="0.25">
      <c r="A239" s="4" t="s">
        <v>9063</v>
      </c>
      <c r="B239" s="2" t="s">
        <v>4826</v>
      </c>
      <c r="C239" s="3">
        <v>1</v>
      </c>
      <c r="D239" s="5">
        <v>37.130000000000003</v>
      </c>
      <c r="E239" s="3">
        <v>100021423</v>
      </c>
      <c r="F239" s="2" t="s">
        <v>64</v>
      </c>
      <c r="G239" s="6" t="s">
        <v>245</v>
      </c>
      <c r="H239" s="2" t="s">
        <v>194</v>
      </c>
      <c r="I239" s="2" t="s">
        <v>195</v>
      </c>
      <c r="J239" s="2" t="s">
        <v>19</v>
      </c>
      <c r="K239" s="2" t="s">
        <v>648</v>
      </c>
      <c r="L239" s="7" t="str">
        <f>HYPERLINK("http://slimages.macys.com/is/image/MCY/12851013 ")</f>
        <v xml:space="preserve">http://slimages.macys.com/is/image/MCY/12851013 </v>
      </c>
    </row>
    <row r="240" spans="1:12" ht="24.75" x14ac:dyDescent="0.25">
      <c r="A240" s="4" t="s">
        <v>4833</v>
      </c>
      <c r="B240" s="2" t="s">
        <v>1106</v>
      </c>
      <c r="C240" s="3">
        <v>1</v>
      </c>
      <c r="D240" s="5">
        <v>32.5</v>
      </c>
      <c r="E240" s="3" t="s">
        <v>4834</v>
      </c>
      <c r="F240" s="2" t="s">
        <v>74</v>
      </c>
      <c r="G240" s="6" t="s">
        <v>156</v>
      </c>
      <c r="H240" s="2" t="s">
        <v>194</v>
      </c>
      <c r="I240" s="2" t="s">
        <v>195</v>
      </c>
      <c r="J240" s="2" t="s">
        <v>19</v>
      </c>
      <c r="K240" s="2" t="s">
        <v>1108</v>
      </c>
      <c r="L240" s="7" t="str">
        <f>HYPERLINK("http://slimages.macys.com/is/image/MCY/11526915 ")</f>
        <v xml:space="preserve">http://slimages.macys.com/is/image/MCY/11526915 </v>
      </c>
    </row>
    <row r="241" spans="1:12" ht="24.75" x14ac:dyDescent="0.25">
      <c r="A241" s="4" t="s">
        <v>7383</v>
      </c>
      <c r="B241" s="2" t="s">
        <v>1114</v>
      </c>
      <c r="C241" s="3">
        <v>1</v>
      </c>
      <c r="D241" s="5">
        <v>37.130000000000003</v>
      </c>
      <c r="E241" s="3">
        <v>100042369</v>
      </c>
      <c r="F241" s="2" t="s">
        <v>94</v>
      </c>
      <c r="G241" s="6" t="s">
        <v>141</v>
      </c>
      <c r="H241" s="2" t="s">
        <v>194</v>
      </c>
      <c r="I241" s="2" t="s">
        <v>195</v>
      </c>
      <c r="J241" s="2" t="s">
        <v>19</v>
      </c>
      <c r="K241" s="2" t="s">
        <v>353</v>
      </c>
      <c r="L241" s="7" t="str">
        <f>HYPERLINK("http://slimages.macys.com/is/image/MCY/11934953 ")</f>
        <v xml:space="preserve">http://slimages.macys.com/is/image/MCY/11934953 </v>
      </c>
    </row>
    <row r="242" spans="1:12" ht="24.75" x14ac:dyDescent="0.25">
      <c r="A242" s="4" t="s">
        <v>1120</v>
      </c>
      <c r="B242" s="2" t="s">
        <v>1118</v>
      </c>
      <c r="C242" s="3">
        <v>1</v>
      </c>
      <c r="D242" s="5">
        <v>37.130000000000003</v>
      </c>
      <c r="E242" s="3">
        <v>100070736</v>
      </c>
      <c r="F242" s="2" t="s">
        <v>376</v>
      </c>
      <c r="G242" s="6" t="s">
        <v>154</v>
      </c>
      <c r="H242" s="2" t="s">
        <v>194</v>
      </c>
      <c r="I242" s="2" t="s">
        <v>195</v>
      </c>
      <c r="J242" s="2" t="s">
        <v>19</v>
      </c>
      <c r="K242" s="2" t="s">
        <v>353</v>
      </c>
      <c r="L242" s="7" t="str">
        <f>HYPERLINK("http://slimages.macys.com/is/image/MCY/13120823 ")</f>
        <v xml:space="preserve">http://slimages.macys.com/is/image/MCY/13120823 </v>
      </c>
    </row>
    <row r="243" spans="1:12" ht="24.75" x14ac:dyDescent="0.25">
      <c r="A243" s="4" t="s">
        <v>1127</v>
      </c>
      <c r="B243" s="2" t="s">
        <v>1128</v>
      </c>
      <c r="C243" s="3">
        <v>1</v>
      </c>
      <c r="D243" s="5">
        <v>32.5</v>
      </c>
      <c r="E243" s="3" t="s">
        <v>1129</v>
      </c>
      <c r="F243" s="2" t="s">
        <v>252</v>
      </c>
      <c r="G243" s="6" t="s">
        <v>234</v>
      </c>
      <c r="H243" s="2" t="s">
        <v>194</v>
      </c>
      <c r="I243" s="2" t="s">
        <v>195</v>
      </c>
      <c r="J243" s="2" t="s">
        <v>19</v>
      </c>
      <c r="K243" s="2" t="s">
        <v>1108</v>
      </c>
      <c r="L243" s="7" t="str">
        <f>HYPERLINK("http://slimages.macys.com/is/image/MCY/12850781 ")</f>
        <v xml:space="preserve">http://slimages.macys.com/is/image/MCY/12850781 </v>
      </c>
    </row>
    <row r="244" spans="1:12" ht="24.75" x14ac:dyDescent="0.25">
      <c r="A244" s="4" t="s">
        <v>1130</v>
      </c>
      <c r="B244" s="2" t="s">
        <v>1128</v>
      </c>
      <c r="C244" s="3">
        <v>2</v>
      </c>
      <c r="D244" s="5">
        <v>32.5</v>
      </c>
      <c r="E244" s="3" t="s">
        <v>1129</v>
      </c>
      <c r="F244" s="2" t="s">
        <v>252</v>
      </c>
      <c r="G244" s="6" t="s">
        <v>181</v>
      </c>
      <c r="H244" s="2" t="s">
        <v>194</v>
      </c>
      <c r="I244" s="2" t="s">
        <v>195</v>
      </c>
      <c r="J244" s="2" t="s">
        <v>19</v>
      </c>
      <c r="K244" s="2" t="s">
        <v>1108</v>
      </c>
      <c r="L244" s="7" t="str">
        <f>HYPERLINK("http://slimages.macys.com/is/image/MCY/12850781 ")</f>
        <v xml:space="preserve">http://slimages.macys.com/is/image/MCY/12850781 </v>
      </c>
    </row>
    <row r="245" spans="1:12" ht="24.75" x14ac:dyDescent="0.25">
      <c r="A245" s="4" t="s">
        <v>9064</v>
      </c>
      <c r="B245" s="2" t="s">
        <v>1132</v>
      </c>
      <c r="C245" s="3">
        <v>1</v>
      </c>
      <c r="D245" s="5">
        <v>34.5</v>
      </c>
      <c r="E245" s="3" t="s">
        <v>1143</v>
      </c>
      <c r="F245" s="2" t="s">
        <v>506</v>
      </c>
      <c r="G245" s="6" t="s">
        <v>65</v>
      </c>
      <c r="H245" s="2" t="s">
        <v>228</v>
      </c>
      <c r="I245" s="2" t="s">
        <v>863</v>
      </c>
      <c r="J245" s="2" t="s">
        <v>19</v>
      </c>
      <c r="K245" s="2" t="s">
        <v>253</v>
      </c>
      <c r="L245" s="7" t="str">
        <f>HYPERLINK("http://slimages.macys.com/is/image/MCY/11804272 ")</f>
        <v xml:space="preserve">http://slimages.macys.com/is/image/MCY/11804272 </v>
      </c>
    </row>
    <row r="246" spans="1:12" ht="24.75" x14ac:dyDescent="0.25">
      <c r="A246" s="4" t="s">
        <v>9065</v>
      </c>
      <c r="B246" s="2" t="s">
        <v>1147</v>
      </c>
      <c r="C246" s="3">
        <v>1</v>
      </c>
      <c r="D246" s="5">
        <v>34.880000000000003</v>
      </c>
      <c r="E246" s="3">
        <v>100055540</v>
      </c>
      <c r="F246" s="2" t="s">
        <v>15</v>
      </c>
      <c r="G246" s="6" t="s">
        <v>106</v>
      </c>
      <c r="H246" s="2" t="s">
        <v>194</v>
      </c>
      <c r="I246" s="2" t="s">
        <v>195</v>
      </c>
      <c r="J246" s="2" t="s">
        <v>19</v>
      </c>
      <c r="K246" s="2" t="s">
        <v>353</v>
      </c>
      <c r="L246" s="7" t="str">
        <f>HYPERLINK("http://slimages.macys.com/is/image/MCY/12035336 ")</f>
        <v xml:space="preserve">http://slimages.macys.com/is/image/MCY/12035336 </v>
      </c>
    </row>
    <row r="247" spans="1:12" ht="24.75" x14ac:dyDescent="0.25">
      <c r="A247" s="4" t="s">
        <v>3763</v>
      </c>
      <c r="B247" s="2" t="s">
        <v>1147</v>
      </c>
      <c r="C247" s="3">
        <v>1</v>
      </c>
      <c r="D247" s="5">
        <v>34.880000000000003</v>
      </c>
      <c r="E247" s="3">
        <v>100055540</v>
      </c>
      <c r="F247" s="2" t="s">
        <v>70</v>
      </c>
      <c r="G247" s="6" t="s">
        <v>58</v>
      </c>
      <c r="H247" s="2" t="s">
        <v>194</v>
      </c>
      <c r="I247" s="2" t="s">
        <v>195</v>
      </c>
      <c r="J247" s="2" t="s">
        <v>19</v>
      </c>
      <c r="K247" s="2" t="s">
        <v>353</v>
      </c>
      <c r="L247" s="7" t="str">
        <f>HYPERLINK("http://slimages.macys.com/is/image/MCY/12035336 ")</f>
        <v xml:space="preserve">http://slimages.macys.com/is/image/MCY/12035336 </v>
      </c>
    </row>
    <row r="248" spans="1:12" ht="24.75" x14ac:dyDescent="0.25">
      <c r="A248" s="4" t="s">
        <v>9066</v>
      </c>
      <c r="B248" s="2" t="s">
        <v>1147</v>
      </c>
      <c r="C248" s="3">
        <v>2</v>
      </c>
      <c r="D248" s="5">
        <v>34.880000000000003</v>
      </c>
      <c r="E248" s="3">
        <v>100055540</v>
      </c>
      <c r="F248" s="2" t="s">
        <v>15</v>
      </c>
      <c r="G248" s="6" t="s">
        <v>58</v>
      </c>
      <c r="H248" s="2" t="s">
        <v>194</v>
      </c>
      <c r="I248" s="2" t="s">
        <v>195</v>
      </c>
      <c r="J248" s="2" t="s">
        <v>19</v>
      </c>
      <c r="K248" s="2" t="s">
        <v>353</v>
      </c>
      <c r="L248" s="7" t="str">
        <f>HYPERLINK("http://slimages.macys.com/is/image/MCY/12035336 ")</f>
        <v xml:space="preserve">http://slimages.macys.com/is/image/MCY/12035336 </v>
      </c>
    </row>
    <row r="249" spans="1:12" ht="24.75" x14ac:dyDescent="0.25">
      <c r="A249" s="4" t="s">
        <v>1146</v>
      </c>
      <c r="B249" s="2" t="s">
        <v>1147</v>
      </c>
      <c r="C249" s="3">
        <v>2</v>
      </c>
      <c r="D249" s="5">
        <v>34.880000000000003</v>
      </c>
      <c r="E249" s="3">
        <v>100055540</v>
      </c>
      <c r="F249" s="2" t="s">
        <v>70</v>
      </c>
      <c r="G249" s="6" t="s">
        <v>16</v>
      </c>
      <c r="H249" s="2" t="s">
        <v>194</v>
      </c>
      <c r="I249" s="2" t="s">
        <v>195</v>
      </c>
      <c r="J249" s="2" t="s">
        <v>19</v>
      </c>
      <c r="K249" s="2" t="s">
        <v>353</v>
      </c>
      <c r="L249" s="7" t="str">
        <f>HYPERLINK("http://slimages.macys.com/is/image/MCY/12035336 ")</f>
        <v xml:space="preserve">http://slimages.macys.com/is/image/MCY/12035336 </v>
      </c>
    </row>
    <row r="250" spans="1:12" ht="24.75" x14ac:dyDescent="0.25">
      <c r="A250" s="4" t="s">
        <v>9067</v>
      </c>
      <c r="B250" s="2" t="s">
        <v>1152</v>
      </c>
      <c r="C250" s="3">
        <v>1</v>
      </c>
      <c r="D250" s="5">
        <v>37.130000000000003</v>
      </c>
      <c r="E250" s="3" t="s">
        <v>1153</v>
      </c>
      <c r="F250" s="2" t="s">
        <v>94</v>
      </c>
      <c r="G250" s="6" t="s">
        <v>181</v>
      </c>
      <c r="H250" s="2" t="s">
        <v>194</v>
      </c>
      <c r="I250" s="2" t="s">
        <v>195</v>
      </c>
      <c r="J250" s="2" t="s">
        <v>19</v>
      </c>
      <c r="K250" s="2" t="s">
        <v>34</v>
      </c>
      <c r="L250" s="7" t="str">
        <f>HYPERLINK("http://slimages.macys.com/is/image/MCY/12793856 ")</f>
        <v xml:space="preserve">http://slimages.macys.com/is/image/MCY/12793856 </v>
      </c>
    </row>
    <row r="251" spans="1:12" ht="24.75" x14ac:dyDescent="0.25">
      <c r="A251" s="4" t="s">
        <v>8644</v>
      </c>
      <c r="B251" s="2" t="s">
        <v>1155</v>
      </c>
      <c r="C251" s="3">
        <v>1</v>
      </c>
      <c r="D251" s="5">
        <v>37.130000000000003</v>
      </c>
      <c r="E251" s="3" t="s">
        <v>1156</v>
      </c>
      <c r="F251" s="2" t="s">
        <v>417</v>
      </c>
      <c r="G251" s="6" t="s">
        <v>200</v>
      </c>
      <c r="H251" s="2" t="s">
        <v>194</v>
      </c>
      <c r="I251" s="2" t="s">
        <v>195</v>
      </c>
      <c r="J251" s="2" t="s">
        <v>19</v>
      </c>
      <c r="K251" s="2" t="s">
        <v>648</v>
      </c>
      <c r="L251" s="7" t="str">
        <f>HYPERLINK("http://slimages.macys.com/is/image/MCY/13120794 ")</f>
        <v xml:space="preserve">http://slimages.macys.com/is/image/MCY/13120794 </v>
      </c>
    </row>
    <row r="252" spans="1:12" ht="24.75" x14ac:dyDescent="0.25">
      <c r="A252" s="4" t="s">
        <v>1154</v>
      </c>
      <c r="B252" s="2" t="s">
        <v>1155</v>
      </c>
      <c r="C252" s="3">
        <v>3</v>
      </c>
      <c r="D252" s="5">
        <v>37.130000000000003</v>
      </c>
      <c r="E252" s="3" t="s">
        <v>1156</v>
      </c>
      <c r="F252" s="2" t="s">
        <v>417</v>
      </c>
      <c r="G252" s="6" t="s">
        <v>181</v>
      </c>
      <c r="H252" s="2" t="s">
        <v>194</v>
      </c>
      <c r="I252" s="2" t="s">
        <v>195</v>
      </c>
      <c r="J252" s="2" t="s">
        <v>19</v>
      </c>
      <c r="K252" s="2" t="s">
        <v>648</v>
      </c>
      <c r="L252" s="7" t="str">
        <f>HYPERLINK("http://slimages.macys.com/is/image/MCY/13120794 ")</f>
        <v xml:space="preserve">http://slimages.macys.com/is/image/MCY/13120794 </v>
      </c>
    </row>
    <row r="253" spans="1:12" ht="24.75" x14ac:dyDescent="0.25">
      <c r="A253" s="4" t="s">
        <v>9068</v>
      </c>
      <c r="B253" s="2" t="s">
        <v>1160</v>
      </c>
      <c r="C253" s="3">
        <v>1</v>
      </c>
      <c r="D253" s="5">
        <v>69.5</v>
      </c>
      <c r="E253" s="3">
        <v>100055239</v>
      </c>
      <c r="F253" s="2" t="s">
        <v>74</v>
      </c>
      <c r="G253" s="6" t="s">
        <v>22</v>
      </c>
      <c r="H253" s="2" t="s">
        <v>386</v>
      </c>
      <c r="I253" s="2" t="s">
        <v>207</v>
      </c>
      <c r="J253" s="2" t="s">
        <v>19</v>
      </c>
      <c r="K253" s="2" t="s">
        <v>387</v>
      </c>
      <c r="L253" s="7" t="str">
        <f>HYPERLINK("http://slimages.macys.com/is/image/MCY/11535562 ")</f>
        <v xml:space="preserve">http://slimages.macys.com/is/image/MCY/11535562 </v>
      </c>
    </row>
    <row r="254" spans="1:12" ht="24.75" x14ac:dyDescent="0.25">
      <c r="A254" s="4" t="s">
        <v>9069</v>
      </c>
      <c r="B254" s="2" t="s">
        <v>1160</v>
      </c>
      <c r="C254" s="3">
        <v>1</v>
      </c>
      <c r="D254" s="5">
        <v>69.5</v>
      </c>
      <c r="E254" s="3">
        <v>100055239</v>
      </c>
      <c r="F254" s="2" t="s">
        <v>74</v>
      </c>
      <c r="G254" s="6" t="s">
        <v>58</v>
      </c>
      <c r="H254" s="2" t="s">
        <v>386</v>
      </c>
      <c r="I254" s="2" t="s">
        <v>207</v>
      </c>
      <c r="J254" s="2" t="s">
        <v>19</v>
      </c>
      <c r="K254" s="2" t="s">
        <v>387</v>
      </c>
      <c r="L254" s="7" t="str">
        <f>HYPERLINK("http://slimages.macys.com/is/image/MCY/11535562 ")</f>
        <v xml:space="preserve">http://slimages.macys.com/is/image/MCY/11535562 </v>
      </c>
    </row>
    <row r="255" spans="1:12" ht="24.75" x14ac:dyDescent="0.25">
      <c r="A255" s="4" t="s">
        <v>3769</v>
      </c>
      <c r="B255" s="2" t="s">
        <v>1160</v>
      </c>
      <c r="C255" s="3">
        <v>1</v>
      </c>
      <c r="D255" s="5">
        <v>69.5</v>
      </c>
      <c r="E255" s="3">
        <v>100055239</v>
      </c>
      <c r="F255" s="2" t="s">
        <v>74</v>
      </c>
      <c r="G255" s="6" t="s">
        <v>65</v>
      </c>
      <c r="H255" s="2" t="s">
        <v>386</v>
      </c>
      <c r="I255" s="2" t="s">
        <v>207</v>
      </c>
      <c r="J255" s="2" t="s">
        <v>19</v>
      </c>
      <c r="K255" s="2" t="s">
        <v>387</v>
      </c>
      <c r="L255" s="7" t="str">
        <f>HYPERLINK("http://slimages.macys.com/is/image/MCY/11535562 ")</f>
        <v xml:space="preserve">http://slimages.macys.com/is/image/MCY/11535562 </v>
      </c>
    </row>
    <row r="256" spans="1:12" ht="24.75" x14ac:dyDescent="0.25">
      <c r="A256" s="4" t="s">
        <v>9070</v>
      </c>
      <c r="B256" s="2" t="s">
        <v>1167</v>
      </c>
      <c r="C256" s="3">
        <v>1</v>
      </c>
      <c r="D256" s="5">
        <v>34.5</v>
      </c>
      <c r="E256" s="3" t="s">
        <v>1168</v>
      </c>
      <c r="F256" s="2" t="s">
        <v>74</v>
      </c>
      <c r="G256" s="6" t="s">
        <v>27</v>
      </c>
      <c r="H256" s="2" t="s">
        <v>228</v>
      </c>
      <c r="I256" s="2" t="s">
        <v>863</v>
      </c>
      <c r="J256" s="2" t="s">
        <v>19</v>
      </c>
      <c r="K256" s="2" t="s">
        <v>230</v>
      </c>
      <c r="L256" s="7" t="str">
        <f>HYPERLINK("http://slimages.macys.com/is/image/MCY/3623515 ")</f>
        <v xml:space="preserve">http://slimages.macys.com/is/image/MCY/3623515 </v>
      </c>
    </row>
    <row r="257" spans="1:12" ht="24.75" x14ac:dyDescent="0.25">
      <c r="A257" s="4" t="s">
        <v>2598</v>
      </c>
      <c r="B257" s="2" t="s">
        <v>1199</v>
      </c>
      <c r="C257" s="3">
        <v>1</v>
      </c>
      <c r="D257" s="5">
        <v>37.130000000000003</v>
      </c>
      <c r="E257" s="3">
        <v>100009324</v>
      </c>
      <c r="F257" s="2" t="s">
        <v>70</v>
      </c>
      <c r="G257" s="6" t="s">
        <v>106</v>
      </c>
      <c r="H257" s="2" t="s">
        <v>194</v>
      </c>
      <c r="I257" s="2" t="s">
        <v>195</v>
      </c>
      <c r="J257" s="2" t="s">
        <v>19</v>
      </c>
      <c r="K257" s="2" t="s">
        <v>353</v>
      </c>
      <c r="L257" s="7" t="str">
        <f>HYPERLINK("http://slimages.macys.com/is/image/MCY/9404224 ")</f>
        <v xml:space="preserve">http://slimages.macys.com/is/image/MCY/9404224 </v>
      </c>
    </row>
    <row r="258" spans="1:12" ht="24.75" x14ac:dyDescent="0.25">
      <c r="A258" s="4" t="s">
        <v>4852</v>
      </c>
      <c r="B258" s="2" t="s">
        <v>1183</v>
      </c>
      <c r="C258" s="3">
        <v>1</v>
      </c>
      <c r="D258" s="5">
        <v>34.5</v>
      </c>
      <c r="E258" s="3" t="s">
        <v>3777</v>
      </c>
      <c r="F258" s="2" t="s">
        <v>74</v>
      </c>
      <c r="G258" s="6" t="s">
        <v>181</v>
      </c>
      <c r="H258" s="2" t="s">
        <v>228</v>
      </c>
      <c r="I258" s="2" t="s">
        <v>229</v>
      </c>
      <c r="J258" s="2" t="s">
        <v>19</v>
      </c>
      <c r="K258" s="2" t="s">
        <v>253</v>
      </c>
      <c r="L258" s="7" t="str">
        <f>HYPERLINK("http://slimages.macys.com/is/image/MCY/11269044 ")</f>
        <v xml:space="preserve">http://slimages.macys.com/is/image/MCY/11269044 </v>
      </c>
    </row>
    <row r="259" spans="1:12" ht="24.75" x14ac:dyDescent="0.25">
      <c r="A259" s="4" t="s">
        <v>4857</v>
      </c>
      <c r="B259" s="2" t="s">
        <v>4858</v>
      </c>
      <c r="C259" s="3">
        <v>1</v>
      </c>
      <c r="D259" s="5">
        <v>37.130000000000003</v>
      </c>
      <c r="E259" s="3" t="s">
        <v>4859</v>
      </c>
      <c r="F259" s="2" t="s">
        <v>26</v>
      </c>
      <c r="G259" s="6" t="s">
        <v>154</v>
      </c>
      <c r="H259" s="2" t="s">
        <v>246</v>
      </c>
      <c r="I259" s="2" t="s">
        <v>189</v>
      </c>
      <c r="J259" s="2" t="s">
        <v>19</v>
      </c>
      <c r="K259" s="2" t="s">
        <v>34</v>
      </c>
      <c r="L259" s="7" t="str">
        <f>HYPERLINK("http://slimages.macys.com/is/image/MCY/12327034 ")</f>
        <v xml:space="preserve">http://slimages.macys.com/is/image/MCY/12327034 </v>
      </c>
    </row>
    <row r="260" spans="1:12" ht="24.75" x14ac:dyDescent="0.25">
      <c r="A260" s="4" t="s">
        <v>9071</v>
      </c>
      <c r="B260" s="2" t="s">
        <v>1183</v>
      </c>
      <c r="C260" s="3">
        <v>1</v>
      </c>
      <c r="D260" s="5">
        <v>34.5</v>
      </c>
      <c r="E260" s="3">
        <v>100010006</v>
      </c>
      <c r="F260" s="2" t="s">
        <v>417</v>
      </c>
      <c r="G260" s="6" t="s">
        <v>200</v>
      </c>
      <c r="H260" s="2" t="s">
        <v>228</v>
      </c>
      <c r="I260" s="2" t="s">
        <v>229</v>
      </c>
      <c r="J260" s="2" t="s">
        <v>19</v>
      </c>
      <c r="K260" s="2" t="s">
        <v>253</v>
      </c>
      <c r="L260" s="7" t="str">
        <f>HYPERLINK("http://slimages.macys.com/is/image/MCY/11269044 ")</f>
        <v xml:space="preserve">http://slimages.macys.com/is/image/MCY/11269044 </v>
      </c>
    </row>
    <row r="261" spans="1:12" ht="24.75" x14ac:dyDescent="0.25">
      <c r="A261" s="4" t="s">
        <v>5796</v>
      </c>
      <c r="B261" s="2" t="s">
        <v>1185</v>
      </c>
      <c r="C261" s="3">
        <v>1</v>
      </c>
      <c r="D261" s="5">
        <v>34.5</v>
      </c>
      <c r="E261" s="3" t="s">
        <v>1186</v>
      </c>
      <c r="F261" s="2" t="s">
        <v>376</v>
      </c>
      <c r="G261" s="6" t="s">
        <v>154</v>
      </c>
      <c r="H261" s="2" t="s">
        <v>228</v>
      </c>
      <c r="I261" s="2" t="s">
        <v>229</v>
      </c>
      <c r="J261" s="2" t="s">
        <v>19</v>
      </c>
      <c r="K261" s="2" t="s">
        <v>253</v>
      </c>
      <c r="L261" s="7" t="str">
        <f>HYPERLINK("http://slimages.macys.com/is/image/MCY/11269044 ")</f>
        <v xml:space="preserve">http://slimages.macys.com/is/image/MCY/11269044 </v>
      </c>
    </row>
    <row r="262" spans="1:12" ht="24.75" x14ac:dyDescent="0.25">
      <c r="A262" s="4" t="s">
        <v>9072</v>
      </c>
      <c r="B262" s="2" t="s">
        <v>4864</v>
      </c>
      <c r="C262" s="3">
        <v>1</v>
      </c>
      <c r="D262" s="5">
        <v>37.130000000000003</v>
      </c>
      <c r="E262" s="3" t="s">
        <v>4865</v>
      </c>
      <c r="F262" s="2" t="s">
        <v>15</v>
      </c>
      <c r="G262" s="6" t="s">
        <v>156</v>
      </c>
      <c r="H262" s="2" t="s">
        <v>194</v>
      </c>
      <c r="I262" s="2" t="s">
        <v>195</v>
      </c>
      <c r="J262" s="2" t="s">
        <v>19</v>
      </c>
      <c r="K262" s="2" t="s">
        <v>4866</v>
      </c>
      <c r="L262" s="7" t="str">
        <f>HYPERLINK("http://slimages.macys.com/is/image/MCY/12734328 ")</f>
        <v xml:space="preserve">http://slimages.macys.com/is/image/MCY/12734328 </v>
      </c>
    </row>
    <row r="263" spans="1:12" ht="24.75" x14ac:dyDescent="0.25">
      <c r="A263" s="4" t="s">
        <v>9073</v>
      </c>
      <c r="B263" s="2" t="s">
        <v>1188</v>
      </c>
      <c r="C263" s="3">
        <v>1</v>
      </c>
      <c r="D263" s="5">
        <v>44.63</v>
      </c>
      <c r="E263" s="3" t="s">
        <v>1189</v>
      </c>
      <c r="F263" s="2" t="s">
        <v>64</v>
      </c>
      <c r="G263" s="6" t="s">
        <v>181</v>
      </c>
      <c r="H263" s="2" t="s">
        <v>194</v>
      </c>
      <c r="I263" s="2" t="s">
        <v>195</v>
      </c>
      <c r="J263" s="2" t="s">
        <v>19</v>
      </c>
      <c r="K263" s="2" t="s">
        <v>803</v>
      </c>
      <c r="L263" s="7" t="str">
        <f>HYPERLINK("http://slimages.macys.com/is/image/MCY/13683354 ")</f>
        <v xml:space="preserve">http://slimages.macys.com/is/image/MCY/13683354 </v>
      </c>
    </row>
    <row r="264" spans="1:12" ht="24.75" x14ac:dyDescent="0.25">
      <c r="A264" s="4" t="s">
        <v>2606</v>
      </c>
      <c r="B264" s="2" t="s">
        <v>1196</v>
      </c>
      <c r="C264" s="3">
        <v>1</v>
      </c>
      <c r="D264" s="5">
        <v>37.130000000000003</v>
      </c>
      <c r="E264" s="3">
        <v>100020406</v>
      </c>
      <c r="F264" s="2" t="s">
        <v>887</v>
      </c>
      <c r="G264" s="6" t="s">
        <v>234</v>
      </c>
      <c r="H264" s="2" t="s">
        <v>194</v>
      </c>
      <c r="I264" s="2" t="s">
        <v>195</v>
      </c>
      <c r="J264" s="2" t="s">
        <v>19</v>
      </c>
      <c r="K264" s="2" t="s">
        <v>648</v>
      </c>
      <c r="L264" s="7" t="str">
        <f>HYPERLINK("http://slimages.macys.com/is/image/MCY/9577038 ")</f>
        <v xml:space="preserve">http://slimages.macys.com/is/image/MCY/9577038 </v>
      </c>
    </row>
    <row r="265" spans="1:12" ht="24.75" x14ac:dyDescent="0.25">
      <c r="A265" s="4" t="s">
        <v>1201</v>
      </c>
      <c r="B265" s="2" t="s">
        <v>1196</v>
      </c>
      <c r="C265" s="3">
        <v>1</v>
      </c>
      <c r="D265" s="5">
        <v>37.130000000000003</v>
      </c>
      <c r="E265" s="3">
        <v>100020406</v>
      </c>
      <c r="F265" s="2" t="s">
        <v>887</v>
      </c>
      <c r="G265" s="6" t="s">
        <v>156</v>
      </c>
      <c r="H265" s="2" t="s">
        <v>194</v>
      </c>
      <c r="I265" s="2" t="s">
        <v>195</v>
      </c>
      <c r="J265" s="2" t="s">
        <v>19</v>
      </c>
      <c r="K265" s="2" t="s">
        <v>648</v>
      </c>
      <c r="L265" s="7" t="str">
        <f>HYPERLINK("http://slimages.macys.com/is/image/MCY/9577038 ")</f>
        <v xml:space="preserve">http://slimages.macys.com/is/image/MCY/9577038 </v>
      </c>
    </row>
    <row r="266" spans="1:12" ht="24.75" x14ac:dyDescent="0.25">
      <c r="A266" s="4" t="s">
        <v>3779</v>
      </c>
      <c r="B266" s="2" t="s">
        <v>2611</v>
      </c>
      <c r="C266" s="3">
        <v>1</v>
      </c>
      <c r="D266" s="5">
        <v>37.130000000000003</v>
      </c>
      <c r="E266" s="3" t="s">
        <v>2612</v>
      </c>
      <c r="F266" s="2" t="s">
        <v>494</v>
      </c>
      <c r="G266" s="6" t="s">
        <v>156</v>
      </c>
      <c r="H266" s="2" t="s">
        <v>194</v>
      </c>
      <c r="I266" s="2" t="s">
        <v>195</v>
      </c>
      <c r="J266" s="2" t="s">
        <v>19</v>
      </c>
      <c r="K266" s="2" t="s">
        <v>648</v>
      </c>
      <c r="L266" s="7" t="str">
        <f>HYPERLINK("http://slimages.macys.com/is/image/MCY/12316757 ")</f>
        <v xml:space="preserve">http://slimages.macys.com/is/image/MCY/12316757 </v>
      </c>
    </row>
    <row r="267" spans="1:12" ht="24.75" x14ac:dyDescent="0.25">
      <c r="A267" s="4" t="s">
        <v>9074</v>
      </c>
      <c r="B267" s="2" t="s">
        <v>4869</v>
      </c>
      <c r="C267" s="3">
        <v>1</v>
      </c>
      <c r="D267" s="5">
        <v>37.130000000000003</v>
      </c>
      <c r="E267" s="3">
        <v>100015977</v>
      </c>
      <c r="F267" s="2" t="s">
        <v>26</v>
      </c>
      <c r="G267" s="6" t="s">
        <v>156</v>
      </c>
      <c r="H267" s="2" t="s">
        <v>246</v>
      </c>
      <c r="I267" s="2" t="s">
        <v>189</v>
      </c>
      <c r="J267" s="2" t="s">
        <v>19</v>
      </c>
      <c r="K267" s="2" t="s">
        <v>648</v>
      </c>
      <c r="L267" s="7" t="str">
        <f>HYPERLINK("http://slimages.macys.com/is/image/MCY/9557334 ")</f>
        <v xml:space="preserve">http://slimages.macys.com/is/image/MCY/9557334 </v>
      </c>
    </row>
    <row r="268" spans="1:12" ht="24.75" x14ac:dyDescent="0.25">
      <c r="A268" s="4" t="s">
        <v>3782</v>
      </c>
      <c r="B268" s="2" t="s">
        <v>1203</v>
      </c>
      <c r="C268" s="3">
        <v>1</v>
      </c>
      <c r="D268" s="5">
        <v>34.5</v>
      </c>
      <c r="E268" s="3" t="s">
        <v>1204</v>
      </c>
      <c r="F268" s="2" t="s">
        <v>506</v>
      </c>
      <c r="G268" s="6" t="s">
        <v>126</v>
      </c>
      <c r="H268" s="2" t="s">
        <v>426</v>
      </c>
      <c r="I268" s="2" t="s">
        <v>229</v>
      </c>
      <c r="J268" s="2" t="s">
        <v>19</v>
      </c>
      <c r="K268" s="2" t="s">
        <v>253</v>
      </c>
      <c r="L268" s="7" t="str">
        <f>HYPERLINK("http://slimages.macys.com/is/image/MCY/13535247 ")</f>
        <v xml:space="preserve">http://slimages.macys.com/is/image/MCY/13535247 </v>
      </c>
    </row>
    <row r="269" spans="1:12" ht="24.75" x14ac:dyDescent="0.25">
      <c r="A269" s="4" t="s">
        <v>8130</v>
      </c>
      <c r="B269" s="2" t="s">
        <v>1203</v>
      </c>
      <c r="C269" s="3">
        <v>1</v>
      </c>
      <c r="D269" s="5">
        <v>34.5</v>
      </c>
      <c r="E269" s="3" t="s">
        <v>1204</v>
      </c>
      <c r="F269" s="2" t="s">
        <v>506</v>
      </c>
      <c r="G269" s="6" t="s">
        <v>205</v>
      </c>
      <c r="H269" s="2" t="s">
        <v>426</v>
      </c>
      <c r="I269" s="2" t="s">
        <v>229</v>
      </c>
      <c r="J269" s="2" t="s">
        <v>19</v>
      </c>
      <c r="K269" s="2" t="s">
        <v>253</v>
      </c>
      <c r="L269" s="7" t="str">
        <f>HYPERLINK("http://slimages.macys.com/is/image/MCY/13535247 ")</f>
        <v xml:space="preserve">http://slimages.macys.com/is/image/MCY/13535247 </v>
      </c>
    </row>
    <row r="270" spans="1:12" ht="24.75" x14ac:dyDescent="0.25">
      <c r="A270" s="4" t="s">
        <v>9075</v>
      </c>
      <c r="B270" s="2" t="s">
        <v>1208</v>
      </c>
      <c r="C270" s="3">
        <v>1</v>
      </c>
      <c r="D270" s="5">
        <v>37.130000000000003</v>
      </c>
      <c r="E270" s="3">
        <v>100013470</v>
      </c>
      <c r="F270" s="2" t="s">
        <v>15</v>
      </c>
      <c r="G270" s="6" t="s">
        <v>141</v>
      </c>
      <c r="H270" s="2" t="s">
        <v>194</v>
      </c>
      <c r="I270" s="2" t="s">
        <v>195</v>
      </c>
      <c r="J270" s="2" t="s">
        <v>19</v>
      </c>
      <c r="K270" s="2" t="s">
        <v>353</v>
      </c>
      <c r="L270" s="7" t="str">
        <f>HYPERLINK("http://slimages.macys.com/is/image/MCY/9426968 ")</f>
        <v xml:space="preserve">http://slimages.macys.com/is/image/MCY/9426968 </v>
      </c>
    </row>
    <row r="271" spans="1:12" ht="24.75" x14ac:dyDescent="0.25">
      <c r="A271" s="4" t="s">
        <v>9076</v>
      </c>
      <c r="B271" s="2" t="s">
        <v>7414</v>
      </c>
      <c r="C271" s="3">
        <v>1</v>
      </c>
      <c r="D271" s="5">
        <v>37.130000000000003</v>
      </c>
      <c r="E271" s="3" t="s">
        <v>7415</v>
      </c>
      <c r="F271" s="2" t="s">
        <v>64</v>
      </c>
      <c r="G271" s="6" t="s">
        <v>141</v>
      </c>
      <c r="H271" s="2" t="s">
        <v>246</v>
      </c>
      <c r="I271" s="2" t="s">
        <v>189</v>
      </c>
      <c r="J271" s="2" t="s">
        <v>19</v>
      </c>
      <c r="K271" s="2" t="s">
        <v>353</v>
      </c>
      <c r="L271" s="7" t="str">
        <f>HYPERLINK("http://slimages.macys.com/is/image/MCY/11915457 ")</f>
        <v xml:space="preserve">http://slimages.macys.com/is/image/MCY/11915457 </v>
      </c>
    </row>
    <row r="272" spans="1:12" ht="24.75" x14ac:dyDescent="0.25">
      <c r="A272" s="4" t="s">
        <v>9077</v>
      </c>
      <c r="B272" s="2" t="s">
        <v>7414</v>
      </c>
      <c r="C272" s="3">
        <v>1</v>
      </c>
      <c r="D272" s="5">
        <v>37.130000000000003</v>
      </c>
      <c r="E272" s="3" t="s">
        <v>7415</v>
      </c>
      <c r="F272" s="2" t="s">
        <v>680</v>
      </c>
      <c r="G272" s="6" t="s">
        <v>65</v>
      </c>
      <c r="H272" s="2" t="s">
        <v>246</v>
      </c>
      <c r="I272" s="2" t="s">
        <v>189</v>
      </c>
      <c r="J272" s="2" t="s">
        <v>19</v>
      </c>
      <c r="K272" s="2" t="s">
        <v>353</v>
      </c>
      <c r="L272" s="7" t="str">
        <f>HYPERLINK("http://slimages.macys.com/is/image/MCY/11915457 ")</f>
        <v xml:space="preserve">http://slimages.macys.com/is/image/MCY/11915457 </v>
      </c>
    </row>
    <row r="273" spans="1:12" ht="24.75" x14ac:dyDescent="0.25">
      <c r="A273" s="4" t="s">
        <v>9078</v>
      </c>
      <c r="B273" s="2" t="s">
        <v>7414</v>
      </c>
      <c r="C273" s="3">
        <v>1</v>
      </c>
      <c r="D273" s="5">
        <v>37.130000000000003</v>
      </c>
      <c r="E273" s="3" t="s">
        <v>7415</v>
      </c>
      <c r="F273" s="2" t="s">
        <v>680</v>
      </c>
      <c r="G273" s="6" t="s">
        <v>58</v>
      </c>
      <c r="H273" s="2" t="s">
        <v>246</v>
      </c>
      <c r="I273" s="2" t="s">
        <v>189</v>
      </c>
      <c r="J273" s="2" t="s">
        <v>19</v>
      </c>
      <c r="K273" s="2" t="s">
        <v>353</v>
      </c>
      <c r="L273" s="7" t="str">
        <f>HYPERLINK("http://slimages.macys.com/is/image/MCY/11915457 ")</f>
        <v xml:space="preserve">http://slimages.macys.com/is/image/MCY/11915457 </v>
      </c>
    </row>
    <row r="274" spans="1:12" ht="24.75" x14ac:dyDescent="0.25">
      <c r="A274" s="4" t="s">
        <v>9079</v>
      </c>
      <c r="B274" s="2" t="s">
        <v>1199</v>
      </c>
      <c r="C274" s="3">
        <v>1</v>
      </c>
      <c r="D274" s="5">
        <v>37.130000000000003</v>
      </c>
      <c r="E274" s="3">
        <v>100009324</v>
      </c>
      <c r="F274" s="2" t="s">
        <v>74</v>
      </c>
      <c r="G274" s="6" t="s">
        <v>141</v>
      </c>
      <c r="H274" s="2" t="s">
        <v>194</v>
      </c>
      <c r="I274" s="2" t="s">
        <v>195</v>
      </c>
      <c r="J274" s="2" t="s">
        <v>19</v>
      </c>
      <c r="K274" s="2" t="s">
        <v>353</v>
      </c>
      <c r="L274" s="7" t="str">
        <f>HYPERLINK("http://slimages.macys.com/is/image/MCY/9404224 ")</f>
        <v xml:space="preserve">http://slimages.macys.com/is/image/MCY/9404224 </v>
      </c>
    </row>
    <row r="275" spans="1:12" ht="24.75" x14ac:dyDescent="0.25">
      <c r="A275" s="4" t="s">
        <v>2623</v>
      </c>
      <c r="B275" s="2" t="s">
        <v>1199</v>
      </c>
      <c r="C275" s="3">
        <v>1</v>
      </c>
      <c r="D275" s="5">
        <v>37.130000000000003</v>
      </c>
      <c r="E275" s="3">
        <v>100009324</v>
      </c>
      <c r="F275" s="2" t="s">
        <v>1234</v>
      </c>
      <c r="G275" s="6" t="s">
        <v>112</v>
      </c>
      <c r="H275" s="2" t="s">
        <v>194</v>
      </c>
      <c r="I275" s="2" t="s">
        <v>195</v>
      </c>
      <c r="J275" s="2" t="s">
        <v>19</v>
      </c>
      <c r="K275" s="2" t="s">
        <v>353</v>
      </c>
      <c r="L275" s="7" t="str">
        <f>HYPERLINK("http://slimages.macys.com/is/image/MCY/9404224 ")</f>
        <v xml:space="preserve">http://slimages.macys.com/is/image/MCY/9404224 </v>
      </c>
    </row>
    <row r="276" spans="1:12" ht="24.75" x14ac:dyDescent="0.25">
      <c r="A276" s="4" t="s">
        <v>9080</v>
      </c>
      <c r="B276" s="2" t="s">
        <v>1199</v>
      </c>
      <c r="C276" s="3">
        <v>1</v>
      </c>
      <c r="D276" s="5">
        <v>37.130000000000003</v>
      </c>
      <c r="E276" s="3">
        <v>100009324</v>
      </c>
      <c r="F276" s="2" t="s">
        <v>26</v>
      </c>
      <c r="G276" s="6" t="s">
        <v>112</v>
      </c>
      <c r="H276" s="2" t="s">
        <v>194</v>
      </c>
      <c r="I276" s="2" t="s">
        <v>195</v>
      </c>
      <c r="J276" s="2" t="s">
        <v>19</v>
      </c>
      <c r="K276" s="2" t="s">
        <v>353</v>
      </c>
      <c r="L276" s="7" t="str">
        <f>HYPERLINK("http://slimages.macys.com/is/image/MCY/9404224 ")</f>
        <v xml:space="preserve">http://slimages.macys.com/is/image/MCY/9404224 </v>
      </c>
    </row>
    <row r="277" spans="1:12" ht="24.75" x14ac:dyDescent="0.25">
      <c r="A277" s="4" t="s">
        <v>9081</v>
      </c>
      <c r="B277" s="2" t="s">
        <v>1199</v>
      </c>
      <c r="C277" s="3">
        <v>1</v>
      </c>
      <c r="D277" s="5">
        <v>37.130000000000003</v>
      </c>
      <c r="E277" s="3">
        <v>100009324</v>
      </c>
      <c r="F277" s="2" t="s">
        <v>74</v>
      </c>
      <c r="G277" s="6" t="s">
        <v>112</v>
      </c>
      <c r="H277" s="2" t="s">
        <v>194</v>
      </c>
      <c r="I277" s="2" t="s">
        <v>195</v>
      </c>
      <c r="J277" s="2" t="s">
        <v>19</v>
      </c>
      <c r="K277" s="2" t="s">
        <v>353</v>
      </c>
      <c r="L277" s="7" t="str">
        <f>HYPERLINK("http://slimages.macys.com/is/image/MCY/9404224 ")</f>
        <v xml:space="preserve">http://slimages.macys.com/is/image/MCY/9404224 </v>
      </c>
    </row>
    <row r="278" spans="1:12" ht="24.75" x14ac:dyDescent="0.25">
      <c r="A278" s="4" t="s">
        <v>9082</v>
      </c>
      <c r="B278" s="2" t="s">
        <v>9083</v>
      </c>
      <c r="C278" s="3">
        <v>1</v>
      </c>
      <c r="D278" s="5">
        <v>44.5</v>
      </c>
      <c r="E278" s="3" t="s">
        <v>9084</v>
      </c>
      <c r="F278" s="2" t="s">
        <v>74</v>
      </c>
      <c r="G278" s="6" t="s">
        <v>141</v>
      </c>
      <c r="H278" s="2" t="s">
        <v>246</v>
      </c>
      <c r="I278" s="2" t="s">
        <v>189</v>
      </c>
      <c r="J278" s="2" t="s">
        <v>19</v>
      </c>
      <c r="K278" s="2" t="s">
        <v>409</v>
      </c>
      <c r="L278" s="7" t="str">
        <f>HYPERLINK("http://slimages.macys.com/is/image/MCY/9957944 ")</f>
        <v xml:space="preserve">http://slimages.macys.com/is/image/MCY/9957944 </v>
      </c>
    </row>
    <row r="279" spans="1:12" ht="24.75" x14ac:dyDescent="0.25">
      <c r="A279" s="4" t="s">
        <v>9085</v>
      </c>
      <c r="B279" s="2" t="s">
        <v>9086</v>
      </c>
      <c r="C279" s="3">
        <v>1</v>
      </c>
      <c r="D279" s="5">
        <v>37.130000000000003</v>
      </c>
      <c r="E279" s="3">
        <v>100042375</v>
      </c>
      <c r="F279" s="2" t="s">
        <v>417</v>
      </c>
      <c r="G279" s="6" t="s">
        <v>22</v>
      </c>
      <c r="H279" s="2" t="s">
        <v>194</v>
      </c>
      <c r="I279" s="2" t="s">
        <v>195</v>
      </c>
      <c r="J279" s="2" t="s">
        <v>19</v>
      </c>
      <c r="K279" s="2" t="s">
        <v>353</v>
      </c>
      <c r="L279" s="7" t="str">
        <f>HYPERLINK("http://slimages.macys.com/is/image/MCY/11025487 ")</f>
        <v xml:space="preserve">http://slimages.macys.com/is/image/MCY/11025487 </v>
      </c>
    </row>
    <row r="280" spans="1:12" ht="24.75" x14ac:dyDescent="0.25">
      <c r="A280" s="4" t="s">
        <v>1221</v>
      </c>
      <c r="B280" s="2" t="s">
        <v>1222</v>
      </c>
      <c r="C280" s="3">
        <v>1</v>
      </c>
      <c r="D280" s="5">
        <v>37.130000000000003</v>
      </c>
      <c r="E280" s="3" t="s">
        <v>1223</v>
      </c>
      <c r="F280" s="2" t="s">
        <v>26</v>
      </c>
      <c r="G280" s="6" t="s">
        <v>154</v>
      </c>
      <c r="H280" s="2" t="s">
        <v>194</v>
      </c>
      <c r="I280" s="2" t="s">
        <v>580</v>
      </c>
      <c r="J280" s="2" t="s">
        <v>19</v>
      </c>
      <c r="K280" s="2" t="s">
        <v>247</v>
      </c>
      <c r="L280" s="7" t="str">
        <f>HYPERLINK("http://slimages.macys.com/is/image/MCY/12950179 ")</f>
        <v xml:space="preserve">http://slimages.macys.com/is/image/MCY/12950179 </v>
      </c>
    </row>
    <row r="281" spans="1:12" ht="24.75" x14ac:dyDescent="0.25">
      <c r="A281" s="4" t="s">
        <v>2632</v>
      </c>
      <c r="B281" s="2" t="s">
        <v>1222</v>
      </c>
      <c r="C281" s="3">
        <v>1</v>
      </c>
      <c r="D281" s="5">
        <v>37.130000000000003</v>
      </c>
      <c r="E281" s="3" t="s">
        <v>1223</v>
      </c>
      <c r="F281" s="2" t="s">
        <v>26</v>
      </c>
      <c r="G281" s="6" t="s">
        <v>181</v>
      </c>
      <c r="H281" s="2" t="s">
        <v>194</v>
      </c>
      <c r="I281" s="2" t="s">
        <v>580</v>
      </c>
      <c r="J281" s="2" t="s">
        <v>19</v>
      </c>
      <c r="K281" s="2" t="s">
        <v>247</v>
      </c>
      <c r="L281" s="7" t="str">
        <f>HYPERLINK("http://slimages.macys.com/is/image/MCY/12950179 ")</f>
        <v xml:space="preserve">http://slimages.macys.com/is/image/MCY/12950179 </v>
      </c>
    </row>
    <row r="282" spans="1:12" ht="24.75" x14ac:dyDescent="0.25">
      <c r="A282" s="4" t="s">
        <v>7425</v>
      </c>
      <c r="B282" s="2" t="s">
        <v>1215</v>
      </c>
      <c r="C282" s="3">
        <v>1</v>
      </c>
      <c r="D282" s="5">
        <v>37.130000000000003</v>
      </c>
      <c r="E282" s="3" t="s">
        <v>1216</v>
      </c>
      <c r="F282" s="2" t="s">
        <v>579</v>
      </c>
      <c r="G282" s="6" t="s">
        <v>154</v>
      </c>
      <c r="H282" s="2" t="s">
        <v>194</v>
      </c>
      <c r="I282" s="2" t="s">
        <v>580</v>
      </c>
      <c r="J282" s="2" t="s">
        <v>19</v>
      </c>
      <c r="K282" s="2" t="s">
        <v>247</v>
      </c>
      <c r="L282" s="7" t="str">
        <f>HYPERLINK("http://slimages.macys.com/is/image/MCY/12950186 ")</f>
        <v xml:space="preserve">http://slimages.macys.com/is/image/MCY/12950186 </v>
      </c>
    </row>
    <row r="283" spans="1:12" ht="24.75" x14ac:dyDescent="0.25">
      <c r="A283" s="4" t="s">
        <v>1224</v>
      </c>
      <c r="B283" s="2" t="s">
        <v>1215</v>
      </c>
      <c r="C283" s="3">
        <v>1</v>
      </c>
      <c r="D283" s="5">
        <v>37.130000000000003</v>
      </c>
      <c r="E283" s="3" t="s">
        <v>1216</v>
      </c>
      <c r="F283" s="2" t="s">
        <v>579</v>
      </c>
      <c r="G283" s="6" t="s">
        <v>181</v>
      </c>
      <c r="H283" s="2" t="s">
        <v>194</v>
      </c>
      <c r="I283" s="2" t="s">
        <v>580</v>
      </c>
      <c r="J283" s="2" t="s">
        <v>19</v>
      </c>
      <c r="K283" s="2" t="s">
        <v>247</v>
      </c>
      <c r="L283" s="7" t="str">
        <f>HYPERLINK("http://slimages.macys.com/is/image/MCY/12950186 ")</f>
        <v xml:space="preserve">http://slimages.macys.com/is/image/MCY/12950186 </v>
      </c>
    </row>
    <row r="284" spans="1:12" ht="24.75" x14ac:dyDescent="0.25">
      <c r="A284" s="4" t="s">
        <v>1239</v>
      </c>
      <c r="B284" s="2" t="s">
        <v>1232</v>
      </c>
      <c r="C284" s="3">
        <v>3</v>
      </c>
      <c r="D284" s="5">
        <v>34.5</v>
      </c>
      <c r="E284" s="3" t="s">
        <v>1236</v>
      </c>
      <c r="F284" s="2" t="s">
        <v>506</v>
      </c>
      <c r="G284" s="6" t="s">
        <v>22</v>
      </c>
      <c r="H284" s="2" t="s">
        <v>194</v>
      </c>
      <c r="I284" s="2" t="s">
        <v>195</v>
      </c>
      <c r="J284" s="2" t="s">
        <v>19</v>
      </c>
      <c r="K284" s="2" t="s">
        <v>353</v>
      </c>
      <c r="L284" s="7" t="str">
        <f>HYPERLINK("http://slimages.macys.com/is/image/MCY/8312314 ")</f>
        <v xml:space="preserve">http://slimages.macys.com/is/image/MCY/8312314 </v>
      </c>
    </row>
    <row r="285" spans="1:12" ht="24.75" x14ac:dyDescent="0.25">
      <c r="A285" s="4" t="s">
        <v>1231</v>
      </c>
      <c r="B285" s="2" t="s">
        <v>1232</v>
      </c>
      <c r="C285" s="3">
        <v>1</v>
      </c>
      <c r="D285" s="5">
        <v>34.880000000000003</v>
      </c>
      <c r="E285" s="3" t="s">
        <v>1233</v>
      </c>
      <c r="F285" s="2" t="s">
        <v>1234</v>
      </c>
      <c r="G285" s="6" t="s">
        <v>112</v>
      </c>
      <c r="H285" s="2" t="s">
        <v>194</v>
      </c>
      <c r="I285" s="2" t="s">
        <v>195</v>
      </c>
      <c r="J285" s="2" t="s">
        <v>19</v>
      </c>
      <c r="K285" s="2" t="s">
        <v>353</v>
      </c>
      <c r="L285" s="7" t="str">
        <f>HYPERLINK("http://slimages.macys.com/is/image/MCY/8312314 ")</f>
        <v xml:space="preserve">http://slimages.macys.com/is/image/MCY/8312314 </v>
      </c>
    </row>
    <row r="286" spans="1:12" ht="24.75" x14ac:dyDescent="0.25">
      <c r="A286" s="4" t="s">
        <v>9087</v>
      </c>
      <c r="B286" s="2" t="s">
        <v>1327</v>
      </c>
      <c r="C286" s="3">
        <v>1</v>
      </c>
      <c r="D286" s="5">
        <v>34.880000000000003</v>
      </c>
      <c r="E286" s="3" t="s">
        <v>5827</v>
      </c>
      <c r="F286" s="2" t="s">
        <v>94</v>
      </c>
      <c r="G286" s="6" t="s">
        <v>58</v>
      </c>
      <c r="H286" s="2" t="s">
        <v>194</v>
      </c>
      <c r="I286" s="2" t="s">
        <v>195</v>
      </c>
      <c r="J286" s="2" t="s">
        <v>19</v>
      </c>
      <c r="K286" s="2" t="s">
        <v>353</v>
      </c>
      <c r="L286" s="7" t="str">
        <f>HYPERLINK("http://slimages.macys.com/is/image/MCY/12033298 ")</f>
        <v xml:space="preserve">http://slimages.macys.com/is/image/MCY/12033298 </v>
      </c>
    </row>
    <row r="287" spans="1:12" ht="24.75" x14ac:dyDescent="0.25">
      <c r="A287" s="4" t="s">
        <v>2640</v>
      </c>
      <c r="B287" s="2" t="s">
        <v>1244</v>
      </c>
      <c r="C287" s="3">
        <v>1</v>
      </c>
      <c r="D287" s="5">
        <v>37.130000000000003</v>
      </c>
      <c r="E287" s="3">
        <v>100058183</v>
      </c>
      <c r="F287" s="2" t="s">
        <v>15</v>
      </c>
      <c r="G287" s="6" t="s">
        <v>16</v>
      </c>
      <c r="H287" s="2" t="s">
        <v>194</v>
      </c>
      <c r="I287" s="2" t="s">
        <v>195</v>
      </c>
      <c r="J287" s="2" t="s">
        <v>19</v>
      </c>
      <c r="K287" s="2" t="s">
        <v>353</v>
      </c>
      <c r="L287" s="7" t="str">
        <f>HYPERLINK("http://slimages.macys.com/is/image/MCY/12793647 ")</f>
        <v xml:space="preserve">http://slimages.macys.com/is/image/MCY/12793647 </v>
      </c>
    </row>
    <row r="288" spans="1:12" ht="24.75" x14ac:dyDescent="0.25">
      <c r="A288" s="4" t="s">
        <v>2643</v>
      </c>
      <c r="B288" s="2" t="s">
        <v>1244</v>
      </c>
      <c r="C288" s="3">
        <v>1</v>
      </c>
      <c r="D288" s="5">
        <v>37.130000000000003</v>
      </c>
      <c r="E288" s="3">
        <v>100058183</v>
      </c>
      <c r="F288" s="2" t="s">
        <v>26</v>
      </c>
      <c r="G288" s="6" t="s">
        <v>16</v>
      </c>
      <c r="H288" s="2" t="s">
        <v>194</v>
      </c>
      <c r="I288" s="2" t="s">
        <v>195</v>
      </c>
      <c r="J288" s="2" t="s">
        <v>19</v>
      </c>
      <c r="K288" s="2" t="s">
        <v>353</v>
      </c>
      <c r="L288" s="7" t="str">
        <f>HYPERLINK("http://slimages.macys.com/is/image/MCY/12793647 ")</f>
        <v xml:space="preserve">http://slimages.macys.com/is/image/MCY/12793647 </v>
      </c>
    </row>
    <row r="289" spans="1:12" ht="24.75" x14ac:dyDescent="0.25">
      <c r="A289" s="4" t="s">
        <v>3811</v>
      </c>
      <c r="B289" s="2" t="s">
        <v>1244</v>
      </c>
      <c r="C289" s="3">
        <v>1</v>
      </c>
      <c r="D289" s="5">
        <v>37.130000000000003</v>
      </c>
      <c r="E289" s="3">
        <v>100058183</v>
      </c>
      <c r="F289" s="2" t="s">
        <v>26</v>
      </c>
      <c r="G289" s="6" t="s">
        <v>22</v>
      </c>
      <c r="H289" s="2" t="s">
        <v>194</v>
      </c>
      <c r="I289" s="2" t="s">
        <v>195</v>
      </c>
      <c r="J289" s="2" t="s">
        <v>19</v>
      </c>
      <c r="K289" s="2" t="s">
        <v>353</v>
      </c>
      <c r="L289" s="7" t="str">
        <f>HYPERLINK("http://slimages.macys.com/is/image/MCY/12793647 ")</f>
        <v xml:space="preserve">http://slimages.macys.com/is/image/MCY/12793647 </v>
      </c>
    </row>
    <row r="290" spans="1:12" ht="24.75" x14ac:dyDescent="0.25">
      <c r="A290" s="4" t="s">
        <v>3805</v>
      </c>
      <c r="B290" s="2" t="s">
        <v>1244</v>
      </c>
      <c r="C290" s="3">
        <v>2</v>
      </c>
      <c r="D290" s="5">
        <v>37.130000000000003</v>
      </c>
      <c r="E290" s="3">
        <v>100058183</v>
      </c>
      <c r="F290" s="2" t="s">
        <v>26</v>
      </c>
      <c r="G290" s="6" t="s">
        <v>65</v>
      </c>
      <c r="H290" s="2" t="s">
        <v>194</v>
      </c>
      <c r="I290" s="2" t="s">
        <v>195</v>
      </c>
      <c r="J290" s="2" t="s">
        <v>19</v>
      </c>
      <c r="K290" s="2" t="s">
        <v>353</v>
      </c>
      <c r="L290" s="7" t="str">
        <f>HYPERLINK("http://slimages.macys.com/is/image/MCY/12793647 ")</f>
        <v xml:space="preserve">http://slimages.macys.com/is/image/MCY/12793647 </v>
      </c>
    </row>
    <row r="291" spans="1:12" ht="24.75" x14ac:dyDescent="0.25">
      <c r="A291" s="4" t="s">
        <v>5828</v>
      </c>
      <c r="B291" s="2" t="s">
        <v>1327</v>
      </c>
      <c r="C291" s="3">
        <v>1</v>
      </c>
      <c r="D291" s="5">
        <v>34.880000000000003</v>
      </c>
      <c r="E291" s="3" t="s">
        <v>5827</v>
      </c>
      <c r="F291" s="2" t="s">
        <v>94</v>
      </c>
      <c r="G291" s="6" t="s">
        <v>16</v>
      </c>
      <c r="H291" s="2" t="s">
        <v>194</v>
      </c>
      <c r="I291" s="2" t="s">
        <v>195</v>
      </c>
      <c r="J291" s="2" t="s">
        <v>19</v>
      </c>
      <c r="K291" s="2" t="s">
        <v>353</v>
      </c>
      <c r="L291" s="7" t="str">
        <f>HYPERLINK("http://slimages.macys.com/is/image/MCY/12033298 ")</f>
        <v xml:space="preserve">http://slimages.macys.com/is/image/MCY/12033298 </v>
      </c>
    </row>
    <row r="292" spans="1:12" ht="24.75" x14ac:dyDescent="0.25">
      <c r="A292" s="4" t="s">
        <v>5825</v>
      </c>
      <c r="B292" s="2" t="s">
        <v>1244</v>
      </c>
      <c r="C292" s="3">
        <v>1</v>
      </c>
      <c r="D292" s="5">
        <v>37.130000000000003</v>
      </c>
      <c r="E292" s="3">
        <v>100058183</v>
      </c>
      <c r="F292" s="2" t="s">
        <v>26</v>
      </c>
      <c r="G292" s="6" t="s">
        <v>141</v>
      </c>
      <c r="H292" s="2" t="s">
        <v>194</v>
      </c>
      <c r="I292" s="2" t="s">
        <v>195</v>
      </c>
      <c r="J292" s="2" t="s">
        <v>19</v>
      </c>
      <c r="K292" s="2" t="s">
        <v>353</v>
      </c>
      <c r="L292" s="7" t="str">
        <f>HYPERLINK("http://slimages.macys.com/is/image/MCY/12793647 ")</f>
        <v xml:space="preserve">http://slimages.macys.com/is/image/MCY/12793647 </v>
      </c>
    </row>
    <row r="293" spans="1:12" ht="24.75" x14ac:dyDescent="0.25">
      <c r="A293" s="4" t="s">
        <v>2644</v>
      </c>
      <c r="B293" s="2" t="s">
        <v>1244</v>
      </c>
      <c r="C293" s="3">
        <v>1</v>
      </c>
      <c r="D293" s="5">
        <v>37.130000000000003</v>
      </c>
      <c r="E293" s="3">
        <v>100058183</v>
      </c>
      <c r="F293" s="2" t="s">
        <v>15</v>
      </c>
      <c r="G293" s="6" t="s">
        <v>27</v>
      </c>
      <c r="H293" s="2" t="s">
        <v>194</v>
      </c>
      <c r="I293" s="2" t="s">
        <v>195</v>
      </c>
      <c r="J293" s="2" t="s">
        <v>19</v>
      </c>
      <c r="K293" s="2" t="s">
        <v>353</v>
      </c>
      <c r="L293" s="7" t="str">
        <f>HYPERLINK("http://slimages.macys.com/is/image/MCY/12793647 ")</f>
        <v xml:space="preserve">http://slimages.macys.com/is/image/MCY/12793647 </v>
      </c>
    </row>
    <row r="294" spans="1:12" ht="24.75" x14ac:dyDescent="0.25">
      <c r="A294" s="4" t="s">
        <v>9088</v>
      </c>
      <c r="B294" s="2" t="s">
        <v>4898</v>
      </c>
      <c r="C294" s="3">
        <v>1</v>
      </c>
      <c r="D294" s="5">
        <v>34.880000000000003</v>
      </c>
      <c r="E294" s="3">
        <v>100052334</v>
      </c>
      <c r="F294" s="2" t="s">
        <v>26</v>
      </c>
      <c r="G294" s="6" t="s">
        <v>154</v>
      </c>
      <c r="H294" s="2" t="s">
        <v>194</v>
      </c>
      <c r="I294" s="2" t="s">
        <v>195</v>
      </c>
      <c r="J294" s="2" t="s">
        <v>19</v>
      </c>
      <c r="K294" s="2" t="s">
        <v>353</v>
      </c>
      <c r="L294" s="7" t="str">
        <f>HYPERLINK("http://slimages.macys.com/is/image/MCY/12279970 ")</f>
        <v xml:space="preserve">http://slimages.macys.com/is/image/MCY/12279970 </v>
      </c>
    </row>
    <row r="295" spans="1:12" ht="36.75" x14ac:dyDescent="0.25">
      <c r="A295" s="4" t="s">
        <v>2659</v>
      </c>
      <c r="B295" s="2" t="s">
        <v>2655</v>
      </c>
      <c r="C295" s="3">
        <v>1</v>
      </c>
      <c r="D295" s="5">
        <v>27.99</v>
      </c>
      <c r="E295" s="3" t="s">
        <v>2656</v>
      </c>
      <c r="F295" s="2" t="s">
        <v>225</v>
      </c>
      <c r="G295" s="6" t="s">
        <v>336</v>
      </c>
      <c r="H295" s="2" t="s">
        <v>312</v>
      </c>
      <c r="I295" s="2" t="s">
        <v>928</v>
      </c>
      <c r="J295" s="2" t="s">
        <v>19</v>
      </c>
      <c r="K295" s="2" t="s">
        <v>2657</v>
      </c>
      <c r="L295" s="7" t="str">
        <f>HYPERLINK("http://slimages.macys.com/is/image/MCY/2910492 ")</f>
        <v xml:space="preserve">http://slimages.macys.com/is/image/MCY/2910492 </v>
      </c>
    </row>
    <row r="296" spans="1:12" ht="24.75" x14ac:dyDescent="0.25">
      <c r="A296" s="4" t="s">
        <v>9089</v>
      </c>
      <c r="B296" s="2" t="s">
        <v>1250</v>
      </c>
      <c r="C296" s="3">
        <v>1</v>
      </c>
      <c r="D296" s="5">
        <v>34.5</v>
      </c>
      <c r="E296" s="3">
        <v>100060490</v>
      </c>
      <c r="F296" s="2" t="s">
        <v>89</v>
      </c>
      <c r="G296" s="6" t="s">
        <v>141</v>
      </c>
      <c r="H296" s="2" t="s">
        <v>228</v>
      </c>
      <c r="I296" s="2" t="s">
        <v>229</v>
      </c>
      <c r="J296" s="2" t="s">
        <v>19</v>
      </c>
      <c r="K296" s="2" t="s">
        <v>1251</v>
      </c>
      <c r="L296" s="7" t="str">
        <f>HYPERLINK("http://slimages.macys.com/is/image/MCY/9100235 ")</f>
        <v xml:space="preserve">http://slimages.macys.com/is/image/MCY/9100235 </v>
      </c>
    </row>
    <row r="297" spans="1:12" ht="24.75" x14ac:dyDescent="0.25">
      <c r="A297" s="4" t="s">
        <v>9090</v>
      </c>
      <c r="B297" s="2" t="s">
        <v>1047</v>
      </c>
      <c r="C297" s="3">
        <v>1</v>
      </c>
      <c r="D297" s="5">
        <v>34.880000000000003</v>
      </c>
      <c r="E297" s="3">
        <v>100009312</v>
      </c>
      <c r="F297" s="2" t="s">
        <v>566</v>
      </c>
      <c r="G297" s="6" t="s">
        <v>154</v>
      </c>
      <c r="H297" s="2" t="s">
        <v>194</v>
      </c>
      <c r="I297" s="2" t="s">
        <v>195</v>
      </c>
      <c r="J297" s="2" t="s">
        <v>19</v>
      </c>
      <c r="K297" s="2" t="s">
        <v>353</v>
      </c>
      <c r="L297" s="7" t="str">
        <f>HYPERLINK("http://slimages.macys.com/is/image/MCY/9603701 ")</f>
        <v xml:space="preserve">http://slimages.macys.com/is/image/MCY/9603701 </v>
      </c>
    </row>
    <row r="298" spans="1:12" ht="24.75" x14ac:dyDescent="0.25">
      <c r="A298" s="4" t="s">
        <v>9091</v>
      </c>
      <c r="B298" s="2" t="s">
        <v>1259</v>
      </c>
      <c r="C298" s="3">
        <v>1</v>
      </c>
      <c r="D298" s="5">
        <v>36.75</v>
      </c>
      <c r="E298" s="3" t="s">
        <v>7446</v>
      </c>
      <c r="F298" s="2" t="s">
        <v>74</v>
      </c>
      <c r="G298" s="6" t="s">
        <v>802</v>
      </c>
      <c r="H298" s="2" t="s">
        <v>426</v>
      </c>
      <c r="I298" s="2" t="s">
        <v>229</v>
      </c>
      <c r="J298" s="2" t="s">
        <v>19</v>
      </c>
      <c r="K298" s="2" t="s">
        <v>253</v>
      </c>
      <c r="L298" s="7" t="str">
        <f>HYPERLINK("http://slimages.macys.com/is/image/MCY/10334558 ")</f>
        <v xml:space="preserve">http://slimages.macys.com/is/image/MCY/10334558 </v>
      </c>
    </row>
    <row r="299" spans="1:12" ht="24.75" x14ac:dyDescent="0.25">
      <c r="A299" s="4" t="s">
        <v>5849</v>
      </c>
      <c r="B299" s="2" t="s">
        <v>1279</v>
      </c>
      <c r="C299" s="3">
        <v>1</v>
      </c>
      <c r="D299" s="5">
        <v>27.99</v>
      </c>
      <c r="E299" s="3" t="s">
        <v>1302</v>
      </c>
      <c r="F299" s="2" t="s">
        <v>566</v>
      </c>
      <c r="G299" s="6" t="s">
        <v>181</v>
      </c>
      <c r="H299" s="2" t="s">
        <v>194</v>
      </c>
      <c r="I299" s="2" t="s">
        <v>919</v>
      </c>
      <c r="J299" s="2" t="s">
        <v>19</v>
      </c>
      <c r="K299" s="2" t="s">
        <v>409</v>
      </c>
      <c r="L299" s="7" t="str">
        <f>HYPERLINK("http://slimages.macys.com/is/image/MCY/3244804 ")</f>
        <v xml:space="preserve">http://slimages.macys.com/is/image/MCY/3244804 </v>
      </c>
    </row>
    <row r="300" spans="1:12" ht="24.75" x14ac:dyDescent="0.25">
      <c r="A300" s="4" t="s">
        <v>1301</v>
      </c>
      <c r="B300" s="2" t="s">
        <v>1279</v>
      </c>
      <c r="C300" s="3">
        <v>1</v>
      </c>
      <c r="D300" s="5">
        <v>27.99</v>
      </c>
      <c r="E300" s="3" t="s">
        <v>1302</v>
      </c>
      <c r="F300" s="2" t="s">
        <v>566</v>
      </c>
      <c r="G300" s="6" t="s">
        <v>154</v>
      </c>
      <c r="H300" s="2" t="s">
        <v>194</v>
      </c>
      <c r="I300" s="2" t="s">
        <v>919</v>
      </c>
      <c r="J300" s="2" t="s">
        <v>19</v>
      </c>
      <c r="K300" s="2" t="s">
        <v>409</v>
      </c>
      <c r="L300" s="7" t="str">
        <f>HYPERLINK("http://slimages.macys.com/is/image/MCY/3244804 ")</f>
        <v xml:space="preserve">http://slimages.macys.com/is/image/MCY/3244804 </v>
      </c>
    </row>
    <row r="301" spans="1:12" ht="24.75" x14ac:dyDescent="0.25">
      <c r="A301" s="4" t="s">
        <v>1285</v>
      </c>
      <c r="B301" s="2" t="s">
        <v>1279</v>
      </c>
      <c r="C301" s="3">
        <v>1</v>
      </c>
      <c r="D301" s="5">
        <v>27.99</v>
      </c>
      <c r="E301" s="3" t="s">
        <v>1286</v>
      </c>
      <c r="F301" s="2" t="s">
        <v>506</v>
      </c>
      <c r="G301" s="6" t="s">
        <v>154</v>
      </c>
      <c r="H301" s="2" t="s">
        <v>194</v>
      </c>
      <c r="I301" s="2" t="s">
        <v>919</v>
      </c>
      <c r="J301" s="2" t="s">
        <v>19</v>
      </c>
      <c r="K301" s="2" t="s">
        <v>409</v>
      </c>
      <c r="L301" s="7" t="str">
        <f>HYPERLINK("http://slimages.macys.com/is/image/MCY/8185331 ")</f>
        <v xml:space="preserve">http://slimages.macys.com/is/image/MCY/8185331 </v>
      </c>
    </row>
    <row r="302" spans="1:12" ht="24.75" x14ac:dyDescent="0.25">
      <c r="A302" s="4" t="s">
        <v>1288</v>
      </c>
      <c r="B302" s="2" t="s">
        <v>1279</v>
      </c>
      <c r="C302" s="3">
        <v>1</v>
      </c>
      <c r="D302" s="5">
        <v>27.99</v>
      </c>
      <c r="E302" s="3" t="s">
        <v>1280</v>
      </c>
      <c r="F302" s="2" t="s">
        <v>566</v>
      </c>
      <c r="G302" s="6"/>
      <c r="H302" s="2" t="s">
        <v>312</v>
      </c>
      <c r="I302" s="2" t="s">
        <v>1112</v>
      </c>
      <c r="J302" s="2" t="s">
        <v>19</v>
      </c>
      <c r="K302" s="2" t="s">
        <v>409</v>
      </c>
      <c r="L302" s="7" t="str">
        <f>HYPERLINK("http://slimages.macys.com/is/image/MCY/3832970 ")</f>
        <v xml:space="preserve">http://slimages.macys.com/is/image/MCY/3832970 </v>
      </c>
    </row>
    <row r="303" spans="1:12" ht="24.75" x14ac:dyDescent="0.25">
      <c r="A303" s="4" t="s">
        <v>1287</v>
      </c>
      <c r="B303" s="2" t="s">
        <v>1279</v>
      </c>
      <c r="C303" s="3">
        <v>1</v>
      </c>
      <c r="D303" s="5">
        <v>27.99</v>
      </c>
      <c r="E303" s="3" t="s">
        <v>1280</v>
      </c>
      <c r="F303" s="2" t="s">
        <v>566</v>
      </c>
      <c r="G303" s="6"/>
      <c r="H303" s="2" t="s">
        <v>312</v>
      </c>
      <c r="I303" s="2" t="s">
        <v>1112</v>
      </c>
      <c r="J303" s="2" t="s">
        <v>19</v>
      </c>
      <c r="K303" s="2" t="s">
        <v>409</v>
      </c>
      <c r="L303" s="7" t="str">
        <f>HYPERLINK("http://slimages.macys.com/is/image/MCY/3832970 ")</f>
        <v xml:space="preserve">http://slimages.macys.com/is/image/MCY/3832970 </v>
      </c>
    </row>
    <row r="304" spans="1:12" ht="24.75" x14ac:dyDescent="0.25">
      <c r="A304" s="4" t="s">
        <v>8687</v>
      </c>
      <c r="B304" s="2" t="s">
        <v>1294</v>
      </c>
      <c r="C304" s="3">
        <v>2</v>
      </c>
      <c r="D304" s="5">
        <v>37.130000000000003</v>
      </c>
      <c r="E304" s="3">
        <v>100002345</v>
      </c>
      <c r="F304" s="2" t="s">
        <v>74</v>
      </c>
      <c r="G304" s="6" t="s">
        <v>154</v>
      </c>
      <c r="H304" s="2" t="s">
        <v>284</v>
      </c>
      <c r="I304" s="2" t="s">
        <v>285</v>
      </c>
      <c r="J304" s="2" t="s">
        <v>19</v>
      </c>
      <c r="K304" s="2" t="s">
        <v>2669</v>
      </c>
      <c r="L304" s="7" t="str">
        <f>HYPERLINK("http://slimages.macys.com/is/image/MCY/8660800 ")</f>
        <v xml:space="preserve">http://slimages.macys.com/is/image/MCY/8660800 </v>
      </c>
    </row>
    <row r="305" spans="1:12" ht="24.75" x14ac:dyDescent="0.25">
      <c r="A305" s="4" t="s">
        <v>4931</v>
      </c>
      <c r="B305" s="2" t="s">
        <v>1196</v>
      </c>
      <c r="C305" s="3">
        <v>2</v>
      </c>
      <c r="D305" s="5">
        <v>37.130000000000003</v>
      </c>
      <c r="E305" s="3" t="s">
        <v>1305</v>
      </c>
      <c r="F305" s="2" t="s">
        <v>887</v>
      </c>
      <c r="G305" s="6"/>
      <c r="H305" s="2" t="s">
        <v>312</v>
      </c>
      <c r="I305" s="2" t="s">
        <v>195</v>
      </c>
      <c r="J305" s="2" t="s">
        <v>19</v>
      </c>
      <c r="K305" s="2" t="s">
        <v>990</v>
      </c>
      <c r="L305" s="7" t="str">
        <f>HYPERLINK("http://slimages.macys.com/is/image/MCY/12280097 ")</f>
        <v xml:space="preserve">http://slimages.macys.com/is/image/MCY/12280097 </v>
      </c>
    </row>
    <row r="306" spans="1:12" ht="24.75" x14ac:dyDescent="0.25">
      <c r="A306" s="4" t="s">
        <v>4933</v>
      </c>
      <c r="B306" s="2" t="s">
        <v>1307</v>
      </c>
      <c r="C306" s="3">
        <v>2</v>
      </c>
      <c r="D306" s="5">
        <v>32.5</v>
      </c>
      <c r="E306" s="3" t="s">
        <v>1308</v>
      </c>
      <c r="F306" s="2" t="s">
        <v>193</v>
      </c>
      <c r="G306" s="6" t="s">
        <v>154</v>
      </c>
      <c r="H306" s="2" t="s">
        <v>194</v>
      </c>
      <c r="I306" s="2" t="s">
        <v>195</v>
      </c>
      <c r="J306" s="2" t="s">
        <v>19</v>
      </c>
      <c r="K306" s="2" t="s">
        <v>1108</v>
      </c>
      <c r="L306" s="7" t="str">
        <f>HYPERLINK("http://slimages.macys.com/is/image/MCY/12950211 ")</f>
        <v xml:space="preserve">http://slimages.macys.com/is/image/MCY/12950211 </v>
      </c>
    </row>
    <row r="307" spans="1:12" ht="24.75" x14ac:dyDescent="0.25">
      <c r="A307" s="4" t="s">
        <v>8163</v>
      </c>
      <c r="B307" s="2" t="s">
        <v>1307</v>
      </c>
      <c r="C307" s="3">
        <v>1</v>
      </c>
      <c r="D307" s="5">
        <v>33.380000000000003</v>
      </c>
      <c r="E307" s="3" t="s">
        <v>1308</v>
      </c>
      <c r="F307" s="2" t="s">
        <v>752</v>
      </c>
      <c r="G307" s="6" t="s">
        <v>181</v>
      </c>
      <c r="H307" s="2" t="s">
        <v>194</v>
      </c>
      <c r="I307" s="2" t="s">
        <v>195</v>
      </c>
      <c r="J307" s="2" t="s">
        <v>19</v>
      </c>
      <c r="K307" s="2" t="s">
        <v>1108</v>
      </c>
      <c r="L307" s="7" t="str">
        <f>HYPERLINK("http://slimages.macys.com/is/image/MCY/12950211 ")</f>
        <v xml:space="preserve">http://slimages.macys.com/is/image/MCY/12950211 </v>
      </c>
    </row>
    <row r="308" spans="1:12" ht="24.75" x14ac:dyDescent="0.25">
      <c r="A308" s="4" t="s">
        <v>2671</v>
      </c>
      <c r="B308" s="2" t="s">
        <v>1307</v>
      </c>
      <c r="C308" s="3">
        <v>1</v>
      </c>
      <c r="D308" s="5">
        <v>32.5</v>
      </c>
      <c r="E308" s="3" t="s">
        <v>1308</v>
      </c>
      <c r="F308" s="2" t="s">
        <v>193</v>
      </c>
      <c r="G308" s="6" t="s">
        <v>181</v>
      </c>
      <c r="H308" s="2" t="s">
        <v>194</v>
      </c>
      <c r="I308" s="2" t="s">
        <v>195</v>
      </c>
      <c r="J308" s="2" t="s">
        <v>19</v>
      </c>
      <c r="K308" s="2" t="s">
        <v>1108</v>
      </c>
      <c r="L308" s="7" t="str">
        <f>HYPERLINK("http://slimages.macys.com/is/image/MCY/12950211 ")</f>
        <v xml:space="preserve">http://slimages.macys.com/is/image/MCY/12950211 </v>
      </c>
    </row>
    <row r="309" spans="1:12" ht="24.75" x14ac:dyDescent="0.25">
      <c r="A309" s="4" t="s">
        <v>9092</v>
      </c>
      <c r="B309" s="2" t="s">
        <v>2486</v>
      </c>
      <c r="C309" s="3">
        <v>1</v>
      </c>
      <c r="D309" s="5">
        <v>44.63</v>
      </c>
      <c r="E309" s="3" t="s">
        <v>2487</v>
      </c>
      <c r="F309" s="2" t="s">
        <v>89</v>
      </c>
      <c r="G309" s="6" t="s">
        <v>65</v>
      </c>
      <c r="H309" s="2" t="s">
        <v>246</v>
      </c>
      <c r="I309" s="2" t="s">
        <v>487</v>
      </c>
      <c r="J309" s="2" t="s">
        <v>19</v>
      </c>
      <c r="K309" s="2" t="s">
        <v>409</v>
      </c>
      <c r="L309" s="7" t="str">
        <f>HYPERLINK("http://slimages.macys.com/is/image/MCY/10297488 ")</f>
        <v xml:space="preserve">http://slimages.macys.com/is/image/MCY/10297488 </v>
      </c>
    </row>
    <row r="310" spans="1:12" ht="24.75" x14ac:dyDescent="0.25">
      <c r="A310" s="4" t="s">
        <v>8692</v>
      </c>
      <c r="B310" s="2" t="s">
        <v>1314</v>
      </c>
      <c r="C310" s="3">
        <v>1</v>
      </c>
      <c r="D310" s="5">
        <v>24.99</v>
      </c>
      <c r="E310" s="3">
        <v>100010068</v>
      </c>
      <c r="F310" s="2" t="s">
        <v>998</v>
      </c>
      <c r="G310" s="6" t="s">
        <v>65</v>
      </c>
      <c r="H310" s="2" t="s">
        <v>228</v>
      </c>
      <c r="I310" s="2" t="s">
        <v>863</v>
      </c>
      <c r="J310" s="2" t="s">
        <v>19</v>
      </c>
      <c r="K310" s="2" t="s">
        <v>1315</v>
      </c>
      <c r="L310" s="7" t="str">
        <f>HYPERLINK("http://slimages.macys.com/is/image/MCY/9190991 ")</f>
        <v xml:space="preserve">http://slimages.macys.com/is/image/MCY/9190991 </v>
      </c>
    </row>
    <row r="311" spans="1:12" ht="24.75" x14ac:dyDescent="0.25">
      <c r="A311" s="4" t="s">
        <v>8694</v>
      </c>
      <c r="B311" s="2" t="s">
        <v>3181</v>
      </c>
      <c r="C311" s="3">
        <v>1</v>
      </c>
      <c r="D311" s="5">
        <v>24.99</v>
      </c>
      <c r="E311" s="3">
        <v>100059296</v>
      </c>
      <c r="F311" s="2" t="s">
        <v>64</v>
      </c>
      <c r="G311" s="6" t="s">
        <v>112</v>
      </c>
      <c r="H311" s="2" t="s">
        <v>228</v>
      </c>
      <c r="I311" s="2" t="s">
        <v>229</v>
      </c>
      <c r="J311" s="2" t="s">
        <v>19</v>
      </c>
      <c r="K311" s="2" t="s">
        <v>1315</v>
      </c>
      <c r="L311" s="7" t="str">
        <f>HYPERLINK("http://slimages.macys.com/is/image/MCY/9190991 ")</f>
        <v xml:space="preserve">http://slimages.macys.com/is/image/MCY/9190991 </v>
      </c>
    </row>
    <row r="312" spans="1:12" ht="24.75" x14ac:dyDescent="0.25">
      <c r="A312" s="4" t="s">
        <v>9093</v>
      </c>
      <c r="B312" s="2" t="s">
        <v>4946</v>
      </c>
      <c r="C312" s="3">
        <v>2</v>
      </c>
      <c r="D312" s="5">
        <v>37.130000000000003</v>
      </c>
      <c r="E312" s="3" t="s">
        <v>4947</v>
      </c>
      <c r="F312" s="2" t="s">
        <v>74</v>
      </c>
      <c r="G312" s="6" t="s">
        <v>154</v>
      </c>
      <c r="H312" s="2" t="s">
        <v>284</v>
      </c>
      <c r="I312" s="2" t="s">
        <v>285</v>
      </c>
      <c r="J312" s="2" t="s">
        <v>19</v>
      </c>
      <c r="K312" s="2" t="s">
        <v>160</v>
      </c>
      <c r="L312" s="7" t="str">
        <f>HYPERLINK("http://slimages.macys.com/is/image/MCY/13401017 ")</f>
        <v xml:space="preserve">http://slimages.macys.com/is/image/MCY/13401017 </v>
      </c>
    </row>
    <row r="313" spans="1:12" ht="24.75" x14ac:dyDescent="0.25">
      <c r="A313" s="4" t="s">
        <v>9094</v>
      </c>
      <c r="B313" s="2" t="s">
        <v>3845</v>
      </c>
      <c r="C313" s="3">
        <v>1</v>
      </c>
      <c r="D313" s="5">
        <v>24.99</v>
      </c>
      <c r="E313" s="3" t="s">
        <v>3854</v>
      </c>
      <c r="F313" s="2" t="s">
        <v>413</v>
      </c>
      <c r="G313" s="6" t="s">
        <v>187</v>
      </c>
      <c r="H313" s="2" t="s">
        <v>1425</v>
      </c>
      <c r="I313" s="2" t="s">
        <v>1469</v>
      </c>
      <c r="J313" s="2" t="s">
        <v>19</v>
      </c>
      <c r="K313" s="2" t="s">
        <v>495</v>
      </c>
      <c r="L313" s="7" t="str">
        <f>HYPERLINK("http://slimages.macys.com/is/image/MCY/10888246 ")</f>
        <v xml:space="preserve">http://slimages.macys.com/is/image/MCY/10888246 </v>
      </c>
    </row>
    <row r="314" spans="1:12" ht="24.75" x14ac:dyDescent="0.25">
      <c r="A314" s="4" t="s">
        <v>1337</v>
      </c>
      <c r="B314" s="2" t="s">
        <v>1330</v>
      </c>
      <c r="C314" s="3">
        <v>1</v>
      </c>
      <c r="D314" s="5">
        <v>37.130000000000003</v>
      </c>
      <c r="E314" s="3" t="s">
        <v>1331</v>
      </c>
      <c r="F314" s="2" t="s">
        <v>74</v>
      </c>
      <c r="G314" s="6" t="s">
        <v>181</v>
      </c>
      <c r="H314" s="2" t="s">
        <v>194</v>
      </c>
      <c r="I314" s="2" t="s">
        <v>195</v>
      </c>
      <c r="J314" s="2" t="s">
        <v>19</v>
      </c>
      <c r="K314" s="2" t="s">
        <v>247</v>
      </c>
      <c r="L314" s="7" t="str">
        <f>HYPERLINK("http://slimages.macys.com/is/image/MCY/10889638 ")</f>
        <v xml:space="preserve">http://slimages.macys.com/is/image/MCY/10889638 </v>
      </c>
    </row>
    <row r="315" spans="1:12" ht="24.75" x14ac:dyDescent="0.25">
      <c r="A315" s="4" t="s">
        <v>5869</v>
      </c>
      <c r="B315" s="2" t="s">
        <v>1343</v>
      </c>
      <c r="C315" s="3">
        <v>1</v>
      </c>
      <c r="D315" s="5">
        <v>24.99</v>
      </c>
      <c r="E315" s="3" t="s">
        <v>1344</v>
      </c>
      <c r="F315" s="2" t="s">
        <v>33</v>
      </c>
      <c r="G315" s="6" t="s">
        <v>16</v>
      </c>
      <c r="H315" s="2" t="s">
        <v>228</v>
      </c>
      <c r="I315" s="2" t="s">
        <v>863</v>
      </c>
      <c r="J315" s="2" t="s">
        <v>19</v>
      </c>
      <c r="K315" s="2" t="s">
        <v>253</v>
      </c>
      <c r="L315" s="7" t="str">
        <f>HYPERLINK("http://slimages.macys.com/is/image/MCY/11804521 ")</f>
        <v xml:space="preserve">http://slimages.macys.com/is/image/MCY/11804521 </v>
      </c>
    </row>
    <row r="316" spans="1:12" ht="48.75" x14ac:dyDescent="0.25">
      <c r="A316" s="4" t="s">
        <v>983</v>
      </c>
      <c r="B316" s="2" t="s">
        <v>984</v>
      </c>
      <c r="C316" s="3">
        <v>1</v>
      </c>
      <c r="D316" s="5">
        <v>44.63</v>
      </c>
      <c r="E316" s="3" t="s">
        <v>985</v>
      </c>
      <c r="F316" s="2" t="s">
        <v>74</v>
      </c>
      <c r="G316" s="6" t="s">
        <v>141</v>
      </c>
      <c r="H316" s="2" t="s">
        <v>246</v>
      </c>
      <c r="I316" s="2" t="s">
        <v>487</v>
      </c>
      <c r="J316" s="2" t="s">
        <v>19</v>
      </c>
      <c r="K316" s="2" t="s">
        <v>787</v>
      </c>
      <c r="L316" s="7" t="str">
        <f>HYPERLINK("http://slimages.macys.com/is/image/MCY/9213839 ")</f>
        <v xml:space="preserve">http://slimages.macys.com/is/image/MCY/9213839 </v>
      </c>
    </row>
    <row r="317" spans="1:12" ht="24.75" x14ac:dyDescent="0.25">
      <c r="A317" s="4" t="s">
        <v>2682</v>
      </c>
      <c r="B317" s="2" t="s">
        <v>2683</v>
      </c>
      <c r="C317" s="3">
        <v>1</v>
      </c>
      <c r="D317" s="5">
        <v>33.380000000000003</v>
      </c>
      <c r="E317" s="3" t="s">
        <v>2684</v>
      </c>
      <c r="F317" s="2" t="s">
        <v>752</v>
      </c>
      <c r="G317" s="6" t="s">
        <v>154</v>
      </c>
      <c r="H317" s="2" t="s">
        <v>194</v>
      </c>
      <c r="I317" s="2" t="s">
        <v>195</v>
      </c>
      <c r="J317" s="2" t="s">
        <v>19</v>
      </c>
      <c r="K317" s="2" t="s">
        <v>247</v>
      </c>
      <c r="L317" s="7" t="str">
        <f>HYPERLINK("http://slimages.macys.com/is/image/MCY/12404928 ")</f>
        <v xml:space="preserve">http://slimages.macys.com/is/image/MCY/12404928 </v>
      </c>
    </row>
    <row r="318" spans="1:12" ht="24.75" x14ac:dyDescent="0.25">
      <c r="A318" s="4" t="s">
        <v>3867</v>
      </c>
      <c r="B318" s="2" t="s">
        <v>2683</v>
      </c>
      <c r="C318" s="3">
        <v>2</v>
      </c>
      <c r="D318" s="5">
        <v>33.380000000000003</v>
      </c>
      <c r="E318" s="3" t="s">
        <v>2684</v>
      </c>
      <c r="F318" s="2" t="s">
        <v>752</v>
      </c>
      <c r="G318" s="6" t="s">
        <v>181</v>
      </c>
      <c r="H318" s="2" t="s">
        <v>194</v>
      </c>
      <c r="I318" s="2" t="s">
        <v>195</v>
      </c>
      <c r="J318" s="2" t="s">
        <v>19</v>
      </c>
      <c r="K318" s="2" t="s">
        <v>247</v>
      </c>
      <c r="L318" s="7" t="str">
        <f>HYPERLINK("http://slimages.macys.com/is/image/MCY/12404928 ")</f>
        <v xml:space="preserve">http://slimages.macys.com/is/image/MCY/12404928 </v>
      </c>
    </row>
    <row r="319" spans="1:12" ht="48.75" x14ac:dyDescent="0.25">
      <c r="A319" s="4" t="s">
        <v>4951</v>
      </c>
      <c r="B319" s="2" t="s">
        <v>1155</v>
      </c>
      <c r="C319" s="3">
        <v>1</v>
      </c>
      <c r="D319" s="5">
        <v>37.130000000000003</v>
      </c>
      <c r="E319" s="3" t="s">
        <v>3875</v>
      </c>
      <c r="F319" s="2" t="s">
        <v>26</v>
      </c>
      <c r="G319" s="6" t="s">
        <v>234</v>
      </c>
      <c r="H319" s="2" t="s">
        <v>194</v>
      </c>
      <c r="I319" s="2" t="s">
        <v>195</v>
      </c>
      <c r="J319" s="2" t="s">
        <v>19</v>
      </c>
      <c r="K319" s="2" t="s">
        <v>3879</v>
      </c>
      <c r="L319" s="7" t="str">
        <f>HYPERLINK("http://slimages.macys.com/is/image/MCY/12404881 ")</f>
        <v xml:space="preserve">http://slimages.macys.com/is/image/MCY/12404881 </v>
      </c>
    </row>
    <row r="320" spans="1:12" ht="24.75" x14ac:dyDescent="0.25">
      <c r="A320" s="4" t="s">
        <v>4952</v>
      </c>
      <c r="B320" s="2" t="s">
        <v>2686</v>
      </c>
      <c r="C320" s="3">
        <v>1</v>
      </c>
      <c r="D320" s="5">
        <v>34.5</v>
      </c>
      <c r="E320" s="3">
        <v>100062504</v>
      </c>
      <c r="F320" s="2" t="s">
        <v>26</v>
      </c>
      <c r="G320" s="6" t="s">
        <v>22</v>
      </c>
      <c r="H320" s="2" t="s">
        <v>228</v>
      </c>
      <c r="I320" s="2" t="s">
        <v>229</v>
      </c>
      <c r="J320" s="2" t="s">
        <v>19</v>
      </c>
      <c r="K320" s="2" t="s">
        <v>253</v>
      </c>
      <c r="L320" s="7" t="str">
        <f>HYPERLINK("http://slimages.macys.com/is/image/MCY/12849901 ")</f>
        <v xml:space="preserve">http://slimages.macys.com/is/image/MCY/12849901 </v>
      </c>
    </row>
    <row r="321" spans="1:12" ht="24.75" x14ac:dyDescent="0.25">
      <c r="A321" s="4" t="s">
        <v>9095</v>
      </c>
      <c r="B321" s="2" t="s">
        <v>2686</v>
      </c>
      <c r="C321" s="3">
        <v>1</v>
      </c>
      <c r="D321" s="5">
        <v>34.5</v>
      </c>
      <c r="E321" s="3">
        <v>100062504</v>
      </c>
      <c r="F321" s="2" t="s">
        <v>26</v>
      </c>
      <c r="G321" s="6" t="s">
        <v>27</v>
      </c>
      <c r="H321" s="2" t="s">
        <v>228</v>
      </c>
      <c r="I321" s="2" t="s">
        <v>229</v>
      </c>
      <c r="J321" s="2" t="s">
        <v>19</v>
      </c>
      <c r="K321" s="2" t="s">
        <v>253</v>
      </c>
      <c r="L321" s="7" t="str">
        <f>HYPERLINK("http://slimages.macys.com/is/image/MCY/12849901 ")</f>
        <v xml:space="preserve">http://slimages.macys.com/is/image/MCY/12849901 </v>
      </c>
    </row>
    <row r="322" spans="1:12" ht="24.75" x14ac:dyDescent="0.25">
      <c r="A322" s="4" t="s">
        <v>1352</v>
      </c>
      <c r="B322" s="2" t="s">
        <v>1318</v>
      </c>
      <c r="C322" s="3">
        <v>1</v>
      </c>
      <c r="D322" s="5">
        <v>24.99</v>
      </c>
      <c r="E322" s="3" t="s">
        <v>1321</v>
      </c>
      <c r="F322" s="2" t="s">
        <v>506</v>
      </c>
      <c r="G322" s="6" t="s">
        <v>141</v>
      </c>
      <c r="H322" s="2" t="s">
        <v>228</v>
      </c>
      <c r="I322" s="2" t="s">
        <v>229</v>
      </c>
      <c r="J322" s="2" t="s">
        <v>19</v>
      </c>
      <c r="K322" s="2" t="s">
        <v>253</v>
      </c>
      <c r="L322" s="7" t="str">
        <f>HYPERLINK("http://slimages.macys.com/is/image/MCY/8296032 ")</f>
        <v xml:space="preserve">http://slimages.macys.com/is/image/MCY/8296032 </v>
      </c>
    </row>
    <row r="323" spans="1:12" ht="24.75" x14ac:dyDescent="0.25">
      <c r="A323" s="4" t="s">
        <v>3880</v>
      </c>
      <c r="B323" s="2" t="s">
        <v>1318</v>
      </c>
      <c r="C323" s="3">
        <v>1</v>
      </c>
      <c r="D323" s="5">
        <v>24.99</v>
      </c>
      <c r="E323" s="3" t="s">
        <v>1321</v>
      </c>
      <c r="F323" s="2" t="s">
        <v>506</v>
      </c>
      <c r="G323" s="6" t="s">
        <v>27</v>
      </c>
      <c r="H323" s="2" t="s">
        <v>228</v>
      </c>
      <c r="I323" s="2" t="s">
        <v>229</v>
      </c>
      <c r="J323" s="2" t="s">
        <v>19</v>
      </c>
      <c r="K323" s="2" t="s">
        <v>253</v>
      </c>
      <c r="L323" s="7" t="str">
        <f>HYPERLINK("http://slimages.macys.com/is/image/MCY/8296032 ")</f>
        <v xml:space="preserve">http://slimages.macys.com/is/image/MCY/8296032 </v>
      </c>
    </row>
    <row r="324" spans="1:12" ht="24.75" x14ac:dyDescent="0.25">
      <c r="A324" s="4" t="s">
        <v>2695</v>
      </c>
      <c r="B324" s="2" t="s">
        <v>1356</v>
      </c>
      <c r="C324" s="3">
        <v>1</v>
      </c>
      <c r="D324" s="5">
        <v>29.99</v>
      </c>
      <c r="E324" s="3">
        <v>100045815</v>
      </c>
      <c r="F324" s="2" t="s">
        <v>26</v>
      </c>
      <c r="G324" s="6" t="s">
        <v>16</v>
      </c>
      <c r="H324" s="2" t="s">
        <v>228</v>
      </c>
      <c r="I324" s="2" t="s">
        <v>229</v>
      </c>
      <c r="J324" s="2" t="s">
        <v>19</v>
      </c>
      <c r="K324" s="2" t="s">
        <v>353</v>
      </c>
      <c r="L324" s="7" t="str">
        <f>HYPERLINK("http://slimages.macys.com/is/image/MCY/11936020 ")</f>
        <v xml:space="preserve">http://slimages.macys.com/is/image/MCY/11936020 </v>
      </c>
    </row>
    <row r="325" spans="1:12" ht="24.75" x14ac:dyDescent="0.25">
      <c r="A325" s="4" t="s">
        <v>2690</v>
      </c>
      <c r="B325" s="2" t="s">
        <v>1318</v>
      </c>
      <c r="C325" s="3">
        <v>1</v>
      </c>
      <c r="D325" s="5">
        <v>24.99</v>
      </c>
      <c r="E325" s="3">
        <v>100003708</v>
      </c>
      <c r="F325" s="2" t="s">
        <v>417</v>
      </c>
      <c r="G325" s="6" t="s">
        <v>112</v>
      </c>
      <c r="H325" s="2" t="s">
        <v>228</v>
      </c>
      <c r="I325" s="2" t="s">
        <v>229</v>
      </c>
      <c r="J325" s="2" t="s">
        <v>19</v>
      </c>
      <c r="K325" s="2" t="s">
        <v>253</v>
      </c>
      <c r="L325" s="7" t="str">
        <f>HYPERLINK("http://slimages.macys.com/is/image/MCY/9029356 ")</f>
        <v xml:space="preserve">http://slimages.macys.com/is/image/MCY/9029356 </v>
      </c>
    </row>
    <row r="326" spans="1:12" ht="24.75" x14ac:dyDescent="0.25">
      <c r="A326" s="4" t="s">
        <v>8700</v>
      </c>
      <c r="B326" s="2" t="s">
        <v>1318</v>
      </c>
      <c r="C326" s="3">
        <v>1</v>
      </c>
      <c r="D326" s="5">
        <v>24.99</v>
      </c>
      <c r="E326" s="3" t="s">
        <v>1321</v>
      </c>
      <c r="F326" s="2" t="s">
        <v>89</v>
      </c>
      <c r="G326" s="6" t="s">
        <v>22</v>
      </c>
      <c r="H326" s="2" t="s">
        <v>228</v>
      </c>
      <c r="I326" s="2" t="s">
        <v>229</v>
      </c>
      <c r="J326" s="2" t="s">
        <v>19</v>
      </c>
      <c r="K326" s="2" t="s">
        <v>253</v>
      </c>
      <c r="L326" s="7" t="str">
        <f>HYPERLINK("http://slimages.macys.com/is/image/MCY/9029356 ")</f>
        <v xml:space="preserve">http://slimages.macys.com/is/image/MCY/9029356 </v>
      </c>
    </row>
    <row r="327" spans="1:12" ht="24.75" x14ac:dyDescent="0.25">
      <c r="A327" s="4" t="s">
        <v>2698</v>
      </c>
      <c r="B327" s="2" t="s">
        <v>1318</v>
      </c>
      <c r="C327" s="3">
        <v>1</v>
      </c>
      <c r="D327" s="5">
        <v>24.99</v>
      </c>
      <c r="E327" s="3" t="s">
        <v>1321</v>
      </c>
      <c r="F327" s="2" t="s">
        <v>376</v>
      </c>
      <c r="G327" s="6" t="s">
        <v>65</v>
      </c>
      <c r="H327" s="2" t="s">
        <v>228</v>
      </c>
      <c r="I327" s="2" t="s">
        <v>229</v>
      </c>
      <c r="J327" s="2" t="s">
        <v>19</v>
      </c>
      <c r="K327" s="2" t="s">
        <v>253</v>
      </c>
      <c r="L327" s="7" t="str">
        <f>HYPERLINK("http://slimages.macys.com/is/image/MCY/9029356 ")</f>
        <v xml:space="preserve">http://slimages.macys.com/is/image/MCY/9029356 </v>
      </c>
    </row>
    <row r="328" spans="1:12" ht="24.75" x14ac:dyDescent="0.25">
      <c r="A328" s="4" t="s">
        <v>2689</v>
      </c>
      <c r="B328" s="2" t="s">
        <v>1318</v>
      </c>
      <c r="C328" s="3">
        <v>2</v>
      </c>
      <c r="D328" s="5">
        <v>24.99</v>
      </c>
      <c r="E328" s="3" t="s">
        <v>1321</v>
      </c>
      <c r="F328" s="2" t="s">
        <v>64</v>
      </c>
      <c r="G328" s="6" t="s">
        <v>65</v>
      </c>
      <c r="H328" s="2" t="s">
        <v>228</v>
      </c>
      <c r="I328" s="2" t="s">
        <v>229</v>
      </c>
      <c r="J328" s="2" t="s">
        <v>19</v>
      </c>
      <c r="K328" s="2" t="s">
        <v>253</v>
      </c>
      <c r="L328" s="7" t="str">
        <f>HYPERLINK("http://slimages.macys.com/is/image/MCY/9029356 ")</f>
        <v xml:space="preserve">http://slimages.macys.com/is/image/MCY/9029356 </v>
      </c>
    </row>
    <row r="329" spans="1:12" ht="24.75" x14ac:dyDescent="0.25">
      <c r="A329" s="4" t="s">
        <v>4958</v>
      </c>
      <c r="B329" s="2" t="s">
        <v>1318</v>
      </c>
      <c r="C329" s="3">
        <v>2</v>
      </c>
      <c r="D329" s="5">
        <v>24.99</v>
      </c>
      <c r="E329" s="3" t="s">
        <v>1321</v>
      </c>
      <c r="F329" s="2" t="s">
        <v>506</v>
      </c>
      <c r="G329" s="6" t="s">
        <v>65</v>
      </c>
      <c r="H329" s="2" t="s">
        <v>228</v>
      </c>
      <c r="I329" s="2" t="s">
        <v>229</v>
      </c>
      <c r="J329" s="2" t="s">
        <v>19</v>
      </c>
      <c r="K329" s="2" t="s">
        <v>253</v>
      </c>
      <c r="L329" s="7" t="str">
        <f>HYPERLINK("http://slimages.macys.com/is/image/MCY/8296032 ")</f>
        <v xml:space="preserve">http://slimages.macys.com/is/image/MCY/8296032 </v>
      </c>
    </row>
    <row r="330" spans="1:12" ht="24.75" x14ac:dyDescent="0.25">
      <c r="A330" s="4" t="s">
        <v>5885</v>
      </c>
      <c r="B330" s="2" t="s">
        <v>1318</v>
      </c>
      <c r="C330" s="3">
        <v>2</v>
      </c>
      <c r="D330" s="5">
        <v>24.99</v>
      </c>
      <c r="E330" s="3" t="s">
        <v>1321</v>
      </c>
      <c r="F330" s="2" t="s">
        <v>70</v>
      </c>
      <c r="G330" s="6" t="s">
        <v>112</v>
      </c>
      <c r="H330" s="2" t="s">
        <v>228</v>
      </c>
      <c r="I330" s="2" t="s">
        <v>229</v>
      </c>
      <c r="J330" s="2" t="s">
        <v>19</v>
      </c>
      <c r="K330" s="2" t="s">
        <v>253</v>
      </c>
      <c r="L330" s="7" t="str">
        <f>HYPERLINK("http://slimages.macys.com/is/image/MCY/9029356 ")</f>
        <v xml:space="preserve">http://slimages.macys.com/is/image/MCY/9029356 </v>
      </c>
    </row>
    <row r="331" spans="1:12" ht="24.75" x14ac:dyDescent="0.25">
      <c r="A331" s="4" t="s">
        <v>2692</v>
      </c>
      <c r="B331" s="2" t="s">
        <v>1318</v>
      </c>
      <c r="C331" s="3">
        <v>1</v>
      </c>
      <c r="D331" s="5">
        <v>24.99</v>
      </c>
      <c r="E331" s="3" t="s">
        <v>1321</v>
      </c>
      <c r="F331" s="2" t="s">
        <v>506</v>
      </c>
      <c r="G331" s="6" t="s">
        <v>112</v>
      </c>
      <c r="H331" s="2" t="s">
        <v>228</v>
      </c>
      <c r="I331" s="2" t="s">
        <v>229</v>
      </c>
      <c r="J331" s="2" t="s">
        <v>19</v>
      </c>
      <c r="K331" s="2" t="s">
        <v>253</v>
      </c>
      <c r="L331" s="7" t="str">
        <f>HYPERLINK("http://slimages.macys.com/is/image/MCY/8296032 ")</f>
        <v xml:space="preserve">http://slimages.macys.com/is/image/MCY/8296032 </v>
      </c>
    </row>
    <row r="332" spans="1:12" ht="24.75" x14ac:dyDescent="0.25">
      <c r="A332" s="4" t="s">
        <v>6641</v>
      </c>
      <c r="B332" s="2" t="s">
        <v>1318</v>
      </c>
      <c r="C332" s="3">
        <v>3</v>
      </c>
      <c r="D332" s="5">
        <v>24.99</v>
      </c>
      <c r="E332" s="3" t="s">
        <v>1321</v>
      </c>
      <c r="F332" s="2" t="s">
        <v>376</v>
      </c>
      <c r="G332" s="6" t="s">
        <v>16</v>
      </c>
      <c r="H332" s="2" t="s">
        <v>228</v>
      </c>
      <c r="I332" s="2" t="s">
        <v>229</v>
      </c>
      <c r="J332" s="2" t="s">
        <v>19</v>
      </c>
      <c r="K332" s="2" t="s">
        <v>253</v>
      </c>
      <c r="L332" s="7" t="str">
        <f>HYPERLINK("http://slimages.macys.com/is/image/MCY/9029356 ")</f>
        <v xml:space="preserve">http://slimages.macys.com/is/image/MCY/9029356 </v>
      </c>
    </row>
    <row r="333" spans="1:12" ht="24.75" x14ac:dyDescent="0.25">
      <c r="A333" s="4" t="s">
        <v>1350</v>
      </c>
      <c r="B333" s="2" t="s">
        <v>1318</v>
      </c>
      <c r="C333" s="3">
        <v>2</v>
      </c>
      <c r="D333" s="5">
        <v>24.99</v>
      </c>
      <c r="E333" s="3" t="s">
        <v>1321</v>
      </c>
      <c r="F333" s="2" t="s">
        <v>506</v>
      </c>
      <c r="G333" s="6" t="s">
        <v>58</v>
      </c>
      <c r="H333" s="2" t="s">
        <v>228</v>
      </c>
      <c r="I333" s="2" t="s">
        <v>229</v>
      </c>
      <c r="J333" s="2" t="s">
        <v>19</v>
      </c>
      <c r="K333" s="2" t="s">
        <v>253</v>
      </c>
      <c r="L333" s="7" t="str">
        <f>HYPERLINK("http://slimages.macys.com/is/image/MCY/8296032 ")</f>
        <v xml:space="preserve">http://slimages.macys.com/is/image/MCY/8296032 </v>
      </c>
    </row>
    <row r="334" spans="1:12" ht="24.75" x14ac:dyDescent="0.25">
      <c r="A334" s="4" t="s">
        <v>9096</v>
      </c>
      <c r="B334" s="2" t="s">
        <v>1318</v>
      </c>
      <c r="C334" s="3">
        <v>1</v>
      </c>
      <c r="D334" s="5">
        <v>24.99</v>
      </c>
      <c r="E334" s="3" t="s">
        <v>1321</v>
      </c>
      <c r="F334" s="2" t="s">
        <v>193</v>
      </c>
      <c r="G334" s="6" t="s">
        <v>22</v>
      </c>
      <c r="H334" s="2" t="s">
        <v>228</v>
      </c>
      <c r="I334" s="2" t="s">
        <v>229</v>
      </c>
      <c r="J334" s="2" t="s">
        <v>19</v>
      </c>
      <c r="K334" s="2" t="s">
        <v>253</v>
      </c>
      <c r="L334" s="7" t="str">
        <f>HYPERLINK("http://slimages.macys.com/is/image/MCY/9029356 ")</f>
        <v xml:space="preserve">http://slimages.macys.com/is/image/MCY/9029356 </v>
      </c>
    </row>
    <row r="335" spans="1:12" ht="24.75" x14ac:dyDescent="0.25">
      <c r="A335" s="4" t="s">
        <v>2696</v>
      </c>
      <c r="B335" s="2" t="s">
        <v>1356</v>
      </c>
      <c r="C335" s="3">
        <v>1</v>
      </c>
      <c r="D335" s="5">
        <v>29.99</v>
      </c>
      <c r="E335" s="3">
        <v>100045815</v>
      </c>
      <c r="F335" s="2" t="s">
        <v>26</v>
      </c>
      <c r="G335" s="6" t="s">
        <v>58</v>
      </c>
      <c r="H335" s="2" t="s">
        <v>228</v>
      </c>
      <c r="I335" s="2" t="s">
        <v>229</v>
      </c>
      <c r="J335" s="2" t="s">
        <v>19</v>
      </c>
      <c r="K335" s="2" t="s">
        <v>353</v>
      </c>
      <c r="L335" s="7" t="str">
        <f>HYPERLINK("http://slimages.macys.com/is/image/MCY/11936020 ")</f>
        <v xml:space="preserve">http://slimages.macys.com/is/image/MCY/11936020 </v>
      </c>
    </row>
    <row r="336" spans="1:12" ht="24.75" x14ac:dyDescent="0.25">
      <c r="A336" s="4" t="s">
        <v>8176</v>
      </c>
      <c r="B336" s="2" t="s">
        <v>1318</v>
      </c>
      <c r="C336" s="3">
        <v>1</v>
      </c>
      <c r="D336" s="5">
        <v>24.99</v>
      </c>
      <c r="E336" s="3" t="s">
        <v>1321</v>
      </c>
      <c r="F336" s="2" t="s">
        <v>70</v>
      </c>
      <c r="G336" s="6" t="s">
        <v>58</v>
      </c>
      <c r="H336" s="2" t="s">
        <v>228</v>
      </c>
      <c r="I336" s="2" t="s">
        <v>229</v>
      </c>
      <c r="J336" s="2" t="s">
        <v>19</v>
      </c>
      <c r="K336" s="2" t="s">
        <v>253</v>
      </c>
      <c r="L336" s="7" t="str">
        <f>HYPERLINK("http://slimages.macys.com/is/image/MCY/9029356 ")</f>
        <v xml:space="preserve">http://slimages.macys.com/is/image/MCY/9029356 </v>
      </c>
    </row>
    <row r="337" spans="1:12" ht="24.75" x14ac:dyDescent="0.25">
      <c r="A337" s="4" t="s">
        <v>9097</v>
      </c>
      <c r="B337" s="2" t="s">
        <v>1359</v>
      </c>
      <c r="C337" s="3">
        <v>2</v>
      </c>
      <c r="D337" s="5">
        <v>29.99</v>
      </c>
      <c r="E337" s="3" t="s">
        <v>1360</v>
      </c>
      <c r="F337" s="2" t="s">
        <v>74</v>
      </c>
      <c r="G337" s="6" t="s">
        <v>234</v>
      </c>
      <c r="H337" s="2" t="s">
        <v>246</v>
      </c>
      <c r="I337" s="2" t="s">
        <v>189</v>
      </c>
      <c r="J337" s="2" t="s">
        <v>19</v>
      </c>
      <c r="K337" s="2" t="s">
        <v>160</v>
      </c>
      <c r="L337" s="7" t="str">
        <f>HYPERLINK("http://slimages.macys.com/is/image/MCY/11420487 ")</f>
        <v xml:space="preserve">http://slimages.macys.com/is/image/MCY/11420487 </v>
      </c>
    </row>
    <row r="338" spans="1:12" ht="24.75" x14ac:dyDescent="0.25">
      <c r="A338" s="4" t="s">
        <v>3888</v>
      </c>
      <c r="B338" s="2" t="s">
        <v>1365</v>
      </c>
      <c r="C338" s="3">
        <v>2</v>
      </c>
      <c r="D338" s="5">
        <v>37.130000000000003</v>
      </c>
      <c r="E338" s="3">
        <v>100065803</v>
      </c>
      <c r="F338" s="2" t="s">
        <v>74</v>
      </c>
      <c r="G338" s="6" t="s">
        <v>154</v>
      </c>
      <c r="H338" s="2" t="s">
        <v>194</v>
      </c>
      <c r="I338" s="2" t="s">
        <v>195</v>
      </c>
      <c r="J338" s="2" t="s">
        <v>19</v>
      </c>
      <c r="K338" s="2" t="s">
        <v>353</v>
      </c>
      <c r="L338" s="7" t="str">
        <f t="shared" ref="L338:L345" si="0">HYPERLINK("http://slimages.macys.com/is/image/MCY/12850008 ")</f>
        <v xml:space="preserve">http://slimages.macys.com/is/image/MCY/12850008 </v>
      </c>
    </row>
    <row r="339" spans="1:12" ht="24.75" x14ac:dyDescent="0.25">
      <c r="A339" s="4" t="s">
        <v>3887</v>
      </c>
      <c r="B339" s="2" t="s">
        <v>1365</v>
      </c>
      <c r="C339" s="3">
        <v>1</v>
      </c>
      <c r="D339" s="5">
        <v>37.130000000000003</v>
      </c>
      <c r="E339" s="3">
        <v>100065803</v>
      </c>
      <c r="F339" s="2" t="s">
        <v>74</v>
      </c>
      <c r="G339" s="6" t="s">
        <v>234</v>
      </c>
      <c r="H339" s="2" t="s">
        <v>194</v>
      </c>
      <c r="I339" s="2" t="s">
        <v>195</v>
      </c>
      <c r="J339" s="2" t="s">
        <v>19</v>
      </c>
      <c r="K339" s="2" t="s">
        <v>353</v>
      </c>
      <c r="L339" s="7" t="str">
        <f t="shared" si="0"/>
        <v xml:space="preserve">http://slimages.macys.com/is/image/MCY/12850008 </v>
      </c>
    </row>
    <row r="340" spans="1:12" ht="24.75" x14ac:dyDescent="0.25">
      <c r="A340" s="4" t="s">
        <v>1367</v>
      </c>
      <c r="B340" s="2" t="s">
        <v>1365</v>
      </c>
      <c r="C340" s="3">
        <v>3</v>
      </c>
      <c r="D340" s="5">
        <v>37.130000000000003</v>
      </c>
      <c r="E340" s="3">
        <v>100065803</v>
      </c>
      <c r="F340" s="2" t="s">
        <v>15</v>
      </c>
      <c r="G340" s="6" t="s">
        <v>245</v>
      </c>
      <c r="H340" s="2" t="s">
        <v>194</v>
      </c>
      <c r="I340" s="2" t="s">
        <v>195</v>
      </c>
      <c r="J340" s="2" t="s">
        <v>19</v>
      </c>
      <c r="K340" s="2" t="s">
        <v>353</v>
      </c>
      <c r="L340" s="7" t="str">
        <f t="shared" si="0"/>
        <v xml:space="preserve">http://slimages.macys.com/is/image/MCY/12850008 </v>
      </c>
    </row>
    <row r="341" spans="1:12" ht="24.75" x14ac:dyDescent="0.25">
      <c r="A341" s="4" t="s">
        <v>1370</v>
      </c>
      <c r="B341" s="2" t="s">
        <v>1365</v>
      </c>
      <c r="C341" s="3">
        <v>1</v>
      </c>
      <c r="D341" s="5">
        <v>37.130000000000003</v>
      </c>
      <c r="E341" s="3">
        <v>100065803</v>
      </c>
      <c r="F341" s="2" t="s">
        <v>74</v>
      </c>
      <c r="G341" s="6" t="s">
        <v>156</v>
      </c>
      <c r="H341" s="2" t="s">
        <v>194</v>
      </c>
      <c r="I341" s="2" t="s">
        <v>195</v>
      </c>
      <c r="J341" s="2" t="s">
        <v>19</v>
      </c>
      <c r="K341" s="2" t="s">
        <v>353</v>
      </c>
      <c r="L341" s="7" t="str">
        <f t="shared" si="0"/>
        <v xml:space="preserve">http://slimages.macys.com/is/image/MCY/12850008 </v>
      </c>
    </row>
    <row r="342" spans="1:12" ht="24.75" x14ac:dyDescent="0.25">
      <c r="A342" s="4" t="s">
        <v>1369</v>
      </c>
      <c r="B342" s="2" t="s">
        <v>1365</v>
      </c>
      <c r="C342" s="3">
        <v>1</v>
      </c>
      <c r="D342" s="5">
        <v>37.130000000000003</v>
      </c>
      <c r="E342" s="3">
        <v>100065803</v>
      </c>
      <c r="F342" s="2" t="s">
        <v>15</v>
      </c>
      <c r="G342" s="6" t="s">
        <v>234</v>
      </c>
      <c r="H342" s="2" t="s">
        <v>194</v>
      </c>
      <c r="I342" s="2" t="s">
        <v>195</v>
      </c>
      <c r="J342" s="2" t="s">
        <v>19</v>
      </c>
      <c r="K342" s="2" t="s">
        <v>353</v>
      </c>
      <c r="L342" s="7" t="str">
        <f t="shared" si="0"/>
        <v xml:space="preserve">http://slimages.macys.com/is/image/MCY/12850008 </v>
      </c>
    </row>
    <row r="343" spans="1:12" ht="24.75" x14ac:dyDescent="0.25">
      <c r="A343" s="4" t="s">
        <v>4959</v>
      </c>
      <c r="B343" s="2" t="s">
        <v>1365</v>
      </c>
      <c r="C343" s="3">
        <v>1</v>
      </c>
      <c r="D343" s="5">
        <v>37.130000000000003</v>
      </c>
      <c r="E343" s="3">
        <v>100065803</v>
      </c>
      <c r="F343" s="2" t="s">
        <v>15</v>
      </c>
      <c r="G343" s="6" t="s">
        <v>154</v>
      </c>
      <c r="H343" s="2" t="s">
        <v>194</v>
      </c>
      <c r="I343" s="2" t="s">
        <v>195</v>
      </c>
      <c r="J343" s="2" t="s">
        <v>19</v>
      </c>
      <c r="K343" s="2" t="s">
        <v>353</v>
      </c>
      <c r="L343" s="7" t="str">
        <f t="shared" si="0"/>
        <v xml:space="preserve">http://slimages.macys.com/is/image/MCY/12850008 </v>
      </c>
    </row>
    <row r="344" spans="1:12" ht="24.75" x14ac:dyDescent="0.25">
      <c r="A344" s="4" t="s">
        <v>1364</v>
      </c>
      <c r="B344" s="2" t="s">
        <v>1365</v>
      </c>
      <c r="C344" s="3">
        <v>2</v>
      </c>
      <c r="D344" s="5">
        <v>37.130000000000003</v>
      </c>
      <c r="E344" s="3">
        <v>100065803</v>
      </c>
      <c r="F344" s="2" t="s">
        <v>15</v>
      </c>
      <c r="G344" s="6" t="s">
        <v>181</v>
      </c>
      <c r="H344" s="2" t="s">
        <v>194</v>
      </c>
      <c r="I344" s="2" t="s">
        <v>195</v>
      </c>
      <c r="J344" s="2" t="s">
        <v>19</v>
      </c>
      <c r="K344" s="2" t="s">
        <v>353</v>
      </c>
      <c r="L344" s="7" t="str">
        <f t="shared" si="0"/>
        <v xml:space="preserve">http://slimages.macys.com/is/image/MCY/12850008 </v>
      </c>
    </row>
    <row r="345" spans="1:12" ht="24.75" x14ac:dyDescent="0.25">
      <c r="A345" s="4" t="s">
        <v>2706</v>
      </c>
      <c r="B345" s="2" t="s">
        <v>1365</v>
      </c>
      <c r="C345" s="3">
        <v>1</v>
      </c>
      <c r="D345" s="5">
        <v>37.130000000000003</v>
      </c>
      <c r="E345" s="3">
        <v>100065803</v>
      </c>
      <c r="F345" s="2" t="s">
        <v>74</v>
      </c>
      <c r="G345" s="6" t="s">
        <v>245</v>
      </c>
      <c r="H345" s="2" t="s">
        <v>194</v>
      </c>
      <c r="I345" s="2" t="s">
        <v>195</v>
      </c>
      <c r="J345" s="2" t="s">
        <v>19</v>
      </c>
      <c r="K345" s="2" t="s">
        <v>353</v>
      </c>
      <c r="L345" s="7" t="str">
        <f t="shared" si="0"/>
        <v xml:space="preserve">http://slimages.macys.com/is/image/MCY/12850008 </v>
      </c>
    </row>
    <row r="346" spans="1:12" ht="24.75" x14ac:dyDescent="0.25">
      <c r="A346" s="4" t="s">
        <v>9098</v>
      </c>
      <c r="B346" s="2" t="s">
        <v>1373</v>
      </c>
      <c r="C346" s="3">
        <v>1</v>
      </c>
      <c r="D346" s="5">
        <v>37.130000000000003</v>
      </c>
      <c r="E346" s="3" t="s">
        <v>1374</v>
      </c>
      <c r="F346" s="2" t="s">
        <v>38</v>
      </c>
      <c r="G346" s="6" t="s">
        <v>156</v>
      </c>
      <c r="H346" s="2" t="s">
        <v>194</v>
      </c>
      <c r="I346" s="2" t="s">
        <v>195</v>
      </c>
      <c r="J346" s="2" t="s">
        <v>19</v>
      </c>
      <c r="K346" s="2" t="s">
        <v>247</v>
      </c>
      <c r="L346" s="7" t="str">
        <f>HYPERLINK("http://slimages.macys.com/is/image/MCY/12034795 ")</f>
        <v xml:space="preserve">http://slimages.macys.com/is/image/MCY/12034795 </v>
      </c>
    </row>
    <row r="347" spans="1:12" ht="24.75" x14ac:dyDescent="0.25">
      <c r="A347" s="4" t="s">
        <v>1372</v>
      </c>
      <c r="B347" s="2" t="s">
        <v>1373</v>
      </c>
      <c r="C347" s="3">
        <v>2</v>
      </c>
      <c r="D347" s="5">
        <v>37.130000000000003</v>
      </c>
      <c r="E347" s="3" t="s">
        <v>1374</v>
      </c>
      <c r="F347" s="2" t="s">
        <v>38</v>
      </c>
      <c r="G347" s="6" t="s">
        <v>234</v>
      </c>
      <c r="H347" s="2" t="s">
        <v>194</v>
      </c>
      <c r="I347" s="2" t="s">
        <v>195</v>
      </c>
      <c r="J347" s="2" t="s">
        <v>19</v>
      </c>
      <c r="K347" s="2" t="s">
        <v>247</v>
      </c>
      <c r="L347" s="7" t="str">
        <f>HYPERLINK("http://slimages.macys.com/is/image/MCY/12034795 ")</f>
        <v xml:space="preserve">http://slimages.macys.com/is/image/MCY/12034795 </v>
      </c>
    </row>
    <row r="348" spans="1:12" ht="24.75" x14ac:dyDescent="0.25">
      <c r="A348" s="4" t="s">
        <v>9099</v>
      </c>
      <c r="B348" s="2" t="s">
        <v>1385</v>
      </c>
      <c r="C348" s="3">
        <v>1</v>
      </c>
      <c r="D348" s="5">
        <v>37.130000000000003</v>
      </c>
      <c r="E348" s="3">
        <v>100022370</v>
      </c>
      <c r="F348" s="2" t="s">
        <v>48</v>
      </c>
      <c r="G348" s="6" t="s">
        <v>181</v>
      </c>
      <c r="H348" s="2" t="s">
        <v>194</v>
      </c>
      <c r="I348" s="2" t="s">
        <v>195</v>
      </c>
      <c r="J348" s="2" t="s">
        <v>19</v>
      </c>
      <c r="K348" s="2" t="s">
        <v>247</v>
      </c>
      <c r="L348" s="7" t="str">
        <f>HYPERLINK("http://slimages.macys.com/is/image/MCY/12280159 ")</f>
        <v xml:space="preserve">http://slimages.macys.com/is/image/MCY/12280159 </v>
      </c>
    </row>
    <row r="349" spans="1:12" ht="36.75" x14ac:dyDescent="0.25">
      <c r="A349" s="4" t="s">
        <v>7484</v>
      </c>
      <c r="B349" s="2" t="s">
        <v>2351</v>
      </c>
      <c r="C349" s="3">
        <v>1</v>
      </c>
      <c r="D349" s="5">
        <v>29.63</v>
      </c>
      <c r="E349" s="3" t="s">
        <v>4963</v>
      </c>
      <c r="F349" s="2" t="s">
        <v>752</v>
      </c>
      <c r="G349" s="6" t="s">
        <v>154</v>
      </c>
      <c r="H349" s="2" t="s">
        <v>194</v>
      </c>
      <c r="I349" s="2" t="s">
        <v>195</v>
      </c>
      <c r="J349" s="2" t="s">
        <v>19</v>
      </c>
      <c r="K349" s="2" t="s">
        <v>1390</v>
      </c>
      <c r="L349" s="7" t="str">
        <f>HYPERLINK("http://slimages.macys.com/is/image/MCY/12950203 ")</f>
        <v xml:space="preserve">http://slimages.macys.com/is/image/MCY/12950203 </v>
      </c>
    </row>
    <row r="350" spans="1:12" ht="36.75" x14ac:dyDescent="0.25">
      <c r="A350" s="4" t="s">
        <v>1391</v>
      </c>
      <c r="B350" s="2" t="s">
        <v>1388</v>
      </c>
      <c r="C350" s="3">
        <v>2</v>
      </c>
      <c r="D350" s="5">
        <v>29.63</v>
      </c>
      <c r="E350" s="3" t="s">
        <v>1389</v>
      </c>
      <c r="F350" s="2" t="s">
        <v>111</v>
      </c>
      <c r="G350" s="6" t="s">
        <v>181</v>
      </c>
      <c r="H350" s="2" t="s">
        <v>194</v>
      </c>
      <c r="I350" s="2" t="s">
        <v>195</v>
      </c>
      <c r="J350" s="2" t="s">
        <v>19</v>
      </c>
      <c r="K350" s="2" t="s">
        <v>1390</v>
      </c>
      <c r="L350" s="7" t="str">
        <f>HYPERLINK("http://slimages.macys.com/is/image/MCY/12734335 ")</f>
        <v xml:space="preserve">http://slimages.macys.com/is/image/MCY/12734335 </v>
      </c>
    </row>
    <row r="351" spans="1:12" ht="36.75" x14ac:dyDescent="0.25">
      <c r="A351" s="4" t="s">
        <v>9100</v>
      </c>
      <c r="B351" s="2" t="s">
        <v>2351</v>
      </c>
      <c r="C351" s="3">
        <v>1</v>
      </c>
      <c r="D351" s="5">
        <v>29.63</v>
      </c>
      <c r="E351" s="3" t="s">
        <v>4963</v>
      </c>
      <c r="F351" s="2" t="s">
        <v>752</v>
      </c>
      <c r="G351" s="6" t="s">
        <v>156</v>
      </c>
      <c r="H351" s="2" t="s">
        <v>194</v>
      </c>
      <c r="I351" s="2" t="s">
        <v>195</v>
      </c>
      <c r="J351" s="2" t="s">
        <v>19</v>
      </c>
      <c r="K351" s="2" t="s">
        <v>1390</v>
      </c>
      <c r="L351" s="7" t="str">
        <f>HYPERLINK("http://slimages.macys.com/is/image/MCY/12950203 ")</f>
        <v xml:space="preserve">http://slimages.macys.com/is/image/MCY/12950203 </v>
      </c>
    </row>
    <row r="352" spans="1:12" ht="24.75" x14ac:dyDescent="0.25">
      <c r="A352" s="4" t="s">
        <v>5892</v>
      </c>
      <c r="B352" s="2" t="s">
        <v>1394</v>
      </c>
      <c r="C352" s="3">
        <v>1</v>
      </c>
      <c r="D352" s="5">
        <v>36.5</v>
      </c>
      <c r="E352" s="3" t="s">
        <v>3903</v>
      </c>
      <c r="F352" s="2" t="s">
        <v>15</v>
      </c>
      <c r="G352" s="6" t="s">
        <v>181</v>
      </c>
      <c r="H352" s="2" t="s">
        <v>194</v>
      </c>
      <c r="I352" s="2" t="s">
        <v>195</v>
      </c>
      <c r="J352" s="2" t="s">
        <v>19</v>
      </c>
      <c r="K352" s="2" t="s">
        <v>34</v>
      </c>
      <c r="L352" s="7" t="str">
        <f>HYPERLINK("http://slimages.macys.com/is/image/MCY/13367997 ")</f>
        <v xml:space="preserve">http://slimages.macys.com/is/image/MCY/13367997 </v>
      </c>
    </row>
    <row r="353" spans="1:12" ht="60.75" x14ac:dyDescent="0.25">
      <c r="A353" s="4" t="s">
        <v>9101</v>
      </c>
      <c r="B353" s="2" t="s">
        <v>1397</v>
      </c>
      <c r="C353" s="3">
        <v>2</v>
      </c>
      <c r="D353" s="5">
        <v>29.63</v>
      </c>
      <c r="E353" s="3">
        <v>100022669</v>
      </c>
      <c r="F353" s="2" t="s">
        <v>48</v>
      </c>
      <c r="G353" s="6" t="s">
        <v>181</v>
      </c>
      <c r="H353" s="2" t="s">
        <v>194</v>
      </c>
      <c r="I353" s="2" t="s">
        <v>1398</v>
      </c>
      <c r="J353" s="2" t="s">
        <v>19</v>
      </c>
      <c r="K353" s="2" t="s">
        <v>1399</v>
      </c>
      <c r="L353" s="7" t="str">
        <f>HYPERLINK("http://slimages.macys.com/is/image/MCY/13368177 ")</f>
        <v xml:space="preserve">http://slimages.macys.com/is/image/MCY/13368177 </v>
      </c>
    </row>
    <row r="354" spans="1:12" ht="60.75" x14ac:dyDescent="0.25">
      <c r="A354" s="4" t="s">
        <v>9102</v>
      </c>
      <c r="B354" s="2" t="s">
        <v>1397</v>
      </c>
      <c r="C354" s="3">
        <v>1</v>
      </c>
      <c r="D354" s="5">
        <v>29.63</v>
      </c>
      <c r="E354" s="3">
        <v>100022669</v>
      </c>
      <c r="F354" s="2" t="s">
        <v>48</v>
      </c>
      <c r="G354" s="6" t="s">
        <v>156</v>
      </c>
      <c r="H354" s="2" t="s">
        <v>194</v>
      </c>
      <c r="I354" s="2" t="s">
        <v>1398</v>
      </c>
      <c r="J354" s="2" t="s">
        <v>19</v>
      </c>
      <c r="K354" s="2" t="s">
        <v>1399</v>
      </c>
      <c r="L354" s="7" t="str">
        <f>HYPERLINK("http://slimages.macys.com/is/image/MCY/13368177 ")</f>
        <v xml:space="preserve">http://slimages.macys.com/is/image/MCY/13368177 </v>
      </c>
    </row>
    <row r="355" spans="1:12" ht="60.75" x14ac:dyDescent="0.25">
      <c r="A355" s="4" t="s">
        <v>8707</v>
      </c>
      <c r="B355" s="2" t="s">
        <v>1397</v>
      </c>
      <c r="C355" s="3">
        <v>1</v>
      </c>
      <c r="D355" s="5">
        <v>29.63</v>
      </c>
      <c r="E355" s="3">
        <v>100022669</v>
      </c>
      <c r="F355" s="2" t="s">
        <v>48</v>
      </c>
      <c r="G355" s="6" t="s">
        <v>154</v>
      </c>
      <c r="H355" s="2" t="s">
        <v>194</v>
      </c>
      <c r="I355" s="2" t="s">
        <v>1398</v>
      </c>
      <c r="J355" s="2" t="s">
        <v>19</v>
      </c>
      <c r="K355" s="2" t="s">
        <v>1399</v>
      </c>
      <c r="L355" s="7" t="str">
        <f>HYPERLINK("http://slimages.macys.com/is/image/MCY/13368177 ")</f>
        <v xml:space="preserve">http://slimages.macys.com/is/image/MCY/13368177 </v>
      </c>
    </row>
    <row r="356" spans="1:12" ht="24.75" x14ac:dyDescent="0.25">
      <c r="A356" s="4" t="s">
        <v>9103</v>
      </c>
      <c r="B356" s="2" t="s">
        <v>6666</v>
      </c>
      <c r="C356" s="3">
        <v>1</v>
      </c>
      <c r="D356" s="5">
        <v>24.99</v>
      </c>
      <c r="E356" s="3">
        <v>100060498</v>
      </c>
      <c r="F356" s="2" t="s">
        <v>33</v>
      </c>
      <c r="G356" s="6" t="s">
        <v>65</v>
      </c>
      <c r="H356" s="2" t="s">
        <v>228</v>
      </c>
      <c r="I356" s="2" t="s">
        <v>857</v>
      </c>
      <c r="J356" s="2" t="s">
        <v>19</v>
      </c>
      <c r="K356" s="2" t="s">
        <v>230</v>
      </c>
      <c r="L356" s="7" t="str">
        <f>HYPERLINK("http://slimages.macys.com/is/image/MCY/12850401 ")</f>
        <v xml:space="preserve">http://slimages.macys.com/is/image/MCY/12850401 </v>
      </c>
    </row>
    <row r="357" spans="1:12" ht="24.75" x14ac:dyDescent="0.25">
      <c r="A357" s="4" t="s">
        <v>8202</v>
      </c>
      <c r="B357" s="2" t="s">
        <v>6666</v>
      </c>
      <c r="C357" s="3">
        <v>1</v>
      </c>
      <c r="D357" s="5">
        <v>24.99</v>
      </c>
      <c r="E357" s="3">
        <v>100060498</v>
      </c>
      <c r="F357" s="2" t="s">
        <v>33</v>
      </c>
      <c r="G357" s="6" t="s">
        <v>112</v>
      </c>
      <c r="H357" s="2" t="s">
        <v>228</v>
      </c>
      <c r="I357" s="2" t="s">
        <v>857</v>
      </c>
      <c r="J357" s="2" t="s">
        <v>19</v>
      </c>
      <c r="K357" s="2" t="s">
        <v>230</v>
      </c>
      <c r="L357" s="7" t="str">
        <f>HYPERLINK("http://slimages.macys.com/is/image/MCY/12850401 ")</f>
        <v xml:space="preserve">http://slimages.macys.com/is/image/MCY/12850401 </v>
      </c>
    </row>
    <row r="358" spans="1:12" ht="24.75" x14ac:dyDescent="0.25">
      <c r="A358" s="4" t="s">
        <v>6665</v>
      </c>
      <c r="B358" s="2" t="s">
        <v>6666</v>
      </c>
      <c r="C358" s="3">
        <v>1</v>
      </c>
      <c r="D358" s="5">
        <v>24.99</v>
      </c>
      <c r="E358" s="3">
        <v>100060498</v>
      </c>
      <c r="F358" s="2" t="s">
        <v>33</v>
      </c>
      <c r="G358" s="6" t="s">
        <v>27</v>
      </c>
      <c r="H358" s="2" t="s">
        <v>228</v>
      </c>
      <c r="I358" s="2" t="s">
        <v>857</v>
      </c>
      <c r="J358" s="2" t="s">
        <v>19</v>
      </c>
      <c r="K358" s="2" t="s">
        <v>230</v>
      </c>
      <c r="L358" s="7" t="str">
        <f>HYPERLINK("http://slimages.macys.com/is/image/MCY/12850401 ")</f>
        <v xml:space="preserve">http://slimages.macys.com/is/image/MCY/12850401 </v>
      </c>
    </row>
    <row r="359" spans="1:12" ht="24.75" x14ac:dyDescent="0.25">
      <c r="A359" s="4" t="s">
        <v>8714</v>
      </c>
      <c r="B359" s="2" t="s">
        <v>2718</v>
      </c>
      <c r="C359" s="3">
        <v>1</v>
      </c>
      <c r="D359" s="5">
        <v>34.880000000000003</v>
      </c>
      <c r="E359" s="3">
        <v>100054890</v>
      </c>
      <c r="F359" s="2" t="s">
        <v>26</v>
      </c>
      <c r="G359" s="6" t="s">
        <v>65</v>
      </c>
      <c r="H359" s="2" t="s">
        <v>194</v>
      </c>
      <c r="I359" s="2" t="s">
        <v>195</v>
      </c>
      <c r="J359" s="2" t="s">
        <v>19</v>
      </c>
      <c r="K359" s="2" t="s">
        <v>353</v>
      </c>
      <c r="L359" s="7" t="str">
        <f>HYPERLINK("http://slimages.macys.com/is/image/MCY/12331068 ")</f>
        <v xml:space="preserve">http://slimages.macys.com/is/image/MCY/12331068 </v>
      </c>
    </row>
    <row r="360" spans="1:12" ht="24.75" x14ac:dyDescent="0.25">
      <c r="A360" s="4" t="s">
        <v>2717</v>
      </c>
      <c r="B360" s="2" t="s">
        <v>2718</v>
      </c>
      <c r="C360" s="3">
        <v>1</v>
      </c>
      <c r="D360" s="5">
        <v>34.880000000000003</v>
      </c>
      <c r="E360" s="3">
        <v>100054890</v>
      </c>
      <c r="F360" s="2" t="s">
        <v>26</v>
      </c>
      <c r="G360" s="6" t="s">
        <v>141</v>
      </c>
      <c r="H360" s="2" t="s">
        <v>194</v>
      </c>
      <c r="I360" s="2" t="s">
        <v>195</v>
      </c>
      <c r="J360" s="2" t="s">
        <v>19</v>
      </c>
      <c r="K360" s="2" t="s">
        <v>353</v>
      </c>
      <c r="L360" s="7" t="str">
        <f>HYPERLINK("http://slimages.macys.com/is/image/MCY/12331068 ")</f>
        <v xml:space="preserve">http://slimages.macys.com/is/image/MCY/12331068 </v>
      </c>
    </row>
    <row r="361" spans="1:12" ht="24.75" x14ac:dyDescent="0.25">
      <c r="A361" s="4" t="s">
        <v>2726</v>
      </c>
      <c r="B361" s="2" t="s">
        <v>1405</v>
      </c>
      <c r="C361" s="3">
        <v>1</v>
      </c>
      <c r="D361" s="5">
        <v>34.880000000000003</v>
      </c>
      <c r="E361" s="3">
        <v>100042372</v>
      </c>
      <c r="F361" s="2" t="s">
        <v>94</v>
      </c>
      <c r="G361" s="6" t="s">
        <v>16</v>
      </c>
      <c r="H361" s="2" t="s">
        <v>194</v>
      </c>
      <c r="I361" s="2" t="s">
        <v>195</v>
      </c>
      <c r="J361" s="2" t="s">
        <v>19</v>
      </c>
      <c r="K361" s="2" t="s">
        <v>353</v>
      </c>
      <c r="L361" s="7" t="str">
        <f t="shared" ref="L361:L367" si="1">HYPERLINK("http://slimages.macys.com/is/image/MCY/11935225 ")</f>
        <v xml:space="preserve">http://slimages.macys.com/is/image/MCY/11935225 </v>
      </c>
    </row>
    <row r="362" spans="1:12" ht="24.75" x14ac:dyDescent="0.25">
      <c r="A362" s="4" t="s">
        <v>1406</v>
      </c>
      <c r="B362" s="2" t="s">
        <v>1405</v>
      </c>
      <c r="C362" s="3">
        <v>1</v>
      </c>
      <c r="D362" s="5">
        <v>34.880000000000003</v>
      </c>
      <c r="E362" s="3">
        <v>100042372</v>
      </c>
      <c r="F362" s="2" t="s">
        <v>94</v>
      </c>
      <c r="G362" s="6" t="s">
        <v>141</v>
      </c>
      <c r="H362" s="2" t="s">
        <v>194</v>
      </c>
      <c r="I362" s="2" t="s">
        <v>195</v>
      </c>
      <c r="J362" s="2" t="s">
        <v>19</v>
      </c>
      <c r="K362" s="2" t="s">
        <v>353</v>
      </c>
      <c r="L362" s="7" t="str">
        <f t="shared" si="1"/>
        <v xml:space="preserve">http://slimages.macys.com/is/image/MCY/11935225 </v>
      </c>
    </row>
    <row r="363" spans="1:12" ht="24.75" x14ac:dyDescent="0.25">
      <c r="A363" s="4" t="s">
        <v>8203</v>
      </c>
      <c r="B363" s="2" t="s">
        <v>1405</v>
      </c>
      <c r="C363" s="3">
        <v>1</v>
      </c>
      <c r="D363" s="5">
        <v>34.880000000000003</v>
      </c>
      <c r="E363" s="3">
        <v>100042372</v>
      </c>
      <c r="F363" s="2" t="s">
        <v>676</v>
      </c>
      <c r="G363" s="6" t="s">
        <v>65</v>
      </c>
      <c r="H363" s="2" t="s">
        <v>194</v>
      </c>
      <c r="I363" s="2" t="s">
        <v>195</v>
      </c>
      <c r="J363" s="2" t="s">
        <v>19</v>
      </c>
      <c r="K363" s="2" t="s">
        <v>353</v>
      </c>
      <c r="L363" s="7" t="str">
        <f t="shared" si="1"/>
        <v xml:space="preserve">http://slimages.macys.com/is/image/MCY/11935225 </v>
      </c>
    </row>
    <row r="364" spans="1:12" ht="24.75" x14ac:dyDescent="0.25">
      <c r="A364" s="4" t="s">
        <v>3910</v>
      </c>
      <c r="B364" s="2" t="s">
        <v>1405</v>
      </c>
      <c r="C364" s="3">
        <v>1</v>
      </c>
      <c r="D364" s="5">
        <v>34.880000000000003</v>
      </c>
      <c r="E364" s="3">
        <v>100042372</v>
      </c>
      <c r="F364" s="2" t="s">
        <v>676</v>
      </c>
      <c r="G364" s="6" t="s">
        <v>141</v>
      </c>
      <c r="H364" s="2" t="s">
        <v>194</v>
      </c>
      <c r="I364" s="2" t="s">
        <v>195</v>
      </c>
      <c r="J364" s="2" t="s">
        <v>19</v>
      </c>
      <c r="K364" s="2" t="s">
        <v>353</v>
      </c>
      <c r="L364" s="7" t="str">
        <f t="shared" si="1"/>
        <v xml:space="preserve">http://slimages.macys.com/is/image/MCY/11935225 </v>
      </c>
    </row>
    <row r="365" spans="1:12" ht="24.75" x14ac:dyDescent="0.25">
      <c r="A365" s="4" t="s">
        <v>2722</v>
      </c>
      <c r="B365" s="2" t="s">
        <v>1405</v>
      </c>
      <c r="C365" s="3">
        <v>2</v>
      </c>
      <c r="D365" s="5">
        <v>34.880000000000003</v>
      </c>
      <c r="E365" s="3">
        <v>100042372</v>
      </c>
      <c r="F365" s="2" t="s">
        <v>676</v>
      </c>
      <c r="G365" s="6" t="s">
        <v>58</v>
      </c>
      <c r="H365" s="2" t="s">
        <v>194</v>
      </c>
      <c r="I365" s="2" t="s">
        <v>195</v>
      </c>
      <c r="J365" s="2" t="s">
        <v>19</v>
      </c>
      <c r="K365" s="2" t="s">
        <v>353</v>
      </c>
      <c r="L365" s="7" t="str">
        <f t="shared" si="1"/>
        <v xml:space="preserve">http://slimages.macys.com/is/image/MCY/11935225 </v>
      </c>
    </row>
    <row r="366" spans="1:12" ht="24.75" x14ac:dyDescent="0.25">
      <c r="A366" s="4" t="s">
        <v>9104</v>
      </c>
      <c r="B366" s="2" t="s">
        <v>1405</v>
      </c>
      <c r="C366" s="3">
        <v>1</v>
      </c>
      <c r="D366" s="5">
        <v>34.880000000000003</v>
      </c>
      <c r="E366" s="3">
        <v>100042372</v>
      </c>
      <c r="F366" s="2" t="s">
        <v>676</v>
      </c>
      <c r="G366" s="6" t="s">
        <v>106</v>
      </c>
      <c r="H366" s="2" t="s">
        <v>194</v>
      </c>
      <c r="I366" s="2" t="s">
        <v>195</v>
      </c>
      <c r="J366" s="2" t="s">
        <v>19</v>
      </c>
      <c r="K366" s="2" t="s">
        <v>353</v>
      </c>
      <c r="L366" s="7" t="str">
        <f t="shared" si="1"/>
        <v xml:space="preserve">http://slimages.macys.com/is/image/MCY/11935225 </v>
      </c>
    </row>
    <row r="367" spans="1:12" ht="24.75" x14ac:dyDescent="0.25">
      <c r="A367" s="4" t="s">
        <v>2725</v>
      </c>
      <c r="B367" s="2" t="s">
        <v>1405</v>
      </c>
      <c r="C367" s="3">
        <v>1</v>
      </c>
      <c r="D367" s="5">
        <v>34.880000000000003</v>
      </c>
      <c r="E367" s="3">
        <v>100042372</v>
      </c>
      <c r="F367" s="2" t="s">
        <v>676</v>
      </c>
      <c r="G367" s="6" t="s">
        <v>16</v>
      </c>
      <c r="H367" s="2" t="s">
        <v>194</v>
      </c>
      <c r="I367" s="2" t="s">
        <v>195</v>
      </c>
      <c r="J367" s="2" t="s">
        <v>19</v>
      </c>
      <c r="K367" s="2" t="s">
        <v>353</v>
      </c>
      <c r="L367" s="7" t="str">
        <f t="shared" si="1"/>
        <v xml:space="preserve">http://slimages.macys.com/is/image/MCY/11935225 </v>
      </c>
    </row>
    <row r="368" spans="1:12" ht="36.75" x14ac:dyDescent="0.25">
      <c r="A368" s="4" t="s">
        <v>9105</v>
      </c>
      <c r="B368" s="2" t="s">
        <v>1409</v>
      </c>
      <c r="C368" s="3">
        <v>1</v>
      </c>
      <c r="D368" s="5">
        <v>36.5</v>
      </c>
      <c r="E368" s="3" t="s">
        <v>1410</v>
      </c>
      <c r="F368" s="2" t="s">
        <v>170</v>
      </c>
      <c r="G368" s="6" t="s">
        <v>234</v>
      </c>
      <c r="H368" s="2" t="s">
        <v>194</v>
      </c>
      <c r="I368" s="2" t="s">
        <v>195</v>
      </c>
      <c r="J368" s="2" t="s">
        <v>19</v>
      </c>
      <c r="K368" s="2" t="s">
        <v>1411</v>
      </c>
      <c r="L368" s="7" t="str">
        <f>HYPERLINK("http://slimages.macys.com/is/image/MCY/11702017 ")</f>
        <v xml:space="preserve">http://slimages.macys.com/is/image/MCY/11702017 </v>
      </c>
    </row>
    <row r="369" spans="1:12" ht="24.75" x14ac:dyDescent="0.25">
      <c r="A369" s="4" t="s">
        <v>5907</v>
      </c>
      <c r="B369" s="2" t="s">
        <v>3913</v>
      </c>
      <c r="C369" s="3">
        <v>1</v>
      </c>
      <c r="D369" s="5">
        <v>29.63</v>
      </c>
      <c r="E369" s="3" t="s">
        <v>3914</v>
      </c>
      <c r="F369" s="2" t="s">
        <v>15</v>
      </c>
      <c r="G369" s="6" t="s">
        <v>234</v>
      </c>
      <c r="H369" s="2" t="s">
        <v>194</v>
      </c>
      <c r="I369" s="2" t="s">
        <v>195</v>
      </c>
      <c r="J369" s="2" t="s">
        <v>19</v>
      </c>
      <c r="K369" s="2" t="s">
        <v>201</v>
      </c>
      <c r="L369" s="7" t="str">
        <f>HYPERLINK("http://slimages.macys.com/is/image/MCY/12404902 ")</f>
        <v xml:space="preserve">http://slimages.macys.com/is/image/MCY/12404902 </v>
      </c>
    </row>
    <row r="370" spans="1:12" ht="36.75" x14ac:dyDescent="0.25">
      <c r="A370" s="4" t="s">
        <v>4806</v>
      </c>
      <c r="B370" s="2" t="s">
        <v>1040</v>
      </c>
      <c r="C370" s="3">
        <v>1</v>
      </c>
      <c r="D370" s="5">
        <v>44.63</v>
      </c>
      <c r="E370" s="3" t="s">
        <v>1041</v>
      </c>
      <c r="F370" s="2" t="s">
        <v>572</v>
      </c>
      <c r="G370" s="6" t="s">
        <v>141</v>
      </c>
      <c r="H370" s="2" t="s">
        <v>246</v>
      </c>
      <c r="I370" s="2" t="s">
        <v>487</v>
      </c>
      <c r="J370" s="2" t="s">
        <v>19</v>
      </c>
      <c r="K370" s="2" t="s">
        <v>500</v>
      </c>
      <c r="L370" s="7" t="str">
        <f>HYPERLINK("http://slimages.macys.com/is/image/MCY/11231757 ")</f>
        <v xml:space="preserve">http://slimages.macys.com/is/image/MCY/11231757 </v>
      </c>
    </row>
    <row r="371" spans="1:12" ht="36.75" x14ac:dyDescent="0.25">
      <c r="A371" s="4" t="s">
        <v>9106</v>
      </c>
      <c r="B371" s="2" t="s">
        <v>1040</v>
      </c>
      <c r="C371" s="3">
        <v>1</v>
      </c>
      <c r="D371" s="5">
        <v>44.63</v>
      </c>
      <c r="E371" s="3" t="s">
        <v>1041</v>
      </c>
      <c r="F371" s="2" t="s">
        <v>94</v>
      </c>
      <c r="G371" s="6" t="s">
        <v>27</v>
      </c>
      <c r="H371" s="2" t="s">
        <v>246</v>
      </c>
      <c r="I371" s="2" t="s">
        <v>487</v>
      </c>
      <c r="J371" s="2" t="s">
        <v>19</v>
      </c>
      <c r="K371" s="2" t="s">
        <v>500</v>
      </c>
      <c r="L371" s="7" t="str">
        <f>HYPERLINK("http://slimages.macys.com/is/image/MCY/11231757 ")</f>
        <v xml:space="preserve">http://slimages.macys.com/is/image/MCY/11231757 </v>
      </c>
    </row>
    <row r="372" spans="1:12" ht="24.75" x14ac:dyDescent="0.25">
      <c r="A372" s="4" t="s">
        <v>6674</v>
      </c>
      <c r="B372" s="2" t="s">
        <v>1444</v>
      </c>
      <c r="C372" s="3">
        <v>1</v>
      </c>
      <c r="D372" s="5">
        <v>34.880000000000003</v>
      </c>
      <c r="E372" s="3">
        <v>100042376</v>
      </c>
      <c r="F372" s="2" t="s">
        <v>136</v>
      </c>
      <c r="G372" s="6" t="s">
        <v>58</v>
      </c>
      <c r="H372" s="2" t="s">
        <v>194</v>
      </c>
      <c r="I372" s="2" t="s">
        <v>195</v>
      </c>
      <c r="J372" s="2" t="s">
        <v>19</v>
      </c>
      <c r="K372" s="2" t="s">
        <v>353</v>
      </c>
      <c r="L372" s="7" t="str">
        <f t="shared" ref="L372:L377" si="2">HYPERLINK("http://slimages.macys.com/is/image/MCY/11764758 ")</f>
        <v xml:space="preserve">http://slimages.macys.com/is/image/MCY/11764758 </v>
      </c>
    </row>
    <row r="373" spans="1:12" ht="24.75" x14ac:dyDescent="0.25">
      <c r="A373" s="4" t="s">
        <v>7497</v>
      </c>
      <c r="B373" s="2" t="s">
        <v>1444</v>
      </c>
      <c r="C373" s="3">
        <v>1</v>
      </c>
      <c r="D373" s="5">
        <v>34.880000000000003</v>
      </c>
      <c r="E373" s="3">
        <v>100042376</v>
      </c>
      <c r="F373" s="2" t="s">
        <v>64</v>
      </c>
      <c r="G373" s="6" t="s">
        <v>22</v>
      </c>
      <c r="H373" s="2" t="s">
        <v>194</v>
      </c>
      <c r="I373" s="2" t="s">
        <v>195</v>
      </c>
      <c r="J373" s="2" t="s">
        <v>19</v>
      </c>
      <c r="K373" s="2" t="s">
        <v>353</v>
      </c>
      <c r="L373" s="7" t="str">
        <f t="shared" si="2"/>
        <v xml:space="preserve">http://slimages.macys.com/is/image/MCY/11764758 </v>
      </c>
    </row>
    <row r="374" spans="1:12" ht="24.75" x14ac:dyDescent="0.25">
      <c r="A374" s="4" t="s">
        <v>2731</v>
      </c>
      <c r="B374" s="2" t="s">
        <v>1444</v>
      </c>
      <c r="C374" s="3">
        <v>1</v>
      </c>
      <c r="D374" s="5">
        <v>34.880000000000003</v>
      </c>
      <c r="E374" s="3">
        <v>100042376</v>
      </c>
      <c r="F374" s="2" t="s">
        <v>136</v>
      </c>
      <c r="G374" s="6" t="s">
        <v>16</v>
      </c>
      <c r="H374" s="2" t="s">
        <v>194</v>
      </c>
      <c r="I374" s="2" t="s">
        <v>195</v>
      </c>
      <c r="J374" s="2" t="s">
        <v>19</v>
      </c>
      <c r="K374" s="2" t="s">
        <v>353</v>
      </c>
      <c r="L374" s="7" t="str">
        <f t="shared" si="2"/>
        <v xml:space="preserve">http://slimages.macys.com/is/image/MCY/11764758 </v>
      </c>
    </row>
    <row r="375" spans="1:12" ht="24.75" x14ac:dyDescent="0.25">
      <c r="A375" s="4" t="s">
        <v>8208</v>
      </c>
      <c r="B375" s="2" t="s">
        <v>1444</v>
      </c>
      <c r="C375" s="3">
        <v>1</v>
      </c>
      <c r="D375" s="5">
        <v>34.880000000000003</v>
      </c>
      <c r="E375" s="3">
        <v>100042376</v>
      </c>
      <c r="F375" s="2" t="s">
        <v>64</v>
      </c>
      <c r="G375" s="6" t="s">
        <v>112</v>
      </c>
      <c r="H375" s="2" t="s">
        <v>194</v>
      </c>
      <c r="I375" s="2" t="s">
        <v>195</v>
      </c>
      <c r="J375" s="2" t="s">
        <v>19</v>
      </c>
      <c r="K375" s="2" t="s">
        <v>353</v>
      </c>
      <c r="L375" s="7" t="str">
        <f t="shared" si="2"/>
        <v xml:space="preserve">http://slimages.macys.com/is/image/MCY/11764758 </v>
      </c>
    </row>
    <row r="376" spans="1:12" ht="24.75" x14ac:dyDescent="0.25">
      <c r="A376" s="4" t="s">
        <v>7498</v>
      </c>
      <c r="B376" s="2" t="s">
        <v>1444</v>
      </c>
      <c r="C376" s="3">
        <v>1</v>
      </c>
      <c r="D376" s="5">
        <v>34.880000000000003</v>
      </c>
      <c r="E376" s="3">
        <v>100042376</v>
      </c>
      <c r="F376" s="2" t="s">
        <v>64</v>
      </c>
      <c r="G376" s="6" t="s">
        <v>27</v>
      </c>
      <c r="H376" s="2" t="s">
        <v>194</v>
      </c>
      <c r="I376" s="2" t="s">
        <v>195</v>
      </c>
      <c r="J376" s="2" t="s">
        <v>19</v>
      </c>
      <c r="K376" s="2" t="s">
        <v>353</v>
      </c>
      <c r="L376" s="7" t="str">
        <f t="shared" si="2"/>
        <v xml:space="preserve">http://slimages.macys.com/is/image/MCY/11764758 </v>
      </c>
    </row>
    <row r="377" spans="1:12" ht="24.75" x14ac:dyDescent="0.25">
      <c r="A377" s="4" t="s">
        <v>6676</v>
      </c>
      <c r="B377" s="2" t="s">
        <v>1444</v>
      </c>
      <c r="C377" s="3">
        <v>1</v>
      </c>
      <c r="D377" s="5">
        <v>34.880000000000003</v>
      </c>
      <c r="E377" s="3">
        <v>100042376</v>
      </c>
      <c r="F377" s="2" t="s">
        <v>64</v>
      </c>
      <c r="G377" s="6" t="s">
        <v>16</v>
      </c>
      <c r="H377" s="2" t="s">
        <v>194</v>
      </c>
      <c r="I377" s="2" t="s">
        <v>195</v>
      </c>
      <c r="J377" s="2" t="s">
        <v>19</v>
      </c>
      <c r="K377" s="2" t="s">
        <v>353</v>
      </c>
      <c r="L377" s="7" t="str">
        <f t="shared" si="2"/>
        <v xml:space="preserve">http://slimages.macys.com/is/image/MCY/11764758 </v>
      </c>
    </row>
    <row r="378" spans="1:12" ht="24.75" x14ac:dyDescent="0.25">
      <c r="A378" s="4" t="s">
        <v>8209</v>
      </c>
      <c r="B378" s="2" t="s">
        <v>1413</v>
      </c>
      <c r="C378" s="3">
        <v>1</v>
      </c>
      <c r="D378" s="5">
        <v>29.5</v>
      </c>
      <c r="E378" s="3" t="s">
        <v>1414</v>
      </c>
      <c r="F378" s="2" t="s">
        <v>79</v>
      </c>
      <c r="G378" s="6" t="s">
        <v>181</v>
      </c>
      <c r="H378" s="2" t="s">
        <v>194</v>
      </c>
      <c r="I378" s="2" t="s">
        <v>195</v>
      </c>
      <c r="J378" s="2" t="s">
        <v>19</v>
      </c>
      <c r="K378" s="2" t="s">
        <v>247</v>
      </c>
      <c r="L378" s="7" t="str">
        <f>HYPERLINK("http://slimages.macys.com/is/image/MCY/12063860 ")</f>
        <v xml:space="preserve">http://slimages.macys.com/is/image/MCY/12063860 </v>
      </c>
    </row>
    <row r="379" spans="1:12" ht="24.75" x14ac:dyDescent="0.25">
      <c r="A379" s="4" t="s">
        <v>9107</v>
      </c>
      <c r="B379" s="2" t="s">
        <v>1416</v>
      </c>
      <c r="C379" s="3">
        <v>1</v>
      </c>
      <c r="D379" s="5">
        <v>21.99</v>
      </c>
      <c r="E379" s="3" t="s">
        <v>1417</v>
      </c>
      <c r="F379" s="2" t="s">
        <v>1234</v>
      </c>
      <c r="G379" s="6" t="s">
        <v>205</v>
      </c>
      <c r="H379" s="2" t="s">
        <v>312</v>
      </c>
      <c r="I379" s="2" t="s">
        <v>195</v>
      </c>
      <c r="J379" s="2" t="s">
        <v>19</v>
      </c>
      <c r="K379" s="2" t="s">
        <v>353</v>
      </c>
      <c r="L379" s="7" t="str">
        <f>HYPERLINK("http://slimages.macys.com/is/image/MCY/16058397 ")</f>
        <v xml:space="preserve">http://slimages.macys.com/is/image/MCY/16058397 </v>
      </c>
    </row>
    <row r="380" spans="1:12" ht="24.75" x14ac:dyDescent="0.25">
      <c r="A380" s="4" t="s">
        <v>9108</v>
      </c>
      <c r="B380" s="2" t="s">
        <v>1416</v>
      </c>
      <c r="C380" s="3">
        <v>2</v>
      </c>
      <c r="D380" s="5">
        <v>21.99</v>
      </c>
      <c r="E380" s="3" t="s">
        <v>1417</v>
      </c>
      <c r="F380" s="2" t="s">
        <v>1234</v>
      </c>
      <c r="G380" s="6" t="s">
        <v>126</v>
      </c>
      <c r="H380" s="2" t="s">
        <v>312</v>
      </c>
      <c r="I380" s="2" t="s">
        <v>195</v>
      </c>
      <c r="J380" s="2" t="s">
        <v>19</v>
      </c>
      <c r="K380" s="2" t="s">
        <v>353</v>
      </c>
      <c r="L380" s="7" t="str">
        <f>HYPERLINK("http://slimages.macys.com/is/image/MCY/16058397 ")</f>
        <v xml:space="preserve">http://slimages.macys.com/is/image/MCY/16058397 </v>
      </c>
    </row>
    <row r="381" spans="1:12" ht="24.75" x14ac:dyDescent="0.25">
      <c r="A381" s="4" t="s">
        <v>1418</v>
      </c>
      <c r="B381" s="2" t="s">
        <v>1419</v>
      </c>
      <c r="C381" s="3">
        <v>1</v>
      </c>
      <c r="D381" s="5">
        <v>33.380000000000003</v>
      </c>
      <c r="E381" s="3" t="s">
        <v>1420</v>
      </c>
      <c r="F381" s="2" t="s">
        <v>15</v>
      </c>
      <c r="G381" s="6" t="s">
        <v>234</v>
      </c>
      <c r="H381" s="2" t="s">
        <v>194</v>
      </c>
      <c r="I381" s="2" t="s">
        <v>195</v>
      </c>
      <c r="J381" s="2" t="s">
        <v>19</v>
      </c>
      <c r="K381" s="2" t="s">
        <v>1082</v>
      </c>
      <c r="L381" s="7" t="str">
        <f>HYPERLINK("http://slimages.macys.com/is/image/MCY/12850874 ")</f>
        <v xml:space="preserve">http://slimages.macys.com/is/image/MCY/12850874 </v>
      </c>
    </row>
    <row r="382" spans="1:12" ht="24.75" x14ac:dyDescent="0.25">
      <c r="A382" s="4" t="s">
        <v>9109</v>
      </c>
      <c r="B382" s="2" t="s">
        <v>1356</v>
      </c>
      <c r="C382" s="3">
        <v>1</v>
      </c>
      <c r="D382" s="5">
        <v>29.99</v>
      </c>
      <c r="E382" s="3">
        <v>100045815</v>
      </c>
      <c r="F382" s="2" t="s">
        <v>74</v>
      </c>
      <c r="G382" s="6" t="s">
        <v>58</v>
      </c>
      <c r="H382" s="2" t="s">
        <v>228</v>
      </c>
      <c r="I382" s="2" t="s">
        <v>229</v>
      </c>
      <c r="J382" s="2" t="s">
        <v>19</v>
      </c>
      <c r="K382" s="2" t="s">
        <v>353</v>
      </c>
      <c r="L382" s="7" t="str">
        <f>HYPERLINK("http://slimages.macys.com/is/image/MCY/11936020 ")</f>
        <v xml:space="preserve">http://slimages.macys.com/is/image/MCY/11936020 </v>
      </c>
    </row>
    <row r="383" spans="1:12" ht="24.75" x14ac:dyDescent="0.25">
      <c r="A383" s="4" t="s">
        <v>6678</v>
      </c>
      <c r="B383" s="2" t="s">
        <v>2734</v>
      </c>
      <c r="C383" s="3">
        <v>1</v>
      </c>
      <c r="D383" s="5">
        <v>29.63</v>
      </c>
      <c r="E383" s="3" t="s">
        <v>2735</v>
      </c>
      <c r="F383" s="2" t="s">
        <v>125</v>
      </c>
      <c r="G383" s="6" t="s">
        <v>234</v>
      </c>
      <c r="H383" s="2" t="s">
        <v>194</v>
      </c>
      <c r="I383" s="2" t="s">
        <v>195</v>
      </c>
      <c r="J383" s="2" t="s">
        <v>19</v>
      </c>
      <c r="K383" s="2" t="s">
        <v>137</v>
      </c>
      <c r="L383" s="7" t="str">
        <f>HYPERLINK("http://slimages.macys.com/is/image/MCY/12279918 ")</f>
        <v xml:space="preserve">http://slimages.macys.com/is/image/MCY/12279918 </v>
      </c>
    </row>
    <row r="384" spans="1:12" ht="24.75" x14ac:dyDescent="0.25">
      <c r="A384" s="4" t="s">
        <v>9110</v>
      </c>
      <c r="B384" s="2" t="s">
        <v>9111</v>
      </c>
      <c r="C384" s="3">
        <v>1</v>
      </c>
      <c r="D384" s="5">
        <v>24.99</v>
      </c>
      <c r="E384" s="3" t="s">
        <v>9112</v>
      </c>
      <c r="F384" s="2" t="s">
        <v>252</v>
      </c>
      <c r="G384" s="6" t="s">
        <v>200</v>
      </c>
      <c r="H384" s="2" t="s">
        <v>1473</v>
      </c>
      <c r="I384" s="2" t="s">
        <v>1426</v>
      </c>
      <c r="J384" s="2" t="s">
        <v>19</v>
      </c>
      <c r="K384" s="2" t="s">
        <v>1431</v>
      </c>
      <c r="L384" s="7" t="str">
        <f>HYPERLINK("http://slimages.macys.com/is/image/MCY/11774669 ")</f>
        <v xml:space="preserve">http://slimages.macys.com/is/image/MCY/11774669 </v>
      </c>
    </row>
    <row r="385" spans="1:12" ht="24.75" x14ac:dyDescent="0.25">
      <c r="A385" s="4" t="s">
        <v>9113</v>
      </c>
      <c r="B385" s="2" t="s">
        <v>9114</v>
      </c>
      <c r="C385" s="3">
        <v>1</v>
      </c>
      <c r="D385" s="5">
        <v>24.99</v>
      </c>
      <c r="E385" s="3" t="s">
        <v>9115</v>
      </c>
      <c r="F385" s="2" t="s">
        <v>7843</v>
      </c>
      <c r="G385" s="6"/>
      <c r="H385" s="2" t="s">
        <v>1425</v>
      </c>
      <c r="I385" s="2" t="s">
        <v>1426</v>
      </c>
      <c r="J385" s="2" t="s">
        <v>19</v>
      </c>
      <c r="K385" s="2" t="s">
        <v>1431</v>
      </c>
      <c r="L385" s="7" t="str">
        <f>HYPERLINK("http://slimages.macys.com/is/image/MCY/10746523 ")</f>
        <v xml:space="preserve">http://slimages.macys.com/is/image/MCY/10746523 </v>
      </c>
    </row>
    <row r="386" spans="1:12" ht="24.75" x14ac:dyDescent="0.25">
      <c r="A386" s="4" t="s">
        <v>9116</v>
      </c>
      <c r="B386" s="2" t="s">
        <v>1423</v>
      </c>
      <c r="C386" s="3">
        <v>1</v>
      </c>
      <c r="D386" s="5">
        <v>24.99</v>
      </c>
      <c r="E386" s="3" t="s">
        <v>1424</v>
      </c>
      <c r="F386" s="2" t="s">
        <v>252</v>
      </c>
      <c r="G386" s="6" t="s">
        <v>187</v>
      </c>
      <c r="H386" s="2" t="s">
        <v>1425</v>
      </c>
      <c r="I386" s="2" t="s">
        <v>1426</v>
      </c>
      <c r="J386" s="2" t="s">
        <v>19</v>
      </c>
      <c r="K386" s="2" t="s">
        <v>1427</v>
      </c>
      <c r="L386" s="7" t="str">
        <f>HYPERLINK("http://slimages.macys.com/is/image/MCY/11774672 ")</f>
        <v xml:space="preserve">http://slimages.macys.com/is/image/MCY/11774672 </v>
      </c>
    </row>
    <row r="387" spans="1:12" ht="24.75" x14ac:dyDescent="0.25">
      <c r="A387" s="4" t="s">
        <v>9117</v>
      </c>
      <c r="B387" s="2" t="s">
        <v>1444</v>
      </c>
      <c r="C387" s="3">
        <v>1</v>
      </c>
      <c r="D387" s="5">
        <v>34.880000000000003</v>
      </c>
      <c r="E387" s="3">
        <v>100042376</v>
      </c>
      <c r="F387" s="2" t="s">
        <v>57</v>
      </c>
      <c r="G387" s="6" t="s">
        <v>22</v>
      </c>
      <c r="H387" s="2" t="s">
        <v>194</v>
      </c>
      <c r="I387" s="2" t="s">
        <v>195</v>
      </c>
      <c r="J387" s="2" t="s">
        <v>19</v>
      </c>
      <c r="K387" s="2" t="s">
        <v>353</v>
      </c>
      <c r="L387" s="7" t="str">
        <f>HYPERLINK("http://slimages.macys.com/is/image/MCY/11764758 ")</f>
        <v xml:space="preserve">http://slimages.macys.com/is/image/MCY/11764758 </v>
      </c>
    </row>
    <row r="388" spans="1:12" ht="24.75" x14ac:dyDescent="0.25">
      <c r="A388" s="4" t="s">
        <v>1443</v>
      </c>
      <c r="B388" s="2" t="s">
        <v>1444</v>
      </c>
      <c r="C388" s="3">
        <v>1</v>
      </c>
      <c r="D388" s="5">
        <v>34.880000000000003</v>
      </c>
      <c r="E388" s="3">
        <v>100042376</v>
      </c>
      <c r="F388" s="2" t="s">
        <v>257</v>
      </c>
      <c r="G388" s="6" t="s">
        <v>106</v>
      </c>
      <c r="H388" s="2" t="s">
        <v>194</v>
      </c>
      <c r="I388" s="2" t="s">
        <v>195</v>
      </c>
      <c r="J388" s="2" t="s">
        <v>19</v>
      </c>
      <c r="K388" s="2" t="s">
        <v>353</v>
      </c>
      <c r="L388" s="7" t="str">
        <f>HYPERLINK("http://slimages.macys.com/is/image/MCY/11764758 ")</f>
        <v xml:space="preserve">http://slimages.macys.com/is/image/MCY/11764758 </v>
      </c>
    </row>
    <row r="389" spans="1:12" ht="24.75" x14ac:dyDescent="0.25">
      <c r="A389" s="4" t="s">
        <v>9118</v>
      </c>
      <c r="B389" s="2" t="s">
        <v>1444</v>
      </c>
      <c r="C389" s="3">
        <v>1</v>
      </c>
      <c r="D389" s="5">
        <v>34.880000000000003</v>
      </c>
      <c r="E389" s="3">
        <v>100042376</v>
      </c>
      <c r="F389" s="2" t="s">
        <v>257</v>
      </c>
      <c r="G389" s="6" t="s">
        <v>141</v>
      </c>
      <c r="H389" s="2" t="s">
        <v>194</v>
      </c>
      <c r="I389" s="2" t="s">
        <v>195</v>
      </c>
      <c r="J389" s="2" t="s">
        <v>19</v>
      </c>
      <c r="K389" s="2" t="s">
        <v>353</v>
      </c>
      <c r="L389" s="7" t="str">
        <f>HYPERLINK("http://slimages.macys.com/is/image/MCY/11764758 ")</f>
        <v xml:space="preserve">http://slimages.macys.com/is/image/MCY/11764758 </v>
      </c>
    </row>
    <row r="390" spans="1:12" ht="24.75" x14ac:dyDescent="0.25">
      <c r="A390" s="4" t="s">
        <v>8727</v>
      </c>
      <c r="B390" s="2" t="s">
        <v>1416</v>
      </c>
      <c r="C390" s="3">
        <v>1</v>
      </c>
      <c r="D390" s="5">
        <v>21.99</v>
      </c>
      <c r="E390" s="3" t="s">
        <v>1451</v>
      </c>
      <c r="F390" s="2" t="s">
        <v>79</v>
      </c>
      <c r="G390" s="6" t="s">
        <v>106</v>
      </c>
      <c r="H390" s="2" t="s">
        <v>194</v>
      </c>
      <c r="I390" s="2" t="s">
        <v>195</v>
      </c>
      <c r="J390" s="2" t="s">
        <v>19</v>
      </c>
      <c r="K390" s="2" t="s">
        <v>353</v>
      </c>
      <c r="L390" s="7" t="str">
        <f>HYPERLINK("http://slimages.macys.com/is/image/MCY/12033149 ")</f>
        <v xml:space="preserve">http://slimages.macys.com/is/image/MCY/12033149 </v>
      </c>
    </row>
    <row r="391" spans="1:12" ht="24.75" x14ac:dyDescent="0.25">
      <c r="A391" s="4" t="s">
        <v>9119</v>
      </c>
      <c r="B391" s="2" t="s">
        <v>1416</v>
      </c>
      <c r="C391" s="3">
        <v>1</v>
      </c>
      <c r="D391" s="5">
        <v>21.99</v>
      </c>
      <c r="E391" s="3" t="s">
        <v>1451</v>
      </c>
      <c r="F391" s="2" t="s">
        <v>79</v>
      </c>
      <c r="G391" s="6" t="s">
        <v>141</v>
      </c>
      <c r="H391" s="2" t="s">
        <v>194</v>
      </c>
      <c r="I391" s="2" t="s">
        <v>195</v>
      </c>
      <c r="J391" s="2" t="s">
        <v>19</v>
      </c>
      <c r="K391" s="2" t="s">
        <v>353</v>
      </c>
      <c r="L391" s="7" t="str">
        <f>HYPERLINK("http://slimages.macys.com/is/image/MCY/12033149 ")</f>
        <v xml:space="preserve">http://slimages.macys.com/is/image/MCY/12033149 </v>
      </c>
    </row>
    <row r="392" spans="1:12" ht="24.75" x14ac:dyDescent="0.25">
      <c r="A392" s="4" t="s">
        <v>1450</v>
      </c>
      <c r="B392" s="2" t="s">
        <v>1416</v>
      </c>
      <c r="C392" s="3">
        <v>1</v>
      </c>
      <c r="D392" s="5">
        <v>21.99</v>
      </c>
      <c r="E392" s="3" t="s">
        <v>1451</v>
      </c>
      <c r="F392" s="2" t="s">
        <v>79</v>
      </c>
      <c r="G392" s="6" t="s">
        <v>27</v>
      </c>
      <c r="H392" s="2" t="s">
        <v>194</v>
      </c>
      <c r="I392" s="2" t="s">
        <v>195</v>
      </c>
      <c r="J392" s="2" t="s">
        <v>19</v>
      </c>
      <c r="K392" s="2" t="s">
        <v>353</v>
      </c>
      <c r="L392" s="7" t="str">
        <f>HYPERLINK("http://slimages.macys.com/is/image/MCY/12033149 ")</f>
        <v xml:space="preserve">http://slimages.macys.com/is/image/MCY/12033149 </v>
      </c>
    </row>
    <row r="393" spans="1:12" ht="24.75" x14ac:dyDescent="0.25">
      <c r="A393" s="4" t="s">
        <v>6679</v>
      </c>
      <c r="B393" s="2" t="s">
        <v>1416</v>
      </c>
      <c r="C393" s="3">
        <v>2</v>
      </c>
      <c r="D393" s="5">
        <v>21.99</v>
      </c>
      <c r="E393" s="3" t="s">
        <v>1451</v>
      </c>
      <c r="F393" s="2" t="s">
        <v>79</v>
      </c>
      <c r="G393" s="6" t="s">
        <v>22</v>
      </c>
      <c r="H393" s="2" t="s">
        <v>194</v>
      </c>
      <c r="I393" s="2" t="s">
        <v>195</v>
      </c>
      <c r="J393" s="2" t="s">
        <v>19</v>
      </c>
      <c r="K393" s="2" t="s">
        <v>353</v>
      </c>
      <c r="L393" s="7" t="str">
        <f>HYPERLINK("http://slimages.macys.com/is/image/MCY/12033149 ")</f>
        <v xml:space="preserve">http://slimages.macys.com/is/image/MCY/12033149 </v>
      </c>
    </row>
    <row r="394" spans="1:12" ht="24.75" x14ac:dyDescent="0.25">
      <c r="A394" s="4" t="s">
        <v>9120</v>
      </c>
      <c r="B394" s="2" t="s">
        <v>9121</v>
      </c>
      <c r="C394" s="3">
        <v>1</v>
      </c>
      <c r="D394" s="5">
        <v>37.130000000000003</v>
      </c>
      <c r="E394" s="3" t="s">
        <v>9122</v>
      </c>
      <c r="F394" s="2" t="s">
        <v>64</v>
      </c>
      <c r="G394" s="6" t="s">
        <v>154</v>
      </c>
      <c r="H394" s="2" t="s">
        <v>246</v>
      </c>
      <c r="I394" s="2" t="s">
        <v>189</v>
      </c>
      <c r="J394" s="2" t="s">
        <v>19</v>
      </c>
      <c r="K394" s="2" t="s">
        <v>160</v>
      </c>
      <c r="L394" s="7" t="str">
        <f>HYPERLINK("http://slimages.macys.com/is/image/MCY/11621795 ")</f>
        <v xml:space="preserve">http://slimages.macys.com/is/image/MCY/11621795 </v>
      </c>
    </row>
    <row r="395" spans="1:12" ht="24.75" x14ac:dyDescent="0.25">
      <c r="A395" s="4" t="s">
        <v>9123</v>
      </c>
      <c r="B395" s="2" t="s">
        <v>2116</v>
      </c>
      <c r="C395" s="3">
        <v>1</v>
      </c>
      <c r="D395" s="5">
        <v>37.130000000000003</v>
      </c>
      <c r="E395" s="3" t="s">
        <v>2117</v>
      </c>
      <c r="F395" s="2" t="s">
        <v>26</v>
      </c>
      <c r="G395" s="6" t="s">
        <v>141</v>
      </c>
      <c r="H395" s="2" t="s">
        <v>246</v>
      </c>
      <c r="I395" s="2" t="s">
        <v>487</v>
      </c>
      <c r="J395" s="2"/>
      <c r="K395" s="2"/>
      <c r="L395" s="7" t="str">
        <f>HYPERLINK("http://slimages.macys.com/is/image/MCY/12401697 ")</f>
        <v xml:space="preserve">http://slimages.macys.com/is/image/MCY/12401697 </v>
      </c>
    </row>
    <row r="396" spans="1:12" ht="24.75" x14ac:dyDescent="0.25">
      <c r="A396" s="4" t="s">
        <v>8728</v>
      </c>
      <c r="B396" s="2" t="s">
        <v>1405</v>
      </c>
      <c r="C396" s="3">
        <v>1</v>
      </c>
      <c r="D396" s="5">
        <v>34.880000000000003</v>
      </c>
      <c r="E396" s="3" t="s">
        <v>5938</v>
      </c>
      <c r="F396" s="2" t="s">
        <v>136</v>
      </c>
      <c r="G396" s="6" t="s">
        <v>802</v>
      </c>
      <c r="H396" s="2" t="s">
        <v>312</v>
      </c>
      <c r="I396" s="2" t="s">
        <v>195</v>
      </c>
      <c r="J396" s="2" t="s">
        <v>19</v>
      </c>
      <c r="K396" s="2" t="s">
        <v>353</v>
      </c>
      <c r="L396" s="7" t="str">
        <f>HYPERLINK("http://slimages.macys.com/is/image/MCY/11465628 ")</f>
        <v xml:space="preserve">http://slimages.macys.com/is/image/MCY/11465628 </v>
      </c>
    </row>
    <row r="397" spans="1:12" ht="24.75" x14ac:dyDescent="0.25">
      <c r="A397" s="4" t="s">
        <v>4998</v>
      </c>
      <c r="B397" s="2" t="s">
        <v>1482</v>
      </c>
      <c r="C397" s="3">
        <v>1</v>
      </c>
      <c r="D397" s="5">
        <v>29.63</v>
      </c>
      <c r="E397" s="3" t="s">
        <v>4997</v>
      </c>
      <c r="F397" s="2" t="s">
        <v>252</v>
      </c>
      <c r="G397" s="6" t="s">
        <v>156</v>
      </c>
      <c r="H397" s="2" t="s">
        <v>194</v>
      </c>
      <c r="I397" s="2" t="s">
        <v>195</v>
      </c>
      <c r="J397" s="2" t="s">
        <v>19</v>
      </c>
      <c r="K397" s="2" t="s">
        <v>1082</v>
      </c>
      <c r="L397" s="7" t="str">
        <f>HYPERLINK("http://slimages.macys.com/is/image/MCY/12734370 ")</f>
        <v xml:space="preserve">http://slimages.macys.com/is/image/MCY/12734370 </v>
      </c>
    </row>
    <row r="398" spans="1:12" ht="24.75" x14ac:dyDescent="0.25">
      <c r="A398" s="4" t="s">
        <v>9124</v>
      </c>
      <c r="B398" s="2" t="s">
        <v>1482</v>
      </c>
      <c r="C398" s="3">
        <v>1</v>
      </c>
      <c r="D398" s="5">
        <v>29.63</v>
      </c>
      <c r="E398" s="3" t="s">
        <v>4997</v>
      </c>
      <c r="F398" s="2" t="s">
        <v>252</v>
      </c>
      <c r="G398" s="6" t="s">
        <v>245</v>
      </c>
      <c r="H398" s="2" t="s">
        <v>194</v>
      </c>
      <c r="I398" s="2" t="s">
        <v>195</v>
      </c>
      <c r="J398" s="2" t="s">
        <v>19</v>
      </c>
      <c r="K398" s="2" t="s">
        <v>1082</v>
      </c>
      <c r="L398" s="7" t="str">
        <f>HYPERLINK("http://slimages.macys.com/is/image/MCY/12734370 ")</f>
        <v xml:space="preserve">http://slimages.macys.com/is/image/MCY/12734370 </v>
      </c>
    </row>
    <row r="399" spans="1:12" ht="36.75" x14ac:dyDescent="0.25">
      <c r="A399" s="4" t="s">
        <v>7512</v>
      </c>
      <c r="B399" s="2" t="s">
        <v>1482</v>
      </c>
      <c r="C399" s="3">
        <v>1</v>
      </c>
      <c r="D399" s="5">
        <v>32.5</v>
      </c>
      <c r="E399" s="3" t="s">
        <v>7513</v>
      </c>
      <c r="F399" s="2" t="s">
        <v>74</v>
      </c>
      <c r="G399" s="6" t="s">
        <v>181</v>
      </c>
      <c r="H399" s="2" t="s">
        <v>194</v>
      </c>
      <c r="I399" s="2" t="s">
        <v>195</v>
      </c>
      <c r="J399" s="2" t="s">
        <v>19</v>
      </c>
      <c r="K399" s="2" t="s">
        <v>1484</v>
      </c>
      <c r="L399" s="7" t="str">
        <f>HYPERLINK("http://slimages.macys.com/is/image/MCY/12064112 ")</f>
        <v xml:space="preserve">http://slimages.macys.com/is/image/MCY/12064112 </v>
      </c>
    </row>
    <row r="400" spans="1:12" ht="24.75" x14ac:dyDescent="0.25">
      <c r="A400" s="4" t="s">
        <v>2757</v>
      </c>
      <c r="B400" s="2" t="s">
        <v>1465</v>
      </c>
      <c r="C400" s="3">
        <v>1</v>
      </c>
      <c r="D400" s="5">
        <v>34.880000000000003</v>
      </c>
      <c r="E400" s="3">
        <v>100054394</v>
      </c>
      <c r="F400" s="2" t="s">
        <v>506</v>
      </c>
      <c r="G400" s="6" t="s">
        <v>27</v>
      </c>
      <c r="H400" s="2" t="s">
        <v>194</v>
      </c>
      <c r="I400" s="2" t="s">
        <v>195</v>
      </c>
      <c r="J400" s="2" t="s">
        <v>19</v>
      </c>
      <c r="K400" s="2" t="s">
        <v>353</v>
      </c>
      <c r="L400" s="7" t="str">
        <f t="shared" ref="L400:L408" si="3">HYPERLINK("http://slimages.macys.com/is/image/MCY/12404668 ")</f>
        <v xml:space="preserve">http://slimages.macys.com/is/image/MCY/12404668 </v>
      </c>
    </row>
    <row r="401" spans="1:12" ht="24.75" x14ac:dyDescent="0.25">
      <c r="A401" s="4" t="s">
        <v>9125</v>
      </c>
      <c r="B401" s="2" t="s">
        <v>1465</v>
      </c>
      <c r="C401" s="3">
        <v>1</v>
      </c>
      <c r="D401" s="5">
        <v>34.880000000000003</v>
      </c>
      <c r="E401" s="3">
        <v>100054394</v>
      </c>
      <c r="F401" s="2" t="s">
        <v>74</v>
      </c>
      <c r="G401" s="6" t="s">
        <v>106</v>
      </c>
      <c r="H401" s="2" t="s">
        <v>194</v>
      </c>
      <c r="I401" s="2" t="s">
        <v>195</v>
      </c>
      <c r="J401" s="2" t="s">
        <v>19</v>
      </c>
      <c r="K401" s="2" t="s">
        <v>353</v>
      </c>
      <c r="L401" s="7" t="str">
        <f t="shared" si="3"/>
        <v xml:space="preserve">http://slimages.macys.com/is/image/MCY/12404668 </v>
      </c>
    </row>
    <row r="402" spans="1:12" ht="24.75" x14ac:dyDescent="0.25">
      <c r="A402" s="4" t="s">
        <v>9126</v>
      </c>
      <c r="B402" s="2" t="s">
        <v>1465</v>
      </c>
      <c r="C402" s="3">
        <v>1</v>
      </c>
      <c r="D402" s="5">
        <v>34.880000000000003</v>
      </c>
      <c r="E402" s="3">
        <v>100054394</v>
      </c>
      <c r="F402" s="2" t="s">
        <v>74</v>
      </c>
      <c r="G402" s="6" t="s">
        <v>112</v>
      </c>
      <c r="H402" s="2" t="s">
        <v>194</v>
      </c>
      <c r="I402" s="2" t="s">
        <v>195</v>
      </c>
      <c r="J402" s="2" t="s">
        <v>19</v>
      </c>
      <c r="K402" s="2" t="s">
        <v>353</v>
      </c>
      <c r="L402" s="7" t="str">
        <f t="shared" si="3"/>
        <v xml:space="preserve">http://slimages.macys.com/is/image/MCY/12404668 </v>
      </c>
    </row>
    <row r="403" spans="1:12" ht="24.75" x14ac:dyDescent="0.25">
      <c r="A403" s="4" t="s">
        <v>9127</v>
      </c>
      <c r="B403" s="2" t="s">
        <v>1465</v>
      </c>
      <c r="C403" s="3">
        <v>1</v>
      </c>
      <c r="D403" s="5">
        <v>34.880000000000003</v>
      </c>
      <c r="E403" s="3">
        <v>100054394</v>
      </c>
      <c r="F403" s="2" t="s">
        <v>1234</v>
      </c>
      <c r="G403" s="6" t="s">
        <v>112</v>
      </c>
      <c r="H403" s="2" t="s">
        <v>194</v>
      </c>
      <c r="I403" s="2" t="s">
        <v>195</v>
      </c>
      <c r="J403" s="2" t="s">
        <v>19</v>
      </c>
      <c r="K403" s="2" t="s">
        <v>353</v>
      </c>
      <c r="L403" s="7" t="str">
        <f t="shared" si="3"/>
        <v xml:space="preserve">http://slimages.macys.com/is/image/MCY/12404668 </v>
      </c>
    </row>
    <row r="404" spans="1:12" ht="24.75" x14ac:dyDescent="0.25">
      <c r="A404" s="4" t="s">
        <v>7519</v>
      </c>
      <c r="B404" s="2" t="s">
        <v>1465</v>
      </c>
      <c r="C404" s="3">
        <v>1</v>
      </c>
      <c r="D404" s="5">
        <v>34.880000000000003</v>
      </c>
      <c r="E404" s="3">
        <v>100054394</v>
      </c>
      <c r="F404" s="2" t="s">
        <v>506</v>
      </c>
      <c r="G404" s="6" t="s">
        <v>112</v>
      </c>
      <c r="H404" s="2" t="s">
        <v>194</v>
      </c>
      <c r="I404" s="2" t="s">
        <v>195</v>
      </c>
      <c r="J404" s="2" t="s">
        <v>19</v>
      </c>
      <c r="K404" s="2" t="s">
        <v>353</v>
      </c>
      <c r="L404" s="7" t="str">
        <f t="shared" si="3"/>
        <v xml:space="preserve">http://slimages.macys.com/is/image/MCY/12404668 </v>
      </c>
    </row>
    <row r="405" spans="1:12" ht="24.75" x14ac:dyDescent="0.25">
      <c r="A405" s="4" t="s">
        <v>2752</v>
      </c>
      <c r="B405" s="2" t="s">
        <v>1465</v>
      </c>
      <c r="C405" s="3">
        <v>2</v>
      </c>
      <c r="D405" s="5">
        <v>34.880000000000003</v>
      </c>
      <c r="E405" s="3">
        <v>100054394</v>
      </c>
      <c r="F405" s="2" t="s">
        <v>376</v>
      </c>
      <c r="G405" s="6" t="s">
        <v>16</v>
      </c>
      <c r="H405" s="2" t="s">
        <v>194</v>
      </c>
      <c r="I405" s="2" t="s">
        <v>195</v>
      </c>
      <c r="J405" s="2" t="s">
        <v>19</v>
      </c>
      <c r="K405" s="2" t="s">
        <v>353</v>
      </c>
      <c r="L405" s="7" t="str">
        <f t="shared" si="3"/>
        <v xml:space="preserve">http://slimages.macys.com/is/image/MCY/12404668 </v>
      </c>
    </row>
    <row r="406" spans="1:12" ht="24.75" x14ac:dyDescent="0.25">
      <c r="A406" s="4" t="s">
        <v>2755</v>
      </c>
      <c r="B406" s="2" t="s">
        <v>1465</v>
      </c>
      <c r="C406" s="3">
        <v>2</v>
      </c>
      <c r="D406" s="5">
        <v>34.880000000000003</v>
      </c>
      <c r="E406" s="3">
        <v>100054394</v>
      </c>
      <c r="F406" s="2" t="s">
        <v>74</v>
      </c>
      <c r="G406" s="6" t="s">
        <v>16</v>
      </c>
      <c r="H406" s="2" t="s">
        <v>194</v>
      </c>
      <c r="I406" s="2" t="s">
        <v>195</v>
      </c>
      <c r="J406" s="2" t="s">
        <v>19</v>
      </c>
      <c r="K406" s="2" t="s">
        <v>353</v>
      </c>
      <c r="L406" s="7" t="str">
        <f t="shared" si="3"/>
        <v xml:space="preserve">http://slimages.macys.com/is/image/MCY/12404668 </v>
      </c>
    </row>
    <row r="407" spans="1:12" ht="24.75" x14ac:dyDescent="0.25">
      <c r="A407" s="4" t="s">
        <v>7517</v>
      </c>
      <c r="B407" s="2" t="s">
        <v>1465</v>
      </c>
      <c r="C407" s="3">
        <v>2</v>
      </c>
      <c r="D407" s="5">
        <v>34.880000000000003</v>
      </c>
      <c r="E407" s="3">
        <v>100054394</v>
      </c>
      <c r="F407" s="2" t="s">
        <v>376</v>
      </c>
      <c r="G407" s="6" t="s">
        <v>22</v>
      </c>
      <c r="H407" s="2" t="s">
        <v>194</v>
      </c>
      <c r="I407" s="2" t="s">
        <v>195</v>
      </c>
      <c r="J407" s="2" t="s">
        <v>19</v>
      </c>
      <c r="K407" s="2" t="s">
        <v>353</v>
      </c>
      <c r="L407" s="7" t="str">
        <f t="shared" si="3"/>
        <v xml:space="preserve">http://slimages.macys.com/is/image/MCY/12404668 </v>
      </c>
    </row>
    <row r="408" spans="1:12" ht="24.75" x14ac:dyDescent="0.25">
      <c r="A408" s="4" t="s">
        <v>2753</v>
      </c>
      <c r="B408" s="2" t="s">
        <v>1465</v>
      </c>
      <c r="C408" s="3">
        <v>1</v>
      </c>
      <c r="D408" s="5">
        <v>34.880000000000003</v>
      </c>
      <c r="E408" s="3">
        <v>100054394</v>
      </c>
      <c r="F408" s="2" t="s">
        <v>566</v>
      </c>
      <c r="G408" s="6" t="s">
        <v>22</v>
      </c>
      <c r="H408" s="2" t="s">
        <v>194</v>
      </c>
      <c r="I408" s="2" t="s">
        <v>195</v>
      </c>
      <c r="J408" s="2" t="s">
        <v>19</v>
      </c>
      <c r="K408" s="2" t="s">
        <v>353</v>
      </c>
      <c r="L408" s="7" t="str">
        <f t="shared" si="3"/>
        <v xml:space="preserve">http://slimages.macys.com/is/image/MCY/12404668 </v>
      </c>
    </row>
    <row r="409" spans="1:12" ht="24.75" x14ac:dyDescent="0.25">
      <c r="A409" s="4" t="s">
        <v>9128</v>
      </c>
      <c r="B409" s="2" t="s">
        <v>2763</v>
      </c>
      <c r="C409" s="3">
        <v>1</v>
      </c>
      <c r="D409" s="5">
        <v>24.99</v>
      </c>
      <c r="E409" s="3" t="s">
        <v>2764</v>
      </c>
      <c r="F409" s="2" t="s">
        <v>413</v>
      </c>
      <c r="G409" s="6" t="s">
        <v>219</v>
      </c>
      <c r="H409" s="2" t="s">
        <v>1425</v>
      </c>
      <c r="I409" s="2" t="s">
        <v>1469</v>
      </c>
      <c r="J409" s="2" t="s">
        <v>19</v>
      </c>
      <c r="K409" s="2" t="s">
        <v>495</v>
      </c>
      <c r="L409" s="7" t="str">
        <f>HYPERLINK("http://slimages.macys.com/is/image/MCY/12144707 ")</f>
        <v xml:space="preserve">http://slimages.macys.com/is/image/MCY/12144707 </v>
      </c>
    </row>
    <row r="410" spans="1:12" ht="36.75" x14ac:dyDescent="0.25">
      <c r="A410" s="4" t="s">
        <v>5016</v>
      </c>
      <c r="B410" s="2" t="s">
        <v>1482</v>
      </c>
      <c r="C410" s="3">
        <v>1</v>
      </c>
      <c r="D410" s="5">
        <v>32.5</v>
      </c>
      <c r="E410" s="3" t="s">
        <v>1483</v>
      </c>
      <c r="F410" s="2" t="s">
        <v>48</v>
      </c>
      <c r="G410" s="6"/>
      <c r="H410" s="2" t="s">
        <v>312</v>
      </c>
      <c r="I410" s="2" t="s">
        <v>195</v>
      </c>
      <c r="J410" s="2" t="s">
        <v>19</v>
      </c>
      <c r="K410" s="2" t="s">
        <v>1484</v>
      </c>
      <c r="L410" s="7" t="str">
        <f>HYPERLINK("http://slimages.macys.com/is/image/MCY/12064112 ")</f>
        <v xml:space="preserve">http://slimages.macys.com/is/image/MCY/12064112 </v>
      </c>
    </row>
    <row r="411" spans="1:12" ht="36.75" x14ac:dyDescent="0.25">
      <c r="A411" s="4" t="s">
        <v>9129</v>
      </c>
      <c r="B411" s="2" t="s">
        <v>1482</v>
      </c>
      <c r="C411" s="3">
        <v>1</v>
      </c>
      <c r="D411" s="5">
        <v>32.5</v>
      </c>
      <c r="E411" s="3" t="s">
        <v>1483</v>
      </c>
      <c r="F411" s="2" t="s">
        <v>48</v>
      </c>
      <c r="G411" s="6"/>
      <c r="H411" s="2" t="s">
        <v>312</v>
      </c>
      <c r="I411" s="2" t="s">
        <v>195</v>
      </c>
      <c r="J411" s="2" t="s">
        <v>19</v>
      </c>
      <c r="K411" s="2" t="s">
        <v>1484</v>
      </c>
      <c r="L411" s="7" t="str">
        <f>HYPERLINK("http://slimages.macys.com/is/image/MCY/12064112 ")</f>
        <v xml:space="preserve">http://slimages.macys.com/is/image/MCY/12064112 </v>
      </c>
    </row>
    <row r="412" spans="1:12" ht="36.75" x14ac:dyDescent="0.25">
      <c r="A412" s="4" t="s">
        <v>9130</v>
      </c>
      <c r="B412" s="2" t="s">
        <v>1482</v>
      </c>
      <c r="C412" s="3">
        <v>1</v>
      </c>
      <c r="D412" s="5">
        <v>32.5</v>
      </c>
      <c r="E412" s="3" t="s">
        <v>1483</v>
      </c>
      <c r="F412" s="2" t="s">
        <v>48</v>
      </c>
      <c r="G412" s="6"/>
      <c r="H412" s="2" t="s">
        <v>312</v>
      </c>
      <c r="I412" s="2" t="s">
        <v>195</v>
      </c>
      <c r="J412" s="2" t="s">
        <v>19</v>
      </c>
      <c r="K412" s="2" t="s">
        <v>1484</v>
      </c>
      <c r="L412" s="7" t="str">
        <f>HYPERLINK("http://slimages.macys.com/is/image/MCY/12064112 ")</f>
        <v xml:space="preserve">http://slimages.macys.com/is/image/MCY/12064112 </v>
      </c>
    </row>
    <row r="413" spans="1:12" x14ac:dyDescent="0.25">
      <c r="A413" s="4" t="s">
        <v>5020</v>
      </c>
      <c r="B413" s="2" t="s">
        <v>1486</v>
      </c>
      <c r="C413" s="3">
        <v>1</v>
      </c>
      <c r="D413" s="5">
        <v>39.5</v>
      </c>
      <c r="E413" s="3" t="s">
        <v>1487</v>
      </c>
      <c r="F413" s="2" t="s">
        <v>752</v>
      </c>
      <c r="G413" s="6"/>
      <c r="H413" s="2" t="s">
        <v>206</v>
      </c>
      <c r="I413" s="2" t="s">
        <v>207</v>
      </c>
      <c r="J413" s="2" t="s">
        <v>19</v>
      </c>
      <c r="K413" s="2" t="s">
        <v>1488</v>
      </c>
      <c r="L413" s="7" t="str">
        <f>HYPERLINK("http://slimages.macys.com/is/image/MCY/12953073 ")</f>
        <v xml:space="preserve">http://slimages.macys.com/is/image/MCY/12953073 </v>
      </c>
    </row>
    <row r="414" spans="1:12" ht="24.75" x14ac:dyDescent="0.25">
      <c r="A414" s="4" t="s">
        <v>7536</v>
      </c>
      <c r="B414" s="2" t="s">
        <v>2775</v>
      </c>
      <c r="C414" s="3">
        <v>1</v>
      </c>
      <c r="D414" s="5">
        <v>34.5</v>
      </c>
      <c r="E414" s="3">
        <v>100053906</v>
      </c>
      <c r="F414" s="2" t="s">
        <v>89</v>
      </c>
      <c r="G414" s="6" t="s">
        <v>65</v>
      </c>
      <c r="H414" s="2" t="s">
        <v>228</v>
      </c>
      <c r="I414" s="2" t="s">
        <v>857</v>
      </c>
      <c r="J414" s="2" t="s">
        <v>19</v>
      </c>
      <c r="K414" s="2" t="s">
        <v>338</v>
      </c>
      <c r="L414" s="7" t="str">
        <f>HYPERLINK("http://slimages.macys.com/is/image/MCY/12143886 ")</f>
        <v xml:space="preserve">http://slimages.macys.com/is/image/MCY/12143886 </v>
      </c>
    </row>
    <row r="415" spans="1:12" ht="24.75" x14ac:dyDescent="0.25">
      <c r="A415" s="4" t="s">
        <v>5961</v>
      </c>
      <c r="B415" s="2" t="s">
        <v>2779</v>
      </c>
      <c r="C415" s="3">
        <v>1</v>
      </c>
      <c r="D415" s="5">
        <v>29.63</v>
      </c>
      <c r="E415" s="3" t="s">
        <v>2780</v>
      </c>
      <c r="F415" s="2" t="s">
        <v>125</v>
      </c>
      <c r="G415" s="6" t="s">
        <v>156</v>
      </c>
      <c r="H415" s="2" t="s">
        <v>194</v>
      </c>
      <c r="I415" s="2" t="s">
        <v>195</v>
      </c>
      <c r="J415" s="2" t="s">
        <v>19</v>
      </c>
      <c r="K415" s="2" t="s">
        <v>247</v>
      </c>
      <c r="L415" s="7" t="str">
        <f>HYPERLINK("http://slimages.macys.com/is/image/MCY/12279859 ")</f>
        <v xml:space="preserve">http://slimages.macys.com/is/image/MCY/12279859 </v>
      </c>
    </row>
    <row r="416" spans="1:12" ht="24.75" x14ac:dyDescent="0.25">
      <c r="A416" s="4" t="s">
        <v>9131</v>
      </c>
      <c r="B416" s="2" t="s">
        <v>948</v>
      </c>
      <c r="C416" s="3">
        <v>1</v>
      </c>
      <c r="D416" s="5">
        <v>34.880000000000003</v>
      </c>
      <c r="E416" s="3">
        <v>100038962</v>
      </c>
      <c r="F416" s="2" t="s">
        <v>74</v>
      </c>
      <c r="G416" s="6" t="s">
        <v>16</v>
      </c>
      <c r="H416" s="2" t="s">
        <v>194</v>
      </c>
      <c r="I416" s="2" t="s">
        <v>195</v>
      </c>
      <c r="J416" s="2" t="s">
        <v>19</v>
      </c>
      <c r="K416" s="2" t="s">
        <v>353</v>
      </c>
      <c r="L416" s="7" t="str">
        <f>HYPERLINK("http://slimages.macys.com/is/image/MCY/11145019 ")</f>
        <v xml:space="preserve">http://slimages.macys.com/is/image/MCY/11145019 </v>
      </c>
    </row>
    <row r="417" spans="1:12" ht="24.75" x14ac:dyDescent="0.25">
      <c r="A417" s="4" t="s">
        <v>8239</v>
      </c>
      <c r="B417" s="2" t="s">
        <v>1494</v>
      </c>
      <c r="C417" s="3">
        <v>1</v>
      </c>
      <c r="D417" s="5">
        <v>24.99</v>
      </c>
      <c r="E417" s="3">
        <v>100011892</v>
      </c>
      <c r="F417" s="2" t="s">
        <v>417</v>
      </c>
      <c r="G417" s="6" t="s">
        <v>22</v>
      </c>
      <c r="H417" s="2" t="s">
        <v>228</v>
      </c>
      <c r="I417" s="2" t="s">
        <v>857</v>
      </c>
      <c r="J417" s="2" t="s">
        <v>19</v>
      </c>
      <c r="K417" s="2" t="s">
        <v>1495</v>
      </c>
      <c r="L417" s="7" t="str">
        <f>HYPERLINK("http://slimages.macys.com/is/image/MCY/12143827 ")</f>
        <v xml:space="preserve">http://slimages.macys.com/is/image/MCY/12143827 </v>
      </c>
    </row>
    <row r="418" spans="1:12" ht="24.75" x14ac:dyDescent="0.25">
      <c r="A418" s="4" t="s">
        <v>9132</v>
      </c>
      <c r="B418" s="2" t="s">
        <v>1494</v>
      </c>
      <c r="C418" s="3">
        <v>1</v>
      </c>
      <c r="D418" s="5">
        <v>24.99</v>
      </c>
      <c r="E418" s="3">
        <v>100011892</v>
      </c>
      <c r="F418" s="2" t="s">
        <v>417</v>
      </c>
      <c r="G418" s="6" t="s">
        <v>65</v>
      </c>
      <c r="H418" s="2" t="s">
        <v>228</v>
      </c>
      <c r="I418" s="2" t="s">
        <v>857</v>
      </c>
      <c r="J418" s="2" t="s">
        <v>19</v>
      </c>
      <c r="K418" s="2" t="s">
        <v>1495</v>
      </c>
      <c r="L418" s="7" t="str">
        <f>HYPERLINK("http://slimages.macys.com/is/image/MCY/12143827 ")</f>
        <v xml:space="preserve">http://slimages.macys.com/is/image/MCY/12143827 </v>
      </c>
    </row>
    <row r="419" spans="1:12" ht="24.75" x14ac:dyDescent="0.25">
      <c r="A419" s="4" t="s">
        <v>9133</v>
      </c>
      <c r="B419" s="2" t="s">
        <v>9134</v>
      </c>
      <c r="C419" s="3">
        <v>1</v>
      </c>
      <c r="D419" s="5">
        <v>24.99</v>
      </c>
      <c r="E419" s="3" t="s">
        <v>9135</v>
      </c>
      <c r="F419" s="2" t="s">
        <v>74</v>
      </c>
      <c r="G419" s="6"/>
      <c r="H419" s="2" t="s">
        <v>1425</v>
      </c>
      <c r="I419" s="2" t="s">
        <v>1469</v>
      </c>
      <c r="J419" s="2" t="s">
        <v>19</v>
      </c>
      <c r="K419" s="2" t="s">
        <v>495</v>
      </c>
      <c r="L419" s="7" t="str">
        <f>HYPERLINK("http://slimages.macys.com/is/image/MCY/14824983 ")</f>
        <v xml:space="preserve">http://slimages.macys.com/is/image/MCY/14824983 </v>
      </c>
    </row>
    <row r="420" spans="1:12" ht="24.75" x14ac:dyDescent="0.25">
      <c r="A420" s="4" t="s">
        <v>3939</v>
      </c>
      <c r="B420" s="2" t="s">
        <v>1516</v>
      </c>
      <c r="C420" s="3">
        <v>1</v>
      </c>
      <c r="D420" s="5">
        <v>24.99</v>
      </c>
      <c r="E420" s="3" t="s">
        <v>1517</v>
      </c>
      <c r="F420" s="2" t="s">
        <v>998</v>
      </c>
      <c r="G420" s="6" t="s">
        <v>16</v>
      </c>
      <c r="H420" s="2" t="s">
        <v>1473</v>
      </c>
      <c r="I420" s="2" t="s">
        <v>1426</v>
      </c>
      <c r="J420" s="2" t="s">
        <v>19</v>
      </c>
      <c r="K420" s="2" t="s">
        <v>353</v>
      </c>
      <c r="L420" s="7" t="str">
        <f>HYPERLINK("http://slimages.macys.com/is/image/MCY/11029826 ")</f>
        <v xml:space="preserve">http://slimages.macys.com/is/image/MCY/11029826 </v>
      </c>
    </row>
    <row r="421" spans="1:12" ht="24.75" x14ac:dyDescent="0.25">
      <c r="A421" s="4" t="s">
        <v>2792</v>
      </c>
      <c r="B421" s="2" t="s">
        <v>1516</v>
      </c>
      <c r="C421" s="3">
        <v>1</v>
      </c>
      <c r="D421" s="5">
        <v>24.99</v>
      </c>
      <c r="E421" s="3" t="s">
        <v>1517</v>
      </c>
      <c r="F421" s="2" t="s">
        <v>15</v>
      </c>
      <c r="G421" s="6" t="s">
        <v>22</v>
      </c>
      <c r="H421" s="2" t="s">
        <v>1473</v>
      </c>
      <c r="I421" s="2" t="s">
        <v>1426</v>
      </c>
      <c r="J421" s="2" t="s">
        <v>19</v>
      </c>
      <c r="K421" s="2" t="s">
        <v>353</v>
      </c>
      <c r="L421" s="7" t="str">
        <f>HYPERLINK("http://slimages.macys.com/is/image/MCY/11029826 ")</f>
        <v xml:space="preserve">http://slimages.macys.com/is/image/MCY/11029826 </v>
      </c>
    </row>
    <row r="422" spans="1:12" ht="24.75" x14ac:dyDescent="0.25">
      <c r="A422" s="4" t="s">
        <v>2797</v>
      </c>
      <c r="B422" s="2" t="s">
        <v>1516</v>
      </c>
      <c r="C422" s="3">
        <v>1</v>
      </c>
      <c r="D422" s="5">
        <v>24.99</v>
      </c>
      <c r="E422" s="3" t="s">
        <v>1517</v>
      </c>
      <c r="F422" s="2" t="s">
        <v>74</v>
      </c>
      <c r="G422" s="6" t="s">
        <v>22</v>
      </c>
      <c r="H422" s="2" t="s">
        <v>1473</v>
      </c>
      <c r="I422" s="2" t="s">
        <v>1426</v>
      </c>
      <c r="J422" s="2" t="s">
        <v>19</v>
      </c>
      <c r="K422" s="2" t="s">
        <v>353</v>
      </c>
      <c r="L422" s="7" t="str">
        <f>HYPERLINK("http://slimages.macys.com/is/image/MCY/11029826 ")</f>
        <v xml:space="preserve">http://slimages.macys.com/is/image/MCY/11029826 </v>
      </c>
    </row>
    <row r="423" spans="1:12" ht="24.75" x14ac:dyDescent="0.25">
      <c r="A423" s="4" t="s">
        <v>9136</v>
      </c>
      <c r="B423" s="2" t="s">
        <v>1508</v>
      </c>
      <c r="C423" s="3">
        <v>1</v>
      </c>
      <c r="D423" s="5">
        <v>26.99</v>
      </c>
      <c r="E423" s="3" t="s">
        <v>1509</v>
      </c>
      <c r="F423" s="2" t="s">
        <v>417</v>
      </c>
      <c r="G423" s="6" t="s">
        <v>16</v>
      </c>
      <c r="H423" s="2" t="s">
        <v>1473</v>
      </c>
      <c r="I423" s="2" t="s">
        <v>1426</v>
      </c>
      <c r="J423" s="2" t="s">
        <v>19</v>
      </c>
      <c r="K423" s="2" t="s">
        <v>353</v>
      </c>
      <c r="L423" s="7" t="str">
        <f>HYPERLINK("http://slimages.macys.com/is/image/MCY/11029993 ")</f>
        <v xml:space="preserve">http://slimages.macys.com/is/image/MCY/11029993 </v>
      </c>
    </row>
    <row r="424" spans="1:12" ht="24.75" x14ac:dyDescent="0.25">
      <c r="A424" s="4" t="s">
        <v>9137</v>
      </c>
      <c r="B424" s="2" t="s">
        <v>1516</v>
      </c>
      <c r="C424" s="3">
        <v>1</v>
      </c>
      <c r="D424" s="5">
        <v>24.99</v>
      </c>
      <c r="E424" s="3" t="s">
        <v>1517</v>
      </c>
      <c r="F424" s="2" t="s">
        <v>252</v>
      </c>
      <c r="G424" s="6" t="s">
        <v>141</v>
      </c>
      <c r="H424" s="2" t="s">
        <v>1473</v>
      </c>
      <c r="I424" s="2" t="s">
        <v>1426</v>
      </c>
      <c r="J424" s="2" t="s">
        <v>19</v>
      </c>
      <c r="K424" s="2" t="s">
        <v>353</v>
      </c>
      <c r="L424" s="7" t="str">
        <f>HYPERLINK("http://slimages.macys.com/is/image/MCY/11029826 ")</f>
        <v xml:space="preserve">http://slimages.macys.com/is/image/MCY/11029826 </v>
      </c>
    </row>
    <row r="425" spans="1:12" ht="24.75" x14ac:dyDescent="0.25">
      <c r="A425" s="4" t="s">
        <v>9138</v>
      </c>
      <c r="B425" s="2" t="s">
        <v>7544</v>
      </c>
      <c r="C425" s="3">
        <v>1</v>
      </c>
      <c r="D425" s="5">
        <v>24.99</v>
      </c>
      <c r="E425" s="3" t="s">
        <v>8741</v>
      </c>
      <c r="F425" s="2" t="s">
        <v>53</v>
      </c>
      <c r="G425" s="6"/>
      <c r="H425" s="2" t="s">
        <v>1425</v>
      </c>
      <c r="I425" s="2" t="s">
        <v>1426</v>
      </c>
      <c r="J425" s="2" t="s">
        <v>19</v>
      </c>
      <c r="K425" s="2" t="s">
        <v>648</v>
      </c>
      <c r="L425" s="7" t="str">
        <f>HYPERLINK("http://slimages.macys.com/is/image/MCY/9555145 ")</f>
        <v xml:space="preserve">http://slimages.macys.com/is/image/MCY/9555145 </v>
      </c>
    </row>
    <row r="426" spans="1:12" ht="24.75" x14ac:dyDescent="0.25">
      <c r="A426" s="4" t="s">
        <v>8739</v>
      </c>
      <c r="B426" s="2" t="s">
        <v>1516</v>
      </c>
      <c r="C426" s="3">
        <v>1</v>
      </c>
      <c r="D426" s="5">
        <v>24.99</v>
      </c>
      <c r="E426" s="3" t="s">
        <v>1517</v>
      </c>
      <c r="F426" s="2" t="s">
        <v>15</v>
      </c>
      <c r="G426" s="6" t="s">
        <v>112</v>
      </c>
      <c r="H426" s="2" t="s">
        <v>1473</v>
      </c>
      <c r="I426" s="2" t="s">
        <v>1426</v>
      </c>
      <c r="J426" s="2" t="s">
        <v>19</v>
      </c>
      <c r="K426" s="2" t="s">
        <v>353</v>
      </c>
      <c r="L426" s="7" t="str">
        <f>HYPERLINK("http://slimages.macys.com/is/image/MCY/11029826 ")</f>
        <v xml:space="preserve">http://slimages.macys.com/is/image/MCY/11029826 </v>
      </c>
    </row>
    <row r="427" spans="1:12" ht="24.75" x14ac:dyDescent="0.25">
      <c r="A427" s="4" t="s">
        <v>9139</v>
      </c>
      <c r="B427" s="2" t="s">
        <v>5032</v>
      </c>
      <c r="C427" s="3">
        <v>1</v>
      </c>
      <c r="D427" s="5">
        <v>24.99</v>
      </c>
      <c r="E427" s="3" t="s">
        <v>5033</v>
      </c>
      <c r="F427" s="2" t="s">
        <v>413</v>
      </c>
      <c r="G427" s="6" t="s">
        <v>219</v>
      </c>
      <c r="H427" s="2" t="s">
        <v>1425</v>
      </c>
      <c r="I427" s="2" t="s">
        <v>1469</v>
      </c>
      <c r="J427" s="2" t="s">
        <v>19</v>
      </c>
      <c r="K427" s="2" t="s">
        <v>990</v>
      </c>
      <c r="L427" s="7" t="str">
        <f>HYPERLINK("http://slimages.macys.com/is/image/MCY/12645266 ")</f>
        <v xml:space="preserve">http://slimages.macys.com/is/image/MCY/12645266 </v>
      </c>
    </row>
    <row r="428" spans="1:12" ht="24.75" x14ac:dyDescent="0.25">
      <c r="A428" s="4" t="s">
        <v>2800</v>
      </c>
      <c r="B428" s="2" t="s">
        <v>1516</v>
      </c>
      <c r="C428" s="3">
        <v>2</v>
      </c>
      <c r="D428" s="5">
        <v>24.99</v>
      </c>
      <c r="E428" s="3" t="s">
        <v>1517</v>
      </c>
      <c r="F428" s="2" t="s">
        <v>998</v>
      </c>
      <c r="G428" s="6" t="s">
        <v>27</v>
      </c>
      <c r="H428" s="2" t="s">
        <v>1473</v>
      </c>
      <c r="I428" s="2" t="s">
        <v>1426</v>
      </c>
      <c r="J428" s="2" t="s">
        <v>19</v>
      </c>
      <c r="K428" s="2" t="s">
        <v>353</v>
      </c>
      <c r="L428" s="7" t="str">
        <f>HYPERLINK("http://slimages.macys.com/is/image/MCY/11029826 ")</f>
        <v xml:space="preserve">http://slimages.macys.com/is/image/MCY/11029826 </v>
      </c>
    </row>
    <row r="429" spans="1:12" ht="24.75" x14ac:dyDescent="0.25">
      <c r="A429" s="4" t="s">
        <v>2795</v>
      </c>
      <c r="B429" s="2" t="s">
        <v>1516</v>
      </c>
      <c r="C429" s="3">
        <v>1</v>
      </c>
      <c r="D429" s="5">
        <v>24.99</v>
      </c>
      <c r="E429" s="3" t="s">
        <v>1517</v>
      </c>
      <c r="F429" s="2" t="s">
        <v>74</v>
      </c>
      <c r="G429" s="6" t="s">
        <v>112</v>
      </c>
      <c r="H429" s="2" t="s">
        <v>1473</v>
      </c>
      <c r="I429" s="2" t="s">
        <v>1426</v>
      </c>
      <c r="J429" s="2" t="s">
        <v>19</v>
      </c>
      <c r="K429" s="2" t="s">
        <v>353</v>
      </c>
      <c r="L429" s="7" t="str">
        <f>HYPERLINK("http://slimages.macys.com/is/image/MCY/11029826 ")</f>
        <v xml:space="preserve">http://slimages.macys.com/is/image/MCY/11029826 </v>
      </c>
    </row>
    <row r="430" spans="1:12" ht="24.75" x14ac:dyDescent="0.25">
      <c r="A430" s="4" t="s">
        <v>6720</v>
      </c>
      <c r="B430" s="2" t="s">
        <v>5040</v>
      </c>
      <c r="C430" s="3">
        <v>1</v>
      </c>
      <c r="D430" s="5">
        <v>29.63</v>
      </c>
      <c r="E430" s="3">
        <v>100018082</v>
      </c>
      <c r="F430" s="2" t="s">
        <v>15</v>
      </c>
      <c r="G430" s="6" t="s">
        <v>181</v>
      </c>
      <c r="H430" s="2" t="s">
        <v>194</v>
      </c>
      <c r="I430" s="2" t="s">
        <v>195</v>
      </c>
      <c r="J430" s="2" t="s">
        <v>19</v>
      </c>
      <c r="K430" s="2" t="s">
        <v>1082</v>
      </c>
      <c r="L430" s="7" t="str">
        <f>HYPERLINK("http://slimages.macys.com/is/image/MCY/13367475 ")</f>
        <v xml:space="preserve">http://slimages.macys.com/is/image/MCY/13367475 </v>
      </c>
    </row>
    <row r="431" spans="1:12" ht="24.75" x14ac:dyDescent="0.25">
      <c r="A431" s="4" t="s">
        <v>5039</v>
      </c>
      <c r="B431" s="2" t="s">
        <v>5040</v>
      </c>
      <c r="C431" s="3">
        <v>1</v>
      </c>
      <c r="D431" s="5">
        <v>29.63</v>
      </c>
      <c r="E431" s="3">
        <v>100018082</v>
      </c>
      <c r="F431" s="2" t="s">
        <v>15</v>
      </c>
      <c r="G431" s="6" t="s">
        <v>154</v>
      </c>
      <c r="H431" s="2" t="s">
        <v>194</v>
      </c>
      <c r="I431" s="2" t="s">
        <v>195</v>
      </c>
      <c r="J431" s="2" t="s">
        <v>19</v>
      </c>
      <c r="K431" s="2" t="s">
        <v>1082</v>
      </c>
      <c r="L431" s="7" t="str">
        <f>HYPERLINK("http://slimages.macys.com/is/image/MCY/13367475 ")</f>
        <v xml:space="preserve">http://slimages.macys.com/is/image/MCY/13367475 </v>
      </c>
    </row>
    <row r="432" spans="1:12" ht="24.75" x14ac:dyDescent="0.25">
      <c r="A432" s="4" t="s">
        <v>1549</v>
      </c>
      <c r="B432" s="2" t="s">
        <v>1539</v>
      </c>
      <c r="C432" s="3">
        <v>1</v>
      </c>
      <c r="D432" s="5">
        <v>26.99</v>
      </c>
      <c r="E432" s="3" t="s">
        <v>1548</v>
      </c>
      <c r="F432" s="2" t="s">
        <v>998</v>
      </c>
      <c r="G432" s="6" t="s">
        <v>205</v>
      </c>
      <c r="H432" s="2" t="s">
        <v>1425</v>
      </c>
      <c r="I432" s="2" t="s">
        <v>1426</v>
      </c>
      <c r="J432" s="2" t="s">
        <v>19</v>
      </c>
      <c r="K432" s="2" t="s">
        <v>353</v>
      </c>
      <c r="L432" s="7" t="str">
        <f>HYPERLINK("http://slimages.macys.com/is/image/MCY/11092539 ")</f>
        <v xml:space="preserve">http://slimages.macys.com/is/image/MCY/11092539 </v>
      </c>
    </row>
    <row r="433" spans="1:12" ht="24.75" x14ac:dyDescent="0.25">
      <c r="A433" s="4" t="s">
        <v>5043</v>
      </c>
      <c r="B433" s="2" t="s">
        <v>1539</v>
      </c>
      <c r="C433" s="3">
        <v>1</v>
      </c>
      <c r="D433" s="5">
        <v>26.99</v>
      </c>
      <c r="E433" s="3" t="s">
        <v>1540</v>
      </c>
      <c r="F433" s="2" t="s">
        <v>74</v>
      </c>
      <c r="G433" s="6" t="s">
        <v>106</v>
      </c>
      <c r="H433" s="2" t="s">
        <v>1473</v>
      </c>
      <c r="I433" s="2" t="s">
        <v>1426</v>
      </c>
      <c r="J433" s="2" t="s">
        <v>19</v>
      </c>
      <c r="K433" s="2" t="s">
        <v>353</v>
      </c>
      <c r="L433" s="7" t="str">
        <f>HYPERLINK("http://slimages.macys.com/is/image/MCY/10786732 ")</f>
        <v xml:space="preserve">http://slimages.macys.com/is/image/MCY/10786732 </v>
      </c>
    </row>
    <row r="434" spans="1:12" ht="24.75" x14ac:dyDescent="0.25">
      <c r="A434" s="4" t="s">
        <v>2831</v>
      </c>
      <c r="B434" s="2" t="s">
        <v>1539</v>
      </c>
      <c r="C434" s="3">
        <v>1</v>
      </c>
      <c r="D434" s="5">
        <v>26.99</v>
      </c>
      <c r="E434" s="3" t="s">
        <v>1548</v>
      </c>
      <c r="F434" s="2" t="s">
        <v>998</v>
      </c>
      <c r="G434" s="6" t="s">
        <v>238</v>
      </c>
      <c r="H434" s="2" t="s">
        <v>1425</v>
      </c>
      <c r="I434" s="2" t="s">
        <v>1426</v>
      </c>
      <c r="J434" s="2" t="s">
        <v>19</v>
      </c>
      <c r="K434" s="2" t="s">
        <v>353</v>
      </c>
      <c r="L434" s="7" t="str">
        <f>HYPERLINK("http://slimages.macys.com/is/image/MCY/11092539 ")</f>
        <v xml:space="preserve">http://slimages.macys.com/is/image/MCY/11092539 </v>
      </c>
    </row>
    <row r="435" spans="1:12" ht="24.75" x14ac:dyDescent="0.25">
      <c r="A435" s="4" t="s">
        <v>2825</v>
      </c>
      <c r="B435" s="2" t="s">
        <v>1539</v>
      </c>
      <c r="C435" s="3">
        <v>2</v>
      </c>
      <c r="D435" s="5">
        <v>26.99</v>
      </c>
      <c r="E435" s="3" t="s">
        <v>1540</v>
      </c>
      <c r="F435" s="2" t="s">
        <v>252</v>
      </c>
      <c r="G435" s="6" t="s">
        <v>22</v>
      </c>
      <c r="H435" s="2" t="s">
        <v>1473</v>
      </c>
      <c r="I435" s="2" t="s">
        <v>1426</v>
      </c>
      <c r="J435" s="2" t="s">
        <v>19</v>
      </c>
      <c r="K435" s="2" t="s">
        <v>353</v>
      </c>
      <c r="L435" s="7" t="str">
        <f t="shared" ref="L435:L452" si="4">HYPERLINK("http://slimages.macys.com/is/image/MCY/10786732 ")</f>
        <v xml:space="preserve">http://slimages.macys.com/is/image/MCY/10786732 </v>
      </c>
    </row>
    <row r="436" spans="1:12" ht="24.75" x14ac:dyDescent="0.25">
      <c r="A436" s="4" t="s">
        <v>2823</v>
      </c>
      <c r="B436" s="2" t="s">
        <v>1539</v>
      </c>
      <c r="C436" s="3">
        <v>4</v>
      </c>
      <c r="D436" s="5">
        <v>26.99</v>
      </c>
      <c r="E436" s="3" t="s">
        <v>1540</v>
      </c>
      <c r="F436" s="2" t="s">
        <v>998</v>
      </c>
      <c r="G436" s="6" t="s">
        <v>106</v>
      </c>
      <c r="H436" s="2" t="s">
        <v>1473</v>
      </c>
      <c r="I436" s="2" t="s">
        <v>1426</v>
      </c>
      <c r="J436" s="2" t="s">
        <v>19</v>
      </c>
      <c r="K436" s="2" t="s">
        <v>353</v>
      </c>
      <c r="L436" s="7" t="str">
        <f t="shared" si="4"/>
        <v xml:space="preserve">http://slimages.macys.com/is/image/MCY/10786732 </v>
      </c>
    </row>
    <row r="437" spans="1:12" ht="24.75" x14ac:dyDescent="0.25">
      <c r="A437" s="4" t="s">
        <v>9140</v>
      </c>
      <c r="B437" s="2" t="s">
        <v>1539</v>
      </c>
      <c r="C437" s="3">
        <v>1</v>
      </c>
      <c r="D437" s="5">
        <v>26.99</v>
      </c>
      <c r="E437" s="3" t="s">
        <v>1540</v>
      </c>
      <c r="F437" s="2" t="s">
        <v>1234</v>
      </c>
      <c r="G437" s="6" t="s">
        <v>141</v>
      </c>
      <c r="H437" s="2" t="s">
        <v>1473</v>
      </c>
      <c r="I437" s="2" t="s">
        <v>1426</v>
      </c>
      <c r="J437" s="2" t="s">
        <v>19</v>
      </c>
      <c r="K437" s="2" t="s">
        <v>353</v>
      </c>
      <c r="L437" s="7" t="str">
        <f t="shared" si="4"/>
        <v xml:space="preserve">http://slimages.macys.com/is/image/MCY/10786732 </v>
      </c>
    </row>
    <row r="438" spans="1:12" ht="24.75" x14ac:dyDescent="0.25">
      <c r="A438" s="4" t="s">
        <v>3957</v>
      </c>
      <c r="B438" s="2" t="s">
        <v>1539</v>
      </c>
      <c r="C438" s="3">
        <v>1</v>
      </c>
      <c r="D438" s="5">
        <v>26.99</v>
      </c>
      <c r="E438" s="3" t="s">
        <v>1540</v>
      </c>
      <c r="F438" s="2" t="s">
        <v>70</v>
      </c>
      <c r="G438" s="6" t="s">
        <v>16</v>
      </c>
      <c r="H438" s="2" t="s">
        <v>1473</v>
      </c>
      <c r="I438" s="2" t="s">
        <v>1426</v>
      </c>
      <c r="J438" s="2" t="s">
        <v>19</v>
      </c>
      <c r="K438" s="2" t="s">
        <v>353</v>
      </c>
      <c r="L438" s="7" t="str">
        <f t="shared" si="4"/>
        <v xml:space="preserve">http://slimages.macys.com/is/image/MCY/10786732 </v>
      </c>
    </row>
    <row r="439" spans="1:12" ht="24.75" x14ac:dyDescent="0.25">
      <c r="A439" s="4" t="s">
        <v>1545</v>
      </c>
      <c r="B439" s="2" t="s">
        <v>1539</v>
      </c>
      <c r="C439" s="3">
        <v>2</v>
      </c>
      <c r="D439" s="5">
        <v>26.99</v>
      </c>
      <c r="E439" s="3" t="s">
        <v>1540</v>
      </c>
      <c r="F439" s="2" t="s">
        <v>998</v>
      </c>
      <c r="G439" s="6" t="s">
        <v>58</v>
      </c>
      <c r="H439" s="2" t="s">
        <v>1473</v>
      </c>
      <c r="I439" s="2" t="s">
        <v>1426</v>
      </c>
      <c r="J439" s="2" t="s">
        <v>19</v>
      </c>
      <c r="K439" s="2" t="s">
        <v>353</v>
      </c>
      <c r="L439" s="7" t="str">
        <f t="shared" si="4"/>
        <v xml:space="preserve">http://slimages.macys.com/is/image/MCY/10786732 </v>
      </c>
    </row>
    <row r="440" spans="1:12" ht="24.75" x14ac:dyDescent="0.25">
      <c r="A440" s="4" t="s">
        <v>2815</v>
      </c>
      <c r="B440" s="2" t="s">
        <v>1539</v>
      </c>
      <c r="C440" s="3">
        <v>1</v>
      </c>
      <c r="D440" s="5">
        <v>26.99</v>
      </c>
      <c r="E440" s="3" t="s">
        <v>1540</v>
      </c>
      <c r="F440" s="2" t="s">
        <v>1234</v>
      </c>
      <c r="G440" s="6" t="s">
        <v>58</v>
      </c>
      <c r="H440" s="2" t="s">
        <v>1473</v>
      </c>
      <c r="I440" s="2" t="s">
        <v>1426</v>
      </c>
      <c r="J440" s="2" t="s">
        <v>19</v>
      </c>
      <c r="K440" s="2" t="s">
        <v>353</v>
      </c>
      <c r="L440" s="7" t="str">
        <f t="shared" si="4"/>
        <v xml:space="preserve">http://slimages.macys.com/is/image/MCY/10786732 </v>
      </c>
    </row>
    <row r="441" spans="1:12" ht="24.75" x14ac:dyDescent="0.25">
      <c r="A441" s="4" t="s">
        <v>3959</v>
      </c>
      <c r="B441" s="2" t="s">
        <v>1539</v>
      </c>
      <c r="C441" s="3">
        <v>2</v>
      </c>
      <c r="D441" s="5">
        <v>26.99</v>
      </c>
      <c r="E441" s="3" t="s">
        <v>1540</v>
      </c>
      <c r="F441" s="2" t="s">
        <v>252</v>
      </c>
      <c r="G441" s="6" t="s">
        <v>16</v>
      </c>
      <c r="H441" s="2" t="s">
        <v>1473</v>
      </c>
      <c r="I441" s="2" t="s">
        <v>1426</v>
      </c>
      <c r="J441" s="2" t="s">
        <v>19</v>
      </c>
      <c r="K441" s="2" t="s">
        <v>353</v>
      </c>
      <c r="L441" s="7" t="str">
        <f t="shared" si="4"/>
        <v xml:space="preserve">http://slimages.macys.com/is/image/MCY/10786732 </v>
      </c>
    </row>
    <row r="442" spans="1:12" ht="24.75" x14ac:dyDescent="0.25">
      <c r="A442" s="4" t="s">
        <v>2816</v>
      </c>
      <c r="B442" s="2" t="s">
        <v>1539</v>
      </c>
      <c r="C442" s="3">
        <v>1</v>
      </c>
      <c r="D442" s="5">
        <v>26.99</v>
      </c>
      <c r="E442" s="3" t="s">
        <v>1540</v>
      </c>
      <c r="F442" s="2" t="s">
        <v>70</v>
      </c>
      <c r="G442" s="6" t="s">
        <v>106</v>
      </c>
      <c r="H442" s="2" t="s">
        <v>1473</v>
      </c>
      <c r="I442" s="2" t="s">
        <v>1426</v>
      </c>
      <c r="J442" s="2" t="s">
        <v>19</v>
      </c>
      <c r="K442" s="2" t="s">
        <v>353</v>
      </c>
      <c r="L442" s="7" t="str">
        <f t="shared" si="4"/>
        <v xml:space="preserve">http://slimages.macys.com/is/image/MCY/10786732 </v>
      </c>
    </row>
    <row r="443" spans="1:12" ht="24.75" x14ac:dyDescent="0.25">
      <c r="A443" s="4" t="s">
        <v>3958</v>
      </c>
      <c r="B443" s="2" t="s">
        <v>1539</v>
      </c>
      <c r="C443" s="3">
        <v>1</v>
      </c>
      <c r="D443" s="5">
        <v>26.99</v>
      </c>
      <c r="E443" s="3" t="s">
        <v>1540</v>
      </c>
      <c r="F443" s="2" t="s">
        <v>252</v>
      </c>
      <c r="G443" s="6" t="s">
        <v>58</v>
      </c>
      <c r="H443" s="2" t="s">
        <v>1473</v>
      </c>
      <c r="I443" s="2" t="s">
        <v>1426</v>
      </c>
      <c r="J443" s="2" t="s">
        <v>19</v>
      </c>
      <c r="K443" s="2" t="s">
        <v>353</v>
      </c>
      <c r="L443" s="7" t="str">
        <f t="shared" si="4"/>
        <v xml:space="preserve">http://slimages.macys.com/is/image/MCY/10786732 </v>
      </c>
    </row>
    <row r="444" spans="1:12" ht="24.75" x14ac:dyDescent="0.25">
      <c r="A444" s="4" t="s">
        <v>2820</v>
      </c>
      <c r="B444" s="2" t="s">
        <v>1539</v>
      </c>
      <c r="C444" s="3">
        <v>5</v>
      </c>
      <c r="D444" s="5">
        <v>26.99</v>
      </c>
      <c r="E444" s="3" t="s">
        <v>1540</v>
      </c>
      <c r="F444" s="2" t="s">
        <v>998</v>
      </c>
      <c r="G444" s="6" t="s">
        <v>16</v>
      </c>
      <c r="H444" s="2" t="s">
        <v>1473</v>
      </c>
      <c r="I444" s="2" t="s">
        <v>1426</v>
      </c>
      <c r="J444" s="2" t="s">
        <v>19</v>
      </c>
      <c r="K444" s="2" t="s">
        <v>353</v>
      </c>
      <c r="L444" s="7" t="str">
        <f t="shared" si="4"/>
        <v xml:space="preserve">http://slimages.macys.com/is/image/MCY/10786732 </v>
      </c>
    </row>
    <row r="445" spans="1:12" ht="24.75" x14ac:dyDescent="0.25">
      <c r="A445" s="4" t="s">
        <v>7551</v>
      </c>
      <c r="B445" s="2" t="s">
        <v>1539</v>
      </c>
      <c r="C445" s="3">
        <v>2</v>
      </c>
      <c r="D445" s="5">
        <v>26.99</v>
      </c>
      <c r="E445" s="3" t="s">
        <v>1540</v>
      </c>
      <c r="F445" s="2" t="s">
        <v>15</v>
      </c>
      <c r="G445" s="6" t="s">
        <v>58</v>
      </c>
      <c r="H445" s="2" t="s">
        <v>1473</v>
      </c>
      <c r="I445" s="2" t="s">
        <v>1426</v>
      </c>
      <c r="J445" s="2" t="s">
        <v>19</v>
      </c>
      <c r="K445" s="2" t="s">
        <v>353</v>
      </c>
      <c r="L445" s="7" t="str">
        <f t="shared" si="4"/>
        <v xml:space="preserve">http://slimages.macys.com/is/image/MCY/10786732 </v>
      </c>
    </row>
    <row r="446" spans="1:12" ht="24.75" x14ac:dyDescent="0.25">
      <c r="A446" s="4" t="s">
        <v>1552</v>
      </c>
      <c r="B446" s="2" t="s">
        <v>1539</v>
      </c>
      <c r="C446" s="3">
        <v>3</v>
      </c>
      <c r="D446" s="5">
        <v>26.99</v>
      </c>
      <c r="E446" s="3" t="s">
        <v>1540</v>
      </c>
      <c r="F446" s="2" t="s">
        <v>998</v>
      </c>
      <c r="G446" s="6" t="s">
        <v>22</v>
      </c>
      <c r="H446" s="2" t="s">
        <v>1473</v>
      </c>
      <c r="I446" s="2" t="s">
        <v>1426</v>
      </c>
      <c r="J446" s="2" t="s">
        <v>19</v>
      </c>
      <c r="K446" s="2" t="s">
        <v>353</v>
      </c>
      <c r="L446" s="7" t="str">
        <f t="shared" si="4"/>
        <v xml:space="preserve">http://slimages.macys.com/is/image/MCY/10786732 </v>
      </c>
    </row>
    <row r="447" spans="1:12" ht="24.75" x14ac:dyDescent="0.25">
      <c r="A447" s="4" t="s">
        <v>1541</v>
      </c>
      <c r="B447" s="2" t="s">
        <v>1539</v>
      </c>
      <c r="C447" s="3">
        <v>1</v>
      </c>
      <c r="D447" s="5">
        <v>26.99</v>
      </c>
      <c r="E447" s="3" t="s">
        <v>1540</v>
      </c>
      <c r="F447" s="2" t="s">
        <v>15</v>
      </c>
      <c r="G447" s="6" t="s">
        <v>106</v>
      </c>
      <c r="H447" s="2" t="s">
        <v>1473</v>
      </c>
      <c r="I447" s="2" t="s">
        <v>1426</v>
      </c>
      <c r="J447" s="2" t="s">
        <v>19</v>
      </c>
      <c r="K447" s="2" t="s">
        <v>353</v>
      </c>
      <c r="L447" s="7" t="str">
        <f t="shared" si="4"/>
        <v xml:space="preserve">http://slimages.macys.com/is/image/MCY/10786732 </v>
      </c>
    </row>
    <row r="448" spans="1:12" ht="24.75" x14ac:dyDescent="0.25">
      <c r="A448" s="4" t="s">
        <v>2826</v>
      </c>
      <c r="B448" s="2" t="s">
        <v>1539</v>
      </c>
      <c r="C448" s="3">
        <v>6</v>
      </c>
      <c r="D448" s="5">
        <v>26.99</v>
      </c>
      <c r="E448" s="3" t="s">
        <v>1540</v>
      </c>
      <c r="F448" s="2" t="s">
        <v>998</v>
      </c>
      <c r="G448" s="6" t="s">
        <v>27</v>
      </c>
      <c r="H448" s="2" t="s">
        <v>1473</v>
      </c>
      <c r="I448" s="2" t="s">
        <v>1426</v>
      </c>
      <c r="J448" s="2" t="s">
        <v>19</v>
      </c>
      <c r="K448" s="2" t="s">
        <v>353</v>
      </c>
      <c r="L448" s="7" t="str">
        <f t="shared" si="4"/>
        <v xml:space="preserve">http://slimages.macys.com/is/image/MCY/10786732 </v>
      </c>
    </row>
    <row r="449" spans="1:12" ht="24.75" x14ac:dyDescent="0.25">
      <c r="A449" s="4" t="s">
        <v>8256</v>
      </c>
      <c r="B449" s="2" t="s">
        <v>1539</v>
      </c>
      <c r="C449" s="3">
        <v>2</v>
      </c>
      <c r="D449" s="5">
        <v>26.99</v>
      </c>
      <c r="E449" s="3" t="s">
        <v>1540</v>
      </c>
      <c r="F449" s="2" t="s">
        <v>74</v>
      </c>
      <c r="G449" s="6" t="s">
        <v>16</v>
      </c>
      <c r="H449" s="2" t="s">
        <v>1473</v>
      </c>
      <c r="I449" s="2" t="s">
        <v>1426</v>
      </c>
      <c r="J449" s="2" t="s">
        <v>19</v>
      </c>
      <c r="K449" s="2" t="s">
        <v>353</v>
      </c>
      <c r="L449" s="7" t="str">
        <f t="shared" si="4"/>
        <v xml:space="preserve">http://slimages.macys.com/is/image/MCY/10786732 </v>
      </c>
    </row>
    <row r="450" spans="1:12" ht="24.75" x14ac:dyDescent="0.25">
      <c r="A450" s="4" t="s">
        <v>1553</v>
      </c>
      <c r="B450" s="2" t="s">
        <v>1539</v>
      </c>
      <c r="C450" s="3">
        <v>4</v>
      </c>
      <c r="D450" s="5">
        <v>26.99</v>
      </c>
      <c r="E450" s="3" t="s">
        <v>1540</v>
      </c>
      <c r="F450" s="2" t="s">
        <v>15</v>
      </c>
      <c r="G450" s="6" t="s">
        <v>16</v>
      </c>
      <c r="H450" s="2" t="s">
        <v>1473</v>
      </c>
      <c r="I450" s="2" t="s">
        <v>1426</v>
      </c>
      <c r="J450" s="2" t="s">
        <v>19</v>
      </c>
      <c r="K450" s="2" t="s">
        <v>353</v>
      </c>
      <c r="L450" s="7" t="str">
        <f t="shared" si="4"/>
        <v xml:space="preserve">http://slimages.macys.com/is/image/MCY/10786732 </v>
      </c>
    </row>
    <row r="451" spans="1:12" ht="24.75" x14ac:dyDescent="0.25">
      <c r="A451" s="4" t="s">
        <v>5979</v>
      </c>
      <c r="B451" s="2" t="s">
        <v>1539</v>
      </c>
      <c r="C451" s="3">
        <v>2</v>
      </c>
      <c r="D451" s="5">
        <v>26.99</v>
      </c>
      <c r="E451" s="3" t="s">
        <v>1540</v>
      </c>
      <c r="F451" s="2" t="s">
        <v>74</v>
      </c>
      <c r="G451" s="6" t="s">
        <v>27</v>
      </c>
      <c r="H451" s="2" t="s">
        <v>1473</v>
      </c>
      <c r="I451" s="2" t="s">
        <v>1426</v>
      </c>
      <c r="J451" s="2" t="s">
        <v>19</v>
      </c>
      <c r="K451" s="2" t="s">
        <v>353</v>
      </c>
      <c r="L451" s="7" t="str">
        <f t="shared" si="4"/>
        <v xml:space="preserve">http://slimages.macys.com/is/image/MCY/10786732 </v>
      </c>
    </row>
    <row r="452" spans="1:12" ht="24.75" x14ac:dyDescent="0.25">
      <c r="A452" s="4" t="s">
        <v>2828</v>
      </c>
      <c r="B452" s="2" t="s">
        <v>1539</v>
      </c>
      <c r="C452" s="3">
        <v>1</v>
      </c>
      <c r="D452" s="5">
        <v>26.99</v>
      </c>
      <c r="E452" s="3" t="s">
        <v>1540</v>
      </c>
      <c r="F452" s="2" t="s">
        <v>74</v>
      </c>
      <c r="G452" s="6" t="s">
        <v>58</v>
      </c>
      <c r="H452" s="2" t="s">
        <v>1473</v>
      </c>
      <c r="I452" s="2" t="s">
        <v>1426</v>
      </c>
      <c r="J452" s="2" t="s">
        <v>19</v>
      </c>
      <c r="K452" s="2" t="s">
        <v>353</v>
      </c>
      <c r="L452" s="7" t="str">
        <f t="shared" si="4"/>
        <v xml:space="preserve">http://slimages.macys.com/is/image/MCY/10786732 </v>
      </c>
    </row>
    <row r="453" spans="1:12" ht="24.75" x14ac:dyDescent="0.25">
      <c r="A453" s="4" t="s">
        <v>3963</v>
      </c>
      <c r="B453" s="2" t="s">
        <v>1539</v>
      </c>
      <c r="C453" s="3">
        <v>2</v>
      </c>
      <c r="D453" s="5">
        <v>26.99</v>
      </c>
      <c r="E453" s="3" t="s">
        <v>1548</v>
      </c>
      <c r="F453" s="2" t="s">
        <v>998</v>
      </c>
      <c r="G453" s="6" t="s">
        <v>165</v>
      </c>
      <c r="H453" s="2" t="s">
        <v>1425</v>
      </c>
      <c r="I453" s="2" t="s">
        <v>1426</v>
      </c>
      <c r="J453" s="2" t="s">
        <v>19</v>
      </c>
      <c r="K453" s="2" t="s">
        <v>353</v>
      </c>
      <c r="L453" s="7" t="str">
        <f>HYPERLINK("http://slimages.macys.com/is/image/MCY/11092539 ")</f>
        <v xml:space="preserve">http://slimages.macys.com/is/image/MCY/11092539 </v>
      </c>
    </row>
    <row r="454" spans="1:12" ht="24.75" x14ac:dyDescent="0.25">
      <c r="A454" s="4" t="s">
        <v>8257</v>
      </c>
      <c r="B454" s="2" t="s">
        <v>1649</v>
      </c>
      <c r="C454" s="3">
        <v>2</v>
      </c>
      <c r="D454" s="5">
        <v>19.989999999999998</v>
      </c>
      <c r="E454" s="3" t="s">
        <v>1650</v>
      </c>
      <c r="F454" s="2" t="s">
        <v>413</v>
      </c>
      <c r="G454" s="6" t="s">
        <v>156</v>
      </c>
      <c r="H454" s="2" t="s">
        <v>194</v>
      </c>
      <c r="I454" s="2" t="s">
        <v>195</v>
      </c>
      <c r="J454" s="2" t="s">
        <v>19</v>
      </c>
      <c r="K454" s="2" t="s">
        <v>247</v>
      </c>
      <c r="L454" s="7" t="str">
        <f>HYPERLINK("http://slimages.macys.com/is/image/MCY/11466486 ")</f>
        <v xml:space="preserve">http://slimages.macys.com/is/image/MCY/11466486 </v>
      </c>
    </row>
    <row r="455" spans="1:12" ht="24.75" x14ac:dyDescent="0.25">
      <c r="A455" s="4" t="s">
        <v>2834</v>
      </c>
      <c r="B455" s="2" t="s">
        <v>1559</v>
      </c>
      <c r="C455" s="3">
        <v>1</v>
      </c>
      <c r="D455" s="5">
        <v>24.99</v>
      </c>
      <c r="E455" s="3" t="s">
        <v>1564</v>
      </c>
      <c r="F455" s="2" t="s">
        <v>15</v>
      </c>
      <c r="G455" s="6" t="s">
        <v>219</v>
      </c>
      <c r="H455" s="2" t="s">
        <v>1425</v>
      </c>
      <c r="I455" s="2" t="s">
        <v>1469</v>
      </c>
      <c r="J455" s="2" t="s">
        <v>19</v>
      </c>
      <c r="K455" s="2" t="s">
        <v>353</v>
      </c>
      <c r="L455" s="7" t="str">
        <f>HYPERLINK("http://slimages.macys.com/is/image/MCY/11883694 ")</f>
        <v xml:space="preserve">http://slimages.macys.com/is/image/MCY/11883694 </v>
      </c>
    </row>
    <row r="456" spans="1:12" ht="24.75" x14ac:dyDescent="0.25">
      <c r="A456" s="4" t="s">
        <v>6733</v>
      </c>
      <c r="B456" s="2" t="s">
        <v>1559</v>
      </c>
      <c r="C456" s="3">
        <v>1</v>
      </c>
      <c r="D456" s="5">
        <v>24.99</v>
      </c>
      <c r="E456" s="3" t="s">
        <v>1564</v>
      </c>
      <c r="F456" s="2" t="s">
        <v>26</v>
      </c>
      <c r="G456" s="6" t="s">
        <v>219</v>
      </c>
      <c r="H456" s="2" t="s">
        <v>1425</v>
      </c>
      <c r="I456" s="2" t="s">
        <v>1469</v>
      </c>
      <c r="J456" s="2" t="s">
        <v>19</v>
      </c>
      <c r="K456" s="2" t="s">
        <v>353</v>
      </c>
      <c r="L456" s="7" t="str">
        <f>HYPERLINK("http://slimages.macys.com/is/image/MCY/11883694 ")</f>
        <v xml:space="preserve">http://slimages.macys.com/is/image/MCY/11883694 </v>
      </c>
    </row>
    <row r="457" spans="1:12" ht="24.75" x14ac:dyDescent="0.25">
      <c r="A457" s="4" t="s">
        <v>3971</v>
      </c>
      <c r="B457" s="2" t="s">
        <v>1559</v>
      </c>
      <c r="C457" s="3">
        <v>1</v>
      </c>
      <c r="D457" s="5">
        <v>24.99</v>
      </c>
      <c r="E457" s="3" t="s">
        <v>1560</v>
      </c>
      <c r="F457" s="2" t="s">
        <v>38</v>
      </c>
      <c r="G457" s="6" t="s">
        <v>219</v>
      </c>
      <c r="H457" s="2" t="s">
        <v>1425</v>
      </c>
      <c r="I457" s="2" t="s">
        <v>1469</v>
      </c>
      <c r="J457" s="2" t="s">
        <v>19</v>
      </c>
      <c r="K457" s="2" t="s">
        <v>353</v>
      </c>
      <c r="L457" s="7" t="str">
        <f>HYPERLINK("http://slimages.macys.com/is/image/MCY/9406309 ")</f>
        <v xml:space="preserve">http://slimages.macys.com/is/image/MCY/9406309 </v>
      </c>
    </row>
    <row r="458" spans="1:12" ht="36.75" x14ac:dyDescent="0.25">
      <c r="A458" s="4" t="s">
        <v>2843</v>
      </c>
      <c r="B458" s="2" t="s">
        <v>1575</v>
      </c>
      <c r="C458" s="3">
        <v>3</v>
      </c>
      <c r="D458" s="5">
        <v>33.380000000000003</v>
      </c>
      <c r="E458" s="3" t="s">
        <v>1576</v>
      </c>
      <c r="F458" s="2" t="s">
        <v>15</v>
      </c>
      <c r="G458" s="6" t="s">
        <v>154</v>
      </c>
      <c r="H458" s="2" t="s">
        <v>194</v>
      </c>
      <c r="I458" s="2" t="s">
        <v>195</v>
      </c>
      <c r="J458" s="2" t="s">
        <v>19</v>
      </c>
      <c r="K458" s="2" t="s">
        <v>1577</v>
      </c>
      <c r="L458" s="7" t="str">
        <f>HYPERLINK("http://slimages.macys.com/is/image/MCY/12734297 ")</f>
        <v xml:space="preserve">http://slimages.macys.com/is/image/MCY/12734297 </v>
      </c>
    </row>
    <row r="459" spans="1:12" ht="24.75" x14ac:dyDescent="0.25">
      <c r="A459" s="4" t="s">
        <v>9141</v>
      </c>
      <c r="B459" s="2" t="s">
        <v>1586</v>
      </c>
      <c r="C459" s="3">
        <v>1</v>
      </c>
      <c r="D459" s="5">
        <v>21.99</v>
      </c>
      <c r="E459" s="3" t="s">
        <v>1587</v>
      </c>
      <c r="F459" s="2" t="s">
        <v>252</v>
      </c>
      <c r="G459" s="6" t="s">
        <v>187</v>
      </c>
      <c r="H459" s="2" t="s">
        <v>1425</v>
      </c>
      <c r="I459" s="2" t="s">
        <v>1426</v>
      </c>
      <c r="J459" s="2" t="s">
        <v>19</v>
      </c>
      <c r="K459" s="2" t="s">
        <v>34</v>
      </c>
      <c r="L459" s="7" t="str">
        <f>HYPERLINK("http://slimages.macys.com/is/image/MCY/11174709 ")</f>
        <v xml:space="preserve">http://slimages.macys.com/is/image/MCY/11174709 </v>
      </c>
    </row>
    <row r="460" spans="1:12" ht="24.75" x14ac:dyDescent="0.25">
      <c r="A460" s="4" t="s">
        <v>3985</v>
      </c>
      <c r="B460" s="2" t="s">
        <v>1600</v>
      </c>
      <c r="C460" s="3">
        <v>1</v>
      </c>
      <c r="D460" s="5">
        <v>21.99</v>
      </c>
      <c r="E460" s="3" t="s">
        <v>1601</v>
      </c>
      <c r="F460" s="2" t="s">
        <v>1234</v>
      </c>
      <c r="G460" s="6"/>
      <c r="H460" s="2" t="s">
        <v>1425</v>
      </c>
      <c r="I460" s="2" t="s">
        <v>1426</v>
      </c>
      <c r="J460" s="2"/>
      <c r="K460" s="2"/>
      <c r="L460" s="7" t="str">
        <f>HYPERLINK("http://slimages.macys.com/is/image/MCY/10205122 ")</f>
        <v xml:space="preserve">http://slimages.macys.com/is/image/MCY/10205122 </v>
      </c>
    </row>
    <row r="461" spans="1:12" ht="24.75" x14ac:dyDescent="0.25">
      <c r="A461" s="4" t="s">
        <v>1588</v>
      </c>
      <c r="B461" s="2" t="s">
        <v>1586</v>
      </c>
      <c r="C461" s="3">
        <v>1</v>
      </c>
      <c r="D461" s="5">
        <v>21.99</v>
      </c>
      <c r="E461" s="3" t="s">
        <v>1587</v>
      </c>
      <c r="F461" s="2" t="s">
        <v>1234</v>
      </c>
      <c r="G461" s="6"/>
      <c r="H461" s="2" t="s">
        <v>1425</v>
      </c>
      <c r="I461" s="2" t="s">
        <v>1426</v>
      </c>
      <c r="J461" s="2" t="s">
        <v>19</v>
      </c>
      <c r="K461" s="2" t="s">
        <v>34</v>
      </c>
      <c r="L461" s="7" t="str">
        <f>HYPERLINK("http://slimages.macys.com/is/image/MCY/11174709 ")</f>
        <v xml:space="preserve">http://slimages.macys.com/is/image/MCY/11174709 </v>
      </c>
    </row>
    <row r="462" spans="1:12" ht="24.75" x14ac:dyDescent="0.25">
      <c r="A462" s="4" t="s">
        <v>3981</v>
      </c>
      <c r="B462" s="2" t="s">
        <v>1600</v>
      </c>
      <c r="C462" s="3">
        <v>1</v>
      </c>
      <c r="D462" s="5">
        <v>21.99</v>
      </c>
      <c r="E462" s="3" t="s">
        <v>1601</v>
      </c>
      <c r="F462" s="2" t="s">
        <v>252</v>
      </c>
      <c r="G462" s="6"/>
      <c r="H462" s="2" t="s">
        <v>1425</v>
      </c>
      <c r="I462" s="2" t="s">
        <v>1426</v>
      </c>
      <c r="J462" s="2" t="s">
        <v>19</v>
      </c>
      <c r="K462" s="2" t="s">
        <v>34</v>
      </c>
      <c r="L462" s="7" t="str">
        <f>HYPERLINK("http://slimages.macys.com/is/image/MCY/11174709 ")</f>
        <v xml:space="preserve">http://slimages.macys.com/is/image/MCY/11174709 </v>
      </c>
    </row>
    <row r="463" spans="1:12" ht="24.75" x14ac:dyDescent="0.25">
      <c r="A463" s="4" t="s">
        <v>9142</v>
      </c>
      <c r="B463" s="2" t="s">
        <v>7563</v>
      </c>
      <c r="C463" s="3">
        <v>1</v>
      </c>
      <c r="D463" s="5">
        <v>34.880000000000003</v>
      </c>
      <c r="E463" s="3">
        <v>100053961</v>
      </c>
      <c r="F463" s="2" t="s">
        <v>376</v>
      </c>
      <c r="G463" s="6" t="s">
        <v>22</v>
      </c>
      <c r="H463" s="2" t="s">
        <v>194</v>
      </c>
      <c r="I463" s="2" t="s">
        <v>195</v>
      </c>
      <c r="J463" s="2" t="s">
        <v>19</v>
      </c>
      <c r="K463" s="2" t="s">
        <v>353</v>
      </c>
      <c r="L463" s="7" t="str">
        <f>HYPERLINK("http://slimages.macys.com/is/image/MCY/11934999 ")</f>
        <v xml:space="preserve">http://slimages.macys.com/is/image/MCY/11934999 </v>
      </c>
    </row>
    <row r="464" spans="1:12" ht="24.75" x14ac:dyDescent="0.25">
      <c r="A464" s="4" t="s">
        <v>1620</v>
      </c>
      <c r="B464" s="2" t="s">
        <v>1529</v>
      </c>
      <c r="C464" s="3">
        <v>1</v>
      </c>
      <c r="D464" s="5">
        <v>37.130000000000003</v>
      </c>
      <c r="E464" s="3" t="s">
        <v>1530</v>
      </c>
      <c r="F464" s="2" t="s">
        <v>998</v>
      </c>
      <c r="G464" s="6" t="s">
        <v>934</v>
      </c>
      <c r="H464" s="2" t="s">
        <v>312</v>
      </c>
      <c r="I464" s="2" t="s">
        <v>195</v>
      </c>
      <c r="J464" s="2" t="s">
        <v>19</v>
      </c>
      <c r="K464" s="2" t="s">
        <v>353</v>
      </c>
      <c r="L464" s="7" t="str">
        <f>HYPERLINK("http://slimages.macys.com/is/image/MCY/11938040 ")</f>
        <v xml:space="preserve">http://slimages.macys.com/is/image/MCY/11938040 </v>
      </c>
    </row>
    <row r="465" spans="1:12" ht="24.75" x14ac:dyDescent="0.25">
      <c r="A465" s="4" t="s">
        <v>6744</v>
      </c>
      <c r="B465" s="2" t="s">
        <v>1529</v>
      </c>
      <c r="C465" s="3">
        <v>1</v>
      </c>
      <c r="D465" s="5">
        <v>37.130000000000003</v>
      </c>
      <c r="E465" s="3" t="s">
        <v>1530</v>
      </c>
      <c r="F465" s="2" t="s">
        <v>74</v>
      </c>
      <c r="G465" s="6" t="s">
        <v>205</v>
      </c>
      <c r="H465" s="2" t="s">
        <v>312</v>
      </c>
      <c r="I465" s="2" t="s">
        <v>195</v>
      </c>
      <c r="J465" s="2" t="s">
        <v>19</v>
      </c>
      <c r="K465" s="2" t="s">
        <v>353</v>
      </c>
      <c r="L465" s="7" t="str">
        <f>HYPERLINK("http://slimages.macys.com/is/image/MCY/11938040 ")</f>
        <v xml:space="preserve">http://slimages.macys.com/is/image/MCY/11938040 </v>
      </c>
    </row>
    <row r="466" spans="1:12" ht="24.75" x14ac:dyDescent="0.25">
      <c r="A466" s="4" t="s">
        <v>1622</v>
      </c>
      <c r="B466" s="2" t="s">
        <v>1529</v>
      </c>
      <c r="C466" s="3">
        <v>1</v>
      </c>
      <c r="D466" s="5">
        <v>37.130000000000003</v>
      </c>
      <c r="E466" s="3" t="s">
        <v>1530</v>
      </c>
      <c r="F466" s="2" t="s">
        <v>998</v>
      </c>
      <c r="G466" s="6" t="s">
        <v>802</v>
      </c>
      <c r="H466" s="2" t="s">
        <v>312</v>
      </c>
      <c r="I466" s="2" t="s">
        <v>195</v>
      </c>
      <c r="J466" s="2" t="s">
        <v>19</v>
      </c>
      <c r="K466" s="2" t="s">
        <v>353</v>
      </c>
      <c r="L466" s="7" t="str">
        <f>HYPERLINK("http://slimages.macys.com/is/image/MCY/11938040 ")</f>
        <v xml:space="preserve">http://slimages.macys.com/is/image/MCY/11938040 </v>
      </c>
    </row>
    <row r="467" spans="1:12" ht="24.75" x14ac:dyDescent="0.25">
      <c r="A467" s="4" t="s">
        <v>9143</v>
      </c>
      <c r="B467" s="2" t="s">
        <v>8264</v>
      </c>
      <c r="C467" s="3">
        <v>1</v>
      </c>
      <c r="D467" s="5">
        <v>24.99</v>
      </c>
      <c r="E467" s="3" t="s">
        <v>8265</v>
      </c>
      <c r="F467" s="2" t="s">
        <v>252</v>
      </c>
      <c r="G467" s="6" t="s">
        <v>200</v>
      </c>
      <c r="H467" s="2" t="s">
        <v>1473</v>
      </c>
      <c r="I467" s="2" t="s">
        <v>1426</v>
      </c>
      <c r="J467" s="2" t="s">
        <v>19</v>
      </c>
      <c r="K467" s="2" t="s">
        <v>648</v>
      </c>
      <c r="L467" s="7" t="str">
        <f>HYPERLINK("http://slimages.macys.com/is/image/MCY/9484387 ")</f>
        <v xml:space="preserve">http://slimages.macys.com/is/image/MCY/9484387 </v>
      </c>
    </row>
    <row r="468" spans="1:12" ht="24.75" x14ac:dyDescent="0.25">
      <c r="A468" s="4" t="s">
        <v>6745</v>
      </c>
      <c r="B468" s="2" t="s">
        <v>6746</v>
      </c>
      <c r="C468" s="3">
        <v>1</v>
      </c>
      <c r="D468" s="5">
        <v>24.99</v>
      </c>
      <c r="E468" s="3" t="s">
        <v>6747</v>
      </c>
      <c r="F468" s="2" t="s">
        <v>252</v>
      </c>
      <c r="G468" s="6" t="s">
        <v>219</v>
      </c>
      <c r="H468" s="2" t="s">
        <v>1425</v>
      </c>
      <c r="I468" s="2" t="s">
        <v>1426</v>
      </c>
      <c r="J468" s="2" t="s">
        <v>19</v>
      </c>
      <c r="K468" s="2" t="s">
        <v>990</v>
      </c>
      <c r="L468" s="7" t="str">
        <f>HYPERLINK("http://slimages.macys.com/is/image/MCY/9434403 ")</f>
        <v xml:space="preserve">http://slimages.macys.com/is/image/MCY/9434403 </v>
      </c>
    </row>
    <row r="469" spans="1:12" ht="24.75" x14ac:dyDescent="0.25">
      <c r="A469" s="4" t="s">
        <v>9144</v>
      </c>
      <c r="B469" s="2" t="s">
        <v>6746</v>
      </c>
      <c r="C469" s="3">
        <v>1</v>
      </c>
      <c r="D469" s="5">
        <v>24.99</v>
      </c>
      <c r="E469" s="3" t="s">
        <v>6747</v>
      </c>
      <c r="F469" s="2" t="s">
        <v>252</v>
      </c>
      <c r="G469" s="6"/>
      <c r="H469" s="2" t="s">
        <v>1425</v>
      </c>
      <c r="I469" s="2" t="s">
        <v>1426</v>
      </c>
      <c r="J469" s="2" t="s">
        <v>19</v>
      </c>
      <c r="K469" s="2" t="s">
        <v>990</v>
      </c>
      <c r="L469" s="7" t="str">
        <f>HYPERLINK("http://slimages.macys.com/is/image/MCY/9434403 ")</f>
        <v xml:space="preserve">http://slimages.macys.com/is/image/MCY/9434403 </v>
      </c>
    </row>
    <row r="470" spans="1:12" ht="24.75" x14ac:dyDescent="0.25">
      <c r="A470" s="4" t="s">
        <v>9145</v>
      </c>
      <c r="B470" s="2" t="s">
        <v>6746</v>
      </c>
      <c r="C470" s="3">
        <v>3</v>
      </c>
      <c r="D470" s="5">
        <v>24.99</v>
      </c>
      <c r="E470" s="3" t="s">
        <v>6747</v>
      </c>
      <c r="F470" s="2" t="s">
        <v>26</v>
      </c>
      <c r="G470" s="6" t="s">
        <v>219</v>
      </c>
      <c r="H470" s="2" t="s">
        <v>1425</v>
      </c>
      <c r="I470" s="2" t="s">
        <v>1426</v>
      </c>
      <c r="J470" s="2" t="s">
        <v>19</v>
      </c>
      <c r="K470" s="2" t="s">
        <v>990</v>
      </c>
      <c r="L470" s="7" t="str">
        <f>HYPERLINK("http://slimages.macys.com/is/image/MCY/9434403 ")</f>
        <v xml:space="preserve">http://slimages.macys.com/is/image/MCY/9434403 </v>
      </c>
    </row>
    <row r="471" spans="1:12" ht="24.75" x14ac:dyDescent="0.25">
      <c r="A471" s="4" t="s">
        <v>5057</v>
      </c>
      <c r="B471" s="2" t="s">
        <v>2856</v>
      </c>
      <c r="C471" s="3">
        <v>2</v>
      </c>
      <c r="D471" s="5">
        <v>24.99</v>
      </c>
      <c r="E471" s="3" t="s">
        <v>2857</v>
      </c>
      <c r="F471" s="2" t="s">
        <v>15</v>
      </c>
      <c r="G471" s="6"/>
      <c r="H471" s="2" t="s">
        <v>1425</v>
      </c>
      <c r="I471" s="2" t="s">
        <v>1426</v>
      </c>
      <c r="J471" s="2" t="s">
        <v>19</v>
      </c>
      <c r="K471" s="2" t="s">
        <v>495</v>
      </c>
      <c r="L471" s="7" t="str">
        <f>HYPERLINK("http://slimages.macys.com/is/image/MCY/11831271 ")</f>
        <v xml:space="preserve">http://slimages.macys.com/is/image/MCY/11831271 </v>
      </c>
    </row>
    <row r="472" spans="1:12" ht="24.75" x14ac:dyDescent="0.25">
      <c r="A472" s="4" t="s">
        <v>5061</v>
      </c>
      <c r="B472" s="2" t="s">
        <v>1627</v>
      </c>
      <c r="C472" s="3">
        <v>1</v>
      </c>
      <c r="D472" s="5">
        <v>25.88</v>
      </c>
      <c r="E472" s="3" t="s">
        <v>1628</v>
      </c>
      <c r="F472" s="2" t="s">
        <v>70</v>
      </c>
      <c r="G472" s="6" t="s">
        <v>154</v>
      </c>
      <c r="H472" s="2" t="s">
        <v>194</v>
      </c>
      <c r="I472" s="2" t="s">
        <v>195</v>
      </c>
      <c r="J472" s="2" t="s">
        <v>19</v>
      </c>
      <c r="K472" s="2" t="s">
        <v>1629</v>
      </c>
      <c r="L472" s="7" t="str">
        <f>HYPERLINK("http://slimages.macys.com/is/image/MCY/11531058 ")</f>
        <v xml:space="preserve">http://slimages.macys.com/is/image/MCY/11531058 </v>
      </c>
    </row>
    <row r="473" spans="1:12" ht="24.75" x14ac:dyDescent="0.25">
      <c r="A473" s="4" t="s">
        <v>5068</v>
      </c>
      <c r="B473" s="2" t="s">
        <v>5063</v>
      </c>
      <c r="C473" s="3">
        <v>3</v>
      </c>
      <c r="D473" s="5">
        <v>26.99</v>
      </c>
      <c r="E473" s="3" t="s">
        <v>5064</v>
      </c>
      <c r="F473" s="2" t="s">
        <v>15</v>
      </c>
      <c r="G473" s="6" t="s">
        <v>348</v>
      </c>
      <c r="H473" s="2" t="s">
        <v>349</v>
      </c>
      <c r="I473" s="2" t="s">
        <v>285</v>
      </c>
      <c r="J473" s="2" t="s">
        <v>19</v>
      </c>
      <c r="K473" s="2" t="s">
        <v>247</v>
      </c>
      <c r="L473" s="7" t="str">
        <f>HYPERLINK("http://slimages.macys.com/is/image/MCY/13936289 ")</f>
        <v xml:space="preserve">http://slimages.macys.com/is/image/MCY/13936289 </v>
      </c>
    </row>
    <row r="474" spans="1:12" ht="24.75" x14ac:dyDescent="0.25">
      <c r="A474" s="4" t="s">
        <v>1640</v>
      </c>
      <c r="B474" s="2" t="s">
        <v>1635</v>
      </c>
      <c r="C474" s="3">
        <v>2</v>
      </c>
      <c r="D474" s="5">
        <v>25.88</v>
      </c>
      <c r="E474" s="3">
        <v>100011992</v>
      </c>
      <c r="F474" s="2" t="s">
        <v>53</v>
      </c>
      <c r="G474" s="6" t="s">
        <v>234</v>
      </c>
      <c r="H474" s="2" t="s">
        <v>194</v>
      </c>
      <c r="I474" s="2" t="s">
        <v>195</v>
      </c>
      <c r="J474" s="2" t="s">
        <v>19</v>
      </c>
      <c r="K474" s="2" t="s">
        <v>1617</v>
      </c>
      <c r="L474" s="7" t="str">
        <f>HYPERLINK("http://slimages.macys.com/is/image/MCY/13314771 ")</f>
        <v xml:space="preserve">http://slimages.macys.com/is/image/MCY/13314771 </v>
      </c>
    </row>
    <row r="475" spans="1:12" ht="24.75" x14ac:dyDescent="0.25">
      <c r="A475" s="4" t="s">
        <v>1638</v>
      </c>
      <c r="B475" s="2" t="s">
        <v>1635</v>
      </c>
      <c r="C475" s="3">
        <v>2</v>
      </c>
      <c r="D475" s="5">
        <v>25.88</v>
      </c>
      <c r="E475" s="3">
        <v>100011992</v>
      </c>
      <c r="F475" s="2" t="s">
        <v>53</v>
      </c>
      <c r="G475" s="6" t="s">
        <v>181</v>
      </c>
      <c r="H475" s="2" t="s">
        <v>194</v>
      </c>
      <c r="I475" s="2" t="s">
        <v>195</v>
      </c>
      <c r="J475" s="2" t="s">
        <v>19</v>
      </c>
      <c r="K475" s="2" t="s">
        <v>1617</v>
      </c>
      <c r="L475" s="7" t="str">
        <f>HYPERLINK("http://slimages.macys.com/is/image/MCY/13314771 ")</f>
        <v xml:space="preserve">http://slimages.macys.com/is/image/MCY/13314771 </v>
      </c>
    </row>
    <row r="476" spans="1:12" ht="24.75" x14ac:dyDescent="0.25">
      <c r="A476" s="4" t="s">
        <v>1634</v>
      </c>
      <c r="B476" s="2" t="s">
        <v>1635</v>
      </c>
      <c r="C476" s="3">
        <v>2</v>
      </c>
      <c r="D476" s="5">
        <v>25.88</v>
      </c>
      <c r="E476" s="3">
        <v>100011992</v>
      </c>
      <c r="F476" s="2" t="s">
        <v>64</v>
      </c>
      <c r="G476" s="6" t="s">
        <v>156</v>
      </c>
      <c r="H476" s="2" t="s">
        <v>194</v>
      </c>
      <c r="I476" s="2" t="s">
        <v>195</v>
      </c>
      <c r="J476" s="2" t="s">
        <v>19</v>
      </c>
      <c r="K476" s="2" t="s">
        <v>1617</v>
      </c>
      <c r="L476" s="7" t="str">
        <f>HYPERLINK("http://slimages.macys.com/is/image/MCY/13314771 ")</f>
        <v xml:space="preserve">http://slimages.macys.com/is/image/MCY/13314771 </v>
      </c>
    </row>
    <row r="477" spans="1:12" ht="24.75" x14ac:dyDescent="0.25">
      <c r="A477" s="4" t="s">
        <v>3992</v>
      </c>
      <c r="B477" s="2" t="s">
        <v>1635</v>
      </c>
      <c r="C477" s="3">
        <v>1</v>
      </c>
      <c r="D477" s="5">
        <v>25.88</v>
      </c>
      <c r="E477" s="3">
        <v>100011992</v>
      </c>
      <c r="F477" s="2" t="s">
        <v>57</v>
      </c>
      <c r="G477" s="6" t="s">
        <v>234</v>
      </c>
      <c r="H477" s="2" t="s">
        <v>194</v>
      </c>
      <c r="I477" s="2" t="s">
        <v>195</v>
      </c>
      <c r="J477" s="2" t="s">
        <v>19</v>
      </c>
      <c r="K477" s="2" t="s">
        <v>1617</v>
      </c>
      <c r="L477" s="7" t="str">
        <f>HYPERLINK("http://slimages.macys.com/is/image/MCY/13314771 ")</f>
        <v xml:space="preserve">http://slimages.macys.com/is/image/MCY/13314771 </v>
      </c>
    </row>
    <row r="478" spans="1:12" ht="24.75" x14ac:dyDescent="0.25">
      <c r="A478" s="4" t="s">
        <v>2873</v>
      </c>
      <c r="B478" s="2" t="s">
        <v>2874</v>
      </c>
      <c r="C478" s="3">
        <v>1</v>
      </c>
      <c r="D478" s="5">
        <v>24.99</v>
      </c>
      <c r="E478" s="3" t="s">
        <v>2875</v>
      </c>
      <c r="F478" s="2" t="s">
        <v>33</v>
      </c>
      <c r="G478" s="6"/>
      <c r="H478" s="2" t="s">
        <v>1425</v>
      </c>
      <c r="I478" s="2" t="s">
        <v>1469</v>
      </c>
      <c r="J478" s="2" t="s">
        <v>19</v>
      </c>
      <c r="K478" s="2" t="s">
        <v>648</v>
      </c>
      <c r="L478" s="7" t="str">
        <f>HYPERLINK("http://slimages.macys.com/is/image/MCY/11417681 ")</f>
        <v xml:space="preserve">http://slimages.macys.com/is/image/MCY/11417681 </v>
      </c>
    </row>
    <row r="479" spans="1:12" ht="24.75" x14ac:dyDescent="0.25">
      <c r="A479" s="4" t="s">
        <v>1670</v>
      </c>
      <c r="B479" s="2" t="s">
        <v>1649</v>
      </c>
      <c r="C479" s="3">
        <v>1</v>
      </c>
      <c r="D479" s="5">
        <v>19.989999999999998</v>
      </c>
      <c r="E479" s="3" t="s">
        <v>1650</v>
      </c>
      <c r="F479" s="2" t="s">
        <v>70</v>
      </c>
      <c r="G479" s="6" t="s">
        <v>234</v>
      </c>
      <c r="H479" s="2" t="s">
        <v>194</v>
      </c>
      <c r="I479" s="2" t="s">
        <v>195</v>
      </c>
      <c r="J479" s="2" t="s">
        <v>19</v>
      </c>
      <c r="K479" s="2" t="s">
        <v>247</v>
      </c>
      <c r="L479" s="7" t="str">
        <f>HYPERLINK("http://slimages.macys.com/is/image/MCY/11466486 ")</f>
        <v xml:space="preserve">http://slimages.macys.com/is/image/MCY/11466486 </v>
      </c>
    </row>
    <row r="480" spans="1:12" ht="24.75" x14ac:dyDescent="0.25">
      <c r="A480" s="4" t="s">
        <v>9146</v>
      </c>
      <c r="B480" s="2" t="s">
        <v>3995</v>
      </c>
      <c r="C480" s="3">
        <v>1</v>
      </c>
      <c r="D480" s="5">
        <v>19.989999999999998</v>
      </c>
      <c r="E480" s="3" t="s">
        <v>3996</v>
      </c>
      <c r="F480" s="2" t="s">
        <v>170</v>
      </c>
      <c r="G480" s="6" t="s">
        <v>200</v>
      </c>
      <c r="H480" s="2" t="s">
        <v>194</v>
      </c>
      <c r="I480" s="2" t="s">
        <v>195</v>
      </c>
      <c r="J480" s="2" t="s">
        <v>19</v>
      </c>
      <c r="K480" s="2" t="s">
        <v>247</v>
      </c>
      <c r="L480" s="7" t="str">
        <f>HYPERLINK("http://slimages.macys.com/is/image/MCY/12143893 ")</f>
        <v xml:space="preserve">http://slimages.macys.com/is/image/MCY/12143893 </v>
      </c>
    </row>
    <row r="481" spans="1:12" ht="24.75" x14ac:dyDescent="0.25">
      <c r="A481" s="4" t="s">
        <v>6753</v>
      </c>
      <c r="B481" s="2" t="s">
        <v>1645</v>
      </c>
      <c r="C481" s="3">
        <v>1</v>
      </c>
      <c r="D481" s="5">
        <v>19.989999999999998</v>
      </c>
      <c r="E481" s="3" t="s">
        <v>1646</v>
      </c>
      <c r="F481" s="2" t="s">
        <v>15</v>
      </c>
      <c r="G481" s="6" t="s">
        <v>156</v>
      </c>
      <c r="H481" s="2" t="s">
        <v>194</v>
      </c>
      <c r="I481" s="2" t="s">
        <v>195</v>
      </c>
      <c r="J481" s="2" t="s">
        <v>19</v>
      </c>
      <c r="K481" s="2" t="s">
        <v>1647</v>
      </c>
      <c r="L481" s="7" t="str">
        <f>HYPERLINK("http://slimages.macys.com/is/image/MCY/12405276 ")</f>
        <v xml:space="preserve">http://slimages.macys.com/is/image/MCY/12405276 </v>
      </c>
    </row>
    <row r="482" spans="1:12" ht="24.75" x14ac:dyDescent="0.25">
      <c r="A482" s="4" t="s">
        <v>1653</v>
      </c>
      <c r="B482" s="2" t="s">
        <v>1645</v>
      </c>
      <c r="C482" s="3">
        <v>1</v>
      </c>
      <c r="D482" s="5">
        <v>19.989999999999998</v>
      </c>
      <c r="E482" s="3" t="s">
        <v>1646</v>
      </c>
      <c r="F482" s="2" t="s">
        <v>70</v>
      </c>
      <c r="G482" s="6" t="s">
        <v>234</v>
      </c>
      <c r="H482" s="2" t="s">
        <v>194</v>
      </c>
      <c r="I482" s="2" t="s">
        <v>195</v>
      </c>
      <c r="J482" s="2" t="s">
        <v>19</v>
      </c>
      <c r="K482" s="2" t="s">
        <v>1647</v>
      </c>
      <c r="L482" s="7" t="str">
        <f>HYPERLINK("http://slimages.macys.com/is/image/MCY/11701460 ")</f>
        <v xml:space="preserve">http://slimages.macys.com/is/image/MCY/11701460 </v>
      </c>
    </row>
    <row r="483" spans="1:12" ht="24.75" x14ac:dyDescent="0.25">
      <c r="A483" s="4" t="s">
        <v>1679</v>
      </c>
      <c r="B483" s="2" t="s">
        <v>1645</v>
      </c>
      <c r="C483" s="3">
        <v>1</v>
      </c>
      <c r="D483" s="5">
        <v>19.989999999999998</v>
      </c>
      <c r="E483" s="3" t="s">
        <v>1646</v>
      </c>
      <c r="F483" s="2" t="s">
        <v>70</v>
      </c>
      <c r="G483" s="6" t="s">
        <v>156</v>
      </c>
      <c r="H483" s="2" t="s">
        <v>194</v>
      </c>
      <c r="I483" s="2" t="s">
        <v>195</v>
      </c>
      <c r="J483" s="2" t="s">
        <v>19</v>
      </c>
      <c r="K483" s="2" t="s">
        <v>1647</v>
      </c>
      <c r="L483" s="7" t="str">
        <f>HYPERLINK("http://slimages.macys.com/is/image/MCY/11701460 ")</f>
        <v xml:space="preserve">http://slimages.macys.com/is/image/MCY/11701460 </v>
      </c>
    </row>
    <row r="484" spans="1:12" x14ac:dyDescent="0.25">
      <c r="A484" s="4" t="s">
        <v>9147</v>
      </c>
      <c r="B484" s="2" t="s">
        <v>2884</v>
      </c>
      <c r="C484" s="3">
        <v>1</v>
      </c>
      <c r="D484" s="5">
        <v>27.65</v>
      </c>
      <c r="E484" s="3" t="s">
        <v>2885</v>
      </c>
      <c r="F484" s="2" t="s">
        <v>413</v>
      </c>
      <c r="G484" s="6" t="s">
        <v>200</v>
      </c>
      <c r="H484" s="2" t="s">
        <v>182</v>
      </c>
      <c r="I484" s="2" t="s">
        <v>183</v>
      </c>
      <c r="J484" s="2" t="s">
        <v>19</v>
      </c>
      <c r="K484" s="2" t="s">
        <v>247</v>
      </c>
      <c r="L484" s="7" t="str">
        <f>HYPERLINK("http://slimages.macys.com/is/image/MCY/12851695 ")</f>
        <v xml:space="preserve">http://slimages.macys.com/is/image/MCY/12851695 </v>
      </c>
    </row>
    <row r="485" spans="1:12" ht="24.75" x14ac:dyDescent="0.25">
      <c r="A485" s="4" t="s">
        <v>6756</v>
      </c>
      <c r="B485" s="2" t="s">
        <v>1689</v>
      </c>
      <c r="C485" s="3">
        <v>1</v>
      </c>
      <c r="D485" s="5">
        <v>25.88</v>
      </c>
      <c r="E485" s="3" t="s">
        <v>1690</v>
      </c>
      <c r="F485" s="2" t="s">
        <v>494</v>
      </c>
      <c r="G485" s="6" t="s">
        <v>181</v>
      </c>
      <c r="H485" s="2" t="s">
        <v>194</v>
      </c>
      <c r="I485" s="2" t="s">
        <v>195</v>
      </c>
      <c r="J485" s="2" t="s">
        <v>19</v>
      </c>
      <c r="K485" s="2" t="s">
        <v>648</v>
      </c>
      <c r="L485" s="7" t="str">
        <f>HYPERLINK("http://slimages.macys.com/is/image/MCY/3650047 ")</f>
        <v xml:space="preserve">http://slimages.macys.com/is/image/MCY/3650047 </v>
      </c>
    </row>
    <row r="486" spans="1:12" ht="24.75" x14ac:dyDescent="0.25">
      <c r="A486" s="4" t="s">
        <v>5073</v>
      </c>
      <c r="B486" s="2" t="s">
        <v>1572</v>
      </c>
      <c r="C486" s="3">
        <v>1</v>
      </c>
      <c r="D486" s="5">
        <v>36.5</v>
      </c>
      <c r="E486" s="3" t="s">
        <v>5074</v>
      </c>
      <c r="F486" s="2" t="s">
        <v>1322</v>
      </c>
      <c r="G486" s="6" t="s">
        <v>154</v>
      </c>
      <c r="H486" s="2" t="s">
        <v>194</v>
      </c>
      <c r="I486" s="2" t="s">
        <v>195</v>
      </c>
      <c r="J486" s="2" t="s">
        <v>19</v>
      </c>
      <c r="K486" s="2" t="s">
        <v>247</v>
      </c>
      <c r="L486" s="7" t="str">
        <f>HYPERLINK("http://slimages.macys.com/is/image/MCY/12063852 ")</f>
        <v xml:space="preserve">http://slimages.macys.com/is/image/MCY/12063852 </v>
      </c>
    </row>
    <row r="487" spans="1:12" ht="24.75" x14ac:dyDescent="0.25">
      <c r="A487" s="4" t="s">
        <v>4002</v>
      </c>
      <c r="B487" s="2" t="s">
        <v>1689</v>
      </c>
      <c r="C487" s="3">
        <v>1</v>
      </c>
      <c r="D487" s="5">
        <v>25.88</v>
      </c>
      <c r="E487" s="3" t="s">
        <v>1690</v>
      </c>
      <c r="F487" s="2" t="s">
        <v>1584</v>
      </c>
      <c r="G487" s="6" t="s">
        <v>200</v>
      </c>
      <c r="H487" s="2" t="s">
        <v>194</v>
      </c>
      <c r="I487" s="2" t="s">
        <v>195</v>
      </c>
      <c r="J487" s="2" t="s">
        <v>19</v>
      </c>
      <c r="K487" s="2" t="s">
        <v>648</v>
      </c>
      <c r="L487" s="7" t="str">
        <f>HYPERLINK("http://slimages.macys.com/is/image/MCY/3650047 ")</f>
        <v xml:space="preserve">http://slimages.macys.com/is/image/MCY/3650047 </v>
      </c>
    </row>
    <row r="488" spans="1:12" ht="24.75" x14ac:dyDescent="0.25">
      <c r="A488" s="4" t="s">
        <v>8282</v>
      </c>
      <c r="B488" s="2" t="s">
        <v>8283</v>
      </c>
      <c r="C488" s="3">
        <v>1</v>
      </c>
      <c r="D488" s="5">
        <v>19.989999999999998</v>
      </c>
      <c r="E488" s="3" t="s">
        <v>8284</v>
      </c>
      <c r="F488" s="2" t="s">
        <v>33</v>
      </c>
      <c r="G488" s="6" t="s">
        <v>181</v>
      </c>
      <c r="H488" s="2" t="s">
        <v>1473</v>
      </c>
      <c r="I488" s="2" t="s">
        <v>1426</v>
      </c>
      <c r="J488" s="2" t="s">
        <v>19</v>
      </c>
      <c r="K488" s="2" t="s">
        <v>495</v>
      </c>
      <c r="L488" s="7" t="str">
        <f>HYPERLINK("http://slimages.macys.com/is/image/MCY/12460695 ")</f>
        <v xml:space="preserve">http://slimages.macys.com/is/image/MCY/12460695 </v>
      </c>
    </row>
    <row r="489" spans="1:12" ht="24.75" x14ac:dyDescent="0.25">
      <c r="A489" s="4" t="s">
        <v>1698</v>
      </c>
      <c r="B489" s="2" t="s">
        <v>1699</v>
      </c>
      <c r="C489" s="3">
        <v>1</v>
      </c>
      <c r="D489" s="5">
        <v>19.989999999999998</v>
      </c>
      <c r="E489" s="3" t="s">
        <v>1700</v>
      </c>
      <c r="F489" s="2" t="s">
        <v>94</v>
      </c>
      <c r="G489" s="6" t="s">
        <v>234</v>
      </c>
      <c r="H489" s="2" t="s">
        <v>1473</v>
      </c>
      <c r="I489" s="2" t="s">
        <v>1426</v>
      </c>
      <c r="J489" s="2" t="s">
        <v>19</v>
      </c>
      <c r="K489" s="2" t="s">
        <v>990</v>
      </c>
      <c r="L489" s="7" t="str">
        <f>HYPERLINK("http://slimages.macys.com/is/image/MCY/11831242 ")</f>
        <v xml:space="preserve">http://slimages.macys.com/is/image/MCY/11831242 </v>
      </c>
    </row>
    <row r="490" spans="1:12" ht="24.75" x14ac:dyDescent="0.25">
      <c r="A490" s="4" t="s">
        <v>9148</v>
      </c>
      <c r="B490" s="2" t="s">
        <v>1699</v>
      </c>
      <c r="C490" s="3">
        <v>1</v>
      </c>
      <c r="D490" s="5">
        <v>19.989999999999998</v>
      </c>
      <c r="E490" s="3" t="s">
        <v>1700</v>
      </c>
      <c r="F490" s="2"/>
      <c r="G490" s="6" t="s">
        <v>156</v>
      </c>
      <c r="H490" s="2" t="s">
        <v>1473</v>
      </c>
      <c r="I490" s="2" t="s">
        <v>1426</v>
      </c>
      <c r="J490" s="2" t="s">
        <v>19</v>
      </c>
      <c r="K490" s="2" t="s">
        <v>990</v>
      </c>
      <c r="L490" s="7" t="str">
        <f>HYPERLINK("http://slimages.macys.com/is/image/MCY/11831242 ")</f>
        <v xml:space="preserve">http://slimages.macys.com/is/image/MCY/11831242 </v>
      </c>
    </row>
    <row r="491" spans="1:12" ht="24.75" x14ac:dyDescent="0.25">
      <c r="A491" s="4" t="s">
        <v>7580</v>
      </c>
      <c r="B491" s="2" t="s">
        <v>1705</v>
      </c>
      <c r="C491" s="3">
        <v>1</v>
      </c>
      <c r="D491" s="5">
        <v>24.99</v>
      </c>
      <c r="E491" s="3" t="s">
        <v>1706</v>
      </c>
      <c r="F491" s="2" t="s">
        <v>74</v>
      </c>
      <c r="G491" s="6"/>
      <c r="H491" s="2" t="s">
        <v>1425</v>
      </c>
      <c r="I491" s="2" t="s">
        <v>1469</v>
      </c>
      <c r="J491" s="2" t="s">
        <v>19</v>
      </c>
      <c r="K491" s="2" t="s">
        <v>990</v>
      </c>
      <c r="L491" s="7" t="str">
        <f>HYPERLINK("http://slimages.macys.com/is/image/MCY/9127920 ")</f>
        <v xml:space="preserve">http://slimages.macys.com/is/image/MCY/9127920 </v>
      </c>
    </row>
    <row r="492" spans="1:12" ht="24.75" x14ac:dyDescent="0.25">
      <c r="A492" s="4" t="s">
        <v>9149</v>
      </c>
      <c r="B492" s="2" t="s">
        <v>1705</v>
      </c>
      <c r="C492" s="3">
        <v>1</v>
      </c>
      <c r="D492" s="5">
        <v>24.99</v>
      </c>
      <c r="E492" s="3" t="s">
        <v>1706</v>
      </c>
      <c r="F492" s="2" t="s">
        <v>74</v>
      </c>
      <c r="G492" s="6"/>
      <c r="H492" s="2" t="s">
        <v>1425</v>
      </c>
      <c r="I492" s="2" t="s">
        <v>1469</v>
      </c>
      <c r="J492" s="2" t="s">
        <v>19</v>
      </c>
      <c r="K492" s="2" t="s">
        <v>990</v>
      </c>
      <c r="L492" s="7" t="str">
        <f>HYPERLINK("http://slimages.macys.com/is/image/MCY/9127920 ")</f>
        <v xml:space="preserve">http://slimages.macys.com/is/image/MCY/9127920 </v>
      </c>
    </row>
    <row r="493" spans="1:12" ht="24.75" x14ac:dyDescent="0.25">
      <c r="A493" s="4" t="s">
        <v>1707</v>
      </c>
      <c r="B493" s="2" t="s">
        <v>1705</v>
      </c>
      <c r="C493" s="3">
        <v>1</v>
      </c>
      <c r="D493" s="5">
        <v>24.99</v>
      </c>
      <c r="E493" s="3" t="s">
        <v>1706</v>
      </c>
      <c r="F493" s="2" t="s">
        <v>413</v>
      </c>
      <c r="G493" s="6"/>
      <c r="H493" s="2" t="s">
        <v>1425</v>
      </c>
      <c r="I493" s="2" t="s">
        <v>1469</v>
      </c>
      <c r="J493" s="2" t="s">
        <v>19</v>
      </c>
      <c r="K493" s="2" t="s">
        <v>990</v>
      </c>
      <c r="L493" s="7" t="str">
        <f>HYPERLINK("http://slimages.macys.com/is/image/MCY/9127920 ")</f>
        <v xml:space="preserve">http://slimages.macys.com/is/image/MCY/9127920 </v>
      </c>
    </row>
    <row r="494" spans="1:12" ht="36.75" x14ac:dyDescent="0.25">
      <c r="A494" s="4" t="s">
        <v>5090</v>
      </c>
      <c r="B494" s="2" t="s">
        <v>2911</v>
      </c>
      <c r="C494" s="3">
        <v>1</v>
      </c>
      <c r="D494" s="5">
        <v>25.88</v>
      </c>
      <c r="E494" s="3">
        <v>100015718</v>
      </c>
      <c r="F494" s="2" t="s">
        <v>48</v>
      </c>
      <c r="G494" s="6" t="s">
        <v>234</v>
      </c>
      <c r="H494" s="2" t="s">
        <v>194</v>
      </c>
      <c r="I494" s="2" t="s">
        <v>195</v>
      </c>
      <c r="J494" s="2" t="s">
        <v>19</v>
      </c>
      <c r="K494" s="2" t="s">
        <v>1696</v>
      </c>
      <c r="L494" s="7" t="str">
        <f>HYPERLINK("http://slimages.macys.com/is/image/MCY/9504848 ")</f>
        <v xml:space="preserve">http://slimages.macys.com/is/image/MCY/9504848 </v>
      </c>
    </row>
    <row r="495" spans="1:12" ht="24.75" x14ac:dyDescent="0.25">
      <c r="A495" s="4" t="s">
        <v>9150</v>
      </c>
      <c r="B495" s="2" t="s">
        <v>9151</v>
      </c>
      <c r="C495" s="3">
        <v>2</v>
      </c>
      <c r="D495" s="5">
        <v>19.989999999999998</v>
      </c>
      <c r="E495" s="3" t="s">
        <v>9152</v>
      </c>
      <c r="F495" s="2" t="s">
        <v>64</v>
      </c>
      <c r="G495" s="6" t="s">
        <v>245</v>
      </c>
      <c r="H495" s="2" t="s">
        <v>246</v>
      </c>
      <c r="I495" s="2" t="s">
        <v>1939</v>
      </c>
      <c r="J495" s="2" t="s">
        <v>19</v>
      </c>
      <c r="K495" s="2" t="s">
        <v>9153</v>
      </c>
      <c r="L495" s="7" t="str">
        <f>HYPERLINK("http://slimages.macys.com/is/image/MCY/11420555 ")</f>
        <v xml:space="preserve">http://slimages.macys.com/is/image/MCY/11420555 </v>
      </c>
    </row>
    <row r="496" spans="1:12" ht="36.75" x14ac:dyDescent="0.25">
      <c r="A496" s="4" t="s">
        <v>9154</v>
      </c>
      <c r="B496" s="2" t="s">
        <v>2911</v>
      </c>
      <c r="C496" s="3">
        <v>1</v>
      </c>
      <c r="D496" s="5">
        <v>25.88</v>
      </c>
      <c r="E496" s="3">
        <v>100015718</v>
      </c>
      <c r="F496" s="2" t="s">
        <v>48</v>
      </c>
      <c r="G496" s="6" t="s">
        <v>245</v>
      </c>
      <c r="H496" s="2" t="s">
        <v>194</v>
      </c>
      <c r="I496" s="2" t="s">
        <v>195</v>
      </c>
      <c r="J496" s="2" t="s">
        <v>19</v>
      </c>
      <c r="K496" s="2" t="s">
        <v>1696</v>
      </c>
      <c r="L496" s="7" t="str">
        <f>HYPERLINK("http://slimages.macys.com/is/image/MCY/9504848 ")</f>
        <v xml:space="preserve">http://slimages.macys.com/is/image/MCY/9504848 </v>
      </c>
    </row>
    <row r="497" spans="1:12" ht="36.75" x14ac:dyDescent="0.25">
      <c r="A497" s="4" t="s">
        <v>2910</v>
      </c>
      <c r="B497" s="2" t="s">
        <v>2911</v>
      </c>
      <c r="C497" s="3">
        <v>1</v>
      </c>
      <c r="D497" s="5">
        <v>25.88</v>
      </c>
      <c r="E497" s="3">
        <v>100015718</v>
      </c>
      <c r="F497" s="2" t="s">
        <v>48</v>
      </c>
      <c r="G497" s="6" t="s">
        <v>154</v>
      </c>
      <c r="H497" s="2" t="s">
        <v>194</v>
      </c>
      <c r="I497" s="2" t="s">
        <v>195</v>
      </c>
      <c r="J497" s="2" t="s">
        <v>19</v>
      </c>
      <c r="K497" s="2" t="s">
        <v>1696</v>
      </c>
      <c r="L497" s="7" t="str">
        <f>HYPERLINK("http://slimages.macys.com/is/image/MCY/9504848 ")</f>
        <v xml:space="preserve">http://slimages.macys.com/is/image/MCY/9504848 </v>
      </c>
    </row>
    <row r="498" spans="1:12" ht="36.75" x14ac:dyDescent="0.25">
      <c r="A498" s="4" t="s">
        <v>5091</v>
      </c>
      <c r="B498" s="2" t="s">
        <v>2911</v>
      </c>
      <c r="C498" s="3">
        <v>2</v>
      </c>
      <c r="D498" s="5">
        <v>25.88</v>
      </c>
      <c r="E498" s="3">
        <v>100015718</v>
      </c>
      <c r="F498" s="2" t="s">
        <v>48</v>
      </c>
      <c r="G498" s="6" t="s">
        <v>156</v>
      </c>
      <c r="H498" s="2" t="s">
        <v>194</v>
      </c>
      <c r="I498" s="2" t="s">
        <v>195</v>
      </c>
      <c r="J498" s="2" t="s">
        <v>19</v>
      </c>
      <c r="K498" s="2" t="s">
        <v>1696</v>
      </c>
      <c r="L498" s="7" t="str">
        <f>HYPERLINK("http://slimages.macys.com/is/image/MCY/9504848 ")</f>
        <v xml:space="preserve">http://slimages.macys.com/is/image/MCY/9504848 </v>
      </c>
    </row>
    <row r="499" spans="1:12" ht="36.75" x14ac:dyDescent="0.25">
      <c r="A499" s="4" t="s">
        <v>9155</v>
      </c>
      <c r="B499" s="2" t="s">
        <v>2911</v>
      </c>
      <c r="C499" s="3">
        <v>1</v>
      </c>
      <c r="D499" s="5">
        <v>25.88</v>
      </c>
      <c r="E499" s="3">
        <v>100015718</v>
      </c>
      <c r="F499" s="2" t="s">
        <v>48</v>
      </c>
      <c r="G499" s="6" t="s">
        <v>200</v>
      </c>
      <c r="H499" s="2" t="s">
        <v>194</v>
      </c>
      <c r="I499" s="2" t="s">
        <v>195</v>
      </c>
      <c r="J499" s="2" t="s">
        <v>19</v>
      </c>
      <c r="K499" s="2" t="s">
        <v>1696</v>
      </c>
      <c r="L499" s="7" t="str">
        <f>HYPERLINK("http://slimages.macys.com/is/image/MCY/9504848 ")</f>
        <v xml:space="preserve">http://slimages.macys.com/is/image/MCY/9504848 </v>
      </c>
    </row>
    <row r="500" spans="1:12" ht="24.75" x14ac:dyDescent="0.25">
      <c r="A500" s="4" t="s">
        <v>9156</v>
      </c>
      <c r="B500" s="2" t="s">
        <v>9157</v>
      </c>
      <c r="C500" s="3">
        <v>1</v>
      </c>
      <c r="D500" s="5">
        <v>24.99</v>
      </c>
      <c r="E500" s="3" t="s">
        <v>9158</v>
      </c>
      <c r="F500" s="2"/>
      <c r="G500" s="6" t="s">
        <v>181</v>
      </c>
      <c r="H500" s="2" t="s">
        <v>1473</v>
      </c>
      <c r="I500" s="2" t="s">
        <v>1426</v>
      </c>
      <c r="J500" s="2" t="s">
        <v>19</v>
      </c>
      <c r="K500" s="2" t="s">
        <v>648</v>
      </c>
      <c r="L500" s="7" t="str">
        <f>HYPERLINK("http://slimages.macys.com/is/image/MCY/13398360 ")</f>
        <v xml:space="preserve">http://slimages.macys.com/is/image/MCY/13398360 </v>
      </c>
    </row>
    <row r="501" spans="1:12" ht="24.75" x14ac:dyDescent="0.25">
      <c r="A501" s="4" t="s">
        <v>9159</v>
      </c>
      <c r="B501" s="2" t="s">
        <v>6020</v>
      </c>
      <c r="C501" s="3">
        <v>1</v>
      </c>
      <c r="D501" s="5">
        <v>37.130000000000003</v>
      </c>
      <c r="E501" s="3" t="s">
        <v>6021</v>
      </c>
      <c r="F501" s="2" t="s">
        <v>89</v>
      </c>
      <c r="G501" s="6" t="s">
        <v>181</v>
      </c>
      <c r="H501" s="2" t="s">
        <v>246</v>
      </c>
      <c r="I501" s="2" t="s">
        <v>189</v>
      </c>
      <c r="J501" s="2" t="s">
        <v>19</v>
      </c>
      <c r="K501" s="2" t="s">
        <v>648</v>
      </c>
      <c r="L501" s="7" t="str">
        <f>HYPERLINK("http://slimages.macys.com/is/image/MCY/12048411 ")</f>
        <v xml:space="preserve">http://slimages.macys.com/is/image/MCY/12048411 </v>
      </c>
    </row>
    <row r="502" spans="1:12" ht="24.75" x14ac:dyDescent="0.25">
      <c r="A502" s="4" t="s">
        <v>1723</v>
      </c>
      <c r="B502" s="2" t="s">
        <v>1724</v>
      </c>
      <c r="C502" s="3">
        <v>2</v>
      </c>
      <c r="D502" s="5">
        <v>34.880000000000003</v>
      </c>
      <c r="E502" s="3">
        <v>100018041</v>
      </c>
      <c r="F502" s="2" t="s">
        <v>680</v>
      </c>
      <c r="G502" s="6" t="s">
        <v>112</v>
      </c>
      <c r="H502" s="2" t="s">
        <v>194</v>
      </c>
      <c r="I502" s="2" t="s">
        <v>195</v>
      </c>
      <c r="J502" s="2" t="s">
        <v>19</v>
      </c>
      <c r="K502" s="2" t="s">
        <v>353</v>
      </c>
      <c r="L502" s="7" t="str">
        <f>HYPERLINK("http://slimages.macys.com/is/image/MCY/12950342 ")</f>
        <v xml:space="preserve">http://slimages.macys.com/is/image/MCY/12950342 </v>
      </c>
    </row>
    <row r="503" spans="1:12" ht="24.75" x14ac:dyDescent="0.25">
      <c r="A503" s="4" t="s">
        <v>2916</v>
      </c>
      <c r="B503" s="2" t="s">
        <v>1724</v>
      </c>
      <c r="C503" s="3">
        <v>1</v>
      </c>
      <c r="D503" s="5">
        <v>34.880000000000003</v>
      </c>
      <c r="E503" s="3">
        <v>100018041</v>
      </c>
      <c r="F503" s="2" t="s">
        <v>566</v>
      </c>
      <c r="G503" s="6" t="s">
        <v>16</v>
      </c>
      <c r="H503" s="2" t="s">
        <v>194</v>
      </c>
      <c r="I503" s="2" t="s">
        <v>195</v>
      </c>
      <c r="J503" s="2" t="s">
        <v>19</v>
      </c>
      <c r="K503" s="2" t="s">
        <v>353</v>
      </c>
      <c r="L503" s="7" t="str">
        <f>HYPERLINK("http://slimages.macys.com/is/image/MCY/12950342 ")</f>
        <v xml:space="preserve">http://slimages.macys.com/is/image/MCY/12950342 </v>
      </c>
    </row>
    <row r="504" spans="1:12" ht="24.75" x14ac:dyDescent="0.25">
      <c r="A504" s="4" t="s">
        <v>2915</v>
      </c>
      <c r="B504" s="2" t="s">
        <v>1724</v>
      </c>
      <c r="C504" s="3">
        <v>1</v>
      </c>
      <c r="D504" s="5">
        <v>34.880000000000003</v>
      </c>
      <c r="E504" s="3">
        <v>100018041</v>
      </c>
      <c r="F504" s="2" t="s">
        <v>566</v>
      </c>
      <c r="G504" s="6" t="s">
        <v>22</v>
      </c>
      <c r="H504" s="2" t="s">
        <v>194</v>
      </c>
      <c r="I504" s="2" t="s">
        <v>195</v>
      </c>
      <c r="J504" s="2" t="s">
        <v>19</v>
      </c>
      <c r="K504" s="2" t="s">
        <v>353</v>
      </c>
      <c r="L504" s="7" t="str">
        <f>HYPERLINK("http://slimages.macys.com/is/image/MCY/12950342 ")</f>
        <v xml:space="preserve">http://slimages.macys.com/is/image/MCY/12950342 </v>
      </c>
    </row>
    <row r="505" spans="1:12" ht="24.75" x14ac:dyDescent="0.25">
      <c r="A505" s="4" t="s">
        <v>2920</v>
      </c>
      <c r="B505" s="2" t="s">
        <v>2921</v>
      </c>
      <c r="C505" s="3">
        <v>1</v>
      </c>
      <c r="D505" s="5">
        <v>17.989999999999998</v>
      </c>
      <c r="E505" s="3" t="s">
        <v>2922</v>
      </c>
      <c r="F505" s="2" t="s">
        <v>64</v>
      </c>
      <c r="G505" s="6" t="s">
        <v>22</v>
      </c>
      <c r="H505" s="2" t="s">
        <v>1473</v>
      </c>
      <c r="I505" s="2" t="s">
        <v>1426</v>
      </c>
      <c r="J505" s="2" t="s">
        <v>19</v>
      </c>
      <c r="K505" s="2" t="s">
        <v>990</v>
      </c>
      <c r="L505" s="7" t="str">
        <f>HYPERLINK("http://slimages.macys.com/is/image/MCY/11882109 ")</f>
        <v xml:space="preserve">http://slimages.macys.com/is/image/MCY/11882109 </v>
      </c>
    </row>
    <row r="506" spans="1:12" ht="24.75" x14ac:dyDescent="0.25">
      <c r="A506" s="4" t="s">
        <v>9160</v>
      </c>
      <c r="B506" s="2" t="s">
        <v>4046</v>
      </c>
      <c r="C506" s="3">
        <v>1</v>
      </c>
      <c r="D506" s="5">
        <v>19.989999999999998</v>
      </c>
      <c r="E506" s="3" t="s">
        <v>4047</v>
      </c>
      <c r="F506" s="2" t="s">
        <v>15</v>
      </c>
      <c r="G506" s="6" t="s">
        <v>234</v>
      </c>
      <c r="H506" s="2" t="s">
        <v>1473</v>
      </c>
      <c r="I506" s="2" t="s">
        <v>1426</v>
      </c>
      <c r="J506" s="2" t="s">
        <v>19</v>
      </c>
      <c r="K506" s="2" t="s">
        <v>495</v>
      </c>
      <c r="L506" s="7" t="str">
        <f>HYPERLINK("http://slimages.macys.com/is/image/MCY/12773814 ")</f>
        <v xml:space="preserve">http://slimages.macys.com/is/image/MCY/12773814 </v>
      </c>
    </row>
    <row r="507" spans="1:12" ht="24.75" x14ac:dyDescent="0.25">
      <c r="A507" s="4" t="s">
        <v>9161</v>
      </c>
      <c r="B507" s="2" t="s">
        <v>4046</v>
      </c>
      <c r="C507" s="3">
        <v>1</v>
      </c>
      <c r="D507" s="5">
        <v>19.989999999999998</v>
      </c>
      <c r="E507" s="3" t="s">
        <v>4047</v>
      </c>
      <c r="F507" s="2" t="s">
        <v>70</v>
      </c>
      <c r="G507" s="6" t="s">
        <v>156</v>
      </c>
      <c r="H507" s="2" t="s">
        <v>1473</v>
      </c>
      <c r="I507" s="2" t="s">
        <v>1426</v>
      </c>
      <c r="J507" s="2" t="s">
        <v>19</v>
      </c>
      <c r="K507" s="2" t="s">
        <v>495</v>
      </c>
      <c r="L507" s="7" t="str">
        <f>HYPERLINK("http://slimages.macys.com/is/image/MCY/12773814 ")</f>
        <v xml:space="preserve">http://slimages.macys.com/is/image/MCY/12773814 </v>
      </c>
    </row>
    <row r="508" spans="1:12" ht="24.75" x14ac:dyDescent="0.25">
      <c r="A508" s="4" t="s">
        <v>9162</v>
      </c>
      <c r="B508" s="2" t="s">
        <v>9163</v>
      </c>
      <c r="C508" s="3">
        <v>1</v>
      </c>
      <c r="D508" s="5">
        <v>19.989999999999998</v>
      </c>
      <c r="E508" s="3" t="s">
        <v>9164</v>
      </c>
      <c r="F508" s="2"/>
      <c r="G508" s="6" t="s">
        <v>200</v>
      </c>
      <c r="H508" s="2" t="s">
        <v>1473</v>
      </c>
      <c r="I508" s="2" t="s">
        <v>1426</v>
      </c>
      <c r="J508" s="2" t="s">
        <v>19</v>
      </c>
      <c r="K508" s="2" t="s">
        <v>338</v>
      </c>
      <c r="L508" s="7" t="str">
        <f>HYPERLINK("http://slimages.macys.com/is/image/MCY/12774531 ")</f>
        <v xml:space="preserve">http://slimages.macys.com/is/image/MCY/12774531 </v>
      </c>
    </row>
    <row r="509" spans="1:12" ht="24.75" x14ac:dyDescent="0.25">
      <c r="A509" s="4" t="s">
        <v>9165</v>
      </c>
      <c r="B509" s="2" t="s">
        <v>1738</v>
      </c>
      <c r="C509" s="3">
        <v>1</v>
      </c>
      <c r="D509" s="5">
        <v>29.63</v>
      </c>
      <c r="E509" s="3" t="s">
        <v>1739</v>
      </c>
      <c r="F509" s="2" t="s">
        <v>1322</v>
      </c>
      <c r="G509" s="6" t="s">
        <v>181</v>
      </c>
      <c r="H509" s="2" t="s">
        <v>194</v>
      </c>
      <c r="I509" s="2" t="s">
        <v>195</v>
      </c>
      <c r="J509" s="2" t="s">
        <v>19</v>
      </c>
      <c r="K509" s="2" t="s">
        <v>1108</v>
      </c>
      <c r="L509" s="7" t="str">
        <f>HYPERLINK("http://slimages.macys.com/is/image/MCY/12064042 ")</f>
        <v xml:space="preserve">http://slimages.macys.com/is/image/MCY/12064042 </v>
      </c>
    </row>
    <row r="510" spans="1:12" ht="24.75" x14ac:dyDescent="0.25">
      <c r="A510" s="4" t="s">
        <v>6775</v>
      </c>
      <c r="B510" s="2" t="s">
        <v>1738</v>
      </c>
      <c r="C510" s="3">
        <v>1</v>
      </c>
      <c r="D510" s="5">
        <v>29.63</v>
      </c>
      <c r="E510" s="3" t="s">
        <v>1739</v>
      </c>
      <c r="F510" s="2" t="s">
        <v>26</v>
      </c>
      <c r="G510" s="6" t="s">
        <v>200</v>
      </c>
      <c r="H510" s="2" t="s">
        <v>194</v>
      </c>
      <c r="I510" s="2" t="s">
        <v>195</v>
      </c>
      <c r="J510" s="2" t="s">
        <v>19</v>
      </c>
      <c r="K510" s="2" t="s">
        <v>1108</v>
      </c>
      <c r="L510" s="7" t="str">
        <f>HYPERLINK("http://slimages.macys.com/is/image/MCY/12064042 ")</f>
        <v xml:space="preserve">http://slimages.macys.com/is/image/MCY/12064042 </v>
      </c>
    </row>
    <row r="511" spans="1:12" ht="24.75" x14ac:dyDescent="0.25">
      <c r="A511" s="4" t="s">
        <v>2928</v>
      </c>
      <c r="B511" s="2" t="s">
        <v>1738</v>
      </c>
      <c r="C511" s="3">
        <v>2</v>
      </c>
      <c r="D511" s="5">
        <v>29.63</v>
      </c>
      <c r="E511" s="3" t="s">
        <v>1739</v>
      </c>
      <c r="F511" s="2" t="s">
        <v>26</v>
      </c>
      <c r="G511" s="6" t="s">
        <v>181</v>
      </c>
      <c r="H511" s="2" t="s">
        <v>194</v>
      </c>
      <c r="I511" s="2" t="s">
        <v>195</v>
      </c>
      <c r="J511" s="2" t="s">
        <v>19</v>
      </c>
      <c r="K511" s="2" t="s">
        <v>1108</v>
      </c>
      <c r="L511" s="7" t="str">
        <f>HYPERLINK("http://slimages.macys.com/is/image/MCY/12064042 ")</f>
        <v xml:space="preserve">http://slimages.macys.com/is/image/MCY/12064042 </v>
      </c>
    </row>
    <row r="512" spans="1:12" ht="24.75" x14ac:dyDescent="0.25">
      <c r="A512" s="4" t="s">
        <v>4053</v>
      </c>
      <c r="B512" s="2" t="s">
        <v>2933</v>
      </c>
      <c r="C512" s="3">
        <v>1</v>
      </c>
      <c r="D512" s="5">
        <v>20.99</v>
      </c>
      <c r="E512" s="3" t="s">
        <v>2939</v>
      </c>
      <c r="F512" s="2" t="s">
        <v>64</v>
      </c>
      <c r="G512" s="6" t="s">
        <v>154</v>
      </c>
      <c r="H512" s="2" t="s">
        <v>1473</v>
      </c>
      <c r="I512" s="2" t="s">
        <v>1864</v>
      </c>
      <c r="J512" s="2" t="s">
        <v>19</v>
      </c>
      <c r="K512" s="2" t="s">
        <v>990</v>
      </c>
      <c r="L512" s="7" t="str">
        <f>HYPERLINK("http://slimages.macys.com/is/image/MCY/11515111 ")</f>
        <v xml:space="preserve">http://slimages.macys.com/is/image/MCY/11515111 </v>
      </c>
    </row>
    <row r="513" spans="1:12" ht="24.75" x14ac:dyDescent="0.25">
      <c r="A513" s="4" t="s">
        <v>5103</v>
      </c>
      <c r="B513" s="2" t="s">
        <v>2933</v>
      </c>
      <c r="C513" s="3">
        <v>1</v>
      </c>
      <c r="D513" s="5">
        <v>20.99</v>
      </c>
      <c r="E513" s="3" t="s">
        <v>2939</v>
      </c>
      <c r="F513" s="2" t="s">
        <v>64</v>
      </c>
      <c r="G513" s="6" t="s">
        <v>234</v>
      </c>
      <c r="H513" s="2" t="s">
        <v>1473</v>
      </c>
      <c r="I513" s="2" t="s">
        <v>1864</v>
      </c>
      <c r="J513" s="2" t="s">
        <v>19</v>
      </c>
      <c r="K513" s="2" t="s">
        <v>990</v>
      </c>
      <c r="L513" s="7" t="str">
        <f>HYPERLINK("http://slimages.macys.com/is/image/MCY/11515111 ")</f>
        <v xml:space="preserve">http://slimages.macys.com/is/image/MCY/11515111 </v>
      </c>
    </row>
    <row r="514" spans="1:12" ht="24.75" x14ac:dyDescent="0.25">
      <c r="A514" s="4" t="s">
        <v>2938</v>
      </c>
      <c r="B514" s="2" t="s">
        <v>2933</v>
      </c>
      <c r="C514" s="3">
        <v>1</v>
      </c>
      <c r="D514" s="5">
        <v>20.99</v>
      </c>
      <c r="E514" s="3" t="s">
        <v>2939</v>
      </c>
      <c r="F514" s="2" t="s">
        <v>64</v>
      </c>
      <c r="G514" s="6" t="s">
        <v>156</v>
      </c>
      <c r="H514" s="2" t="s">
        <v>1473</v>
      </c>
      <c r="I514" s="2" t="s">
        <v>1864</v>
      </c>
      <c r="J514" s="2" t="s">
        <v>19</v>
      </c>
      <c r="K514" s="2" t="s">
        <v>990</v>
      </c>
      <c r="L514" s="7" t="str">
        <f>HYPERLINK("http://slimages.macys.com/is/image/MCY/11515111 ")</f>
        <v xml:space="preserve">http://slimages.macys.com/is/image/MCY/11515111 </v>
      </c>
    </row>
    <row r="515" spans="1:12" ht="24.75" x14ac:dyDescent="0.25">
      <c r="A515" s="4" t="s">
        <v>4054</v>
      </c>
      <c r="B515" s="2" t="s">
        <v>2936</v>
      </c>
      <c r="C515" s="3">
        <v>2</v>
      </c>
      <c r="D515" s="5">
        <v>20.99</v>
      </c>
      <c r="E515" s="3" t="s">
        <v>2937</v>
      </c>
      <c r="F515" s="2" t="s">
        <v>64</v>
      </c>
      <c r="G515" s="6" t="s">
        <v>154</v>
      </c>
      <c r="H515" s="2" t="s">
        <v>1473</v>
      </c>
      <c r="I515" s="2" t="s">
        <v>1864</v>
      </c>
      <c r="J515" s="2" t="s">
        <v>19</v>
      </c>
      <c r="K515" s="2" t="s">
        <v>107</v>
      </c>
      <c r="L515" s="7" t="str">
        <f>HYPERLINK("http://slimages.macys.com/is/image/MCY/12266786 ")</f>
        <v xml:space="preserve">http://slimages.macys.com/is/image/MCY/12266786 </v>
      </c>
    </row>
    <row r="516" spans="1:12" ht="24.75" x14ac:dyDescent="0.25">
      <c r="A516" s="4" t="s">
        <v>9166</v>
      </c>
      <c r="B516" s="2" t="s">
        <v>1627</v>
      </c>
      <c r="C516" s="3">
        <v>1</v>
      </c>
      <c r="D516" s="5">
        <v>25.88</v>
      </c>
      <c r="E516" s="3" t="s">
        <v>1745</v>
      </c>
      <c r="F516" s="2" t="s">
        <v>506</v>
      </c>
      <c r="G516" s="6"/>
      <c r="H516" s="2" t="s">
        <v>312</v>
      </c>
      <c r="I516" s="2" t="s">
        <v>195</v>
      </c>
      <c r="J516" s="2" t="s">
        <v>19</v>
      </c>
      <c r="K516" s="2" t="s">
        <v>1629</v>
      </c>
      <c r="L516" s="7" t="str">
        <f>HYPERLINK("http://slimages.macys.com/is/image/MCY/3314148 ")</f>
        <v xml:space="preserve">http://slimages.macys.com/is/image/MCY/3314148 </v>
      </c>
    </row>
    <row r="517" spans="1:12" ht="24.75" x14ac:dyDescent="0.25">
      <c r="A517" s="4" t="s">
        <v>9167</v>
      </c>
      <c r="B517" s="2" t="s">
        <v>1627</v>
      </c>
      <c r="C517" s="3">
        <v>1</v>
      </c>
      <c r="D517" s="5">
        <v>25.88</v>
      </c>
      <c r="E517" s="3" t="s">
        <v>1745</v>
      </c>
      <c r="F517" s="2" t="s">
        <v>506</v>
      </c>
      <c r="G517" s="6"/>
      <c r="H517" s="2" t="s">
        <v>312</v>
      </c>
      <c r="I517" s="2" t="s">
        <v>195</v>
      </c>
      <c r="J517" s="2" t="s">
        <v>19</v>
      </c>
      <c r="K517" s="2" t="s">
        <v>1629</v>
      </c>
      <c r="L517" s="7" t="str">
        <f>HYPERLINK("http://slimages.macys.com/is/image/MCY/3314148 ")</f>
        <v xml:space="preserve">http://slimages.macys.com/is/image/MCY/3314148 </v>
      </c>
    </row>
    <row r="518" spans="1:12" ht="24.75" x14ac:dyDescent="0.25">
      <c r="A518" s="4" t="s">
        <v>2946</v>
      </c>
      <c r="B518" s="2" t="s">
        <v>1747</v>
      </c>
      <c r="C518" s="3">
        <v>2</v>
      </c>
      <c r="D518" s="5">
        <v>17.989999999999998</v>
      </c>
      <c r="E518" s="3" t="s">
        <v>1748</v>
      </c>
      <c r="F518" s="2" t="s">
        <v>998</v>
      </c>
      <c r="G518" s="6" t="s">
        <v>22</v>
      </c>
      <c r="H518" s="2" t="s">
        <v>1473</v>
      </c>
      <c r="I518" s="2" t="s">
        <v>1426</v>
      </c>
      <c r="J518" s="2" t="s">
        <v>19</v>
      </c>
      <c r="K518" s="2" t="s">
        <v>353</v>
      </c>
      <c r="L518" s="7" t="str">
        <f>HYPERLINK("http://slimages.macys.com/is/image/MCY/12776597 ")</f>
        <v xml:space="preserve">http://slimages.macys.com/is/image/MCY/12776597 </v>
      </c>
    </row>
    <row r="519" spans="1:12" ht="24.75" x14ac:dyDescent="0.25">
      <c r="A519" s="4" t="s">
        <v>2945</v>
      </c>
      <c r="B519" s="2" t="s">
        <v>1747</v>
      </c>
      <c r="C519" s="3">
        <v>2</v>
      </c>
      <c r="D519" s="5">
        <v>17.989999999999998</v>
      </c>
      <c r="E519" s="3" t="s">
        <v>1748</v>
      </c>
      <c r="F519" s="2" t="s">
        <v>70</v>
      </c>
      <c r="G519" s="6" t="s">
        <v>22</v>
      </c>
      <c r="H519" s="2" t="s">
        <v>1473</v>
      </c>
      <c r="I519" s="2" t="s">
        <v>1426</v>
      </c>
      <c r="J519" s="2" t="s">
        <v>19</v>
      </c>
      <c r="K519" s="2" t="s">
        <v>353</v>
      </c>
      <c r="L519" s="7" t="str">
        <f>HYPERLINK("http://slimages.macys.com/is/image/MCY/12776597 ")</f>
        <v xml:space="preserve">http://slimages.macys.com/is/image/MCY/12776597 </v>
      </c>
    </row>
    <row r="520" spans="1:12" ht="24.75" x14ac:dyDescent="0.25">
      <c r="A520" s="4" t="s">
        <v>2944</v>
      </c>
      <c r="B520" s="2" t="s">
        <v>1747</v>
      </c>
      <c r="C520" s="3">
        <v>2</v>
      </c>
      <c r="D520" s="5">
        <v>17.989999999999998</v>
      </c>
      <c r="E520" s="3" t="s">
        <v>1748</v>
      </c>
      <c r="F520" s="2" t="s">
        <v>70</v>
      </c>
      <c r="G520" s="6" t="s">
        <v>16</v>
      </c>
      <c r="H520" s="2" t="s">
        <v>1473</v>
      </c>
      <c r="I520" s="2" t="s">
        <v>1426</v>
      </c>
      <c r="J520" s="2" t="s">
        <v>19</v>
      </c>
      <c r="K520" s="2" t="s">
        <v>353</v>
      </c>
      <c r="L520" s="7" t="str">
        <f>HYPERLINK("http://slimages.macys.com/is/image/MCY/12776597 ")</f>
        <v xml:space="preserve">http://slimages.macys.com/is/image/MCY/12776597 </v>
      </c>
    </row>
    <row r="521" spans="1:12" ht="24.75" x14ac:dyDescent="0.25">
      <c r="A521" s="4" t="s">
        <v>1746</v>
      </c>
      <c r="B521" s="2" t="s">
        <v>1747</v>
      </c>
      <c r="C521" s="3">
        <v>1</v>
      </c>
      <c r="D521" s="5">
        <v>17.989999999999998</v>
      </c>
      <c r="E521" s="3" t="s">
        <v>1748</v>
      </c>
      <c r="F521" s="2" t="s">
        <v>74</v>
      </c>
      <c r="G521" s="6" t="s">
        <v>112</v>
      </c>
      <c r="H521" s="2" t="s">
        <v>1473</v>
      </c>
      <c r="I521" s="2" t="s">
        <v>1426</v>
      </c>
      <c r="J521" s="2" t="s">
        <v>19</v>
      </c>
      <c r="K521" s="2" t="s">
        <v>353</v>
      </c>
      <c r="L521" s="7" t="str">
        <f>HYPERLINK("http://slimages.macys.com/is/image/MCY/12776597 ")</f>
        <v xml:space="preserve">http://slimages.macys.com/is/image/MCY/12776597 </v>
      </c>
    </row>
    <row r="522" spans="1:12" ht="24.75" x14ac:dyDescent="0.25">
      <c r="A522" s="4" t="s">
        <v>5110</v>
      </c>
      <c r="B522" s="2" t="s">
        <v>1747</v>
      </c>
      <c r="C522" s="3">
        <v>1</v>
      </c>
      <c r="D522" s="5">
        <v>17.989999999999998</v>
      </c>
      <c r="E522" s="3" t="s">
        <v>1748</v>
      </c>
      <c r="F522" s="2" t="s">
        <v>15</v>
      </c>
      <c r="G522" s="6" t="s">
        <v>22</v>
      </c>
      <c r="H522" s="2" t="s">
        <v>1473</v>
      </c>
      <c r="I522" s="2" t="s">
        <v>1426</v>
      </c>
      <c r="J522" s="2" t="s">
        <v>19</v>
      </c>
      <c r="K522" s="2" t="s">
        <v>353</v>
      </c>
      <c r="L522" s="7" t="str">
        <f>HYPERLINK("http://slimages.macys.com/is/image/MCY/12776597 ")</f>
        <v xml:space="preserve">http://slimages.macys.com/is/image/MCY/12776597 </v>
      </c>
    </row>
    <row r="523" spans="1:12" ht="24.75" x14ac:dyDescent="0.25">
      <c r="A523" s="4" t="s">
        <v>2972</v>
      </c>
      <c r="B523" s="2" t="s">
        <v>1761</v>
      </c>
      <c r="C523" s="3">
        <v>1</v>
      </c>
      <c r="D523" s="5">
        <v>22.13</v>
      </c>
      <c r="E523" s="3" t="s">
        <v>1762</v>
      </c>
      <c r="F523" s="2" t="s">
        <v>15</v>
      </c>
      <c r="G523" s="6" t="s">
        <v>234</v>
      </c>
      <c r="H523" s="2" t="s">
        <v>194</v>
      </c>
      <c r="I523" s="2" t="s">
        <v>580</v>
      </c>
      <c r="J523" s="2" t="s">
        <v>19</v>
      </c>
      <c r="K523" s="2" t="s">
        <v>1082</v>
      </c>
      <c r="L523" s="7" t="str">
        <f>HYPERLINK("http://slimages.macys.com/is/image/MCY/12794096 ")</f>
        <v xml:space="preserve">http://slimages.macys.com/is/image/MCY/12794096 </v>
      </c>
    </row>
    <row r="524" spans="1:12" ht="24.75" x14ac:dyDescent="0.25">
      <c r="A524" s="4" t="s">
        <v>6045</v>
      </c>
      <c r="B524" s="2" t="s">
        <v>6046</v>
      </c>
      <c r="C524" s="3">
        <v>1</v>
      </c>
      <c r="D524" s="5">
        <v>22.13</v>
      </c>
      <c r="E524" s="3" t="s">
        <v>6047</v>
      </c>
      <c r="F524" s="2" t="s">
        <v>998</v>
      </c>
      <c r="G524" s="6" t="s">
        <v>181</v>
      </c>
      <c r="H524" s="2" t="s">
        <v>194</v>
      </c>
      <c r="I524" s="2" t="s">
        <v>580</v>
      </c>
      <c r="J524" s="2" t="s">
        <v>19</v>
      </c>
      <c r="K524" s="2" t="s">
        <v>1082</v>
      </c>
      <c r="L524" s="7" t="str">
        <f>HYPERLINK("http://slimages.macys.com/is/image/MCY/11937961 ")</f>
        <v xml:space="preserve">http://slimages.macys.com/is/image/MCY/11937961 </v>
      </c>
    </row>
    <row r="525" spans="1:12" ht="24.75" x14ac:dyDescent="0.25">
      <c r="A525" s="4" t="s">
        <v>9168</v>
      </c>
      <c r="B525" s="2" t="s">
        <v>1776</v>
      </c>
      <c r="C525" s="3">
        <v>1</v>
      </c>
      <c r="D525" s="5">
        <v>22.13</v>
      </c>
      <c r="E525" s="3" t="s">
        <v>1779</v>
      </c>
      <c r="F525" s="2" t="s">
        <v>79</v>
      </c>
      <c r="G525" s="6" t="s">
        <v>245</v>
      </c>
      <c r="H525" s="2" t="s">
        <v>194</v>
      </c>
      <c r="I525" s="2" t="s">
        <v>1766</v>
      </c>
      <c r="J525" s="2" t="s">
        <v>19</v>
      </c>
      <c r="K525" s="2" t="s">
        <v>1758</v>
      </c>
      <c r="L525" s="7" t="str">
        <f>HYPERLINK("http://slimages.macys.com/is/image/MCY/12035171 ")</f>
        <v xml:space="preserve">http://slimages.macys.com/is/image/MCY/12035171 </v>
      </c>
    </row>
    <row r="526" spans="1:12" ht="24.75" x14ac:dyDescent="0.25">
      <c r="A526" s="4" t="s">
        <v>2973</v>
      </c>
      <c r="B526" s="2" t="s">
        <v>2974</v>
      </c>
      <c r="C526" s="3">
        <v>1</v>
      </c>
      <c r="D526" s="5">
        <v>22.13</v>
      </c>
      <c r="E526" s="3" t="s">
        <v>2975</v>
      </c>
      <c r="F526" s="2" t="s">
        <v>331</v>
      </c>
      <c r="G526" s="6" t="s">
        <v>154</v>
      </c>
      <c r="H526" s="2" t="s">
        <v>194</v>
      </c>
      <c r="I526" s="2" t="s">
        <v>580</v>
      </c>
      <c r="J526" s="2" t="s">
        <v>19</v>
      </c>
      <c r="K526" s="2" t="s">
        <v>1758</v>
      </c>
      <c r="L526" s="7" t="str">
        <f>HYPERLINK("http://slimages.macys.com/is/image/MCY/11937954 ")</f>
        <v xml:space="preserve">http://slimages.macys.com/is/image/MCY/11937954 </v>
      </c>
    </row>
    <row r="527" spans="1:12" ht="24.75" x14ac:dyDescent="0.25">
      <c r="A527" s="4" t="s">
        <v>9169</v>
      </c>
      <c r="B527" s="2" t="s">
        <v>1808</v>
      </c>
      <c r="C527" s="3">
        <v>2</v>
      </c>
      <c r="D527" s="5">
        <v>22.13</v>
      </c>
      <c r="E527" s="3" t="s">
        <v>2970</v>
      </c>
      <c r="F527" s="2" t="s">
        <v>1322</v>
      </c>
      <c r="G527" s="6" t="s">
        <v>181</v>
      </c>
      <c r="H527" s="2" t="s">
        <v>194</v>
      </c>
      <c r="I527" s="2" t="s">
        <v>580</v>
      </c>
      <c r="J527" s="2" t="s">
        <v>19</v>
      </c>
      <c r="K527" s="2" t="s">
        <v>1082</v>
      </c>
      <c r="L527" s="7" t="str">
        <f>HYPERLINK("http://slimages.macys.com/is/image/MCY/12794107 ")</f>
        <v xml:space="preserve">http://slimages.macys.com/is/image/MCY/12794107 </v>
      </c>
    </row>
    <row r="528" spans="1:12" ht="24.75" x14ac:dyDescent="0.25">
      <c r="A528" s="4" t="s">
        <v>9170</v>
      </c>
      <c r="B528" s="2" t="s">
        <v>4073</v>
      </c>
      <c r="C528" s="3">
        <v>1</v>
      </c>
      <c r="D528" s="5">
        <v>22.13</v>
      </c>
      <c r="E528" s="3" t="s">
        <v>4074</v>
      </c>
      <c r="F528" s="2" t="s">
        <v>111</v>
      </c>
      <c r="G528" s="6" t="s">
        <v>154</v>
      </c>
      <c r="H528" s="2" t="s">
        <v>194</v>
      </c>
      <c r="I528" s="2" t="s">
        <v>580</v>
      </c>
      <c r="J528" s="2" t="s">
        <v>19</v>
      </c>
      <c r="K528" s="2" t="s">
        <v>1082</v>
      </c>
      <c r="L528" s="7" t="str">
        <f>HYPERLINK("http://slimages.macys.com/is/image/MCY/12035164 ")</f>
        <v xml:space="preserve">http://slimages.macys.com/is/image/MCY/12035164 </v>
      </c>
    </row>
    <row r="529" spans="1:12" ht="24.75" x14ac:dyDescent="0.25">
      <c r="A529" s="4" t="s">
        <v>9171</v>
      </c>
      <c r="B529" s="2" t="s">
        <v>9172</v>
      </c>
      <c r="C529" s="3">
        <v>2</v>
      </c>
      <c r="D529" s="5">
        <v>21.99</v>
      </c>
      <c r="E529" s="3" t="s">
        <v>9173</v>
      </c>
      <c r="F529" s="2" t="s">
        <v>74</v>
      </c>
      <c r="G529" s="6" t="s">
        <v>181</v>
      </c>
      <c r="H529" s="2" t="s">
        <v>284</v>
      </c>
      <c r="I529" s="2" t="s">
        <v>285</v>
      </c>
      <c r="J529" s="2" t="s">
        <v>19</v>
      </c>
      <c r="K529" s="2" t="s">
        <v>247</v>
      </c>
      <c r="L529" s="7" t="str">
        <f>HYPERLINK("http://slimages.macys.com/is/image/MCY/12807807 ")</f>
        <v xml:space="preserve">http://slimages.macys.com/is/image/MCY/12807807 </v>
      </c>
    </row>
    <row r="530" spans="1:12" ht="24.75" x14ac:dyDescent="0.25">
      <c r="A530" s="4" t="s">
        <v>2976</v>
      </c>
      <c r="B530" s="2" t="s">
        <v>2967</v>
      </c>
      <c r="C530" s="3">
        <v>3</v>
      </c>
      <c r="D530" s="5">
        <v>22.13</v>
      </c>
      <c r="E530" s="3" t="s">
        <v>2968</v>
      </c>
      <c r="F530" s="2" t="s">
        <v>48</v>
      </c>
      <c r="G530" s="6" t="s">
        <v>156</v>
      </c>
      <c r="H530" s="2" t="s">
        <v>194</v>
      </c>
      <c r="I530" s="2" t="s">
        <v>580</v>
      </c>
      <c r="J530" s="2" t="s">
        <v>19</v>
      </c>
      <c r="K530" s="2" t="s">
        <v>1758</v>
      </c>
      <c r="L530" s="7" t="str">
        <f>HYPERLINK("http://slimages.macys.com/is/image/MCY/11937981 ")</f>
        <v xml:space="preserve">http://slimages.macys.com/is/image/MCY/11937981 </v>
      </c>
    </row>
    <row r="531" spans="1:12" ht="24.75" x14ac:dyDescent="0.25">
      <c r="A531" s="4" t="s">
        <v>9174</v>
      </c>
      <c r="B531" s="2" t="s">
        <v>6043</v>
      </c>
      <c r="C531" s="3">
        <v>1</v>
      </c>
      <c r="D531" s="5">
        <v>22.13</v>
      </c>
      <c r="E531" s="3" t="s">
        <v>6044</v>
      </c>
      <c r="F531" s="2" t="s">
        <v>74</v>
      </c>
      <c r="G531" s="6" t="s">
        <v>234</v>
      </c>
      <c r="H531" s="2" t="s">
        <v>194</v>
      </c>
      <c r="I531" s="2" t="s">
        <v>580</v>
      </c>
      <c r="J531" s="2" t="s">
        <v>19</v>
      </c>
      <c r="K531" s="2" t="s">
        <v>1758</v>
      </c>
      <c r="L531" s="7" t="str">
        <f>HYPERLINK("http://slimages.macys.com/is/image/MCY/11937972 ")</f>
        <v xml:space="preserve">http://slimages.macys.com/is/image/MCY/11937972 </v>
      </c>
    </row>
    <row r="532" spans="1:12" ht="24.75" x14ac:dyDescent="0.25">
      <c r="A532" s="4" t="s">
        <v>9175</v>
      </c>
      <c r="B532" s="2" t="s">
        <v>1808</v>
      </c>
      <c r="C532" s="3">
        <v>1</v>
      </c>
      <c r="D532" s="5">
        <v>22.13</v>
      </c>
      <c r="E532" s="3" t="s">
        <v>2970</v>
      </c>
      <c r="F532" s="2" t="s">
        <v>1322</v>
      </c>
      <c r="G532" s="6" t="s">
        <v>156</v>
      </c>
      <c r="H532" s="2" t="s">
        <v>194</v>
      </c>
      <c r="I532" s="2" t="s">
        <v>580</v>
      </c>
      <c r="J532" s="2" t="s">
        <v>19</v>
      </c>
      <c r="K532" s="2" t="s">
        <v>1082</v>
      </c>
      <c r="L532" s="7" t="str">
        <f>HYPERLINK("http://slimages.macys.com/is/image/MCY/12794107 ")</f>
        <v xml:space="preserve">http://slimages.macys.com/is/image/MCY/12794107 </v>
      </c>
    </row>
    <row r="533" spans="1:12" ht="24.75" x14ac:dyDescent="0.25">
      <c r="A533" s="4" t="s">
        <v>4081</v>
      </c>
      <c r="B533" s="2" t="s">
        <v>1761</v>
      </c>
      <c r="C533" s="3">
        <v>1</v>
      </c>
      <c r="D533" s="5">
        <v>22.13</v>
      </c>
      <c r="E533" s="3" t="s">
        <v>1768</v>
      </c>
      <c r="F533" s="2" t="s">
        <v>64</v>
      </c>
      <c r="G533" s="6" t="s">
        <v>156</v>
      </c>
      <c r="H533" s="2" t="s">
        <v>194</v>
      </c>
      <c r="I533" s="2" t="s">
        <v>580</v>
      </c>
      <c r="J533" s="2" t="s">
        <v>19</v>
      </c>
      <c r="K533" s="2" t="s">
        <v>1758</v>
      </c>
      <c r="L533" s="7" t="str">
        <f>HYPERLINK("http://slimages.macys.com/is/image/MCY/12799771 ")</f>
        <v xml:space="preserve">http://slimages.macys.com/is/image/MCY/12799771 </v>
      </c>
    </row>
    <row r="534" spans="1:12" ht="24.75" x14ac:dyDescent="0.25">
      <c r="A534" s="4" t="s">
        <v>9176</v>
      </c>
      <c r="B534" s="2" t="s">
        <v>6046</v>
      </c>
      <c r="C534" s="3">
        <v>1</v>
      </c>
      <c r="D534" s="5">
        <v>22.13</v>
      </c>
      <c r="E534" s="3" t="s">
        <v>6047</v>
      </c>
      <c r="F534" s="2" t="s">
        <v>998</v>
      </c>
      <c r="G534" s="6" t="s">
        <v>156</v>
      </c>
      <c r="H534" s="2" t="s">
        <v>194</v>
      </c>
      <c r="I534" s="2" t="s">
        <v>580</v>
      </c>
      <c r="J534" s="2" t="s">
        <v>19</v>
      </c>
      <c r="K534" s="2" t="s">
        <v>1082</v>
      </c>
      <c r="L534" s="7" t="str">
        <f>HYPERLINK("http://slimages.macys.com/is/image/MCY/11937961 ")</f>
        <v xml:space="preserve">http://slimages.macys.com/is/image/MCY/11937961 </v>
      </c>
    </row>
    <row r="535" spans="1:12" ht="24.75" x14ac:dyDescent="0.25">
      <c r="A535" s="4" t="s">
        <v>9177</v>
      </c>
      <c r="B535" s="2" t="s">
        <v>2961</v>
      </c>
      <c r="C535" s="3">
        <v>1</v>
      </c>
      <c r="D535" s="5">
        <v>22.13</v>
      </c>
      <c r="E535" s="3" t="s">
        <v>2962</v>
      </c>
      <c r="F535" s="2" t="s">
        <v>15</v>
      </c>
      <c r="G535" s="6" t="s">
        <v>154</v>
      </c>
      <c r="H535" s="2" t="s">
        <v>194</v>
      </c>
      <c r="I535" s="2" t="s">
        <v>580</v>
      </c>
      <c r="J535" s="2" t="s">
        <v>19</v>
      </c>
      <c r="K535" s="2" t="s">
        <v>1758</v>
      </c>
      <c r="L535" s="7" t="str">
        <f>HYPERLINK("http://slimages.macys.com/is/image/MCY/11937985 ")</f>
        <v xml:space="preserve">http://slimages.macys.com/is/image/MCY/11937985 </v>
      </c>
    </row>
    <row r="536" spans="1:12" ht="24.75" x14ac:dyDescent="0.25">
      <c r="A536" s="4" t="s">
        <v>7604</v>
      </c>
      <c r="B536" s="2" t="s">
        <v>1761</v>
      </c>
      <c r="C536" s="3">
        <v>1</v>
      </c>
      <c r="D536" s="5">
        <v>22.13</v>
      </c>
      <c r="E536" s="3" t="s">
        <v>1768</v>
      </c>
      <c r="F536" s="2" t="s">
        <v>64</v>
      </c>
      <c r="G536" s="6" t="s">
        <v>181</v>
      </c>
      <c r="H536" s="2" t="s">
        <v>194</v>
      </c>
      <c r="I536" s="2" t="s">
        <v>580</v>
      </c>
      <c r="J536" s="2" t="s">
        <v>19</v>
      </c>
      <c r="K536" s="2" t="s">
        <v>1758</v>
      </c>
      <c r="L536" s="7" t="str">
        <f>HYPERLINK("http://slimages.macys.com/is/image/MCY/12799771 ")</f>
        <v xml:space="preserve">http://slimages.macys.com/is/image/MCY/12799771 </v>
      </c>
    </row>
    <row r="537" spans="1:12" ht="24.75" x14ac:dyDescent="0.25">
      <c r="A537" s="4" t="s">
        <v>9178</v>
      </c>
      <c r="B537" s="2" t="s">
        <v>2974</v>
      </c>
      <c r="C537" s="3">
        <v>1</v>
      </c>
      <c r="D537" s="5">
        <v>22.13</v>
      </c>
      <c r="E537" s="3" t="s">
        <v>2975</v>
      </c>
      <c r="F537" s="2" t="s">
        <v>331</v>
      </c>
      <c r="G537" s="6" t="s">
        <v>181</v>
      </c>
      <c r="H537" s="2" t="s">
        <v>194</v>
      </c>
      <c r="I537" s="2" t="s">
        <v>580</v>
      </c>
      <c r="J537" s="2" t="s">
        <v>19</v>
      </c>
      <c r="K537" s="2" t="s">
        <v>1758</v>
      </c>
      <c r="L537" s="7" t="str">
        <f>HYPERLINK("http://slimages.macys.com/is/image/MCY/11937954 ")</f>
        <v xml:space="preserve">http://slimages.macys.com/is/image/MCY/11937954 </v>
      </c>
    </row>
    <row r="538" spans="1:12" ht="24.75" x14ac:dyDescent="0.25">
      <c r="A538" s="4" t="s">
        <v>9179</v>
      </c>
      <c r="B538" s="2" t="s">
        <v>6077</v>
      </c>
      <c r="C538" s="3">
        <v>1</v>
      </c>
      <c r="D538" s="5">
        <v>19.989999999999998</v>
      </c>
      <c r="E538" s="3" t="s">
        <v>6078</v>
      </c>
      <c r="F538" s="2" t="s">
        <v>3267</v>
      </c>
      <c r="G538" s="6" t="s">
        <v>181</v>
      </c>
      <c r="H538" s="2" t="s">
        <v>1473</v>
      </c>
      <c r="I538" s="2" t="s">
        <v>1426</v>
      </c>
      <c r="J538" s="2" t="s">
        <v>19</v>
      </c>
      <c r="K538" s="2" t="s">
        <v>990</v>
      </c>
      <c r="L538" s="7" t="str">
        <f>HYPERLINK("http://slimages.macys.com/is/image/MCY/11831356 ")</f>
        <v xml:space="preserve">http://slimages.macys.com/is/image/MCY/11831356 </v>
      </c>
    </row>
    <row r="539" spans="1:12" ht="24.75" x14ac:dyDescent="0.25">
      <c r="A539" s="4" t="s">
        <v>8308</v>
      </c>
      <c r="B539" s="2" t="s">
        <v>1724</v>
      </c>
      <c r="C539" s="3">
        <v>1</v>
      </c>
      <c r="D539" s="5">
        <v>34.880000000000003</v>
      </c>
      <c r="E539" s="3">
        <v>100018041</v>
      </c>
      <c r="F539" s="2" t="s">
        <v>74</v>
      </c>
      <c r="G539" s="6" t="s">
        <v>27</v>
      </c>
      <c r="H539" s="2" t="s">
        <v>194</v>
      </c>
      <c r="I539" s="2" t="s">
        <v>195</v>
      </c>
      <c r="J539" s="2" t="s">
        <v>19</v>
      </c>
      <c r="K539" s="2" t="s">
        <v>353</v>
      </c>
      <c r="L539" s="7" t="str">
        <f t="shared" ref="L539:L544" si="5">HYPERLINK("http://slimages.macys.com/is/image/MCY/12950342 ")</f>
        <v xml:space="preserve">http://slimages.macys.com/is/image/MCY/12950342 </v>
      </c>
    </row>
    <row r="540" spans="1:12" ht="24.75" x14ac:dyDescent="0.25">
      <c r="A540" s="4" t="s">
        <v>9180</v>
      </c>
      <c r="B540" s="2" t="s">
        <v>1724</v>
      </c>
      <c r="C540" s="3">
        <v>1</v>
      </c>
      <c r="D540" s="5">
        <v>34.880000000000003</v>
      </c>
      <c r="E540" s="3">
        <v>100018041</v>
      </c>
      <c r="F540" s="2" t="s">
        <v>74</v>
      </c>
      <c r="G540" s="6" t="s">
        <v>112</v>
      </c>
      <c r="H540" s="2" t="s">
        <v>194</v>
      </c>
      <c r="I540" s="2" t="s">
        <v>195</v>
      </c>
      <c r="J540" s="2" t="s">
        <v>19</v>
      </c>
      <c r="K540" s="2" t="s">
        <v>353</v>
      </c>
      <c r="L540" s="7" t="str">
        <f t="shared" si="5"/>
        <v xml:space="preserve">http://slimages.macys.com/is/image/MCY/12950342 </v>
      </c>
    </row>
    <row r="541" spans="1:12" ht="24.75" x14ac:dyDescent="0.25">
      <c r="A541" s="4" t="s">
        <v>9181</v>
      </c>
      <c r="B541" s="2" t="s">
        <v>1724</v>
      </c>
      <c r="C541" s="3">
        <v>1</v>
      </c>
      <c r="D541" s="5">
        <v>34.880000000000003</v>
      </c>
      <c r="E541" s="3">
        <v>100018041</v>
      </c>
      <c r="F541" s="2" t="s">
        <v>26</v>
      </c>
      <c r="G541" s="6" t="s">
        <v>58</v>
      </c>
      <c r="H541" s="2" t="s">
        <v>194</v>
      </c>
      <c r="I541" s="2" t="s">
        <v>195</v>
      </c>
      <c r="J541" s="2" t="s">
        <v>19</v>
      </c>
      <c r="K541" s="2" t="s">
        <v>353</v>
      </c>
      <c r="L541" s="7" t="str">
        <f t="shared" si="5"/>
        <v xml:space="preserve">http://slimages.macys.com/is/image/MCY/12950342 </v>
      </c>
    </row>
    <row r="542" spans="1:12" ht="24.75" x14ac:dyDescent="0.25">
      <c r="A542" s="4" t="s">
        <v>2980</v>
      </c>
      <c r="B542" s="2" t="s">
        <v>1724</v>
      </c>
      <c r="C542" s="3">
        <v>1</v>
      </c>
      <c r="D542" s="5">
        <v>34.880000000000003</v>
      </c>
      <c r="E542" s="3">
        <v>100018041</v>
      </c>
      <c r="F542" s="2" t="s">
        <v>74</v>
      </c>
      <c r="G542" s="6" t="s">
        <v>22</v>
      </c>
      <c r="H542" s="2" t="s">
        <v>194</v>
      </c>
      <c r="I542" s="2" t="s">
        <v>195</v>
      </c>
      <c r="J542" s="2" t="s">
        <v>19</v>
      </c>
      <c r="K542" s="2" t="s">
        <v>353</v>
      </c>
      <c r="L542" s="7" t="str">
        <f t="shared" si="5"/>
        <v xml:space="preserve">http://slimages.macys.com/is/image/MCY/12950342 </v>
      </c>
    </row>
    <row r="543" spans="1:12" ht="24.75" x14ac:dyDescent="0.25">
      <c r="A543" s="4" t="s">
        <v>1781</v>
      </c>
      <c r="B543" s="2" t="s">
        <v>1724</v>
      </c>
      <c r="C543" s="3">
        <v>1</v>
      </c>
      <c r="D543" s="5">
        <v>34.880000000000003</v>
      </c>
      <c r="E543" s="3">
        <v>100018041</v>
      </c>
      <c r="F543" s="2" t="s">
        <v>74</v>
      </c>
      <c r="G543" s="6" t="s">
        <v>106</v>
      </c>
      <c r="H543" s="2" t="s">
        <v>194</v>
      </c>
      <c r="I543" s="2" t="s">
        <v>195</v>
      </c>
      <c r="J543" s="2" t="s">
        <v>19</v>
      </c>
      <c r="K543" s="2" t="s">
        <v>353</v>
      </c>
      <c r="L543" s="7" t="str">
        <f t="shared" si="5"/>
        <v xml:space="preserve">http://slimages.macys.com/is/image/MCY/12950342 </v>
      </c>
    </row>
    <row r="544" spans="1:12" ht="24.75" x14ac:dyDescent="0.25">
      <c r="A544" s="4" t="s">
        <v>2977</v>
      </c>
      <c r="B544" s="2" t="s">
        <v>1724</v>
      </c>
      <c r="C544" s="3">
        <v>1</v>
      </c>
      <c r="D544" s="5">
        <v>34.880000000000003</v>
      </c>
      <c r="E544" s="3">
        <v>100018041</v>
      </c>
      <c r="F544" s="2" t="s">
        <v>26</v>
      </c>
      <c r="G544" s="6" t="s">
        <v>16</v>
      </c>
      <c r="H544" s="2" t="s">
        <v>194</v>
      </c>
      <c r="I544" s="2" t="s">
        <v>195</v>
      </c>
      <c r="J544" s="2" t="s">
        <v>19</v>
      </c>
      <c r="K544" s="2" t="s">
        <v>353</v>
      </c>
      <c r="L544" s="7" t="str">
        <f t="shared" si="5"/>
        <v xml:space="preserve">http://slimages.macys.com/is/image/MCY/12950342 </v>
      </c>
    </row>
    <row r="545" spans="1:12" ht="24.75" x14ac:dyDescent="0.25">
      <c r="A545" s="4" t="s">
        <v>8786</v>
      </c>
      <c r="B545" s="2" t="s">
        <v>2988</v>
      </c>
      <c r="C545" s="3">
        <v>1</v>
      </c>
      <c r="D545" s="5">
        <v>20.99</v>
      </c>
      <c r="E545" s="3" t="s">
        <v>2989</v>
      </c>
      <c r="F545" s="2" t="s">
        <v>64</v>
      </c>
      <c r="G545" s="6" t="s">
        <v>234</v>
      </c>
      <c r="H545" s="2" t="s">
        <v>1473</v>
      </c>
      <c r="I545" s="2" t="s">
        <v>1864</v>
      </c>
      <c r="J545" s="2" t="s">
        <v>19</v>
      </c>
      <c r="K545" s="2" t="s">
        <v>990</v>
      </c>
      <c r="L545" s="7" t="str">
        <f>HYPERLINK("http://slimages.macys.com/is/image/MCY/10787778 ")</f>
        <v xml:space="preserve">http://slimages.macys.com/is/image/MCY/10787778 </v>
      </c>
    </row>
    <row r="546" spans="1:12" ht="24.75" x14ac:dyDescent="0.25">
      <c r="A546" s="4" t="s">
        <v>2990</v>
      </c>
      <c r="B546" s="2" t="s">
        <v>2988</v>
      </c>
      <c r="C546" s="3">
        <v>2</v>
      </c>
      <c r="D546" s="5">
        <v>20.99</v>
      </c>
      <c r="E546" s="3" t="s">
        <v>2989</v>
      </c>
      <c r="F546" s="2" t="s">
        <v>64</v>
      </c>
      <c r="G546" s="6" t="s">
        <v>154</v>
      </c>
      <c r="H546" s="2" t="s">
        <v>1473</v>
      </c>
      <c r="I546" s="2" t="s">
        <v>1864</v>
      </c>
      <c r="J546" s="2" t="s">
        <v>19</v>
      </c>
      <c r="K546" s="2" t="s">
        <v>990</v>
      </c>
      <c r="L546" s="7" t="str">
        <f>HYPERLINK("http://slimages.macys.com/is/image/MCY/10787778 ")</f>
        <v xml:space="preserve">http://slimages.macys.com/is/image/MCY/10787778 </v>
      </c>
    </row>
    <row r="547" spans="1:12" ht="24.75" x14ac:dyDescent="0.25">
      <c r="A547" s="4" t="s">
        <v>5129</v>
      </c>
      <c r="B547" s="2" t="s">
        <v>1801</v>
      </c>
      <c r="C547" s="3">
        <v>1</v>
      </c>
      <c r="D547" s="5">
        <v>21.5</v>
      </c>
      <c r="E547" s="3" t="s">
        <v>1802</v>
      </c>
      <c r="F547" s="2" t="s">
        <v>566</v>
      </c>
      <c r="G547" s="6"/>
      <c r="H547" s="2" t="s">
        <v>312</v>
      </c>
      <c r="I547" s="2" t="s">
        <v>580</v>
      </c>
      <c r="J547" s="2" t="s">
        <v>19</v>
      </c>
      <c r="K547" s="2" t="s">
        <v>1758</v>
      </c>
      <c r="L547" s="7" t="str">
        <f>HYPERLINK("http://slimages.macys.com/is/image/MCY/11515389 ")</f>
        <v xml:space="preserve">http://slimages.macys.com/is/image/MCY/11515389 </v>
      </c>
    </row>
    <row r="548" spans="1:12" ht="24.75" x14ac:dyDescent="0.25">
      <c r="A548" s="4" t="s">
        <v>9182</v>
      </c>
      <c r="B548" s="2" t="s">
        <v>9183</v>
      </c>
      <c r="C548" s="3">
        <v>1</v>
      </c>
      <c r="D548" s="5">
        <v>22.13</v>
      </c>
      <c r="E548" s="3" t="s">
        <v>9184</v>
      </c>
      <c r="F548" s="2" t="s">
        <v>579</v>
      </c>
      <c r="G548" s="6"/>
      <c r="H548" s="2" t="s">
        <v>312</v>
      </c>
      <c r="I548" s="2" t="s">
        <v>1766</v>
      </c>
      <c r="J548" s="2" t="s">
        <v>19</v>
      </c>
      <c r="K548" s="2" t="s">
        <v>495</v>
      </c>
      <c r="L548" s="7" t="str">
        <f>HYPERLINK("http://slimages.macys.com/is/image/MCY/12279999 ")</f>
        <v xml:space="preserve">http://slimages.macys.com/is/image/MCY/12279999 </v>
      </c>
    </row>
    <row r="549" spans="1:12" ht="24.75" x14ac:dyDescent="0.25">
      <c r="A549" s="4" t="s">
        <v>9185</v>
      </c>
      <c r="B549" s="2" t="s">
        <v>9186</v>
      </c>
      <c r="C549" s="3">
        <v>1</v>
      </c>
      <c r="D549" s="5">
        <v>19.989999999999998</v>
      </c>
      <c r="E549" s="3" t="s">
        <v>9187</v>
      </c>
      <c r="F549" s="2" t="s">
        <v>15</v>
      </c>
      <c r="G549" s="6" t="s">
        <v>234</v>
      </c>
      <c r="H549" s="2" t="s">
        <v>1522</v>
      </c>
      <c r="I549" s="2" t="s">
        <v>1469</v>
      </c>
      <c r="J549" s="2" t="s">
        <v>19</v>
      </c>
      <c r="K549" s="2" t="s">
        <v>495</v>
      </c>
      <c r="L549" s="7" t="str">
        <f>HYPERLINK("http://slimages.macys.com/is/image/MCY/10787665 ")</f>
        <v xml:space="preserve">http://slimages.macys.com/is/image/MCY/10787665 </v>
      </c>
    </row>
    <row r="550" spans="1:12" ht="24.75" x14ac:dyDescent="0.25">
      <c r="A550" s="4" t="s">
        <v>9188</v>
      </c>
      <c r="B550" s="2" t="s">
        <v>9189</v>
      </c>
      <c r="C550" s="3">
        <v>1</v>
      </c>
      <c r="D550" s="5">
        <v>17.989999999999998</v>
      </c>
      <c r="E550" s="3" t="s">
        <v>9190</v>
      </c>
      <c r="F550" s="2" t="s">
        <v>15</v>
      </c>
      <c r="G550" s="6" t="s">
        <v>219</v>
      </c>
      <c r="H550" s="2" t="s">
        <v>1425</v>
      </c>
      <c r="I550" s="2" t="s">
        <v>1426</v>
      </c>
      <c r="J550" s="2" t="s">
        <v>19</v>
      </c>
      <c r="K550" s="2" t="s">
        <v>107</v>
      </c>
      <c r="L550" s="7" t="str">
        <f>HYPERLINK("http://slimages.macys.com/is/image/MCY/11995580 ")</f>
        <v xml:space="preserve">http://slimages.macys.com/is/image/MCY/11995580 </v>
      </c>
    </row>
    <row r="551" spans="1:12" ht="24.75" x14ac:dyDescent="0.25">
      <c r="A551" s="4" t="s">
        <v>9191</v>
      </c>
      <c r="B551" s="2" t="s">
        <v>1820</v>
      </c>
      <c r="C551" s="3">
        <v>1</v>
      </c>
      <c r="D551" s="5">
        <v>17.989999999999998</v>
      </c>
      <c r="E551" s="3" t="s">
        <v>1821</v>
      </c>
      <c r="F551" s="2" t="s">
        <v>74</v>
      </c>
      <c r="G551" s="6" t="s">
        <v>187</v>
      </c>
      <c r="H551" s="2" t="s">
        <v>1425</v>
      </c>
      <c r="I551" s="2" t="s">
        <v>1426</v>
      </c>
      <c r="J551" s="2" t="s">
        <v>19</v>
      </c>
      <c r="K551" s="2" t="s">
        <v>803</v>
      </c>
      <c r="L551" s="7" t="str">
        <f>HYPERLINK("http://slimages.macys.com/is/image/MCY/12222536 ")</f>
        <v xml:space="preserve">http://slimages.macys.com/is/image/MCY/12222536 </v>
      </c>
    </row>
    <row r="552" spans="1:12" ht="24.75" x14ac:dyDescent="0.25">
      <c r="A552" s="4" t="s">
        <v>2996</v>
      </c>
      <c r="B552" s="2" t="s">
        <v>1817</v>
      </c>
      <c r="C552" s="3">
        <v>1</v>
      </c>
      <c r="D552" s="5">
        <v>17.989999999999998</v>
      </c>
      <c r="E552" s="3" t="s">
        <v>1818</v>
      </c>
      <c r="F552" s="2" t="s">
        <v>998</v>
      </c>
      <c r="G552" s="6" t="s">
        <v>22</v>
      </c>
      <c r="H552" s="2" t="s">
        <v>1473</v>
      </c>
      <c r="I552" s="2" t="s">
        <v>1426</v>
      </c>
      <c r="J552" s="2" t="s">
        <v>19</v>
      </c>
      <c r="K552" s="2" t="s">
        <v>353</v>
      </c>
      <c r="L552" s="7" t="str">
        <f>HYPERLINK("http://slimages.macys.com/is/image/MCY/12070597 ")</f>
        <v xml:space="preserve">http://slimages.macys.com/is/image/MCY/12070597 </v>
      </c>
    </row>
    <row r="553" spans="1:12" ht="24.75" x14ac:dyDescent="0.25">
      <c r="A553" s="4" t="s">
        <v>4101</v>
      </c>
      <c r="B553" s="2" t="s">
        <v>1817</v>
      </c>
      <c r="C553" s="3">
        <v>1</v>
      </c>
      <c r="D553" s="5">
        <v>17.989999999999998</v>
      </c>
      <c r="E553" s="3" t="s">
        <v>1818</v>
      </c>
      <c r="F553" s="2" t="s">
        <v>998</v>
      </c>
      <c r="G553" s="6" t="s">
        <v>27</v>
      </c>
      <c r="H553" s="2" t="s">
        <v>1473</v>
      </c>
      <c r="I553" s="2" t="s">
        <v>1426</v>
      </c>
      <c r="J553" s="2" t="s">
        <v>19</v>
      </c>
      <c r="K553" s="2" t="s">
        <v>353</v>
      </c>
      <c r="L553" s="7" t="str">
        <f>HYPERLINK("http://slimages.macys.com/is/image/MCY/12070597 ")</f>
        <v xml:space="preserve">http://slimages.macys.com/is/image/MCY/12070597 </v>
      </c>
    </row>
    <row r="554" spans="1:12" ht="24.75" x14ac:dyDescent="0.25">
      <c r="A554" s="4" t="s">
        <v>9192</v>
      </c>
      <c r="B554" s="2" t="s">
        <v>1817</v>
      </c>
      <c r="C554" s="3">
        <v>1</v>
      </c>
      <c r="D554" s="5">
        <v>17.989999999999998</v>
      </c>
      <c r="E554" s="3" t="s">
        <v>1818</v>
      </c>
      <c r="F554" s="2" t="s">
        <v>15</v>
      </c>
      <c r="G554" s="6" t="s">
        <v>27</v>
      </c>
      <c r="H554" s="2" t="s">
        <v>1473</v>
      </c>
      <c r="I554" s="2" t="s">
        <v>1426</v>
      </c>
      <c r="J554" s="2" t="s">
        <v>19</v>
      </c>
      <c r="K554" s="2" t="s">
        <v>353</v>
      </c>
      <c r="L554" s="7" t="str">
        <f>HYPERLINK("http://slimages.macys.com/is/image/MCY/12070597 ")</f>
        <v xml:space="preserve">http://slimages.macys.com/is/image/MCY/12070597 </v>
      </c>
    </row>
    <row r="555" spans="1:12" ht="24.75" x14ac:dyDescent="0.25">
      <c r="A555" s="4" t="s">
        <v>9193</v>
      </c>
      <c r="B555" s="2" t="s">
        <v>3012</v>
      </c>
      <c r="C555" s="3">
        <v>1</v>
      </c>
      <c r="D555" s="5">
        <v>22.13</v>
      </c>
      <c r="E555" s="3" t="s">
        <v>3013</v>
      </c>
      <c r="F555" s="2" t="s">
        <v>752</v>
      </c>
      <c r="G555" s="6" t="s">
        <v>154</v>
      </c>
      <c r="H555" s="2" t="s">
        <v>194</v>
      </c>
      <c r="I555" s="2" t="s">
        <v>195</v>
      </c>
      <c r="J555" s="2" t="s">
        <v>19</v>
      </c>
      <c r="K555" s="2" t="s">
        <v>1082</v>
      </c>
      <c r="L555" s="7" t="str">
        <f>HYPERLINK("http://slimages.macys.com/is/image/MCY/12724768 ")</f>
        <v xml:space="preserve">http://slimages.macys.com/is/image/MCY/12724768 </v>
      </c>
    </row>
    <row r="556" spans="1:12" ht="36.75" x14ac:dyDescent="0.25">
      <c r="A556" s="4" t="s">
        <v>9194</v>
      </c>
      <c r="B556" s="2" t="s">
        <v>1440</v>
      </c>
      <c r="C556" s="3">
        <v>1</v>
      </c>
      <c r="D556" s="5">
        <v>29.5</v>
      </c>
      <c r="E556" s="3" t="s">
        <v>1441</v>
      </c>
      <c r="F556" s="2" t="s">
        <v>74</v>
      </c>
      <c r="G556" s="6" t="s">
        <v>219</v>
      </c>
      <c r="H556" s="2" t="s">
        <v>206</v>
      </c>
      <c r="I556" s="2" t="s">
        <v>207</v>
      </c>
      <c r="J556" s="2" t="s">
        <v>19</v>
      </c>
      <c r="K556" s="2" t="s">
        <v>1442</v>
      </c>
      <c r="L556" s="7" t="str">
        <f>HYPERLINK("http://slimages.macys.com/is/image/MCY/9641918 ")</f>
        <v xml:space="preserve">http://slimages.macys.com/is/image/MCY/9641918 </v>
      </c>
    </row>
    <row r="557" spans="1:12" ht="24.75" x14ac:dyDescent="0.25">
      <c r="A557" s="4" t="s">
        <v>6101</v>
      </c>
      <c r="B557" s="2" t="s">
        <v>3026</v>
      </c>
      <c r="C557" s="3">
        <v>1</v>
      </c>
      <c r="D557" s="5">
        <v>21.99</v>
      </c>
      <c r="E557" s="3" t="s">
        <v>5156</v>
      </c>
      <c r="F557" s="2" t="s">
        <v>64</v>
      </c>
      <c r="G557" s="6" t="s">
        <v>181</v>
      </c>
      <c r="H557" s="2" t="s">
        <v>284</v>
      </c>
      <c r="I557" s="2" t="s">
        <v>285</v>
      </c>
      <c r="J557" s="2" t="s">
        <v>19</v>
      </c>
      <c r="K557" s="2" t="s">
        <v>247</v>
      </c>
      <c r="L557" s="7" t="str">
        <f>HYPERLINK("http://slimages.macys.com/is/image/MCY/16393197 ")</f>
        <v xml:space="preserve">http://slimages.macys.com/is/image/MCY/16393197 </v>
      </c>
    </row>
    <row r="558" spans="1:12" ht="24.75" x14ac:dyDescent="0.25">
      <c r="A558" s="4" t="s">
        <v>9195</v>
      </c>
      <c r="B558" s="2" t="s">
        <v>3216</v>
      </c>
      <c r="C558" s="3">
        <v>1</v>
      </c>
      <c r="D558" s="5">
        <v>21.99</v>
      </c>
      <c r="E558" s="3" t="s">
        <v>9196</v>
      </c>
      <c r="F558" s="2" t="s">
        <v>136</v>
      </c>
      <c r="G558" s="6" t="s">
        <v>156</v>
      </c>
      <c r="H558" s="2" t="s">
        <v>284</v>
      </c>
      <c r="I558" s="2" t="s">
        <v>285</v>
      </c>
      <c r="J558" s="2" t="s">
        <v>19</v>
      </c>
      <c r="K558" s="2" t="s">
        <v>247</v>
      </c>
      <c r="L558" s="7" t="str">
        <f>HYPERLINK("http://slimages.macys.com/is/image/MCY/15199324 ")</f>
        <v xml:space="preserve">http://slimages.macys.com/is/image/MCY/15199324 </v>
      </c>
    </row>
    <row r="559" spans="1:12" ht="24.75" x14ac:dyDescent="0.25">
      <c r="A559" s="4" t="s">
        <v>5161</v>
      </c>
      <c r="B559" s="2" t="s">
        <v>3026</v>
      </c>
      <c r="C559" s="3">
        <v>1</v>
      </c>
      <c r="D559" s="5">
        <v>21.99</v>
      </c>
      <c r="E559" s="3" t="s">
        <v>5156</v>
      </c>
      <c r="F559" s="2" t="s">
        <v>64</v>
      </c>
      <c r="G559" s="6" t="s">
        <v>234</v>
      </c>
      <c r="H559" s="2" t="s">
        <v>284</v>
      </c>
      <c r="I559" s="2" t="s">
        <v>285</v>
      </c>
      <c r="J559" s="2" t="s">
        <v>19</v>
      </c>
      <c r="K559" s="2" t="s">
        <v>247</v>
      </c>
      <c r="L559" s="7" t="str">
        <f>HYPERLINK("http://slimages.macys.com/is/image/MCY/16393197 ")</f>
        <v xml:space="preserve">http://slimages.macys.com/is/image/MCY/16393197 </v>
      </c>
    </row>
    <row r="560" spans="1:12" ht="24.75" x14ac:dyDescent="0.25">
      <c r="A560" s="4" t="s">
        <v>9197</v>
      </c>
      <c r="B560" s="2" t="s">
        <v>1829</v>
      </c>
      <c r="C560" s="3">
        <v>1</v>
      </c>
      <c r="D560" s="5">
        <v>14.99</v>
      </c>
      <c r="E560" s="3" t="s">
        <v>1840</v>
      </c>
      <c r="F560" s="2" t="s">
        <v>170</v>
      </c>
      <c r="G560" s="6" t="s">
        <v>181</v>
      </c>
      <c r="H560" s="2" t="s">
        <v>194</v>
      </c>
      <c r="I560" s="2" t="s">
        <v>307</v>
      </c>
      <c r="J560" s="2" t="s">
        <v>19</v>
      </c>
      <c r="K560" s="2" t="s">
        <v>1831</v>
      </c>
      <c r="L560" s="7" t="str">
        <f>HYPERLINK("http://slimages.macys.com/is/image/MCY/12794114 ")</f>
        <v xml:space="preserve">http://slimages.macys.com/is/image/MCY/12794114 </v>
      </c>
    </row>
    <row r="561" spans="1:12" ht="24.75" x14ac:dyDescent="0.25">
      <c r="A561" s="4" t="s">
        <v>1841</v>
      </c>
      <c r="B561" s="2" t="s">
        <v>1829</v>
      </c>
      <c r="C561" s="3">
        <v>1</v>
      </c>
      <c r="D561" s="5">
        <v>14.99</v>
      </c>
      <c r="E561" s="3" t="s">
        <v>1840</v>
      </c>
      <c r="F561" s="2" t="s">
        <v>170</v>
      </c>
      <c r="G561" s="6" t="s">
        <v>154</v>
      </c>
      <c r="H561" s="2" t="s">
        <v>194</v>
      </c>
      <c r="I561" s="2" t="s">
        <v>307</v>
      </c>
      <c r="J561" s="2" t="s">
        <v>19</v>
      </c>
      <c r="K561" s="2" t="s">
        <v>1831</v>
      </c>
      <c r="L561" s="7" t="str">
        <f>HYPERLINK("http://slimages.macys.com/is/image/MCY/12794114 ")</f>
        <v xml:space="preserve">http://slimages.macys.com/is/image/MCY/12794114 </v>
      </c>
    </row>
    <row r="562" spans="1:12" ht="24.75" x14ac:dyDescent="0.25">
      <c r="A562" s="4" t="s">
        <v>9198</v>
      </c>
      <c r="B562" s="2" t="s">
        <v>1829</v>
      </c>
      <c r="C562" s="3">
        <v>1</v>
      </c>
      <c r="D562" s="5">
        <v>14.99</v>
      </c>
      <c r="E562" s="3" t="s">
        <v>6821</v>
      </c>
      <c r="F562" s="2" t="s">
        <v>70</v>
      </c>
      <c r="G562" s="6" t="s">
        <v>200</v>
      </c>
      <c r="H562" s="2" t="s">
        <v>194</v>
      </c>
      <c r="I562" s="2" t="s">
        <v>307</v>
      </c>
      <c r="J562" s="2" t="s">
        <v>19</v>
      </c>
      <c r="K562" s="2" t="s">
        <v>34</v>
      </c>
      <c r="L562" s="7" t="str">
        <f>HYPERLINK("http://slimages.macys.com/is/image/MCY/11936079 ")</f>
        <v xml:space="preserve">http://slimages.macys.com/is/image/MCY/11936079 </v>
      </c>
    </row>
    <row r="563" spans="1:12" ht="24.75" x14ac:dyDescent="0.25">
      <c r="A563" s="4" t="s">
        <v>6120</v>
      </c>
      <c r="B563" s="2" t="s">
        <v>1850</v>
      </c>
      <c r="C563" s="3">
        <v>1</v>
      </c>
      <c r="D563" s="5">
        <v>22.13</v>
      </c>
      <c r="E563" s="3" t="s">
        <v>1851</v>
      </c>
      <c r="F563" s="2" t="s">
        <v>1322</v>
      </c>
      <c r="G563" s="6" t="s">
        <v>156</v>
      </c>
      <c r="H563" s="2" t="s">
        <v>194</v>
      </c>
      <c r="I563" s="2" t="s">
        <v>195</v>
      </c>
      <c r="J563" s="2" t="s">
        <v>19</v>
      </c>
      <c r="K563" s="2" t="s">
        <v>1108</v>
      </c>
      <c r="L563" s="7" t="str">
        <f>HYPERLINK("http://slimages.macys.com/is/image/MCY/15709119 ")</f>
        <v xml:space="preserve">http://slimages.macys.com/is/image/MCY/15709119 </v>
      </c>
    </row>
    <row r="564" spans="1:12" ht="24.75" x14ac:dyDescent="0.25">
      <c r="A564" s="4" t="s">
        <v>1849</v>
      </c>
      <c r="B564" s="2" t="s">
        <v>1850</v>
      </c>
      <c r="C564" s="3">
        <v>1</v>
      </c>
      <c r="D564" s="5">
        <v>22.13</v>
      </c>
      <c r="E564" s="3" t="s">
        <v>1851</v>
      </c>
      <c r="F564" s="2" t="s">
        <v>1322</v>
      </c>
      <c r="G564" s="6" t="s">
        <v>154</v>
      </c>
      <c r="H564" s="2" t="s">
        <v>194</v>
      </c>
      <c r="I564" s="2" t="s">
        <v>195</v>
      </c>
      <c r="J564" s="2" t="s">
        <v>19</v>
      </c>
      <c r="K564" s="2" t="s">
        <v>1108</v>
      </c>
      <c r="L564" s="7" t="str">
        <f>HYPERLINK("http://slimages.macys.com/is/image/MCY/15709119 ")</f>
        <v xml:space="preserve">http://slimages.macys.com/is/image/MCY/15709119 </v>
      </c>
    </row>
    <row r="565" spans="1:12" ht="24.75" x14ac:dyDescent="0.25">
      <c r="A565" s="4" t="s">
        <v>9199</v>
      </c>
      <c r="B565" s="2" t="s">
        <v>3039</v>
      </c>
      <c r="C565" s="3">
        <v>1</v>
      </c>
      <c r="D565" s="5">
        <v>17.989999999999998</v>
      </c>
      <c r="E565" s="3" t="s">
        <v>3040</v>
      </c>
      <c r="F565" s="2" t="s">
        <v>3267</v>
      </c>
      <c r="G565" s="6" t="s">
        <v>156</v>
      </c>
      <c r="H565" s="2" t="s">
        <v>1473</v>
      </c>
      <c r="I565" s="2" t="s">
        <v>1426</v>
      </c>
      <c r="J565" s="2" t="s">
        <v>19</v>
      </c>
      <c r="K565" s="2" t="s">
        <v>648</v>
      </c>
      <c r="L565" s="7" t="str">
        <f>HYPERLINK("http://slimages.macys.com/is/image/MCY/11989579 ")</f>
        <v xml:space="preserve">http://slimages.macys.com/is/image/MCY/11989579 </v>
      </c>
    </row>
    <row r="566" spans="1:12" ht="24.75" x14ac:dyDescent="0.25">
      <c r="A566" s="4" t="s">
        <v>6122</v>
      </c>
      <c r="B566" s="2" t="s">
        <v>1856</v>
      </c>
      <c r="C566" s="3">
        <v>1</v>
      </c>
      <c r="D566" s="5">
        <v>17.989999999999998</v>
      </c>
      <c r="E566" s="3" t="s">
        <v>1857</v>
      </c>
      <c r="F566" s="2" t="s">
        <v>38</v>
      </c>
      <c r="G566" s="6"/>
      <c r="H566" s="2" t="s">
        <v>1425</v>
      </c>
      <c r="I566" s="2" t="s">
        <v>1469</v>
      </c>
      <c r="J566" s="2"/>
      <c r="K566" s="2"/>
      <c r="L566" s="7" t="str">
        <f>HYPERLINK("http://slimages.macys.com/is/image/MCY/11522835 ")</f>
        <v xml:space="preserve">http://slimages.macys.com/is/image/MCY/11522835 </v>
      </c>
    </row>
    <row r="567" spans="1:12" ht="24.75" x14ac:dyDescent="0.25">
      <c r="A567" s="4" t="s">
        <v>3042</v>
      </c>
      <c r="B567" s="2" t="s">
        <v>1862</v>
      </c>
      <c r="C567" s="3">
        <v>1</v>
      </c>
      <c r="D567" s="5">
        <v>20.99</v>
      </c>
      <c r="E567" s="3" t="s">
        <v>1868</v>
      </c>
      <c r="F567" s="2" t="s">
        <v>15</v>
      </c>
      <c r="G567" s="6" t="s">
        <v>245</v>
      </c>
      <c r="H567" s="2" t="s">
        <v>1473</v>
      </c>
      <c r="I567" s="2" t="s">
        <v>1864</v>
      </c>
      <c r="J567" s="2" t="s">
        <v>19</v>
      </c>
      <c r="K567" s="2" t="s">
        <v>648</v>
      </c>
      <c r="L567" s="7" t="str">
        <f>HYPERLINK("http://slimages.macys.com/is/image/MCY/12267099 ")</f>
        <v xml:space="preserve">http://slimages.macys.com/is/image/MCY/12267099 </v>
      </c>
    </row>
    <row r="568" spans="1:12" ht="24.75" x14ac:dyDescent="0.25">
      <c r="A568" s="4" t="s">
        <v>3044</v>
      </c>
      <c r="B568" s="2" t="s">
        <v>1862</v>
      </c>
      <c r="C568" s="3">
        <v>2</v>
      </c>
      <c r="D568" s="5">
        <v>20.99</v>
      </c>
      <c r="E568" s="3" t="s">
        <v>1868</v>
      </c>
      <c r="F568" s="2" t="s">
        <v>15</v>
      </c>
      <c r="G568" s="6" t="s">
        <v>234</v>
      </c>
      <c r="H568" s="2" t="s">
        <v>1473</v>
      </c>
      <c r="I568" s="2" t="s">
        <v>1864</v>
      </c>
      <c r="J568" s="2" t="s">
        <v>19</v>
      </c>
      <c r="K568" s="2" t="s">
        <v>648</v>
      </c>
      <c r="L568" s="7" t="str">
        <f>HYPERLINK("http://slimages.macys.com/is/image/MCY/12267099 ")</f>
        <v xml:space="preserve">http://slimages.macys.com/is/image/MCY/12267099 </v>
      </c>
    </row>
    <row r="569" spans="1:12" ht="24.75" x14ac:dyDescent="0.25">
      <c r="A569" s="4" t="s">
        <v>1871</v>
      </c>
      <c r="B569" s="2" t="s">
        <v>1862</v>
      </c>
      <c r="C569" s="3">
        <v>1</v>
      </c>
      <c r="D569" s="5">
        <v>20.99</v>
      </c>
      <c r="E569" s="3" t="s">
        <v>1868</v>
      </c>
      <c r="F569" s="2" t="s">
        <v>70</v>
      </c>
      <c r="G569" s="6" t="s">
        <v>156</v>
      </c>
      <c r="H569" s="2" t="s">
        <v>1473</v>
      </c>
      <c r="I569" s="2" t="s">
        <v>1864</v>
      </c>
      <c r="J569" s="2" t="s">
        <v>19</v>
      </c>
      <c r="K569" s="2" t="s">
        <v>648</v>
      </c>
      <c r="L569" s="7" t="str">
        <f>HYPERLINK("http://slimages.macys.com/is/image/MCY/12267099 ")</f>
        <v xml:space="preserve">http://slimages.macys.com/is/image/MCY/12267099 </v>
      </c>
    </row>
    <row r="570" spans="1:12" ht="24.75" x14ac:dyDescent="0.25">
      <c r="A570" s="4" t="s">
        <v>1869</v>
      </c>
      <c r="B570" s="2" t="s">
        <v>1862</v>
      </c>
      <c r="C570" s="3">
        <v>3</v>
      </c>
      <c r="D570" s="5">
        <v>20.99</v>
      </c>
      <c r="E570" s="3" t="s">
        <v>1868</v>
      </c>
      <c r="F570" s="2" t="s">
        <v>15</v>
      </c>
      <c r="G570" s="6" t="s">
        <v>154</v>
      </c>
      <c r="H570" s="2" t="s">
        <v>1473</v>
      </c>
      <c r="I570" s="2" t="s">
        <v>1864</v>
      </c>
      <c r="J570" s="2" t="s">
        <v>19</v>
      </c>
      <c r="K570" s="2" t="s">
        <v>648</v>
      </c>
      <c r="L570" s="7" t="str">
        <f>HYPERLINK("http://slimages.macys.com/is/image/MCY/12267099 ")</f>
        <v xml:space="preserve">http://slimages.macys.com/is/image/MCY/12267099 </v>
      </c>
    </row>
    <row r="571" spans="1:12" ht="24.75" x14ac:dyDescent="0.25">
      <c r="A571" s="4" t="s">
        <v>5169</v>
      </c>
      <c r="B571" s="2" t="s">
        <v>1862</v>
      </c>
      <c r="C571" s="3">
        <v>1</v>
      </c>
      <c r="D571" s="5">
        <v>20.99</v>
      </c>
      <c r="E571" s="3" t="s">
        <v>1868</v>
      </c>
      <c r="F571" s="2" t="s">
        <v>70</v>
      </c>
      <c r="G571" s="6" t="s">
        <v>234</v>
      </c>
      <c r="H571" s="2" t="s">
        <v>1473</v>
      </c>
      <c r="I571" s="2" t="s">
        <v>1864</v>
      </c>
      <c r="J571" s="2" t="s">
        <v>19</v>
      </c>
      <c r="K571" s="2" t="s">
        <v>648</v>
      </c>
      <c r="L571" s="7" t="str">
        <f>HYPERLINK("http://slimages.macys.com/is/image/MCY/12267099 ")</f>
        <v xml:space="preserve">http://slimages.macys.com/is/image/MCY/12267099 </v>
      </c>
    </row>
    <row r="572" spans="1:12" ht="24.75" x14ac:dyDescent="0.25">
      <c r="A572" s="4" t="s">
        <v>9200</v>
      </c>
      <c r="B572" s="2" t="s">
        <v>7644</v>
      </c>
      <c r="C572" s="3">
        <v>1</v>
      </c>
      <c r="D572" s="5">
        <v>29.63</v>
      </c>
      <c r="E572" s="3" t="s">
        <v>7645</v>
      </c>
      <c r="F572" s="2" t="s">
        <v>15</v>
      </c>
      <c r="G572" s="6" t="s">
        <v>200</v>
      </c>
      <c r="H572" s="2" t="s">
        <v>284</v>
      </c>
      <c r="I572" s="2" t="s">
        <v>285</v>
      </c>
      <c r="J572" s="2" t="s">
        <v>19</v>
      </c>
      <c r="K572" s="2" t="s">
        <v>160</v>
      </c>
      <c r="L572" s="7" t="str">
        <f>HYPERLINK("http://slimages.macys.com/is/image/MCY/12671557 ")</f>
        <v xml:space="preserve">http://slimages.macys.com/is/image/MCY/12671557 </v>
      </c>
    </row>
    <row r="573" spans="1:12" ht="24.75" x14ac:dyDescent="0.25">
      <c r="A573" s="4" t="s">
        <v>9201</v>
      </c>
      <c r="B573" s="2" t="s">
        <v>4146</v>
      </c>
      <c r="C573" s="3">
        <v>1</v>
      </c>
      <c r="D573" s="5">
        <v>17.989999999999998</v>
      </c>
      <c r="E573" s="3" t="s">
        <v>4147</v>
      </c>
      <c r="F573" s="2" t="s">
        <v>413</v>
      </c>
      <c r="G573" s="6" t="s">
        <v>181</v>
      </c>
      <c r="H573" s="2" t="s">
        <v>1473</v>
      </c>
      <c r="I573" s="2" t="s">
        <v>1426</v>
      </c>
      <c r="J573" s="2" t="s">
        <v>19</v>
      </c>
      <c r="K573" s="2" t="s">
        <v>107</v>
      </c>
      <c r="L573" s="7" t="str">
        <f>HYPERLINK("http://slimages.macys.com/is/image/MCY/11191267 ")</f>
        <v xml:space="preserve">http://slimages.macys.com/is/image/MCY/11191267 </v>
      </c>
    </row>
    <row r="574" spans="1:12" ht="24.75" x14ac:dyDescent="0.25">
      <c r="A574" s="4" t="s">
        <v>1904</v>
      </c>
      <c r="B574" s="2" t="s">
        <v>1892</v>
      </c>
      <c r="C574" s="3">
        <v>2</v>
      </c>
      <c r="D574" s="5">
        <v>20.99</v>
      </c>
      <c r="E574" s="3" t="s">
        <v>1893</v>
      </c>
      <c r="F574" s="2" t="s">
        <v>15</v>
      </c>
      <c r="G574" s="6"/>
      <c r="H574" s="2" t="s">
        <v>1425</v>
      </c>
      <c r="I574" s="2" t="s">
        <v>1864</v>
      </c>
      <c r="J574" s="2" t="s">
        <v>19</v>
      </c>
      <c r="K574" s="2" t="s">
        <v>1894</v>
      </c>
      <c r="L574" s="7" t="str">
        <f>HYPERLINK("http://slimages.macys.com/is/image/MCY/11689288 ")</f>
        <v xml:space="preserve">http://slimages.macys.com/is/image/MCY/11689288 </v>
      </c>
    </row>
    <row r="575" spans="1:12" ht="24.75" x14ac:dyDescent="0.25">
      <c r="A575" s="4" t="s">
        <v>1891</v>
      </c>
      <c r="B575" s="2" t="s">
        <v>1892</v>
      </c>
      <c r="C575" s="3">
        <v>1</v>
      </c>
      <c r="D575" s="5">
        <v>20.99</v>
      </c>
      <c r="E575" s="3" t="s">
        <v>1893</v>
      </c>
      <c r="F575" s="2" t="s">
        <v>15</v>
      </c>
      <c r="G575" s="6"/>
      <c r="H575" s="2" t="s">
        <v>1425</v>
      </c>
      <c r="I575" s="2" t="s">
        <v>1864</v>
      </c>
      <c r="J575" s="2" t="s">
        <v>19</v>
      </c>
      <c r="K575" s="2" t="s">
        <v>1894</v>
      </c>
      <c r="L575" s="7" t="str">
        <f>HYPERLINK("http://slimages.macys.com/is/image/MCY/11689288 ")</f>
        <v xml:space="preserve">http://slimages.macys.com/is/image/MCY/11689288 </v>
      </c>
    </row>
    <row r="576" spans="1:12" ht="24.75" x14ac:dyDescent="0.25">
      <c r="A576" s="4" t="s">
        <v>4154</v>
      </c>
      <c r="B576" s="2" t="s">
        <v>1892</v>
      </c>
      <c r="C576" s="3">
        <v>1</v>
      </c>
      <c r="D576" s="5">
        <v>20.99</v>
      </c>
      <c r="E576" s="3" t="s">
        <v>1901</v>
      </c>
      <c r="F576" s="2" t="s">
        <v>252</v>
      </c>
      <c r="G576" s="6" t="s">
        <v>181</v>
      </c>
      <c r="H576" s="2" t="s">
        <v>1473</v>
      </c>
      <c r="I576" s="2" t="s">
        <v>1864</v>
      </c>
      <c r="J576" s="2" t="s">
        <v>19</v>
      </c>
      <c r="K576" s="2" t="s">
        <v>648</v>
      </c>
      <c r="L576" s="7" t="str">
        <f>HYPERLINK("http://slimages.macys.com/is/image/MCY/11689284 ")</f>
        <v xml:space="preserve">http://slimages.macys.com/is/image/MCY/11689284 </v>
      </c>
    </row>
    <row r="577" spans="1:12" ht="24.75" x14ac:dyDescent="0.25">
      <c r="A577" s="4" t="s">
        <v>7650</v>
      </c>
      <c r="B577" s="2" t="s">
        <v>1896</v>
      </c>
      <c r="C577" s="3">
        <v>1</v>
      </c>
      <c r="D577" s="5">
        <v>20.99</v>
      </c>
      <c r="E577" s="3" t="s">
        <v>1899</v>
      </c>
      <c r="F577" s="2" t="s">
        <v>252</v>
      </c>
      <c r="G577" s="6" t="s">
        <v>181</v>
      </c>
      <c r="H577" s="2" t="s">
        <v>1473</v>
      </c>
      <c r="I577" s="2" t="s">
        <v>1864</v>
      </c>
      <c r="J577" s="2" t="s">
        <v>19</v>
      </c>
      <c r="K577" s="2" t="s">
        <v>648</v>
      </c>
      <c r="L577" s="7" t="str">
        <f>HYPERLINK("http://slimages.macys.com/is/image/MCY/10787705 ")</f>
        <v xml:space="preserve">http://slimages.macys.com/is/image/MCY/10787705 </v>
      </c>
    </row>
    <row r="578" spans="1:12" ht="24.75" x14ac:dyDescent="0.25">
      <c r="A578" s="4" t="s">
        <v>3070</v>
      </c>
      <c r="B578" s="2" t="s">
        <v>1892</v>
      </c>
      <c r="C578" s="3">
        <v>2</v>
      </c>
      <c r="D578" s="5">
        <v>20.99</v>
      </c>
      <c r="E578" s="3" t="s">
        <v>1901</v>
      </c>
      <c r="F578" s="2" t="s">
        <v>15</v>
      </c>
      <c r="G578" s="6" t="s">
        <v>156</v>
      </c>
      <c r="H578" s="2" t="s">
        <v>1473</v>
      </c>
      <c r="I578" s="2" t="s">
        <v>1864</v>
      </c>
      <c r="J578" s="2" t="s">
        <v>19</v>
      </c>
      <c r="K578" s="2" t="s">
        <v>648</v>
      </c>
      <c r="L578" s="7" t="str">
        <f>HYPERLINK("http://slimages.macys.com/is/image/MCY/11689284 ")</f>
        <v xml:space="preserve">http://slimages.macys.com/is/image/MCY/11689284 </v>
      </c>
    </row>
    <row r="579" spans="1:12" ht="24.75" x14ac:dyDescent="0.25">
      <c r="A579" s="4" t="s">
        <v>3053</v>
      </c>
      <c r="B579" s="2" t="s">
        <v>1896</v>
      </c>
      <c r="C579" s="3">
        <v>2</v>
      </c>
      <c r="D579" s="5">
        <v>20.99</v>
      </c>
      <c r="E579" s="3" t="s">
        <v>1899</v>
      </c>
      <c r="F579" s="2" t="s">
        <v>15</v>
      </c>
      <c r="G579" s="6" t="s">
        <v>234</v>
      </c>
      <c r="H579" s="2" t="s">
        <v>1473</v>
      </c>
      <c r="I579" s="2" t="s">
        <v>1864</v>
      </c>
      <c r="J579" s="2" t="s">
        <v>19</v>
      </c>
      <c r="K579" s="2" t="s">
        <v>648</v>
      </c>
      <c r="L579" s="7" t="str">
        <f>HYPERLINK("http://slimages.macys.com/is/image/MCY/10787705 ")</f>
        <v xml:space="preserve">http://slimages.macys.com/is/image/MCY/10787705 </v>
      </c>
    </row>
    <row r="580" spans="1:12" ht="24.75" x14ac:dyDescent="0.25">
      <c r="A580" s="4" t="s">
        <v>3075</v>
      </c>
      <c r="B580" s="2" t="s">
        <v>1896</v>
      </c>
      <c r="C580" s="3">
        <v>1</v>
      </c>
      <c r="D580" s="5">
        <v>20.99</v>
      </c>
      <c r="E580" s="3" t="s">
        <v>1899</v>
      </c>
      <c r="F580" s="2" t="s">
        <v>998</v>
      </c>
      <c r="G580" s="6" t="s">
        <v>154</v>
      </c>
      <c r="H580" s="2" t="s">
        <v>1473</v>
      </c>
      <c r="I580" s="2" t="s">
        <v>1864</v>
      </c>
      <c r="J580" s="2" t="s">
        <v>19</v>
      </c>
      <c r="K580" s="2" t="s">
        <v>648</v>
      </c>
      <c r="L580" s="7" t="str">
        <f>HYPERLINK("http://slimages.macys.com/is/image/MCY/10787705 ")</f>
        <v xml:space="preserve">http://slimages.macys.com/is/image/MCY/10787705 </v>
      </c>
    </row>
    <row r="581" spans="1:12" ht="24.75" x14ac:dyDescent="0.25">
      <c r="A581" s="4" t="s">
        <v>3068</v>
      </c>
      <c r="B581" s="2" t="s">
        <v>1896</v>
      </c>
      <c r="C581" s="3">
        <v>2</v>
      </c>
      <c r="D581" s="5">
        <v>20.99</v>
      </c>
      <c r="E581" s="3" t="s">
        <v>1899</v>
      </c>
      <c r="F581" s="2" t="s">
        <v>74</v>
      </c>
      <c r="G581" s="6" t="s">
        <v>181</v>
      </c>
      <c r="H581" s="2" t="s">
        <v>1473</v>
      </c>
      <c r="I581" s="2" t="s">
        <v>1864</v>
      </c>
      <c r="J581" s="2" t="s">
        <v>19</v>
      </c>
      <c r="K581" s="2" t="s">
        <v>648</v>
      </c>
      <c r="L581" s="7" t="str">
        <f>HYPERLINK("http://slimages.macys.com/is/image/MCY/10787705 ")</f>
        <v xml:space="preserve">http://slimages.macys.com/is/image/MCY/10787705 </v>
      </c>
    </row>
    <row r="582" spans="1:12" ht="24.75" x14ac:dyDescent="0.25">
      <c r="A582" s="4" t="s">
        <v>6851</v>
      </c>
      <c r="B582" s="2" t="s">
        <v>1896</v>
      </c>
      <c r="C582" s="3">
        <v>1</v>
      </c>
      <c r="D582" s="5">
        <v>20.99</v>
      </c>
      <c r="E582" s="3" t="s">
        <v>1899</v>
      </c>
      <c r="F582" s="2" t="s">
        <v>252</v>
      </c>
      <c r="G582" s="6" t="s">
        <v>234</v>
      </c>
      <c r="H582" s="2" t="s">
        <v>1473</v>
      </c>
      <c r="I582" s="2" t="s">
        <v>1864</v>
      </c>
      <c r="J582" s="2" t="s">
        <v>19</v>
      </c>
      <c r="K582" s="2" t="s">
        <v>648</v>
      </c>
      <c r="L582" s="7" t="str">
        <f>HYPERLINK("http://slimages.macys.com/is/image/MCY/10787705 ")</f>
        <v xml:space="preserve">http://slimages.macys.com/is/image/MCY/10787705 </v>
      </c>
    </row>
    <row r="583" spans="1:12" ht="24.75" x14ac:dyDescent="0.25">
      <c r="A583" s="4" t="s">
        <v>3072</v>
      </c>
      <c r="B583" s="2" t="s">
        <v>1892</v>
      </c>
      <c r="C583" s="3">
        <v>1</v>
      </c>
      <c r="D583" s="5">
        <v>20.99</v>
      </c>
      <c r="E583" s="3" t="s">
        <v>1901</v>
      </c>
      <c r="F583" s="2" t="s">
        <v>1788</v>
      </c>
      <c r="G583" s="6" t="s">
        <v>181</v>
      </c>
      <c r="H583" s="2" t="s">
        <v>1473</v>
      </c>
      <c r="I583" s="2" t="s">
        <v>1864</v>
      </c>
      <c r="J583" s="2" t="s">
        <v>19</v>
      </c>
      <c r="K583" s="2" t="s">
        <v>648</v>
      </c>
      <c r="L583" s="7" t="str">
        <f>HYPERLINK("http://slimages.macys.com/is/image/MCY/11689284 ")</f>
        <v xml:space="preserve">http://slimages.macys.com/is/image/MCY/11689284 </v>
      </c>
    </row>
    <row r="584" spans="1:12" ht="24.75" x14ac:dyDescent="0.25">
      <c r="A584" s="4" t="s">
        <v>9202</v>
      </c>
      <c r="B584" s="2" t="s">
        <v>1892</v>
      </c>
      <c r="C584" s="3">
        <v>1</v>
      </c>
      <c r="D584" s="5">
        <v>20.99</v>
      </c>
      <c r="E584" s="3" t="s">
        <v>1901</v>
      </c>
      <c r="F584" s="2" t="s">
        <v>998</v>
      </c>
      <c r="G584" s="6" t="s">
        <v>245</v>
      </c>
      <c r="H584" s="2" t="s">
        <v>1473</v>
      </c>
      <c r="I584" s="2" t="s">
        <v>1864</v>
      </c>
      <c r="J584" s="2" t="s">
        <v>19</v>
      </c>
      <c r="K584" s="2" t="s">
        <v>648</v>
      </c>
      <c r="L584" s="7" t="str">
        <f>HYPERLINK("http://slimages.macys.com/is/image/MCY/11689284 ")</f>
        <v xml:space="preserve">http://slimages.macys.com/is/image/MCY/11689284 </v>
      </c>
    </row>
    <row r="585" spans="1:12" ht="24.75" x14ac:dyDescent="0.25">
      <c r="A585" s="4" t="s">
        <v>1908</v>
      </c>
      <c r="B585" s="2" t="s">
        <v>1896</v>
      </c>
      <c r="C585" s="3">
        <v>1</v>
      </c>
      <c r="D585" s="5">
        <v>20.99</v>
      </c>
      <c r="E585" s="3" t="s">
        <v>1899</v>
      </c>
      <c r="F585" s="2" t="s">
        <v>998</v>
      </c>
      <c r="G585" s="6" t="s">
        <v>245</v>
      </c>
      <c r="H585" s="2" t="s">
        <v>1473</v>
      </c>
      <c r="I585" s="2" t="s">
        <v>1864</v>
      </c>
      <c r="J585" s="2" t="s">
        <v>19</v>
      </c>
      <c r="K585" s="2" t="s">
        <v>648</v>
      </c>
      <c r="L585" s="7" t="str">
        <f>HYPERLINK("http://slimages.macys.com/is/image/MCY/10787705 ")</f>
        <v xml:space="preserve">http://slimages.macys.com/is/image/MCY/10787705 </v>
      </c>
    </row>
    <row r="586" spans="1:12" ht="24.75" x14ac:dyDescent="0.25">
      <c r="A586" s="4" t="s">
        <v>3063</v>
      </c>
      <c r="B586" s="2" t="s">
        <v>1896</v>
      </c>
      <c r="C586" s="3">
        <v>1</v>
      </c>
      <c r="D586" s="5">
        <v>20.99</v>
      </c>
      <c r="E586" s="3" t="s">
        <v>1899</v>
      </c>
      <c r="F586" s="2" t="s">
        <v>15</v>
      </c>
      <c r="G586" s="6" t="s">
        <v>245</v>
      </c>
      <c r="H586" s="2" t="s">
        <v>1473</v>
      </c>
      <c r="I586" s="2" t="s">
        <v>1864</v>
      </c>
      <c r="J586" s="2" t="s">
        <v>19</v>
      </c>
      <c r="K586" s="2" t="s">
        <v>648</v>
      </c>
      <c r="L586" s="7" t="str">
        <f>HYPERLINK("http://slimages.macys.com/is/image/MCY/10787705 ")</f>
        <v xml:space="preserve">http://slimages.macys.com/is/image/MCY/10787705 </v>
      </c>
    </row>
    <row r="587" spans="1:12" ht="24.75" x14ac:dyDescent="0.25">
      <c r="A587" s="4" t="s">
        <v>1909</v>
      </c>
      <c r="B587" s="2" t="s">
        <v>1892</v>
      </c>
      <c r="C587" s="3">
        <v>3</v>
      </c>
      <c r="D587" s="5">
        <v>20.99</v>
      </c>
      <c r="E587" s="3" t="s">
        <v>1893</v>
      </c>
      <c r="F587" s="2" t="s">
        <v>15</v>
      </c>
      <c r="G587" s="6"/>
      <c r="H587" s="2" t="s">
        <v>1425</v>
      </c>
      <c r="I587" s="2" t="s">
        <v>1864</v>
      </c>
      <c r="J587" s="2" t="s">
        <v>19</v>
      </c>
      <c r="K587" s="2" t="s">
        <v>1894</v>
      </c>
      <c r="L587" s="7" t="str">
        <f>HYPERLINK("http://slimages.macys.com/is/image/MCY/11689288 ")</f>
        <v xml:space="preserve">http://slimages.macys.com/is/image/MCY/11689288 </v>
      </c>
    </row>
    <row r="588" spans="1:12" ht="24.75" x14ac:dyDescent="0.25">
      <c r="A588" s="4" t="s">
        <v>9203</v>
      </c>
      <c r="B588" s="2" t="s">
        <v>1896</v>
      </c>
      <c r="C588" s="3">
        <v>2</v>
      </c>
      <c r="D588" s="5">
        <v>20.99</v>
      </c>
      <c r="E588" s="3" t="s">
        <v>1899</v>
      </c>
      <c r="F588" s="2" t="s">
        <v>998</v>
      </c>
      <c r="G588" s="6" t="s">
        <v>234</v>
      </c>
      <c r="H588" s="2" t="s">
        <v>1473</v>
      </c>
      <c r="I588" s="2" t="s">
        <v>1864</v>
      </c>
      <c r="J588" s="2" t="s">
        <v>19</v>
      </c>
      <c r="K588" s="2" t="s">
        <v>648</v>
      </c>
      <c r="L588" s="7" t="str">
        <f>HYPERLINK("http://slimages.macys.com/is/image/MCY/10787705 ")</f>
        <v xml:space="preserve">http://slimages.macys.com/is/image/MCY/10787705 </v>
      </c>
    </row>
    <row r="589" spans="1:12" ht="24.75" x14ac:dyDescent="0.25">
      <c r="A589" s="4" t="s">
        <v>3074</v>
      </c>
      <c r="B589" s="2" t="s">
        <v>1892</v>
      </c>
      <c r="C589" s="3">
        <v>2</v>
      </c>
      <c r="D589" s="5">
        <v>20.99</v>
      </c>
      <c r="E589" s="3" t="s">
        <v>1901</v>
      </c>
      <c r="F589" s="2" t="s">
        <v>15</v>
      </c>
      <c r="G589" s="6" t="s">
        <v>245</v>
      </c>
      <c r="H589" s="2" t="s">
        <v>1473</v>
      </c>
      <c r="I589" s="2" t="s">
        <v>1864</v>
      </c>
      <c r="J589" s="2" t="s">
        <v>19</v>
      </c>
      <c r="K589" s="2" t="s">
        <v>648</v>
      </c>
      <c r="L589" s="7" t="str">
        <f>HYPERLINK("http://slimages.macys.com/is/image/MCY/11689284 ")</f>
        <v xml:space="preserve">http://slimages.macys.com/is/image/MCY/11689284 </v>
      </c>
    </row>
    <row r="590" spans="1:12" ht="24.75" x14ac:dyDescent="0.25">
      <c r="A590" s="4" t="s">
        <v>3057</v>
      </c>
      <c r="B590" s="2" t="s">
        <v>1892</v>
      </c>
      <c r="C590" s="3">
        <v>1</v>
      </c>
      <c r="D590" s="5">
        <v>20.99</v>
      </c>
      <c r="E590" s="3" t="s">
        <v>1901</v>
      </c>
      <c r="F590" s="2" t="s">
        <v>1788</v>
      </c>
      <c r="G590" s="6" t="s">
        <v>154</v>
      </c>
      <c r="H590" s="2" t="s">
        <v>1473</v>
      </c>
      <c r="I590" s="2" t="s">
        <v>1864</v>
      </c>
      <c r="J590" s="2" t="s">
        <v>19</v>
      </c>
      <c r="K590" s="2" t="s">
        <v>648</v>
      </c>
      <c r="L590" s="7" t="str">
        <f>HYPERLINK("http://slimages.macys.com/is/image/MCY/11689284 ")</f>
        <v xml:space="preserve">http://slimages.macys.com/is/image/MCY/11689284 </v>
      </c>
    </row>
    <row r="591" spans="1:12" ht="24.75" x14ac:dyDescent="0.25">
      <c r="A591" s="4" t="s">
        <v>6133</v>
      </c>
      <c r="B591" s="2" t="s">
        <v>1892</v>
      </c>
      <c r="C591" s="3">
        <v>1</v>
      </c>
      <c r="D591" s="5">
        <v>20.99</v>
      </c>
      <c r="E591" s="3" t="s">
        <v>1901</v>
      </c>
      <c r="F591" s="2" t="s">
        <v>15</v>
      </c>
      <c r="G591" s="6" t="s">
        <v>154</v>
      </c>
      <c r="H591" s="2" t="s">
        <v>1473</v>
      </c>
      <c r="I591" s="2" t="s">
        <v>1864</v>
      </c>
      <c r="J591" s="2" t="s">
        <v>19</v>
      </c>
      <c r="K591" s="2" t="s">
        <v>648</v>
      </c>
      <c r="L591" s="7" t="str">
        <f>HYPERLINK("http://slimages.macys.com/is/image/MCY/11689284 ")</f>
        <v xml:space="preserve">http://slimages.macys.com/is/image/MCY/11689284 </v>
      </c>
    </row>
    <row r="592" spans="1:12" ht="24.75" x14ac:dyDescent="0.25">
      <c r="A592" s="4" t="s">
        <v>8828</v>
      </c>
      <c r="B592" s="2" t="s">
        <v>1892</v>
      </c>
      <c r="C592" s="3">
        <v>1</v>
      </c>
      <c r="D592" s="5">
        <v>20.99</v>
      </c>
      <c r="E592" s="3" t="s">
        <v>1901</v>
      </c>
      <c r="F592" s="2" t="s">
        <v>15</v>
      </c>
      <c r="G592" s="6" t="s">
        <v>234</v>
      </c>
      <c r="H592" s="2" t="s">
        <v>1473</v>
      </c>
      <c r="I592" s="2" t="s">
        <v>1864</v>
      </c>
      <c r="J592" s="2" t="s">
        <v>19</v>
      </c>
      <c r="K592" s="2" t="s">
        <v>648</v>
      </c>
      <c r="L592" s="7" t="str">
        <f>HYPERLINK("http://slimages.macys.com/is/image/MCY/11689284 ")</f>
        <v xml:space="preserve">http://slimages.macys.com/is/image/MCY/11689284 </v>
      </c>
    </row>
    <row r="593" spans="1:12" ht="24.75" x14ac:dyDescent="0.25">
      <c r="A593" s="4" t="s">
        <v>9204</v>
      </c>
      <c r="B593" s="2" t="s">
        <v>1896</v>
      </c>
      <c r="C593" s="3">
        <v>1</v>
      </c>
      <c r="D593" s="5">
        <v>20.99</v>
      </c>
      <c r="E593" s="3" t="s">
        <v>1899</v>
      </c>
      <c r="F593" s="2" t="s">
        <v>1296</v>
      </c>
      <c r="G593" s="6" t="s">
        <v>234</v>
      </c>
      <c r="H593" s="2" t="s">
        <v>1473</v>
      </c>
      <c r="I593" s="2" t="s">
        <v>1864</v>
      </c>
      <c r="J593" s="2" t="s">
        <v>19</v>
      </c>
      <c r="K593" s="2" t="s">
        <v>648</v>
      </c>
      <c r="L593" s="7" t="str">
        <f>HYPERLINK("http://slimages.macys.com/is/image/MCY/10787705 ")</f>
        <v xml:space="preserve">http://slimages.macys.com/is/image/MCY/10787705 </v>
      </c>
    </row>
    <row r="594" spans="1:12" ht="24.75" x14ac:dyDescent="0.25">
      <c r="A594" s="4" t="s">
        <v>8344</v>
      </c>
      <c r="B594" s="2" t="s">
        <v>1896</v>
      </c>
      <c r="C594" s="3">
        <v>1</v>
      </c>
      <c r="D594" s="5">
        <v>20.99</v>
      </c>
      <c r="E594" s="3" t="s">
        <v>1899</v>
      </c>
      <c r="F594" s="2" t="s">
        <v>70</v>
      </c>
      <c r="G594" s="6" t="s">
        <v>181</v>
      </c>
      <c r="H594" s="2" t="s">
        <v>1473</v>
      </c>
      <c r="I594" s="2" t="s">
        <v>1864</v>
      </c>
      <c r="J594" s="2" t="s">
        <v>19</v>
      </c>
      <c r="K594" s="2" t="s">
        <v>648</v>
      </c>
      <c r="L594" s="7" t="str">
        <f>HYPERLINK("http://slimages.macys.com/is/image/MCY/10787705 ")</f>
        <v xml:space="preserve">http://slimages.macys.com/is/image/MCY/10787705 </v>
      </c>
    </row>
    <row r="595" spans="1:12" ht="24.75" x14ac:dyDescent="0.25">
      <c r="A595" s="4" t="s">
        <v>3062</v>
      </c>
      <c r="B595" s="2" t="s">
        <v>1892</v>
      </c>
      <c r="C595" s="3">
        <v>3</v>
      </c>
      <c r="D595" s="5">
        <v>20.99</v>
      </c>
      <c r="E595" s="3" t="s">
        <v>1893</v>
      </c>
      <c r="F595" s="2" t="s">
        <v>15</v>
      </c>
      <c r="G595" s="6" t="s">
        <v>219</v>
      </c>
      <c r="H595" s="2" t="s">
        <v>1425</v>
      </c>
      <c r="I595" s="2" t="s">
        <v>1864</v>
      </c>
      <c r="J595" s="2" t="s">
        <v>19</v>
      </c>
      <c r="K595" s="2" t="s">
        <v>1894</v>
      </c>
      <c r="L595" s="7" t="str">
        <f>HYPERLINK("http://slimages.macys.com/is/image/MCY/11689288 ")</f>
        <v xml:space="preserve">http://slimages.macys.com/is/image/MCY/11689288 </v>
      </c>
    </row>
    <row r="596" spans="1:12" ht="24.75" x14ac:dyDescent="0.25">
      <c r="A596" s="4" t="s">
        <v>9205</v>
      </c>
      <c r="B596" s="2" t="s">
        <v>1896</v>
      </c>
      <c r="C596" s="3">
        <v>1</v>
      </c>
      <c r="D596" s="5">
        <v>20.99</v>
      </c>
      <c r="E596" s="3" t="s">
        <v>1899</v>
      </c>
      <c r="F596" s="2" t="s">
        <v>1296</v>
      </c>
      <c r="G596" s="6" t="s">
        <v>156</v>
      </c>
      <c r="H596" s="2" t="s">
        <v>1473</v>
      </c>
      <c r="I596" s="2" t="s">
        <v>1864</v>
      </c>
      <c r="J596" s="2" t="s">
        <v>19</v>
      </c>
      <c r="K596" s="2" t="s">
        <v>648</v>
      </c>
      <c r="L596" s="7" t="str">
        <f>HYPERLINK("http://slimages.macys.com/is/image/MCY/10787705 ")</f>
        <v xml:space="preserve">http://slimages.macys.com/is/image/MCY/10787705 </v>
      </c>
    </row>
    <row r="597" spans="1:12" ht="24.75" x14ac:dyDescent="0.25">
      <c r="A597" s="4" t="s">
        <v>3071</v>
      </c>
      <c r="B597" s="2" t="s">
        <v>1892</v>
      </c>
      <c r="C597" s="3">
        <v>2</v>
      </c>
      <c r="D597" s="5">
        <v>20.99</v>
      </c>
      <c r="E597" s="3" t="s">
        <v>1901</v>
      </c>
      <c r="F597" s="2" t="s">
        <v>74</v>
      </c>
      <c r="G597" s="6" t="s">
        <v>154</v>
      </c>
      <c r="H597" s="2" t="s">
        <v>1473</v>
      </c>
      <c r="I597" s="2" t="s">
        <v>1864</v>
      </c>
      <c r="J597" s="2" t="s">
        <v>19</v>
      </c>
      <c r="K597" s="2" t="s">
        <v>648</v>
      </c>
      <c r="L597" s="7" t="str">
        <f>HYPERLINK("http://slimages.macys.com/is/image/MCY/11689284 ")</f>
        <v xml:space="preserve">http://slimages.macys.com/is/image/MCY/11689284 </v>
      </c>
    </row>
    <row r="598" spans="1:12" ht="24.75" x14ac:dyDescent="0.25">
      <c r="A598" s="4" t="s">
        <v>5177</v>
      </c>
      <c r="B598" s="2" t="s">
        <v>1892</v>
      </c>
      <c r="C598" s="3">
        <v>1</v>
      </c>
      <c r="D598" s="5">
        <v>20.99</v>
      </c>
      <c r="E598" s="3" t="s">
        <v>1901</v>
      </c>
      <c r="F598" s="2" t="s">
        <v>74</v>
      </c>
      <c r="G598" s="6" t="s">
        <v>234</v>
      </c>
      <c r="H598" s="2" t="s">
        <v>1473</v>
      </c>
      <c r="I598" s="2" t="s">
        <v>1864</v>
      </c>
      <c r="J598" s="2" t="s">
        <v>19</v>
      </c>
      <c r="K598" s="2" t="s">
        <v>648</v>
      </c>
      <c r="L598" s="7" t="str">
        <f>HYPERLINK("http://slimages.macys.com/is/image/MCY/11689284 ")</f>
        <v xml:space="preserve">http://slimages.macys.com/is/image/MCY/11689284 </v>
      </c>
    </row>
    <row r="599" spans="1:12" ht="24.75" x14ac:dyDescent="0.25">
      <c r="A599" s="4" t="s">
        <v>8826</v>
      </c>
      <c r="B599" s="2" t="s">
        <v>1892</v>
      </c>
      <c r="C599" s="3">
        <v>1</v>
      </c>
      <c r="D599" s="5">
        <v>20.99</v>
      </c>
      <c r="E599" s="3" t="s">
        <v>1901</v>
      </c>
      <c r="F599" s="2" t="s">
        <v>252</v>
      </c>
      <c r="G599" s="6" t="s">
        <v>154</v>
      </c>
      <c r="H599" s="2" t="s">
        <v>1473</v>
      </c>
      <c r="I599" s="2" t="s">
        <v>1864</v>
      </c>
      <c r="J599" s="2" t="s">
        <v>19</v>
      </c>
      <c r="K599" s="2" t="s">
        <v>648</v>
      </c>
      <c r="L599" s="7" t="str">
        <f>HYPERLINK("http://slimages.macys.com/is/image/MCY/11689284 ")</f>
        <v xml:space="preserve">http://slimages.macys.com/is/image/MCY/11689284 </v>
      </c>
    </row>
    <row r="600" spans="1:12" ht="24.75" x14ac:dyDescent="0.25">
      <c r="A600" s="4" t="s">
        <v>6849</v>
      </c>
      <c r="B600" s="2" t="s">
        <v>1896</v>
      </c>
      <c r="C600" s="3">
        <v>1</v>
      </c>
      <c r="D600" s="5">
        <v>20.99</v>
      </c>
      <c r="E600" s="3" t="s">
        <v>1899</v>
      </c>
      <c r="F600" s="2" t="s">
        <v>252</v>
      </c>
      <c r="G600" s="6" t="s">
        <v>245</v>
      </c>
      <c r="H600" s="2" t="s">
        <v>1473</v>
      </c>
      <c r="I600" s="2" t="s">
        <v>1864</v>
      </c>
      <c r="J600" s="2" t="s">
        <v>19</v>
      </c>
      <c r="K600" s="2" t="s">
        <v>648</v>
      </c>
      <c r="L600" s="7" t="str">
        <f>HYPERLINK("http://slimages.macys.com/is/image/MCY/10787705 ")</f>
        <v xml:space="preserve">http://slimages.macys.com/is/image/MCY/10787705 </v>
      </c>
    </row>
    <row r="601" spans="1:12" ht="24.75" x14ac:dyDescent="0.25">
      <c r="A601" s="4" t="s">
        <v>3060</v>
      </c>
      <c r="B601" s="2" t="s">
        <v>1896</v>
      </c>
      <c r="C601" s="3">
        <v>3</v>
      </c>
      <c r="D601" s="5">
        <v>20.99</v>
      </c>
      <c r="E601" s="3" t="s">
        <v>1899</v>
      </c>
      <c r="F601" s="2" t="s">
        <v>15</v>
      </c>
      <c r="G601" s="6" t="s">
        <v>156</v>
      </c>
      <c r="H601" s="2" t="s">
        <v>1473</v>
      </c>
      <c r="I601" s="2" t="s">
        <v>1864</v>
      </c>
      <c r="J601" s="2" t="s">
        <v>19</v>
      </c>
      <c r="K601" s="2" t="s">
        <v>648</v>
      </c>
      <c r="L601" s="7" t="str">
        <f>HYPERLINK("http://slimages.macys.com/is/image/MCY/10787705 ")</f>
        <v xml:space="preserve">http://slimages.macys.com/is/image/MCY/10787705 </v>
      </c>
    </row>
    <row r="602" spans="1:12" ht="24.75" x14ac:dyDescent="0.25">
      <c r="A602" s="4" t="s">
        <v>5175</v>
      </c>
      <c r="B602" s="2" t="s">
        <v>1892</v>
      </c>
      <c r="C602" s="3">
        <v>2</v>
      </c>
      <c r="D602" s="5">
        <v>20.99</v>
      </c>
      <c r="E602" s="3" t="s">
        <v>1901</v>
      </c>
      <c r="F602" s="2" t="s">
        <v>74</v>
      </c>
      <c r="G602" s="6" t="s">
        <v>181</v>
      </c>
      <c r="H602" s="2" t="s">
        <v>1473</v>
      </c>
      <c r="I602" s="2" t="s">
        <v>1864</v>
      </c>
      <c r="J602" s="2" t="s">
        <v>19</v>
      </c>
      <c r="K602" s="2" t="s">
        <v>648</v>
      </c>
      <c r="L602" s="7" t="str">
        <f>HYPERLINK("http://slimages.macys.com/is/image/MCY/11689284 ")</f>
        <v xml:space="preserve">http://slimages.macys.com/is/image/MCY/11689284 </v>
      </c>
    </row>
    <row r="603" spans="1:12" ht="24.75" x14ac:dyDescent="0.25">
      <c r="A603" s="4" t="s">
        <v>3052</v>
      </c>
      <c r="B603" s="2" t="s">
        <v>1896</v>
      </c>
      <c r="C603" s="3">
        <v>4</v>
      </c>
      <c r="D603" s="5">
        <v>20.99</v>
      </c>
      <c r="E603" s="3" t="s">
        <v>1899</v>
      </c>
      <c r="F603" s="2" t="s">
        <v>74</v>
      </c>
      <c r="G603" s="6" t="s">
        <v>156</v>
      </c>
      <c r="H603" s="2" t="s">
        <v>1473</v>
      </c>
      <c r="I603" s="2" t="s">
        <v>1864</v>
      </c>
      <c r="J603" s="2" t="s">
        <v>19</v>
      </c>
      <c r="K603" s="2" t="s">
        <v>648</v>
      </c>
      <c r="L603" s="7" t="str">
        <f>HYPERLINK("http://slimages.macys.com/is/image/MCY/10787705 ")</f>
        <v xml:space="preserve">http://slimages.macys.com/is/image/MCY/10787705 </v>
      </c>
    </row>
    <row r="604" spans="1:12" ht="24.75" x14ac:dyDescent="0.25">
      <c r="A604" s="4" t="s">
        <v>3059</v>
      </c>
      <c r="B604" s="2" t="s">
        <v>1896</v>
      </c>
      <c r="C604" s="3">
        <v>3</v>
      </c>
      <c r="D604" s="5">
        <v>20.99</v>
      </c>
      <c r="E604" s="3" t="s">
        <v>1899</v>
      </c>
      <c r="F604" s="2" t="s">
        <v>74</v>
      </c>
      <c r="G604" s="6" t="s">
        <v>234</v>
      </c>
      <c r="H604" s="2" t="s">
        <v>1473</v>
      </c>
      <c r="I604" s="2" t="s">
        <v>1864</v>
      </c>
      <c r="J604" s="2" t="s">
        <v>19</v>
      </c>
      <c r="K604" s="2" t="s">
        <v>648</v>
      </c>
      <c r="L604" s="7" t="str">
        <f>HYPERLINK("http://slimages.macys.com/is/image/MCY/10787705 ")</f>
        <v xml:space="preserve">http://slimages.macys.com/is/image/MCY/10787705 </v>
      </c>
    </row>
    <row r="605" spans="1:12" ht="24.75" x14ac:dyDescent="0.25">
      <c r="A605" s="4" t="s">
        <v>3069</v>
      </c>
      <c r="B605" s="2" t="s">
        <v>1896</v>
      </c>
      <c r="C605" s="3">
        <v>2</v>
      </c>
      <c r="D605" s="5">
        <v>20.99</v>
      </c>
      <c r="E605" s="3" t="s">
        <v>1899</v>
      </c>
      <c r="F605" s="2" t="s">
        <v>998</v>
      </c>
      <c r="G605" s="6" t="s">
        <v>181</v>
      </c>
      <c r="H605" s="2" t="s">
        <v>1473</v>
      </c>
      <c r="I605" s="2" t="s">
        <v>1864</v>
      </c>
      <c r="J605" s="2" t="s">
        <v>19</v>
      </c>
      <c r="K605" s="2" t="s">
        <v>648</v>
      </c>
      <c r="L605" s="7" t="str">
        <f>HYPERLINK("http://slimages.macys.com/is/image/MCY/10787705 ")</f>
        <v xml:space="preserve">http://slimages.macys.com/is/image/MCY/10787705 </v>
      </c>
    </row>
    <row r="606" spans="1:12" ht="24.75" x14ac:dyDescent="0.25">
      <c r="A606" s="4" t="s">
        <v>7656</v>
      </c>
      <c r="B606" s="2" t="s">
        <v>1892</v>
      </c>
      <c r="C606" s="3">
        <v>1</v>
      </c>
      <c r="D606" s="5">
        <v>20.99</v>
      </c>
      <c r="E606" s="3" t="s">
        <v>1901</v>
      </c>
      <c r="F606" s="2" t="s">
        <v>74</v>
      </c>
      <c r="G606" s="6" t="s">
        <v>245</v>
      </c>
      <c r="H606" s="2" t="s">
        <v>1473</v>
      </c>
      <c r="I606" s="2" t="s">
        <v>1864</v>
      </c>
      <c r="J606" s="2" t="s">
        <v>19</v>
      </c>
      <c r="K606" s="2" t="s">
        <v>648</v>
      </c>
      <c r="L606" s="7" t="str">
        <f>HYPERLINK("http://slimages.macys.com/is/image/MCY/11689284 ")</f>
        <v xml:space="preserve">http://slimages.macys.com/is/image/MCY/11689284 </v>
      </c>
    </row>
    <row r="607" spans="1:12" ht="24.75" x14ac:dyDescent="0.25">
      <c r="A607" s="4" t="s">
        <v>3073</v>
      </c>
      <c r="B607" s="2" t="s">
        <v>1896</v>
      </c>
      <c r="C607" s="3">
        <v>1</v>
      </c>
      <c r="D607" s="5">
        <v>20.99</v>
      </c>
      <c r="E607" s="3" t="s">
        <v>1899</v>
      </c>
      <c r="F607" s="2" t="s">
        <v>15</v>
      </c>
      <c r="G607" s="6" t="s">
        <v>181</v>
      </c>
      <c r="H607" s="2" t="s">
        <v>1473</v>
      </c>
      <c r="I607" s="2" t="s">
        <v>1864</v>
      </c>
      <c r="J607" s="2" t="s">
        <v>19</v>
      </c>
      <c r="K607" s="2" t="s">
        <v>648</v>
      </c>
      <c r="L607" s="7" t="str">
        <f>HYPERLINK("http://slimages.macys.com/is/image/MCY/10787705 ")</f>
        <v xml:space="preserve">http://slimages.macys.com/is/image/MCY/10787705 </v>
      </c>
    </row>
    <row r="608" spans="1:12" ht="24.75" x14ac:dyDescent="0.25">
      <c r="A608" s="4" t="s">
        <v>9206</v>
      </c>
      <c r="B608" s="2" t="s">
        <v>1892</v>
      </c>
      <c r="C608" s="3">
        <v>1</v>
      </c>
      <c r="D608" s="5">
        <v>20.99</v>
      </c>
      <c r="E608" s="3" t="s">
        <v>1901</v>
      </c>
      <c r="F608" s="2" t="s">
        <v>1296</v>
      </c>
      <c r="G608" s="6" t="s">
        <v>245</v>
      </c>
      <c r="H608" s="2" t="s">
        <v>1473</v>
      </c>
      <c r="I608" s="2" t="s">
        <v>1864</v>
      </c>
      <c r="J608" s="2" t="s">
        <v>19</v>
      </c>
      <c r="K608" s="2" t="s">
        <v>648</v>
      </c>
      <c r="L608" s="7" t="str">
        <f>HYPERLINK("http://slimages.macys.com/is/image/MCY/11689284 ")</f>
        <v xml:space="preserve">http://slimages.macys.com/is/image/MCY/11689284 </v>
      </c>
    </row>
    <row r="609" spans="1:12" ht="24.75" x14ac:dyDescent="0.25">
      <c r="A609" s="4" t="s">
        <v>6136</v>
      </c>
      <c r="B609" s="2" t="s">
        <v>1896</v>
      </c>
      <c r="C609" s="3">
        <v>1</v>
      </c>
      <c r="D609" s="5">
        <v>20.99</v>
      </c>
      <c r="E609" s="3" t="s">
        <v>1899</v>
      </c>
      <c r="F609" s="2" t="s">
        <v>1296</v>
      </c>
      <c r="G609" s="6" t="s">
        <v>154</v>
      </c>
      <c r="H609" s="2" t="s">
        <v>1473</v>
      </c>
      <c r="I609" s="2" t="s">
        <v>1864</v>
      </c>
      <c r="J609" s="2" t="s">
        <v>19</v>
      </c>
      <c r="K609" s="2" t="s">
        <v>648</v>
      </c>
      <c r="L609" s="7" t="str">
        <f>HYPERLINK("http://slimages.macys.com/is/image/MCY/10787705 ")</f>
        <v xml:space="preserve">http://slimages.macys.com/is/image/MCY/10787705 </v>
      </c>
    </row>
    <row r="610" spans="1:12" ht="24.75" x14ac:dyDescent="0.25">
      <c r="A610" s="4" t="s">
        <v>3055</v>
      </c>
      <c r="B610" s="2" t="s">
        <v>1892</v>
      </c>
      <c r="C610" s="3">
        <v>2</v>
      </c>
      <c r="D610" s="5">
        <v>20.99</v>
      </c>
      <c r="E610" s="3" t="s">
        <v>1901</v>
      </c>
      <c r="F610" s="2" t="s">
        <v>74</v>
      </c>
      <c r="G610" s="6" t="s">
        <v>156</v>
      </c>
      <c r="H610" s="2" t="s">
        <v>1473</v>
      </c>
      <c r="I610" s="2" t="s">
        <v>1864</v>
      </c>
      <c r="J610" s="2" t="s">
        <v>19</v>
      </c>
      <c r="K610" s="2" t="s">
        <v>648</v>
      </c>
      <c r="L610" s="7" t="str">
        <f>HYPERLINK("http://slimages.macys.com/is/image/MCY/11689284 ")</f>
        <v xml:space="preserve">http://slimages.macys.com/is/image/MCY/11689284 </v>
      </c>
    </row>
    <row r="611" spans="1:12" ht="24.75" x14ac:dyDescent="0.25">
      <c r="A611" s="4" t="s">
        <v>1916</v>
      </c>
      <c r="B611" s="2" t="s">
        <v>1896</v>
      </c>
      <c r="C611" s="3">
        <v>4</v>
      </c>
      <c r="D611" s="5">
        <v>20.99</v>
      </c>
      <c r="E611" s="3" t="s">
        <v>1899</v>
      </c>
      <c r="F611" s="2" t="s">
        <v>15</v>
      </c>
      <c r="G611" s="6" t="s">
        <v>154</v>
      </c>
      <c r="H611" s="2" t="s">
        <v>1473</v>
      </c>
      <c r="I611" s="2" t="s">
        <v>1864</v>
      </c>
      <c r="J611" s="2" t="s">
        <v>19</v>
      </c>
      <c r="K611" s="2" t="s">
        <v>648</v>
      </c>
      <c r="L611" s="7" t="str">
        <f>HYPERLINK("http://slimages.macys.com/is/image/MCY/10787705 ")</f>
        <v xml:space="preserve">http://slimages.macys.com/is/image/MCY/10787705 </v>
      </c>
    </row>
    <row r="612" spans="1:12" ht="24.75" x14ac:dyDescent="0.25">
      <c r="A612" s="4" t="s">
        <v>6850</v>
      </c>
      <c r="B612" s="2" t="s">
        <v>1896</v>
      </c>
      <c r="C612" s="3">
        <v>1</v>
      </c>
      <c r="D612" s="5">
        <v>20.99</v>
      </c>
      <c r="E612" s="3" t="s">
        <v>1899</v>
      </c>
      <c r="F612" s="2" t="s">
        <v>70</v>
      </c>
      <c r="G612" s="6" t="s">
        <v>156</v>
      </c>
      <c r="H612" s="2" t="s">
        <v>1473</v>
      </c>
      <c r="I612" s="2" t="s">
        <v>1864</v>
      </c>
      <c r="J612" s="2" t="s">
        <v>19</v>
      </c>
      <c r="K612" s="2" t="s">
        <v>648</v>
      </c>
      <c r="L612" s="7" t="str">
        <f>HYPERLINK("http://slimages.macys.com/is/image/MCY/10787705 ")</f>
        <v xml:space="preserve">http://slimages.macys.com/is/image/MCY/10787705 </v>
      </c>
    </row>
    <row r="613" spans="1:12" ht="24.75" x14ac:dyDescent="0.25">
      <c r="A613" s="4" t="s">
        <v>3067</v>
      </c>
      <c r="B613" s="2" t="s">
        <v>1896</v>
      </c>
      <c r="C613" s="3">
        <v>2</v>
      </c>
      <c r="D613" s="5">
        <v>20.99</v>
      </c>
      <c r="E613" s="3" t="s">
        <v>1899</v>
      </c>
      <c r="F613" s="2" t="s">
        <v>70</v>
      </c>
      <c r="G613" s="6" t="s">
        <v>234</v>
      </c>
      <c r="H613" s="2" t="s">
        <v>1473</v>
      </c>
      <c r="I613" s="2" t="s">
        <v>1864</v>
      </c>
      <c r="J613" s="2" t="s">
        <v>19</v>
      </c>
      <c r="K613" s="2" t="s">
        <v>648</v>
      </c>
      <c r="L613" s="7" t="str">
        <f>HYPERLINK("http://slimages.macys.com/is/image/MCY/10787705 ")</f>
        <v xml:space="preserve">http://slimages.macys.com/is/image/MCY/10787705 </v>
      </c>
    </row>
    <row r="614" spans="1:12" ht="24.75" x14ac:dyDescent="0.25">
      <c r="A614" s="4" t="s">
        <v>1898</v>
      </c>
      <c r="B614" s="2" t="s">
        <v>1896</v>
      </c>
      <c r="C614" s="3">
        <v>1</v>
      </c>
      <c r="D614" s="5">
        <v>20.99</v>
      </c>
      <c r="E614" s="3" t="s">
        <v>1899</v>
      </c>
      <c r="F614" s="2" t="s">
        <v>74</v>
      </c>
      <c r="G614" s="6" t="s">
        <v>154</v>
      </c>
      <c r="H614" s="2" t="s">
        <v>1473</v>
      </c>
      <c r="I614" s="2" t="s">
        <v>1864</v>
      </c>
      <c r="J614" s="2" t="s">
        <v>19</v>
      </c>
      <c r="K614" s="2" t="s">
        <v>648</v>
      </c>
      <c r="L614" s="7" t="str">
        <f>HYPERLINK("http://slimages.macys.com/is/image/MCY/10787705 ")</f>
        <v xml:space="preserve">http://slimages.macys.com/is/image/MCY/10787705 </v>
      </c>
    </row>
    <row r="615" spans="1:12" ht="24.75" x14ac:dyDescent="0.25">
      <c r="A615" s="4" t="s">
        <v>6848</v>
      </c>
      <c r="B615" s="2" t="s">
        <v>1892</v>
      </c>
      <c r="C615" s="3">
        <v>1</v>
      </c>
      <c r="D615" s="5">
        <v>20.99</v>
      </c>
      <c r="E615" s="3" t="s">
        <v>1901</v>
      </c>
      <c r="F615" s="2" t="s">
        <v>998</v>
      </c>
      <c r="G615" s="6" t="s">
        <v>181</v>
      </c>
      <c r="H615" s="2" t="s">
        <v>1473</v>
      </c>
      <c r="I615" s="2" t="s">
        <v>1864</v>
      </c>
      <c r="J615" s="2" t="s">
        <v>19</v>
      </c>
      <c r="K615" s="2" t="s">
        <v>648</v>
      </c>
      <c r="L615" s="7" t="str">
        <f>HYPERLINK("http://slimages.macys.com/is/image/MCY/11689284 ")</f>
        <v xml:space="preserve">http://slimages.macys.com/is/image/MCY/11689284 </v>
      </c>
    </row>
    <row r="616" spans="1:12" ht="24.75" x14ac:dyDescent="0.25">
      <c r="A616" s="4" t="s">
        <v>3066</v>
      </c>
      <c r="B616" s="2" t="s">
        <v>1896</v>
      </c>
      <c r="C616" s="3">
        <v>2</v>
      </c>
      <c r="D616" s="5">
        <v>20.99</v>
      </c>
      <c r="E616" s="3" t="s">
        <v>1899</v>
      </c>
      <c r="F616" s="2" t="s">
        <v>74</v>
      </c>
      <c r="G616" s="6" t="s">
        <v>245</v>
      </c>
      <c r="H616" s="2" t="s">
        <v>1473</v>
      </c>
      <c r="I616" s="2" t="s">
        <v>1864</v>
      </c>
      <c r="J616" s="2" t="s">
        <v>19</v>
      </c>
      <c r="K616" s="2" t="s">
        <v>648</v>
      </c>
      <c r="L616" s="7" t="str">
        <f>HYPERLINK("http://slimages.macys.com/is/image/MCY/10787705 ")</f>
        <v xml:space="preserve">http://slimages.macys.com/is/image/MCY/10787705 </v>
      </c>
    </row>
    <row r="617" spans="1:12" ht="24.75" x14ac:dyDescent="0.25">
      <c r="A617" s="4" t="s">
        <v>9207</v>
      </c>
      <c r="B617" s="2" t="s">
        <v>1692</v>
      </c>
      <c r="C617" s="3">
        <v>1</v>
      </c>
      <c r="D617" s="5">
        <v>24.37</v>
      </c>
      <c r="E617" s="3" t="s">
        <v>9208</v>
      </c>
      <c r="F617" s="2" t="s">
        <v>74</v>
      </c>
      <c r="G617" s="6" t="s">
        <v>234</v>
      </c>
      <c r="H617" s="2" t="s">
        <v>194</v>
      </c>
      <c r="I617" s="2" t="s">
        <v>580</v>
      </c>
      <c r="J617" s="2" t="s">
        <v>19</v>
      </c>
      <c r="K617" s="2" t="s">
        <v>137</v>
      </c>
      <c r="L617" s="7" t="str">
        <f>HYPERLINK("http://slimages.macys.com/is/image/MCY/16404085 ")</f>
        <v xml:space="preserve">http://slimages.macys.com/is/image/MCY/16404085 </v>
      </c>
    </row>
    <row r="618" spans="1:12" x14ac:dyDescent="0.25">
      <c r="A618" s="4" t="s">
        <v>6855</v>
      </c>
      <c r="B618" s="2" t="s">
        <v>4159</v>
      </c>
      <c r="C618" s="3">
        <v>1</v>
      </c>
      <c r="D618" s="5">
        <v>39.5</v>
      </c>
      <c r="E618" s="3" t="s">
        <v>4160</v>
      </c>
      <c r="F618" s="2" t="s">
        <v>111</v>
      </c>
      <c r="G618" s="6"/>
      <c r="H618" s="2" t="s">
        <v>206</v>
      </c>
      <c r="I618" s="2" t="s">
        <v>207</v>
      </c>
      <c r="J618" s="2" t="s">
        <v>19</v>
      </c>
      <c r="K618" s="2" t="s">
        <v>247</v>
      </c>
      <c r="L618" s="7" t="str">
        <f>HYPERLINK("http://slimages.macys.com/is/image/MCY/9815602 ")</f>
        <v xml:space="preserve">http://slimages.macys.com/is/image/MCY/9815602 </v>
      </c>
    </row>
    <row r="619" spans="1:12" ht="24.75" x14ac:dyDescent="0.25">
      <c r="A619" s="4" t="s">
        <v>6861</v>
      </c>
      <c r="B619" s="2" t="s">
        <v>6862</v>
      </c>
      <c r="C619" s="3">
        <v>1</v>
      </c>
      <c r="D619" s="5">
        <v>17.989999999999998</v>
      </c>
      <c r="E619" s="3" t="s">
        <v>6863</v>
      </c>
      <c r="F619" s="2" t="s">
        <v>417</v>
      </c>
      <c r="G619" s="6" t="s">
        <v>219</v>
      </c>
      <c r="H619" s="2" t="s">
        <v>1425</v>
      </c>
      <c r="I619" s="2" t="s">
        <v>1426</v>
      </c>
      <c r="J619" s="2" t="s">
        <v>19</v>
      </c>
      <c r="K619" s="2" t="s">
        <v>990</v>
      </c>
      <c r="L619" s="7" t="str">
        <f>HYPERLINK("http://slimages.macys.com/is/image/MCY/12327110 ")</f>
        <v xml:space="preserve">http://slimages.macys.com/is/image/MCY/12327110 </v>
      </c>
    </row>
    <row r="620" spans="1:12" ht="24.75" x14ac:dyDescent="0.25">
      <c r="A620" s="4" t="s">
        <v>9209</v>
      </c>
      <c r="B620" s="2" t="s">
        <v>3101</v>
      </c>
      <c r="C620" s="3">
        <v>1</v>
      </c>
      <c r="D620" s="5">
        <v>14.99</v>
      </c>
      <c r="E620" s="3" t="s">
        <v>3102</v>
      </c>
      <c r="F620" s="2" t="s">
        <v>74</v>
      </c>
      <c r="G620" s="6"/>
      <c r="H620" s="2" t="s">
        <v>1425</v>
      </c>
      <c r="I620" s="2" t="s">
        <v>1426</v>
      </c>
      <c r="J620" s="2"/>
      <c r="K620" s="2"/>
      <c r="L620" s="7" t="str">
        <f>HYPERLINK("http://slimages.macys.com/is/image/MCY/9931748 ")</f>
        <v xml:space="preserve">http://slimages.macys.com/is/image/MCY/9931748 </v>
      </c>
    </row>
    <row r="621" spans="1:12" ht="24.75" x14ac:dyDescent="0.25">
      <c r="A621" s="4" t="s">
        <v>6146</v>
      </c>
      <c r="B621" s="2" t="s">
        <v>3101</v>
      </c>
      <c r="C621" s="3">
        <v>1</v>
      </c>
      <c r="D621" s="5">
        <v>14.99</v>
      </c>
      <c r="E621" s="3" t="s">
        <v>3102</v>
      </c>
      <c r="F621" s="2" t="s">
        <v>74</v>
      </c>
      <c r="G621" s="6" t="s">
        <v>187</v>
      </c>
      <c r="H621" s="2" t="s">
        <v>1425</v>
      </c>
      <c r="I621" s="2" t="s">
        <v>1426</v>
      </c>
      <c r="J621" s="2"/>
      <c r="K621" s="2"/>
      <c r="L621" s="7" t="str">
        <f>HYPERLINK("http://slimages.macys.com/is/image/MCY/9931748 ")</f>
        <v xml:space="preserve">http://slimages.macys.com/is/image/MCY/9931748 </v>
      </c>
    </row>
    <row r="622" spans="1:12" ht="24.75" x14ac:dyDescent="0.25">
      <c r="A622" s="4" t="s">
        <v>9210</v>
      </c>
      <c r="B622" s="2" t="s">
        <v>3101</v>
      </c>
      <c r="C622" s="3">
        <v>1</v>
      </c>
      <c r="D622" s="5">
        <v>14.99</v>
      </c>
      <c r="E622" s="3" t="s">
        <v>3102</v>
      </c>
      <c r="F622" s="2" t="s">
        <v>74</v>
      </c>
      <c r="G622" s="6"/>
      <c r="H622" s="2" t="s">
        <v>1425</v>
      </c>
      <c r="I622" s="2" t="s">
        <v>1426</v>
      </c>
      <c r="J622" s="2"/>
      <c r="K622" s="2"/>
      <c r="L622" s="7" t="str">
        <f>HYPERLINK("http://slimages.macys.com/is/image/MCY/9931748 ")</f>
        <v xml:space="preserve">http://slimages.macys.com/is/image/MCY/9931748 </v>
      </c>
    </row>
    <row r="623" spans="1:12" ht="24.75" x14ac:dyDescent="0.25">
      <c r="A623" s="4" t="s">
        <v>9211</v>
      </c>
      <c r="B623" s="2" t="s">
        <v>3101</v>
      </c>
      <c r="C623" s="3">
        <v>1</v>
      </c>
      <c r="D623" s="5">
        <v>14.99</v>
      </c>
      <c r="E623" s="3" t="s">
        <v>3102</v>
      </c>
      <c r="F623" s="2" t="s">
        <v>74</v>
      </c>
      <c r="G623" s="6"/>
      <c r="H623" s="2" t="s">
        <v>1425</v>
      </c>
      <c r="I623" s="2" t="s">
        <v>1426</v>
      </c>
      <c r="J623" s="2"/>
      <c r="K623" s="2"/>
      <c r="L623" s="7" t="str">
        <f>HYPERLINK("http://slimages.macys.com/is/image/MCY/9931748 ")</f>
        <v xml:space="preserve">http://slimages.macys.com/is/image/MCY/9931748 </v>
      </c>
    </row>
    <row r="624" spans="1:12" ht="24.75" x14ac:dyDescent="0.25">
      <c r="A624" s="4" t="s">
        <v>1930</v>
      </c>
      <c r="B624" s="2" t="s">
        <v>1927</v>
      </c>
      <c r="C624" s="3">
        <v>1</v>
      </c>
      <c r="D624" s="5">
        <v>17.989999999999998</v>
      </c>
      <c r="E624" s="3" t="s">
        <v>1928</v>
      </c>
      <c r="F624" s="2" t="s">
        <v>15</v>
      </c>
      <c r="G624" s="6" t="s">
        <v>156</v>
      </c>
      <c r="H624" s="2" t="s">
        <v>1473</v>
      </c>
      <c r="I624" s="2" t="s">
        <v>1426</v>
      </c>
      <c r="J624" s="2" t="s">
        <v>19</v>
      </c>
      <c r="K624" s="2" t="s">
        <v>803</v>
      </c>
      <c r="L624" s="7" t="str">
        <f>HYPERLINK("http://slimages.macys.com/is/image/MCY/11882200 ")</f>
        <v xml:space="preserve">http://slimages.macys.com/is/image/MCY/11882200 </v>
      </c>
    </row>
    <row r="625" spans="1:12" ht="24.75" x14ac:dyDescent="0.25">
      <c r="A625" s="4" t="s">
        <v>9212</v>
      </c>
      <c r="B625" s="2" t="s">
        <v>9213</v>
      </c>
      <c r="C625" s="3">
        <v>1</v>
      </c>
      <c r="D625" s="5">
        <v>14.99</v>
      </c>
      <c r="E625" s="3" t="s">
        <v>9214</v>
      </c>
      <c r="F625" s="2" t="s">
        <v>1322</v>
      </c>
      <c r="G625" s="6" t="s">
        <v>181</v>
      </c>
      <c r="H625" s="2" t="s">
        <v>1522</v>
      </c>
      <c r="I625" s="2" t="s">
        <v>1469</v>
      </c>
      <c r="J625" s="2" t="s">
        <v>19</v>
      </c>
      <c r="K625" s="2" t="s">
        <v>495</v>
      </c>
      <c r="L625" s="7" t="str">
        <f>HYPERLINK("http://slimages.macys.com/is/image/MCY/11917807 ")</f>
        <v xml:space="preserve">http://slimages.macys.com/is/image/MCY/11917807 </v>
      </c>
    </row>
    <row r="626" spans="1:12" ht="24.75" x14ac:dyDescent="0.25">
      <c r="A626" s="4" t="s">
        <v>3116</v>
      </c>
      <c r="B626" s="2" t="s">
        <v>1932</v>
      </c>
      <c r="C626" s="3">
        <v>1</v>
      </c>
      <c r="D626" s="5">
        <v>16.989999999999998</v>
      </c>
      <c r="E626" s="3" t="s">
        <v>1933</v>
      </c>
      <c r="F626" s="2" t="s">
        <v>15</v>
      </c>
      <c r="G626" s="6" t="s">
        <v>154</v>
      </c>
      <c r="H626" s="2" t="s">
        <v>1473</v>
      </c>
      <c r="I626" s="2" t="s">
        <v>1864</v>
      </c>
      <c r="J626" s="2" t="s">
        <v>19</v>
      </c>
      <c r="K626" s="2" t="s">
        <v>648</v>
      </c>
      <c r="L626" s="7" t="str">
        <f>HYPERLINK("http://slimages.macys.com/is/image/MCY/11634794 ")</f>
        <v xml:space="preserve">http://slimages.macys.com/is/image/MCY/11634794 </v>
      </c>
    </row>
    <row r="627" spans="1:12" ht="24.75" x14ac:dyDescent="0.25">
      <c r="A627" s="4" t="s">
        <v>1934</v>
      </c>
      <c r="B627" s="2" t="s">
        <v>1932</v>
      </c>
      <c r="C627" s="3">
        <v>1</v>
      </c>
      <c r="D627" s="5">
        <v>16.989999999999998</v>
      </c>
      <c r="E627" s="3" t="s">
        <v>1933</v>
      </c>
      <c r="F627" s="2" t="s">
        <v>15</v>
      </c>
      <c r="G627" s="6" t="s">
        <v>156</v>
      </c>
      <c r="H627" s="2" t="s">
        <v>1473</v>
      </c>
      <c r="I627" s="2" t="s">
        <v>1864</v>
      </c>
      <c r="J627" s="2" t="s">
        <v>19</v>
      </c>
      <c r="K627" s="2" t="s">
        <v>648</v>
      </c>
      <c r="L627" s="7" t="str">
        <f>HYPERLINK("http://slimages.macys.com/is/image/MCY/11634794 ")</f>
        <v xml:space="preserve">http://slimages.macys.com/is/image/MCY/11634794 </v>
      </c>
    </row>
    <row r="628" spans="1:12" ht="24.75" x14ac:dyDescent="0.25">
      <c r="A628" s="4" t="s">
        <v>5186</v>
      </c>
      <c r="B628" s="2" t="s">
        <v>1932</v>
      </c>
      <c r="C628" s="3">
        <v>1</v>
      </c>
      <c r="D628" s="5">
        <v>16.989999999999998</v>
      </c>
      <c r="E628" s="3" t="s">
        <v>3113</v>
      </c>
      <c r="F628" s="2" t="s">
        <v>15</v>
      </c>
      <c r="G628" s="6"/>
      <c r="H628" s="2" t="s">
        <v>1425</v>
      </c>
      <c r="I628" s="2" t="s">
        <v>1864</v>
      </c>
      <c r="J628" s="2" t="s">
        <v>19</v>
      </c>
      <c r="K628" s="2" t="s">
        <v>648</v>
      </c>
      <c r="L628" s="7" t="str">
        <f>HYPERLINK("http://slimages.macys.com/is/image/MCY/11634785 ")</f>
        <v xml:space="preserve">http://slimages.macys.com/is/image/MCY/11634785 </v>
      </c>
    </row>
    <row r="629" spans="1:12" ht="24.75" x14ac:dyDescent="0.25">
      <c r="A629" s="4" t="s">
        <v>8355</v>
      </c>
      <c r="B629" s="2" t="s">
        <v>1942</v>
      </c>
      <c r="C629" s="3">
        <v>1</v>
      </c>
      <c r="D629" s="5">
        <v>17.989999999999998</v>
      </c>
      <c r="E629" s="3" t="s">
        <v>1943</v>
      </c>
      <c r="F629" s="2" t="s">
        <v>15</v>
      </c>
      <c r="G629" s="6" t="s">
        <v>181</v>
      </c>
      <c r="H629" s="2" t="s">
        <v>1522</v>
      </c>
      <c r="I629" s="2" t="s">
        <v>1469</v>
      </c>
      <c r="J629" s="2" t="s">
        <v>19</v>
      </c>
      <c r="K629" s="2" t="s">
        <v>353</v>
      </c>
      <c r="L629" s="7" t="str">
        <f>HYPERLINK("http://slimages.macys.com/is/image/MCY/10743541 ")</f>
        <v xml:space="preserve">http://slimages.macys.com/is/image/MCY/10743541 </v>
      </c>
    </row>
    <row r="630" spans="1:12" ht="24.75" x14ac:dyDescent="0.25">
      <c r="A630" s="4" t="s">
        <v>1946</v>
      </c>
      <c r="B630" s="2" t="s">
        <v>1942</v>
      </c>
      <c r="C630" s="3">
        <v>2</v>
      </c>
      <c r="D630" s="5">
        <v>17.989999999999998</v>
      </c>
      <c r="E630" s="3" t="s">
        <v>1943</v>
      </c>
      <c r="F630" s="2" t="s">
        <v>15</v>
      </c>
      <c r="G630" s="6" t="s">
        <v>156</v>
      </c>
      <c r="H630" s="2" t="s">
        <v>1522</v>
      </c>
      <c r="I630" s="2" t="s">
        <v>1469</v>
      </c>
      <c r="J630" s="2" t="s">
        <v>19</v>
      </c>
      <c r="K630" s="2" t="s">
        <v>353</v>
      </c>
      <c r="L630" s="7" t="str">
        <f>HYPERLINK("http://slimages.macys.com/is/image/MCY/10743541 ")</f>
        <v xml:space="preserve">http://slimages.macys.com/is/image/MCY/10743541 </v>
      </c>
    </row>
    <row r="631" spans="1:12" ht="24.75" x14ac:dyDescent="0.25">
      <c r="A631" s="4" t="s">
        <v>7680</v>
      </c>
      <c r="B631" s="2" t="s">
        <v>1942</v>
      </c>
      <c r="C631" s="3">
        <v>1</v>
      </c>
      <c r="D631" s="5">
        <v>17.989999999999998</v>
      </c>
      <c r="E631" s="3" t="s">
        <v>1943</v>
      </c>
      <c r="F631" s="2" t="s">
        <v>1945</v>
      </c>
      <c r="G631" s="6" t="s">
        <v>154</v>
      </c>
      <c r="H631" s="2" t="s">
        <v>1522</v>
      </c>
      <c r="I631" s="2" t="s">
        <v>1469</v>
      </c>
      <c r="J631" s="2" t="s">
        <v>19</v>
      </c>
      <c r="K631" s="2" t="s">
        <v>353</v>
      </c>
      <c r="L631" s="7" t="str">
        <f>HYPERLINK("http://slimages.macys.com/is/image/MCY/10743541 ")</f>
        <v xml:space="preserve">http://slimages.macys.com/is/image/MCY/10743541 </v>
      </c>
    </row>
    <row r="632" spans="1:12" ht="24.75" x14ac:dyDescent="0.25">
      <c r="A632" s="4" t="s">
        <v>9215</v>
      </c>
      <c r="B632" s="2" t="s">
        <v>1942</v>
      </c>
      <c r="C632" s="3">
        <v>1</v>
      </c>
      <c r="D632" s="5">
        <v>17.989999999999998</v>
      </c>
      <c r="E632" s="3" t="s">
        <v>1943</v>
      </c>
      <c r="F632" s="2" t="s">
        <v>38</v>
      </c>
      <c r="G632" s="6" t="s">
        <v>245</v>
      </c>
      <c r="H632" s="2" t="s">
        <v>1522</v>
      </c>
      <c r="I632" s="2" t="s">
        <v>1469</v>
      </c>
      <c r="J632" s="2" t="s">
        <v>19</v>
      </c>
      <c r="K632" s="2" t="s">
        <v>353</v>
      </c>
      <c r="L632" s="7" t="str">
        <f>HYPERLINK("http://slimages.macys.com/is/image/MCY/10743541 ")</f>
        <v xml:space="preserve">http://slimages.macys.com/is/image/MCY/10743541 </v>
      </c>
    </row>
    <row r="633" spans="1:12" ht="36.75" x14ac:dyDescent="0.25">
      <c r="A633" s="4" t="s">
        <v>9216</v>
      </c>
      <c r="B633" s="2" t="s">
        <v>9217</v>
      </c>
      <c r="C633" s="3">
        <v>1</v>
      </c>
      <c r="D633" s="5">
        <v>17.989999999999998</v>
      </c>
      <c r="E633" s="3" t="s">
        <v>9218</v>
      </c>
      <c r="F633" s="2" t="s">
        <v>26</v>
      </c>
      <c r="G633" s="6" t="s">
        <v>245</v>
      </c>
      <c r="H633" s="2" t="s">
        <v>1473</v>
      </c>
      <c r="I633" s="2" t="s">
        <v>1426</v>
      </c>
      <c r="J633" s="2" t="s">
        <v>19</v>
      </c>
      <c r="K633" s="2" t="s">
        <v>3093</v>
      </c>
      <c r="L633" s="7" t="str">
        <f>HYPERLINK("http://slimages.macys.com/is/image/MCY/11774912 ")</f>
        <v xml:space="preserve">http://slimages.macys.com/is/image/MCY/11774912 </v>
      </c>
    </row>
    <row r="634" spans="1:12" ht="24.75" x14ac:dyDescent="0.25">
      <c r="A634" s="4" t="s">
        <v>4186</v>
      </c>
      <c r="B634" s="2" t="s">
        <v>1942</v>
      </c>
      <c r="C634" s="3">
        <v>1</v>
      </c>
      <c r="D634" s="5">
        <v>17.989999999999998</v>
      </c>
      <c r="E634" s="3" t="s">
        <v>1943</v>
      </c>
      <c r="F634" s="2" t="s">
        <v>38</v>
      </c>
      <c r="G634" s="6" t="s">
        <v>181</v>
      </c>
      <c r="H634" s="2" t="s">
        <v>1522</v>
      </c>
      <c r="I634" s="2" t="s">
        <v>1469</v>
      </c>
      <c r="J634" s="2" t="s">
        <v>19</v>
      </c>
      <c r="K634" s="2" t="s">
        <v>353</v>
      </c>
      <c r="L634" s="7" t="str">
        <f>HYPERLINK("http://slimages.macys.com/is/image/MCY/10743541 ")</f>
        <v xml:space="preserve">http://slimages.macys.com/is/image/MCY/10743541 </v>
      </c>
    </row>
    <row r="635" spans="1:12" ht="24.75" x14ac:dyDescent="0.25">
      <c r="A635" s="4" t="s">
        <v>9219</v>
      </c>
      <c r="B635" s="2" t="s">
        <v>1942</v>
      </c>
      <c r="C635" s="3">
        <v>1</v>
      </c>
      <c r="D635" s="5">
        <v>17.989999999999998</v>
      </c>
      <c r="E635" s="3" t="s">
        <v>1943</v>
      </c>
      <c r="F635" s="2" t="s">
        <v>1945</v>
      </c>
      <c r="G635" s="6" t="s">
        <v>245</v>
      </c>
      <c r="H635" s="2" t="s">
        <v>1522</v>
      </c>
      <c r="I635" s="2" t="s">
        <v>1469</v>
      </c>
      <c r="J635" s="2" t="s">
        <v>19</v>
      </c>
      <c r="K635" s="2" t="s">
        <v>353</v>
      </c>
      <c r="L635" s="7" t="str">
        <f>HYPERLINK("http://slimages.macys.com/is/image/MCY/10743541 ")</f>
        <v xml:space="preserve">http://slimages.macys.com/is/image/MCY/10743541 </v>
      </c>
    </row>
    <row r="636" spans="1:12" ht="24.75" x14ac:dyDescent="0.25">
      <c r="A636" s="4" t="s">
        <v>9220</v>
      </c>
      <c r="B636" s="2" t="s">
        <v>1942</v>
      </c>
      <c r="C636" s="3">
        <v>1</v>
      </c>
      <c r="D636" s="5">
        <v>17.989999999999998</v>
      </c>
      <c r="E636" s="3" t="s">
        <v>1943</v>
      </c>
      <c r="F636" s="2" t="s">
        <v>38</v>
      </c>
      <c r="G636" s="6" t="s">
        <v>154</v>
      </c>
      <c r="H636" s="2" t="s">
        <v>1522</v>
      </c>
      <c r="I636" s="2" t="s">
        <v>1469</v>
      </c>
      <c r="J636" s="2" t="s">
        <v>19</v>
      </c>
      <c r="K636" s="2" t="s">
        <v>353</v>
      </c>
      <c r="L636" s="7" t="str">
        <f>HYPERLINK("http://slimages.macys.com/is/image/MCY/10743541 ")</f>
        <v xml:space="preserve">http://slimages.macys.com/is/image/MCY/10743541 </v>
      </c>
    </row>
    <row r="637" spans="1:12" ht="24.75" x14ac:dyDescent="0.25">
      <c r="A637" s="4" t="s">
        <v>9221</v>
      </c>
      <c r="B637" s="2" t="s">
        <v>4188</v>
      </c>
      <c r="C637" s="3">
        <v>1</v>
      </c>
      <c r="D637" s="5">
        <v>17.989999999999998</v>
      </c>
      <c r="E637" s="3" t="s">
        <v>4189</v>
      </c>
      <c r="F637" s="2" t="s">
        <v>413</v>
      </c>
      <c r="G637" s="6" t="s">
        <v>234</v>
      </c>
      <c r="H637" s="2" t="s">
        <v>1473</v>
      </c>
      <c r="I637" s="2" t="s">
        <v>1426</v>
      </c>
      <c r="J637" s="2" t="s">
        <v>19</v>
      </c>
      <c r="K637" s="2" t="s">
        <v>990</v>
      </c>
      <c r="L637" s="7" t="str">
        <f>HYPERLINK("http://slimages.macys.com/is/image/MCY/12877743 ")</f>
        <v xml:space="preserve">http://slimages.macys.com/is/image/MCY/12877743 </v>
      </c>
    </row>
    <row r="638" spans="1:12" ht="24.75" x14ac:dyDescent="0.25">
      <c r="A638" s="4" t="s">
        <v>6152</v>
      </c>
      <c r="B638" s="2" t="s">
        <v>4188</v>
      </c>
      <c r="C638" s="3">
        <v>1</v>
      </c>
      <c r="D638" s="5">
        <v>17.989999999999998</v>
      </c>
      <c r="E638" s="3" t="s">
        <v>4189</v>
      </c>
      <c r="F638" s="2" t="s">
        <v>820</v>
      </c>
      <c r="G638" s="6" t="s">
        <v>181</v>
      </c>
      <c r="H638" s="2" t="s">
        <v>1473</v>
      </c>
      <c r="I638" s="2" t="s">
        <v>1426</v>
      </c>
      <c r="J638" s="2" t="s">
        <v>19</v>
      </c>
      <c r="K638" s="2" t="s">
        <v>990</v>
      </c>
      <c r="L638" s="7" t="str">
        <f>HYPERLINK("http://slimages.macys.com/is/image/MCY/12877743 ")</f>
        <v xml:space="preserve">http://slimages.macys.com/is/image/MCY/12877743 </v>
      </c>
    </row>
    <row r="639" spans="1:12" ht="24.75" x14ac:dyDescent="0.25">
      <c r="A639" s="4" t="s">
        <v>4194</v>
      </c>
      <c r="B639" s="2" t="s">
        <v>3122</v>
      </c>
      <c r="C639" s="3">
        <v>1</v>
      </c>
      <c r="D639" s="5">
        <v>14.99</v>
      </c>
      <c r="E639" s="3" t="s">
        <v>3123</v>
      </c>
      <c r="F639" s="2" t="s">
        <v>79</v>
      </c>
      <c r="G639" s="6" t="s">
        <v>181</v>
      </c>
      <c r="H639" s="2" t="s">
        <v>1522</v>
      </c>
      <c r="I639" s="2" t="s">
        <v>1469</v>
      </c>
      <c r="J639" s="2" t="s">
        <v>19</v>
      </c>
      <c r="K639" s="2" t="s">
        <v>495</v>
      </c>
      <c r="L639" s="7" t="str">
        <f t="shared" ref="L639:L645" si="6">HYPERLINK("http://slimages.macys.com/is/image/MCY/9957413 ")</f>
        <v xml:space="preserve">http://slimages.macys.com/is/image/MCY/9957413 </v>
      </c>
    </row>
    <row r="640" spans="1:12" ht="24.75" x14ac:dyDescent="0.25">
      <c r="A640" s="4" t="s">
        <v>6155</v>
      </c>
      <c r="B640" s="2" t="s">
        <v>3122</v>
      </c>
      <c r="C640" s="3">
        <v>4</v>
      </c>
      <c r="D640" s="5">
        <v>14.99</v>
      </c>
      <c r="E640" s="3" t="s">
        <v>3123</v>
      </c>
      <c r="F640" s="2" t="s">
        <v>33</v>
      </c>
      <c r="G640" s="6" t="s">
        <v>154</v>
      </c>
      <c r="H640" s="2" t="s">
        <v>1522</v>
      </c>
      <c r="I640" s="2" t="s">
        <v>1469</v>
      </c>
      <c r="J640" s="2" t="s">
        <v>19</v>
      </c>
      <c r="K640" s="2" t="s">
        <v>495</v>
      </c>
      <c r="L640" s="7" t="str">
        <f t="shared" si="6"/>
        <v xml:space="preserve">http://slimages.macys.com/is/image/MCY/9957413 </v>
      </c>
    </row>
    <row r="641" spans="1:12" ht="24.75" x14ac:dyDescent="0.25">
      <c r="A641" s="4" t="s">
        <v>9222</v>
      </c>
      <c r="B641" s="2" t="s">
        <v>3122</v>
      </c>
      <c r="C641" s="3">
        <v>1</v>
      </c>
      <c r="D641" s="5">
        <v>14.99</v>
      </c>
      <c r="E641" s="3" t="s">
        <v>3123</v>
      </c>
      <c r="F641" s="2" t="s">
        <v>33</v>
      </c>
      <c r="G641" s="6" t="s">
        <v>200</v>
      </c>
      <c r="H641" s="2" t="s">
        <v>1522</v>
      </c>
      <c r="I641" s="2" t="s">
        <v>1469</v>
      </c>
      <c r="J641" s="2" t="s">
        <v>19</v>
      </c>
      <c r="K641" s="2" t="s">
        <v>495</v>
      </c>
      <c r="L641" s="7" t="str">
        <f t="shared" si="6"/>
        <v xml:space="preserve">http://slimages.macys.com/is/image/MCY/9957413 </v>
      </c>
    </row>
    <row r="642" spans="1:12" ht="24.75" x14ac:dyDescent="0.25">
      <c r="A642" s="4" t="s">
        <v>4193</v>
      </c>
      <c r="B642" s="2" t="s">
        <v>3122</v>
      </c>
      <c r="C642" s="3">
        <v>2</v>
      </c>
      <c r="D642" s="5">
        <v>14.99</v>
      </c>
      <c r="E642" s="3" t="s">
        <v>3123</v>
      </c>
      <c r="F642" s="2" t="s">
        <v>79</v>
      </c>
      <c r="G642" s="6" t="s">
        <v>234</v>
      </c>
      <c r="H642" s="2" t="s">
        <v>1522</v>
      </c>
      <c r="I642" s="2" t="s">
        <v>1469</v>
      </c>
      <c r="J642" s="2" t="s">
        <v>19</v>
      </c>
      <c r="K642" s="2" t="s">
        <v>495</v>
      </c>
      <c r="L642" s="7" t="str">
        <f t="shared" si="6"/>
        <v xml:space="preserve">http://slimages.macys.com/is/image/MCY/9957413 </v>
      </c>
    </row>
    <row r="643" spans="1:12" ht="24.75" x14ac:dyDescent="0.25">
      <c r="A643" s="4" t="s">
        <v>6878</v>
      </c>
      <c r="B643" s="2" t="s">
        <v>3122</v>
      </c>
      <c r="C643" s="3">
        <v>1</v>
      </c>
      <c r="D643" s="5">
        <v>14.99</v>
      </c>
      <c r="E643" s="3" t="s">
        <v>3123</v>
      </c>
      <c r="F643" s="2" t="s">
        <v>33</v>
      </c>
      <c r="G643" s="6" t="s">
        <v>181</v>
      </c>
      <c r="H643" s="2" t="s">
        <v>1522</v>
      </c>
      <c r="I643" s="2" t="s">
        <v>1469</v>
      </c>
      <c r="J643" s="2" t="s">
        <v>19</v>
      </c>
      <c r="K643" s="2" t="s">
        <v>495</v>
      </c>
      <c r="L643" s="7" t="str">
        <f t="shared" si="6"/>
        <v xml:space="preserve">http://slimages.macys.com/is/image/MCY/9957413 </v>
      </c>
    </row>
    <row r="644" spans="1:12" ht="24.75" x14ac:dyDescent="0.25">
      <c r="A644" s="4" t="s">
        <v>6156</v>
      </c>
      <c r="B644" s="2" t="s">
        <v>3122</v>
      </c>
      <c r="C644" s="3">
        <v>1</v>
      </c>
      <c r="D644" s="5">
        <v>14.99</v>
      </c>
      <c r="E644" s="3" t="s">
        <v>3123</v>
      </c>
      <c r="F644" s="2" t="s">
        <v>79</v>
      </c>
      <c r="G644" s="6" t="s">
        <v>181</v>
      </c>
      <c r="H644" s="2" t="s">
        <v>1522</v>
      </c>
      <c r="I644" s="2" t="s">
        <v>1469</v>
      </c>
      <c r="J644" s="2" t="s">
        <v>19</v>
      </c>
      <c r="K644" s="2" t="s">
        <v>495</v>
      </c>
      <c r="L644" s="7" t="str">
        <f t="shared" si="6"/>
        <v xml:space="preserve">http://slimages.macys.com/is/image/MCY/9957413 </v>
      </c>
    </row>
    <row r="645" spans="1:12" ht="24.75" x14ac:dyDescent="0.25">
      <c r="A645" s="4" t="s">
        <v>9223</v>
      </c>
      <c r="B645" s="2" t="s">
        <v>3122</v>
      </c>
      <c r="C645" s="3">
        <v>1</v>
      </c>
      <c r="D645" s="5">
        <v>14.99</v>
      </c>
      <c r="E645" s="3" t="s">
        <v>3123</v>
      </c>
      <c r="F645" s="2" t="s">
        <v>33</v>
      </c>
      <c r="G645" s="6" t="s">
        <v>245</v>
      </c>
      <c r="H645" s="2" t="s">
        <v>1522</v>
      </c>
      <c r="I645" s="2" t="s">
        <v>1469</v>
      </c>
      <c r="J645" s="2" t="s">
        <v>19</v>
      </c>
      <c r="K645" s="2" t="s">
        <v>495</v>
      </c>
      <c r="L645" s="7" t="str">
        <f t="shared" si="6"/>
        <v xml:space="preserve">http://slimages.macys.com/is/image/MCY/9957413 </v>
      </c>
    </row>
    <row r="646" spans="1:12" ht="24.75" x14ac:dyDescent="0.25">
      <c r="A646" s="4" t="s">
        <v>8858</v>
      </c>
      <c r="B646" s="2" t="s">
        <v>3128</v>
      </c>
      <c r="C646" s="3">
        <v>1</v>
      </c>
      <c r="D646" s="5">
        <v>14.99</v>
      </c>
      <c r="E646" s="3" t="s">
        <v>3129</v>
      </c>
      <c r="F646" s="2" t="s">
        <v>26</v>
      </c>
      <c r="G646" s="6"/>
      <c r="H646" s="2" t="s">
        <v>1425</v>
      </c>
      <c r="I646" s="2" t="s">
        <v>1426</v>
      </c>
      <c r="J646" s="2" t="s">
        <v>19</v>
      </c>
      <c r="K646" s="2" t="s">
        <v>495</v>
      </c>
      <c r="L646" s="7" t="str">
        <f>HYPERLINK("http://slimages.macys.com/is/image/MCY/12064003 ")</f>
        <v xml:space="preserve">http://slimages.macys.com/is/image/MCY/12064003 </v>
      </c>
    </row>
    <row r="647" spans="1:12" ht="24.75" x14ac:dyDescent="0.25">
      <c r="A647" s="4" t="s">
        <v>4208</v>
      </c>
      <c r="B647" s="2" t="s">
        <v>1954</v>
      </c>
      <c r="C647" s="3">
        <v>1</v>
      </c>
      <c r="D647" s="5">
        <v>18.38</v>
      </c>
      <c r="E647" s="3" t="s">
        <v>1955</v>
      </c>
      <c r="F647" s="2" t="s">
        <v>74</v>
      </c>
      <c r="G647" s="6" t="s">
        <v>156</v>
      </c>
      <c r="H647" s="2" t="s">
        <v>194</v>
      </c>
      <c r="I647" s="2" t="s">
        <v>195</v>
      </c>
      <c r="J647" s="2" t="s">
        <v>19</v>
      </c>
      <c r="K647" s="2" t="s">
        <v>1108</v>
      </c>
      <c r="L647" s="7" t="str">
        <f>HYPERLINK("http://slimages.macys.com/is/image/MCY/13036276 ")</f>
        <v xml:space="preserve">http://slimages.macys.com/is/image/MCY/13036276 </v>
      </c>
    </row>
    <row r="648" spans="1:12" ht="24.75" x14ac:dyDescent="0.25">
      <c r="A648" s="4" t="s">
        <v>9224</v>
      </c>
      <c r="B648" s="2" t="s">
        <v>1954</v>
      </c>
      <c r="C648" s="3">
        <v>1</v>
      </c>
      <c r="D648" s="5">
        <v>18.38</v>
      </c>
      <c r="E648" s="3" t="s">
        <v>8363</v>
      </c>
      <c r="F648" s="2" t="s">
        <v>64</v>
      </c>
      <c r="G648" s="6" t="s">
        <v>156</v>
      </c>
      <c r="H648" s="2" t="s">
        <v>194</v>
      </c>
      <c r="I648" s="2" t="s">
        <v>195</v>
      </c>
      <c r="J648" s="2" t="s">
        <v>19</v>
      </c>
      <c r="K648" s="2" t="s">
        <v>1108</v>
      </c>
      <c r="L648" s="7" t="str">
        <f>HYPERLINK("http://slimages.macys.com/is/image/MCY/13120664 ")</f>
        <v xml:space="preserve">http://slimages.macys.com/is/image/MCY/13120664 </v>
      </c>
    </row>
    <row r="649" spans="1:12" ht="24.75" x14ac:dyDescent="0.25">
      <c r="A649" s="4" t="s">
        <v>1956</v>
      </c>
      <c r="B649" s="2" t="s">
        <v>1954</v>
      </c>
      <c r="C649" s="3">
        <v>1</v>
      </c>
      <c r="D649" s="5">
        <v>18.38</v>
      </c>
      <c r="E649" s="3" t="s">
        <v>1957</v>
      </c>
      <c r="F649" s="2" t="s">
        <v>15</v>
      </c>
      <c r="G649" s="6" t="s">
        <v>156</v>
      </c>
      <c r="H649" s="2" t="s">
        <v>194</v>
      </c>
      <c r="I649" s="2" t="s">
        <v>195</v>
      </c>
      <c r="J649" s="2" t="s">
        <v>19</v>
      </c>
      <c r="K649" s="2" t="s">
        <v>1108</v>
      </c>
      <c r="L649" s="7" t="str">
        <f>HYPERLINK("http://slimages.macys.com/is/image/MCY/13120664 ")</f>
        <v xml:space="preserve">http://slimages.macys.com/is/image/MCY/13120664 </v>
      </c>
    </row>
    <row r="650" spans="1:12" ht="24.75" x14ac:dyDescent="0.25">
      <c r="A650" s="4" t="s">
        <v>3174</v>
      </c>
      <c r="B650" s="2" t="s">
        <v>3175</v>
      </c>
      <c r="C650" s="3">
        <v>1</v>
      </c>
      <c r="D650" s="5">
        <v>14.99</v>
      </c>
      <c r="E650" s="3" t="s">
        <v>3176</v>
      </c>
      <c r="F650" s="2" t="s">
        <v>33</v>
      </c>
      <c r="G650" s="6" t="s">
        <v>234</v>
      </c>
      <c r="H650" s="2" t="s">
        <v>194</v>
      </c>
      <c r="I650" s="2" t="s">
        <v>195</v>
      </c>
      <c r="J650" s="2" t="s">
        <v>19</v>
      </c>
      <c r="K650" s="2" t="s">
        <v>1108</v>
      </c>
      <c r="L650" s="7" t="str">
        <f>HYPERLINK("http://slimages.macys.com/is/image/MCY/11700947 ")</f>
        <v xml:space="preserve">http://slimages.macys.com/is/image/MCY/11700947 </v>
      </c>
    </row>
    <row r="651" spans="1:12" ht="24.75" x14ac:dyDescent="0.25">
      <c r="A651" s="4" t="s">
        <v>1969</v>
      </c>
      <c r="B651" s="2" t="s">
        <v>1970</v>
      </c>
      <c r="C651" s="3">
        <v>1</v>
      </c>
      <c r="D651" s="5">
        <v>14.99</v>
      </c>
      <c r="E651" s="3" t="s">
        <v>1971</v>
      </c>
      <c r="F651" s="2" t="s">
        <v>1945</v>
      </c>
      <c r="G651" s="6" t="s">
        <v>245</v>
      </c>
      <c r="H651" s="2" t="s">
        <v>1522</v>
      </c>
      <c r="I651" s="2" t="s">
        <v>1469</v>
      </c>
      <c r="J651" s="2" t="s">
        <v>19</v>
      </c>
      <c r="K651" s="2" t="s">
        <v>353</v>
      </c>
      <c r="L651" s="7" t="str">
        <f t="shared" ref="L651:L657" si="7">HYPERLINK("http://slimages.macys.com/is/image/MCY/13741861 ")</f>
        <v xml:space="preserve">http://slimages.macys.com/is/image/MCY/13741861 </v>
      </c>
    </row>
    <row r="652" spans="1:12" ht="24.75" x14ac:dyDescent="0.25">
      <c r="A652" s="4" t="s">
        <v>4218</v>
      </c>
      <c r="B652" s="2" t="s">
        <v>1970</v>
      </c>
      <c r="C652" s="3">
        <v>1</v>
      </c>
      <c r="D652" s="5">
        <v>14.99</v>
      </c>
      <c r="E652" s="3" t="s">
        <v>1971</v>
      </c>
      <c r="F652" s="2" t="s">
        <v>64</v>
      </c>
      <c r="G652" s="6" t="s">
        <v>181</v>
      </c>
      <c r="H652" s="2" t="s">
        <v>1522</v>
      </c>
      <c r="I652" s="2" t="s">
        <v>1469</v>
      </c>
      <c r="J652" s="2" t="s">
        <v>19</v>
      </c>
      <c r="K652" s="2" t="s">
        <v>353</v>
      </c>
      <c r="L652" s="7" t="str">
        <f t="shared" si="7"/>
        <v xml:space="preserve">http://slimages.macys.com/is/image/MCY/13741861 </v>
      </c>
    </row>
    <row r="653" spans="1:12" ht="24.75" x14ac:dyDescent="0.25">
      <c r="A653" s="4" t="s">
        <v>9225</v>
      </c>
      <c r="B653" s="2" t="s">
        <v>1970</v>
      </c>
      <c r="C653" s="3">
        <v>1</v>
      </c>
      <c r="D653" s="5">
        <v>14.99</v>
      </c>
      <c r="E653" s="3" t="s">
        <v>1971</v>
      </c>
      <c r="F653" s="2" t="s">
        <v>74</v>
      </c>
      <c r="G653" s="6" t="s">
        <v>181</v>
      </c>
      <c r="H653" s="2" t="s">
        <v>1522</v>
      </c>
      <c r="I653" s="2" t="s">
        <v>1469</v>
      </c>
      <c r="J653" s="2" t="s">
        <v>19</v>
      </c>
      <c r="K653" s="2" t="s">
        <v>353</v>
      </c>
      <c r="L653" s="7" t="str">
        <f t="shared" si="7"/>
        <v xml:space="preserve">http://slimages.macys.com/is/image/MCY/13741861 </v>
      </c>
    </row>
    <row r="654" spans="1:12" ht="24.75" x14ac:dyDescent="0.25">
      <c r="A654" s="4" t="s">
        <v>5210</v>
      </c>
      <c r="B654" s="2" t="s">
        <v>1970</v>
      </c>
      <c r="C654" s="3">
        <v>1</v>
      </c>
      <c r="D654" s="5">
        <v>14.99</v>
      </c>
      <c r="E654" s="3" t="s">
        <v>1971</v>
      </c>
      <c r="F654" s="2" t="s">
        <v>1945</v>
      </c>
      <c r="G654" s="6" t="s">
        <v>156</v>
      </c>
      <c r="H654" s="2" t="s">
        <v>1522</v>
      </c>
      <c r="I654" s="2" t="s">
        <v>1469</v>
      </c>
      <c r="J654" s="2" t="s">
        <v>19</v>
      </c>
      <c r="K654" s="2" t="s">
        <v>353</v>
      </c>
      <c r="L654" s="7" t="str">
        <f t="shared" si="7"/>
        <v xml:space="preserve">http://slimages.macys.com/is/image/MCY/13741861 </v>
      </c>
    </row>
    <row r="655" spans="1:12" ht="24.75" x14ac:dyDescent="0.25">
      <c r="A655" s="4" t="s">
        <v>4219</v>
      </c>
      <c r="B655" s="2" t="s">
        <v>1970</v>
      </c>
      <c r="C655" s="3">
        <v>1</v>
      </c>
      <c r="D655" s="5">
        <v>14.99</v>
      </c>
      <c r="E655" s="3" t="s">
        <v>1971</v>
      </c>
      <c r="F655" s="2" t="s">
        <v>1945</v>
      </c>
      <c r="G655" s="6" t="s">
        <v>234</v>
      </c>
      <c r="H655" s="2" t="s">
        <v>1522</v>
      </c>
      <c r="I655" s="2" t="s">
        <v>1469</v>
      </c>
      <c r="J655" s="2" t="s">
        <v>19</v>
      </c>
      <c r="K655" s="2" t="s">
        <v>353</v>
      </c>
      <c r="L655" s="7" t="str">
        <f t="shared" si="7"/>
        <v xml:space="preserve">http://slimages.macys.com/is/image/MCY/13741861 </v>
      </c>
    </row>
    <row r="656" spans="1:12" ht="24.75" x14ac:dyDescent="0.25">
      <c r="A656" s="4" t="s">
        <v>6173</v>
      </c>
      <c r="B656" s="2" t="s">
        <v>1970</v>
      </c>
      <c r="C656" s="3">
        <v>3</v>
      </c>
      <c r="D656" s="5">
        <v>14.99</v>
      </c>
      <c r="E656" s="3" t="s">
        <v>1971</v>
      </c>
      <c r="F656" s="2" t="s">
        <v>1945</v>
      </c>
      <c r="G656" s="6" t="s">
        <v>181</v>
      </c>
      <c r="H656" s="2" t="s">
        <v>1522</v>
      </c>
      <c r="I656" s="2" t="s">
        <v>1469</v>
      </c>
      <c r="J656" s="2" t="s">
        <v>19</v>
      </c>
      <c r="K656" s="2" t="s">
        <v>353</v>
      </c>
      <c r="L656" s="7" t="str">
        <f t="shared" si="7"/>
        <v xml:space="preserve">http://slimages.macys.com/is/image/MCY/13741861 </v>
      </c>
    </row>
    <row r="657" spans="1:12" ht="24.75" x14ac:dyDescent="0.25">
      <c r="A657" s="4" t="s">
        <v>3177</v>
      </c>
      <c r="B657" s="2" t="s">
        <v>1970</v>
      </c>
      <c r="C657" s="3">
        <v>1</v>
      </c>
      <c r="D657" s="5">
        <v>14.99</v>
      </c>
      <c r="E657" s="3" t="s">
        <v>1971</v>
      </c>
      <c r="F657" s="2" t="s">
        <v>64</v>
      </c>
      <c r="G657" s="6" t="s">
        <v>156</v>
      </c>
      <c r="H657" s="2" t="s">
        <v>1522</v>
      </c>
      <c r="I657" s="2" t="s">
        <v>1469</v>
      </c>
      <c r="J657" s="2" t="s">
        <v>19</v>
      </c>
      <c r="K657" s="2" t="s">
        <v>353</v>
      </c>
      <c r="L657" s="7" t="str">
        <f t="shared" si="7"/>
        <v xml:space="preserve">http://slimages.macys.com/is/image/MCY/13741861 </v>
      </c>
    </row>
    <row r="658" spans="1:12" ht="24.75" x14ac:dyDescent="0.25">
      <c r="A658" s="4" t="s">
        <v>8369</v>
      </c>
      <c r="B658" s="2" t="s">
        <v>1973</v>
      </c>
      <c r="C658" s="3">
        <v>2</v>
      </c>
      <c r="D658" s="5">
        <v>16.989999999999998</v>
      </c>
      <c r="E658" s="3" t="s">
        <v>1974</v>
      </c>
      <c r="F658" s="2" t="s">
        <v>998</v>
      </c>
      <c r="G658" s="6" t="s">
        <v>245</v>
      </c>
      <c r="H658" s="2" t="s">
        <v>1473</v>
      </c>
      <c r="I658" s="2" t="s">
        <v>1864</v>
      </c>
      <c r="J658" s="2" t="s">
        <v>19</v>
      </c>
      <c r="K658" s="2" t="s">
        <v>648</v>
      </c>
      <c r="L658" s="7" t="str">
        <f t="shared" ref="L658:L669" si="8">HYPERLINK("http://slimages.macys.com/is/image/MCY/11634794 ")</f>
        <v xml:space="preserve">http://slimages.macys.com/is/image/MCY/11634794 </v>
      </c>
    </row>
    <row r="659" spans="1:12" ht="24.75" x14ac:dyDescent="0.25">
      <c r="A659" s="4" t="s">
        <v>1982</v>
      </c>
      <c r="B659" s="2" t="s">
        <v>1973</v>
      </c>
      <c r="C659" s="3">
        <v>4</v>
      </c>
      <c r="D659" s="5">
        <v>16.989999999999998</v>
      </c>
      <c r="E659" s="3" t="s">
        <v>1974</v>
      </c>
      <c r="F659" s="2" t="s">
        <v>74</v>
      </c>
      <c r="G659" s="6" t="s">
        <v>156</v>
      </c>
      <c r="H659" s="2" t="s">
        <v>1473</v>
      </c>
      <c r="I659" s="2" t="s">
        <v>1864</v>
      </c>
      <c r="J659" s="2" t="s">
        <v>19</v>
      </c>
      <c r="K659" s="2" t="s">
        <v>648</v>
      </c>
      <c r="L659" s="7" t="str">
        <f t="shared" si="8"/>
        <v xml:space="preserve">http://slimages.macys.com/is/image/MCY/11634794 </v>
      </c>
    </row>
    <row r="660" spans="1:12" ht="24.75" x14ac:dyDescent="0.25">
      <c r="A660" s="4" t="s">
        <v>4230</v>
      </c>
      <c r="B660" s="2" t="s">
        <v>1973</v>
      </c>
      <c r="C660" s="3">
        <v>1</v>
      </c>
      <c r="D660" s="5">
        <v>16.989999999999998</v>
      </c>
      <c r="E660" s="3" t="s">
        <v>1974</v>
      </c>
      <c r="F660" s="2" t="s">
        <v>15</v>
      </c>
      <c r="G660" s="6" t="s">
        <v>154</v>
      </c>
      <c r="H660" s="2" t="s">
        <v>1473</v>
      </c>
      <c r="I660" s="2" t="s">
        <v>1864</v>
      </c>
      <c r="J660" s="2" t="s">
        <v>19</v>
      </c>
      <c r="K660" s="2" t="s">
        <v>648</v>
      </c>
      <c r="L660" s="7" t="str">
        <f t="shared" si="8"/>
        <v xml:space="preserve">http://slimages.macys.com/is/image/MCY/11634794 </v>
      </c>
    </row>
    <row r="661" spans="1:12" ht="24.75" x14ac:dyDescent="0.25">
      <c r="A661" s="4" t="s">
        <v>3185</v>
      </c>
      <c r="B661" s="2" t="s">
        <v>1973</v>
      </c>
      <c r="C661" s="3">
        <v>2</v>
      </c>
      <c r="D661" s="5">
        <v>16.989999999999998</v>
      </c>
      <c r="E661" s="3" t="s">
        <v>1974</v>
      </c>
      <c r="F661" s="2" t="s">
        <v>998</v>
      </c>
      <c r="G661" s="6" t="s">
        <v>154</v>
      </c>
      <c r="H661" s="2" t="s">
        <v>1473</v>
      </c>
      <c r="I661" s="2" t="s">
        <v>1864</v>
      </c>
      <c r="J661" s="2" t="s">
        <v>19</v>
      </c>
      <c r="K661" s="2" t="s">
        <v>648</v>
      </c>
      <c r="L661" s="7" t="str">
        <f t="shared" si="8"/>
        <v xml:space="preserve">http://slimages.macys.com/is/image/MCY/11634794 </v>
      </c>
    </row>
    <row r="662" spans="1:12" ht="24.75" x14ac:dyDescent="0.25">
      <c r="A662" s="4" t="s">
        <v>8368</v>
      </c>
      <c r="B662" s="2" t="s">
        <v>1973</v>
      </c>
      <c r="C662" s="3">
        <v>1</v>
      </c>
      <c r="D662" s="5">
        <v>16.989999999999998</v>
      </c>
      <c r="E662" s="3" t="s">
        <v>1974</v>
      </c>
      <c r="F662" s="2" t="s">
        <v>998</v>
      </c>
      <c r="G662" s="6" t="s">
        <v>234</v>
      </c>
      <c r="H662" s="2" t="s">
        <v>1473</v>
      </c>
      <c r="I662" s="2" t="s">
        <v>1864</v>
      </c>
      <c r="J662" s="2" t="s">
        <v>19</v>
      </c>
      <c r="K662" s="2" t="s">
        <v>648</v>
      </c>
      <c r="L662" s="7" t="str">
        <f t="shared" si="8"/>
        <v xml:space="preserve">http://slimages.macys.com/is/image/MCY/11634794 </v>
      </c>
    </row>
    <row r="663" spans="1:12" ht="24.75" x14ac:dyDescent="0.25">
      <c r="A663" s="4" t="s">
        <v>3195</v>
      </c>
      <c r="B663" s="2" t="s">
        <v>1973</v>
      </c>
      <c r="C663" s="3">
        <v>4</v>
      </c>
      <c r="D663" s="5">
        <v>16.989999999999998</v>
      </c>
      <c r="E663" s="3" t="s">
        <v>1974</v>
      </c>
      <c r="F663" s="2" t="s">
        <v>74</v>
      </c>
      <c r="G663" s="6" t="s">
        <v>181</v>
      </c>
      <c r="H663" s="2" t="s">
        <v>1473</v>
      </c>
      <c r="I663" s="2" t="s">
        <v>1864</v>
      </c>
      <c r="J663" s="2" t="s">
        <v>19</v>
      </c>
      <c r="K663" s="2" t="s">
        <v>648</v>
      </c>
      <c r="L663" s="7" t="str">
        <f t="shared" si="8"/>
        <v xml:space="preserve">http://slimages.macys.com/is/image/MCY/11634794 </v>
      </c>
    </row>
    <row r="664" spans="1:12" ht="24.75" x14ac:dyDescent="0.25">
      <c r="A664" s="4" t="s">
        <v>1983</v>
      </c>
      <c r="B664" s="2" t="s">
        <v>1973</v>
      </c>
      <c r="C664" s="3">
        <v>2</v>
      </c>
      <c r="D664" s="5">
        <v>16.989999999999998</v>
      </c>
      <c r="E664" s="3" t="s">
        <v>1974</v>
      </c>
      <c r="F664" s="2" t="s">
        <v>998</v>
      </c>
      <c r="G664" s="6" t="s">
        <v>156</v>
      </c>
      <c r="H664" s="2" t="s">
        <v>1473</v>
      </c>
      <c r="I664" s="2" t="s">
        <v>1864</v>
      </c>
      <c r="J664" s="2" t="s">
        <v>19</v>
      </c>
      <c r="K664" s="2" t="s">
        <v>648</v>
      </c>
      <c r="L664" s="7" t="str">
        <f t="shared" si="8"/>
        <v xml:space="preserve">http://slimages.macys.com/is/image/MCY/11634794 </v>
      </c>
    </row>
    <row r="665" spans="1:12" ht="24.75" x14ac:dyDescent="0.25">
      <c r="A665" s="4" t="s">
        <v>3189</v>
      </c>
      <c r="B665" s="2" t="s">
        <v>1973</v>
      </c>
      <c r="C665" s="3">
        <v>2</v>
      </c>
      <c r="D665" s="5">
        <v>16.989999999999998</v>
      </c>
      <c r="E665" s="3" t="s">
        <v>1974</v>
      </c>
      <c r="F665" s="2" t="s">
        <v>74</v>
      </c>
      <c r="G665" s="6" t="s">
        <v>245</v>
      </c>
      <c r="H665" s="2" t="s">
        <v>1473</v>
      </c>
      <c r="I665" s="2" t="s">
        <v>1864</v>
      </c>
      <c r="J665" s="2" t="s">
        <v>19</v>
      </c>
      <c r="K665" s="2" t="s">
        <v>648</v>
      </c>
      <c r="L665" s="7" t="str">
        <f t="shared" si="8"/>
        <v xml:space="preserve">http://slimages.macys.com/is/image/MCY/11634794 </v>
      </c>
    </row>
    <row r="666" spans="1:12" ht="24.75" x14ac:dyDescent="0.25">
      <c r="A666" s="4" t="s">
        <v>1984</v>
      </c>
      <c r="B666" s="2" t="s">
        <v>1973</v>
      </c>
      <c r="C666" s="3">
        <v>1</v>
      </c>
      <c r="D666" s="5">
        <v>16.989999999999998</v>
      </c>
      <c r="E666" s="3" t="s">
        <v>1974</v>
      </c>
      <c r="F666" s="2" t="s">
        <v>15</v>
      </c>
      <c r="G666" s="6" t="s">
        <v>245</v>
      </c>
      <c r="H666" s="2" t="s">
        <v>1473</v>
      </c>
      <c r="I666" s="2" t="s">
        <v>1864</v>
      </c>
      <c r="J666" s="2" t="s">
        <v>19</v>
      </c>
      <c r="K666" s="2" t="s">
        <v>648</v>
      </c>
      <c r="L666" s="7" t="str">
        <f t="shared" si="8"/>
        <v xml:space="preserve">http://slimages.macys.com/is/image/MCY/11634794 </v>
      </c>
    </row>
    <row r="667" spans="1:12" ht="24.75" x14ac:dyDescent="0.25">
      <c r="A667" s="4" t="s">
        <v>3197</v>
      </c>
      <c r="B667" s="2" t="s">
        <v>1973</v>
      </c>
      <c r="C667" s="3">
        <v>1</v>
      </c>
      <c r="D667" s="5">
        <v>16.989999999999998</v>
      </c>
      <c r="E667" s="3" t="s">
        <v>1974</v>
      </c>
      <c r="F667" s="2" t="s">
        <v>998</v>
      </c>
      <c r="G667" s="6" t="s">
        <v>181</v>
      </c>
      <c r="H667" s="2" t="s">
        <v>1473</v>
      </c>
      <c r="I667" s="2" t="s">
        <v>1864</v>
      </c>
      <c r="J667" s="2" t="s">
        <v>19</v>
      </c>
      <c r="K667" s="2" t="s">
        <v>648</v>
      </c>
      <c r="L667" s="7" t="str">
        <f t="shared" si="8"/>
        <v xml:space="preserve">http://slimages.macys.com/is/image/MCY/11634794 </v>
      </c>
    </row>
    <row r="668" spans="1:12" ht="24.75" x14ac:dyDescent="0.25">
      <c r="A668" s="4" t="s">
        <v>3193</v>
      </c>
      <c r="B668" s="2" t="s">
        <v>1973</v>
      </c>
      <c r="C668" s="3">
        <v>1</v>
      </c>
      <c r="D668" s="5">
        <v>16.989999999999998</v>
      </c>
      <c r="E668" s="3" t="s">
        <v>1974</v>
      </c>
      <c r="F668" s="2" t="s">
        <v>252</v>
      </c>
      <c r="G668" s="6" t="s">
        <v>181</v>
      </c>
      <c r="H668" s="2" t="s">
        <v>1473</v>
      </c>
      <c r="I668" s="2" t="s">
        <v>1864</v>
      </c>
      <c r="J668" s="2" t="s">
        <v>19</v>
      </c>
      <c r="K668" s="2" t="s">
        <v>648</v>
      </c>
      <c r="L668" s="7" t="str">
        <f t="shared" si="8"/>
        <v xml:space="preserve">http://slimages.macys.com/is/image/MCY/11634794 </v>
      </c>
    </row>
    <row r="669" spans="1:12" ht="24.75" x14ac:dyDescent="0.25">
      <c r="A669" s="4" t="s">
        <v>3194</v>
      </c>
      <c r="B669" s="2" t="s">
        <v>1973</v>
      </c>
      <c r="C669" s="3">
        <v>2</v>
      </c>
      <c r="D669" s="5">
        <v>16.989999999999998</v>
      </c>
      <c r="E669" s="3" t="s">
        <v>1974</v>
      </c>
      <c r="F669" s="2" t="s">
        <v>74</v>
      </c>
      <c r="G669" s="6" t="s">
        <v>154</v>
      </c>
      <c r="H669" s="2" t="s">
        <v>1473</v>
      </c>
      <c r="I669" s="2" t="s">
        <v>1864</v>
      </c>
      <c r="J669" s="2" t="s">
        <v>19</v>
      </c>
      <c r="K669" s="2" t="s">
        <v>648</v>
      </c>
      <c r="L669" s="7" t="str">
        <f t="shared" si="8"/>
        <v xml:space="preserve">http://slimages.macys.com/is/image/MCY/11634794 </v>
      </c>
    </row>
    <row r="670" spans="1:12" ht="24.75" x14ac:dyDescent="0.25">
      <c r="A670" s="4" t="s">
        <v>3190</v>
      </c>
      <c r="B670" s="2" t="s">
        <v>1973</v>
      </c>
      <c r="C670" s="3">
        <v>1</v>
      </c>
      <c r="D670" s="5">
        <v>16.989999999999998</v>
      </c>
      <c r="E670" s="3" t="s">
        <v>1976</v>
      </c>
      <c r="F670" s="2" t="s">
        <v>998</v>
      </c>
      <c r="G670" s="6"/>
      <c r="H670" s="2" t="s">
        <v>1425</v>
      </c>
      <c r="I670" s="2" t="s">
        <v>1864</v>
      </c>
      <c r="J670" s="2" t="s">
        <v>19</v>
      </c>
      <c r="K670" s="2" t="s">
        <v>648</v>
      </c>
      <c r="L670" s="7" t="str">
        <f>HYPERLINK("http://slimages.macys.com/is/image/MCY/11634785 ")</f>
        <v xml:space="preserve">http://slimages.macys.com/is/image/MCY/11634785 </v>
      </c>
    </row>
    <row r="671" spans="1:12" ht="24.75" x14ac:dyDescent="0.25">
      <c r="A671" s="4" t="s">
        <v>3187</v>
      </c>
      <c r="B671" s="2" t="s">
        <v>1973</v>
      </c>
      <c r="C671" s="3">
        <v>1</v>
      </c>
      <c r="D671" s="5">
        <v>16.989999999999998</v>
      </c>
      <c r="E671" s="3" t="s">
        <v>1976</v>
      </c>
      <c r="F671" s="2" t="s">
        <v>998</v>
      </c>
      <c r="G671" s="6" t="s">
        <v>219</v>
      </c>
      <c r="H671" s="2" t="s">
        <v>1425</v>
      </c>
      <c r="I671" s="2" t="s">
        <v>1864</v>
      </c>
      <c r="J671" s="2" t="s">
        <v>19</v>
      </c>
      <c r="K671" s="2" t="s">
        <v>648</v>
      </c>
      <c r="L671" s="7" t="str">
        <f>HYPERLINK("http://slimages.macys.com/is/image/MCY/11634785 ")</f>
        <v xml:space="preserve">http://slimages.macys.com/is/image/MCY/11634785 </v>
      </c>
    </row>
    <row r="672" spans="1:12" ht="24.75" x14ac:dyDescent="0.25">
      <c r="A672" s="4" t="s">
        <v>1981</v>
      </c>
      <c r="B672" s="2" t="s">
        <v>1973</v>
      </c>
      <c r="C672" s="3">
        <v>1</v>
      </c>
      <c r="D672" s="5">
        <v>16.989999999999998</v>
      </c>
      <c r="E672" s="3" t="s">
        <v>1976</v>
      </c>
      <c r="F672" s="2" t="s">
        <v>998</v>
      </c>
      <c r="G672" s="6"/>
      <c r="H672" s="2" t="s">
        <v>1425</v>
      </c>
      <c r="I672" s="2" t="s">
        <v>1864</v>
      </c>
      <c r="J672" s="2" t="s">
        <v>19</v>
      </c>
      <c r="K672" s="2" t="s">
        <v>648</v>
      </c>
      <c r="L672" s="7" t="str">
        <f>HYPERLINK("http://slimages.macys.com/is/image/MCY/11634785 ")</f>
        <v xml:space="preserve">http://slimages.macys.com/is/image/MCY/11634785 </v>
      </c>
    </row>
    <row r="673" spans="1:12" ht="24.75" x14ac:dyDescent="0.25">
      <c r="A673" s="4" t="s">
        <v>1986</v>
      </c>
      <c r="B673" s="2" t="s">
        <v>1973</v>
      </c>
      <c r="C673" s="3">
        <v>3</v>
      </c>
      <c r="D673" s="5">
        <v>16.989999999999998</v>
      </c>
      <c r="E673" s="3" t="s">
        <v>1974</v>
      </c>
      <c r="F673" s="2" t="s">
        <v>74</v>
      </c>
      <c r="G673" s="6" t="s">
        <v>234</v>
      </c>
      <c r="H673" s="2" t="s">
        <v>1473</v>
      </c>
      <c r="I673" s="2" t="s">
        <v>1864</v>
      </c>
      <c r="J673" s="2" t="s">
        <v>19</v>
      </c>
      <c r="K673" s="2" t="s">
        <v>648</v>
      </c>
      <c r="L673" s="7" t="str">
        <f>HYPERLINK("http://slimages.macys.com/is/image/MCY/11634794 ")</f>
        <v xml:space="preserve">http://slimages.macys.com/is/image/MCY/11634794 </v>
      </c>
    </row>
    <row r="674" spans="1:12" ht="24.75" x14ac:dyDescent="0.25">
      <c r="A674" s="4" t="s">
        <v>3196</v>
      </c>
      <c r="B674" s="2" t="s">
        <v>1973</v>
      </c>
      <c r="C674" s="3">
        <v>1</v>
      </c>
      <c r="D674" s="5">
        <v>16.989999999999998</v>
      </c>
      <c r="E674" s="3" t="s">
        <v>1974</v>
      </c>
      <c r="F674" s="2" t="s">
        <v>15</v>
      </c>
      <c r="G674" s="6" t="s">
        <v>181</v>
      </c>
      <c r="H674" s="2" t="s">
        <v>1473</v>
      </c>
      <c r="I674" s="2" t="s">
        <v>1864</v>
      </c>
      <c r="J674" s="2" t="s">
        <v>19</v>
      </c>
      <c r="K674" s="2" t="s">
        <v>648</v>
      </c>
      <c r="L674" s="7" t="str">
        <f>HYPERLINK("http://slimages.macys.com/is/image/MCY/11634794 ")</f>
        <v xml:space="preserve">http://slimages.macys.com/is/image/MCY/11634794 </v>
      </c>
    </row>
    <row r="675" spans="1:12" ht="24.75" x14ac:dyDescent="0.25">
      <c r="A675" s="4" t="s">
        <v>4226</v>
      </c>
      <c r="B675" s="2" t="s">
        <v>1973</v>
      </c>
      <c r="C675" s="3">
        <v>2</v>
      </c>
      <c r="D675" s="5">
        <v>16.989999999999998</v>
      </c>
      <c r="E675" s="3" t="s">
        <v>1974</v>
      </c>
      <c r="F675" s="2" t="s">
        <v>15</v>
      </c>
      <c r="G675" s="6" t="s">
        <v>234</v>
      </c>
      <c r="H675" s="2" t="s">
        <v>1473</v>
      </c>
      <c r="I675" s="2" t="s">
        <v>1864</v>
      </c>
      <c r="J675" s="2" t="s">
        <v>19</v>
      </c>
      <c r="K675" s="2" t="s">
        <v>648</v>
      </c>
      <c r="L675" s="7" t="str">
        <f>HYPERLINK("http://slimages.macys.com/is/image/MCY/11634794 ")</f>
        <v xml:space="preserve">http://slimages.macys.com/is/image/MCY/11634794 </v>
      </c>
    </row>
    <row r="676" spans="1:12" ht="24.75" x14ac:dyDescent="0.25">
      <c r="A676" s="4" t="s">
        <v>3202</v>
      </c>
      <c r="B676" s="2" t="s">
        <v>1988</v>
      </c>
      <c r="C676" s="3">
        <v>1</v>
      </c>
      <c r="D676" s="5">
        <v>14.99</v>
      </c>
      <c r="E676" s="3" t="s">
        <v>1991</v>
      </c>
      <c r="F676" s="2" t="s">
        <v>70</v>
      </c>
      <c r="G676" s="6" t="s">
        <v>154</v>
      </c>
      <c r="H676" s="2" t="s">
        <v>1473</v>
      </c>
      <c r="I676" s="2" t="s">
        <v>1426</v>
      </c>
      <c r="J676" s="2" t="s">
        <v>19</v>
      </c>
      <c r="K676" s="2" t="s">
        <v>648</v>
      </c>
      <c r="L676" s="7" t="str">
        <f t="shared" ref="L676:L681" si="9">HYPERLINK("http://slimages.macys.com/is/image/MCY/12767912 ")</f>
        <v xml:space="preserve">http://slimages.macys.com/is/image/MCY/12767912 </v>
      </c>
    </row>
    <row r="677" spans="1:12" ht="24.75" x14ac:dyDescent="0.25">
      <c r="A677" s="4" t="s">
        <v>6178</v>
      </c>
      <c r="B677" s="2" t="s">
        <v>1988</v>
      </c>
      <c r="C677" s="3">
        <v>1</v>
      </c>
      <c r="D677" s="5">
        <v>14.99</v>
      </c>
      <c r="E677" s="3" t="s">
        <v>1991</v>
      </c>
      <c r="F677" s="2" t="s">
        <v>413</v>
      </c>
      <c r="G677" s="6" t="s">
        <v>154</v>
      </c>
      <c r="H677" s="2" t="s">
        <v>1473</v>
      </c>
      <c r="I677" s="2" t="s">
        <v>1426</v>
      </c>
      <c r="J677" s="2" t="s">
        <v>19</v>
      </c>
      <c r="K677" s="2" t="s">
        <v>648</v>
      </c>
      <c r="L677" s="7" t="str">
        <f t="shared" si="9"/>
        <v xml:space="preserve">http://slimages.macys.com/is/image/MCY/12767912 </v>
      </c>
    </row>
    <row r="678" spans="1:12" ht="24.75" x14ac:dyDescent="0.25">
      <c r="A678" s="4" t="s">
        <v>3200</v>
      </c>
      <c r="B678" s="2" t="s">
        <v>1988</v>
      </c>
      <c r="C678" s="3">
        <v>1</v>
      </c>
      <c r="D678" s="5">
        <v>14.99</v>
      </c>
      <c r="E678" s="3" t="s">
        <v>1991</v>
      </c>
      <c r="F678" s="2" t="s">
        <v>26</v>
      </c>
      <c r="G678" s="6" t="s">
        <v>181</v>
      </c>
      <c r="H678" s="2" t="s">
        <v>1473</v>
      </c>
      <c r="I678" s="2" t="s">
        <v>1426</v>
      </c>
      <c r="J678" s="2" t="s">
        <v>19</v>
      </c>
      <c r="K678" s="2" t="s">
        <v>648</v>
      </c>
      <c r="L678" s="7" t="str">
        <f t="shared" si="9"/>
        <v xml:space="preserve">http://slimages.macys.com/is/image/MCY/12767912 </v>
      </c>
    </row>
    <row r="679" spans="1:12" ht="24.75" x14ac:dyDescent="0.25">
      <c r="A679" s="4" t="s">
        <v>8868</v>
      </c>
      <c r="B679" s="2" t="s">
        <v>1988</v>
      </c>
      <c r="C679" s="3">
        <v>1</v>
      </c>
      <c r="D679" s="5">
        <v>14.99</v>
      </c>
      <c r="E679" s="3" t="s">
        <v>1991</v>
      </c>
      <c r="F679" s="2" t="s">
        <v>33</v>
      </c>
      <c r="G679" s="6" t="s">
        <v>234</v>
      </c>
      <c r="H679" s="2" t="s">
        <v>1473</v>
      </c>
      <c r="I679" s="2" t="s">
        <v>1426</v>
      </c>
      <c r="J679" s="2" t="s">
        <v>19</v>
      </c>
      <c r="K679" s="2" t="s">
        <v>648</v>
      </c>
      <c r="L679" s="7" t="str">
        <f t="shared" si="9"/>
        <v xml:space="preserve">http://slimages.macys.com/is/image/MCY/12767912 </v>
      </c>
    </row>
    <row r="680" spans="1:12" ht="24.75" x14ac:dyDescent="0.25">
      <c r="A680" s="4" t="s">
        <v>1995</v>
      </c>
      <c r="B680" s="2" t="s">
        <v>1988</v>
      </c>
      <c r="C680" s="3">
        <v>2</v>
      </c>
      <c r="D680" s="5">
        <v>14.99</v>
      </c>
      <c r="E680" s="3" t="s">
        <v>1991</v>
      </c>
      <c r="F680" s="2" t="s">
        <v>413</v>
      </c>
      <c r="G680" s="6" t="s">
        <v>181</v>
      </c>
      <c r="H680" s="2" t="s">
        <v>1473</v>
      </c>
      <c r="I680" s="2" t="s">
        <v>1426</v>
      </c>
      <c r="J680" s="2" t="s">
        <v>19</v>
      </c>
      <c r="K680" s="2" t="s">
        <v>648</v>
      </c>
      <c r="L680" s="7" t="str">
        <f t="shared" si="9"/>
        <v xml:space="preserve">http://slimages.macys.com/is/image/MCY/12767912 </v>
      </c>
    </row>
    <row r="681" spans="1:12" ht="24.75" x14ac:dyDescent="0.25">
      <c r="A681" s="4" t="s">
        <v>3213</v>
      </c>
      <c r="B681" s="2" t="s">
        <v>1988</v>
      </c>
      <c r="C681" s="3">
        <v>3</v>
      </c>
      <c r="D681" s="5">
        <v>14.99</v>
      </c>
      <c r="E681" s="3" t="s">
        <v>1991</v>
      </c>
      <c r="F681" s="2" t="s">
        <v>26</v>
      </c>
      <c r="G681" s="6" t="s">
        <v>154</v>
      </c>
      <c r="H681" s="2" t="s">
        <v>1473</v>
      </c>
      <c r="I681" s="2" t="s">
        <v>1426</v>
      </c>
      <c r="J681" s="2" t="s">
        <v>19</v>
      </c>
      <c r="K681" s="2" t="s">
        <v>648</v>
      </c>
      <c r="L681" s="7" t="str">
        <f t="shared" si="9"/>
        <v xml:space="preserve">http://slimages.macys.com/is/image/MCY/12767912 </v>
      </c>
    </row>
    <row r="682" spans="1:12" ht="24.75" x14ac:dyDescent="0.25">
      <c r="A682" s="4" t="s">
        <v>6182</v>
      </c>
      <c r="B682" s="2" t="s">
        <v>1988</v>
      </c>
      <c r="C682" s="3">
        <v>1</v>
      </c>
      <c r="D682" s="5">
        <v>14.99</v>
      </c>
      <c r="E682" s="3" t="s">
        <v>1989</v>
      </c>
      <c r="F682" s="2" t="s">
        <v>15</v>
      </c>
      <c r="G682" s="6"/>
      <c r="H682" s="2" t="s">
        <v>1425</v>
      </c>
      <c r="I682" s="2" t="s">
        <v>1426</v>
      </c>
      <c r="J682" s="2" t="s">
        <v>19</v>
      </c>
      <c r="K682" s="2" t="s">
        <v>648</v>
      </c>
      <c r="L682" s="7" t="str">
        <f>HYPERLINK("http://slimages.macys.com/is/image/MCY/11678994 ")</f>
        <v xml:space="preserve">http://slimages.macys.com/is/image/MCY/11678994 </v>
      </c>
    </row>
    <row r="683" spans="1:12" ht="24.75" x14ac:dyDescent="0.25">
      <c r="A683" s="4" t="s">
        <v>1987</v>
      </c>
      <c r="B683" s="2" t="s">
        <v>1988</v>
      </c>
      <c r="C683" s="3">
        <v>1</v>
      </c>
      <c r="D683" s="5">
        <v>14.99</v>
      </c>
      <c r="E683" s="3" t="s">
        <v>1989</v>
      </c>
      <c r="F683" s="2" t="s">
        <v>26</v>
      </c>
      <c r="G683" s="6"/>
      <c r="H683" s="2" t="s">
        <v>1425</v>
      </c>
      <c r="I683" s="2" t="s">
        <v>1426</v>
      </c>
      <c r="J683" s="2" t="s">
        <v>19</v>
      </c>
      <c r="K683" s="2" t="s">
        <v>648</v>
      </c>
      <c r="L683" s="7" t="str">
        <f>HYPERLINK("http://slimages.macys.com/is/image/MCY/11678994 ")</f>
        <v xml:space="preserve">http://slimages.macys.com/is/image/MCY/11678994 </v>
      </c>
    </row>
    <row r="684" spans="1:12" ht="24.75" x14ac:dyDescent="0.25">
      <c r="A684" s="4" t="s">
        <v>7698</v>
      </c>
      <c r="B684" s="2" t="s">
        <v>1988</v>
      </c>
      <c r="C684" s="3">
        <v>1</v>
      </c>
      <c r="D684" s="5">
        <v>14.99</v>
      </c>
      <c r="E684" s="3" t="s">
        <v>1991</v>
      </c>
      <c r="F684" s="2" t="s">
        <v>15</v>
      </c>
      <c r="G684" s="6" t="s">
        <v>181</v>
      </c>
      <c r="H684" s="2" t="s">
        <v>1473</v>
      </c>
      <c r="I684" s="2" t="s">
        <v>1426</v>
      </c>
      <c r="J684" s="2" t="s">
        <v>19</v>
      </c>
      <c r="K684" s="2" t="s">
        <v>648</v>
      </c>
      <c r="L684" s="7" t="str">
        <f>HYPERLINK("http://slimages.macys.com/is/image/MCY/12767912 ")</f>
        <v xml:space="preserve">http://slimages.macys.com/is/image/MCY/12767912 </v>
      </c>
    </row>
    <row r="685" spans="1:12" ht="24.75" x14ac:dyDescent="0.25">
      <c r="A685" s="4" t="s">
        <v>9226</v>
      </c>
      <c r="B685" s="2" t="s">
        <v>1988</v>
      </c>
      <c r="C685" s="3">
        <v>1</v>
      </c>
      <c r="D685" s="5">
        <v>14.99</v>
      </c>
      <c r="E685" s="3" t="s">
        <v>1991</v>
      </c>
      <c r="F685" s="2" t="s">
        <v>15</v>
      </c>
      <c r="G685" s="6" t="s">
        <v>154</v>
      </c>
      <c r="H685" s="2" t="s">
        <v>1473</v>
      </c>
      <c r="I685" s="2" t="s">
        <v>1426</v>
      </c>
      <c r="J685" s="2" t="s">
        <v>19</v>
      </c>
      <c r="K685" s="2" t="s">
        <v>648</v>
      </c>
      <c r="L685" s="7" t="str">
        <f>HYPERLINK("http://slimages.macys.com/is/image/MCY/12767912 ")</f>
        <v xml:space="preserve">http://slimages.macys.com/is/image/MCY/12767912 </v>
      </c>
    </row>
    <row r="686" spans="1:12" ht="24.75" x14ac:dyDescent="0.25">
      <c r="A686" s="4" t="s">
        <v>9227</v>
      </c>
      <c r="B686" s="2" t="s">
        <v>4245</v>
      </c>
      <c r="C686" s="3">
        <v>1</v>
      </c>
      <c r="D686" s="5">
        <v>12.99</v>
      </c>
      <c r="E686" s="3" t="s">
        <v>4248</v>
      </c>
      <c r="F686" s="2" t="s">
        <v>1322</v>
      </c>
      <c r="G686" s="6" t="s">
        <v>156</v>
      </c>
      <c r="H686" s="2" t="s">
        <v>194</v>
      </c>
      <c r="I686" s="2" t="s">
        <v>195</v>
      </c>
      <c r="J686" s="2" t="s">
        <v>19</v>
      </c>
      <c r="K686" s="2" t="s">
        <v>648</v>
      </c>
      <c r="L686" s="7" t="str">
        <f>HYPERLINK("http://slimages.macys.com/is/image/MCY/11279167 ")</f>
        <v xml:space="preserve">http://slimages.macys.com/is/image/MCY/11279167 </v>
      </c>
    </row>
    <row r="687" spans="1:12" ht="24.75" x14ac:dyDescent="0.25">
      <c r="A687" s="4" t="s">
        <v>5227</v>
      </c>
      <c r="B687" s="2" t="s">
        <v>2002</v>
      </c>
      <c r="C687" s="3">
        <v>1</v>
      </c>
      <c r="D687" s="5">
        <v>12.99</v>
      </c>
      <c r="E687" s="3" t="s">
        <v>2003</v>
      </c>
      <c r="F687" s="2" t="s">
        <v>33</v>
      </c>
      <c r="G687" s="6" t="s">
        <v>154</v>
      </c>
      <c r="H687" s="2" t="s">
        <v>194</v>
      </c>
      <c r="I687" s="2" t="s">
        <v>195</v>
      </c>
      <c r="J687" s="2" t="s">
        <v>19</v>
      </c>
      <c r="K687" s="2" t="s">
        <v>107</v>
      </c>
      <c r="L687" s="7" t="str">
        <f>HYPERLINK("http://slimages.macys.com/is/image/MCY/12063874 ")</f>
        <v xml:space="preserve">http://slimages.macys.com/is/image/MCY/12063874 </v>
      </c>
    </row>
    <row r="688" spans="1:12" ht="24.75" x14ac:dyDescent="0.25">
      <c r="A688" s="4" t="s">
        <v>6905</v>
      </c>
      <c r="B688" s="2" t="s">
        <v>2002</v>
      </c>
      <c r="C688" s="3">
        <v>1</v>
      </c>
      <c r="D688" s="5">
        <v>12.99</v>
      </c>
      <c r="E688" s="3" t="s">
        <v>2003</v>
      </c>
      <c r="F688" s="2" t="s">
        <v>33</v>
      </c>
      <c r="G688" s="6" t="s">
        <v>234</v>
      </c>
      <c r="H688" s="2" t="s">
        <v>194</v>
      </c>
      <c r="I688" s="2" t="s">
        <v>195</v>
      </c>
      <c r="J688" s="2" t="s">
        <v>19</v>
      </c>
      <c r="K688" s="2" t="s">
        <v>107</v>
      </c>
      <c r="L688" s="7" t="str">
        <f>HYPERLINK("http://slimages.macys.com/is/image/MCY/12063874 ")</f>
        <v xml:space="preserve">http://slimages.macys.com/is/image/MCY/12063874 </v>
      </c>
    </row>
    <row r="689" spans="1:12" ht="24.75" x14ac:dyDescent="0.25">
      <c r="A689" s="4" t="s">
        <v>6906</v>
      </c>
      <c r="B689" s="2" t="s">
        <v>2002</v>
      </c>
      <c r="C689" s="3">
        <v>2</v>
      </c>
      <c r="D689" s="5">
        <v>12.99</v>
      </c>
      <c r="E689" s="3" t="s">
        <v>2003</v>
      </c>
      <c r="F689" s="2" t="s">
        <v>33</v>
      </c>
      <c r="G689" s="6" t="s">
        <v>181</v>
      </c>
      <c r="H689" s="2" t="s">
        <v>194</v>
      </c>
      <c r="I689" s="2" t="s">
        <v>195</v>
      </c>
      <c r="J689" s="2" t="s">
        <v>19</v>
      </c>
      <c r="K689" s="2" t="s">
        <v>107</v>
      </c>
      <c r="L689" s="7" t="str">
        <f>HYPERLINK("http://slimages.macys.com/is/image/MCY/12063874 ")</f>
        <v xml:space="preserve">http://slimages.macys.com/is/image/MCY/12063874 </v>
      </c>
    </row>
    <row r="690" spans="1:12" ht="24.75" x14ac:dyDescent="0.25">
      <c r="A690" s="4" t="s">
        <v>2001</v>
      </c>
      <c r="B690" s="2" t="s">
        <v>2002</v>
      </c>
      <c r="C690" s="3">
        <v>1</v>
      </c>
      <c r="D690" s="5">
        <v>12.99</v>
      </c>
      <c r="E690" s="3" t="s">
        <v>2003</v>
      </c>
      <c r="F690" s="2" t="s">
        <v>33</v>
      </c>
      <c r="G690" s="6" t="s">
        <v>156</v>
      </c>
      <c r="H690" s="2" t="s">
        <v>194</v>
      </c>
      <c r="I690" s="2" t="s">
        <v>195</v>
      </c>
      <c r="J690" s="2" t="s">
        <v>19</v>
      </c>
      <c r="K690" s="2" t="s">
        <v>107</v>
      </c>
      <c r="L690" s="7" t="str">
        <f>HYPERLINK("http://slimages.macys.com/is/image/MCY/12063874 ")</f>
        <v xml:space="preserve">http://slimages.macys.com/is/image/MCY/12063874 </v>
      </c>
    </row>
    <row r="691" spans="1:12" ht="24.75" x14ac:dyDescent="0.25">
      <c r="A691" s="4" t="s">
        <v>6908</v>
      </c>
      <c r="B691" s="2" t="s">
        <v>2005</v>
      </c>
      <c r="C691" s="3">
        <v>2</v>
      </c>
      <c r="D691" s="5">
        <v>14.99</v>
      </c>
      <c r="E691" s="3" t="s">
        <v>2006</v>
      </c>
      <c r="F691" s="2" t="s">
        <v>26</v>
      </c>
      <c r="G691" s="6" t="s">
        <v>154</v>
      </c>
      <c r="H691" s="2" t="s">
        <v>1522</v>
      </c>
      <c r="I691" s="2" t="s">
        <v>1469</v>
      </c>
      <c r="J691" s="2" t="s">
        <v>19</v>
      </c>
      <c r="K691" s="2" t="s">
        <v>353</v>
      </c>
      <c r="L691" s="7" t="str">
        <f t="shared" ref="L691:L710" si="10">HYPERLINK("http://slimages.macys.com/is/image/MCY/10743611 ")</f>
        <v xml:space="preserve">http://slimages.macys.com/is/image/MCY/10743611 </v>
      </c>
    </row>
    <row r="692" spans="1:12" ht="24.75" x14ac:dyDescent="0.25">
      <c r="A692" s="4" t="s">
        <v>2012</v>
      </c>
      <c r="B692" s="2" t="s">
        <v>2005</v>
      </c>
      <c r="C692" s="3">
        <v>1</v>
      </c>
      <c r="D692" s="5">
        <v>14.99</v>
      </c>
      <c r="E692" s="3" t="s">
        <v>2006</v>
      </c>
      <c r="F692" s="2" t="s">
        <v>15</v>
      </c>
      <c r="G692" s="6" t="s">
        <v>156</v>
      </c>
      <c r="H692" s="2" t="s">
        <v>1522</v>
      </c>
      <c r="I692" s="2" t="s">
        <v>1469</v>
      </c>
      <c r="J692" s="2" t="s">
        <v>19</v>
      </c>
      <c r="K692" s="2" t="s">
        <v>353</v>
      </c>
      <c r="L692" s="7" t="str">
        <f t="shared" si="10"/>
        <v xml:space="preserve">http://slimages.macys.com/is/image/MCY/10743611 </v>
      </c>
    </row>
    <row r="693" spans="1:12" ht="24.75" x14ac:dyDescent="0.25">
      <c r="A693" s="4" t="s">
        <v>6912</v>
      </c>
      <c r="B693" s="2" t="s">
        <v>2005</v>
      </c>
      <c r="C693" s="3">
        <v>2</v>
      </c>
      <c r="D693" s="5">
        <v>14.99</v>
      </c>
      <c r="E693" s="3" t="s">
        <v>2006</v>
      </c>
      <c r="F693" s="2" t="s">
        <v>64</v>
      </c>
      <c r="G693" s="6" t="s">
        <v>234</v>
      </c>
      <c r="H693" s="2" t="s">
        <v>1522</v>
      </c>
      <c r="I693" s="2" t="s">
        <v>1469</v>
      </c>
      <c r="J693" s="2" t="s">
        <v>19</v>
      </c>
      <c r="K693" s="2" t="s">
        <v>353</v>
      </c>
      <c r="L693" s="7" t="str">
        <f t="shared" si="10"/>
        <v xml:space="preserve">http://slimages.macys.com/is/image/MCY/10743611 </v>
      </c>
    </row>
    <row r="694" spans="1:12" ht="24.75" x14ac:dyDescent="0.25">
      <c r="A694" s="4" t="s">
        <v>6910</v>
      </c>
      <c r="B694" s="2" t="s">
        <v>2005</v>
      </c>
      <c r="C694" s="3">
        <v>2</v>
      </c>
      <c r="D694" s="5">
        <v>14.99</v>
      </c>
      <c r="E694" s="3" t="s">
        <v>2006</v>
      </c>
      <c r="F694" s="2" t="s">
        <v>15</v>
      </c>
      <c r="G694" s="6" t="s">
        <v>181</v>
      </c>
      <c r="H694" s="2" t="s">
        <v>1522</v>
      </c>
      <c r="I694" s="2" t="s">
        <v>1469</v>
      </c>
      <c r="J694" s="2" t="s">
        <v>19</v>
      </c>
      <c r="K694" s="2" t="s">
        <v>353</v>
      </c>
      <c r="L694" s="7" t="str">
        <f t="shared" si="10"/>
        <v xml:space="preserve">http://slimages.macys.com/is/image/MCY/10743611 </v>
      </c>
    </row>
    <row r="695" spans="1:12" ht="24.75" x14ac:dyDescent="0.25">
      <c r="A695" s="4" t="s">
        <v>5229</v>
      </c>
      <c r="B695" s="2" t="s">
        <v>2005</v>
      </c>
      <c r="C695" s="3">
        <v>1</v>
      </c>
      <c r="D695" s="5">
        <v>14.99</v>
      </c>
      <c r="E695" s="3" t="s">
        <v>2006</v>
      </c>
      <c r="F695" s="2" t="s">
        <v>74</v>
      </c>
      <c r="G695" s="6" t="s">
        <v>200</v>
      </c>
      <c r="H695" s="2" t="s">
        <v>1522</v>
      </c>
      <c r="I695" s="2" t="s">
        <v>1469</v>
      </c>
      <c r="J695" s="2" t="s">
        <v>19</v>
      </c>
      <c r="K695" s="2" t="s">
        <v>353</v>
      </c>
      <c r="L695" s="7" t="str">
        <f t="shared" si="10"/>
        <v xml:space="preserve">http://slimages.macys.com/is/image/MCY/10743611 </v>
      </c>
    </row>
    <row r="696" spans="1:12" ht="24.75" x14ac:dyDescent="0.25">
      <c r="A696" s="4" t="s">
        <v>3222</v>
      </c>
      <c r="B696" s="2" t="s">
        <v>2005</v>
      </c>
      <c r="C696" s="3">
        <v>1</v>
      </c>
      <c r="D696" s="5">
        <v>14.99</v>
      </c>
      <c r="E696" s="3" t="s">
        <v>2006</v>
      </c>
      <c r="F696" s="2" t="s">
        <v>15</v>
      </c>
      <c r="G696" s="6" t="s">
        <v>154</v>
      </c>
      <c r="H696" s="2" t="s">
        <v>1522</v>
      </c>
      <c r="I696" s="2" t="s">
        <v>1469</v>
      </c>
      <c r="J696" s="2" t="s">
        <v>19</v>
      </c>
      <c r="K696" s="2" t="s">
        <v>353</v>
      </c>
      <c r="L696" s="7" t="str">
        <f t="shared" si="10"/>
        <v xml:space="preserve">http://slimages.macys.com/is/image/MCY/10743611 </v>
      </c>
    </row>
    <row r="697" spans="1:12" ht="24.75" x14ac:dyDescent="0.25">
      <c r="A697" s="4" t="s">
        <v>6911</v>
      </c>
      <c r="B697" s="2" t="s">
        <v>2005</v>
      </c>
      <c r="C697" s="3">
        <v>2</v>
      </c>
      <c r="D697" s="5">
        <v>14.99</v>
      </c>
      <c r="E697" s="3" t="s">
        <v>2006</v>
      </c>
      <c r="F697" s="2" t="s">
        <v>1945</v>
      </c>
      <c r="G697" s="6" t="s">
        <v>245</v>
      </c>
      <c r="H697" s="2" t="s">
        <v>1522</v>
      </c>
      <c r="I697" s="2" t="s">
        <v>1469</v>
      </c>
      <c r="J697" s="2" t="s">
        <v>19</v>
      </c>
      <c r="K697" s="2" t="s">
        <v>353</v>
      </c>
      <c r="L697" s="7" t="str">
        <f t="shared" si="10"/>
        <v xml:space="preserve">http://slimages.macys.com/is/image/MCY/10743611 </v>
      </c>
    </row>
    <row r="698" spans="1:12" ht="24.75" x14ac:dyDescent="0.25">
      <c r="A698" s="4" t="s">
        <v>6193</v>
      </c>
      <c r="B698" s="2" t="s">
        <v>2005</v>
      </c>
      <c r="C698" s="3">
        <v>2</v>
      </c>
      <c r="D698" s="5">
        <v>14.99</v>
      </c>
      <c r="E698" s="3" t="s">
        <v>2006</v>
      </c>
      <c r="F698" s="2" t="s">
        <v>26</v>
      </c>
      <c r="G698" s="6" t="s">
        <v>181</v>
      </c>
      <c r="H698" s="2" t="s">
        <v>1522</v>
      </c>
      <c r="I698" s="2" t="s">
        <v>1469</v>
      </c>
      <c r="J698" s="2" t="s">
        <v>19</v>
      </c>
      <c r="K698" s="2" t="s">
        <v>353</v>
      </c>
      <c r="L698" s="7" t="str">
        <f t="shared" si="10"/>
        <v xml:space="preserve">http://slimages.macys.com/is/image/MCY/10743611 </v>
      </c>
    </row>
    <row r="699" spans="1:12" ht="24.75" x14ac:dyDescent="0.25">
      <c r="A699" s="4" t="s">
        <v>2009</v>
      </c>
      <c r="B699" s="2" t="s">
        <v>2005</v>
      </c>
      <c r="C699" s="3">
        <v>1</v>
      </c>
      <c r="D699" s="5">
        <v>14.99</v>
      </c>
      <c r="E699" s="3" t="s">
        <v>2006</v>
      </c>
      <c r="F699" s="2" t="s">
        <v>26</v>
      </c>
      <c r="G699" s="6" t="s">
        <v>156</v>
      </c>
      <c r="H699" s="2" t="s">
        <v>1522</v>
      </c>
      <c r="I699" s="2" t="s">
        <v>1469</v>
      </c>
      <c r="J699" s="2" t="s">
        <v>19</v>
      </c>
      <c r="K699" s="2" t="s">
        <v>353</v>
      </c>
      <c r="L699" s="7" t="str">
        <f t="shared" si="10"/>
        <v xml:space="preserve">http://slimages.macys.com/is/image/MCY/10743611 </v>
      </c>
    </row>
    <row r="700" spans="1:12" ht="24.75" x14ac:dyDescent="0.25">
      <c r="A700" s="4" t="s">
        <v>6909</v>
      </c>
      <c r="B700" s="2" t="s">
        <v>2005</v>
      </c>
      <c r="C700" s="3">
        <v>2</v>
      </c>
      <c r="D700" s="5">
        <v>14.99</v>
      </c>
      <c r="E700" s="3" t="s">
        <v>2006</v>
      </c>
      <c r="F700" s="2" t="s">
        <v>26</v>
      </c>
      <c r="G700" s="6" t="s">
        <v>234</v>
      </c>
      <c r="H700" s="2" t="s">
        <v>1522</v>
      </c>
      <c r="I700" s="2" t="s">
        <v>1469</v>
      </c>
      <c r="J700" s="2" t="s">
        <v>19</v>
      </c>
      <c r="K700" s="2" t="s">
        <v>353</v>
      </c>
      <c r="L700" s="7" t="str">
        <f t="shared" si="10"/>
        <v xml:space="preserve">http://slimages.macys.com/is/image/MCY/10743611 </v>
      </c>
    </row>
    <row r="701" spans="1:12" ht="24.75" x14ac:dyDescent="0.25">
      <c r="A701" s="4" t="s">
        <v>5230</v>
      </c>
      <c r="B701" s="2" t="s">
        <v>2005</v>
      </c>
      <c r="C701" s="3">
        <v>2</v>
      </c>
      <c r="D701" s="5">
        <v>14.99</v>
      </c>
      <c r="E701" s="3" t="s">
        <v>2006</v>
      </c>
      <c r="F701" s="2" t="s">
        <v>26</v>
      </c>
      <c r="G701" s="6" t="s">
        <v>200</v>
      </c>
      <c r="H701" s="2" t="s">
        <v>1522</v>
      </c>
      <c r="I701" s="2" t="s">
        <v>1469</v>
      </c>
      <c r="J701" s="2" t="s">
        <v>19</v>
      </c>
      <c r="K701" s="2" t="s">
        <v>353</v>
      </c>
      <c r="L701" s="7" t="str">
        <f t="shared" si="10"/>
        <v xml:space="preserve">http://slimages.macys.com/is/image/MCY/10743611 </v>
      </c>
    </row>
    <row r="702" spans="1:12" ht="24.75" x14ac:dyDescent="0.25">
      <c r="A702" s="4" t="s">
        <v>5228</v>
      </c>
      <c r="B702" s="2" t="s">
        <v>2005</v>
      </c>
      <c r="C702" s="3">
        <v>1</v>
      </c>
      <c r="D702" s="5">
        <v>14.99</v>
      </c>
      <c r="E702" s="3" t="s">
        <v>2006</v>
      </c>
      <c r="F702" s="2" t="s">
        <v>74</v>
      </c>
      <c r="G702" s="6" t="s">
        <v>154</v>
      </c>
      <c r="H702" s="2" t="s">
        <v>1522</v>
      </c>
      <c r="I702" s="2" t="s">
        <v>1469</v>
      </c>
      <c r="J702" s="2" t="s">
        <v>19</v>
      </c>
      <c r="K702" s="2" t="s">
        <v>353</v>
      </c>
      <c r="L702" s="7" t="str">
        <f t="shared" si="10"/>
        <v xml:space="preserve">http://slimages.macys.com/is/image/MCY/10743611 </v>
      </c>
    </row>
    <row r="703" spans="1:12" ht="24.75" x14ac:dyDescent="0.25">
      <c r="A703" s="4" t="s">
        <v>6194</v>
      </c>
      <c r="B703" s="2" t="s">
        <v>2005</v>
      </c>
      <c r="C703" s="3">
        <v>1</v>
      </c>
      <c r="D703" s="5">
        <v>14.99</v>
      </c>
      <c r="E703" s="3" t="s">
        <v>2006</v>
      </c>
      <c r="F703" s="2" t="s">
        <v>38</v>
      </c>
      <c r="G703" s="6" t="s">
        <v>181</v>
      </c>
      <c r="H703" s="2" t="s">
        <v>1522</v>
      </c>
      <c r="I703" s="2" t="s">
        <v>1469</v>
      </c>
      <c r="J703" s="2" t="s">
        <v>19</v>
      </c>
      <c r="K703" s="2" t="s">
        <v>353</v>
      </c>
      <c r="L703" s="7" t="str">
        <f t="shared" si="10"/>
        <v xml:space="preserve">http://slimages.macys.com/is/image/MCY/10743611 </v>
      </c>
    </row>
    <row r="704" spans="1:12" ht="24.75" x14ac:dyDescent="0.25">
      <c r="A704" s="4" t="s">
        <v>5232</v>
      </c>
      <c r="B704" s="2" t="s">
        <v>2005</v>
      </c>
      <c r="C704" s="3">
        <v>1</v>
      </c>
      <c r="D704" s="5">
        <v>14.99</v>
      </c>
      <c r="E704" s="3" t="s">
        <v>2006</v>
      </c>
      <c r="F704" s="2" t="s">
        <v>38</v>
      </c>
      <c r="G704" s="6" t="s">
        <v>154</v>
      </c>
      <c r="H704" s="2" t="s">
        <v>1522</v>
      </c>
      <c r="I704" s="2" t="s">
        <v>1469</v>
      </c>
      <c r="J704" s="2" t="s">
        <v>19</v>
      </c>
      <c r="K704" s="2" t="s">
        <v>353</v>
      </c>
      <c r="L704" s="7" t="str">
        <f t="shared" si="10"/>
        <v xml:space="preserve">http://slimages.macys.com/is/image/MCY/10743611 </v>
      </c>
    </row>
    <row r="705" spans="1:12" ht="24.75" x14ac:dyDescent="0.25">
      <c r="A705" s="4" t="s">
        <v>2004</v>
      </c>
      <c r="B705" s="2" t="s">
        <v>2005</v>
      </c>
      <c r="C705" s="3">
        <v>1</v>
      </c>
      <c r="D705" s="5">
        <v>14.99</v>
      </c>
      <c r="E705" s="3" t="s">
        <v>2006</v>
      </c>
      <c r="F705" s="2" t="s">
        <v>1945</v>
      </c>
      <c r="G705" s="6" t="s">
        <v>156</v>
      </c>
      <c r="H705" s="2" t="s">
        <v>1522</v>
      </c>
      <c r="I705" s="2" t="s">
        <v>1469</v>
      </c>
      <c r="J705" s="2" t="s">
        <v>19</v>
      </c>
      <c r="K705" s="2" t="s">
        <v>353</v>
      </c>
      <c r="L705" s="7" t="str">
        <f t="shared" si="10"/>
        <v xml:space="preserve">http://slimages.macys.com/is/image/MCY/10743611 </v>
      </c>
    </row>
    <row r="706" spans="1:12" ht="24.75" x14ac:dyDescent="0.25">
      <c r="A706" s="4" t="s">
        <v>7706</v>
      </c>
      <c r="B706" s="2" t="s">
        <v>2005</v>
      </c>
      <c r="C706" s="3">
        <v>1</v>
      </c>
      <c r="D706" s="5">
        <v>14.99</v>
      </c>
      <c r="E706" s="3" t="s">
        <v>2006</v>
      </c>
      <c r="F706" s="2" t="s">
        <v>74</v>
      </c>
      <c r="G706" s="6" t="s">
        <v>181</v>
      </c>
      <c r="H706" s="2" t="s">
        <v>1522</v>
      </c>
      <c r="I706" s="2" t="s">
        <v>1469</v>
      </c>
      <c r="J706" s="2" t="s">
        <v>19</v>
      </c>
      <c r="K706" s="2" t="s">
        <v>353</v>
      </c>
      <c r="L706" s="7" t="str">
        <f t="shared" si="10"/>
        <v xml:space="preserve">http://slimages.macys.com/is/image/MCY/10743611 </v>
      </c>
    </row>
    <row r="707" spans="1:12" ht="24.75" x14ac:dyDescent="0.25">
      <c r="A707" s="4" t="s">
        <v>9228</v>
      </c>
      <c r="B707" s="2" t="s">
        <v>2005</v>
      </c>
      <c r="C707" s="3">
        <v>1</v>
      </c>
      <c r="D707" s="5">
        <v>14.99</v>
      </c>
      <c r="E707" s="3" t="s">
        <v>2006</v>
      </c>
      <c r="F707" s="2" t="s">
        <v>64</v>
      </c>
      <c r="G707" s="6" t="s">
        <v>200</v>
      </c>
      <c r="H707" s="2" t="s">
        <v>1522</v>
      </c>
      <c r="I707" s="2" t="s">
        <v>1469</v>
      </c>
      <c r="J707" s="2" t="s">
        <v>19</v>
      </c>
      <c r="K707" s="2" t="s">
        <v>353</v>
      </c>
      <c r="L707" s="7" t="str">
        <f t="shared" si="10"/>
        <v xml:space="preserve">http://slimages.macys.com/is/image/MCY/10743611 </v>
      </c>
    </row>
    <row r="708" spans="1:12" ht="24.75" x14ac:dyDescent="0.25">
      <c r="A708" s="4" t="s">
        <v>2011</v>
      </c>
      <c r="B708" s="2" t="s">
        <v>2005</v>
      </c>
      <c r="C708" s="3">
        <v>1</v>
      </c>
      <c r="D708" s="5">
        <v>14.99</v>
      </c>
      <c r="E708" s="3" t="s">
        <v>2006</v>
      </c>
      <c r="F708" s="2" t="s">
        <v>15</v>
      </c>
      <c r="G708" s="6" t="s">
        <v>245</v>
      </c>
      <c r="H708" s="2" t="s">
        <v>1522</v>
      </c>
      <c r="I708" s="2" t="s">
        <v>1469</v>
      </c>
      <c r="J708" s="2" t="s">
        <v>19</v>
      </c>
      <c r="K708" s="2" t="s">
        <v>353</v>
      </c>
      <c r="L708" s="7" t="str">
        <f t="shared" si="10"/>
        <v xml:space="preserve">http://slimages.macys.com/is/image/MCY/10743611 </v>
      </c>
    </row>
    <row r="709" spans="1:12" ht="24.75" x14ac:dyDescent="0.25">
      <c r="A709" s="4" t="s">
        <v>4256</v>
      </c>
      <c r="B709" s="2" t="s">
        <v>2005</v>
      </c>
      <c r="C709" s="3">
        <v>1</v>
      </c>
      <c r="D709" s="5">
        <v>14.99</v>
      </c>
      <c r="E709" s="3" t="s">
        <v>2006</v>
      </c>
      <c r="F709" s="2" t="s">
        <v>64</v>
      </c>
      <c r="G709" s="6" t="s">
        <v>181</v>
      </c>
      <c r="H709" s="2" t="s">
        <v>1522</v>
      </c>
      <c r="I709" s="2" t="s">
        <v>1469</v>
      </c>
      <c r="J709" s="2" t="s">
        <v>19</v>
      </c>
      <c r="K709" s="2" t="s">
        <v>353</v>
      </c>
      <c r="L709" s="7" t="str">
        <f t="shared" si="10"/>
        <v xml:space="preserve">http://slimages.macys.com/is/image/MCY/10743611 </v>
      </c>
    </row>
    <row r="710" spans="1:12" ht="24.75" x14ac:dyDescent="0.25">
      <c r="A710" s="4" t="s">
        <v>4253</v>
      </c>
      <c r="B710" s="2" t="s">
        <v>2005</v>
      </c>
      <c r="C710" s="3">
        <v>1</v>
      </c>
      <c r="D710" s="5">
        <v>14.99</v>
      </c>
      <c r="E710" s="3" t="s">
        <v>2006</v>
      </c>
      <c r="F710" s="2" t="s">
        <v>15</v>
      </c>
      <c r="G710" s="6" t="s">
        <v>234</v>
      </c>
      <c r="H710" s="2" t="s">
        <v>1522</v>
      </c>
      <c r="I710" s="2" t="s">
        <v>1469</v>
      </c>
      <c r="J710" s="2" t="s">
        <v>19</v>
      </c>
      <c r="K710" s="2" t="s">
        <v>353</v>
      </c>
      <c r="L710" s="7" t="str">
        <f t="shared" si="10"/>
        <v xml:space="preserve">http://slimages.macys.com/is/image/MCY/10743611 </v>
      </c>
    </row>
    <row r="711" spans="1:12" ht="24.75" x14ac:dyDescent="0.25">
      <c r="A711" s="4" t="s">
        <v>9229</v>
      </c>
      <c r="B711" s="2" t="s">
        <v>6196</v>
      </c>
      <c r="C711" s="3">
        <v>2</v>
      </c>
      <c r="D711" s="5">
        <v>14.99</v>
      </c>
      <c r="E711" s="3" t="s">
        <v>6197</v>
      </c>
      <c r="F711" s="2" t="s">
        <v>15</v>
      </c>
      <c r="G711" s="6"/>
      <c r="H711" s="2" t="s">
        <v>1425</v>
      </c>
      <c r="I711" s="2" t="s">
        <v>1469</v>
      </c>
      <c r="J711" s="2" t="s">
        <v>19</v>
      </c>
      <c r="K711" s="2" t="s">
        <v>353</v>
      </c>
      <c r="L711" s="7" t="str">
        <f>HYPERLINK("http://slimages.macys.com/is/image/MCY/10743620 ")</f>
        <v xml:space="preserve">http://slimages.macys.com/is/image/MCY/10743620 </v>
      </c>
    </row>
    <row r="712" spans="1:12" ht="24.75" x14ac:dyDescent="0.25">
      <c r="A712" s="4" t="s">
        <v>9230</v>
      </c>
      <c r="B712" s="2" t="s">
        <v>2016</v>
      </c>
      <c r="C712" s="3">
        <v>1</v>
      </c>
      <c r="D712" s="5">
        <v>12.99</v>
      </c>
      <c r="E712" s="3" t="s">
        <v>2017</v>
      </c>
      <c r="F712" s="2" t="s">
        <v>413</v>
      </c>
      <c r="G712" s="6" t="s">
        <v>200</v>
      </c>
      <c r="H712" s="2" t="s">
        <v>194</v>
      </c>
      <c r="I712" s="2" t="s">
        <v>195</v>
      </c>
      <c r="J712" s="2" t="s">
        <v>19</v>
      </c>
      <c r="K712" s="2" t="s">
        <v>648</v>
      </c>
      <c r="L712" s="7" t="str">
        <f>HYPERLINK("http://slimages.macys.com/is/image/MCY/14887463 ")</f>
        <v xml:space="preserve">http://slimages.macys.com/is/image/MCY/14887463 </v>
      </c>
    </row>
    <row r="713" spans="1:12" ht="24.75" x14ac:dyDescent="0.25">
      <c r="A713" s="4" t="s">
        <v>7709</v>
      </c>
      <c r="B713" s="2" t="s">
        <v>2016</v>
      </c>
      <c r="C713" s="3">
        <v>1</v>
      </c>
      <c r="D713" s="5">
        <v>12.99</v>
      </c>
      <c r="E713" s="3" t="s">
        <v>2017</v>
      </c>
      <c r="F713" s="2" t="s">
        <v>1614</v>
      </c>
      <c r="G713" s="6" t="s">
        <v>234</v>
      </c>
      <c r="H713" s="2" t="s">
        <v>194</v>
      </c>
      <c r="I713" s="2" t="s">
        <v>195</v>
      </c>
      <c r="J713" s="2" t="s">
        <v>19</v>
      </c>
      <c r="K713" s="2" t="s">
        <v>648</v>
      </c>
      <c r="L713" s="7" t="str">
        <f>HYPERLINK("http://slimages.macys.com/is/image/MCY/14887463 ")</f>
        <v xml:space="preserve">http://slimages.macys.com/is/image/MCY/14887463 </v>
      </c>
    </row>
    <row r="714" spans="1:12" ht="24.75" x14ac:dyDescent="0.25">
      <c r="A714" s="4" t="s">
        <v>2023</v>
      </c>
      <c r="B714" s="2" t="s">
        <v>2021</v>
      </c>
      <c r="C714" s="3">
        <v>1</v>
      </c>
      <c r="D714" s="5">
        <v>18.38</v>
      </c>
      <c r="E714" s="3">
        <v>100018061</v>
      </c>
      <c r="F714" s="2" t="s">
        <v>15</v>
      </c>
      <c r="G714" s="6" t="s">
        <v>156</v>
      </c>
      <c r="H714" s="2" t="s">
        <v>194</v>
      </c>
      <c r="I714" s="2" t="s">
        <v>195</v>
      </c>
      <c r="J714" s="2" t="s">
        <v>19</v>
      </c>
      <c r="K714" s="2" t="s">
        <v>495</v>
      </c>
      <c r="L714" s="7" t="str">
        <f t="shared" ref="L714:L720" si="11">HYPERLINK("http://slimages.macys.com/is/image/MCY/12950402 ")</f>
        <v xml:space="preserve">http://slimages.macys.com/is/image/MCY/12950402 </v>
      </c>
    </row>
    <row r="715" spans="1:12" ht="24.75" x14ac:dyDescent="0.25">
      <c r="A715" s="4" t="s">
        <v>4273</v>
      </c>
      <c r="B715" s="2" t="s">
        <v>2021</v>
      </c>
      <c r="C715" s="3">
        <v>1</v>
      </c>
      <c r="D715" s="5">
        <v>18.38</v>
      </c>
      <c r="E715" s="3">
        <v>100018061</v>
      </c>
      <c r="F715" s="2" t="s">
        <v>15</v>
      </c>
      <c r="G715" s="6" t="s">
        <v>245</v>
      </c>
      <c r="H715" s="2" t="s">
        <v>194</v>
      </c>
      <c r="I715" s="2" t="s">
        <v>195</v>
      </c>
      <c r="J715" s="2" t="s">
        <v>19</v>
      </c>
      <c r="K715" s="2" t="s">
        <v>495</v>
      </c>
      <c r="L715" s="7" t="str">
        <f t="shared" si="11"/>
        <v xml:space="preserve">http://slimages.macys.com/is/image/MCY/12950402 </v>
      </c>
    </row>
    <row r="716" spans="1:12" ht="24.75" x14ac:dyDescent="0.25">
      <c r="A716" s="4" t="s">
        <v>4275</v>
      </c>
      <c r="B716" s="2" t="s">
        <v>2021</v>
      </c>
      <c r="C716" s="3">
        <v>3</v>
      </c>
      <c r="D716" s="5">
        <v>18.38</v>
      </c>
      <c r="E716" s="3">
        <v>100018061</v>
      </c>
      <c r="F716" s="2" t="s">
        <v>15</v>
      </c>
      <c r="G716" s="6" t="s">
        <v>154</v>
      </c>
      <c r="H716" s="2" t="s">
        <v>194</v>
      </c>
      <c r="I716" s="2" t="s">
        <v>195</v>
      </c>
      <c r="J716" s="2" t="s">
        <v>19</v>
      </c>
      <c r="K716" s="2" t="s">
        <v>495</v>
      </c>
      <c r="L716" s="7" t="str">
        <f t="shared" si="11"/>
        <v xml:space="preserve">http://slimages.macys.com/is/image/MCY/12950402 </v>
      </c>
    </row>
    <row r="717" spans="1:12" ht="24.75" x14ac:dyDescent="0.25">
      <c r="A717" s="4" t="s">
        <v>5242</v>
      </c>
      <c r="B717" s="2" t="s">
        <v>2021</v>
      </c>
      <c r="C717" s="3">
        <v>2</v>
      </c>
      <c r="D717" s="5">
        <v>18.38</v>
      </c>
      <c r="E717" s="3">
        <v>100018061</v>
      </c>
      <c r="F717" s="2" t="s">
        <v>64</v>
      </c>
      <c r="G717" s="6" t="s">
        <v>154</v>
      </c>
      <c r="H717" s="2" t="s">
        <v>194</v>
      </c>
      <c r="I717" s="2" t="s">
        <v>195</v>
      </c>
      <c r="J717" s="2" t="s">
        <v>19</v>
      </c>
      <c r="K717" s="2" t="s">
        <v>495</v>
      </c>
      <c r="L717" s="7" t="str">
        <f t="shared" si="11"/>
        <v xml:space="preserve">http://slimages.macys.com/is/image/MCY/12950402 </v>
      </c>
    </row>
    <row r="718" spans="1:12" ht="24.75" x14ac:dyDescent="0.25">
      <c r="A718" s="4" t="s">
        <v>9231</v>
      </c>
      <c r="B718" s="2" t="s">
        <v>2021</v>
      </c>
      <c r="C718" s="3">
        <v>1</v>
      </c>
      <c r="D718" s="5">
        <v>18.38</v>
      </c>
      <c r="E718" s="3">
        <v>100018061</v>
      </c>
      <c r="F718" s="2" t="s">
        <v>64</v>
      </c>
      <c r="G718" s="6" t="s">
        <v>234</v>
      </c>
      <c r="H718" s="2" t="s">
        <v>194</v>
      </c>
      <c r="I718" s="2" t="s">
        <v>195</v>
      </c>
      <c r="J718" s="2" t="s">
        <v>19</v>
      </c>
      <c r="K718" s="2" t="s">
        <v>495</v>
      </c>
      <c r="L718" s="7" t="str">
        <f t="shared" si="11"/>
        <v xml:space="preserve">http://slimages.macys.com/is/image/MCY/12950402 </v>
      </c>
    </row>
    <row r="719" spans="1:12" ht="24.75" x14ac:dyDescent="0.25">
      <c r="A719" s="4" t="s">
        <v>3235</v>
      </c>
      <c r="B719" s="2" t="s">
        <v>2021</v>
      </c>
      <c r="C719" s="3">
        <v>1</v>
      </c>
      <c r="D719" s="5">
        <v>18.38</v>
      </c>
      <c r="E719" s="3">
        <v>100018061</v>
      </c>
      <c r="F719" s="2" t="s">
        <v>64</v>
      </c>
      <c r="G719" s="6" t="s">
        <v>181</v>
      </c>
      <c r="H719" s="2" t="s">
        <v>194</v>
      </c>
      <c r="I719" s="2" t="s">
        <v>195</v>
      </c>
      <c r="J719" s="2" t="s">
        <v>19</v>
      </c>
      <c r="K719" s="2" t="s">
        <v>495</v>
      </c>
      <c r="L719" s="7" t="str">
        <f t="shared" si="11"/>
        <v xml:space="preserve">http://slimages.macys.com/is/image/MCY/12950402 </v>
      </c>
    </row>
    <row r="720" spans="1:12" ht="24.75" x14ac:dyDescent="0.25">
      <c r="A720" s="4" t="s">
        <v>8380</v>
      </c>
      <c r="B720" s="2" t="s">
        <v>2021</v>
      </c>
      <c r="C720" s="3">
        <v>1</v>
      </c>
      <c r="D720" s="5">
        <v>18.38</v>
      </c>
      <c r="E720" s="3">
        <v>100018061</v>
      </c>
      <c r="F720" s="2" t="s">
        <v>64</v>
      </c>
      <c r="G720" s="6" t="s">
        <v>200</v>
      </c>
      <c r="H720" s="2" t="s">
        <v>194</v>
      </c>
      <c r="I720" s="2" t="s">
        <v>195</v>
      </c>
      <c r="J720" s="2" t="s">
        <v>19</v>
      </c>
      <c r="K720" s="2" t="s">
        <v>495</v>
      </c>
      <c r="L720" s="7" t="str">
        <f t="shared" si="11"/>
        <v xml:space="preserve">http://slimages.macys.com/is/image/MCY/12950402 </v>
      </c>
    </row>
    <row r="721" spans="1:12" ht="24.75" x14ac:dyDescent="0.25">
      <c r="A721" s="4" t="s">
        <v>8871</v>
      </c>
      <c r="B721" s="2" t="s">
        <v>4367</v>
      </c>
      <c r="C721" s="3">
        <v>1</v>
      </c>
      <c r="D721" s="5">
        <v>9.99</v>
      </c>
      <c r="E721" s="3" t="s">
        <v>4368</v>
      </c>
      <c r="F721" s="2" t="s">
        <v>33</v>
      </c>
      <c r="G721" s="6" t="s">
        <v>200</v>
      </c>
      <c r="H721" s="2" t="s">
        <v>194</v>
      </c>
      <c r="I721" s="2" t="s">
        <v>195</v>
      </c>
      <c r="J721" s="2" t="s">
        <v>19</v>
      </c>
      <c r="K721" s="2" t="s">
        <v>247</v>
      </c>
      <c r="L721" s="7" t="str">
        <f>HYPERLINK("http://slimages.macys.com/is/image/MCY/13368198 ")</f>
        <v xml:space="preserve">http://slimages.macys.com/is/image/MCY/13368198 </v>
      </c>
    </row>
    <row r="722" spans="1:12" ht="24.75" x14ac:dyDescent="0.25">
      <c r="A722" s="4" t="s">
        <v>9232</v>
      </c>
      <c r="B722" s="2" t="s">
        <v>2021</v>
      </c>
      <c r="C722" s="3">
        <v>1</v>
      </c>
      <c r="D722" s="5">
        <v>18.38</v>
      </c>
      <c r="E722" s="3" t="s">
        <v>2025</v>
      </c>
      <c r="F722" s="2" t="s">
        <v>464</v>
      </c>
      <c r="G722" s="6"/>
      <c r="H722" s="2" t="s">
        <v>312</v>
      </c>
      <c r="I722" s="2" t="s">
        <v>195</v>
      </c>
      <c r="J722" s="2" t="s">
        <v>19</v>
      </c>
      <c r="K722" s="2" t="s">
        <v>495</v>
      </c>
      <c r="L722" s="7" t="str">
        <f>HYPERLINK("http://slimages.macys.com/is/image/MCY/9742342 ")</f>
        <v xml:space="preserve">http://slimages.macys.com/is/image/MCY/9742342 </v>
      </c>
    </row>
    <row r="723" spans="1:12" ht="24.75" x14ac:dyDescent="0.25">
      <c r="A723" s="4" t="s">
        <v>9233</v>
      </c>
      <c r="B723" s="2" t="s">
        <v>4280</v>
      </c>
      <c r="C723" s="3">
        <v>1</v>
      </c>
      <c r="D723" s="5">
        <v>9.99</v>
      </c>
      <c r="E723" s="3" t="s">
        <v>4281</v>
      </c>
      <c r="F723" s="2" t="s">
        <v>15</v>
      </c>
      <c r="G723" s="6" t="s">
        <v>234</v>
      </c>
      <c r="H723" s="2" t="s">
        <v>1473</v>
      </c>
      <c r="I723" s="2" t="s">
        <v>1426</v>
      </c>
      <c r="J723" s="2" t="s">
        <v>19</v>
      </c>
      <c r="K723" s="2" t="s">
        <v>648</v>
      </c>
      <c r="L723" s="7" t="str">
        <f>HYPERLINK("http://slimages.macys.com/is/image/MCY/11456814 ")</f>
        <v xml:space="preserve">http://slimages.macys.com/is/image/MCY/11456814 </v>
      </c>
    </row>
    <row r="724" spans="1:12" ht="24.75" x14ac:dyDescent="0.25">
      <c r="A724" s="4" t="s">
        <v>6915</v>
      </c>
      <c r="B724" s="2" t="s">
        <v>6226</v>
      </c>
      <c r="C724" s="3">
        <v>1</v>
      </c>
      <c r="D724" s="5">
        <v>9.99</v>
      </c>
      <c r="E724" s="3" t="s">
        <v>6227</v>
      </c>
      <c r="F724" s="2" t="s">
        <v>15</v>
      </c>
      <c r="G724" s="6" t="s">
        <v>200</v>
      </c>
      <c r="H724" s="2" t="s">
        <v>1473</v>
      </c>
      <c r="I724" s="2" t="s">
        <v>1426</v>
      </c>
      <c r="J724" s="2" t="s">
        <v>19</v>
      </c>
      <c r="K724" s="2" t="s">
        <v>495</v>
      </c>
      <c r="L724" s="7" t="str">
        <f>HYPERLINK("http://slimages.macys.com/is/image/MCY/11882171 ")</f>
        <v xml:space="preserve">http://slimages.macys.com/is/image/MCY/11882171 </v>
      </c>
    </row>
    <row r="725" spans="1:12" ht="24.75" x14ac:dyDescent="0.25">
      <c r="A725" s="4" t="s">
        <v>8385</v>
      </c>
      <c r="B725" s="2" t="s">
        <v>4283</v>
      </c>
      <c r="C725" s="3">
        <v>1</v>
      </c>
      <c r="D725" s="5">
        <v>9.99</v>
      </c>
      <c r="E725" s="3" t="s">
        <v>4284</v>
      </c>
      <c r="F725" s="2" t="s">
        <v>26</v>
      </c>
      <c r="G725" s="6" t="s">
        <v>181</v>
      </c>
      <c r="H725" s="2" t="s">
        <v>1473</v>
      </c>
      <c r="I725" s="2" t="s">
        <v>1426</v>
      </c>
      <c r="J725" s="2" t="s">
        <v>19</v>
      </c>
      <c r="K725" s="2" t="s">
        <v>495</v>
      </c>
      <c r="L725" s="7" t="str">
        <f>HYPERLINK("http://slimages.macys.com/is/image/MCY/10703455 ")</f>
        <v xml:space="preserve">http://slimages.macys.com/is/image/MCY/10703455 </v>
      </c>
    </row>
    <row r="726" spans="1:12" ht="24.75" x14ac:dyDescent="0.25">
      <c r="A726" s="4" t="s">
        <v>9234</v>
      </c>
      <c r="B726" s="2" t="s">
        <v>6226</v>
      </c>
      <c r="C726" s="3">
        <v>1</v>
      </c>
      <c r="D726" s="5">
        <v>9.99</v>
      </c>
      <c r="E726" s="3" t="s">
        <v>6227</v>
      </c>
      <c r="F726" s="2" t="s">
        <v>26</v>
      </c>
      <c r="G726" s="6" t="s">
        <v>234</v>
      </c>
      <c r="H726" s="2" t="s">
        <v>1473</v>
      </c>
      <c r="I726" s="2" t="s">
        <v>1426</v>
      </c>
      <c r="J726" s="2" t="s">
        <v>19</v>
      </c>
      <c r="K726" s="2" t="s">
        <v>495</v>
      </c>
      <c r="L726" s="7" t="str">
        <f>HYPERLINK("http://slimages.macys.com/is/image/MCY/11882171 ")</f>
        <v xml:space="preserve">http://slimages.macys.com/is/image/MCY/11882171 </v>
      </c>
    </row>
    <row r="727" spans="1:12" ht="24.75" x14ac:dyDescent="0.25">
      <c r="A727" s="4" t="s">
        <v>9235</v>
      </c>
      <c r="B727" s="2" t="s">
        <v>6226</v>
      </c>
      <c r="C727" s="3">
        <v>1</v>
      </c>
      <c r="D727" s="5">
        <v>9.99</v>
      </c>
      <c r="E727" s="3" t="s">
        <v>6227</v>
      </c>
      <c r="F727" s="2" t="s">
        <v>26</v>
      </c>
      <c r="G727" s="6" t="s">
        <v>154</v>
      </c>
      <c r="H727" s="2" t="s">
        <v>1473</v>
      </c>
      <c r="I727" s="2" t="s">
        <v>1426</v>
      </c>
      <c r="J727" s="2" t="s">
        <v>19</v>
      </c>
      <c r="K727" s="2" t="s">
        <v>495</v>
      </c>
      <c r="L727" s="7" t="str">
        <f>HYPERLINK("http://slimages.macys.com/is/image/MCY/11882171 ")</f>
        <v xml:space="preserve">http://slimages.macys.com/is/image/MCY/11882171 </v>
      </c>
    </row>
    <row r="728" spans="1:12" ht="24.75" x14ac:dyDescent="0.25">
      <c r="A728" s="4" t="s">
        <v>9236</v>
      </c>
      <c r="B728" s="2" t="s">
        <v>3237</v>
      </c>
      <c r="C728" s="3">
        <v>1</v>
      </c>
      <c r="D728" s="5">
        <v>9.99</v>
      </c>
      <c r="E728" s="3" t="s">
        <v>3238</v>
      </c>
      <c r="F728" s="2" t="s">
        <v>566</v>
      </c>
      <c r="G728" s="6" t="s">
        <v>234</v>
      </c>
      <c r="H728" s="2" t="s">
        <v>194</v>
      </c>
      <c r="I728" s="2" t="s">
        <v>195</v>
      </c>
      <c r="J728" s="2" t="s">
        <v>19</v>
      </c>
      <c r="K728" s="2" t="s">
        <v>247</v>
      </c>
      <c r="L728" s="7" t="str">
        <f>HYPERLINK("http://slimages.macys.com/is/image/MCY/15522855 ")</f>
        <v xml:space="preserve">http://slimages.macys.com/is/image/MCY/15522855 </v>
      </c>
    </row>
    <row r="729" spans="1:12" ht="24.75" x14ac:dyDescent="0.25">
      <c r="A729" s="4" t="s">
        <v>8874</v>
      </c>
      <c r="B729" s="2" t="s">
        <v>3237</v>
      </c>
      <c r="C729" s="3">
        <v>1</v>
      </c>
      <c r="D729" s="5">
        <v>9.99</v>
      </c>
      <c r="E729" s="3" t="s">
        <v>3238</v>
      </c>
      <c r="F729" s="2" t="s">
        <v>70</v>
      </c>
      <c r="G729" s="6" t="s">
        <v>154</v>
      </c>
      <c r="H729" s="2" t="s">
        <v>194</v>
      </c>
      <c r="I729" s="2" t="s">
        <v>195</v>
      </c>
      <c r="J729" s="2" t="s">
        <v>19</v>
      </c>
      <c r="K729" s="2" t="s">
        <v>247</v>
      </c>
      <c r="L729" s="7" t="str">
        <f>HYPERLINK("http://slimages.macys.com/is/image/MCY/15522855 ")</f>
        <v xml:space="preserve">http://slimages.macys.com/is/image/MCY/15522855 </v>
      </c>
    </row>
    <row r="730" spans="1:12" ht="24.75" x14ac:dyDescent="0.25">
      <c r="A730" s="4" t="s">
        <v>8386</v>
      </c>
      <c r="B730" s="2" t="s">
        <v>3237</v>
      </c>
      <c r="C730" s="3">
        <v>1</v>
      </c>
      <c r="D730" s="5">
        <v>9.99</v>
      </c>
      <c r="E730" s="3" t="s">
        <v>3238</v>
      </c>
      <c r="F730" s="2" t="s">
        <v>956</v>
      </c>
      <c r="G730" s="6" t="s">
        <v>154</v>
      </c>
      <c r="H730" s="2" t="s">
        <v>194</v>
      </c>
      <c r="I730" s="2" t="s">
        <v>195</v>
      </c>
      <c r="J730" s="2" t="s">
        <v>19</v>
      </c>
      <c r="K730" s="2" t="s">
        <v>247</v>
      </c>
      <c r="L730" s="7" t="str">
        <f>HYPERLINK("http://slimages.macys.com/is/image/MCY/15522855 ")</f>
        <v xml:space="preserve">http://slimages.macys.com/is/image/MCY/15522855 </v>
      </c>
    </row>
    <row r="731" spans="1:12" ht="24.75" x14ac:dyDescent="0.25">
      <c r="A731" s="4" t="s">
        <v>4293</v>
      </c>
      <c r="B731" s="2" t="s">
        <v>2036</v>
      </c>
      <c r="C731" s="3">
        <v>2</v>
      </c>
      <c r="D731" s="5">
        <v>12.99</v>
      </c>
      <c r="E731" s="3" t="s">
        <v>2037</v>
      </c>
      <c r="F731" s="2" t="s">
        <v>170</v>
      </c>
      <c r="G731" s="6" t="s">
        <v>154</v>
      </c>
      <c r="H731" s="2" t="s">
        <v>194</v>
      </c>
      <c r="I731" s="2" t="s">
        <v>195</v>
      </c>
      <c r="J731" s="2" t="s">
        <v>19</v>
      </c>
      <c r="K731" s="2" t="s">
        <v>495</v>
      </c>
      <c r="L731" s="7" t="str">
        <f>HYPERLINK("http://slimages.macys.com/is/image/MCY/10191342 ")</f>
        <v xml:space="preserve">http://slimages.macys.com/is/image/MCY/10191342 </v>
      </c>
    </row>
    <row r="732" spans="1:12" ht="24.75" x14ac:dyDescent="0.25">
      <c r="A732" s="4" t="s">
        <v>2038</v>
      </c>
      <c r="B732" s="2" t="s">
        <v>2036</v>
      </c>
      <c r="C732" s="3">
        <v>1</v>
      </c>
      <c r="D732" s="5">
        <v>12.99</v>
      </c>
      <c r="E732" s="3" t="s">
        <v>2037</v>
      </c>
      <c r="F732" s="2" t="s">
        <v>111</v>
      </c>
      <c r="G732" s="6" t="s">
        <v>181</v>
      </c>
      <c r="H732" s="2" t="s">
        <v>194</v>
      </c>
      <c r="I732" s="2" t="s">
        <v>195</v>
      </c>
      <c r="J732" s="2"/>
      <c r="K732" s="2"/>
      <c r="L732" s="7" t="str">
        <f>HYPERLINK("http://slimages.macys.com/is/image/MCY/9527158 ")</f>
        <v xml:space="preserve">http://slimages.macys.com/is/image/MCY/9527158 </v>
      </c>
    </row>
    <row r="733" spans="1:12" ht="24.75" x14ac:dyDescent="0.25">
      <c r="A733" s="4" t="s">
        <v>9237</v>
      </c>
      <c r="B733" s="2" t="s">
        <v>2051</v>
      </c>
      <c r="C733" s="3">
        <v>1</v>
      </c>
      <c r="D733" s="5">
        <v>9.99</v>
      </c>
      <c r="E733" s="3" t="s">
        <v>2052</v>
      </c>
      <c r="F733" s="2" t="s">
        <v>1322</v>
      </c>
      <c r="G733" s="6" t="s">
        <v>234</v>
      </c>
      <c r="H733" s="2" t="s">
        <v>1473</v>
      </c>
      <c r="I733" s="2" t="s">
        <v>1426</v>
      </c>
      <c r="J733" s="2" t="s">
        <v>19</v>
      </c>
      <c r="K733" s="2" t="s">
        <v>495</v>
      </c>
      <c r="L733" s="7" t="str">
        <f>HYPERLINK("http://slimages.macys.com/is/image/MCY/12267126 ")</f>
        <v xml:space="preserve">http://slimages.macys.com/is/image/MCY/12267126 </v>
      </c>
    </row>
    <row r="734" spans="1:12" ht="24.75" x14ac:dyDescent="0.25">
      <c r="A734" s="4" t="s">
        <v>4315</v>
      </c>
      <c r="B734" s="2" t="s">
        <v>2036</v>
      </c>
      <c r="C734" s="3">
        <v>1</v>
      </c>
      <c r="D734" s="5">
        <v>12.99</v>
      </c>
      <c r="E734" s="3" t="s">
        <v>2037</v>
      </c>
      <c r="F734" s="2" t="s">
        <v>566</v>
      </c>
      <c r="G734" s="6" t="s">
        <v>154</v>
      </c>
      <c r="H734" s="2" t="s">
        <v>194</v>
      </c>
      <c r="I734" s="2" t="s">
        <v>195</v>
      </c>
      <c r="J734" s="2" t="s">
        <v>19</v>
      </c>
      <c r="K734" s="2" t="s">
        <v>495</v>
      </c>
      <c r="L734" s="7" t="str">
        <f>HYPERLINK("http://slimages.macys.com/is/image/MCY/9344781 ")</f>
        <v xml:space="preserve">http://slimages.macys.com/is/image/MCY/9344781 </v>
      </c>
    </row>
    <row r="735" spans="1:12" ht="24.75" x14ac:dyDescent="0.25">
      <c r="A735" s="4" t="s">
        <v>9238</v>
      </c>
      <c r="B735" s="2" t="s">
        <v>2064</v>
      </c>
      <c r="C735" s="3">
        <v>1</v>
      </c>
      <c r="D735" s="5">
        <v>9.99</v>
      </c>
      <c r="E735" s="3" t="s">
        <v>3279</v>
      </c>
      <c r="F735" s="2" t="s">
        <v>1914</v>
      </c>
      <c r="G735" s="6" t="s">
        <v>200</v>
      </c>
      <c r="H735" s="2" t="s">
        <v>1473</v>
      </c>
      <c r="I735" s="2" t="s">
        <v>1426</v>
      </c>
      <c r="J735" s="2" t="s">
        <v>19</v>
      </c>
      <c r="K735" s="2" t="s">
        <v>990</v>
      </c>
      <c r="L735" s="7" t="str">
        <f>HYPERLINK("http://slimages.macys.com/is/image/MCY/11130625 ")</f>
        <v xml:space="preserve">http://slimages.macys.com/is/image/MCY/11130625 </v>
      </c>
    </row>
    <row r="736" spans="1:12" ht="24.75" x14ac:dyDescent="0.25">
      <c r="A736" s="4" t="s">
        <v>2067</v>
      </c>
      <c r="B736" s="2" t="s">
        <v>2068</v>
      </c>
      <c r="C736" s="3">
        <v>1</v>
      </c>
      <c r="D736" s="5">
        <v>12.99</v>
      </c>
      <c r="E736" s="3" t="s">
        <v>2069</v>
      </c>
      <c r="F736" s="2" t="s">
        <v>111</v>
      </c>
      <c r="G736" s="6" t="s">
        <v>156</v>
      </c>
      <c r="H736" s="2" t="s">
        <v>194</v>
      </c>
      <c r="I736" s="2" t="s">
        <v>195</v>
      </c>
      <c r="J736" s="2" t="s">
        <v>19</v>
      </c>
      <c r="K736" s="2" t="s">
        <v>648</v>
      </c>
      <c r="L736" s="7" t="str">
        <f>HYPERLINK("http://slimages.macys.com/is/image/MCY/12316464 ")</f>
        <v xml:space="preserve">http://slimages.macys.com/is/image/MCY/12316464 </v>
      </c>
    </row>
    <row r="737" spans="1:12" ht="24.75" x14ac:dyDescent="0.25">
      <c r="A737" s="4" t="s">
        <v>9239</v>
      </c>
      <c r="B737" s="2" t="s">
        <v>9240</v>
      </c>
      <c r="C737" s="3">
        <v>1</v>
      </c>
      <c r="D737" s="5">
        <v>9.99</v>
      </c>
      <c r="E737" s="3" t="s">
        <v>9241</v>
      </c>
      <c r="F737" s="2" t="s">
        <v>413</v>
      </c>
      <c r="G737" s="6" t="s">
        <v>245</v>
      </c>
      <c r="H737" s="2" t="s">
        <v>1473</v>
      </c>
      <c r="I737" s="2" t="s">
        <v>1426</v>
      </c>
      <c r="J737" s="2" t="s">
        <v>19</v>
      </c>
      <c r="K737" s="2" t="s">
        <v>648</v>
      </c>
      <c r="L737" s="7" t="str">
        <f>HYPERLINK("http://slimages.macys.com/is/image/MCY/10918744 ")</f>
        <v xml:space="preserve">http://slimages.macys.com/is/image/MCY/10918744 </v>
      </c>
    </row>
    <row r="738" spans="1:12" ht="24.75" x14ac:dyDescent="0.25">
      <c r="A738" s="4" t="s">
        <v>9242</v>
      </c>
      <c r="B738" s="2" t="s">
        <v>9240</v>
      </c>
      <c r="C738" s="3">
        <v>1</v>
      </c>
      <c r="D738" s="5">
        <v>9.99</v>
      </c>
      <c r="E738" s="3" t="s">
        <v>9243</v>
      </c>
      <c r="F738" s="2" t="s">
        <v>74</v>
      </c>
      <c r="G738" s="6" t="s">
        <v>234</v>
      </c>
      <c r="H738" s="2" t="s">
        <v>1473</v>
      </c>
      <c r="I738" s="2" t="s">
        <v>1426</v>
      </c>
      <c r="J738" s="2" t="s">
        <v>19</v>
      </c>
      <c r="K738" s="2" t="s">
        <v>648</v>
      </c>
      <c r="L738" s="7" t="str">
        <f>HYPERLINK("http://slimages.macys.com/is/image/MCY/9694020 ")</f>
        <v xml:space="preserve">http://slimages.macys.com/is/image/MCY/9694020 </v>
      </c>
    </row>
    <row r="739" spans="1:12" ht="24.75" x14ac:dyDescent="0.25">
      <c r="A739" s="4" t="s">
        <v>4324</v>
      </c>
      <c r="B739" s="2" t="s">
        <v>4321</v>
      </c>
      <c r="C739" s="3">
        <v>6</v>
      </c>
      <c r="D739" s="5">
        <v>12.99</v>
      </c>
      <c r="E739" s="3" t="s">
        <v>4322</v>
      </c>
      <c r="F739" s="2" t="s">
        <v>887</v>
      </c>
      <c r="G739" s="6"/>
      <c r="H739" s="2" t="s">
        <v>312</v>
      </c>
      <c r="I739" s="2" t="s">
        <v>195</v>
      </c>
      <c r="J739" s="2" t="s">
        <v>19</v>
      </c>
      <c r="K739" s="2" t="s">
        <v>648</v>
      </c>
      <c r="L739" s="7" t="str">
        <f>HYPERLINK("http://slimages.macys.com/is/image/MCY/8157256 ")</f>
        <v xml:space="preserve">http://slimages.macys.com/is/image/MCY/8157256 </v>
      </c>
    </row>
    <row r="740" spans="1:12" ht="24.75" x14ac:dyDescent="0.25">
      <c r="A740" s="4" t="s">
        <v>4320</v>
      </c>
      <c r="B740" s="2" t="s">
        <v>4321</v>
      </c>
      <c r="C740" s="3">
        <v>1</v>
      </c>
      <c r="D740" s="5">
        <v>12.99</v>
      </c>
      <c r="E740" s="3" t="s">
        <v>4322</v>
      </c>
      <c r="F740" s="2" t="s">
        <v>887</v>
      </c>
      <c r="G740" s="6"/>
      <c r="H740" s="2" t="s">
        <v>312</v>
      </c>
      <c r="I740" s="2" t="s">
        <v>195</v>
      </c>
      <c r="J740" s="2" t="s">
        <v>19</v>
      </c>
      <c r="K740" s="2" t="s">
        <v>648</v>
      </c>
      <c r="L740" s="7" t="str">
        <f>HYPERLINK("http://slimages.macys.com/is/image/MCY/8157256 ")</f>
        <v xml:space="preserve">http://slimages.macys.com/is/image/MCY/8157256 </v>
      </c>
    </row>
    <row r="741" spans="1:12" ht="24.75" x14ac:dyDescent="0.25">
      <c r="A741" s="4" t="s">
        <v>9244</v>
      </c>
      <c r="B741" s="2" t="s">
        <v>4326</v>
      </c>
      <c r="C741" s="3">
        <v>1</v>
      </c>
      <c r="D741" s="5">
        <v>9.99</v>
      </c>
      <c r="E741" s="3" t="s">
        <v>4327</v>
      </c>
      <c r="F741" s="2" t="s">
        <v>15</v>
      </c>
      <c r="G741" s="6" t="s">
        <v>156</v>
      </c>
      <c r="H741" s="2" t="s">
        <v>1473</v>
      </c>
      <c r="I741" s="2" t="s">
        <v>1426</v>
      </c>
      <c r="J741" s="2" t="s">
        <v>19</v>
      </c>
      <c r="K741" s="2" t="s">
        <v>495</v>
      </c>
      <c r="L741" s="7" t="str">
        <f>HYPERLINK("http://slimages.macys.com/is/image/MCY/10742489 ")</f>
        <v xml:space="preserve">http://slimages.macys.com/is/image/MCY/10742489 </v>
      </c>
    </row>
    <row r="742" spans="1:12" ht="24.75" x14ac:dyDescent="0.25">
      <c r="A742" s="4" t="s">
        <v>9245</v>
      </c>
      <c r="B742" s="2" t="s">
        <v>4326</v>
      </c>
      <c r="C742" s="3">
        <v>1</v>
      </c>
      <c r="D742" s="5">
        <v>9.99</v>
      </c>
      <c r="E742" s="3" t="s">
        <v>4327</v>
      </c>
      <c r="F742" s="2" t="s">
        <v>26</v>
      </c>
      <c r="G742" s="6" t="s">
        <v>181</v>
      </c>
      <c r="H742" s="2" t="s">
        <v>1473</v>
      </c>
      <c r="I742" s="2" t="s">
        <v>1426</v>
      </c>
      <c r="J742" s="2" t="s">
        <v>19</v>
      </c>
      <c r="K742" s="2" t="s">
        <v>495</v>
      </c>
      <c r="L742" s="7" t="str">
        <f>HYPERLINK("http://slimages.macys.com/is/image/MCY/10742489 ")</f>
        <v xml:space="preserve">http://slimages.macys.com/is/image/MCY/10742489 </v>
      </c>
    </row>
    <row r="743" spans="1:12" ht="24.75" x14ac:dyDescent="0.25">
      <c r="A743" s="4" t="s">
        <v>9246</v>
      </c>
      <c r="B743" s="2" t="s">
        <v>2075</v>
      </c>
      <c r="C743" s="3">
        <v>1</v>
      </c>
      <c r="D743" s="5">
        <v>9.99</v>
      </c>
      <c r="E743" s="3" t="s">
        <v>2076</v>
      </c>
      <c r="F743" s="2" t="s">
        <v>1945</v>
      </c>
      <c r="G743" s="6" t="s">
        <v>245</v>
      </c>
      <c r="H743" s="2" t="s">
        <v>1473</v>
      </c>
      <c r="I743" s="2" t="s">
        <v>1426</v>
      </c>
      <c r="J743" s="2" t="s">
        <v>19</v>
      </c>
      <c r="K743" s="2" t="s">
        <v>990</v>
      </c>
      <c r="L743" s="7" t="str">
        <f t="shared" ref="L743:L769" si="12">HYPERLINK("http://slimages.macys.com/is/image/MCY/15161436 ")</f>
        <v xml:space="preserve">http://slimages.macys.com/is/image/MCY/15161436 </v>
      </c>
    </row>
    <row r="744" spans="1:12" ht="24.75" x14ac:dyDescent="0.25">
      <c r="A744" s="4" t="s">
        <v>2080</v>
      </c>
      <c r="B744" s="2" t="s">
        <v>2075</v>
      </c>
      <c r="C744" s="3">
        <v>1</v>
      </c>
      <c r="D744" s="5">
        <v>9.99</v>
      </c>
      <c r="E744" s="3" t="s">
        <v>2076</v>
      </c>
      <c r="F744" s="2" t="s">
        <v>1945</v>
      </c>
      <c r="G744" s="6" t="s">
        <v>234</v>
      </c>
      <c r="H744" s="2" t="s">
        <v>1473</v>
      </c>
      <c r="I744" s="2" t="s">
        <v>1426</v>
      </c>
      <c r="J744" s="2" t="s">
        <v>19</v>
      </c>
      <c r="K744" s="2" t="s">
        <v>990</v>
      </c>
      <c r="L744" s="7" t="str">
        <f t="shared" si="12"/>
        <v xml:space="preserve">http://slimages.macys.com/is/image/MCY/15161436 </v>
      </c>
    </row>
    <row r="745" spans="1:12" ht="24.75" x14ac:dyDescent="0.25">
      <c r="A745" s="4" t="s">
        <v>4329</v>
      </c>
      <c r="B745" s="2" t="s">
        <v>2075</v>
      </c>
      <c r="C745" s="3">
        <v>1</v>
      </c>
      <c r="D745" s="5">
        <v>9.99</v>
      </c>
      <c r="E745" s="3" t="s">
        <v>2076</v>
      </c>
      <c r="F745" s="2" t="s">
        <v>413</v>
      </c>
      <c r="G745" s="6" t="s">
        <v>154</v>
      </c>
      <c r="H745" s="2" t="s">
        <v>1473</v>
      </c>
      <c r="I745" s="2" t="s">
        <v>1426</v>
      </c>
      <c r="J745" s="2" t="s">
        <v>19</v>
      </c>
      <c r="K745" s="2" t="s">
        <v>990</v>
      </c>
      <c r="L745" s="7" t="str">
        <f t="shared" si="12"/>
        <v xml:space="preserve">http://slimages.macys.com/is/image/MCY/15161436 </v>
      </c>
    </row>
    <row r="746" spans="1:12" ht="24.75" x14ac:dyDescent="0.25">
      <c r="A746" s="4" t="s">
        <v>9247</v>
      </c>
      <c r="B746" s="2" t="s">
        <v>2075</v>
      </c>
      <c r="C746" s="3">
        <v>3</v>
      </c>
      <c r="D746" s="5">
        <v>9.99</v>
      </c>
      <c r="E746" s="3" t="s">
        <v>2076</v>
      </c>
      <c r="F746" s="2" t="s">
        <v>1945</v>
      </c>
      <c r="G746" s="6" t="s">
        <v>181</v>
      </c>
      <c r="H746" s="2" t="s">
        <v>1473</v>
      </c>
      <c r="I746" s="2" t="s">
        <v>1426</v>
      </c>
      <c r="J746" s="2" t="s">
        <v>19</v>
      </c>
      <c r="K746" s="2" t="s">
        <v>990</v>
      </c>
      <c r="L746" s="7" t="str">
        <f t="shared" si="12"/>
        <v xml:space="preserve">http://slimages.macys.com/is/image/MCY/15161436 </v>
      </c>
    </row>
    <row r="747" spans="1:12" ht="24.75" x14ac:dyDescent="0.25">
      <c r="A747" s="4" t="s">
        <v>2074</v>
      </c>
      <c r="B747" s="2" t="s">
        <v>2075</v>
      </c>
      <c r="C747" s="3">
        <v>1</v>
      </c>
      <c r="D747" s="5">
        <v>9.99</v>
      </c>
      <c r="E747" s="3" t="s">
        <v>2076</v>
      </c>
      <c r="F747" s="2" t="s">
        <v>33</v>
      </c>
      <c r="G747" s="6" t="s">
        <v>200</v>
      </c>
      <c r="H747" s="2" t="s">
        <v>1473</v>
      </c>
      <c r="I747" s="2" t="s">
        <v>1426</v>
      </c>
      <c r="J747" s="2" t="s">
        <v>19</v>
      </c>
      <c r="K747" s="2" t="s">
        <v>990</v>
      </c>
      <c r="L747" s="7" t="str">
        <f t="shared" si="12"/>
        <v xml:space="preserve">http://slimages.macys.com/is/image/MCY/15161436 </v>
      </c>
    </row>
    <row r="748" spans="1:12" ht="24.75" x14ac:dyDescent="0.25">
      <c r="A748" s="4" t="s">
        <v>2078</v>
      </c>
      <c r="B748" s="2" t="s">
        <v>2075</v>
      </c>
      <c r="C748" s="3">
        <v>2</v>
      </c>
      <c r="D748" s="5">
        <v>9.99</v>
      </c>
      <c r="E748" s="3" t="s">
        <v>2076</v>
      </c>
      <c r="F748" s="2" t="s">
        <v>413</v>
      </c>
      <c r="G748" s="6" t="s">
        <v>181</v>
      </c>
      <c r="H748" s="2" t="s">
        <v>1473</v>
      </c>
      <c r="I748" s="2" t="s">
        <v>1426</v>
      </c>
      <c r="J748" s="2" t="s">
        <v>19</v>
      </c>
      <c r="K748" s="2" t="s">
        <v>990</v>
      </c>
      <c r="L748" s="7" t="str">
        <f t="shared" si="12"/>
        <v xml:space="preserve">http://slimages.macys.com/is/image/MCY/15161436 </v>
      </c>
    </row>
    <row r="749" spans="1:12" ht="24.75" x14ac:dyDescent="0.25">
      <c r="A749" s="4" t="s">
        <v>5294</v>
      </c>
      <c r="B749" s="2" t="s">
        <v>2075</v>
      </c>
      <c r="C749" s="3">
        <v>1</v>
      </c>
      <c r="D749" s="5">
        <v>9.99</v>
      </c>
      <c r="E749" s="3" t="s">
        <v>2076</v>
      </c>
      <c r="F749" s="2" t="s">
        <v>15</v>
      </c>
      <c r="G749" s="6" t="s">
        <v>234</v>
      </c>
      <c r="H749" s="2" t="s">
        <v>1473</v>
      </c>
      <c r="I749" s="2" t="s">
        <v>1426</v>
      </c>
      <c r="J749" s="2" t="s">
        <v>19</v>
      </c>
      <c r="K749" s="2" t="s">
        <v>990</v>
      </c>
      <c r="L749" s="7" t="str">
        <f t="shared" si="12"/>
        <v xml:space="preserve">http://slimages.macys.com/is/image/MCY/15161436 </v>
      </c>
    </row>
    <row r="750" spans="1:12" ht="24.75" x14ac:dyDescent="0.25">
      <c r="A750" s="4" t="s">
        <v>6969</v>
      </c>
      <c r="B750" s="2" t="s">
        <v>2075</v>
      </c>
      <c r="C750" s="3">
        <v>2</v>
      </c>
      <c r="D750" s="5">
        <v>9.99</v>
      </c>
      <c r="E750" s="3" t="s">
        <v>2076</v>
      </c>
      <c r="F750" s="2" t="s">
        <v>33</v>
      </c>
      <c r="G750" s="6" t="s">
        <v>181</v>
      </c>
      <c r="H750" s="2" t="s">
        <v>1473</v>
      </c>
      <c r="I750" s="2" t="s">
        <v>1426</v>
      </c>
      <c r="J750" s="2" t="s">
        <v>19</v>
      </c>
      <c r="K750" s="2" t="s">
        <v>990</v>
      </c>
      <c r="L750" s="7" t="str">
        <f t="shared" si="12"/>
        <v xml:space="preserve">http://slimages.macys.com/is/image/MCY/15161436 </v>
      </c>
    </row>
    <row r="751" spans="1:12" ht="24.75" x14ac:dyDescent="0.25">
      <c r="A751" s="4" t="s">
        <v>7736</v>
      </c>
      <c r="B751" s="2" t="s">
        <v>2075</v>
      </c>
      <c r="C751" s="3">
        <v>1</v>
      </c>
      <c r="D751" s="5">
        <v>9.99</v>
      </c>
      <c r="E751" s="3" t="s">
        <v>2076</v>
      </c>
      <c r="F751" s="2" t="s">
        <v>33</v>
      </c>
      <c r="G751" s="6" t="s">
        <v>154</v>
      </c>
      <c r="H751" s="2" t="s">
        <v>1473</v>
      </c>
      <c r="I751" s="2" t="s">
        <v>1426</v>
      </c>
      <c r="J751" s="2" t="s">
        <v>19</v>
      </c>
      <c r="K751" s="2" t="s">
        <v>990</v>
      </c>
      <c r="L751" s="7" t="str">
        <f t="shared" si="12"/>
        <v xml:space="preserve">http://slimages.macys.com/is/image/MCY/15161436 </v>
      </c>
    </row>
    <row r="752" spans="1:12" ht="24.75" x14ac:dyDescent="0.25">
      <c r="A752" s="4" t="s">
        <v>5286</v>
      </c>
      <c r="B752" s="2" t="s">
        <v>2075</v>
      </c>
      <c r="C752" s="3">
        <v>1</v>
      </c>
      <c r="D752" s="5">
        <v>9.99</v>
      </c>
      <c r="E752" s="3" t="s">
        <v>2076</v>
      </c>
      <c r="F752" s="2" t="s">
        <v>820</v>
      </c>
      <c r="G752" s="6" t="s">
        <v>156</v>
      </c>
      <c r="H752" s="2" t="s">
        <v>1473</v>
      </c>
      <c r="I752" s="2" t="s">
        <v>1426</v>
      </c>
      <c r="J752" s="2" t="s">
        <v>19</v>
      </c>
      <c r="K752" s="2" t="s">
        <v>990</v>
      </c>
      <c r="L752" s="7" t="str">
        <f t="shared" si="12"/>
        <v xml:space="preserve">http://slimages.macys.com/is/image/MCY/15161436 </v>
      </c>
    </row>
    <row r="753" spans="1:12" ht="24.75" x14ac:dyDescent="0.25">
      <c r="A753" s="4" t="s">
        <v>5285</v>
      </c>
      <c r="B753" s="2" t="s">
        <v>2075</v>
      </c>
      <c r="C753" s="3">
        <v>2</v>
      </c>
      <c r="D753" s="5">
        <v>9.99</v>
      </c>
      <c r="E753" s="3" t="s">
        <v>2076</v>
      </c>
      <c r="F753" s="2" t="s">
        <v>820</v>
      </c>
      <c r="G753" s="6" t="s">
        <v>234</v>
      </c>
      <c r="H753" s="2" t="s">
        <v>1473</v>
      </c>
      <c r="I753" s="2" t="s">
        <v>1426</v>
      </c>
      <c r="J753" s="2" t="s">
        <v>19</v>
      </c>
      <c r="K753" s="2" t="s">
        <v>990</v>
      </c>
      <c r="L753" s="7" t="str">
        <f t="shared" si="12"/>
        <v xml:space="preserve">http://slimages.macys.com/is/image/MCY/15161436 </v>
      </c>
    </row>
    <row r="754" spans="1:12" ht="24.75" x14ac:dyDescent="0.25">
      <c r="A754" s="4" t="s">
        <v>6967</v>
      </c>
      <c r="B754" s="2" t="s">
        <v>2075</v>
      </c>
      <c r="C754" s="3">
        <v>1</v>
      </c>
      <c r="D754" s="5">
        <v>9.99</v>
      </c>
      <c r="E754" s="3" t="s">
        <v>2076</v>
      </c>
      <c r="F754" s="2" t="s">
        <v>33</v>
      </c>
      <c r="G754" s="6" t="s">
        <v>245</v>
      </c>
      <c r="H754" s="2" t="s">
        <v>1473</v>
      </c>
      <c r="I754" s="2" t="s">
        <v>1426</v>
      </c>
      <c r="J754" s="2" t="s">
        <v>19</v>
      </c>
      <c r="K754" s="2" t="s">
        <v>990</v>
      </c>
      <c r="L754" s="7" t="str">
        <f t="shared" si="12"/>
        <v xml:space="preserve">http://slimages.macys.com/is/image/MCY/15161436 </v>
      </c>
    </row>
    <row r="755" spans="1:12" ht="24.75" x14ac:dyDescent="0.25">
      <c r="A755" s="4" t="s">
        <v>5284</v>
      </c>
      <c r="B755" s="2" t="s">
        <v>2075</v>
      </c>
      <c r="C755" s="3">
        <v>1</v>
      </c>
      <c r="D755" s="5">
        <v>9.99</v>
      </c>
      <c r="E755" s="3" t="s">
        <v>2076</v>
      </c>
      <c r="F755" s="2" t="s">
        <v>820</v>
      </c>
      <c r="G755" s="6" t="s">
        <v>154</v>
      </c>
      <c r="H755" s="2" t="s">
        <v>1473</v>
      </c>
      <c r="I755" s="2" t="s">
        <v>1426</v>
      </c>
      <c r="J755" s="2" t="s">
        <v>19</v>
      </c>
      <c r="K755" s="2" t="s">
        <v>990</v>
      </c>
      <c r="L755" s="7" t="str">
        <f t="shared" si="12"/>
        <v xml:space="preserve">http://slimages.macys.com/is/image/MCY/15161436 </v>
      </c>
    </row>
    <row r="756" spans="1:12" ht="24.75" x14ac:dyDescent="0.25">
      <c r="A756" s="4" t="s">
        <v>2077</v>
      </c>
      <c r="B756" s="2" t="s">
        <v>2075</v>
      </c>
      <c r="C756" s="3">
        <v>1</v>
      </c>
      <c r="D756" s="5">
        <v>9.99</v>
      </c>
      <c r="E756" s="3" t="s">
        <v>2076</v>
      </c>
      <c r="F756" s="2" t="s">
        <v>33</v>
      </c>
      <c r="G756" s="6" t="s">
        <v>234</v>
      </c>
      <c r="H756" s="2" t="s">
        <v>1473</v>
      </c>
      <c r="I756" s="2" t="s">
        <v>1426</v>
      </c>
      <c r="J756" s="2" t="s">
        <v>19</v>
      </c>
      <c r="K756" s="2" t="s">
        <v>990</v>
      </c>
      <c r="L756" s="7" t="str">
        <f t="shared" si="12"/>
        <v xml:space="preserve">http://slimages.macys.com/is/image/MCY/15161436 </v>
      </c>
    </row>
    <row r="757" spans="1:12" ht="24.75" x14ac:dyDescent="0.25">
      <c r="A757" s="4" t="s">
        <v>4330</v>
      </c>
      <c r="B757" s="2" t="s">
        <v>2075</v>
      </c>
      <c r="C757" s="3">
        <v>1</v>
      </c>
      <c r="D757" s="5">
        <v>9.99</v>
      </c>
      <c r="E757" s="3" t="s">
        <v>2076</v>
      </c>
      <c r="F757" s="2" t="s">
        <v>33</v>
      </c>
      <c r="G757" s="6" t="s">
        <v>156</v>
      </c>
      <c r="H757" s="2" t="s">
        <v>1473</v>
      </c>
      <c r="I757" s="2" t="s">
        <v>1426</v>
      </c>
      <c r="J757" s="2" t="s">
        <v>19</v>
      </c>
      <c r="K757" s="2" t="s">
        <v>990</v>
      </c>
      <c r="L757" s="7" t="str">
        <f t="shared" si="12"/>
        <v xml:space="preserve">http://slimages.macys.com/is/image/MCY/15161436 </v>
      </c>
    </row>
    <row r="758" spans="1:12" ht="24.75" x14ac:dyDescent="0.25">
      <c r="A758" s="4" t="s">
        <v>3245</v>
      </c>
      <c r="B758" s="2" t="s">
        <v>2075</v>
      </c>
      <c r="C758" s="3">
        <v>1</v>
      </c>
      <c r="D758" s="5">
        <v>9.99</v>
      </c>
      <c r="E758" s="3" t="s">
        <v>2076</v>
      </c>
      <c r="F758" s="2" t="s">
        <v>26</v>
      </c>
      <c r="G758" s="6" t="s">
        <v>234</v>
      </c>
      <c r="H758" s="2" t="s">
        <v>1473</v>
      </c>
      <c r="I758" s="2" t="s">
        <v>1426</v>
      </c>
      <c r="J758" s="2" t="s">
        <v>19</v>
      </c>
      <c r="K758" s="2" t="s">
        <v>990</v>
      </c>
      <c r="L758" s="7" t="str">
        <f t="shared" si="12"/>
        <v xml:space="preserve">http://slimages.macys.com/is/image/MCY/15161436 </v>
      </c>
    </row>
    <row r="759" spans="1:12" ht="24.75" x14ac:dyDescent="0.25">
      <c r="A759" s="4" t="s">
        <v>4331</v>
      </c>
      <c r="B759" s="2" t="s">
        <v>2075</v>
      </c>
      <c r="C759" s="3">
        <v>1</v>
      </c>
      <c r="D759" s="5">
        <v>9.99</v>
      </c>
      <c r="E759" s="3" t="s">
        <v>2076</v>
      </c>
      <c r="F759" s="2" t="s">
        <v>1945</v>
      </c>
      <c r="G759" s="6" t="s">
        <v>156</v>
      </c>
      <c r="H759" s="2" t="s">
        <v>1473</v>
      </c>
      <c r="I759" s="2" t="s">
        <v>1426</v>
      </c>
      <c r="J759" s="2" t="s">
        <v>19</v>
      </c>
      <c r="K759" s="2" t="s">
        <v>990</v>
      </c>
      <c r="L759" s="7" t="str">
        <f t="shared" si="12"/>
        <v xml:space="preserve">http://slimages.macys.com/is/image/MCY/15161436 </v>
      </c>
    </row>
    <row r="760" spans="1:12" ht="24.75" x14ac:dyDescent="0.25">
      <c r="A760" s="4" t="s">
        <v>5287</v>
      </c>
      <c r="B760" s="2" t="s">
        <v>2075</v>
      </c>
      <c r="C760" s="3">
        <v>4</v>
      </c>
      <c r="D760" s="5">
        <v>9.99</v>
      </c>
      <c r="E760" s="3" t="s">
        <v>2076</v>
      </c>
      <c r="F760" s="2" t="s">
        <v>820</v>
      </c>
      <c r="G760" s="6" t="s">
        <v>181</v>
      </c>
      <c r="H760" s="2" t="s">
        <v>1473</v>
      </c>
      <c r="I760" s="2" t="s">
        <v>1426</v>
      </c>
      <c r="J760" s="2" t="s">
        <v>19</v>
      </c>
      <c r="K760" s="2" t="s">
        <v>990</v>
      </c>
      <c r="L760" s="7" t="str">
        <f t="shared" si="12"/>
        <v xml:space="preserve">http://slimages.macys.com/is/image/MCY/15161436 </v>
      </c>
    </row>
    <row r="761" spans="1:12" ht="24.75" x14ac:dyDescent="0.25">
      <c r="A761" s="4" t="s">
        <v>2079</v>
      </c>
      <c r="B761" s="2" t="s">
        <v>2075</v>
      </c>
      <c r="C761" s="3">
        <v>1</v>
      </c>
      <c r="D761" s="5">
        <v>9.99</v>
      </c>
      <c r="E761" s="3" t="s">
        <v>2076</v>
      </c>
      <c r="F761" s="2" t="s">
        <v>26</v>
      </c>
      <c r="G761" s="6" t="s">
        <v>154</v>
      </c>
      <c r="H761" s="2" t="s">
        <v>1473</v>
      </c>
      <c r="I761" s="2" t="s">
        <v>1426</v>
      </c>
      <c r="J761" s="2" t="s">
        <v>19</v>
      </c>
      <c r="K761" s="2" t="s">
        <v>990</v>
      </c>
      <c r="L761" s="7" t="str">
        <f t="shared" si="12"/>
        <v xml:space="preserve">http://slimages.macys.com/is/image/MCY/15161436 </v>
      </c>
    </row>
    <row r="762" spans="1:12" ht="24.75" x14ac:dyDescent="0.25">
      <c r="A762" s="4" t="s">
        <v>3246</v>
      </c>
      <c r="B762" s="2" t="s">
        <v>2075</v>
      </c>
      <c r="C762" s="3">
        <v>1</v>
      </c>
      <c r="D762" s="5">
        <v>9.99</v>
      </c>
      <c r="E762" s="3" t="s">
        <v>2076</v>
      </c>
      <c r="F762" s="2" t="s">
        <v>26</v>
      </c>
      <c r="G762" s="6" t="s">
        <v>181</v>
      </c>
      <c r="H762" s="2" t="s">
        <v>1473</v>
      </c>
      <c r="I762" s="2" t="s">
        <v>1426</v>
      </c>
      <c r="J762" s="2" t="s">
        <v>19</v>
      </c>
      <c r="K762" s="2" t="s">
        <v>990</v>
      </c>
      <c r="L762" s="7" t="str">
        <f t="shared" si="12"/>
        <v xml:space="preserve">http://slimages.macys.com/is/image/MCY/15161436 </v>
      </c>
    </row>
    <row r="763" spans="1:12" ht="24.75" x14ac:dyDescent="0.25">
      <c r="A763" s="4" t="s">
        <v>9248</v>
      </c>
      <c r="B763" s="2" t="s">
        <v>2075</v>
      </c>
      <c r="C763" s="3">
        <v>2</v>
      </c>
      <c r="D763" s="5">
        <v>9.99</v>
      </c>
      <c r="E763" s="3" t="s">
        <v>2076</v>
      </c>
      <c r="F763" s="2" t="s">
        <v>3267</v>
      </c>
      <c r="G763" s="6" t="s">
        <v>156</v>
      </c>
      <c r="H763" s="2" t="s">
        <v>1473</v>
      </c>
      <c r="I763" s="2" t="s">
        <v>1426</v>
      </c>
      <c r="J763" s="2" t="s">
        <v>19</v>
      </c>
      <c r="K763" s="2" t="s">
        <v>990</v>
      </c>
      <c r="L763" s="7" t="str">
        <f t="shared" si="12"/>
        <v xml:space="preserve">http://slimages.macys.com/is/image/MCY/15161436 </v>
      </c>
    </row>
    <row r="764" spans="1:12" ht="24.75" x14ac:dyDescent="0.25">
      <c r="A764" s="4" t="s">
        <v>4333</v>
      </c>
      <c r="B764" s="2" t="s">
        <v>2075</v>
      </c>
      <c r="C764" s="3">
        <v>1</v>
      </c>
      <c r="D764" s="5">
        <v>9.99</v>
      </c>
      <c r="E764" s="3" t="s">
        <v>2076</v>
      </c>
      <c r="F764" s="2" t="s">
        <v>74</v>
      </c>
      <c r="G764" s="6" t="s">
        <v>234</v>
      </c>
      <c r="H764" s="2" t="s">
        <v>1473</v>
      </c>
      <c r="I764" s="2" t="s">
        <v>1426</v>
      </c>
      <c r="J764" s="2" t="s">
        <v>19</v>
      </c>
      <c r="K764" s="2" t="s">
        <v>990</v>
      </c>
      <c r="L764" s="7" t="str">
        <f t="shared" si="12"/>
        <v xml:space="preserve">http://slimages.macys.com/is/image/MCY/15161436 </v>
      </c>
    </row>
    <row r="765" spans="1:12" ht="24.75" x14ac:dyDescent="0.25">
      <c r="A765" s="4" t="s">
        <v>7741</v>
      </c>
      <c r="B765" s="2" t="s">
        <v>2075</v>
      </c>
      <c r="C765" s="3">
        <v>1</v>
      </c>
      <c r="D765" s="5">
        <v>9.99</v>
      </c>
      <c r="E765" s="3" t="s">
        <v>2076</v>
      </c>
      <c r="F765" s="2" t="s">
        <v>74</v>
      </c>
      <c r="G765" s="6" t="s">
        <v>154</v>
      </c>
      <c r="H765" s="2" t="s">
        <v>1473</v>
      </c>
      <c r="I765" s="2" t="s">
        <v>1426</v>
      </c>
      <c r="J765" s="2" t="s">
        <v>19</v>
      </c>
      <c r="K765" s="2" t="s">
        <v>990</v>
      </c>
      <c r="L765" s="7" t="str">
        <f t="shared" si="12"/>
        <v xml:space="preserve">http://slimages.macys.com/is/image/MCY/15161436 </v>
      </c>
    </row>
    <row r="766" spans="1:12" ht="24.75" x14ac:dyDescent="0.25">
      <c r="A766" s="4" t="s">
        <v>9249</v>
      </c>
      <c r="B766" s="2" t="s">
        <v>2075</v>
      </c>
      <c r="C766" s="3">
        <v>1</v>
      </c>
      <c r="D766" s="5">
        <v>9.99</v>
      </c>
      <c r="E766" s="3" t="s">
        <v>2076</v>
      </c>
      <c r="F766" s="2" t="s">
        <v>74</v>
      </c>
      <c r="G766" s="6" t="s">
        <v>245</v>
      </c>
      <c r="H766" s="2" t="s">
        <v>1473</v>
      </c>
      <c r="I766" s="2" t="s">
        <v>1426</v>
      </c>
      <c r="J766" s="2" t="s">
        <v>19</v>
      </c>
      <c r="K766" s="2" t="s">
        <v>990</v>
      </c>
      <c r="L766" s="7" t="str">
        <f t="shared" si="12"/>
        <v xml:space="preserve">http://slimages.macys.com/is/image/MCY/15161436 </v>
      </c>
    </row>
    <row r="767" spans="1:12" ht="24.75" x14ac:dyDescent="0.25">
      <c r="A767" s="4" t="s">
        <v>6972</v>
      </c>
      <c r="B767" s="2" t="s">
        <v>2075</v>
      </c>
      <c r="C767" s="3">
        <v>4</v>
      </c>
      <c r="D767" s="5">
        <v>9.99</v>
      </c>
      <c r="E767" s="3" t="s">
        <v>2076</v>
      </c>
      <c r="F767" s="2" t="s">
        <v>3267</v>
      </c>
      <c r="G767" s="6" t="s">
        <v>181</v>
      </c>
      <c r="H767" s="2" t="s">
        <v>1473</v>
      </c>
      <c r="I767" s="2" t="s">
        <v>1426</v>
      </c>
      <c r="J767" s="2" t="s">
        <v>19</v>
      </c>
      <c r="K767" s="2" t="s">
        <v>990</v>
      </c>
      <c r="L767" s="7" t="str">
        <f t="shared" si="12"/>
        <v xml:space="preserve">http://slimages.macys.com/is/image/MCY/15161436 </v>
      </c>
    </row>
    <row r="768" spans="1:12" ht="24.75" x14ac:dyDescent="0.25">
      <c r="A768" s="4" t="s">
        <v>9250</v>
      </c>
      <c r="B768" s="2" t="s">
        <v>2075</v>
      </c>
      <c r="C768" s="3">
        <v>2</v>
      </c>
      <c r="D768" s="5">
        <v>9.99</v>
      </c>
      <c r="E768" s="3" t="s">
        <v>2076</v>
      </c>
      <c r="F768" s="2" t="s">
        <v>26</v>
      </c>
      <c r="G768" s="6" t="s">
        <v>156</v>
      </c>
      <c r="H768" s="2" t="s">
        <v>1473</v>
      </c>
      <c r="I768" s="2" t="s">
        <v>1426</v>
      </c>
      <c r="J768" s="2" t="s">
        <v>19</v>
      </c>
      <c r="K768" s="2" t="s">
        <v>990</v>
      </c>
      <c r="L768" s="7" t="str">
        <f t="shared" si="12"/>
        <v xml:space="preserve">http://slimages.macys.com/is/image/MCY/15161436 </v>
      </c>
    </row>
    <row r="769" spans="1:12" ht="24.75" x14ac:dyDescent="0.25">
      <c r="A769" s="4" t="s">
        <v>5283</v>
      </c>
      <c r="B769" s="2" t="s">
        <v>2075</v>
      </c>
      <c r="C769" s="3">
        <v>1</v>
      </c>
      <c r="D769" s="5">
        <v>9.99</v>
      </c>
      <c r="E769" s="3" t="s">
        <v>2076</v>
      </c>
      <c r="F769" s="2" t="s">
        <v>1322</v>
      </c>
      <c r="G769" s="6" t="s">
        <v>156</v>
      </c>
      <c r="H769" s="2" t="s">
        <v>1473</v>
      </c>
      <c r="I769" s="2" t="s">
        <v>1426</v>
      </c>
      <c r="J769" s="2" t="s">
        <v>19</v>
      </c>
      <c r="K769" s="2" t="s">
        <v>990</v>
      </c>
      <c r="L769" s="7" t="str">
        <f t="shared" si="12"/>
        <v xml:space="preserve">http://slimages.macys.com/is/image/MCY/15161436 </v>
      </c>
    </row>
    <row r="770" spans="1:12" ht="24.75" x14ac:dyDescent="0.25">
      <c r="A770" s="4" t="s">
        <v>9251</v>
      </c>
      <c r="B770" s="2" t="s">
        <v>2087</v>
      </c>
      <c r="C770" s="3">
        <v>1</v>
      </c>
      <c r="D770" s="5">
        <v>9.99</v>
      </c>
      <c r="E770" s="3" t="s">
        <v>2088</v>
      </c>
      <c r="F770" s="2" t="s">
        <v>820</v>
      </c>
      <c r="G770" s="6" t="s">
        <v>234</v>
      </c>
      <c r="H770" s="2" t="s">
        <v>1473</v>
      </c>
      <c r="I770" s="2" t="s">
        <v>1426</v>
      </c>
      <c r="J770" s="2" t="s">
        <v>19</v>
      </c>
      <c r="K770" s="2" t="s">
        <v>648</v>
      </c>
      <c r="L770" s="7" t="str">
        <f>HYPERLINK("http://slimages.macys.com/is/image/MCY/3559834 ")</f>
        <v xml:space="preserve">http://slimages.macys.com/is/image/MCY/3559834 </v>
      </c>
    </row>
    <row r="771" spans="1:12" ht="24.75" x14ac:dyDescent="0.25">
      <c r="A771" s="4" t="s">
        <v>9252</v>
      </c>
      <c r="B771" s="2" t="s">
        <v>5305</v>
      </c>
      <c r="C771" s="3">
        <v>1</v>
      </c>
      <c r="D771" s="5">
        <v>9.99</v>
      </c>
      <c r="E771" s="3" t="s">
        <v>5306</v>
      </c>
      <c r="F771" s="2" t="s">
        <v>15</v>
      </c>
      <c r="G771" s="6" t="s">
        <v>234</v>
      </c>
      <c r="H771" s="2" t="s">
        <v>1473</v>
      </c>
      <c r="I771" s="2" t="s">
        <v>1426</v>
      </c>
      <c r="J771" s="2" t="s">
        <v>19</v>
      </c>
      <c r="K771" s="2" t="s">
        <v>495</v>
      </c>
      <c r="L771" s="7" t="str">
        <f>HYPERLINK("http://slimages.macys.com/is/image/MCY/12326968 ")</f>
        <v xml:space="preserve">http://slimages.macys.com/is/image/MCY/12326968 </v>
      </c>
    </row>
    <row r="772" spans="1:12" ht="24.75" x14ac:dyDescent="0.25">
      <c r="A772" s="4" t="s">
        <v>9253</v>
      </c>
      <c r="B772" s="2" t="s">
        <v>8404</v>
      </c>
      <c r="C772" s="3">
        <v>1</v>
      </c>
      <c r="D772" s="5">
        <v>9.99</v>
      </c>
      <c r="E772" s="3" t="s">
        <v>8405</v>
      </c>
      <c r="F772" s="2" t="s">
        <v>26</v>
      </c>
      <c r="G772" s="6" t="s">
        <v>181</v>
      </c>
      <c r="H772" s="2" t="s">
        <v>1473</v>
      </c>
      <c r="I772" s="2" t="s">
        <v>1426</v>
      </c>
      <c r="J772" s="2" t="s">
        <v>19</v>
      </c>
      <c r="K772" s="2" t="s">
        <v>495</v>
      </c>
      <c r="L772" s="7" t="str">
        <f>HYPERLINK("http://slimages.macys.com/is/image/MCY/11884631 ")</f>
        <v xml:space="preserve">http://slimages.macys.com/is/image/MCY/11884631 </v>
      </c>
    </row>
    <row r="773" spans="1:12" ht="24.75" x14ac:dyDescent="0.25">
      <c r="A773" s="4" t="s">
        <v>5310</v>
      </c>
      <c r="B773" s="2" t="s">
        <v>2083</v>
      </c>
      <c r="C773" s="3">
        <v>1</v>
      </c>
      <c r="D773" s="5">
        <v>9.99</v>
      </c>
      <c r="E773" s="3" t="s">
        <v>3251</v>
      </c>
      <c r="F773" s="2" t="s">
        <v>74</v>
      </c>
      <c r="G773" s="6"/>
      <c r="H773" s="2" t="s">
        <v>1425</v>
      </c>
      <c r="I773" s="2" t="s">
        <v>1426</v>
      </c>
      <c r="J773" s="2" t="s">
        <v>19</v>
      </c>
      <c r="K773" s="2" t="s">
        <v>648</v>
      </c>
      <c r="L773" s="7" t="str">
        <f>HYPERLINK("http://slimages.macys.com/is/image/MCY/12315459 ")</f>
        <v xml:space="preserve">http://slimages.macys.com/is/image/MCY/12315459 </v>
      </c>
    </row>
    <row r="774" spans="1:12" ht="24.75" x14ac:dyDescent="0.25">
      <c r="A774" s="4" t="s">
        <v>7750</v>
      </c>
      <c r="B774" s="2" t="s">
        <v>2083</v>
      </c>
      <c r="C774" s="3">
        <v>1</v>
      </c>
      <c r="D774" s="5">
        <v>9.99</v>
      </c>
      <c r="E774" s="3" t="s">
        <v>3251</v>
      </c>
      <c r="F774" s="2" t="s">
        <v>74</v>
      </c>
      <c r="G774" s="6"/>
      <c r="H774" s="2" t="s">
        <v>1425</v>
      </c>
      <c r="I774" s="2" t="s">
        <v>1426</v>
      </c>
      <c r="J774" s="2" t="s">
        <v>19</v>
      </c>
      <c r="K774" s="2" t="s">
        <v>648</v>
      </c>
      <c r="L774" s="7" t="str">
        <f>HYPERLINK("http://slimages.macys.com/is/image/MCY/12315459 ")</f>
        <v xml:space="preserve">http://slimages.macys.com/is/image/MCY/12315459 </v>
      </c>
    </row>
    <row r="775" spans="1:12" ht="24.75" x14ac:dyDescent="0.25">
      <c r="A775" s="4" t="s">
        <v>9254</v>
      </c>
      <c r="B775" s="2" t="s">
        <v>4356</v>
      </c>
      <c r="C775" s="3">
        <v>1</v>
      </c>
      <c r="D775" s="5">
        <v>9.99</v>
      </c>
      <c r="E775" s="3" t="s">
        <v>4357</v>
      </c>
      <c r="F775" s="2" t="s">
        <v>15</v>
      </c>
      <c r="G775" s="6" t="s">
        <v>156</v>
      </c>
      <c r="H775" s="2" t="s">
        <v>1473</v>
      </c>
      <c r="I775" s="2" t="s">
        <v>1426</v>
      </c>
      <c r="J775" s="2" t="s">
        <v>19</v>
      </c>
      <c r="K775" s="2" t="s">
        <v>495</v>
      </c>
      <c r="L775" s="7" t="str">
        <f>HYPERLINK("http://slimages.macys.com/is/image/MCY/12269182 ")</f>
        <v xml:space="preserve">http://slimages.macys.com/is/image/MCY/12269182 </v>
      </c>
    </row>
    <row r="776" spans="1:12" ht="24.75" x14ac:dyDescent="0.25">
      <c r="A776" s="4" t="s">
        <v>9255</v>
      </c>
      <c r="B776" s="2" t="s">
        <v>3270</v>
      </c>
      <c r="C776" s="3">
        <v>1</v>
      </c>
      <c r="D776" s="5">
        <v>9.99</v>
      </c>
      <c r="E776" s="3" t="s">
        <v>3271</v>
      </c>
      <c r="F776" s="2" t="s">
        <v>331</v>
      </c>
      <c r="G776" s="6" t="s">
        <v>156</v>
      </c>
      <c r="H776" s="2" t="s">
        <v>1473</v>
      </c>
      <c r="I776" s="2" t="s">
        <v>1426</v>
      </c>
      <c r="J776" s="2" t="s">
        <v>19</v>
      </c>
      <c r="K776" s="2" t="s">
        <v>495</v>
      </c>
      <c r="L776" s="7" t="str">
        <f>HYPERLINK("http://slimages.macys.com/is/image/MCY/11774711 ")</f>
        <v xml:space="preserve">http://slimages.macys.com/is/image/MCY/11774711 </v>
      </c>
    </row>
    <row r="777" spans="1:12" ht="24.75" x14ac:dyDescent="0.25">
      <c r="A777" s="4" t="s">
        <v>6258</v>
      </c>
      <c r="B777" s="2" t="s">
        <v>2103</v>
      </c>
      <c r="C777" s="3">
        <v>1</v>
      </c>
      <c r="D777" s="5">
        <v>9.99</v>
      </c>
      <c r="E777" s="3" t="s">
        <v>2104</v>
      </c>
      <c r="F777" s="2" t="s">
        <v>38</v>
      </c>
      <c r="G777" s="6" t="s">
        <v>245</v>
      </c>
      <c r="H777" s="2" t="s">
        <v>1473</v>
      </c>
      <c r="I777" s="2" t="s">
        <v>1426</v>
      </c>
      <c r="J777" s="2" t="s">
        <v>19</v>
      </c>
      <c r="K777" s="2" t="s">
        <v>495</v>
      </c>
      <c r="L777" s="7" t="str">
        <f>HYPERLINK("http://slimages.macys.com/is/image/MCY/10746425 ")</f>
        <v xml:space="preserve">http://slimages.macys.com/is/image/MCY/10746425 </v>
      </c>
    </row>
    <row r="778" spans="1:12" ht="24.75" x14ac:dyDescent="0.25">
      <c r="A778" s="4" t="s">
        <v>9256</v>
      </c>
      <c r="B778" s="2" t="s">
        <v>3259</v>
      </c>
      <c r="C778" s="3">
        <v>1</v>
      </c>
      <c r="D778" s="5">
        <v>9.99</v>
      </c>
      <c r="E778" s="3" t="s">
        <v>3260</v>
      </c>
      <c r="F778" s="2" t="s">
        <v>94</v>
      </c>
      <c r="G778" s="6" t="s">
        <v>154</v>
      </c>
      <c r="H778" s="2" t="s">
        <v>1473</v>
      </c>
      <c r="I778" s="2" t="s">
        <v>1426</v>
      </c>
      <c r="J778" s="2" t="s">
        <v>19</v>
      </c>
      <c r="K778" s="2" t="s">
        <v>495</v>
      </c>
      <c r="L778" s="7" t="str">
        <f>HYPERLINK("http://slimages.macys.com/is/image/MCY/11532821 ")</f>
        <v xml:space="preserve">http://slimages.macys.com/is/image/MCY/11532821 </v>
      </c>
    </row>
    <row r="779" spans="1:12" ht="24.75" x14ac:dyDescent="0.25">
      <c r="A779" s="4" t="s">
        <v>8417</v>
      </c>
      <c r="B779" s="2" t="s">
        <v>2103</v>
      </c>
      <c r="C779" s="3">
        <v>1</v>
      </c>
      <c r="D779" s="5">
        <v>9.99</v>
      </c>
      <c r="E779" s="3" t="s">
        <v>2104</v>
      </c>
      <c r="F779" s="2" t="s">
        <v>38</v>
      </c>
      <c r="G779" s="6" t="s">
        <v>154</v>
      </c>
      <c r="H779" s="2" t="s">
        <v>1473</v>
      </c>
      <c r="I779" s="2" t="s">
        <v>1426</v>
      </c>
      <c r="J779" s="2" t="s">
        <v>19</v>
      </c>
      <c r="K779" s="2" t="s">
        <v>495</v>
      </c>
      <c r="L779" s="7" t="str">
        <f>HYPERLINK("http://slimages.macys.com/is/image/MCY/10746425 ")</f>
        <v xml:space="preserve">http://slimages.macys.com/is/image/MCY/10746425 </v>
      </c>
    </row>
    <row r="780" spans="1:12" ht="24.75" x14ac:dyDescent="0.25">
      <c r="A780" s="4" t="s">
        <v>9257</v>
      </c>
      <c r="B780" s="2" t="s">
        <v>9258</v>
      </c>
      <c r="C780" s="3">
        <v>1</v>
      </c>
      <c r="D780" s="5">
        <v>9.99</v>
      </c>
      <c r="E780" s="3" t="s">
        <v>9259</v>
      </c>
      <c r="F780" s="2" t="s">
        <v>15</v>
      </c>
      <c r="G780" s="6" t="s">
        <v>154</v>
      </c>
      <c r="H780" s="2" t="s">
        <v>1473</v>
      </c>
      <c r="I780" s="2" t="s">
        <v>1426</v>
      </c>
      <c r="J780" s="2" t="s">
        <v>19</v>
      </c>
      <c r="K780" s="2" t="s">
        <v>495</v>
      </c>
      <c r="L780" s="7" t="str">
        <f>HYPERLINK("http://slimages.macys.com/is/image/MCY/10889846 ")</f>
        <v xml:space="preserve">http://slimages.macys.com/is/image/MCY/10889846 </v>
      </c>
    </row>
    <row r="781" spans="1:12" ht="24.75" x14ac:dyDescent="0.25">
      <c r="A781" s="4" t="s">
        <v>7762</v>
      </c>
      <c r="B781" s="2" t="s">
        <v>2072</v>
      </c>
      <c r="C781" s="3">
        <v>2</v>
      </c>
      <c r="D781" s="5">
        <v>9.99</v>
      </c>
      <c r="E781" s="3" t="s">
        <v>2073</v>
      </c>
      <c r="F781" s="2" t="s">
        <v>26</v>
      </c>
      <c r="G781" s="6"/>
      <c r="H781" s="2" t="s">
        <v>1425</v>
      </c>
      <c r="I781" s="2" t="s">
        <v>1426</v>
      </c>
      <c r="J781" s="2" t="s">
        <v>19</v>
      </c>
      <c r="K781" s="2" t="s">
        <v>990</v>
      </c>
      <c r="L781" s="7" t="str">
        <f>HYPERLINK("http://slimages.macys.com/is/image/MCY/10741444 ")</f>
        <v xml:space="preserve">http://slimages.macys.com/is/image/MCY/10741444 </v>
      </c>
    </row>
    <row r="782" spans="1:12" ht="24.75" x14ac:dyDescent="0.25">
      <c r="A782" s="4" t="s">
        <v>9260</v>
      </c>
      <c r="B782" s="2" t="s">
        <v>2072</v>
      </c>
      <c r="C782" s="3">
        <v>2</v>
      </c>
      <c r="D782" s="5">
        <v>9.99</v>
      </c>
      <c r="E782" s="3" t="s">
        <v>2073</v>
      </c>
      <c r="F782" s="2" t="s">
        <v>26</v>
      </c>
      <c r="G782" s="6"/>
      <c r="H782" s="2" t="s">
        <v>1425</v>
      </c>
      <c r="I782" s="2" t="s">
        <v>1426</v>
      </c>
      <c r="J782" s="2" t="s">
        <v>19</v>
      </c>
      <c r="K782" s="2" t="s">
        <v>990</v>
      </c>
      <c r="L782" s="7" t="str">
        <f>HYPERLINK("http://slimages.macys.com/is/image/MCY/10741444 ")</f>
        <v xml:space="preserve">http://slimages.macys.com/is/image/MCY/10741444 </v>
      </c>
    </row>
    <row r="783" spans="1:12" ht="24.75" x14ac:dyDescent="0.25">
      <c r="A783" s="4" t="s">
        <v>7761</v>
      </c>
      <c r="B783" s="2" t="s">
        <v>2072</v>
      </c>
      <c r="C783" s="3">
        <v>2</v>
      </c>
      <c r="D783" s="5">
        <v>9.99</v>
      </c>
      <c r="E783" s="3" t="s">
        <v>2073</v>
      </c>
      <c r="F783" s="2" t="s">
        <v>26</v>
      </c>
      <c r="G783" s="6"/>
      <c r="H783" s="2" t="s">
        <v>1425</v>
      </c>
      <c r="I783" s="2" t="s">
        <v>1426</v>
      </c>
      <c r="J783" s="2" t="s">
        <v>19</v>
      </c>
      <c r="K783" s="2" t="s">
        <v>990</v>
      </c>
      <c r="L783" s="7" t="str">
        <f>HYPERLINK("http://slimages.macys.com/is/image/MCY/10741444 ")</f>
        <v xml:space="preserve">http://slimages.macys.com/is/image/MCY/10741444 </v>
      </c>
    </row>
    <row r="784" spans="1:12" ht="24.75" x14ac:dyDescent="0.25">
      <c r="A784" s="4" t="s">
        <v>9261</v>
      </c>
      <c r="B784" s="2" t="s">
        <v>2072</v>
      </c>
      <c r="C784" s="3">
        <v>4</v>
      </c>
      <c r="D784" s="5">
        <v>9.99</v>
      </c>
      <c r="E784" s="3" t="s">
        <v>2073</v>
      </c>
      <c r="F784" s="2" t="s">
        <v>26</v>
      </c>
      <c r="G784" s="6" t="s">
        <v>219</v>
      </c>
      <c r="H784" s="2" t="s">
        <v>1425</v>
      </c>
      <c r="I784" s="2" t="s">
        <v>1426</v>
      </c>
      <c r="J784" s="2" t="s">
        <v>19</v>
      </c>
      <c r="K784" s="2" t="s">
        <v>990</v>
      </c>
      <c r="L784" s="7" t="str">
        <f>HYPERLINK("http://slimages.macys.com/is/image/MCY/10741444 ")</f>
        <v xml:space="preserve">http://slimages.macys.com/is/image/MCY/10741444 </v>
      </c>
    </row>
    <row r="785" spans="1:12" ht="24.75" x14ac:dyDescent="0.25">
      <c r="A785" s="4" t="s">
        <v>7766</v>
      </c>
      <c r="B785" s="2" t="s">
        <v>2072</v>
      </c>
      <c r="C785" s="3">
        <v>1</v>
      </c>
      <c r="D785" s="5">
        <v>9.99</v>
      </c>
      <c r="E785" s="3" t="s">
        <v>2073</v>
      </c>
      <c r="F785" s="2" t="s">
        <v>26</v>
      </c>
      <c r="G785" s="6" t="s">
        <v>187</v>
      </c>
      <c r="H785" s="2" t="s">
        <v>1425</v>
      </c>
      <c r="I785" s="2" t="s">
        <v>1426</v>
      </c>
      <c r="J785" s="2" t="s">
        <v>19</v>
      </c>
      <c r="K785" s="2" t="s">
        <v>990</v>
      </c>
      <c r="L785" s="7" t="str">
        <f>HYPERLINK("http://slimages.macys.com/is/image/MCY/10741444 ")</f>
        <v xml:space="preserve">http://slimages.macys.com/is/image/MCY/10741444 </v>
      </c>
    </row>
    <row r="786" spans="1:12" ht="24.75" x14ac:dyDescent="0.25">
      <c r="A786" s="4" t="s">
        <v>9262</v>
      </c>
      <c r="B786" s="2" t="s">
        <v>2113</v>
      </c>
      <c r="C786" s="3">
        <v>1</v>
      </c>
      <c r="D786" s="5">
        <v>9.99</v>
      </c>
      <c r="E786" s="3" t="s">
        <v>2114</v>
      </c>
      <c r="F786" s="2" t="s">
        <v>26</v>
      </c>
      <c r="G786" s="6"/>
      <c r="H786" s="2" t="s">
        <v>1425</v>
      </c>
      <c r="I786" s="2" t="s">
        <v>1426</v>
      </c>
      <c r="J786" s="2" t="s">
        <v>19</v>
      </c>
      <c r="K786" s="2" t="s">
        <v>648</v>
      </c>
      <c r="L786" s="7" t="str">
        <f>HYPERLINK("http://slimages.macys.com/is/image/MCY/10703601 ")</f>
        <v xml:space="preserve">http://slimages.macys.com/is/image/MCY/10703601 </v>
      </c>
    </row>
    <row r="787" spans="1:12" ht="24.75" x14ac:dyDescent="0.25">
      <c r="A787" s="4" t="s">
        <v>3255</v>
      </c>
      <c r="B787" s="2" t="s">
        <v>2083</v>
      </c>
      <c r="C787" s="3">
        <v>2</v>
      </c>
      <c r="D787" s="5">
        <v>9.99</v>
      </c>
      <c r="E787" s="3" t="s">
        <v>2084</v>
      </c>
      <c r="F787" s="2" t="s">
        <v>136</v>
      </c>
      <c r="G787" s="6" t="s">
        <v>200</v>
      </c>
      <c r="H787" s="2" t="s">
        <v>1473</v>
      </c>
      <c r="I787" s="2" t="s">
        <v>1426</v>
      </c>
      <c r="J787" s="2" t="s">
        <v>19</v>
      </c>
      <c r="K787" s="2" t="s">
        <v>648</v>
      </c>
      <c r="L787" s="7" t="str">
        <f t="shared" ref="L787:L793" si="13">HYPERLINK("http://slimages.macys.com/is/image/MCY/10703349 ")</f>
        <v xml:space="preserve">http://slimages.macys.com/is/image/MCY/10703349 </v>
      </c>
    </row>
    <row r="788" spans="1:12" ht="24.75" x14ac:dyDescent="0.25">
      <c r="A788" s="4" t="s">
        <v>9263</v>
      </c>
      <c r="B788" s="2" t="s">
        <v>2083</v>
      </c>
      <c r="C788" s="3">
        <v>1</v>
      </c>
      <c r="D788" s="5">
        <v>9.99</v>
      </c>
      <c r="E788" s="3" t="s">
        <v>2084</v>
      </c>
      <c r="F788" s="2" t="s">
        <v>33</v>
      </c>
      <c r="G788" s="6" t="s">
        <v>200</v>
      </c>
      <c r="H788" s="2" t="s">
        <v>1473</v>
      </c>
      <c r="I788" s="2" t="s">
        <v>1426</v>
      </c>
      <c r="J788" s="2" t="s">
        <v>19</v>
      </c>
      <c r="K788" s="2" t="s">
        <v>648</v>
      </c>
      <c r="L788" s="7" t="str">
        <f t="shared" si="13"/>
        <v xml:space="preserve">http://slimages.macys.com/is/image/MCY/10703349 </v>
      </c>
    </row>
    <row r="789" spans="1:12" ht="24.75" x14ac:dyDescent="0.25">
      <c r="A789" s="4" t="s">
        <v>4336</v>
      </c>
      <c r="B789" s="2" t="s">
        <v>2083</v>
      </c>
      <c r="C789" s="3">
        <v>1</v>
      </c>
      <c r="D789" s="5">
        <v>9.99</v>
      </c>
      <c r="E789" s="3" t="s">
        <v>2084</v>
      </c>
      <c r="F789" s="2" t="s">
        <v>136</v>
      </c>
      <c r="G789" s="6" t="s">
        <v>154</v>
      </c>
      <c r="H789" s="2" t="s">
        <v>1473</v>
      </c>
      <c r="I789" s="2" t="s">
        <v>1426</v>
      </c>
      <c r="J789" s="2" t="s">
        <v>19</v>
      </c>
      <c r="K789" s="2" t="s">
        <v>648</v>
      </c>
      <c r="L789" s="7" t="str">
        <f t="shared" si="13"/>
        <v xml:space="preserve">http://slimages.macys.com/is/image/MCY/10703349 </v>
      </c>
    </row>
    <row r="790" spans="1:12" ht="24.75" x14ac:dyDescent="0.25">
      <c r="A790" s="4" t="s">
        <v>5300</v>
      </c>
      <c r="B790" s="2" t="s">
        <v>2083</v>
      </c>
      <c r="C790" s="3">
        <v>1</v>
      </c>
      <c r="D790" s="5">
        <v>9.99</v>
      </c>
      <c r="E790" s="3" t="s">
        <v>2084</v>
      </c>
      <c r="F790" s="2" t="s">
        <v>136</v>
      </c>
      <c r="G790" s="6" t="s">
        <v>245</v>
      </c>
      <c r="H790" s="2" t="s">
        <v>1473</v>
      </c>
      <c r="I790" s="2" t="s">
        <v>1426</v>
      </c>
      <c r="J790" s="2" t="s">
        <v>19</v>
      </c>
      <c r="K790" s="2" t="s">
        <v>648</v>
      </c>
      <c r="L790" s="7" t="str">
        <f t="shared" si="13"/>
        <v xml:space="preserve">http://slimages.macys.com/is/image/MCY/10703349 </v>
      </c>
    </row>
    <row r="791" spans="1:12" ht="24.75" x14ac:dyDescent="0.25">
      <c r="A791" s="4" t="s">
        <v>3256</v>
      </c>
      <c r="B791" s="2" t="s">
        <v>2083</v>
      </c>
      <c r="C791" s="3">
        <v>1</v>
      </c>
      <c r="D791" s="5">
        <v>9.99</v>
      </c>
      <c r="E791" s="3" t="s">
        <v>2084</v>
      </c>
      <c r="F791" s="2" t="s">
        <v>74</v>
      </c>
      <c r="G791" s="6" t="s">
        <v>156</v>
      </c>
      <c r="H791" s="2" t="s">
        <v>1473</v>
      </c>
      <c r="I791" s="2" t="s">
        <v>1426</v>
      </c>
      <c r="J791" s="2" t="s">
        <v>19</v>
      </c>
      <c r="K791" s="2" t="s">
        <v>648</v>
      </c>
      <c r="L791" s="7" t="str">
        <f t="shared" si="13"/>
        <v xml:space="preserve">http://slimages.macys.com/is/image/MCY/10703349 </v>
      </c>
    </row>
    <row r="792" spans="1:12" ht="24.75" x14ac:dyDescent="0.25">
      <c r="A792" s="4" t="s">
        <v>9264</v>
      </c>
      <c r="B792" s="2" t="s">
        <v>2083</v>
      </c>
      <c r="C792" s="3">
        <v>1</v>
      </c>
      <c r="D792" s="5">
        <v>9.99</v>
      </c>
      <c r="E792" s="3" t="s">
        <v>2084</v>
      </c>
      <c r="F792" s="2" t="s">
        <v>1322</v>
      </c>
      <c r="G792" s="6" t="s">
        <v>245</v>
      </c>
      <c r="H792" s="2" t="s">
        <v>1473</v>
      </c>
      <c r="I792" s="2" t="s">
        <v>1426</v>
      </c>
      <c r="J792" s="2" t="s">
        <v>19</v>
      </c>
      <c r="K792" s="2" t="s">
        <v>648</v>
      </c>
      <c r="L792" s="7" t="str">
        <f t="shared" si="13"/>
        <v xml:space="preserve">http://slimages.macys.com/is/image/MCY/10703349 </v>
      </c>
    </row>
    <row r="793" spans="1:12" ht="24.75" x14ac:dyDescent="0.25">
      <c r="A793" s="4" t="s">
        <v>5298</v>
      </c>
      <c r="B793" s="2" t="s">
        <v>2083</v>
      </c>
      <c r="C793" s="3">
        <v>3</v>
      </c>
      <c r="D793" s="5">
        <v>9.99</v>
      </c>
      <c r="E793" s="3" t="s">
        <v>2084</v>
      </c>
      <c r="F793" s="2" t="s">
        <v>74</v>
      </c>
      <c r="G793" s="6" t="s">
        <v>154</v>
      </c>
      <c r="H793" s="2" t="s">
        <v>1473</v>
      </c>
      <c r="I793" s="2" t="s">
        <v>1426</v>
      </c>
      <c r="J793" s="2" t="s">
        <v>19</v>
      </c>
      <c r="K793" s="2" t="s">
        <v>648</v>
      </c>
      <c r="L793" s="7" t="str">
        <f t="shared" si="13"/>
        <v xml:space="preserve">http://slimages.macys.com/is/image/MCY/10703349 </v>
      </c>
    </row>
    <row r="794" spans="1:12" ht="24.75" x14ac:dyDescent="0.25">
      <c r="A794" s="4" t="s">
        <v>9265</v>
      </c>
      <c r="B794" s="2" t="s">
        <v>2120</v>
      </c>
      <c r="C794" s="3">
        <v>1</v>
      </c>
      <c r="D794" s="5">
        <v>40.5</v>
      </c>
      <c r="E794" s="3">
        <v>100067921</v>
      </c>
      <c r="F794" s="2" t="s">
        <v>74</v>
      </c>
      <c r="G794" s="6" t="s">
        <v>16</v>
      </c>
      <c r="H794" s="2" t="s">
        <v>228</v>
      </c>
      <c r="I794" s="2" t="s">
        <v>229</v>
      </c>
      <c r="J794" s="2"/>
      <c r="K794" s="2"/>
      <c r="L794" s="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1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.5703125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9266</v>
      </c>
      <c r="B2" s="2" t="s">
        <v>9267</v>
      </c>
      <c r="C2" s="3">
        <v>1</v>
      </c>
      <c r="D2" s="5">
        <v>169</v>
      </c>
      <c r="E2" s="3" t="s">
        <v>9268</v>
      </c>
      <c r="F2" s="2" t="s">
        <v>3267</v>
      </c>
      <c r="G2" s="6" t="s">
        <v>16</v>
      </c>
      <c r="H2" s="2" t="s">
        <v>17</v>
      </c>
      <c r="I2" s="2" t="s">
        <v>28</v>
      </c>
      <c r="J2" s="2" t="s">
        <v>19</v>
      </c>
      <c r="K2" s="2" t="s">
        <v>258</v>
      </c>
      <c r="L2" s="7" t="str">
        <f>HYPERLINK("http://slimages.macys.com/is/image/MCY/12149882 ")</f>
        <v xml:space="preserve">http://slimages.macys.com/is/image/MCY/12149882 </v>
      </c>
    </row>
    <row r="3" spans="1:12" ht="24.75" x14ac:dyDescent="0.25">
      <c r="A3" s="4" t="s">
        <v>8430</v>
      </c>
      <c r="B3" s="2" t="s">
        <v>8431</v>
      </c>
      <c r="C3" s="3">
        <v>1</v>
      </c>
      <c r="D3" s="5">
        <v>168</v>
      </c>
      <c r="E3" s="3" t="s">
        <v>8432</v>
      </c>
      <c r="F3" s="2" t="s">
        <v>26</v>
      </c>
      <c r="G3" s="6" t="s">
        <v>16</v>
      </c>
      <c r="H3" s="2" t="s">
        <v>17</v>
      </c>
      <c r="I3" s="2" t="s">
        <v>18</v>
      </c>
      <c r="J3" s="2" t="s">
        <v>19</v>
      </c>
      <c r="K3" s="2" t="s">
        <v>258</v>
      </c>
      <c r="L3" s="7" t="str">
        <f>HYPERLINK("http://slimages.macys.com/is/image/MCY/12877432 ")</f>
        <v xml:space="preserve">http://slimages.macys.com/is/image/MCY/12877432 </v>
      </c>
    </row>
    <row r="4" spans="1:12" ht="24.75" x14ac:dyDescent="0.25">
      <c r="A4" s="4" t="s">
        <v>7017</v>
      </c>
      <c r="B4" s="2" t="s">
        <v>7018</v>
      </c>
      <c r="C4" s="3">
        <v>1</v>
      </c>
      <c r="D4" s="5">
        <v>168</v>
      </c>
      <c r="E4" s="3" t="s">
        <v>7019</v>
      </c>
      <c r="F4" s="2" t="s">
        <v>199</v>
      </c>
      <c r="G4" s="6" t="s">
        <v>141</v>
      </c>
      <c r="H4" s="2" t="s">
        <v>17</v>
      </c>
      <c r="I4" s="2" t="s">
        <v>18</v>
      </c>
      <c r="J4" s="2" t="s">
        <v>19</v>
      </c>
      <c r="K4" s="2" t="s">
        <v>258</v>
      </c>
      <c r="L4" s="7" t="str">
        <f>HYPERLINK("http://slimages.macys.com/is/image/MCY/12876763 ")</f>
        <v xml:space="preserve">http://slimages.macys.com/is/image/MCY/12876763 </v>
      </c>
    </row>
    <row r="5" spans="1:12" ht="24.75" x14ac:dyDescent="0.25">
      <c r="A5" s="4" t="s">
        <v>42</v>
      </c>
      <c r="B5" s="2" t="s">
        <v>43</v>
      </c>
      <c r="C5" s="3">
        <v>1</v>
      </c>
      <c r="D5" s="5">
        <v>148</v>
      </c>
      <c r="E5" s="3" t="s">
        <v>44</v>
      </c>
      <c r="F5" s="2" t="s">
        <v>15</v>
      </c>
      <c r="G5" s="6" t="s">
        <v>16</v>
      </c>
      <c r="H5" s="2" t="s">
        <v>17</v>
      </c>
      <c r="I5" s="2" t="s">
        <v>18</v>
      </c>
      <c r="J5" s="2" t="s">
        <v>19</v>
      </c>
      <c r="K5" s="2" t="s">
        <v>34</v>
      </c>
      <c r="L5" s="7" t="str">
        <f>HYPERLINK("http://slimages.macys.com/is/image/MCY/12145349 ")</f>
        <v xml:space="preserve">http://slimages.macys.com/is/image/MCY/12145349 </v>
      </c>
    </row>
    <row r="6" spans="1:12" ht="24.75" x14ac:dyDescent="0.25">
      <c r="A6" s="4" t="s">
        <v>9269</v>
      </c>
      <c r="B6" s="2" t="s">
        <v>9270</v>
      </c>
      <c r="C6" s="3">
        <v>1</v>
      </c>
      <c r="D6" s="5">
        <v>138</v>
      </c>
      <c r="E6" s="3" t="s">
        <v>9271</v>
      </c>
      <c r="F6" s="2" t="s">
        <v>53</v>
      </c>
      <c r="G6" s="6" t="s">
        <v>106</v>
      </c>
      <c r="H6" s="2" t="s">
        <v>17</v>
      </c>
      <c r="I6" s="2" t="s">
        <v>18</v>
      </c>
      <c r="J6" s="2" t="s">
        <v>19</v>
      </c>
      <c r="K6" s="2" t="s">
        <v>34</v>
      </c>
      <c r="L6" s="7" t="str">
        <f>HYPERLINK("http://slimages.macys.com/is/image/MCY/12876955 ")</f>
        <v xml:space="preserve">http://slimages.macys.com/is/image/MCY/12876955 </v>
      </c>
    </row>
    <row r="7" spans="1:12" ht="24.75" x14ac:dyDescent="0.25">
      <c r="A7" s="4" t="s">
        <v>9272</v>
      </c>
      <c r="B7" s="2" t="s">
        <v>9270</v>
      </c>
      <c r="C7" s="3">
        <v>1</v>
      </c>
      <c r="D7" s="5">
        <v>138</v>
      </c>
      <c r="E7" s="3" t="s">
        <v>9271</v>
      </c>
      <c r="F7" s="2" t="s">
        <v>53</v>
      </c>
      <c r="G7" s="6" t="s">
        <v>65</v>
      </c>
      <c r="H7" s="2" t="s">
        <v>17</v>
      </c>
      <c r="I7" s="2" t="s">
        <v>18</v>
      </c>
      <c r="J7" s="2" t="s">
        <v>19</v>
      </c>
      <c r="K7" s="2" t="s">
        <v>34</v>
      </c>
      <c r="L7" s="7" t="str">
        <f>HYPERLINK("http://slimages.macys.com/is/image/MCY/12876955 ")</f>
        <v xml:space="preserve">http://slimages.macys.com/is/image/MCY/12876955 </v>
      </c>
    </row>
    <row r="8" spans="1:12" ht="24.75" x14ac:dyDescent="0.25">
      <c r="A8" s="4" t="s">
        <v>9273</v>
      </c>
      <c r="B8" s="2" t="s">
        <v>9270</v>
      </c>
      <c r="C8" s="3">
        <v>1</v>
      </c>
      <c r="D8" s="5">
        <v>138</v>
      </c>
      <c r="E8" s="3" t="s">
        <v>9271</v>
      </c>
      <c r="F8" s="2" t="s">
        <v>53</v>
      </c>
      <c r="G8" s="6" t="s">
        <v>39</v>
      </c>
      <c r="H8" s="2" t="s">
        <v>17</v>
      </c>
      <c r="I8" s="2" t="s">
        <v>18</v>
      </c>
      <c r="J8" s="2" t="s">
        <v>19</v>
      </c>
      <c r="K8" s="2" t="s">
        <v>34</v>
      </c>
      <c r="L8" s="7" t="str">
        <f>HYPERLINK("http://slimages.macys.com/is/image/MCY/12876955 ")</f>
        <v xml:space="preserve">http://slimages.macys.com/is/image/MCY/12876955 </v>
      </c>
    </row>
    <row r="9" spans="1:12" ht="36.75" x14ac:dyDescent="0.25">
      <c r="A9" s="4" t="s">
        <v>9274</v>
      </c>
      <c r="B9" s="2" t="s">
        <v>6278</v>
      </c>
      <c r="C9" s="3">
        <v>1</v>
      </c>
      <c r="D9" s="5">
        <v>119</v>
      </c>
      <c r="E9" s="3" t="s">
        <v>6279</v>
      </c>
      <c r="F9" s="2" t="s">
        <v>89</v>
      </c>
      <c r="G9" s="6" t="s">
        <v>5361</v>
      </c>
      <c r="H9" s="2" t="s">
        <v>17</v>
      </c>
      <c r="I9" s="2" t="s">
        <v>5356</v>
      </c>
      <c r="J9" s="2" t="s">
        <v>19</v>
      </c>
      <c r="K9" s="2" t="s">
        <v>2419</v>
      </c>
      <c r="L9" s="7" t="str">
        <f>HYPERLINK("http://slimages.macys.com/is/image/MCY/12383449 ")</f>
        <v xml:space="preserve">http://slimages.macys.com/is/image/MCY/12383449 </v>
      </c>
    </row>
    <row r="10" spans="1:12" ht="36.75" x14ac:dyDescent="0.25">
      <c r="A10" s="4" t="s">
        <v>6277</v>
      </c>
      <c r="B10" s="2" t="s">
        <v>6278</v>
      </c>
      <c r="C10" s="3">
        <v>1</v>
      </c>
      <c r="D10" s="5">
        <v>119</v>
      </c>
      <c r="E10" s="3" t="s">
        <v>6279</v>
      </c>
      <c r="F10" s="2" t="s">
        <v>89</v>
      </c>
      <c r="G10" s="6" t="s">
        <v>4401</v>
      </c>
      <c r="H10" s="2" t="s">
        <v>17</v>
      </c>
      <c r="I10" s="2" t="s">
        <v>5356</v>
      </c>
      <c r="J10" s="2" t="s">
        <v>19</v>
      </c>
      <c r="K10" s="2" t="s">
        <v>2419</v>
      </c>
      <c r="L10" s="7" t="str">
        <f>HYPERLINK("http://slimages.macys.com/is/image/MCY/12383449 ")</f>
        <v xml:space="preserve">http://slimages.macys.com/is/image/MCY/12383449 </v>
      </c>
    </row>
    <row r="11" spans="1:12" ht="36.75" x14ac:dyDescent="0.25">
      <c r="A11" s="4" t="s">
        <v>7034</v>
      </c>
      <c r="B11" s="2" t="s">
        <v>6278</v>
      </c>
      <c r="C11" s="3">
        <v>1</v>
      </c>
      <c r="D11" s="5">
        <v>119</v>
      </c>
      <c r="E11" s="3" t="s">
        <v>6279</v>
      </c>
      <c r="F11" s="2" t="s">
        <v>89</v>
      </c>
      <c r="G11" s="6" t="s">
        <v>116</v>
      </c>
      <c r="H11" s="2" t="s">
        <v>17</v>
      </c>
      <c r="I11" s="2" t="s">
        <v>5356</v>
      </c>
      <c r="J11" s="2" t="s">
        <v>19</v>
      </c>
      <c r="K11" s="2" t="s">
        <v>2419</v>
      </c>
      <c r="L11" s="7" t="str">
        <f>HYPERLINK("http://slimages.macys.com/is/image/MCY/12383449 ")</f>
        <v xml:space="preserve">http://slimages.macys.com/is/image/MCY/12383449 </v>
      </c>
    </row>
    <row r="12" spans="1:12" ht="36.75" x14ac:dyDescent="0.25">
      <c r="A12" s="4" t="s">
        <v>9275</v>
      </c>
      <c r="B12" s="2" t="s">
        <v>7036</v>
      </c>
      <c r="C12" s="3">
        <v>1</v>
      </c>
      <c r="D12" s="5">
        <v>118</v>
      </c>
      <c r="E12" s="3" t="s">
        <v>7037</v>
      </c>
      <c r="F12" s="2" t="s">
        <v>566</v>
      </c>
      <c r="G12" s="6" t="s">
        <v>22</v>
      </c>
      <c r="H12" s="2" t="s">
        <v>17</v>
      </c>
      <c r="I12" s="2" t="s">
        <v>18</v>
      </c>
      <c r="J12" s="2" t="s">
        <v>19</v>
      </c>
      <c r="K12" s="2" t="s">
        <v>2419</v>
      </c>
      <c r="L12" s="7" t="str">
        <f>HYPERLINK("http://slimages.macys.com/is/image/MCY/12330594 ")</f>
        <v xml:space="preserve">http://slimages.macys.com/is/image/MCY/12330594 </v>
      </c>
    </row>
    <row r="13" spans="1:12" ht="36.75" x14ac:dyDescent="0.25">
      <c r="A13" s="4" t="s">
        <v>9276</v>
      </c>
      <c r="B13" s="2" t="s">
        <v>7036</v>
      </c>
      <c r="C13" s="3">
        <v>1</v>
      </c>
      <c r="D13" s="5">
        <v>118</v>
      </c>
      <c r="E13" s="3" t="s">
        <v>7037</v>
      </c>
      <c r="F13" s="2" t="s">
        <v>566</v>
      </c>
      <c r="G13" s="6" t="s">
        <v>65</v>
      </c>
      <c r="H13" s="2" t="s">
        <v>17</v>
      </c>
      <c r="I13" s="2" t="s">
        <v>18</v>
      </c>
      <c r="J13" s="2" t="s">
        <v>19</v>
      </c>
      <c r="K13" s="2" t="s">
        <v>2419</v>
      </c>
      <c r="L13" s="7" t="str">
        <f>HYPERLINK("http://slimages.macys.com/is/image/MCY/12330594 ")</f>
        <v xml:space="preserve">http://slimages.macys.com/is/image/MCY/12330594 </v>
      </c>
    </row>
    <row r="14" spans="1:12" ht="24.75" x14ac:dyDescent="0.25">
      <c r="A14" s="4" t="s">
        <v>3298</v>
      </c>
      <c r="B14" s="2" t="s">
        <v>104</v>
      </c>
      <c r="C14" s="3">
        <v>1</v>
      </c>
      <c r="D14" s="5">
        <v>119</v>
      </c>
      <c r="E14" s="3" t="s">
        <v>105</v>
      </c>
      <c r="F14" s="2" t="s">
        <v>26</v>
      </c>
      <c r="G14" s="6" t="s">
        <v>141</v>
      </c>
      <c r="H14" s="2" t="s">
        <v>17</v>
      </c>
      <c r="I14" s="2" t="s">
        <v>18</v>
      </c>
      <c r="J14" s="2" t="s">
        <v>19</v>
      </c>
      <c r="K14" s="2" t="s">
        <v>107</v>
      </c>
      <c r="L14" s="7" t="str">
        <f>HYPERLINK("http://slimages.macys.com/is/image/MCY/12326948 ")</f>
        <v xml:space="preserve">http://slimages.macys.com/is/image/MCY/12326948 </v>
      </c>
    </row>
    <row r="15" spans="1:12" ht="24.75" x14ac:dyDescent="0.25">
      <c r="A15" s="4" t="s">
        <v>5358</v>
      </c>
      <c r="B15" s="2" t="s">
        <v>5359</v>
      </c>
      <c r="C15" s="3">
        <v>1</v>
      </c>
      <c r="D15" s="5">
        <v>128</v>
      </c>
      <c r="E15" s="3" t="s">
        <v>5360</v>
      </c>
      <c r="F15" s="2" t="s">
        <v>64</v>
      </c>
      <c r="G15" s="6" t="s">
        <v>5361</v>
      </c>
      <c r="H15" s="2" t="s">
        <v>17</v>
      </c>
      <c r="I15" s="2" t="s">
        <v>5356</v>
      </c>
      <c r="J15" s="2" t="s">
        <v>19</v>
      </c>
      <c r="K15" s="2" t="s">
        <v>5362</v>
      </c>
      <c r="L15" s="7" t="str">
        <f>HYPERLINK("http://slimages.macys.com/is/image/MCY/11723889 ")</f>
        <v xml:space="preserve">http://slimages.macys.com/is/image/MCY/11723889 </v>
      </c>
    </row>
    <row r="16" spans="1:12" ht="24.75" x14ac:dyDescent="0.25">
      <c r="A16" s="4" t="s">
        <v>9277</v>
      </c>
      <c r="B16" s="2" t="s">
        <v>9278</v>
      </c>
      <c r="C16" s="3">
        <v>1</v>
      </c>
      <c r="D16" s="5">
        <v>129</v>
      </c>
      <c r="E16" s="3" t="s">
        <v>9279</v>
      </c>
      <c r="F16" s="2" t="s">
        <v>15</v>
      </c>
      <c r="G16" s="6" t="s">
        <v>4406</v>
      </c>
      <c r="H16" s="2" t="s">
        <v>17</v>
      </c>
      <c r="I16" s="2" t="s">
        <v>145</v>
      </c>
      <c r="J16" s="2" t="s">
        <v>19</v>
      </c>
      <c r="K16" s="2" t="s">
        <v>9280</v>
      </c>
      <c r="L16" s="7" t="str">
        <f>HYPERLINK("http://slimages.macys.com/is/image/MCY/9583726 ")</f>
        <v xml:space="preserve">http://slimages.macys.com/is/image/MCY/9583726 </v>
      </c>
    </row>
    <row r="17" spans="1:12" ht="24.75" x14ac:dyDescent="0.25">
      <c r="A17" s="4" t="s">
        <v>4408</v>
      </c>
      <c r="B17" s="2" t="s">
        <v>114</v>
      </c>
      <c r="C17" s="3">
        <v>1</v>
      </c>
      <c r="D17" s="5">
        <v>99</v>
      </c>
      <c r="E17" s="3" t="s">
        <v>115</v>
      </c>
      <c r="F17" s="2" t="s">
        <v>26</v>
      </c>
      <c r="G17" s="6" t="s">
        <v>4401</v>
      </c>
      <c r="H17" s="2" t="s">
        <v>17</v>
      </c>
      <c r="I17" s="2" t="s">
        <v>117</v>
      </c>
      <c r="J17" s="2" t="s">
        <v>19</v>
      </c>
      <c r="K17" s="2" t="s">
        <v>118</v>
      </c>
      <c r="L17" s="7" t="str">
        <f>HYPERLINK("http://slimages.macys.com/is/image/MCY/12669592 ")</f>
        <v xml:space="preserve">http://slimages.macys.com/is/image/MCY/12669592 </v>
      </c>
    </row>
    <row r="18" spans="1:12" ht="24.75" x14ac:dyDescent="0.25">
      <c r="A18" s="4" t="s">
        <v>9281</v>
      </c>
      <c r="B18" s="2" t="s">
        <v>9282</v>
      </c>
      <c r="C18" s="3">
        <v>1</v>
      </c>
      <c r="D18" s="5">
        <v>99.5</v>
      </c>
      <c r="E18" s="3">
        <v>10722280</v>
      </c>
      <c r="F18" s="2" t="s">
        <v>3267</v>
      </c>
      <c r="G18" s="6" t="s">
        <v>27</v>
      </c>
      <c r="H18" s="2" t="s">
        <v>17</v>
      </c>
      <c r="I18" s="2" t="s">
        <v>121</v>
      </c>
      <c r="J18" s="2" t="s">
        <v>19</v>
      </c>
      <c r="K18" s="2" t="s">
        <v>34</v>
      </c>
      <c r="L18" s="7" t="str">
        <f>HYPERLINK("http://slimages.macys.com/is/image/MCY/12756071 ")</f>
        <v xml:space="preserve">http://slimages.macys.com/is/image/MCY/12756071 </v>
      </c>
    </row>
    <row r="19" spans="1:12" ht="24.75" x14ac:dyDescent="0.25">
      <c r="A19" s="4" t="s">
        <v>9283</v>
      </c>
      <c r="B19" s="2" t="s">
        <v>9282</v>
      </c>
      <c r="C19" s="3">
        <v>1</v>
      </c>
      <c r="D19" s="5">
        <v>99.5</v>
      </c>
      <c r="E19" s="3">
        <v>10722280</v>
      </c>
      <c r="F19" s="2" t="s">
        <v>3267</v>
      </c>
      <c r="G19" s="6" t="s">
        <v>141</v>
      </c>
      <c r="H19" s="2" t="s">
        <v>17</v>
      </c>
      <c r="I19" s="2" t="s">
        <v>121</v>
      </c>
      <c r="J19" s="2" t="s">
        <v>19</v>
      </c>
      <c r="K19" s="2" t="s">
        <v>34</v>
      </c>
      <c r="L19" s="7" t="str">
        <f>HYPERLINK("http://slimages.macys.com/is/image/MCY/12756071 ")</f>
        <v xml:space="preserve">http://slimages.macys.com/is/image/MCY/12756071 </v>
      </c>
    </row>
    <row r="20" spans="1:12" ht="24.75" x14ac:dyDescent="0.25">
      <c r="A20" s="4" t="s">
        <v>9284</v>
      </c>
      <c r="B20" s="2" t="s">
        <v>9285</v>
      </c>
      <c r="C20" s="3">
        <v>1</v>
      </c>
      <c r="D20" s="5">
        <v>99</v>
      </c>
      <c r="E20" s="3">
        <v>10688242</v>
      </c>
      <c r="F20" s="2" t="s">
        <v>417</v>
      </c>
      <c r="G20" s="6" t="s">
        <v>27</v>
      </c>
      <c r="H20" s="2" t="s">
        <v>17</v>
      </c>
      <c r="I20" s="2" t="s">
        <v>9286</v>
      </c>
      <c r="J20" s="2"/>
      <c r="K20" s="2"/>
      <c r="L20" s="7" t="str">
        <f>HYPERLINK("http://slimages.macys.com/is/image/MCY/10044904 ")</f>
        <v xml:space="preserve">http://slimages.macys.com/is/image/MCY/10044904 </v>
      </c>
    </row>
    <row r="21" spans="1:12" ht="24.75" x14ac:dyDescent="0.25">
      <c r="A21" s="4" t="s">
        <v>133</v>
      </c>
      <c r="B21" s="2" t="s">
        <v>134</v>
      </c>
      <c r="C21" s="3">
        <v>1</v>
      </c>
      <c r="D21" s="5">
        <v>99</v>
      </c>
      <c r="E21" s="3" t="s">
        <v>135</v>
      </c>
      <c r="F21" s="2" t="s">
        <v>136</v>
      </c>
      <c r="G21" s="6" t="s">
        <v>22</v>
      </c>
      <c r="H21" s="2" t="s">
        <v>95</v>
      </c>
      <c r="I21" s="2" t="s">
        <v>96</v>
      </c>
      <c r="J21" s="2" t="s">
        <v>19</v>
      </c>
      <c r="K21" s="2" t="s">
        <v>137</v>
      </c>
      <c r="L21" s="7" t="str">
        <f>HYPERLINK("http://slimages.macys.com/is/image/MCY/12746916 ")</f>
        <v xml:space="preserve">http://slimages.macys.com/is/image/MCY/12746916 </v>
      </c>
    </row>
    <row r="22" spans="1:12" ht="24.75" x14ac:dyDescent="0.25">
      <c r="A22" s="4" t="s">
        <v>9287</v>
      </c>
      <c r="B22" s="2" t="s">
        <v>9288</v>
      </c>
      <c r="C22" s="3">
        <v>1</v>
      </c>
      <c r="D22" s="5">
        <v>109</v>
      </c>
      <c r="E22" s="3" t="s">
        <v>9289</v>
      </c>
      <c r="F22" s="2" t="s">
        <v>70</v>
      </c>
      <c r="G22" s="6" t="s">
        <v>4401</v>
      </c>
      <c r="H22" s="2" t="s">
        <v>17</v>
      </c>
      <c r="I22" s="2" t="s">
        <v>145</v>
      </c>
      <c r="J22" s="2" t="s">
        <v>19</v>
      </c>
      <c r="K22" s="2" t="s">
        <v>118</v>
      </c>
      <c r="L22" s="7" t="str">
        <f>HYPERLINK("http://slimages.macys.com/is/image/MCY/12671415 ")</f>
        <v xml:space="preserve">http://slimages.macys.com/is/image/MCY/12671415 </v>
      </c>
    </row>
    <row r="23" spans="1:12" ht="24.75" x14ac:dyDescent="0.25">
      <c r="A23" s="4" t="s">
        <v>9290</v>
      </c>
      <c r="B23" s="2" t="s">
        <v>6288</v>
      </c>
      <c r="C23" s="3">
        <v>1</v>
      </c>
      <c r="D23" s="5">
        <v>109.5</v>
      </c>
      <c r="E23" s="3" t="s">
        <v>6289</v>
      </c>
      <c r="F23" s="2" t="s">
        <v>74</v>
      </c>
      <c r="G23" s="6"/>
      <c r="H23" s="2" t="s">
        <v>127</v>
      </c>
      <c r="I23" s="2" t="s">
        <v>128</v>
      </c>
      <c r="J23" s="2" t="s">
        <v>19</v>
      </c>
      <c r="K23" s="2" t="s">
        <v>137</v>
      </c>
      <c r="L23" s="7" t="str">
        <f>HYPERLINK("http://slimages.macys.com/is/image/MCY/14313203 ")</f>
        <v xml:space="preserve">http://slimages.macys.com/is/image/MCY/14313203 </v>
      </c>
    </row>
    <row r="24" spans="1:12" ht="24.75" x14ac:dyDescent="0.25">
      <c r="A24" s="4" t="s">
        <v>9291</v>
      </c>
      <c r="B24" s="2" t="s">
        <v>3312</v>
      </c>
      <c r="C24" s="3">
        <v>1</v>
      </c>
      <c r="D24" s="5">
        <v>89</v>
      </c>
      <c r="E24" s="3" t="s">
        <v>3313</v>
      </c>
      <c r="F24" s="2" t="s">
        <v>26</v>
      </c>
      <c r="G24" s="6" t="s">
        <v>58</v>
      </c>
      <c r="H24" s="2" t="s">
        <v>95</v>
      </c>
      <c r="I24" s="2" t="s">
        <v>96</v>
      </c>
      <c r="J24" s="2" t="s">
        <v>19</v>
      </c>
      <c r="K24" s="2" t="s">
        <v>338</v>
      </c>
      <c r="L24" s="7" t="str">
        <f>HYPERLINK("http://slimages.macys.com/is/image/MCY/11784614 ")</f>
        <v xml:space="preserve">http://slimages.macys.com/is/image/MCY/11784614 </v>
      </c>
    </row>
    <row r="25" spans="1:12" ht="24.75" x14ac:dyDescent="0.25">
      <c r="A25" s="4" t="s">
        <v>9292</v>
      </c>
      <c r="B25" s="2" t="s">
        <v>6292</v>
      </c>
      <c r="C25" s="3">
        <v>1</v>
      </c>
      <c r="D25" s="5">
        <v>89</v>
      </c>
      <c r="E25" s="3" t="s">
        <v>6293</v>
      </c>
      <c r="F25" s="2" t="s">
        <v>15</v>
      </c>
      <c r="G25" s="6" t="s">
        <v>27</v>
      </c>
      <c r="H25" s="2" t="s">
        <v>95</v>
      </c>
      <c r="I25" s="2" t="s">
        <v>96</v>
      </c>
      <c r="J25" s="2" t="s">
        <v>19</v>
      </c>
      <c r="K25" s="2" t="s">
        <v>607</v>
      </c>
      <c r="L25" s="7" t="str">
        <f>HYPERLINK("http://slimages.macys.com/is/image/MCY/12228319 ")</f>
        <v xml:space="preserve">http://slimages.macys.com/is/image/MCY/12228319 </v>
      </c>
    </row>
    <row r="26" spans="1:12" ht="36.75" x14ac:dyDescent="0.25">
      <c r="A26" s="4" t="s">
        <v>9293</v>
      </c>
      <c r="B26" s="2" t="s">
        <v>7049</v>
      </c>
      <c r="C26" s="3">
        <v>1</v>
      </c>
      <c r="D26" s="5">
        <v>79</v>
      </c>
      <c r="E26" s="3">
        <v>10713304</v>
      </c>
      <c r="F26" s="2" t="s">
        <v>33</v>
      </c>
      <c r="G26" s="6" t="s">
        <v>16</v>
      </c>
      <c r="H26" s="2" t="s">
        <v>2154</v>
      </c>
      <c r="I26" s="2" t="s">
        <v>2155</v>
      </c>
      <c r="J26" s="2" t="s">
        <v>19</v>
      </c>
      <c r="K26" s="2" t="s">
        <v>7050</v>
      </c>
      <c r="L26" s="7" t="str">
        <f>HYPERLINK("http://slimages.macys.com/is/image/MCY/11627202 ")</f>
        <v xml:space="preserve">http://slimages.macys.com/is/image/MCY/11627202 </v>
      </c>
    </row>
    <row r="27" spans="1:12" ht="24.75" x14ac:dyDescent="0.25">
      <c r="A27" s="4" t="s">
        <v>9294</v>
      </c>
      <c r="B27" s="2" t="s">
        <v>2159</v>
      </c>
      <c r="C27" s="3">
        <v>1</v>
      </c>
      <c r="D27" s="5">
        <v>79.5</v>
      </c>
      <c r="E27" s="3">
        <v>10723364</v>
      </c>
      <c r="F27" s="2" t="s">
        <v>15</v>
      </c>
      <c r="G27" s="6" t="s">
        <v>16</v>
      </c>
      <c r="H27" s="2" t="s">
        <v>17</v>
      </c>
      <c r="I27" s="2" t="s">
        <v>121</v>
      </c>
      <c r="J27" s="2" t="s">
        <v>19</v>
      </c>
      <c r="K27" s="2" t="s">
        <v>34</v>
      </c>
      <c r="L27" s="7" t="str">
        <f>HYPERLINK("http://slimages.macys.com/is/image/MCY/12340424 ")</f>
        <v xml:space="preserve">http://slimages.macys.com/is/image/MCY/12340424 </v>
      </c>
    </row>
    <row r="28" spans="1:12" ht="24.75" x14ac:dyDescent="0.25">
      <c r="A28" s="4" t="s">
        <v>2157</v>
      </c>
      <c r="B28" s="2" t="s">
        <v>153</v>
      </c>
      <c r="C28" s="3">
        <v>1</v>
      </c>
      <c r="D28" s="5">
        <v>79.5</v>
      </c>
      <c r="E28" s="3">
        <v>10719732</v>
      </c>
      <c r="F28" s="2" t="s">
        <v>33</v>
      </c>
      <c r="G28" s="6" t="s">
        <v>245</v>
      </c>
      <c r="H28" s="2" t="s">
        <v>17</v>
      </c>
      <c r="I28" s="2" t="s">
        <v>121</v>
      </c>
      <c r="J28" s="2" t="s">
        <v>19</v>
      </c>
      <c r="K28" s="2" t="s">
        <v>34</v>
      </c>
      <c r="L28" s="7" t="str">
        <f>HYPERLINK("http://slimages.macys.com/is/image/MCY/10534487 ")</f>
        <v xml:space="preserve">http://slimages.macys.com/is/image/MCY/10534487 </v>
      </c>
    </row>
    <row r="29" spans="1:12" ht="24.75" x14ac:dyDescent="0.25">
      <c r="A29" s="4" t="s">
        <v>152</v>
      </c>
      <c r="B29" s="2" t="s">
        <v>153</v>
      </c>
      <c r="C29" s="3">
        <v>2</v>
      </c>
      <c r="D29" s="5">
        <v>79.5</v>
      </c>
      <c r="E29" s="3">
        <v>10719732</v>
      </c>
      <c r="F29" s="2" t="s">
        <v>33</v>
      </c>
      <c r="G29" s="6" t="s">
        <v>154</v>
      </c>
      <c r="H29" s="2" t="s">
        <v>17</v>
      </c>
      <c r="I29" s="2" t="s">
        <v>121</v>
      </c>
      <c r="J29" s="2" t="s">
        <v>19</v>
      </c>
      <c r="K29" s="2" t="s">
        <v>34</v>
      </c>
      <c r="L29" s="7" t="str">
        <f>HYPERLINK("http://slimages.macys.com/is/image/MCY/10534487 ")</f>
        <v xml:space="preserve">http://slimages.macys.com/is/image/MCY/10534487 </v>
      </c>
    </row>
    <row r="30" spans="1:12" ht="24.75" x14ac:dyDescent="0.25">
      <c r="A30" s="4" t="s">
        <v>2160</v>
      </c>
      <c r="B30" s="2" t="s">
        <v>153</v>
      </c>
      <c r="C30" s="3">
        <v>1</v>
      </c>
      <c r="D30" s="5">
        <v>79.5</v>
      </c>
      <c r="E30" s="3">
        <v>10719732</v>
      </c>
      <c r="F30" s="2" t="s">
        <v>33</v>
      </c>
      <c r="G30" s="6" t="s">
        <v>234</v>
      </c>
      <c r="H30" s="2" t="s">
        <v>17</v>
      </c>
      <c r="I30" s="2" t="s">
        <v>121</v>
      </c>
      <c r="J30" s="2" t="s">
        <v>19</v>
      </c>
      <c r="K30" s="2" t="s">
        <v>34</v>
      </c>
      <c r="L30" s="7" t="str">
        <f>HYPERLINK("http://slimages.macys.com/is/image/MCY/10534487 ")</f>
        <v xml:space="preserve">http://slimages.macys.com/is/image/MCY/10534487 </v>
      </c>
    </row>
    <row r="31" spans="1:12" ht="36.75" x14ac:dyDescent="0.25">
      <c r="A31" s="4" t="s">
        <v>9295</v>
      </c>
      <c r="B31" s="2" t="s">
        <v>7793</v>
      </c>
      <c r="C31" s="3">
        <v>1</v>
      </c>
      <c r="D31" s="5">
        <v>79</v>
      </c>
      <c r="E31" s="3" t="s">
        <v>7794</v>
      </c>
      <c r="F31" s="2" t="s">
        <v>15</v>
      </c>
      <c r="G31" s="6" t="s">
        <v>58</v>
      </c>
      <c r="H31" s="2" t="s">
        <v>95</v>
      </c>
      <c r="I31" s="2" t="s">
        <v>96</v>
      </c>
      <c r="J31" s="2" t="s">
        <v>19</v>
      </c>
      <c r="K31" s="2" t="s">
        <v>2419</v>
      </c>
      <c r="L31" s="7" t="str">
        <f>HYPERLINK("http://slimages.macys.com/is/image/MCY/12879487 ")</f>
        <v xml:space="preserve">http://slimages.macys.com/is/image/MCY/12879487 </v>
      </c>
    </row>
    <row r="32" spans="1:12" ht="24.75" x14ac:dyDescent="0.25">
      <c r="A32" s="4" t="s">
        <v>9296</v>
      </c>
      <c r="B32" s="2" t="s">
        <v>172</v>
      </c>
      <c r="C32" s="3">
        <v>1</v>
      </c>
      <c r="D32" s="5">
        <v>89.5</v>
      </c>
      <c r="E32" s="3" t="s">
        <v>173</v>
      </c>
      <c r="F32" s="2" t="s">
        <v>53</v>
      </c>
      <c r="G32" s="6"/>
      <c r="H32" s="2" t="s">
        <v>127</v>
      </c>
      <c r="I32" s="2" t="s">
        <v>128</v>
      </c>
      <c r="J32" s="2" t="s">
        <v>19</v>
      </c>
      <c r="K32" s="2" t="s">
        <v>66</v>
      </c>
      <c r="L32" s="7" t="str">
        <f>HYPERLINK("http://slimages.macys.com/is/image/MCY/12734139 ")</f>
        <v xml:space="preserve">http://slimages.macys.com/is/image/MCY/12734139 </v>
      </c>
    </row>
    <row r="33" spans="1:12" ht="24.75" x14ac:dyDescent="0.25">
      <c r="A33" s="4" t="s">
        <v>177</v>
      </c>
      <c r="B33" s="2" t="s">
        <v>178</v>
      </c>
      <c r="C33" s="3">
        <v>1</v>
      </c>
      <c r="D33" s="5">
        <v>55.65</v>
      </c>
      <c r="E33" s="3" t="s">
        <v>179</v>
      </c>
      <c r="F33" s="2" t="s">
        <v>180</v>
      </c>
      <c r="G33" s="6" t="s">
        <v>181</v>
      </c>
      <c r="H33" s="2" t="s">
        <v>182</v>
      </c>
      <c r="I33" s="2" t="s">
        <v>183</v>
      </c>
      <c r="J33" s="2" t="s">
        <v>19</v>
      </c>
      <c r="K33" s="2" t="s">
        <v>34</v>
      </c>
      <c r="L33" s="7" t="str">
        <f>HYPERLINK("http://slimages.macys.com/is/image/MCY/12938423 ")</f>
        <v xml:space="preserve">http://slimages.macys.com/is/image/MCY/12938423 </v>
      </c>
    </row>
    <row r="34" spans="1:12" ht="24.75" x14ac:dyDescent="0.25">
      <c r="A34" s="4" t="s">
        <v>9297</v>
      </c>
      <c r="B34" s="2" t="s">
        <v>9298</v>
      </c>
      <c r="C34" s="3">
        <v>1</v>
      </c>
      <c r="D34" s="5">
        <v>59</v>
      </c>
      <c r="E34" s="3" t="s">
        <v>9299</v>
      </c>
      <c r="F34" s="2" t="s">
        <v>417</v>
      </c>
      <c r="G34" s="6"/>
      <c r="H34" s="2" t="s">
        <v>6285</v>
      </c>
      <c r="I34" s="2" t="s">
        <v>6286</v>
      </c>
      <c r="J34" s="2" t="s">
        <v>19</v>
      </c>
      <c r="K34" s="2" t="s">
        <v>253</v>
      </c>
      <c r="L34" s="7" t="str">
        <f>HYPERLINK("http://slimages.macys.com/is/image/MCY/12281652 ")</f>
        <v xml:space="preserve">http://slimages.macys.com/is/image/MCY/12281652 </v>
      </c>
    </row>
    <row r="35" spans="1:12" ht="24.75" x14ac:dyDescent="0.25">
      <c r="A35" s="4" t="s">
        <v>9300</v>
      </c>
      <c r="B35" s="2" t="s">
        <v>9301</v>
      </c>
      <c r="C35" s="3">
        <v>1</v>
      </c>
      <c r="D35" s="5">
        <v>67.13</v>
      </c>
      <c r="E35" s="3" t="s">
        <v>9302</v>
      </c>
      <c r="F35" s="2" t="s">
        <v>64</v>
      </c>
      <c r="G35" s="6" t="s">
        <v>934</v>
      </c>
      <c r="H35" s="2" t="s">
        <v>188</v>
      </c>
      <c r="I35" s="2" t="s">
        <v>189</v>
      </c>
      <c r="J35" s="2" t="s">
        <v>19</v>
      </c>
      <c r="K35" s="2" t="s">
        <v>258</v>
      </c>
      <c r="L35" s="7" t="str">
        <f>HYPERLINK("http://slimages.macys.com/is/image/MCY/11884319 ")</f>
        <v xml:space="preserve">http://slimages.macys.com/is/image/MCY/11884319 </v>
      </c>
    </row>
    <row r="36" spans="1:12" ht="24.75" x14ac:dyDescent="0.25">
      <c r="A36" s="4" t="s">
        <v>3343</v>
      </c>
      <c r="B36" s="2" t="s">
        <v>198</v>
      </c>
      <c r="C36" s="3">
        <v>2</v>
      </c>
      <c r="D36" s="5">
        <v>52.13</v>
      </c>
      <c r="E36" s="3">
        <v>100054438</v>
      </c>
      <c r="F36" s="2" t="s">
        <v>199</v>
      </c>
      <c r="G36" s="6" t="s">
        <v>154</v>
      </c>
      <c r="H36" s="2" t="s">
        <v>194</v>
      </c>
      <c r="I36" s="2" t="s">
        <v>195</v>
      </c>
      <c r="J36" s="2" t="s">
        <v>19</v>
      </c>
      <c r="K36" s="2" t="s">
        <v>201</v>
      </c>
      <c r="L36" s="7" t="str">
        <f>HYPERLINK("http://slimages.macys.com/is/image/MCY/12316594 ")</f>
        <v xml:space="preserve">http://slimages.macys.com/is/image/MCY/12316594 </v>
      </c>
    </row>
    <row r="37" spans="1:12" ht="24.75" x14ac:dyDescent="0.25">
      <c r="A37" s="4" t="s">
        <v>3342</v>
      </c>
      <c r="B37" s="2" t="s">
        <v>198</v>
      </c>
      <c r="C37" s="3">
        <v>1</v>
      </c>
      <c r="D37" s="5">
        <v>52.13</v>
      </c>
      <c r="E37" s="3">
        <v>100054438</v>
      </c>
      <c r="F37" s="2" t="s">
        <v>199</v>
      </c>
      <c r="G37" s="6" t="s">
        <v>181</v>
      </c>
      <c r="H37" s="2" t="s">
        <v>194</v>
      </c>
      <c r="I37" s="2" t="s">
        <v>195</v>
      </c>
      <c r="J37" s="2" t="s">
        <v>19</v>
      </c>
      <c r="K37" s="2" t="s">
        <v>201</v>
      </c>
      <c r="L37" s="7" t="str">
        <f>HYPERLINK("http://slimages.macys.com/is/image/MCY/12316594 ")</f>
        <v xml:space="preserve">http://slimages.macys.com/is/image/MCY/12316594 </v>
      </c>
    </row>
    <row r="38" spans="1:12" ht="24.75" x14ac:dyDescent="0.25">
      <c r="A38" s="4" t="s">
        <v>9303</v>
      </c>
      <c r="B38" s="2" t="s">
        <v>7059</v>
      </c>
      <c r="C38" s="3">
        <v>1</v>
      </c>
      <c r="D38" s="5">
        <v>59.63</v>
      </c>
      <c r="E38" s="3" t="s">
        <v>7060</v>
      </c>
      <c r="F38" s="2" t="s">
        <v>26</v>
      </c>
      <c r="G38" s="6" t="s">
        <v>434</v>
      </c>
      <c r="H38" s="2" t="s">
        <v>349</v>
      </c>
      <c r="I38" s="2" t="s">
        <v>285</v>
      </c>
      <c r="J38" s="2" t="s">
        <v>19</v>
      </c>
      <c r="K38" s="2" t="s">
        <v>7061</v>
      </c>
      <c r="L38" s="7" t="str">
        <f>HYPERLINK("http://slimages.macys.com/is/image/MCY/13040749 ")</f>
        <v xml:space="preserve">http://slimages.macys.com/is/image/MCY/13040749 </v>
      </c>
    </row>
    <row r="39" spans="1:12" ht="48.75" x14ac:dyDescent="0.25">
      <c r="A39" s="4" t="s">
        <v>4436</v>
      </c>
      <c r="B39" s="2" t="s">
        <v>4433</v>
      </c>
      <c r="C39" s="3">
        <v>1</v>
      </c>
      <c r="D39" s="5">
        <v>99.5</v>
      </c>
      <c r="E39" s="3" t="s">
        <v>4434</v>
      </c>
      <c r="F39" s="2" t="s">
        <v>15</v>
      </c>
      <c r="G39" s="6"/>
      <c r="H39" s="2" t="s">
        <v>206</v>
      </c>
      <c r="I39" s="2" t="s">
        <v>207</v>
      </c>
      <c r="J39" s="2" t="s">
        <v>19</v>
      </c>
      <c r="K39" s="2" t="s">
        <v>4435</v>
      </c>
      <c r="L39" s="7" t="str">
        <f>HYPERLINK("http://slimages.macys.com/is/image/MCY/12067752 ")</f>
        <v xml:space="preserve">http://slimages.macys.com/is/image/MCY/12067752 </v>
      </c>
    </row>
    <row r="40" spans="1:12" x14ac:dyDescent="0.25">
      <c r="A40" s="4" t="s">
        <v>9304</v>
      </c>
      <c r="B40" s="2" t="s">
        <v>4438</v>
      </c>
      <c r="C40" s="3">
        <v>1</v>
      </c>
      <c r="D40" s="5">
        <v>99.5</v>
      </c>
      <c r="E40" s="3">
        <v>100055525</v>
      </c>
      <c r="F40" s="2" t="s">
        <v>64</v>
      </c>
      <c r="G40" s="6" t="s">
        <v>22</v>
      </c>
      <c r="H40" s="2" t="s">
        <v>386</v>
      </c>
      <c r="I40" s="2" t="s">
        <v>337</v>
      </c>
      <c r="J40" s="2" t="s">
        <v>19</v>
      </c>
      <c r="K40" s="2" t="s">
        <v>353</v>
      </c>
      <c r="L40" s="7" t="str">
        <f>HYPERLINK("http://slimages.macys.com/is/image/MCY/11943108 ")</f>
        <v xml:space="preserve">http://slimages.macys.com/is/image/MCY/11943108 </v>
      </c>
    </row>
    <row r="41" spans="1:12" x14ac:dyDescent="0.25">
      <c r="A41" s="4" t="s">
        <v>9305</v>
      </c>
      <c r="B41" s="2" t="s">
        <v>4438</v>
      </c>
      <c r="C41" s="3">
        <v>1</v>
      </c>
      <c r="D41" s="5">
        <v>99.5</v>
      </c>
      <c r="E41" s="3">
        <v>100055525</v>
      </c>
      <c r="F41" s="2" t="s">
        <v>64</v>
      </c>
      <c r="G41" s="6" t="s">
        <v>58</v>
      </c>
      <c r="H41" s="2" t="s">
        <v>386</v>
      </c>
      <c r="I41" s="2" t="s">
        <v>337</v>
      </c>
      <c r="J41" s="2" t="s">
        <v>19</v>
      </c>
      <c r="K41" s="2" t="s">
        <v>353</v>
      </c>
      <c r="L41" s="7" t="str">
        <f>HYPERLINK("http://slimages.macys.com/is/image/MCY/11943108 ")</f>
        <v xml:space="preserve">http://slimages.macys.com/is/image/MCY/11943108 </v>
      </c>
    </row>
    <row r="42" spans="1:12" x14ac:dyDescent="0.25">
      <c r="A42" s="4" t="s">
        <v>9306</v>
      </c>
      <c r="B42" s="2" t="s">
        <v>4438</v>
      </c>
      <c r="C42" s="3">
        <v>1</v>
      </c>
      <c r="D42" s="5">
        <v>99.5</v>
      </c>
      <c r="E42" s="3">
        <v>100055525</v>
      </c>
      <c r="F42" s="2" t="s">
        <v>64</v>
      </c>
      <c r="G42" s="6" t="s">
        <v>27</v>
      </c>
      <c r="H42" s="2" t="s">
        <v>386</v>
      </c>
      <c r="I42" s="2" t="s">
        <v>337</v>
      </c>
      <c r="J42" s="2" t="s">
        <v>19</v>
      </c>
      <c r="K42" s="2" t="s">
        <v>353</v>
      </c>
      <c r="L42" s="7" t="str">
        <f>HYPERLINK("http://slimages.macys.com/is/image/MCY/11943108 ")</f>
        <v xml:space="preserve">http://slimages.macys.com/is/image/MCY/11943108 </v>
      </c>
    </row>
    <row r="43" spans="1:12" ht="24.75" x14ac:dyDescent="0.25">
      <c r="A43" s="4" t="s">
        <v>9307</v>
      </c>
      <c r="B43" s="2" t="s">
        <v>3346</v>
      </c>
      <c r="C43" s="3">
        <v>1</v>
      </c>
      <c r="D43" s="5">
        <v>52.13</v>
      </c>
      <c r="E43" s="3" t="s">
        <v>3347</v>
      </c>
      <c r="F43" s="2" t="s">
        <v>15</v>
      </c>
      <c r="G43" s="6" t="s">
        <v>154</v>
      </c>
      <c r="H43" s="2" t="s">
        <v>194</v>
      </c>
      <c r="I43" s="2" t="s">
        <v>195</v>
      </c>
      <c r="J43" s="2" t="s">
        <v>19</v>
      </c>
      <c r="K43" s="2" t="s">
        <v>3350</v>
      </c>
      <c r="L43" s="7" t="str">
        <f>HYPERLINK("http://slimages.macys.com/is/image/MCY/12034735 ")</f>
        <v xml:space="preserve">http://slimages.macys.com/is/image/MCY/12034735 </v>
      </c>
    </row>
    <row r="44" spans="1:12" ht="24.75" x14ac:dyDescent="0.25">
      <c r="A44" s="4" t="s">
        <v>9308</v>
      </c>
      <c r="B44" s="2" t="s">
        <v>9309</v>
      </c>
      <c r="C44" s="3">
        <v>1</v>
      </c>
      <c r="D44" s="5">
        <v>99.5</v>
      </c>
      <c r="E44" s="3">
        <v>100055168</v>
      </c>
      <c r="F44" s="2" t="s">
        <v>252</v>
      </c>
      <c r="G44" s="6" t="s">
        <v>39</v>
      </c>
      <c r="H44" s="2" t="s">
        <v>386</v>
      </c>
      <c r="I44" s="2" t="s">
        <v>207</v>
      </c>
      <c r="J44" s="2" t="s">
        <v>19</v>
      </c>
      <c r="K44" s="2" t="s">
        <v>338</v>
      </c>
      <c r="L44" s="7" t="str">
        <f>HYPERLINK("http://slimages.macys.com/is/image/MCY/12075806 ")</f>
        <v xml:space="preserve">http://slimages.macys.com/is/image/MCY/12075806 </v>
      </c>
    </row>
    <row r="45" spans="1:12" ht="24.75" x14ac:dyDescent="0.25">
      <c r="A45" s="4" t="s">
        <v>9310</v>
      </c>
      <c r="B45" s="2" t="s">
        <v>9309</v>
      </c>
      <c r="C45" s="3">
        <v>1</v>
      </c>
      <c r="D45" s="5">
        <v>99.5</v>
      </c>
      <c r="E45" s="3">
        <v>100055168</v>
      </c>
      <c r="F45" s="2" t="s">
        <v>252</v>
      </c>
      <c r="G45" s="6" t="s">
        <v>58</v>
      </c>
      <c r="H45" s="2" t="s">
        <v>386</v>
      </c>
      <c r="I45" s="2" t="s">
        <v>207</v>
      </c>
      <c r="J45" s="2" t="s">
        <v>19</v>
      </c>
      <c r="K45" s="2" t="s">
        <v>338</v>
      </c>
      <c r="L45" s="7" t="str">
        <f>HYPERLINK("http://slimages.macys.com/is/image/MCY/12075806 ")</f>
        <v xml:space="preserve">http://slimages.macys.com/is/image/MCY/12075806 </v>
      </c>
    </row>
    <row r="46" spans="1:12" x14ac:dyDescent="0.25">
      <c r="A46" s="4" t="s">
        <v>9311</v>
      </c>
      <c r="B46" s="2" t="s">
        <v>178</v>
      </c>
      <c r="C46" s="3">
        <v>1</v>
      </c>
      <c r="D46" s="5">
        <v>55.65</v>
      </c>
      <c r="E46" s="3" t="s">
        <v>179</v>
      </c>
      <c r="F46" s="2" t="s">
        <v>74</v>
      </c>
      <c r="G46" s="6" t="s">
        <v>245</v>
      </c>
      <c r="H46" s="2" t="s">
        <v>182</v>
      </c>
      <c r="I46" s="2" t="s">
        <v>183</v>
      </c>
      <c r="J46" s="2" t="s">
        <v>19</v>
      </c>
      <c r="K46" s="2" t="s">
        <v>34</v>
      </c>
      <c r="L46" s="7" t="str">
        <f>HYPERLINK("http://slimages.macys.com/is/image/MCY/12935648 ")</f>
        <v xml:space="preserve">http://slimages.macys.com/is/image/MCY/12935648 </v>
      </c>
    </row>
    <row r="47" spans="1:12" ht="36.75" x14ac:dyDescent="0.25">
      <c r="A47" s="4" t="s">
        <v>9312</v>
      </c>
      <c r="B47" s="2" t="s">
        <v>9313</v>
      </c>
      <c r="C47" s="3">
        <v>1</v>
      </c>
      <c r="D47" s="5">
        <v>59.63</v>
      </c>
      <c r="E47" s="3" t="s">
        <v>9314</v>
      </c>
      <c r="F47" s="2" t="s">
        <v>74</v>
      </c>
      <c r="G47" s="6" t="s">
        <v>181</v>
      </c>
      <c r="H47" s="2" t="s">
        <v>194</v>
      </c>
      <c r="I47" s="2" t="s">
        <v>1922</v>
      </c>
      <c r="J47" s="2" t="s">
        <v>19</v>
      </c>
      <c r="K47" s="2" t="s">
        <v>9315</v>
      </c>
      <c r="L47" s="7" t="str">
        <f>HYPERLINK("http://slimages.macys.com/is/image/MCY/8717176 ")</f>
        <v xml:space="preserve">http://slimages.macys.com/is/image/MCY/8717176 </v>
      </c>
    </row>
    <row r="48" spans="1:12" ht="24.75" x14ac:dyDescent="0.25">
      <c r="A48" s="4" t="s">
        <v>9316</v>
      </c>
      <c r="B48" s="2" t="s">
        <v>261</v>
      </c>
      <c r="C48" s="3">
        <v>1</v>
      </c>
      <c r="D48" s="5">
        <v>52.13</v>
      </c>
      <c r="E48" s="3" t="s">
        <v>262</v>
      </c>
      <c r="F48" s="2" t="s">
        <v>33</v>
      </c>
      <c r="G48" s="6" t="s">
        <v>219</v>
      </c>
      <c r="H48" s="2" t="s">
        <v>188</v>
      </c>
      <c r="I48" s="2" t="s">
        <v>189</v>
      </c>
      <c r="J48" s="2" t="s">
        <v>19</v>
      </c>
      <c r="K48" s="2" t="s">
        <v>263</v>
      </c>
      <c r="L48" s="7" t="str">
        <f>HYPERLINK("http://slimages.macys.com/is/image/MCY/11975609 ")</f>
        <v xml:space="preserve">http://slimages.macys.com/is/image/MCY/11975609 </v>
      </c>
    </row>
    <row r="49" spans="1:12" ht="24.75" x14ac:dyDescent="0.25">
      <c r="A49" s="4" t="s">
        <v>9317</v>
      </c>
      <c r="B49" s="2" t="s">
        <v>8465</v>
      </c>
      <c r="C49" s="3">
        <v>1</v>
      </c>
      <c r="D49" s="5">
        <v>52.13</v>
      </c>
      <c r="E49" s="3" t="s">
        <v>8466</v>
      </c>
      <c r="F49" s="2" t="s">
        <v>26</v>
      </c>
      <c r="G49" s="6" t="s">
        <v>234</v>
      </c>
      <c r="H49" s="2" t="s">
        <v>246</v>
      </c>
      <c r="I49" s="2" t="s">
        <v>189</v>
      </c>
      <c r="J49" s="2" t="s">
        <v>19</v>
      </c>
      <c r="K49" s="2" t="s">
        <v>3423</v>
      </c>
      <c r="L49" s="7" t="str">
        <f>HYPERLINK("http://slimages.macys.com/is/image/MCY/12773331 ")</f>
        <v xml:space="preserve">http://slimages.macys.com/is/image/MCY/12773331 </v>
      </c>
    </row>
    <row r="50" spans="1:12" ht="24.75" x14ac:dyDescent="0.25">
      <c r="A50" s="4" t="s">
        <v>7836</v>
      </c>
      <c r="B50" s="2" t="s">
        <v>7837</v>
      </c>
      <c r="C50" s="3">
        <v>1</v>
      </c>
      <c r="D50" s="5">
        <v>69.5</v>
      </c>
      <c r="E50" s="3" t="s">
        <v>7838</v>
      </c>
      <c r="F50" s="2" t="s">
        <v>74</v>
      </c>
      <c r="G50" s="6"/>
      <c r="H50" s="2" t="s">
        <v>127</v>
      </c>
      <c r="I50" s="2" t="s">
        <v>128</v>
      </c>
      <c r="J50" s="2" t="s">
        <v>19</v>
      </c>
      <c r="K50" s="2" t="s">
        <v>7839</v>
      </c>
      <c r="L50" s="7" t="str">
        <f>HYPERLINK("http://slimages.macys.com/is/image/MCY/13036871 ")</f>
        <v xml:space="preserve">http://slimages.macys.com/is/image/MCY/13036871 </v>
      </c>
    </row>
    <row r="51" spans="1:12" ht="24.75" x14ac:dyDescent="0.25">
      <c r="A51" s="4" t="s">
        <v>2193</v>
      </c>
      <c r="B51" s="2" t="s">
        <v>276</v>
      </c>
      <c r="C51" s="3">
        <v>1</v>
      </c>
      <c r="D51" s="5">
        <v>62.65</v>
      </c>
      <c r="E51" s="3" t="s">
        <v>277</v>
      </c>
      <c r="F51" s="2" t="s">
        <v>257</v>
      </c>
      <c r="G51" s="6" t="s">
        <v>156</v>
      </c>
      <c r="H51" s="2" t="s">
        <v>182</v>
      </c>
      <c r="I51" s="2" t="s">
        <v>183</v>
      </c>
      <c r="J51" s="2" t="s">
        <v>19</v>
      </c>
      <c r="K51" s="2" t="s">
        <v>208</v>
      </c>
      <c r="L51" s="7" t="str">
        <f>HYPERLINK("http://slimages.macys.com/is/image/MCY/12670890 ")</f>
        <v xml:space="preserve">http://slimages.macys.com/is/image/MCY/12670890 </v>
      </c>
    </row>
    <row r="52" spans="1:12" ht="24.75" x14ac:dyDescent="0.25">
      <c r="A52" s="4" t="s">
        <v>5392</v>
      </c>
      <c r="B52" s="2" t="s">
        <v>5393</v>
      </c>
      <c r="C52" s="3">
        <v>1</v>
      </c>
      <c r="D52" s="5">
        <v>59.63</v>
      </c>
      <c r="E52" s="3" t="s">
        <v>5394</v>
      </c>
      <c r="F52" s="2" t="s">
        <v>74</v>
      </c>
      <c r="G52" s="6" t="s">
        <v>348</v>
      </c>
      <c r="H52" s="2" t="s">
        <v>349</v>
      </c>
      <c r="I52" s="2" t="s">
        <v>285</v>
      </c>
      <c r="J52" s="2" t="s">
        <v>19</v>
      </c>
      <c r="K52" s="2" t="s">
        <v>75</v>
      </c>
      <c r="L52" s="7" t="str">
        <f>HYPERLINK("http://slimages.macys.com/is/image/MCY/12284907 ")</f>
        <v xml:space="preserve">http://slimages.macys.com/is/image/MCY/12284907 </v>
      </c>
    </row>
    <row r="53" spans="1:12" ht="24.75" x14ac:dyDescent="0.25">
      <c r="A53" s="4" t="s">
        <v>9318</v>
      </c>
      <c r="B53" s="2" t="s">
        <v>2195</v>
      </c>
      <c r="C53" s="3">
        <v>1</v>
      </c>
      <c r="D53" s="5">
        <v>48.38</v>
      </c>
      <c r="E53" s="3" t="s">
        <v>2196</v>
      </c>
      <c r="F53" s="2" t="s">
        <v>74</v>
      </c>
      <c r="G53" s="6" t="s">
        <v>9319</v>
      </c>
      <c r="H53" s="2" t="s">
        <v>349</v>
      </c>
      <c r="I53" s="2" t="s">
        <v>408</v>
      </c>
      <c r="J53" s="2" t="s">
        <v>19</v>
      </c>
      <c r="K53" s="2" t="s">
        <v>160</v>
      </c>
      <c r="L53" s="7" t="str">
        <f>HYPERLINK("http://slimages.macys.com/is/image/MCY/13535632 ")</f>
        <v xml:space="preserve">http://slimages.macys.com/is/image/MCY/13535632 </v>
      </c>
    </row>
    <row r="54" spans="1:12" ht="24.75" x14ac:dyDescent="0.25">
      <c r="A54" s="4" t="s">
        <v>2194</v>
      </c>
      <c r="B54" s="2" t="s">
        <v>2195</v>
      </c>
      <c r="C54" s="3">
        <v>1</v>
      </c>
      <c r="D54" s="5">
        <v>48.38</v>
      </c>
      <c r="E54" s="3" t="s">
        <v>2196</v>
      </c>
      <c r="F54" s="2" t="s">
        <v>74</v>
      </c>
      <c r="G54" s="6" t="s">
        <v>407</v>
      </c>
      <c r="H54" s="2" t="s">
        <v>349</v>
      </c>
      <c r="I54" s="2" t="s">
        <v>408</v>
      </c>
      <c r="J54" s="2" t="s">
        <v>19</v>
      </c>
      <c r="K54" s="2" t="s">
        <v>160</v>
      </c>
      <c r="L54" s="7" t="str">
        <f>HYPERLINK("http://slimages.macys.com/is/image/MCY/13535632 ")</f>
        <v xml:space="preserve">http://slimages.macys.com/is/image/MCY/13535632 </v>
      </c>
    </row>
    <row r="55" spans="1:12" ht="24.75" x14ac:dyDescent="0.25">
      <c r="A55" s="4" t="s">
        <v>6318</v>
      </c>
      <c r="B55" s="2" t="s">
        <v>2195</v>
      </c>
      <c r="C55" s="3">
        <v>1</v>
      </c>
      <c r="D55" s="5">
        <v>48.38</v>
      </c>
      <c r="E55" s="3" t="s">
        <v>2196</v>
      </c>
      <c r="F55" s="2" t="s">
        <v>74</v>
      </c>
      <c r="G55" s="6" t="s">
        <v>6319</v>
      </c>
      <c r="H55" s="2" t="s">
        <v>349</v>
      </c>
      <c r="I55" s="2" t="s">
        <v>408</v>
      </c>
      <c r="J55" s="2" t="s">
        <v>19</v>
      </c>
      <c r="K55" s="2" t="s">
        <v>160</v>
      </c>
      <c r="L55" s="7" t="str">
        <f>HYPERLINK("http://slimages.macys.com/is/image/MCY/13535632 ")</f>
        <v xml:space="preserve">http://slimages.macys.com/is/image/MCY/13535632 </v>
      </c>
    </row>
    <row r="56" spans="1:12" ht="24.75" x14ac:dyDescent="0.25">
      <c r="A56" s="4" t="s">
        <v>9320</v>
      </c>
      <c r="B56" s="2" t="s">
        <v>2195</v>
      </c>
      <c r="C56" s="3">
        <v>1</v>
      </c>
      <c r="D56" s="5">
        <v>48.38</v>
      </c>
      <c r="E56" s="3" t="s">
        <v>2196</v>
      </c>
      <c r="F56" s="2" t="s">
        <v>74</v>
      </c>
      <c r="G56" s="6" t="s">
        <v>847</v>
      </c>
      <c r="H56" s="2" t="s">
        <v>349</v>
      </c>
      <c r="I56" s="2" t="s">
        <v>408</v>
      </c>
      <c r="J56" s="2" t="s">
        <v>19</v>
      </c>
      <c r="K56" s="2" t="s">
        <v>160</v>
      </c>
      <c r="L56" s="7" t="str">
        <f>HYPERLINK("http://slimages.macys.com/is/image/MCY/13535632 ")</f>
        <v xml:space="preserve">http://slimages.macys.com/is/image/MCY/13535632 </v>
      </c>
    </row>
    <row r="57" spans="1:12" ht="24.75" x14ac:dyDescent="0.25">
      <c r="A57" s="4" t="s">
        <v>9321</v>
      </c>
      <c r="B57" s="2" t="s">
        <v>2195</v>
      </c>
      <c r="C57" s="3">
        <v>1</v>
      </c>
      <c r="D57" s="5">
        <v>48.38</v>
      </c>
      <c r="E57" s="3" t="s">
        <v>2196</v>
      </c>
      <c r="F57" s="2" t="s">
        <v>74</v>
      </c>
      <c r="G57" s="6" t="s">
        <v>2456</v>
      </c>
      <c r="H57" s="2" t="s">
        <v>349</v>
      </c>
      <c r="I57" s="2" t="s">
        <v>408</v>
      </c>
      <c r="J57" s="2" t="s">
        <v>19</v>
      </c>
      <c r="K57" s="2" t="s">
        <v>160</v>
      </c>
      <c r="L57" s="7" t="str">
        <f>HYPERLINK("http://slimages.macys.com/is/image/MCY/13535632 ")</f>
        <v xml:space="preserve">http://slimages.macys.com/is/image/MCY/13535632 </v>
      </c>
    </row>
    <row r="58" spans="1:12" ht="24.75" x14ac:dyDescent="0.25">
      <c r="A58" s="4" t="s">
        <v>281</v>
      </c>
      <c r="B58" s="2" t="s">
        <v>282</v>
      </c>
      <c r="C58" s="3">
        <v>2</v>
      </c>
      <c r="D58" s="5">
        <v>44.63</v>
      </c>
      <c r="E58" s="3" t="s">
        <v>283</v>
      </c>
      <c r="F58" s="2" t="s">
        <v>111</v>
      </c>
      <c r="G58" s="6" t="s">
        <v>154</v>
      </c>
      <c r="H58" s="2" t="s">
        <v>284</v>
      </c>
      <c r="I58" s="2" t="s">
        <v>285</v>
      </c>
      <c r="J58" s="2" t="s">
        <v>19</v>
      </c>
      <c r="K58" s="2" t="s">
        <v>286</v>
      </c>
      <c r="L58" s="7" t="str">
        <f>HYPERLINK("http://slimages.macys.com/is/image/MCY/11859243 ")</f>
        <v xml:space="preserve">http://slimages.macys.com/is/image/MCY/11859243 </v>
      </c>
    </row>
    <row r="59" spans="1:12" ht="24.75" x14ac:dyDescent="0.25">
      <c r="A59" s="4" t="s">
        <v>6321</v>
      </c>
      <c r="B59" s="2" t="s">
        <v>293</v>
      </c>
      <c r="C59" s="3">
        <v>1</v>
      </c>
      <c r="D59" s="5">
        <v>52.13</v>
      </c>
      <c r="E59" s="3" t="s">
        <v>294</v>
      </c>
      <c r="F59" s="2" t="s">
        <v>26</v>
      </c>
      <c r="G59" s="6" t="s">
        <v>234</v>
      </c>
      <c r="H59" s="2" t="s">
        <v>194</v>
      </c>
      <c r="I59" s="2" t="s">
        <v>195</v>
      </c>
      <c r="J59" s="2" t="s">
        <v>19</v>
      </c>
      <c r="K59" s="2" t="s">
        <v>160</v>
      </c>
      <c r="L59" s="7" t="str">
        <f>HYPERLINK("http://slimages.macys.com/is/image/MCY/12143831 ")</f>
        <v xml:space="preserve">http://slimages.macys.com/is/image/MCY/12143831 </v>
      </c>
    </row>
    <row r="60" spans="1:12" ht="24.75" x14ac:dyDescent="0.25">
      <c r="A60" s="4" t="s">
        <v>290</v>
      </c>
      <c r="B60" s="2" t="s">
        <v>288</v>
      </c>
      <c r="C60" s="3">
        <v>1</v>
      </c>
      <c r="D60" s="5">
        <v>52.13</v>
      </c>
      <c r="E60" s="3" t="s">
        <v>289</v>
      </c>
      <c r="F60" s="2" t="s">
        <v>74</v>
      </c>
      <c r="G60" s="6" t="s">
        <v>181</v>
      </c>
      <c r="H60" s="2" t="s">
        <v>194</v>
      </c>
      <c r="I60" s="2" t="s">
        <v>195</v>
      </c>
      <c r="J60" s="2" t="s">
        <v>19</v>
      </c>
      <c r="K60" s="2" t="s">
        <v>247</v>
      </c>
      <c r="L60" s="7" t="str">
        <f>HYPERLINK("http://slimages.macys.com/is/image/MCY/12849982 ")</f>
        <v xml:space="preserve">http://slimages.macys.com/is/image/MCY/12849982 </v>
      </c>
    </row>
    <row r="61" spans="1:12" ht="24.75" x14ac:dyDescent="0.25">
      <c r="A61" s="4" t="s">
        <v>292</v>
      </c>
      <c r="B61" s="2" t="s">
        <v>293</v>
      </c>
      <c r="C61" s="3">
        <v>1</v>
      </c>
      <c r="D61" s="5">
        <v>52.13</v>
      </c>
      <c r="E61" s="3" t="s">
        <v>294</v>
      </c>
      <c r="F61" s="2" t="s">
        <v>26</v>
      </c>
      <c r="G61" s="6" t="s">
        <v>154</v>
      </c>
      <c r="H61" s="2" t="s">
        <v>194</v>
      </c>
      <c r="I61" s="2" t="s">
        <v>195</v>
      </c>
      <c r="J61" s="2" t="s">
        <v>19</v>
      </c>
      <c r="K61" s="2" t="s">
        <v>160</v>
      </c>
      <c r="L61" s="7" t="str">
        <f>HYPERLINK("http://slimages.macys.com/is/image/MCY/12143831 ")</f>
        <v xml:space="preserve">http://slimages.macys.com/is/image/MCY/12143831 </v>
      </c>
    </row>
    <row r="62" spans="1:12" ht="24.75" x14ac:dyDescent="0.25">
      <c r="A62" s="4" t="s">
        <v>9322</v>
      </c>
      <c r="B62" s="2" t="s">
        <v>293</v>
      </c>
      <c r="C62" s="3">
        <v>1</v>
      </c>
      <c r="D62" s="5">
        <v>52.13</v>
      </c>
      <c r="E62" s="3" t="s">
        <v>294</v>
      </c>
      <c r="F62" s="2" t="s">
        <v>26</v>
      </c>
      <c r="G62" s="6" t="s">
        <v>181</v>
      </c>
      <c r="H62" s="2" t="s">
        <v>194</v>
      </c>
      <c r="I62" s="2" t="s">
        <v>195</v>
      </c>
      <c r="J62" s="2" t="s">
        <v>19</v>
      </c>
      <c r="K62" s="2" t="s">
        <v>160</v>
      </c>
      <c r="L62" s="7" t="str">
        <f>HYPERLINK("http://slimages.macys.com/is/image/MCY/12143831 ")</f>
        <v xml:space="preserve">http://slimages.macys.com/is/image/MCY/12143831 </v>
      </c>
    </row>
    <row r="63" spans="1:12" ht="24.75" x14ac:dyDescent="0.25">
      <c r="A63" s="4" t="s">
        <v>9323</v>
      </c>
      <c r="B63" s="2" t="s">
        <v>9324</v>
      </c>
      <c r="C63" s="3">
        <v>1</v>
      </c>
      <c r="D63" s="5">
        <v>47.5</v>
      </c>
      <c r="E63" s="3">
        <v>100037394</v>
      </c>
      <c r="F63" s="2" t="s">
        <v>111</v>
      </c>
      <c r="G63" s="6" t="s">
        <v>234</v>
      </c>
      <c r="H63" s="2" t="s">
        <v>228</v>
      </c>
      <c r="I63" s="2" t="s">
        <v>195</v>
      </c>
      <c r="J63" s="2" t="s">
        <v>19</v>
      </c>
      <c r="K63" s="2" t="s">
        <v>9325</v>
      </c>
      <c r="L63" s="7" t="str">
        <f>HYPERLINK("http://slimages.macys.com/is/image/MCY/11148127 ")</f>
        <v xml:space="preserve">http://slimages.macys.com/is/image/MCY/11148127 </v>
      </c>
    </row>
    <row r="64" spans="1:12" ht="24.75" x14ac:dyDescent="0.25">
      <c r="A64" s="4" t="s">
        <v>9326</v>
      </c>
      <c r="B64" s="2" t="s">
        <v>9324</v>
      </c>
      <c r="C64" s="3">
        <v>1</v>
      </c>
      <c r="D64" s="5">
        <v>47.5</v>
      </c>
      <c r="E64" s="3">
        <v>100037394</v>
      </c>
      <c r="F64" s="2" t="s">
        <v>111</v>
      </c>
      <c r="G64" s="6" t="s">
        <v>181</v>
      </c>
      <c r="H64" s="2" t="s">
        <v>228</v>
      </c>
      <c r="I64" s="2" t="s">
        <v>195</v>
      </c>
      <c r="J64" s="2" t="s">
        <v>19</v>
      </c>
      <c r="K64" s="2" t="s">
        <v>9325</v>
      </c>
      <c r="L64" s="7" t="str">
        <f>HYPERLINK("http://slimages.macys.com/is/image/MCY/11148127 ")</f>
        <v xml:space="preserve">http://slimages.macys.com/is/image/MCY/11148127 </v>
      </c>
    </row>
    <row r="65" spans="1:12" ht="24.75" x14ac:dyDescent="0.25">
      <c r="A65" s="4" t="s">
        <v>9327</v>
      </c>
      <c r="B65" s="2" t="s">
        <v>7087</v>
      </c>
      <c r="C65" s="3">
        <v>1</v>
      </c>
      <c r="D65" s="5">
        <v>52.13</v>
      </c>
      <c r="E65" s="3" t="s">
        <v>7088</v>
      </c>
      <c r="F65" s="2" t="s">
        <v>74</v>
      </c>
      <c r="G65" s="6" t="s">
        <v>154</v>
      </c>
      <c r="H65" s="2" t="s">
        <v>246</v>
      </c>
      <c r="I65" s="2" t="s">
        <v>189</v>
      </c>
      <c r="J65" s="2" t="s">
        <v>19</v>
      </c>
      <c r="K65" s="2" t="s">
        <v>263</v>
      </c>
      <c r="L65" s="7" t="str">
        <f>HYPERLINK("http://slimages.macys.com/is/image/MCY/11972329 ")</f>
        <v xml:space="preserve">http://slimages.macys.com/is/image/MCY/11972329 </v>
      </c>
    </row>
    <row r="66" spans="1:12" ht="24.75" x14ac:dyDescent="0.25">
      <c r="A66" s="4" t="s">
        <v>5400</v>
      </c>
      <c r="B66" s="2" t="s">
        <v>303</v>
      </c>
      <c r="C66" s="3">
        <v>1</v>
      </c>
      <c r="D66" s="5">
        <v>44.63</v>
      </c>
      <c r="E66" s="3">
        <v>100055545</v>
      </c>
      <c r="F66" s="2" t="s">
        <v>225</v>
      </c>
      <c r="G66" s="6" t="s">
        <v>154</v>
      </c>
      <c r="H66" s="2" t="s">
        <v>194</v>
      </c>
      <c r="I66" s="2" t="s">
        <v>195</v>
      </c>
      <c r="J66" s="2" t="s">
        <v>19</v>
      </c>
      <c r="K66" s="2" t="s">
        <v>301</v>
      </c>
      <c r="L66" s="7" t="str">
        <f>HYPERLINK("http://slimages.macys.com/is/image/MCY/12279797 ")</f>
        <v xml:space="preserve">http://slimages.macys.com/is/image/MCY/12279797 </v>
      </c>
    </row>
    <row r="67" spans="1:12" ht="24.75" x14ac:dyDescent="0.25">
      <c r="A67" s="4" t="s">
        <v>3370</v>
      </c>
      <c r="B67" s="2" t="s">
        <v>2202</v>
      </c>
      <c r="C67" s="3">
        <v>1</v>
      </c>
      <c r="D67" s="5">
        <v>48.38</v>
      </c>
      <c r="E67" s="3" t="s">
        <v>2203</v>
      </c>
      <c r="F67" s="2" t="s">
        <v>26</v>
      </c>
      <c r="G67" s="6"/>
      <c r="H67" s="2" t="s">
        <v>349</v>
      </c>
      <c r="I67" s="2" t="s">
        <v>285</v>
      </c>
      <c r="J67" s="2" t="s">
        <v>19</v>
      </c>
      <c r="K67" s="2" t="s">
        <v>2204</v>
      </c>
      <c r="L67" s="7" t="str">
        <f>HYPERLINK("http://slimages.macys.com/is/image/MCY/11859318 ")</f>
        <v xml:space="preserve">http://slimages.macys.com/is/image/MCY/11859318 </v>
      </c>
    </row>
    <row r="68" spans="1:12" ht="24.75" x14ac:dyDescent="0.25">
      <c r="A68" s="4" t="s">
        <v>9328</v>
      </c>
      <c r="B68" s="2" t="s">
        <v>310</v>
      </c>
      <c r="C68" s="3">
        <v>1</v>
      </c>
      <c r="D68" s="5">
        <v>52.13</v>
      </c>
      <c r="E68" s="3" t="s">
        <v>311</v>
      </c>
      <c r="F68" s="2" t="s">
        <v>74</v>
      </c>
      <c r="G68" s="6"/>
      <c r="H68" s="2" t="s">
        <v>312</v>
      </c>
      <c r="I68" s="2" t="s">
        <v>307</v>
      </c>
      <c r="J68" s="2" t="s">
        <v>19</v>
      </c>
      <c r="K68" s="2" t="s">
        <v>247</v>
      </c>
      <c r="L68" s="7" t="str">
        <f>HYPERLINK("http://slimages.macys.com/is/image/MCY/11937882 ")</f>
        <v xml:space="preserve">http://slimages.macys.com/is/image/MCY/11937882 </v>
      </c>
    </row>
    <row r="69" spans="1:12" ht="24.75" x14ac:dyDescent="0.25">
      <c r="A69" s="4" t="s">
        <v>9329</v>
      </c>
      <c r="B69" s="2" t="s">
        <v>319</v>
      </c>
      <c r="C69" s="3">
        <v>1</v>
      </c>
      <c r="D69" s="5">
        <v>44.63</v>
      </c>
      <c r="E69" s="3" t="s">
        <v>320</v>
      </c>
      <c r="F69" s="2" t="s">
        <v>26</v>
      </c>
      <c r="G69" s="6" t="s">
        <v>200</v>
      </c>
      <c r="H69" s="2" t="s">
        <v>194</v>
      </c>
      <c r="I69" s="2" t="s">
        <v>195</v>
      </c>
      <c r="J69" s="2" t="s">
        <v>19</v>
      </c>
      <c r="K69" s="2" t="s">
        <v>107</v>
      </c>
      <c r="L69" s="7" t="str">
        <f>HYPERLINK("http://slimages.macys.com/is/image/MCY/12794080 ")</f>
        <v xml:space="preserve">http://slimages.macys.com/is/image/MCY/12794080 </v>
      </c>
    </row>
    <row r="70" spans="1:12" ht="24.75" x14ac:dyDescent="0.25">
      <c r="A70" s="4" t="s">
        <v>9330</v>
      </c>
      <c r="B70" s="2" t="s">
        <v>269</v>
      </c>
      <c r="C70" s="3">
        <v>1</v>
      </c>
      <c r="D70" s="5">
        <v>50.65</v>
      </c>
      <c r="E70" s="3" t="s">
        <v>270</v>
      </c>
      <c r="F70" s="2" t="s">
        <v>413</v>
      </c>
      <c r="G70" s="6" t="s">
        <v>181</v>
      </c>
      <c r="H70" s="2" t="s">
        <v>182</v>
      </c>
      <c r="I70" s="2" t="s">
        <v>183</v>
      </c>
      <c r="J70" s="2" t="s">
        <v>19</v>
      </c>
      <c r="K70" s="2" t="s">
        <v>208</v>
      </c>
      <c r="L70" s="7" t="str">
        <f>HYPERLINK("http://slimages.macys.com/is/image/MCY/12465154 ")</f>
        <v xml:space="preserve">http://slimages.macys.com/is/image/MCY/12465154 </v>
      </c>
    </row>
    <row r="71" spans="1:12" ht="24.75" x14ac:dyDescent="0.25">
      <c r="A71" s="4" t="s">
        <v>9331</v>
      </c>
      <c r="B71" s="2" t="s">
        <v>4483</v>
      </c>
      <c r="C71" s="3">
        <v>1</v>
      </c>
      <c r="D71" s="5">
        <v>52.13</v>
      </c>
      <c r="E71" s="3" t="s">
        <v>4484</v>
      </c>
      <c r="F71" s="2" t="s">
        <v>64</v>
      </c>
      <c r="G71" s="6" t="s">
        <v>16</v>
      </c>
      <c r="H71" s="2" t="s">
        <v>246</v>
      </c>
      <c r="I71" s="2" t="s">
        <v>189</v>
      </c>
      <c r="J71" s="2" t="s">
        <v>19</v>
      </c>
      <c r="K71" s="2" t="s">
        <v>353</v>
      </c>
      <c r="L71" s="7" t="str">
        <f>HYPERLINK("http://slimages.macys.com/is/image/MCY/11938675 ")</f>
        <v xml:space="preserve">http://slimages.macys.com/is/image/MCY/11938675 </v>
      </c>
    </row>
    <row r="72" spans="1:12" ht="24.75" x14ac:dyDescent="0.25">
      <c r="A72" s="4" t="s">
        <v>9332</v>
      </c>
      <c r="B72" s="2" t="s">
        <v>334</v>
      </c>
      <c r="C72" s="3">
        <v>1</v>
      </c>
      <c r="D72" s="5">
        <v>79.5</v>
      </c>
      <c r="E72" s="3" t="s">
        <v>335</v>
      </c>
      <c r="F72" s="2" t="s">
        <v>64</v>
      </c>
      <c r="G72" s="6" t="s">
        <v>934</v>
      </c>
      <c r="H72" s="2" t="s">
        <v>206</v>
      </c>
      <c r="I72" s="2" t="s">
        <v>337</v>
      </c>
      <c r="J72" s="2" t="s">
        <v>19</v>
      </c>
      <c r="K72" s="2" t="s">
        <v>338</v>
      </c>
      <c r="L72" s="7" t="str">
        <f>HYPERLINK("http://slimages.macys.com/is/image/MCY/12231410 ")</f>
        <v xml:space="preserve">http://slimages.macys.com/is/image/MCY/12231410 </v>
      </c>
    </row>
    <row r="73" spans="1:12" ht="24.75" x14ac:dyDescent="0.25">
      <c r="A73" s="4" t="s">
        <v>6330</v>
      </c>
      <c r="B73" s="2" t="s">
        <v>6331</v>
      </c>
      <c r="C73" s="3">
        <v>1</v>
      </c>
      <c r="D73" s="5">
        <v>69.5</v>
      </c>
      <c r="E73" s="3" t="s">
        <v>6332</v>
      </c>
      <c r="F73" s="2" t="s">
        <v>53</v>
      </c>
      <c r="G73" s="6" t="s">
        <v>219</v>
      </c>
      <c r="H73" s="2" t="s">
        <v>127</v>
      </c>
      <c r="I73" s="2" t="s">
        <v>128</v>
      </c>
      <c r="J73" s="2" t="s">
        <v>19</v>
      </c>
      <c r="K73" s="2" t="s">
        <v>160</v>
      </c>
      <c r="L73" s="7" t="str">
        <f>HYPERLINK("http://slimages.macys.com/is/image/MCY/12793627 ")</f>
        <v xml:space="preserve">http://slimages.macys.com/is/image/MCY/12793627 </v>
      </c>
    </row>
    <row r="74" spans="1:12" ht="24.75" x14ac:dyDescent="0.25">
      <c r="A74" s="4" t="s">
        <v>9333</v>
      </c>
      <c r="B74" s="2" t="s">
        <v>9334</v>
      </c>
      <c r="C74" s="3">
        <v>1</v>
      </c>
      <c r="D74" s="5">
        <v>69.5</v>
      </c>
      <c r="E74" s="3" t="s">
        <v>9335</v>
      </c>
      <c r="F74" s="2" t="s">
        <v>252</v>
      </c>
      <c r="G74" s="6" t="s">
        <v>16</v>
      </c>
      <c r="H74" s="2" t="s">
        <v>386</v>
      </c>
      <c r="I74" s="2" t="s">
        <v>207</v>
      </c>
      <c r="J74" s="2" t="s">
        <v>19</v>
      </c>
      <c r="K74" s="2" t="s">
        <v>338</v>
      </c>
      <c r="L74" s="7" t="str">
        <f>HYPERLINK("http://slimages.macys.com/is/image/MCY/3671278 ")</f>
        <v xml:space="preserve">http://slimages.macys.com/is/image/MCY/3671278 </v>
      </c>
    </row>
    <row r="75" spans="1:12" ht="36.75" x14ac:dyDescent="0.25">
      <c r="A75" s="4" t="s">
        <v>9336</v>
      </c>
      <c r="B75" s="2" t="s">
        <v>2223</v>
      </c>
      <c r="C75" s="3">
        <v>1</v>
      </c>
      <c r="D75" s="5">
        <v>48.38</v>
      </c>
      <c r="E75" s="3" t="s">
        <v>2224</v>
      </c>
      <c r="F75" s="2" t="s">
        <v>26</v>
      </c>
      <c r="G75" s="6"/>
      <c r="H75" s="2" t="s">
        <v>349</v>
      </c>
      <c r="I75" s="2" t="s">
        <v>285</v>
      </c>
      <c r="J75" s="2" t="s">
        <v>19</v>
      </c>
      <c r="K75" s="2" t="s">
        <v>2225</v>
      </c>
      <c r="L75" s="7" t="str">
        <f>HYPERLINK("http://slimages.macys.com/is/image/MCY/12077740 ")</f>
        <v xml:space="preserve">http://slimages.macys.com/is/image/MCY/12077740 </v>
      </c>
    </row>
    <row r="76" spans="1:12" ht="36.75" x14ac:dyDescent="0.25">
      <c r="A76" s="4" t="s">
        <v>2222</v>
      </c>
      <c r="B76" s="2" t="s">
        <v>2223</v>
      </c>
      <c r="C76" s="3">
        <v>1</v>
      </c>
      <c r="D76" s="5">
        <v>48.38</v>
      </c>
      <c r="E76" s="3" t="s">
        <v>2224</v>
      </c>
      <c r="F76" s="2" t="s">
        <v>26</v>
      </c>
      <c r="G76" s="6" t="s">
        <v>746</v>
      </c>
      <c r="H76" s="2" t="s">
        <v>349</v>
      </c>
      <c r="I76" s="2" t="s">
        <v>285</v>
      </c>
      <c r="J76" s="2" t="s">
        <v>19</v>
      </c>
      <c r="K76" s="2" t="s">
        <v>2225</v>
      </c>
      <c r="L76" s="7" t="str">
        <f>HYPERLINK("http://slimages.macys.com/is/image/MCY/12077740 ")</f>
        <v xml:space="preserve">http://slimages.macys.com/is/image/MCY/12077740 </v>
      </c>
    </row>
    <row r="77" spans="1:12" ht="24.75" x14ac:dyDescent="0.25">
      <c r="A77" s="4" t="s">
        <v>9337</v>
      </c>
      <c r="B77" s="2" t="s">
        <v>9338</v>
      </c>
      <c r="C77" s="3">
        <v>1</v>
      </c>
      <c r="D77" s="5">
        <v>48</v>
      </c>
      <c r="E77" s="3" t="s">
        <v>9339</v>
      </c>
      <c r="F77" s="2" t="s">
        <v>506</v>
      </c>
      <c r="G77" s="6" t="s">
        <v>8129</v>
      </c>
      <c r="H77" s="2" t="s">
        <v>447</v>
      </c>
      <c r="I77" s="2" t="s">
        <v>3409</v>
      </c>
      <c r="J77" s="2"/>
      <c r="K77" s="2"/>
      <c r="L77" s="7" t="str">
        <f>HYPERLINK("http://slimages.macys.com/is/image/MCY/11972351 ")</f>
        <v xml:space="preserve">http://slimages.macys.com/is/image/MCY/11972351 </v>
      </c>
    </row>
    <row r="78" spans="1:12" ht="24.75" x14ac:dyDescent="0.25">
      <c r="A78" s="4" t="s">
        <v>354</v>
      </c>
      <c r="B78" s="2" t="s">
        <v>355</v>
      </c>
      <c r="C78" s="3">
        <v>1</v>
      </c>
      <c r="D78" s="5">
        <v>48</v>
      </c>
      <c r="E78" s="3">
        <v>100053387</v>
      </c>
      <c r="F78" s="2" t="s">
        <v>111</v>
      </c>
      <c r="G78" s="6" t="s">
        <v>27</v>
      </c>
      <c r="H78" s="2" t="s">
        <v>228</v>
      </c>
      <c r="I78" s="2" t="s">
        <v>229</v>
      </c>
      <c r="J78" s="2" t="s">
        <v>19</v>
      </c>
      <c r="K78" s="2" t="s">
        <v>338</v>
      </c>
      <c r="L78" s="7" t="str">
        <f>HYPERLINK("http://slimages.macys.com/is/image/MCY/13829477 ")</f>
        <v xml:space="preserve">http://slimages.macys.com/is/image/MCY/13829477 </v>
      </c>
    </row>
    <row r="79" spans="1:12" ht="24.75" x14ac:dyDescent="0.25">
      <c r="A79" s="4" t="s">
        <v>2238</v>
      </c>
      <c r="B79" s="2" t="s">
        <v>355</v>
      </c>
      <c r="C79" s="3">
        <v>2</v>
      </c>
      <c r="D79" s="5">
        <v>48</v>
      </c>
      <c r="E79" s="3">
        <v>100053387</v>
      </c>
      <c r="F79" s="2" t="s">
        <v>111</v>
      </c>
      <c r="G79" s="6" t="s">
        <v>22</v>
      </c>
      <c r="H79" s="2" t="s">
        <v>228</v>
      </c>
      <c r="I79" s="2" t="s">
        <v>229</v>
      </c>
      <c r="J79" s="2" t="s">
        <v>19</v>
      </c>
      <c r="K79" s="2" t="s">
        <v>338</v>
      </c>
      <c r="L79" s="7" t="str">
        <f>HYPERLINK("http://slimages.macys.com/is/image/MCY/13829477 ")</f>
        <v xml:space="preserve">http://slimages.macys.com/is/image/MCY/13829477 </v>
      </c>
    </row>
    <row r="80" spans="1:12" ht="24.75" x14ac:dyDescent="0.25">
      <c r="A80" s="4" t="s">
        <v>357</v>
      </c>
      <c r="B80" s="2" t="s">
        <v>355</v>
      </c>
      <c r="C80" s="3">
        <v>1</v>
      </c>
      <c r="D80" s="5">
        <v>48</v>
      </c>
      <c r="E80" s="3">
        <v>100053387</v>
      </c>
      <c r="F80" s="2" t="s">
        <v>111</v>
      </c>
      <c r="G80" s="6" t="s">
        <v>16</v>
      </c>
      <c r="H80" s="2" t="s">
        <v>228</v>
      </c>
      <c r="I80" s="2" t="s">
        <v>229</v>
      </c>
      <c r="J80" s="2" t="s">
        <v>19</v>
      </c>
      <c r="K80" s="2" t="s">
        <v>338</v>
      </c>
      <c r="L80" s="7" t="str">
        <f>HYPERLINK("http://slimages.macys.com/is/image/MCY/13829477 ")</f>
        <v xml:space="preserve">http://slimages.macys.com/is/image/MCY/13829477 </v>
      </c>
    </row>
    <row r="81" spans="1:12" ht="24.75" x14ac:dyDescent="0.25">
      <c r="A81" s="4" t="s">
        <v>2242</v>
      </c>
      <c r="B81" s="2" t="s">
        <v>355</v>
      </c>
      <c r="C81" s="3">
        <v>2</v>
      </c>
      <c r="D81" s="5">
        <v>48</v>
      </c>
      <c r="E81" s="3">
        <v>100053387</v>
      </c>
      <c r="F81" s="2" t="s">
        <v>111</v>
      </c>
      <c r="G81" s="6" t="s">
        <v>106</v>
      </c>
      <c r="H81" s="2" t="s">
        <v>228</v>
      </c>
      <c r="I81" s="2" t="s">
        <v>229</v>
      </c>
      <c r="J81" s="2" t="s">
        <v>19</v>
      </c>
      <c r="K81" s="2" t="s">
        <v>338</v>
      </c>
      <c r="L81" s="7" t="str">
        <f>HYPERLINK("http://slimages.macys.com/is/image/MCY/13829477 ")</f>
        <v xml:space="preserve">http://slimages.macys.com/is/image/MCY/13829477 </v>
      </c>
    </row>
    <row r="82" spans="1:12" ht="24.75" x14ac:dyDescent="0.25">
      <c r="A82" s="4" t="s">
        <v>9340</v>
      </c>
      <c r="B82" s="2" t="s">
        <v>9341</v>
      </c>
      <c r="C82" s="3">
        <v>1</v>
      </c>
      <c r="D82" s="5">
        <v>40.880000000000003</v>
      </c>
      <c r="E82" s="3" t="s">
        <v>9342</v>
      </c>
      <c r="F82" s="2" t="s">
        <v>74</v>
      </c>
      <c r="G82" s="6" t="s">
        <v>234</v>
      </c>
      <c r="H82" s="2" t="s">
        <v>284</v>
      </c>
      <c r="I82" s="2" t="s">
        <v>285</v>
      </c>
      <c r="J82" s="2" t="s">
        <v>19</v>
      </c>
      <c r="K82" s="2" t="s">
        <v>409</v>
      </c>
      <c r="L82" s="7" t="str">
        <f>HYPERLINK("http://slimages.macys.com/is/image/MCY/10429406 ")</f>
        <v xml:space="preserve">http://slimages.macys.com/is/image/MCY/10429406 </v>
      </c>
    </row>
    <row r="83" spans="1:12" ht="24.75" x14ac:dyDescent="0.25">
      <c r="A83" s="4" t="s">
        <v>4498</v>
      </c>
      <c r="B83" s="2" t="s">
        <v>359</v>
      </c>
      <c r="C83" s="3">
        <v>1</v>
      </c>
      <c r="D83" s="5">
        <v>59.5</v>
      </c>
      <c r="E83" s="3" t="s">
        <v>360</v>
      </c>
      <c r="F83" s="2" t="s">
        <v>26</v>
      </c>
      <c r="G83" s="6" t="s">
        <v>934</v>
      </c>
      <c r="H83" s="2" t="s">
        <v>127</v>
      </c>
      <c r="I83" s="2" t="s">
        <v>128</v>
      </c>
      <c r="J83" s="2" t="s">
        <v>19</v>
      </c>
      <c r="K83" s="2" t="s">
        <v>361</v>
      </c>
      <c r="L83" s="7" t="str">
        <f>HYPERLINK("http://slimages.macys.com/is/image/MCY/10890960 ")</f>
        <v xml:space="preserve">http://slimages.macys.com/is/image/MCY/10890960 </v>
      </c>
    </row>
    <row r="84" spans="1:12" ht="24.75" x14ac:dyDescent="0.25">
      <c r="A84" s="4" t="s">
        <v>358</v>
      </c>
      <c r="B84" s="2" t="s">
        <v>359</v>
      </c>
      <c r="C84" s="3">
        <v>1</v>
      </c>
      <c r="D84" s="5">
        <v>59.5</v>
      </c>
      <c r="E84" s="3" t="s">
        <v>360</v>
      </c>
      <c r="F84" s="2" t="s">
        <v>26</v>
      </c>
      <c r="G84" s="6" t="s">
        <v>205</v>
      </c>
      <c r="H84" s="2" t="s">
        <v>127</v>
      </c>
      <c r="I84" s="2" t="s">
        <v>128</v>
      </c>
      <c r="J84" s="2" t="s">
        <v>19</v>
      </c>
      <c r="K84" s="2" t="s">
        <v>361</v>
      </c>
      <c r="L84" s="7" t="str">
        <f>HYPERLINK("http://slimages.macys.com/is/image/MCY/10890960 ")</f>
        <v xml:space="preserve">http://slimages.macys.com/is/image/MCY/10890960 </v>
      </c>
    </row>
    <row r="85" spans="1:12" ht="24.75" x14ac:dyDescent="0.25">
      <c r="A85" s="4" t="s">
        <v>9343</v>
      </c>
      <c r="B85" s="2" t="s">
        <v>6346</v>
      </c>
      <c r="C85" s="3">
        <v>1</v>
      </c>
      <c r="D85" s="5">
        <v>52.13</v>
      </c>
      <c r="E85" s="3" t="s">
        <v>6347</v>
      </c>
      <c r="F85" s="2" t="s">
        <v>413</v>
      </c>
      <c r="G85" s="6"/>
      <c r="H85" s="2" t="s">
        <v>188</v>
      </c>
      <c r="I85" s="2" t="s">
        <v>189</v>
      </c>
      <c r="J85" s="2" t="s">
        <v>19</v>
      </c>
      <c r="K85" s="2" t="s">
        <v>220</v>
      </c>
      <c r="L85" s="7" t="str">
        <f>HYPERLINK("http://slimages.macys.com/is/image/MCY/11940207 ")</f>
        <v xml:space="preserve">http://slimages.macys.com/is/image/MCY/11940207 </v>
      </c>
    </row>
    <row r="86" spans="1:12" ht="24.75" x14ac:dyDescent="0.25">
      <c r="A86" s="4" t="s">
        <v>6348</v>
      </c>
      <c r="B86" s="2" t="s">
        <v>371</v>
      </c>
      <c r="C86" s="3">
        <v>1</v>
      </c>
      <c r="D86" s="5">
        <v>44.5</v>
      </c>
      <c r="E86" s="3" t="s">
        <v>372</v>
      </c>
      <c r="F86" s="2" t="s">
        <v>111</v>
      </c>
      <c r="G86" s="6" t="s">
        <v>234</v>
      </c>
      <c r="H86" s="2" t="s">
        <v>194</v>
      </c>
      <c r="I86" s="2" t="s">
        <v>195</v>
      </c>
      <c r="J86" s="2" t="s">
        <v>19</v>
      </c>
      <c r="K86" s="2" t="s">
        <v>107</v>
      </c>
      <c r="L86" s="7" t="str">
        <f>HYPERLINK("http://slimages.macys.com/is/image/MCY/12279939 ")</f>
        <v xml:space="preserve">http://slimages.macys.com/is/image/MCY/12279939 </v>
      </c>
    </row>
    <row r="87" spans="1:12" ht="24.75" x14ac:dyDescent="0.25">
      <c r="A87" s="4" t="s">
        <v>9344</v>
      </c>
      <c r="B87" s="2" t="s">
        <v>5429</v>
      </c>
      <c r="C87" s="3">
        <v>1</v>
      </c>
      <c r="D87" s="5">
        <v>79.5</v>
      </c>
      <c r="E87" s="3" t="s">
        <v>5430</v>
      </c>
      <c r="F87" s="2" t="s">
        <v>464</v>
      </c>
      <c r="G87" s="6" t="s">
        <v>934</v>
      </c>
      <c r="H87" s="2" t="s">
        <v>127</v>
      </c>
      <c r="I87" s="2" t="s">
        <v>128</v>
      </c>
      <c r="J87" s="2" t="s">
        <v>19</v>
      </c>
      <c r="K87" s="2" t="s">
        <v>34</v>
      </c>
      <c r="L87" s="7" t="str">
        <f>HYPERLINK("http://slimages.macys.com/is/image/MCY/14608028 ")</f>
        <v xml:space="preserve">http://slimages.macys.com/is/image/MCY/14608028 </v>
      </c>
    </row>
    <row r="88" spans="1:12" ht="24.75" x14ac:dyDescent="0.25">
      <c r="A88" s="4" t="s">
        <v>9345</v>
      </c>
      <c r="B88" s="2" t="s">
        <v>2254</v>
      </c>
      <c r="C88" s="3">
        <v>1</v>
      </c>
      <c r="D88" s="5">
        <v>44.5</v>
      </c>
      <c r="E88" s="3" t="s">
        <v>2255</v>
      </c>
      <c r="F88" s="2" t="s">
        <v>15</v>
      </c>
      <c r="G88" s="6" t="s">
        <v>234</v>
      </c>
      <c r="H88" s="2" t="s">
        <v>194</v>
      </c>
      <c r="I88" s="2" t="s">
        <v>195</v>
      </c>
      <c r="J88" s="2" t="s">
        <v>19</v>
      </c>
      <c r="K88" s="2" t="s">
        <v>201</v>
      </c>
      <c r="L88" s="7" t="str">
        <f>HYPERLINK("http://slimages.macys.com/is/image/MCY/11804466 ")</f>
        <v xml:space="preserve">http://slimages.macys.com/is/image/MCY/11804466 </v>
      </c>
    </row>
    <row r="89" spans="1:12" ht="24.75" x14ac:dyDescent="0.25">
      <c r="A89" s="4" t="s">
        <v>384</v>
      </c>
      <c r="B89" s="2" t="s">
        <v>385</v>
      </c>
      <c r="C89" s="3">
        <v>1</v>
      </c>
      <c r="D89" s="5">
        <v>69.5</v>
      </c>
      <c r="E89" s="3">
        <v>100057476</v>
      </c>
      <c r="F89" s="2" t="s">
        <v>64</v>
      </c>
      <c r="G89" s="6" t="s">
        <v>22</v>
      </c>
      <c r="H89" s="2" t="s">
        <v>386</v>
      </c>
      <c r="I89" s="2" t="s">
        <v>207</v>
      </c>
      <c r="J89" s="2" t="s">
        <v>19</v>
      </c>
      <c r="K89" s="2" t="s">
        <v>387</v>
      </c>
      <c r="L89" s="7" t="str">
        <f>HYPERLINK("http://slimages.macys.com/is/image/MCY/11782675 ")</f>
        <v xml:space="preserve">http://slimages.macys.com/is/image/MCY/11782675 </v>
      </c>
    </row>
    <row r="90" spans="1:12" ht="36.75" x14ac:dyDescent="0.25">
      <c r="A90" s="4" t="s">
        <v>7118</v>
      </c>
      <c r="B90" s="2" t="s">
        <v>374</v>
      </c>
      <c r="C90" s="3">
        <v>1</v>
      </c>
      <c r="D90" s="5">
        <v>52.13</v>
      </c>
      <c r="E90" s="3" t="s">
        <v>394</v>
      </c>
      <c r="F90" s="2" t="s">
        <v>74</v>
      </c>
      <c r="G90" s="6" t="s">
        <v>205</v>
      </c>
      <c r="H90" s="2" t="s">
        <v>188</v>
      </c>
      <c r="I90" s="2" t="s">
        <v>189</v>
      </c>
      <c r="J90" s="2" t="s">
        <v>19</v>
      </c>
      <c r="K90" s="2" t="s">
        <v>395</v>
      </c>
      <c r="L90" s="7" t="str">
        <f>HYPERLINK("http://slimages.macys.com/is/image/MCY/11626905 ")</f>
        <v xml:space="preserve">http://slimages.macys.com/is/image/MCY/11626905 </v>
      </c>
    </row>
    <row r="91" spans="1:12" ht="36.75" x14ac:dyDescent="0.25">
      <c r="A91" s="4" t="s">
        <v>9346</v>
      </c>
      <c r="B91" s="2" t="s">
        <v>374</v>
      </c>
      <c r="C91" s="3">
        <v>1</v>
      </c>
      <c r="D91" s="5">
        <v>52.13</v>
      </c>
      <c r="E91" s="3" t="s">
        <v>394</v>
      </c>
      <c r="F91" s="2" t="s">
        <v>74</v>
      </c>
      <c r="G91" s="6" t="s">
        <v>934</v>
      </c>
      <c r="H91" s="2" t="s">
        <v>188</v>
      </c>
      <c r="I91" s="2" t="s">
        <v>189</v>
      </c>
      <c r="J91" s="2" t="s">
        <v>19</v>
      </c>
      <c r="K91" s="2" t="s">
        <v>395</v>
      </c>
      <c r="L91" s="7" t="str">
        <f>HYPERLINK("http://slimages.macys.com/is/image/MCY/11626905 ")</f>
        <v xml:space="preserve">http://slimages.macys.com/is/image/MCY/11626905 </v>
      </c>
    </row>
    <row r="92" spans="1:12" ht="36.75" x14ac:dyDescent="0.25">
      <c r="A92" s="4" t="s">
        <v>9347</v>
      </c>
      <c r="B92" s="2" t="s">
        <v>7121</v>
      </c>
      <c r="C92" s="3">
        <v>1</v>
      </c>
      <c r="D92" s="5">
        <v>52.13</v>
      </c>
      <c r="E92" s="3" t="s">
        <v>7122</v>
      </c>
      <c r="F92" s="2" t="s">
        <v>2619</v>
      </c>
      <c r="G92" s="6" t="s">
        <v>156</v>
      </c>
      <c r="H92" s="2" t="s">
        <v>194</v>
      </c>
      <c r="I92" s="2" t="s">
        <v>195</v>
      </c>
      <c r="J92" s="2" t="s">
        <v>19</v>
      </c>
      <c r="K92" s="2" t="s">
        <v>7123</v>
      </c>
      <c r="L92" s="7" t="str">
        <f>HYPERLINK("http://slimages.macys.com/is/image/MCY/12852300 ")</f>
        <v xml:space="preserve">http://slimages.macys.com/is/image/MCY/12852300 </v>
      </c>
    </row>
    <row r="93" spans="1:12" ht="24.75" x14ac:dyDescent="0.25">
      <c r="A93" s="4" t="s">
        <v>9348</v>
      </c>
      <c r="B93" s="2" t="s">
        <v>9349</v>
      </c>
      <c r="C93" s="3">
        <v>1</v>
      </c>
      <c r="D93" s="5">
        <v>44.5</v>
      </c>
      <c r="E93" s="3" t="s">
        <v>9350</v>
      </c>
      <c r="F93" s="2" t="s">
        <v>74</v>
      </c>
      <c r="G93" s="6" t="s">
        <v>156</v>
      </c>
      <c r="H93" s="2" t="s">
        <v>194</v>
      </c>
      <c r="I93" s="2" t="s">
        <v>307</v>
      </c>
      <c r="J93" s="2" t="s">
        <v>19</v>
      </c>
      <c r="K93" s="2" t="s">
        <v>1082</v>
      </c>
      <c r="L93" s="7" t="str">
        <f>HYPERLINK("http://slimages.macys.com/is/image/MCY/11515219 ")</f>
        <v xml:space="preserve">http://slimages.macys.com/is/image/MCY/11515219 </v>
      </c>
    </row>
    <row r="94" spans="1:12" ht="24.75" x14ac:dyDescent="0.25">
      <c r="A94" s="4" t="s">
        <v>9351</v>
      </c>
      <c r="B94" s="2" t="s">
        <v>9352</v>
      </c>
      <c r="C94" s="3">
        <v>1</v>
      </c>
      <c r="D94" s="5">
        <v>29.98</v>
      </c>
      <c r="E94" s="3">
        <v>8529</v>
      </c>
      <c r="F94" s="2" t="s">
        <v>38</v>
      </c>
      <c r="G94" s="6" t="s">
        <v>3401</v>
      </c>
      <c r="H94" s="2" t="s">
        <v>3402</v>
      </c>
      <c r="I94" s="2" t="s">
        <v>3409</v>
      </c>
      <c r="J94" s="2" t="s">
        <v>19</v>
      </c>
      <c r="K94" s="2" t="s">
        <v>353</v>
      </c>
      <c r="L94" s="7" t="str">
        <f>HYPERLINK("http://slimages.macys.com/is/image/MCY/3210696 ")</f>
        <v xml:space="preserve">http://slimages.macys.com/is/image/MCY/3210696 </v>
      </c>
    </row>
    <row r="95" spans="1:12" ht="24.75" x14ac:dyDescent="0.25">
      <c r="A95" s="4" t="s">
        <v>9353</v>
      </c>
      <c r="B95" s="2" t="s">
        <v>7128</v>
      </c>
      <c r="C95" s="3">
        <v>1</v>
      </c>
      <c r="D95" s="5">
        <v>59.5</v>
      </c>
      <c r="E95" s="3" t="s">
        <v>7129</v>
      </c>
      <c r="F95" s="2" t="s">
        <v>74</v>
      </c>
      <c r="G95" s="6" t="s">
        <v>363</v>
      </c>
      <c r="H95" s="2" t="s">
        <v>206</v>
      </c>
      <c r="I95" s="2" t="s">
        <v>1010</v>
      </c>
      <c r="J95" s="2" t="s">
        <v>19</v>
      </c>
      <c r="K95" s="2" t="s">
        <v>160</v>
      </c>
      <c r="L95" s="7" t="str">
        <f>HYPERLINK("http://slimages.macys.com/is/image/MCY/9504083 ")</f>
        <v xml:space="preserve">http://slimages.macys.com/is/image/MCY/9504083 </v>
      </c>
    </row>
    <row r="96" spans="1:12" ht="24.75" x14ac:dyDescent="0.25">
      <c r="A96" s="4" t="s">
        <v>9354</v>
      </c>
      <c r="B96" s="2" t="s">
        <v>420</v>
      </c>
      <c r="C96" s="3">
        <v>1</v>
      </c>
      <c r="D96" s="5">
        <v>48.38</v>
      </c>
      <c r="E96" s="3" t="s">
        <v>421</v>
      </c>
      <c r="F96" s="2" t="s">
        <v>64</v>
      </c>
      <c r="G96" s="6" t="s">
        <v>219</v>
      </c>
      <c r="H96" s="2" t="s">
        <v>188</v>
      </c>
      <c r="I96" s="2" t="s">
        <v>189</v>
      </c>
      <c r="J96" s="2" t="s">
        <v>19</v>
      </c>
      <c r="K96" s="2" t="s">
        <v>422</v>
      </c>
      <c r="L96" s="7" t="str">
        <f>HYPERLINK("http://slimages.macys.com/is/image/MCY/11621982 ")</f>
        <v xml:space="preserve">http://slimages.macys.com/is/image/MCY/11621982 </v>
      </c>
    </row>
    <row r="97" spans="1:12" ht="36.75" x14ac:dyDescent="0.25">
      <c r="A97" s="4" t="s">
        <v>9355</v>
      </c>
      <c r="B97" s="2" t="s">
        <v>9356</v>
      </c>
      <c r="C97" s="3">
        <v>1</v>
      </c>
      <c r="D97" s="5">
        <v>52.13</v>
      </c>
      <c r="E97" s="3" t="s">
        <v>9357</v>
      </c>
      <c r="F97" s="2" t="s">
        <v>48</v>
      </c>
      <c r="G97" s="6" t="s">
        <v>219</v>
      </c>
      <c r="H97" s="2" t="s">
        <v>188</v>
      </c>
      <c r="I97" s="2" t="s">
        <v>189</v>
      </c>
      <c r="J97" s="2" t="s">
        <v>19</v>
      </c>
      <c r="K97" s="2" t="s">
        <v>430</v>
      </c>
      <c r="L97" s="7" t="str">
        <f>HYPERLINK("http://slimages.macys.com/is/image/MCY/11807576 ")</f>
        <v xml:space="preserve">http://slimages.macys.com/is/image/MCY/11807576 </v>
      </c>
    </row>
    <row r="98" spans="1:12" ht="24.75" x14ac:dyDescent="0.25">
      <c r="A98" s="4" t="s">
        <v>435</v>
      </c>
      <c r="B98" s="2" t="s">
        <v>436</v>
      </c>
      <c r="C98" s="3">
        <v>1</v>
      </c>
      <c r="D98" s="5">
        <v>52.13</v>
      </c>
      <c r="E98" s="3" t="s">
        <v>437</v>
      </c>
      <c r="F98" s="2" t="s">
        <v>64</v>
      </c>
      <c r="G98" s="6"/>
      <c r="H98" s="2" t="s">
        <v>312</v>
      </c>
      <c r="I98" s="2" t="s">
        <v>195</v>
      </c>
      <c r="J98" s="2" t="s">
        <v>19</v>
      </c>
      <c r="K98" s="2" t="s">
        <v>438</v>
      </c>
      <c r="L98" s="7" t="str">
        <f>HYPERLINK("http://slimages.macys.com/is/image/MCY/12950192 ")</f>
        <v xml:space="preserve">http://slimages.macys.com/is/image/MCY/12950192 </v>
      </c>
    </row>
    <row r="99" spans="1:12" ht="24.75" x14ac:dyDescent="0.25">
      <c r="A99" s="4" t="s">
        <v>6362</v>
      </c>
      <c r="B99" s="2" t="s">
        <v>5452</v>
      </c>
      <c r="C99" s="3">
        <v>1</v>
      </c>
      <c r="D99" s="5">
        <v>39.5</v>
      </c>
      <c r="E99" s="3">
        <v>100054428</v>
      </c>
      <c r="F99" s="2" t="s">
        <v>74</v>
      </c>
      <c r="G99" s="6" t="s">
        <v>234</v>
      </c>
      <c r="H99" s="2" t="s">
        <v>194</v>
      </c>
      <c r="I99" s="2" t="s">
        <v>503</v>
      </c>
      <c r="J99" s="2" t="s">
        <v>19</v>
      </c>
      <c r="K99" s="2" t="s">
        <v>5453</v>
      </c>
      <c r="L99" s="7" t="str">
        <f>HYPERLINK("http://slimages.macys.com/is/image/MCY/15299160 ")</f>
        <v xml:space="preserve">http://slimages.macys.com/is/image/MCY/15299160 </v>
      </c>
    </row>
    <row r="100" spans="1:12" ht="24.75" x14ac:dyDescent="0.25">
      <c r="A100" s="4" t="s">
        <v>9358</v>
      </c>
      <c r="B100" s="2" t="s">
        <v>2268</v>
      </c>
      <c r="C100" s="3">
        <v>1</v>
      </c>
      <c r="D100" s="5">
        <v>44.63</v>
      </c>
      <c r="E100" s="3" t="s">
        <v>2269</v>
      </c>
      <c r="F100" s="2" t="s">
        <v>94</v>
      </c>
      <c r="G100" s="6" t="s">
        <v>434</v>
      </c>
      <c r="H100" s="2" t="s">
        <v>349</v>
      </c>
      <c r="I100" s="2" t="s">
        <v>285</v>
      </c>
      <c r="J100" s="2" t="s">
        <v>19</v>
      </c>
      <c r="K100" s="2" t="s">
        <v>160</v>
      </c>
      <c r="L100" s="7" t="str">
        <f>HYPERLINK("http://slimages.macys.com/is/image/MCY/13039993 ")</f>
        <v xml:space="preserve">http://slimages.macys.com/is/image/MCY/13039993 </v>
      </c>
    </row>
    <row r="101" spans="1:12" ht="24.75" x14ac:dyDescent="0.25">
      <c r="A101" s="4" t="s">
        <v>2267</v>
      </c>
      <c r="B101" s="2" t="s">
        <v>2268</v>
      </c>
      <c r="C101" s="3">
        <v>1</v>
      </c>
      <c r="D101" s="5">
        <v>44.63</v>
      </c>
      <c r="E101" s="3" t="s">
        <v>2269</v>
      </c>
      <c r="F101" s="2" t="s">
        <v>94</v>
      </c>
      <c r="G101" s="6" t="s">
        <v>348</v>
      </c>
      <c r="H101" s="2" t="s">
        <v>349</v>
      </c>
      <c r="I101" s="2" t="s">
        <v>285</v>
      </c>
      <c r="J101" s="2" t="s">
        <v>19</v>
      </c>
      <c r="K101" s="2" t="s">
        <v>160</v>
      </c>
      <c r="L101" s="7" t="str">
        <f>HYPERLINK("http://slimages.macys.com/is/image/MCY/13039993 ")</f>
        <v xml:space="preserve">http://slimages.macys.com/is/image/MCY/13039993 </v>
      </c>
    </row>
    <row r="102" spans="1:12" ht="24.75" x14ac:dyDescent="0.25">
      <c r="A102" s="4" t="s">
        <v>5462</v>
      </c>
      <c r="B102" s="2" t="s">
        <v>3405</v>
      </c>
      <c r="C102" s="3">
        <v>3</v>
      </c>
      <c r="D102" s="5">
        <v>44.5</v>
      </c>
      <c r="E102" s="3" t="s">
        <v>3406</v>
      </c>
      <c r="F102" s="2" t="s">
        <v>252</v>
      </c>
      <c r="G102" s="6" t="s">
        <v>234</v>
      </c>
      <c r="H102" s="2" t="s">
        <v>194</v>
      </c>
      <c r="I102" s="2" t="s">
        <v>195</v>
      </c>
      <c r="J102" s="2" t="s">
        <v>19</v>
      </c>
      <c r="K102" s="2" t="s">
        <v>3411</v>
      </c>
      <c r="L102" s="7" t="str">
        <f>HYPERLINK("http://slimages.macys.com/is/image/MCY/11937854 ")</f>
        <v xml:space="preserve">http://slimages.macys.com/is/image/MCY/11937854 </v>
      </c>
    </row>
    <row r="103" spans="1:12" ht="24.75" x14ac:dyDescent="0.25">
      <c r="A103" s="4" t="s">
        <v>9359</v>
      </c>
      <c r="B103" s="2" t="s">
        <v>3405</v>
      </c>
      <c r="C103" s="3">
        <v>2</v>
      </c>
      <c r="D103" s="5">
        <v>44.5</v>
      </c>
      <c r="E103" s="3" t="s">
        <v>3406</v>
      </c>
      <c r="F103" s="2" t="s">
        <v>252</v>
      </c>
      <c r="G103" s="6" t="s">
        <v>154</v>
      </c>
      <c r="H103" s="2" t="s">
        <v>194</v>
      </c>
      <c r="I103" s="2" t="s">
        <v>195</v>
      </c>
      <c r="J103" s="2" t="s">
        <v>19</v>
      </c>
      <c r="K103" s="2" t="s">
        <v>3411</v>
      </c>
      <c r="L103" s="7" t="str">
        <f>HYPERLINK("http://slimages.macys.com/is/image/MCY/11937854 ")</f>
        <v xml:space="preserve">http://slimages.macys.com/is/image/MCY/11937854 </v>
      </c>
    </row>
    <row r="104" spans="1:12" ht="24.75" x14ac:dyDescent="0.25">
      <c r="A104" s="4" t="s">
        <v>9360</v>
      </c>
      <c r="B104" s="2" t="s">
        <v>3405</v>
      </c>
      <c r="C104" s="3">
        <v>1</v>
      </c>
      <c r="D104" s="5">
        <v>44.5</v>
      </c>
      <c r="E104" s="3" t="s">
        <v>3406</v>
      </c>
      <c r="F104" s="2" t="s">
        <v>252</v>
      </c>
      <c r="G104" s="6" t="s">
        <v>156</v>
      </c>
      <c r="H104" s="2" t="s">
        <v>194</v>
      </c>
      <c r="I104" s="2" t="s">
        <v>195</v>
      </c>
      <c r="J104" s="2" t="s">
        <v>19</v>
      </c>
      <c r="K104" s="2" t="s">
        <v>3411</v>
      </c>
      <c r="L104" s="7" t="str">
        <f>HYPERLINK("http://slimages.macys.com/is/image/MCY/11937854 ")</f>
        <v xml:space="preserve">http://slimages.macys.com/is/image/MCY/11937854 </v>
      </c>
    </row>
    <row r="105" spans="1:12" ht="24.75" x14ac:dyDescent="0.25">
      <c r="A105" s="4" t="s">
        <v>2273</v>
      </c>
      <c r="B105" s="2" t="s">
        <v>453</v>
      </c>
      <c r="C105" s="3">
        <v>1</v>
      </c>
      <c r="D105" s="5">
        <v>44.63</v>
      </c>
      <c r="E105" s="3" t="s">
        <v>454</v>
      </c>
      <c r="F105" s="2" t="s">
        <v>74</v>
      </c>
      <c r="G105" s="6" t="s">
        <v>746</v>
      </c>
      <c r="H105" s="2" t="s">
        <v>349</v>
      </c>
      <c r="I105" s="2" t="s">
        <v>285</v>
      </c>
      <c r="J105" s="2" t="s">
        <v>19</v>
      </c>
      <c r="K105" s="2" t="s">
        <v>323</v>
      </c>
      <c r="L105" s="7" t="str">
        <f>HYPERLINK("http://slimages.macys.com/is/image/MCY/12343071 ")</f>
        <v xml:space="preserve">http://slimages.macys.com/is/image/MCY/12343071 </v>
      </c>
    </row>
    <row r="106" spans="1:12" ht="24.75" x14ac:dyDescent="0.25">
      <c r="A106" s="4" t="s">
        <v>9361</v>
      </c>
      <c r="B106" s="2" t="s">
        <v>8494</v>
      </c>
      <c r="C106" s="3">
        <v>1</v>
      </c>
      <c r="D106" s="5">
        <v>69.5</v>
      </c>
      <c r="E106" s="3" t="s">
        <v>8495</v>
      </c>
      <c r="F106" s="2" t="s">
        <v>572</v>
      </c>
      <c r="G106" s="6"/>
      <c r="H106" s="2" t="s">
        <v>206</v>
      </c>
      <c r="I106" s="2" t="s">
        <v>207</v>
      </c>
      <c r="J106" s="2" t="s">
        <v>19</v>
      </c>
      <c r="K106" s="2" t="s">
        <v>34</v>
      </c>
      <c r="L106" s="7" t="str">
        <f>HYPERLINK("http://slimages.macys.com/is/image/MCY/10214326 ")</f>
        <v xml:space="preserve">http://slimages.macys.com/is/image/MCY/10214326 </v>
      </c>
    </row>
    <row r="107" spans="1:12" ht="24.75" x14ac:dyDescent="0.25">
      <c r="A107" s="4" t="s">
        <v>8496</v>
      </c>
      <c r="B107" s="2" t="s">
        <v>693</v>
      </c>
      <c r="C107" s="3">
        <v>1</v>
      </c>
      <c r="D107" s="5">
        <v>34.99</v>
      </c>
      <c r="E107" s="3" t="s">
        <v>8497</v>
      </c>
      <c r="F107" s="2" t="s">
        <v>566</v>
      </c>
      <c r="G107" s="6" t="s">
        <v>348</v>
      </c>
      <c r="H107" s="2" t="s">
        <v>349</v>
      </c>
      <c r="I107" s="2" t="s">
        <v>408</v>
      </c>
      <c r="J107" s="2" t="s">
        <v>19</v>
      </c>
      <c r="K107" s="2" t="s">
        <v>409</v>
      </c>
      <c r="L107" s="7" t="str">
        <f>HYPERLINK("http://slimages.macys.com/is/image/MCY/9543348 ")</f>
        <v xml:space="preserve">http://slimages.macys.com/is/image/MCY/9543348 </v>
      </c>
    </row>
    <row r="108" spans="1:12" ht="24.75" x14ac:dyDescent="0.25">
      <c r="A108" s="4" t="s">
        <v>9362</v>
      </c>
      <c r="B108" s="2" t="s">
        <v>9363</v>
      </c>
      <c r="C108" s="3">
        <v>1</v>
      </c>
      <c r="D108" s="5">
        <v>34.99</v>
      </c>
      <c r="E108" s="3" t="s">
        <v>9364</v>
      </c>
      <c r="F108" s="2" t="s">
        <v>15</v>
      </c>
      <c r="G108" s="6"/>
      <c r="H108" s="2" t="s">
        <v>1086</v>
      </c>
      <c r="I108" s="2" t="s">
        <v>1087</v>
      </c>
      <c r="J108" s="2" t="s">
        <v>19</v>
      </c>
      <c r="K108" s="2" t="s">
        <v>338</v>
      </c>
      <c r="L108" s="7" t="str">
        <f>HYPERLINK("http://slimages.macys.com/is/image/MCY/8625832 ")</f>
        <v xml:space="preserve">http://slimages.macys.com/is/image/MCY/8625832 </v>
      </c>
    </row>
    <row r="109" spans="1:12" ht="24.75" x14ac:dyDescent="0.25">
      <c r="A109" s="4" t="s">
        <v>9365</v>
      </c>
      <c r="B109" s="2" t="s">
        <v>9366</v>
      </c>
      <c r="C109" s="3">
        <v>1</v>
      </c>
      <c r="D109" s="5">
        <v>40.880000000000003</v>
      </c>
      <c r="E109" s="3" t="s">
        <v>9367</v>
      </c>
      <c r="F109" s="2" t="s">
        <v>111</v>
      </c>
      <c r="G109" s="6"/>
      <c r="H109" s="2" t="s">
        <v>312</v>
      </c>
      <c r="I109" s="2" t="s">
        <v>503</v>
      </c>
      <c r="J109" s="2" t="s">
        <v>19</v>
      </c>
      <c r="K109" s="2" t="s">
        <v>546</v>
      </c>
      <c r="L109" s="7" t="str">
        <f>HYPERLINK("http://slimages.macys.com/is/image/MCY/9821840 ")</f>
        <v xml:space="preserve">http://slimages.macys.com/is/image/MCY/9821840 </v>
      </c>
    </row>
    <row r="110" spans="1:12" ht="24.75" x14ac:dyDescent="0.25">
      <c r="A110" s="4" t="s">
        <v>484</v>
      </c>
      <c r="B110" s="2" t="s">
        <v>485</v>
      </c>
      <c r="C110" s="3">
        <v>1</v>
      </c>
      <c r="D110" s="5">
        <v>44.63</v>
      </c>
      <c r="E110" s="3" t="s">
        <v>486</v>
      </c>
      <c r="F110" s="2" t="s">
        <v>26</v>
      </c>
      <c r="G110" s="6" t="s">
        <v>22</v>
      </c>
      <c r="H110" s="2" t="s">
        <v>246</v>
      </c>
      <c r="I110" s="2" t="s">
        <v>487</v>
      </c>
      <c r="J110" s="2" t="s">
        <v>19</v>
      </c>
      <c r="K110" s="2" t="s">
        <v>409</v>
      </c>
      <c r="L110" s="7" t="str">
        <f>HYPERLINK("http://slimages.macys.com/is/image/MCY/11806851 ")</f>
        <v xml:space="preserve">http://slimages.macys.com/is/image/MCY/11806851 </v>
      </c>
    </row>
    <row r="111" spans="1:12" ht="24.75" x14ac:dyDescent="0.25">
      <c r="A111" s="4" t="s">
        <v>9368</v>
      </c>
      <c r="B111" s="2" t="s">
        <v>489</v>
      </c>
      <c r="C111" s="3">
        <v>1</v>
      </c>
      <c r="D111" s="5">
        <v>69.5</v>
      </c>
      <c r="E111" s="3" t="s">
        <v>490</v>
      </c>
      <c r="F111" s="2" t="s">
        <v>64</v>
      </c>
      <c r="G111" s="6" t="s">
        <v>112</v>
      </c>
      <c r="H111" s="2" t="s">
        <v>386</v>
      </c>
      <c r="I111" s="2" t="s">
        <v>337</v>
      </c>
      <c r="J111" s="2" t="s">
        <v>19</v>
      </c>
      <c r="K111" s="2" t="s">
        <v>361</v>
      </c>
      <c r="L111" s="7" t="str">
        <f>HYPERLINK("http://slimages.macys.com/is/image/MCY/3962661 ")</f>
        <v xml:space="preserve">http://slimages.macys.com/is/image/MCY/3962661 </v>
      </c>
    </row>
    <row r="112" spans="1:12" ht="24.75" x14ac:dyDescent="0.25">
      <c r="A112" s="4" t="s">
        <v>5480</v>
      </c>
      <c r="B112" s="2" t="s">
        <v>3430</v>
      </c>
      <c r="C112" s="3">
        <v>1</v>
      </c>
      <c r="D112" s="5">
        <v>44.63</v>
      </c>
      <c r="E112" s="3" t="s">
        <v>5481</v>
      </c>
      <c r="F112" s="2" t="s">
        <v>26</v>
      </c>
      <c r="G112" s="6" t="s">
        <v>154</v>
      </c>
      <c r="H112" s="2" t="s">
        <v>246</v>
      </c>
      <c r="I112" s="2" t="s">
        <v>189</v>
      </c>
      <c r="J112" s="2" t="s">
        <v>19</v>
      </c>
      <c r="K112" s="2" t="s">
        <v>990</v>
      </c>
      <c r="L112" s="7" t="str">
        <f>HYPERLINK("http://slimages.macys.com/is/image/MCY/9795935 ")</f>
        <v xml:space="preserve">http://slimages.macys.com/is/image/MCY/9795935 </v>
      </c>
    </row>
    <row r="113" spans="1:12" ht="36.75" x14ac:dyDescent="0.25">
      <c r="A113" s="4" t="s">
        <v>507</v>
      </c>
      <c r="B113" s="2" t="s">
        <v>502</v>
      </c>
      <c r="C113" s="3">
        <v>1</v>
      </c>
      <c r="D113" s="5">
        <v>40.880000000000003</v>
      </c>
      <c r="E113" s="3">
        <v>100047671</v>
      </c>
      <c r="F113" s="2" t="s">
        <v>79</v>
      </c>
      <c r="G113" s="6" t="s">
        <v>16</v>
      </c>
      <c r="H113" s="2" t="s">
        <v>194</v>
      </c>
      <c r="I113" s="2" t="s">
        <v>503</v>
      </c>
      <c r="J113" s="2" t="s">
        <v>19</v>
      </c>
      <c r="K113" s="2" t="s">
        <v>504</v>
      </c>
      <c r="L113" s="7" t="str">
        <f>HYPERLINK("http://slimages.macys.com/is/image/MCY/11937756 ")</f>
        <v xml:space="preserve">http://slimages.macys.com/is/image/MCY/11937756 </v>
      </c>
    </row>
    <row r="114" spans="1:12" ht="36.75" x14ac:dyDescent="0.25">
      <c r="A114" s="4" t="s">
        <v>6369</v>
      </c>
      <c r="B114" s="2" t="s">
        <v>502</v>
      </c>
      <c r="C114" s="3">
        <v>1</v>
      </c>
      <c r="D114" s="5">
        <v>40.880000000000003</v>
      </c>
      <c r="E114" s="3">
        <v>100047671</v>
      </c>
      <c r="F114" s="2" t="s">
        <v>79</v>
      </c>
      <c r="G114" s="6" t="s">
        <v>141</v>
      </c>
      <c r="H114" s="2" t="s">
        <v>194</v>
      </c>
      <c r="I114" s="2" t="s">
        <v>503</v>
      </c>
      <c r="J114" s="2" t="s">
        <v>19</v>
      </c>
      <c r="K114" s="2" t="s">
        <v>504</v>
      </c>
      <c r="L114" s="7" t="str">
        <f>HYPERLINK("http://slimages.macys.com/is/image/MCY/11937756 ")</f>
        <v xml:space="preserve">http://slimages.macys.com/is/image/MCY/11937756 </v>
      </c>
    </row>
    <row r="115" spans="1:12" ht="24.75" x14ac:dyDescent="0.25">
      <c r="A115" s="4" t="s">
        <v>9369</v>
      </c>
      <c r="B115" s="2" t="s">
        <v>2295</v>
      </c>
      <c r="C115" s="3">
        <v>1</v>
      </c>
      <c r="D115" s="5">
        <v>40.880000000000003</v>
      </c>
      <c r="E115" s="3" t="s">
        <v>2296</v>
      </c>
      <c r="F115" s="2" t="s">
        <v>74</v>
      </c>
      <c r="G115" s="6" t="s">
        <v>156</v>
      </c>
      <c r="H115" s="2" t="s">
        <v>284</v>
      </c>
      <c r="I115" s="2" t="s">
        <v>408</v>
      </c>
      <c r="J115" s="2" t="s">
        <v>19</v>
      </c>
      <c r="K115" s="2" t="s">
        <v>409</v>
      </c>
      <c r="L115" s="7" t="str">
        <f>HYPERLINK("http://slimages.macys.com/is/image/MCY/12807933 ")</f>
        <v xml:space="preserve">http://slimages.macys.com/is/image/MCY/12807933 </v>
      </c>
    </row>
    <row r="116" spans="1:12" ht="24.75" x14ac:dyDescent="0.25">
      <c r="A116" s="4" t="s">
        <v>9370</v>
      </c>
      <c r="B116" s="2" t="s">
        <v>9371</v>
      </c>
      <c r="C116" s="3">
        <v>1</v>
      </c>
      <c r="D116" s="5">
        <v>51.5</v>
      </c>
      <c r="E116" s="3" t="s">
        <v>9372</v>
      </c>
      <c r="F116" s="2" t="s">
        <v>74</v>
      </c>
      <c r="G116" s="6"/>
      <c r="H116" s="2" t="s">
        <v>188</v>
      </c>
      <c r="I116" s="2" t="s">
        <v>189</v>
      </c>
      <c r="J116" s="2" t="s">
        <v>19</v>
      </c>
      <c r="K116" s="2" t="s">
        <v>3423</v>
      </c>
      <c r="L116" s="7" t="str">
        <f>HYPERLINK("http://slimages.macys.com/is/image/MCY/11517972 ")</f>
        <v xml:space="preserve">http://slimages.macys.com/is/image/MCY/11517972 </v>
      </c>
    </row>
    <row r="117" spans="1:12" ht="24.75" x14ac:dyDescent="0.25">
      <c r="A117" s="4" t="s">
        <v>9373</v>
      </c>
      <c r="B117" s="2" t="s">
        <v>9374</v>
      </c>
      <c r="C117" s="3">
        <v>1</v>
      </c>
      <c r="D117" s="5">
        <v>51.5</v>
      </c>
      <c r="E117" s="3" t="s">
        <v>9375</v>
      </c>
      <c r="F117" s="2" t="s">
        <v>48</v>
      </c>
      <c r="G117" s="6" t="s">
        <v>234</v>
      </c>
      <c r="H117" s="2" t="s">
        <v>246</v>
      </c>
      <c r="I117" s="2" t="s">
        <v>189</v>
      </c>
      <c r="J117" s="2" t="s">
        <v>19</v>
      </c>
      <c r="K117" s="2" t="s">
        <v>3423</v>
      </c>
      <c r="L117" s="7" t="str">
        <f>HYPERLINK("http://slimages.macys.com/is/image/MCY/11755846 ")</f>
        <v xml:space="preserve">http://slimages.macys.com/is/image/MCY/11755846 </v>
      </c>
    </row>
    <row r="118" spans="1:12" ht="24.75" x14ac:dyDescent="0.25">
      <c r="A118" s="4" t="s">
        <v>9376</v>
      </c>
      <c r="B118" s="2" t="s">
        <v>9377</v>
      </c>
      <c r="C118" s="3">
        <v>1</v>
      </c>
      <c r="D118" s="5">
        <v>51.5</v>
      </c>
      <c r="E118" s="3" t="s">
        <v>9378</v>
      </c>
      <c r="F118" s="2" t="s">
        <v>64</v>
      </c>
      <c r="G118" s="6" t="s">
        <v>181</v>
      </c>
      <c r="H118" s="2" t="s">
        <v>246</v>
      </c>
      <c r="I118" s="2" t="s">
        <v>189</v>
      </c>
      <c r="J118" s="2" t="s">
        <v>19</v>
      </c>
      <c r="K118" s="2" t="s">
        <v>3423</v>
      </c>
      <c r="L118" s="7" t="str">
        <f>HYPERLINK("http://slimages.macys.com/is/image/MCY/11420279 ")</f>
        <v xml:space="preserve">http://slimages.macys.com/is/image/MCY/11420279 </v>
      </c>
    </row>
    <row r="119" spans="1:12" ht="24.75" x14ac:dyDescent="0.25">
      <c r="A119" s="4" t="s">
        <v>9379</v>
      </c>
      <c r="B119" s="2" t="s">
        <v>7903</v>
      </c>
      <c r="C119" s="3">
        <v>1</v>
      </c>
      <c r="D119" s="5">
        <v>52.13</v>
      </c>
      <c r="E119" s="3" t="s">
        <v>7904</v>
      </c>
      <c r="F119" s="2" t="s">
        <v>111</v>
      </c>
      <c r="G119" s="6" t="s">
        <v>434</v>
      </c>
      <c r="H119" s="2" t="s">
        <v>349</v>
      </c>
      <c r="I119" s="2" t="s">
        <v>285</v>
      </c>
      <c r="J119" s="2" t="s">
        <v>19</v>
      </c>
      <c r="K119" s="2" t="s">
        <v>75</v>
      </c>
      <c r="L119" s="7" t="str">
        <f>HYPERLINK("http://slimages.macys.com/is/image/MCY/13761882 ")</f>
        <v xml:space="preserve">http://slimages.macys.com/is/image/MCY/13761882 </v>
      </c>
    </row>
    <row r="120" spans="1:12" ht="36.75" x14ac:dyDescent="0.25">
      <c r="A120" s="4" t="s">
        <v>9380</v>
      </c>
      <c r="B120" s="2" t="s">
        <v>519</v>
      </c>
      <c r="C120" s="3">
        <v>1</v>
      </c>
      <c r="D120" s="5">
        <v>44.63</v>
      </c>
      <c r="E120" s="3" t="s">
        <v>520</v>
      </c>
      <c r="F120" s="2" t="s">
        <v>15</v>
      </c>
      <c r="G120" s="6" t="s">
        <v>245</v>
      </c>
      <c r="H120" s="2" t="s">
        <v>194</v>
      </c>
      <c r="I120" s="2" t="s">
        <v>195</v>
      </c>
      <c r="J120" s="2" t="s">
        <v>19</v>
      </c>
      <c r="K120" s="2" t="s">
        <v>521</v>
      </c>
      <c r="L120" s="7" t="str">
        <f>HYPERLINK("http://slimages.macys.com/is/image/MCY/12279320 ")</f>
        <v xml:space="preserve">http://slimages.macys.com/is/image/MCY/12279320 </v>
      </c>
    </row>
    <row r="121" spans="1:12" ht="36.75" x14ac:dyDescent="0.25">
      <c r="A121" s="4" t="s">
        <v>518</v>
      </c>
      <c r="B121" s="2" t="s">
        <v>519</v>
      </c>
      <c r="C121" s="3">
        <v>2</v>
      </c>
      <c r="D121" s="5">
        <v>44.63</v>
      </c>
      <c r="E121" s="3" t="s">
        <v>520</v>
      </c>
      <c r="F121" s="2" t="s">
        <v>26</v>
      </c>
      <c r="G121" s="6" t="s">
        <v>234</v>
      </c>
      <c r="H121" s="2" t="s">
        <v>194</v>
      </c>
      <c r="I121" s="2" t="s">
        <v>195</v>
      </c>
      <c r="J121" s="2" t="s">
        <v>19</v>
      </c>
      <c r="K121" s="2" t="s">
        <v>521</v>
      </c>
      <c r="L121" s="7" t="str">
        <f>HYPERLINK("http://slimages.macys.com/is/image/MCY/12279320 ")</f>
        <v xml:space="preserve">http://slimages.macys.com/is/image/MCY/12279320 </v>
      </c>
    </row>
    <row r="122" spans="1:12" ht="24.75" x14ac:dyDescent="0.25">
      <c r="A122" s="4" t="s">
        <v>3450</v>
      </c>
      <c r="B122" s="2" t="s">
        <v>527</v>
      </c>
      <c r="C122" s="3">
        <v>2</v>
      </c>
      <c r="D122" s="5">
        <v>48.38</v>
      </c>
      <c r="E122" s="3" t="s">
        <v>528</v>
      </c>
      <c r="F122" s="2" t="s">
        <v>417</v>
      </c>
      <c r="G122" s="6" t="s">
        <v>348</v>
      </c>
      <c r="H122" s="2" t="s">
        <v>349</v>
      </c>
      <c r="I122" s="2" t="s">
        <v>285</v>
      </c>
      <c r="J122" s="2" t="s">
        <v>19</v>
      </c>
      <c r="K122" s="2" t="s">
        <v>160</v>
      </c>
      <c r="L122" s="7" t="str">
        <f>HYPERLINK("http://slimages.macys.com/is/image/MCY/12715708 ")</f>
        <v xml:space="preserve">http://slimages.macys.com/is/image/MCY/12715708 </v>
      </c>
    </row>
    <row r="123" spans="1:12" x14ac:dyDescent="0.25">
      <c r="A123" s="4" t="s">
        <v>4584</v>
      </c>
      <c r="B123" s="2" t="s">
        <v>4585</v>
      </c>
      <c r="C123" s="3">
        <v>1</v>
      </c>
      <c r="D123" s="5">
        <v>48.38</v>
      </c>
      <c r="E123" s="3" t="s">
        <v>4586</v>
      </c>
      <c r="F123" s="2" t="s">
        <v>15</v>
      </c>
      <c r="G123" s="6"/>
      <c r="H123" s="2" t="s">
        <v>349</v>
      </c>
      <c r="I123" s="2" t="s">
        <v>285</v>
      </c>
      <c r="J123" s="2" t="s">
        <v>19</v>
      </c>
      <c r="K123" s="2" t="s">
        <v>201</v>
      </c>
      <c r="L123" s="7" t="str">
        <f>HYPERLINK("http://slimages.macys.com/is/image/MCY/9639881 ")</f>
        <v xml:space="preserve">http://slimages.macys.com/is/image/MCY/9639881 </v>
      </c>
    </row>
    <row r="124" spans="1:12" x14ac:dyDescent="0.25">
      <c r="A124" s="4" t="s">
        <v>7913</v>
      </c>
      <c r="B124" s="2" t="s">
        <v>4585</v>
      </c>
      <c r="C124" s="3">
        <v>2</v>
      </c>
      <c r="D124" s="5">
        <v>48.38</v>
      </c>
      <c r="E124" s="3" t="s">
        <v>4586</v>
      </c>
      <c r="F124" s="2" t="s">
        <v>15</v>
      </c>
      <c r="G124" s="6" t="s">
        <v>348</v>
      </c>
      <c r="H124" s="2" t="s">
        <v>349</v>
      </c>
      <c r="I124" s="2" t="s">
        <v>285</v>
      </c>
      <c r="J124" s="2" t="s">
        <v>19</v>
      </c>
      <c r="K124" s="2" t="s">
        <v>201</v>
      </c>
      <c r="L124" s="7" t="str">
        <f>HYPERLINK("http://slimages.macys.com/is/image/MCY/9639881 ")</f>
        <v xml:space="preserve">http://slimages.macys.com/is/image/MCY/9639881 </v>
      </c>
    </row>
    <row r="125" spans="1:12" ht="24.75" x14ac:dyDescent="0.25">
      <c r="A125" s="4" t="s">
        <v>3452</v>
      </c>
      <c r="B125" s="2" t="s">
        <v>530</v>
      </c>
      <c r="C125" s="3">
        <v>1</v>
      </c>
      <c r="D125" s="5">
        <v>44.63</v>
      </c>
      <c r="E125" s="3" t="s">
        <v>531</v>
      </c>
      <c r="F125" s="2" t="s">
        <v>532</v>
      </c>
      <c r="G125" s="6" t="s">
        <v>156</v>
      </c>
      <c r="H125" s="2" t="s">
        <v>194</v>
      </c>
      <c r="I125" s="2" t="s">
        <v>195</v>
      </c>
      <c r="J125" s="2" t="s">
        <v>19</v>
      </c>
      <c r="K125" s="2" t="s">
        <v>533</v>
      </c>
      <c r="L125" s="7" t="str">
        <f>HYPERLINK("http://slimages.macys.com/is/image/MCY/12316730 ")</f>
        <v xml:space="preserve">http://slimages.macys.com/is/image/MCY/12316730 </v>
      </c>
    </row>
    <row r="126" spans="1:12" ht="24.75" x14ac:dyDescent="0.25">
      <c r="A126" s="4" t="s">
        <v>529</v>
      </c>
      <c r="B126" s="2" t="s">
        <v>530</v>
      </c>
      <c r="C126" s="3">
        <v>1</v>
      </c>
      <c r="D126" s="5">
        <v>44.63</v>
      </c>
      <c r="E126" s="3" t="s">
        <v>531</v>
      </c>
      <c r="F126" s="2" t="s">
        <v>532</v>
      </c>
      <c r="G126" s="6" t="s">
        <v>181</v>
      </c>
      <c r="H126" s="2" t="s">
        <v>194</v>
      </c>
      <c r="I126" s="2" t="s">
        <v>195</v>
      </c>
      <c r="J126" s="2" t="s">
        <v>19</v>
      </c>
      <c r="K126" s="2" t="s">
        <v>533</v>
      </c>
      <c r="L126" s="7" t="str">
        <f>HYPERLINK("http://slimages.macys.com/is/image/MCY/12316730 ")</f>
        <v xml:space="preserve">http://slimages.macys.com/is/image/MCY/12316730 </v>
      </c>
    </row>
    <row r="127" spans="1:12" ht="24.75" x14ac:dyDescent="0.25">
      <c r="A127" s="4" t="s">
        <v>2320</v>
      </c>
      <c r="B127" s="2" t="s">
        <v>530</v>
      </c>
      <c r="C127" s="3">
        <v>1</v>
      </c>
      <c r="D127" s="5">
        <v>44.63</v>
      </c>
      <c r="E127" s="3" t="s">
        <v>531</v>
      </c>
      <c r="F127" s="2" t="s">
        <v>532</v>
      </c>
      <c r="G127" s="6" t="s">
        <v>154</v>
      </c>
      <c r="H127" s="2" t="s">
        <v>194</v>
      </c>
      <c r="I127" s="2" t="s">
        <v>195</v>
      </c>
      <c r="J127" s="2" t="s">
        <v>19</v>
      </c>
      <c r="K127" s="2" t="s">
        <v>533</v>
      </c>
      <c r="L127" s="7" t="str">
        <f>HYPERLINK("http://slimages.macys.com/is/image/MCY/12316730 ")</f>
        <v xml:space="preserve">http://slimages.macys.com/is/image/MCY/12316730 </v>
      </c>
    </row>
    <row r="128" spans="1:12" ht="24.75" x14ac:dyDescent="0.25">
      <c r="A128" s="4" t="s">
        <v>547</v>
      </c>
      <c r="B128" s="2" t="s">
        <v>548</v>
      </c>
      <c r="C128" s="3">
        <v>1</v>
      </c>
      <c r="D128" s="5">
        <v>44.5</v>
      </c>
      <c r="E128" s="3" t="s">
        <v>549</v>
      </c>
      <c r="F128" s="2" t="s">
        <v>252</v>
      </c>
      <c r="G128" s="6" t="s">
        <v>181</v>
      </c>
      <c r="H128" s="2" t="s">
        <v>194</v>
      </c>
      <c r="I128" s="2" t="s">
        <v>195</v>
      </c>
      <c r="J128" s="2" t="s">
        <v>19</v>
      </c>
      <c r="K128" s="2" t="s">
        <v>34</v>
      </c>
      <c r="L128" s="7" t="str">
        <f>HYPERLINK("http://slimages.macys.com/is/image/MCY/11527016 ")</f>
        <v xml:space="preserve">http://slimages.macys.com/is/image/MCY/11527016 </v>
      </c>
    </row>
    <row r="129" spans="1:12" ht="24.75" x14ac:dyDescent="0.25">
      <c r="A129" s="4" t="s">
        <v>9381</v>
      </c>
      <c r="B129" s="2" t="s">
        <v>7915</v>
      </c>
      <c r="C129" s="3">
        <v>1</v>
      </c>
      <c r="D129" s="5">
        <v>48</v>
      </c>
      <c r="E129" s="3">
        <v>100055661</v>
      </c>
      <c r="F129" s="2" t="s">
        <v>89</v>
      </c>
      <c r="G129" s="6" t="s">
        <v>141</v>
      </c>
      <c r="H129" s="2" t="s">
        <v>228</v>
      </c>
      <c r="I129" s="2" t="s">
        <v>229</v>
      </c>
      <c r="J129" s="2" t="s">
        <v>19</v>
      </c>
      <c r="K129" s="2" t="s">
        <v>230</v>
      </c>
      <c r="L129" s="7" t="str">
        <f>HYPERLINK("http://slimages.macys.com/is/image/MCY/12849874 ")</f>
        <v xml:space="preserve">http://slimages.macys.com/is/image/MCY/12849874 </v>
      </c>
    </row>
    <row r="130" spans="1:12" ht="48.75" x14ac:dyDescent="0.25">
      <c r="A130" s="4" t="s">
        <v>9382</v>
      </c>
      <c r="B130" s="2" t="s">
        <v>3600</v>
      </c>
      <c r="C130" s="3">
        <v>1</v>
      </c>
      <c r="D130" s="5">
        <v>48.38</v>
      </c>
      <c r="E130" s="3" t="s">
        <v>9383</v>
      </c>
      <c r="F130" s="2" t="s">
        <v>26</v>
      </c>
      <c r="G130" s="6" t="s">
        <v>746</v>
      </c>
      <c r="H130" s="2" t="s">
        <v>349</v>
      </c>
      <c r="I130" s="2" t="s">
        <v>458</v>
      </c>
      <c r="J130" s="2" t="s">
        <v>19</v>
      </c>
      <c r="K130" s="2" t="s">
        <v>9384</v>
      </c>
      <c r="L130" s="7" t="str">
        <f>HYPERLINK("http://slimages.macys.com/is/image/MCY/12717465 ")</f>
        <v xml:space="preserve">http://slimages.macys.com/is/image/MCY/12717465 </v>
      </c>
    </row>
    <row r="131" spans="1:12" ht="48.75" x14ac:dyDescent="0.25">
      <c r="A131" s="4" t="s">
        <v>550</v>
      </c>
      <c r="B131" s="2" t="s">
        <v>551</v>
      </c>
      <c r="C131" s="3">
        <v>1</v>
      </c>
      <c r="D131" s="5">
        <v>48</v>
      </c>
      <c r="E131" s="3">
        <v>100053418</v>
      </c>
      <c r="F131" s="2" t="s">
        <v>26</v>
      </c>
      <c r="G131" s="6" t="s">
        <v>154</v>
      </c>
      <c r="H131" s="2" t="s">
        <v>228</v>
      </c>
      <c r="I131" s="2" t="s">
        <v>229</v>
      </c>
      <c r="J131" s="2" t="s">
        <v>19</v>
      </c>
      <c r="K131" s="2" t="s">
        <v>552</v>
      </c>
      <c r="L131" s="7" t="str">
        <f>HYPERLINK("http://slimages.macys.com/is/image/MCY/12158587 ")</f>
        <v xml:space="preserve">http://slimages.macys.com/is/image/MCY/12158587 </v>
      </c>
    </row>
    <row r="132" spans="1:12" ht="24.75" x14ac:dyDescent="0.25">
      <c r="A132" s="4" t="s">
        <v>559</v>
      </c>
      <c r="B132" s="2" t="s">
        <v>560</v>
      </c>
      <c r="C132" s="3">
        <v>1</v>
      </c>
      <c r="D132" s="5">
        <v>39.5</v>
      </c>
      <c r="E132" s="3" t="s">
        <v>561</v>
      </c>
      <c r="F132" s="2" t="s">
        <v>562</v>
      </c>
      <c r="G132" s="6" t="s">
        <v>154</v>
      </c>
      <c r="H132" s="2" t="s">
        <v>194</v>
      </c>
      <c r="I132" s="2" t="s">
        <v>195</v>
      </c>
      <c r="J132" s="2" t="s">
        <v>19</v>
      </c>
      <c r="K132" s="2" t="s">
        <v>151</v>
      </c>
      <c r="L132" s="7" t="str">
        <f>HYPERLINK("http://slimages.macys.com/is/image/MCY/11937879 ")</f>
        <v xml:space="preserve">http://slimages.macys.com/is/image/MCY/11937879 </v>
      </c>
    </row>
    <row r="133" spans="1:12" ht="24.75" x14ac:dyDescent="0.25">
      <c r="A133" s="4" t="s">
        <v>5510</v>
      </c>
      <c r="B133" s="2" t="s">
        <v>3461</v>
      </c>
      <c r="C133" s="3">
        <v>1</v>
      </c>
      <c r="D133" s="5">
        <v>40.880000000000003</v>
      </c>
      <c r="E133" s="3" t="s">
        <v>3462</v>
      </c>
      <c r="F133" s="2" t="s">
        <v>26</v>
      </c>
      <c r="G133" s="6" t="s">
        <v>234</v>
      </c>
      <c r="H133" s="2" t="s">
        <v>284</v>
      </c>
      <c r="I133" s="2" t="s">
        <v>285</v>
      </c>
      <c r="J133" s="2" t="s">
        <v>19</v>
      </c>
      <c r="K133" s="2" t="s">
        <v>2204</v>
      </c>
      <c r="L133" s="7" t="str">
        <f>HYPERLINK("http://slimages.macys.com/is/image/MCY/12035057 ")</f>
        <v xml:space="preserve">http://slimages.macys.com/is/image/MCY/12035057 </v>
      </c>
    </row>
    <row r="134" spans="1:12" ht="36.75" x14ac:dyDescent="0.25">
      <c r="A134" s="4" t="s">
        <v>3464</v>
      </c>
      <c r="B134" s="2" t="s">
        <v>614</v>
      </c>
      <c r="C134" s="3">
        <v>1</v>
      </c>
      <c r="D134" s="5">
        <v>40.880000000000003</v>
      </c>
      <c r="E134" s="3" t="s">
        <v>615</v>
      </c>
      <c r="F134" s="2" t="s">
        <v>26</v>
      </c>
      <c r="G134" s="6" t="s">
        <v>181</v>
      </c>
      <c r="H134" s="2" t="s">
        <v>284</v>
      </c>
      <c r="I134" s="2" t="s">
        <v>408</v>
      </c>
      <c r="J134" s="2" t="s">
        <v>19</v>
      </c>
      <c r="K134" s="2" t="s">
        <v>500</v>
      </c>
      <c r="L134" s="7" t="str">
        <f>HYPERLINK("http://slimages.macys.com/is/image/MCY/12672193 ")</f>
        <v xml:space="preserve">http://slimages.macys.com/is/image/MCY/12672193 </v>
      </c>
    </row>
    <row r="135" spans="1:12" ht="36.75" x14ac:dyDescent="0.25">
      <c r="A135" s="4" t="s">
        <v>2337</v>
      </c>
      <c r="B135" s="2" t="s">
        <v>614</v>
      </c>
      <c r="C135" s="3">
        <v>1</v>
      </c>
      <c r="D135" s="5">
        <v>40.880000000000003</v>
      </c>
      <c r="E135" s="3" t="s">
        <v>615</v>
      </c>
      <c r="F135" s="2" t="s">
        <v>26</v>
      </c>
      <c r="G135" s="6" t="s">
        <v>200</v>
      </c>
      <c r="H135" s="2" t="s">
        <v>284</v>
      </c>
      <c r="I135" s="2" t="s">
        <v>408</v>
      </c>
      <c r="J135" s="2" t="s">
        <v>19</v>
      </c>
      <c r="K135" s="2" t="s">
        <v>500</v>
      </c>
      <c r="L135" s="7" t="str">
        <f>HYPERLINK("http://slimages.macys.com/is/image/MCY/12672193 ")</f>
        <v xml:space="preserve">http://slimages.macys.com/is/image/MCY/12672193 </v>
      </c>
    </row>
    <row r="136" spans="1:12" ht="36.75" x14ac:dyDescent="0.25">
      <c r="A136" s="4" t="s">
        <v>2338</v>
      </c>
      <c r="B136" s="2" t="s">
        <v>614</v>
      </c>
      <c r="C136" s="3">
        <v>1</v>
      </c>
      <c r="D136" s="5">
        <v>40.880000000000003</v>
      </c>
      <c r="E136" s="3" t="s">
        <v>615</v>
      </c>
      <c r="F136" s="2" t="s">
        <v>26</v>
      </c>
      <c r="G136" s="6" t="s">
        <v>154</v>
      </c>
      <c r="H136" s="2" t="s">
        <v>284</v>
      </c>
      <c r="I136" s="2" t="s">
        <v>408</v>
      </c>
      <c r="J136" s="2" t="s">
        <v>19</v>
      </c>
      <c r="K136" s="2" t="s">
        <v>500</v>
      </c>
      <c r="L136" s="7" t="str">
        <f>HYPERLINK("http://slimages.macys.com/is/image/MCY/12672193 ")</f>
        <v xml:space="preserve">http://slimages.macys.com/is/image/MCY/12672193 </v>
      </c>
    </row>
    <row r="137" spans="1:12" ht="24.75" x14ac:dyDescent="0.25">
      <c r="A137" s="4" t="s">
        <v>9385</v>
      </c>
      <c r="B137" s="2" t="s">
        <v>9386</v>
      </c>
      <c r="C137" s="3">
        <v>1</v>
      </c>
      <c r="D137" s="5">
        <v>52.13</v>
      </c>
      <c r="E137" s="3" t="s">
        <v>9387</v>
      </c>
      <c r="F137" s="2" t="s">
        <v>74</v>
      </c>
      <c r="G137" s="6" t="s">
        <v>200</v>
      </c>
      <c r="H137" s="2" t="s">
        <v>284</v>
      </c>
      <c r="I137" s="2" t="s">
        <v>285</v>
      </c>
      <c r="J137" s="2" t="s">
        <v>19</v>
      </c>
      <c r="K137" s="2" t="s">
        <v>160</v>
      </c>
      <c r="L137" s="7" t="str">
        <f>HYPERLINK("http://slimages.macys.com/is/image/MCY/11712492 ")</f>
        <v xml:space="preserve">http://slimages.macys.com/is/image/MCY/11712492 </v>
      </c>
    </row>
    <row r="138" spans="1:12" ht="24.75" x14ac:dyDescent="0.25">
      <c r="A138" s="4" t="s">
        <v>9388</v>
      </c>
      <c r="B138" s="2" t="s">
        <v>9389</v>
      </c>
      <c r="C138" s="3">
        <v>1</v>
      </c>
      <c r="D138" s="5">
        <v>37.130000000000003</v>
      </c>
      <c r="E138" s="3" t="s">
        <v>9390</v>
      </c>
      <c r="F138" s="2" t="s">
        <v>74</v>
      </c>
      <c r="G138" s="6" t="s">
        <v>154</v>
      </c>
      <c r="H138" s="2" t="s">
        <v>284</v>
      </c>
      <c r="I138" s="2" t="s">
        <v>408</v>
      </c>
      <c r="J138" s="2" t="s">
        <v>19</v>
      </c>
      <c r="K138" s="2" t="s">
        <v>409</v>
      </c>
      <c r="L138" s="7" t="str">
        <f>HYPERLINK("http://slimages.macys.com/is/image/MCY/11943155 ")</f>
        <v xml:space="preserve">http://slimages.macys.com/is/image/MCY/11943155 </v>
      </c>
    </row>
    <row r="139" spans="1:12" ht="48.75" x14ac:dyDescent="0.25">
      <c r="A139" s="4" t="s">
        <v>5515</v>
      </c>
      <c r="B139" s="2" t="s">
        <v>599</v>
      </c>
      <c r="C139" s="3">
        <v>1</v>
      </c>
      <c r="D139" s="5">
        <v>37.130000000000003</v>
      </c>
      <c r="E139" s="3" t="s">
        <v>600</v>
      </c>
      <c r="F139" s="2" t="s">
        <v>125</v>
      </c>
      <c r="G139" s="6" t="s">
        <v>156</v>
      </c>
      <c r="H139" s="2" t="s">
        <v>194</v>
      </c>
      <c r="I139" s="2" t="s">
        <v>195</v>
      </c>
      <c r="J139" s="2" t="s">
        <v>19</v>
      </c>
      <c r="K139" s="2" t="s">
        <v>601</v>
      </c>
      <c r="L139" s="7" t="str">
        <f>HYPERLINK("http://slimages.macys.com/is/image/MCY/12734338 ")</f>
        <v xml:space="preserve">http://slimages.macys.com/is/image/MCY/12734338 </v>
      </c>
    </row>
    <row r="140" spans="1:12" ht="24.75" x14ac:dyDescent="0.25">
      <c r="A140" s="4" t="s">
        <v>2343</v>
      </c>
      <c r="B140" s="2" t="s">
        <v>606</v>
      </c>
      <c r="C140" s="3">
        <v>2</v>
      </c>
      <c r="D140" s="5">
        <v>37.130000000000003</v>
      </c>
      <c r="E140" s="3">
        <v>100054430</v>
      </c>
      <c r="F140" s="2" t="s">
        <v>15</v>
      </c>
      <c r="G140" s="6" t="s">
        <v>58</v>
      </c>
      <c r="H140" s="2" t="s">
        <v>194</v>
      </c>
      <c r="I140" s="2" t="s">
        <v>503</v>
      </c>
      <c r="J140" s="2" t="s">
        <v>19</v>
      </c>
      <c r="K140" s="2" t="s">
        <v>607</v>
      </c>
      <c r="L140" s="7" t="str">
        <f>HYPERLINK("http://slimages.macys.com/is/image/MCY/12063680 ")</f>
        <v xml:space="preserve">http://slimages.macys.com/is/image/MCY/12063680 </v>
      </c>
    </row>
    <row r="141" spans="1:12" ht="24.75" x14ac:dyDescent="0.25">
      <c r="A141" s="4" t="s">
        <v>9391</v>
      </c>
      <c r="B141" s="2" t="s">
        <v>606</v>
      </c>
      <c r="C141" s="3">
        <v>1</v>
      </c>
      <c r="D141" s="5">
        <v>37.130000000000003</v>
      </c>
      <c r="E141" s="3">
        <v>100054430</v>
      </c>
      <c r="F141" s="2" t="s">
        <v>15</v>
      </c>
      <c r="G141" s="6" t="s">
        <v>106</v>
      </c>
      <c r="H141" s="2" t="s">
        <v>194</v>
      </c>
      <c r="I141" s="2" t="s">
        <v>503</v>
      </c>
      <c r="J141" s="2" t="s">
        <v>19</v>
      </c>
      <c r="K141" s="2" t="s">
        <v>607</v>
      </c>
      <c r="L141" s="7" t="str">
        <f>HYPERLINK("http://slimages.macys.com/is/image/MCY/12063680 ")</f>
        <v xml:space="preserve">http://slimages.macys.com/is/image/MCY/12063680 </v>
      </c>
    </row>
    <row r="142" spans="1:12" ht="24.75" x14ac:dyDescent="0.25">
      <c r="A142" s="4" t="s">
        <v>2344</v>
      </c>
      <c r="B142" s="2" t="s">
        <v>606</v>
      </c>
      <c r="C142" s="3">
        <v>2</v>
      </c>
      <c r="D142" s="5">
        <v>37.130000000000003</v>
      </c>
      <c r="E142" s="3">
        <v>100054430</v>
      </c>
      <c r="F142" s="2" t="s">
        <v>15</v>
      </c>
      <c r="G142" s="6" t="s">
        <v>27</v>
      </c>
      <c r="H142" s="2" t="s">
        <v>194</v>
      </c>
      <c r="I142" s="2" t="s">
        <v>503</v>
      </c>
      <c r="J142" s="2" t="s">
        <v>19</v>
      </c>
      <c r="K142" s="2" t="s">
        <v>607</v>
      </c>
      <c r="L142" s="7" t="str">
        <f>HYPERLINK("http://slimages.macys.com/is/image/MCY/12063680 ")</f>
        <v xml:space="preserve">http://slimages.macys.com/is/image/MCY/12063680 </v>
      </c>
    </row>
    <row r="143" spans="1:12" ht="24.75" x14ac:dyDescent="0.25">
      <c r="A143" s="4" t="s">
        <v>5519</v>
      </c>
      <c r="B143" s="2" t="s">
        <v>609</v>
      </c>
      <c r="C143" s="3">
        <v>1</v>
      </c>
      <c r="D143" s="5">
        <v>44.63</v>
      </c>
      <c r="E143" s="3">
        <v>100015690</v>
      </c>
      <c r="F143" s="2" t="s">
        <v>74</v>
      </c>
      <c r="G143" s="6" t="s">
        <v>181</v>
      </c>
      <c r="H143" s="2" t="s">
        <v>194</v>
      </c>
      <c r="I143" s="2" t="s">
        <v>195</v>
      </c>
      <c r="J143" s="2" t="s">
        <v>19</v>
      </c>
      <c r="K143" s="2" t="s">
        <v>610</v>
      </c>
      <c r="L143" s="7" t="str">
        <f>HYPERLINK("http://slimages.macys.com/is/image/MCY/9508600 ")</f>
        <v xml:space="preserve">http://slimages.macys.com/is/image/MCY/9508600 </v>
      </c>
    </row>
    <row r="144" spans="1:12" ht="36.75" x14ac:dyDescent="0.25">
      <c r="A144" s="4" t="s">
        <v>6389</v>
      </c>
      <c r="B144" s="2" t="s">
        <v>6390</v>
      </c>
      <c r="C144" s="3">
        <v>1</v>
      </c>
      <c r="D144" s="5">
        <v>40.880000000000003</v>
      </c>
      <c r="E144" s="3">
        <v>100016238</v>
      </c>
      <c r="F144" s="2" t="s">
        <v>33</v>
      </c>
      <c r="G144" s="6" t="s">
        <v>154</v>
      </c>
      <c r="H144" s="2" t="s">
        <v>194</v>
      </c>
      <c r="I144" s="2" t="s">
        <v>195</v>
      </c>
      <c r="J144" s="2" t="s">
        <v>19</v>
      </c>
      <c r="K144" s="2" t="s">
        <v>6391</v>
      </c>
      <c r="L144" s="7" t="str">
        <f>HYPERLINK("http://slimages.macys.com/is/image/MCY/9577018 ")</f>
        <v xml:space="preserve">http://slimages.macys.com/is/image/MCY/9577018 </v>
      </c>
    </row>
    <row r="145" spans="1:12" ht="36.75" x14ac:dyDescent="0.25">
      <c r="A145" s="4" t="s">
        <v>9392</v>
      </c>
      <c r="B145" s="2" t="s">
        <v>6390</v>
      </c>
      <c r="C145" s="3">
        <v>1</v>
      </c>
      <c r="D145" s="5">
        <v>40.880000000000003</v>
      </c>
      <c r="E145" s="3">
        <v>100016238</v>
      </c>
      <c r="F145" s="2" t="s">
        <v>33</v>
      </c>
      <c r="G145" s="6" t="s">
        <v>181</v>
      </c>
      <c r="H145" s="2" t="s">
        <v>194</v>
      </c>
      <c r="I145" s="2" t="s">
        <v>195</v>
      </c>
      <c r="J145" s="2" t="s">
        <v>19</v>
      </c>
      <c r="K145" s="2" t="s">
        <v>6391</v>
      </c>
      <c r="L145" s="7" t="str">
        <f>HYPERLINK("http://slimages.macys.com/is/image/MCY/9577018 ")</f>
        <v xml:space="preserve">http://slimages.macys.com/is/image/MCY/9577018 </v>
      </c>
    </row>
    <row r="146" spans="1:12" ht="24.75" x14ac:dyDescent="0.25">
      <c r="A146" s="4" t="s">
        <v>9393</v>
      </c>
      <c r="B146" s="2" t="s">
        <v>612</v>
      </c>
      <c r="C146" s="3">
        <v>1</v>
      </c>
      <c r="D146" s="5">
        <v>37.130000000000003</v>
      </c>
      <c r="E146" s="3">
        <v>100042366</v>
      </c>
      <c r="F146" s="2" t="s">
        <v>111</v>
      </c>
      <c r="G146" s="6" t="s">
        <v>245</v>
      </c>
      <c r="H146" s="2" t="s">
        <v>194</v>
      </c>
      <c r="I146" s="2" t="s">
        <v>195</v>
      </c>
      <c r="J146" s="2" t="s">
        <v>19</v>
      </c>
      <c r="K146" s="2" t="s">
        <v>546</v>
      </c>
      <c r="L146" s="7" t="str">
        <f>HYPERLINK("http://slimages.macys.com/is/image/MCY/12734278 ")</f>
        <v xml:space="preserve">http://slimages.macys.com/is/image/MCY/12734278 </v>
      </c>
    </row>
    <row r="147" spans="1:12" ht="24.75" x14ac:dyDescent="0.25">
      <c r="A147" s="4" t="s">
        <v>611</v>
      </c>
      <c r="B147" s="2" t="s">
        <v>612</v>
      </c>
      <c r="C147" s="3">
        <v>2</v>
      </c>
      <c r="D147" s="5">
        <v>37.130000000000003</v>
      </c>
      <c r="E147" s="3">
        <v>100042366</v>
      </c>
      <c r="F147" s="2" t="s">
        <v>111</v>
      </c>
      <c r="G147" s="6" t="s">
        <v>234</v>
      </c>
      <c r="H147" s="2" t="s">
        <v>194</v>
      </c>
      <c r="I147" s="2" t="s">
        <v>195</v>
      </c>
      <c r="J147" s="2" t="s">
        <v>19</v>
      </c>
      <c r="K147" s="2" t="s">
        <v>546</v>
      </c>
      <c r="L147" s="7" t="str">
        <f>HYPERLINK("http://slimages.macys.com/is/image/MCY/12734278 ")</f>
        <v xml:space="preserve">http://slimages.macys.com/is/image/MCY/12734278 </v>
      </c>
    </row>
    <row r="148" spans="1:12" ht="24.75" x14ac:dyDescent="0.25">
      <c r="A148" s="4" t="s">
        <v>8970</v>
      </c>
      <c r="B148" s="2" t="s">
        <v>612</v>
      </c>
      <c r="C148" s="3">
        <v>1</v>
      </c>
      <c r="D148" s="5">
        <v>37.130000000000003</v>
      </c>
      <c r="E148" s="3">
        <v>100042366</v>
      </c>
      <c r="F148" s="2" t="s">
        <v>111</v>
      </c>
      <c r="G148" s="6" t="s">
        <v>200</v>
      </c>
      <c r="H148" s="2" t="s">
        <v>194</v>
      </c>
      <c r="I148" s="2" t="s">
        <v>195</v>
      </c>
      <c r="J148" s="2" t="s">
        <v>19</v>
      </c>
      <c r="K148" s="2" t="s">
        <v>546</v>
      </c>
      <c r="L148" s="7" t="str">
        <f>HYPERLINK("http://slimages.macys.com/is/image/MCY/12734278 ")</f>
        <v xml:space="preserve">http://slimages.macys.com/is/image/MCY/12734278 </v>
      </c>
    </row>
    <row r="149" spans="1:12" ht="24.75" x14ac:dyDescent="0.25">
      <c r="A149" s="4" t="s">
        <v>5521</v>
      </c>
      <c r="B149" s="2" t="s">
        <v>612</v>
      </c>
      <c r="C149" s="3">
        <v>1</v>
      </c>
      <c r="D149" s="5">
        <v>37.130000000000003</v>
      </c>
      <c r="E149" s="3">
        <v>100042366</v>
      </c>
      <c r="F149" s="2" t="s">
        <v>111</v>
      </c>
      <c r="G149" s="6" t="s">
        <v>154</v>
      </c>
      <c r="H149" s="2" t="s">
        <v>194</v>
      </c>
      <c r="I149" s="2" t="s">
        <v>195</v>
      </c>
      <c r="J149" s="2" t="s">
        <v>19</v>
      </c>
      <c r="K149" s="2" t="s">
        <v>546</v>
      </c>
      <c r="L149" s="7" t="str">
        <f>HYPERLINK("http://slimages.macys.com/is/image/MCY/12734278 ")</f>
        <v xml:space="preserve">http://slimages.macys.com/is/image/MCY/12734278 </v>
      </c>
    </row>
    <row r="150" spans="1:12" ht="24.75" x14ac:dyDescent="0.25">
      <c r="A150" s="4" t="s">
        <v>2348</v>
      </c>
      <c r="B150" s="2" t="s">
        <v>612</v>
      </c>
      <c r="C150" s="3">
        <v>2</v>
      </c>
      <c r="D150" s="5">
        <v>37.130000000000003</v>
      </c>
      <c r="E150" s="3">
        <v>100042366</v>
      </c>
      <c r="F150" s="2" t="s">
        <v>111</v>
      </c>
      <c r="G150" s="6" t="s">
        <v>181</v>
      </c>
      <c r="H150" s="2" t="s">
        <v>194</v>
      </c>
      <c r="I150" s="2" t="s">
        <v>195</v>
      </c>
      <c r="J150" s="2" t="s">
        <v>19</v>
      </c>
      <c r="K150" s="2" t="s">
        <v>546</v>
      </c>
      <c r="L150" s="7" t="str">
        <f>HYPERLINK("http://slimages.macys.com/is/image/MCY/12734278 ")</f>
        <v xml:space="preserve">http://slimages.macys.com/is/image/MCY/12734278 </v>
      </c>
    </row>
    <row r="151" spans="1:12" ht="24.75" x14ac:dyDescent="0.25">
      <c r="A151" s="4" t="s">
        <v>619</v>
      </c>
      <c r="B151" s="2" t="s">
        <v>617</v>
      </c>
      <c r="C151" s="3">
        <v>1</v>
      </c>
      <c r="D151" s="5">
        <v>44.63</v>
      </c>
      <c r="E151" s="3">
        <v>100054444</v>
      </c>
      <c r="F151" s="2" t="s">
        <v>111</v>
      </c>
      <c r="G151" s="6" t="s">
        <v>234</v>
      </c>
      <c r="H151" s="2" t="s">
        <v>194</v>
      </c>
      <c r="I151" s="2" t="s">
        <v>195</v>
      </c>
      <c r="J151" s="2" t="s">
        <v>19</v>
      </c>
      <c r="K151" s="2" t="s">
        <v>546</v>
      </c>
      <c r="L151" s="7" t="str">
        <f>HYPERLINK("http://slimages.macys.com/is/image/MCY/12279794 ")</f>
        <v xml:space="preserve">http://slimages.macys.com/is/image/MCY/12279794 </v>
      </c>
    </row>
    <row r="152" spans="1:12" ht="24.75" x14ac:dyDescent="0.25">
      <c r="A152" s="4" t="s">
        <v>9394</v>
      </c>
      <c r="B152" s="2" t="s">
        <v>9395</v>
      </c>
      <c r="C152" s="3">
        <v>1</v>
      </c>
      <c r="D152" s="5">
        <v>59.5</v>
      </c>
      <c r="E152" s="3" t="s">
        <v>9396</v>
      </c>
      <c r="F152" s="2" t="s">
        <v>15</v>
      </c>
      <c r="G152" s="6"/>
      <c r="H152" s="2" t="s">
        <v>127</v>
      </c>
      <c r="I152" s="2" t="s">
        <v>128</v>
      </c>
      <c r="J152" s="2" t="s">
        <v>19</v>
      </c>
      <c r="K152" s="2" t="s">
        <v>610</v>
      </c>
      <c r="L152" s="7" t="str">
        <f>HYPERLINK("http://slimages.macys.com/is/image/MCY/13384614 ")</f>
        <v xml:space="preserve">http://slimages.macys.com/is/image/MCY/13384614 </v>
      </c>
    </row>
    <row r="153" spans="1:12" ht="24.75" x14ac:dyDescent="0.25">
      <c r="A153" s="4" t="s">
        <v>9397</v>
      </c>
      <c r="B153" s="2" t="s">
        <v>606</v>
      </c>
      <c r="C153" s="3">
        <v>1</v>
      </c>
      <c r="D153" s="5">
        <v>37.130000000000003</v>
      </c>
      <c r="E153" s="3" t="s">
        <v>8972</v>
      </c>
      <c r="F153" s="2" t="s">
        <v>26</v>
      </c>
      <c r="G153" s="6" t="s">
        <v>934</v>
      </c>
      <c r="H153" s="2" t="s">
        <v>312</v>
      </c>
      <c r="I153" s="2" t="s">
        <v>503</v>
      </c>
      <c r="J153" s="2" t="s">
        <v>19</v>
      </c>
      <c r="K153" s="2" t="s">
        <v>607</v>
      </c>
      <c r="L153" s="7" t="str">
        <f>HYPERLINK("http://slimages.macys.com/is/image/MCY/12063684 ")</f>
        <v xml:space="preserve">http://slimages.macys.com/is/image/MCY/12063684 </v>
      </c>
    </row>
    <row r="154" spans="1:12" ht="24.75" x14ac:dyDescent="0.25">
      <c r="A154" s="4" t="s">
        <v>9398</v>
      </c>
      <c r="B154" s="2" t="s">
        <v>4610</v>
      </c>
      <c r="C154" s="3">
        <v>1</v>
      </c>
      <c r="D154" s="5">
        <v>69.5</v>
      </c>
      <c r="E154" s="3">
        <v>100061462</v>
      </c>
      <c r="F154" s="2" t="s">
        <v>64</v>
      </c>
      <c r="G154" s="6" t="s">
        <v>112</v>
      </c>
      <c r="H154" s="2" t="s">
        <v>386</v>
      </c>
      <c r="I154" s="2" t="s">
        <v>207</v>
      </c>
      <c r="J154" s="2" t="s">
        <v>19</v>
      </c>
      <c r="K154" s="2" t="s">
        <v>338</v>
      </c>
      <c r="L154" s="7" t="str">
        <f>HYPERLINK("http://slimages.macys.com/is/image/MCY/11943173 ")</f>
        <v xml:space="preserve">http://slimages.macys.com/is/image/MCY/11943173 </v>
      </c>
    </row>
    <row r="155" spans="1:12" ht="24.75" x14ac:dyDescent="0.25">
      <c r="A155" s="4" t="s">
        <v>8534</v>
      </c>
      <c r="B155" s="2" t="s">
        <v>2351</v>
      </c>
      <c r="C155" s="3">
        <v>1</v>
      </c>
      <c r="D155" s="5">
        <v>37.130000000000003</v>
      </c>
      <c r="E155" s="3" t="s">
        <v>2352</v>
      </c>
      <c r="F155" s="2" t="s">
        <v>417</v>
      </c>
      <c r="G155" s="6" t="s">
        <v>154</v>
      </c>
      <c r="H155" s="2" t="s">
        <v>194</v>
      </c>
      <c r="I155" s="2" t="s">
        <v>195</v>
      </c>
      <c r="J155" s="2" t="s">
        <v>19</v>
      </c>
      <c r="K155" s="2" t="s">
        <v>438</v>
      </c>
      <c r="L155" s="7" t="str">
        <f>HYPERLINK("http://slimages.macys.com/is/image/MCY/12667948 ")</f>
        <v xml:space="preserve">http://slimages.macys.com/is/image/MCY/12667948 </v>
      </c>
    </row>
    <row r="156" spans="1:12" ht="24.75" x14ac:dyDescent="0.25">
      <c r="A156" s="4" t="s">
        <v>3481</v>
      </c>
      <c r="B156" s="2" t="s">
        <v>2351</v>
      </c>
      <c r="C156" s="3">
        <v>1</v>
      </c>
      <c r="D156" s="5">
        <v>37.130000000000003</v>
      </c>
      <c r="E156" s="3" t="s">
        <v>2352</v>
      </c>
      <c r="F156" s="2" t="s">
        <v>111</v>
      </c>
      <c r="G156" s="6" t="s">
        <v>200</v>
      </c>
      <c r="H156" s="2" t="s">
        <v>194</v>
      </c>
      <c r="I156" s="2" t="s">
        <v>195</v>
      </c>
      <c r="J156" s="2" t="s">
        <v>19</v>
      </c>
      <c r="K156" s="2" t="s">
        <v>438</v>
      </c>
      <c r="L156" s="7" t="str">
        <f>HYPERLINK("http://slimages.macys.com/is/image/MCY/12667948 ")</f>
        <v xml:space="preserve">http://slimages.macys.com/is/image/MCY/12667948 </v>
      </c>
    </row>
    <row r="157" spans="1:12" ht="24.75" x14ac:dyDescent="0.25">
      <c r="A157" s="4" t="s">
        <v>9399</v>
      </c>
      <c r="B157" s="2" t="s">
        <v>5504</v>
      </c>
      <c r="C157" s="3">
        <v>1</v>
      </c>
      <c r="D157" s="5">
        <v>37.130000000000003</v>
      </c>
      <c r="E157" s="3" t="s">
        <v>9400</v>
      </c>
      <c r="F157" s="2" t="s">
        <v>26</v>
      </c>
      <c r="G157" s="6" t="s">
        <v>234</v>
      </c>
      <c r="H157" s="2" t="s">
        <v>284</v>
      </c>
      <c r="I157" s="2" t="s">
        <v>285</v>
      </c>
      <c r="J157" s="2" t="s">
        <v>19</v>
      </c>
      <c r="K157" s="2" t="s">
        <v>137</v>
      </c>
      <c r="L157" s="7" t="str">
        <f>HYPERLINK("http://slimages.macys.com/is/image/MCY/11708221 ")</f>
        <v xml:space="preserve">http://slimages.macys.com/is/image/MCY/11708221 </v>
      </c>
    </row>
    <row r="158" spans="1:12" ht="24.75" x14ac:dyDescent="0.25">
      <c r="A158" s="4" t="s">
        <v>9401</v>
      </c>
      <c r="B158" s="2" t="s">
        <v>5504</v>
      </c>
      <c r="C158" s="3">
        <v>2</v>
      </c>
      <c r="D158" s="5">
        <v>37.130000000000003</v>
      </c>
      <c r="E158" s="3" t="s">
        <v>9400</v>
      </c>
      <c r="F158" s="2" t="s">
        <v>26</v>
      </c>
      <c r="G158" s="6" t="s">
        <v>181</v>
      </c>
      <c r="H158" s="2" t="s">
        <v>284</v>
      </c>
      <c r="I158" s="2" t="s">
        <v>285</v>
      </c>
      <c r="J158" s="2" t="s">
        <v>19</v>
      </c>
      <c r="K158" s="2" t="s">
        <v>137</v>
      </c>
      <c r="L158" s="7" t="str">
        <f>HYPERLINK("http://slimages.macys.com/is/image/MCY/11708221 ")</f>
        <v xml:space="preserve">http://slimages.macys.com/is/image/MCY/11708221 </v>
      </c>
    </row>
    <row r="159" spans="1:12" ht="24.75" x14ac:dyDescent="0.25">
      <c r="A159" s="4" t="s">
        <v>9402</v>
      </c>
      <c r="B159" s="2" t="s">
        <v>635</v>
      </c>
      <c r="C159" s="3">
        <v>1</v>
      </c>
      <c r="D159" s="5">
        <v>44.5</v>
      </c>
      <c r="E159" s="3" t="s">
        <v>636</v>
      </c>
      <c r="F159" s="2" t="s">
        <v>417</v>
      </c>
      <c r="G159" s="6" t="s">
        <v>141</v>
      </c>
      <c r="H159" s="2" t="s">
        <v>213</v>
      </c>
      <c r="I159" s="2" t="s">
        <v>214</v>
      </c>
      <c r="J159" s="2" t="s">
        <v>19</v>
      </c>
      <c r="K159" s="2" t="s">
        <v>253</v>
      </c>
      <c r="L159" s="7" t="str">
        <f>HYPERLINK("http://slimages.macys.com/is/image/MCY/8486169 ")</f>
        <v xml:space="preserve">http://slimages.macys.com/is/image/MCY/8486169 </v>
      </c>
    </row>
    <row r="160" spans="1:12" ht="24.75" x14ac:dyDescent="0.25">
      <c r="A160" s="4" t="s">
        <v>9403</v>
      </c>
      <c r="B160" s="2" t="s">
        <v>9404</v>
      </c>
      <c r="C160" s="3">
        <v>1</v>
      </c>
      <c r="D160" s="5">
        <v>37.130000000000003</v>
      </c>
      <c r="E160" s="3" t="s">
        <v>9405</v>
      </c>
      <c r="F160" s="2" t="s">
        <v>74</v>
      </c>
      <c r="G160" s="6"/>
      <c r="H160" s="2" t="s">
        <v>632</v>
      </c>
      <c r="I160" s="2" t="s">
        <v>408</v>
      </c>
      <c r="J160" s="2" t="s">
        <v>19</v>
      </c>
      <c r="K160" s="2" t="s">
        <v>409</v>
      </c>
      <c r="L160" s="7" t="str">
        <f>HYPERLINK("http://slimages.macys.com/is/image/MCY/13533869 ")</f>
        <v xml:space="preserve">http://slimages.macys.com/is/image/MCY/13533869 </v>
      </c>
    </row>
    <row r="161" spans="1:12" ht="36.75" x14ac:dyDescent="0.25">
      <c r="A161" s="4" t="s">
        <v>9406</v>
      </c>
      <c r="B161" s="2" t="s">
        <v>5538</v>
      </c>
      <c r="C161" s="3">
        <v>1</v>
      </c>
      <c r="D161" s="5">
        <v>37.130000000000003</v>
      </c>
      <c r="E161" s="3" t="s">
        <v>5539</v>
      </c>
      <c r="F161" s="2" t="s">
        <v>26</v>
      </c>
      <c r="G161" s="6" t="s">
        <v>154</v>
      </c>
      <c r="H161" s="2" t="s">
        <v>284</v>
      </c>
      <c r="I161" s="2" t="s">
        <v>408</v>
      </c>
      <c r="J161" s="2" t="s">
        <v>19</v>
      </c>
      <c r="K161" s="2" t="s">
        <v>5540</v>
      </c>
      <c r="L161" s="7" t="str">
        <f>HYPERLINK("http://slimages.macys.com/is/image/MCY/12343099 ")</f>
        <v xml:space="preserve">http://slimages.macys.com/is/image/MCY/12343099 </v>
      </c>
    </row>
    <row r="162" spans="1:12" ht="24.75" x14ac:dyDescent="0.25">
      <c r="A162" s="4" t="s">
        <v>9407</v>
      </c>
      <c r="B162" s="2" t="s">
        <v>646</v>
      </c>
      <c r="C162" s="3">
        <v>1</v>
      </c>
      <c r="D162" s="5">
        <v>39.5</v>
      </c>
      <c r="E162" s="3" t="s">
        <v>647</v>
      </c>
      <c r="F162" s="2" t="s">
        <v>33</v>
      </c>
      <c r="G162" s="6" t="s">
        <v>156</v>
      </c>
      <c r="H162" s="2" t="s">
        <v>194</v>
      </c>
      <c r="I162" s="2" t="s">
        <v>195</v>
      </c>
      <c r="J162" s="2" t="s">
        <v>19</v>
      </c>
      <c r="K162" s="2" t="s">
        <v>648</v>
      </c>
      <c r="L162" s="7" t="str">
        <f>HYPERLINK("http://slimages.macys.com/is/image/MCY/12404939 ")</f>
        <v xml:space="preserve">http://slimages.macys.com/is/image/MCY/12404939 </v>
      </c>
    </row>
    <row r="163" spans="1:12" ht="24.75" x14ac:dyDescent="0.25">
      <c r="A163" s="4" t="s">
        <v>649</v>
      </c>
      <c r="B163" s="2" t="s">
        <v>650</v>
      </c>
      <c r="C163" s="3">
        <v>3</v>
      </c>
      <c r="D163" s="5">
        <v>44.63</v>
      </c>
      <c r="E163" s="3" t="s">
        <v>651</v>
      </c>
      <c r="F163" s="2" t="s">
        <v>74</v>
      </c>
      <c r="G163" s="6" t="s">
        <v>181</v>
      </c>
      <c r="H163" s="2" t="s">
        <v>194</v>
      </c>
      <c r="I163" s="2" t="s">
        <v>580</v>
      </c>
      <c r="J163" s="2" t="s">
        <v>19</v>
      </c>
      <c r="K163" s="2" t="s">
        <v>247</v>
      </c>
      <c r="L163" s="7" t="str">
        <f>HYPERLINK("http://slimages.macys.com/is/image/MCY/12316645 ")</f>
        <v xml:space="preserve">http://slimages.macys.com/is/image/MCY/12316645 </v>
      </c>
    </row>
    <row r="164" spans="1:12" ht="24.75" x14ac:dyDescent="0.25">
      <c r="A164" s="4" t="s">
        <v>9408</v>
      </c>
      <c r="B164" s="2" t="s">
        <v>650</v>
      </c>
      <c r="C164" s="3">
        <v>1</v>
      </c>
      <c r="D164" s="5">
        <v>44.63</v>
      </c>
      <c r="E164" s="3" t="s">
        <v>651</v>
      </c>
      <c r="F164" s="2" t="s">
        <v>74</v>
      </c>
      <c r="G164" s="6" t="s">
        <v>234</v>
      </c>
      <c r="H164" s="2" t="s">
        <v>194</v>
      </c>
      <c r="I164" s="2" t="s">
        <v>580</v>
      </c>
      <c r="J164" s="2" t="s">
        <v>19</v>
      </c>
      <c r="K164" s="2" t="s">
        <v>247</v>
      </c>
      <c r="L164" s="7" t="str">
        <f>HYPERLINK("http://slimages.macys.com/is/image/MCY/12316645 ")</f>
        <v xml:space="preserve">http://slimages.macys.com/is/image/MCY/12316645 </v>
      </c>
    </row>
    <row r="165" spans="1:12" ht="24.75" x14ac:dyDescent="0.25">
      <c r="A165" s="4" t="s">
        <v>9409</v>
      </c>
      <c r="B165" s="2" t="s">
        <v>650</v>
      </c>
      <c r="C165" s="3">
        <v>1</v>
      </c>
      <c r="D165" s="5">
        <v>44.63</v>
      </c>
      <c r="E165" s="3" t="s">
        <v>651</v>
      </c>
      <c r="F165" s="2" t="s">
        <v>74</v>
      </c>
      <c r="G165" s="6" t="s">
        <v>156</v>
      </c>
      <c r="H165" s="2" t="s">
        <v>194</v>
      </c>
      <c r="I165" s="2" t="s">
        <v>580</v>
      </c>
      <c r="J165" s="2" t="s">
        <v>19</v>
      </c>
      <c r="K165" s="2" t="s">
        <v>247</v>
      </c>
      <c r="L165" s="7" t="str">
        <f>HYPERLINK("http://slimages.macys.com/is/image/MCY/12316645 ")</f>
        <v xml:space="preserve">http://slimages.macys.com/is/image/MCY/12316645 </v>
      </c>
    </row>
    <row r="166" spans="1:12" ht="24.75" x14ac:dyDescent="0.25">
      <c r="A166" s="4" t="s">
        <v>9410</v>
      </c>
      <c r="B166" s="2" t="s">
        <v>650</v>
      </c>
      <c r="C166" s="3">
        <v>3</v>
      </c>
      <c r="D166" s="5">
        <v>44.63</v>
      </c>
      <c r="E166" s="3" t="s">
        <v>651</v>
      </c>
      <c r="F166" s="2" t="s">
        <v>74</v>
      </c>
      <c r="G166" s="6" t="s">
        <v>154</v>
      </c>
      <c r="H166" s="2" t="s">
        <v>194</v>
      </c>
      <c r="I166" s="2" t="s">
        <v>580</v>
      </c>
      <c r="J166" s="2" t="s">
        <v>19</v>
      </c>
      <c r="K166" s="2" t="s">
        <v>247</v>
      </c>
      <c r="L166" s="7" t="str">
        <f>HYPERLINK("http://slimages.macys.com/is/image/MCY/12316645 ")</f>
        <v xml:space="preserve">http://slimages.macys.com/is/image/MCY/12316645 </v>
      </c>
    </row>
    <row r="167" spans="1:12" ht="24.75" x14ac:dyDescent="0.25">
      <c r="A167" s="4" t="s">
        <v>6402</v>
      </c>
      <c r="B167" s="2" t="s">
        <v>4617</v>
      </c>
      <c r="C167" s="3">
        <v>1</v>
      </c>
      <c r="D167" s="5">
        <v>40.880000000000003</v>
      </c>
      <c r="E167" s="3" t="s">
        <v>6403</v>
      </c>
      <c r="F167" s="2" t="s">
        <v>413</v>
      </c>
      <c r="G167" s="6"/>
      <c r="H167" s="2" t="s">
        <v>312</v>
      </c>
      <c r="I167" s="2" t="s">
        <v>195</v>
      </c>
      <c r="J167" s="2" t="s">
        <v>19</v>
      </c>
      <c r="K167" s="2" t="s">
        <v>6404</v>
      </c>
      <c r="L167" s="7" t="str">
        <f>HYPERLINK("http://slimages.macys.com/is/image/MCY/12404897 ")</f>
        <v xml:space="preserve">http://slimages.macys.com/is/image/MCY/12404897 </v>
      </c>
    </row>
    <row r="168" spans="1:12" ht="24.75" x14ac:dyDescent="0.25">
      <c r="A168" s="4" t="s">
        <v>9411</v>
      </c>
      <c r="B168" s="2" t="s">
        <v>4617</v>
      </c>
      <c r="C168" s="3">
        <v>2</v>
      </c>
      <c r="D168" s="5">
        <v>40.880000000000003</v>
      </c>
      <c r="E168" s="3" t="s">
        <v>6403</v>
      </c>
      <c r="F168" s="2" t="s">
        <v>413</v>
      </c>
      <c r="G168" s="6"/>
      <c r="H168" s="2" t="s">
        <v>312</v>
      </c>
      <c r="I168" s="2" t="s">
        <v>195</v>
      </c>
      <c r="J168" s="2" t="s">
        <v>19</v>
      </c>
      <c r="K168" s="2" t="s">
        <v>6404</v>
      </c>
      <c r="L168" s="7" t="str">
        <f>HYPERLINK("http://slimages.macys.com/is/image/MCY/12404897 ")</f>
        <v xml:space="preserve">http://slimages.macys.com/is/image/MCY/12404897 </v>
      </c>
    </row>
    <row r="169" spans="1:12" ht="24.75" x14ac:dyDescent="0.25">
      <c r="A169" s="4" t="s">
        <v>9412</v>
      </c>
      <c r="B169" s="2" t="s">
        <v>4617</v>
      </c>
      <c r="C169" s="3">
        <v>1</v>
      </c>
      <c r="D169" s="5">
        <v>40.880000000000003</v>
      </c>
      <c r="E169" s="3" t="s">
        <v>6403</v>
      </c>
      <c r="F169" s="2" t="s">
        <v>413</v>
      </c>
      <c r="G169" s="6"/>
      <c r="H169" s="2" t="s">
        <v>312</v>
      </c>
      <c r="I169" s="2" t="s">
        <v>195</v>
      </c>
      <c r="J169" s="2" t="s">
        <v>19</v>
      </c>
      <c r="K169" s="2" t="s">
        <v>6404</v>
      </c>
      <c r="L169" s="7" t="str">
        <f>HYPERLINK("http://slimages.macys.com/is/image/MCY/12404897 ")</f>
        <v xml:space="preserve">http://slimages.macys.com/is/image/MCY/12404897 </v>
      </c>
    </row>
    <row r="170" spans="1:12" ht="24.75" x14ac:dyDescent="0.25">
      <c r="A170" s="4" t="s">
        <v>3505</v>
      </c>
      <c r="B170" s="2" t="s">
        <v>3506</v>
      </c>
      <c r="C170" s="3">
        <v>1</v>
      </c>
      <c r="D170" s="5">
        <v>41.65</v>
      </c>
      <c r="E170" s="3" t="s">
        <v>3507</v>
      </c>
      <c r="F170" s="2" t="s">
        <v>26</v>
      </c>
      <c r="G170" s="6" t="s">
        <v>154</v>
      </c>
      <c r="H170" s="2" t="s">
        <v>182</v>
      </c>
      <c r="I170" s="2" t="s">
        <v>183</v>
      </c>
      <c r="J170" s="2" t="s">
        <v>19</v>
      </c>
      <c r="K170" s="2" t="s">
        <v>338</v>
      </c>
      <c r="L170" s="7" t="str">
        <f>HYPERLINK("http://slimages.macys.com/is/image/MCY/11833375 ")</f>
        <v xml:space="preserve">http://slimages.macys.com/is/image/MCY/11833375 </v>
      </c>
    </row>
    <row r="171" spans="1:12" ht="24.75" x14ac:dyDescent="0.25">
      <c r="A171" s="4" t="s">
        <v>9413</v>
      </c>
      <c r="B171" s="2" t="s">
        <v>9414</v>
      </c>
      <c r="C171" s="3">
        <v>1</v>
      </c>
      <c r="D171" s="5">
        <v>40.880000000000003</v>
      </c>
      <c r="E171" s="3" t="s">
        <v>9415</v>
      </c>
      <c r="F171" s="2" t="s">
        <v>70</v>
      </c>
      <c r="G171" s="6" t="s">
        <v>234</v>
      </c>
      <c r="H171" s="2" t="s">
        <v>284</v>
      </c>
      <c r="I171" s="2" t="s">
        <v>285</v>
      </c>
      <c r="J171" s="2" t="s">
        <v>19</v>
      </c>
      <c r="K171" s="2" t="s">
        <v>5476</v>
      </c>
      <c r="L171" s="7" t="str">
        <f>HYPERLINK("http://slimages.macys.com/is/image/MCY/12230627 ")</f>
        <v xml:space="preserve">http://slimages.macys.com/is/image/MCY/12230627 </v>
      </c>
    </row>
    <row r="172" spans="1:12" ht="48.75" x14ac:dyDescent="0.25">
      <c r="A172" s="4" t="s">
        <v>9416</v>
      </c>
      <c r="B172" s="2" t="s">
        <v>2248</v>
      </c>
      <c r="C172" s="3">
        <v>1</v>
      </c>
      <c r="D172" s="5">
        <v>37.130000000000003</v>
      </c>
      <c r="E172" s="3" t="s">
        <v>7203</v>
      </c>
      <c r="F172" s="2" t="s">
        <v>64</v>
      </c>
      <c r="G172" s="6" t="s">
        <v>9417</v>
      </c>
      <c r="H172" s="2" t="s">
        <v>632</v>
      </c>
      <c r="I172" s="2" t="s">
        <v>408</v>
      </c>
      <c r="J172" s="2" t="s">
        <v>19</v>
      </c>
      <c r="K172" s="2" t="s">
        <v>787</v>
      </c>
      <c r="L172" s="7" t="str">
        <f>HYPERLINK("http://slimages.macys.com/is/image/MCY/11241401 ")</f>
        <v xml:space="preserve">http://slimages.macys.com/is/image/MCY/11241401 </v>
      </c>
    </row>
    <row r="173" spans="1:12" ht="24.75" x14ac:dyDescent="0.25">
      <c r="A173" s="4" t="s">
        <v>9418</v>
      </c>
      <c r="B173" s="2" t="s">
        <v>2496</v>
      </c>
      <c r="C173" s="3">
        <v>1</v>
      </c>
      <c r="D173" s="5">
        <v>37.130000000000003</v>
      </c>
      <c r="E173" s="3" t="s">
        <v>9419</v>
      </c>
      <c r="F173" s="2" t="s">
        <v>33</v>
      </c>
      <c r="G173" s="6" t="s">
        <v>245</v>
      </c>
      <c r="H173" s="2" t="s">
        <v>194</v>
      </c>
      <c r="I173" s="2" t="s">
        <v>503</v>
      </c>
      <c r="J173" s="2" t="s">
        <v>19</v>
      </c>
      <c r="K173" s="2" t="s">
        <v>546</v>
      </c>
      <c r="L173" s="7" t="str">
        <f>HYPERLINK("http://slimages.macys.com/is/image/MCY/12316768 ")</f>
        <v xml:space="preserve">http://slimages.macys.com/is/image/MCY/12316768 </v>
      </c>
    </row>
    <row r="174" spans="1:12" ht="24.75" x14ac:dyDescent="0.25">
      <c r="A174" s="4" t="s">
        <v>7204</v>
      </c>
      <c r="B174" s="2" t="s">
        <v>4631</v>
      </c>
      <c r="C174" s="3">
        <v>1</v>
      </c>
      <c r="D174" s="5">
        <v>40.880000000000003</v>
      </c>
      <c r="E174" s="3" t="s">
        <v>4632</v>
      </c>
      <c r="F174" s="2" t="s">
        <v>125</v>
      </c>
      <c r="G174" s="6" t="s">
        <v>234</v>
      </c>
      <c r="H174" s="2" t="s">
        <v>194</v>
      </c>
      <c r="I174" s="2" t="s">
        <v>195</v>
      </c>
      <c r="J174" s="2" t="s">
        <v>19</v>
      </c>
      <c r="K174" s="2" t="s">
        <v>107</v>
      </c>
      <c r="L174" s="7" t="str">
        <f>HYPERLINK("http://slimages.macys.com/is/image/MCY/12279952 ")</f>
        <v xml:space="preserve">http://slimages.macys.com/is/image/MCY/12279952 </v>
      </c>
    </row>
    <row r="175" spans="1:12" ht="24.75" x14ac:dyDescent="0.25">
      <c r="A175" s="4" t="s">
        <v>659</v>
      </c>
      <c r="B175" s="2" t="s">
        <v>660</v>
      </c>
      <c r="C175" s="3">
        <v>1</v>
      </c>
      <c r="D175" s="5">
        <v>37.130000000000003</v>
      </c>
      <c r="E175" s="3" t="s">
        <v>661</v>
      </c>
      <c r="F175" s="2" t="s">
        <v>33</v>
      </c>
      <c r="G175" s="6" t="s">
        <v>154</v>
      </c>
      <c r="H175" s="2" t="s">
        <v>194</v>
      </c>
      <c r="I175" s="2" t="s">
        <v>503</v>
      </c>
      <c r="J175" s="2" t="s">
        <v>19</v>
      </c>
      <c r="K175" s="2" t="s">
        <v>546</v>
      </c>
      <c r="L175" s="7" t="str">
        <f>HYPERLINK("http://slimages.macys.com/is/image/MCY/12316768 ")</f>
        <v xml:space="preserve">http://slimages.macys.com/is/image/MCY/12316768 </v>
      </c>
    </row>
    <row r="176" spans="1:12" ht="24.75" x14ac:dyDescent="0.25">
      <c r="A176" s="4" t="s">
        <v>662</v>
      </c>
      <c r="B176" s="2" t="s">
        <v>663</v>
      </c>
      <c r="C176" s="3">
        <v>1</v>
      </c>
      <c r="D176" s="5">
        <v>29.99</v>
      </c>
      <c r="E176" s="3" t="s">
        <v>664</v>
      </c>
      <c r="F176" s="2" t="s">
        <v>15</v>
      </c>
      <c r="G176" s="6" t="s">
        <v>154</v>
      </c>
      <c r="H176" s="2" t="s">
        <v>284</v>
      </c>
      <c r="I176" s="2" t="s">
        <v>408</v>
      </c>
      <c r="J176" s="2" t="s">
        <v>19</v>
      </c>
      <c r="K176" s="2" t="s">
        <v>409</v>
      </c>
      <c r="L176" s="7" t="str">
        <f>HYPERLINK("http://slimages.macys.com/is/image/MCY/13397153 ")</f>
        <v xml:space="preserve">http://slimages.macys.com/is/image/MCY/13397153 </v>
      </c>
    </row>
    <row r="177" spans="1:12" ht="24.75" x14ac:dyDescent="0.25">
      <c r="A177" s="4" t="s">
        <v>9420</v>
      </c>
      <c r="B177" s="2" t="s">
        <v>9421</v>
      </c>
      <c r="C177" s="3">
        <v>2</v>
      </c>
      <c r="D177" s="5">
        <v>37.130000000000003</v>
      </c>
      <c r="E177" s="3" t="s">
        <v>9422</v>
      </c>
      <c r="F177" s="2" t="s">
        <v>74</v>
      </c>
      <c r="G177" s="6" t="s">
        <v>348</v>
      </c>
      <c r="H177" s="2" t="s">
        <v>349</v>
      </c>
      <c r="I177" s="2" t="s">
        <v>285</v>
      </c>
      <c r="J177" s="2" t="s">
        <v>19</v>
      </c>
      <c r="K177" s="2" t="s">
        <v>160</v>
      </c>
      <c r="L177" s="7" t="str">
        <f>HYPERLINK("http://slimages.macys.com/is/image/MCY/11516511 ")</f>
        <v xml:space="preserve">http://slimages.macys.com/is/image/MCY/11516511 </v>
      </c>
    </row>
    <row r="178" spans="1:12" ht="24.75" x14ac:dyDescent="0.25">
      <c r="A178" s="4" t="s">
        <v>9423</v>
      </c>
      <c r="B178" s="2" t="s">
        <v>9424</v>
      </c>
      <c r="C178" s="3">
        <v>1</v>
      </c>
      <c r="D178" s="5">
        <v>40.880000000000003</v>
      </c>
      <c r="E178" s="3" t="s">
        <v>9425</v>
      </c>
      <c r="F178" s="2" t="s">
        <v>417</v>
      </c>
      <c r="G178" s="6"/>
      <c r="H178" s="2" t="s">
        <v>632</v>
      </c>
      <c r="I178" s="2" t="s">
        <v>285</v>
      </c>
      <c r="J178" s="2" t="s">
        <v>19</v>
      </c>
      <c r="K178" s="2" t="s">
        <v>160</v>
      </c>
      <c r="L178" s="7" t="str">
        <f>HYPERLINK("http://slimages.macys.com/is/image/MCY/12717165 ")</f>
        <v xml:space="preserve">http://slimages.macys.com/is/image/MCY/12717165 </v>
      </c>
    </row>
    <row r="179" spans="1:12" ht="24.75" x14ac:dyDescent="0.25">
      <c r="A179" s="4" t="s">
        <v>8989</v>
      </c>
      <c r="B179" s="2" t="s">
        <v>2331</v>
      </c>
      <c r="C179" s="3">
        <v>1</v>
      </c>
      <c r="D179" s="5">
        <v>51.5</v>
      </c>
      <c r="E179" s="3" t="s">
        <v>3456</v>
      </c>
      <c r="F179" s="2" t="s">
        <v>331</v>
      </c>
      <c r="G179" s="6" t="s">
        <v>181</v>
      </c>
      <c r="H179" s="2" t="s">
        <v>246</v>
      </c>
      <c r="I179" s="2" t="s">
        <v>189</v>
      </c>
      <c r="J179" s="2" t="s">
        <v>19</v>
      </c>
      <c r="K179" s="2" t="s">
        <v>1480</v>
      </c>
      <c r="L179" s="7" t="str">
        <f>HYPERLINK("http://slimages.macys.com/is/image/MCY/9910820 ")</f>
        <v xml:space="preserve">http://slimages.macys.com/is/image/MCY/9910820 </v>
      </c>
    </row>
    <row r="180" spans="1:12" ht="48.75" x14ac:dyDescent="0.25">
      <c r="A180" s="4" t="s">
        <v>4647</v>
      </c>
      <c r="B180" s="2" t="s">
        <v>432</v>
      </c>
      <c r="C180" s="3">
        <v>2</v>
      </c>
      <c r="D180" s="5">
        <v>37.130000000000003</v>
      </c>
      <c r="E180" s="3" t="s">
        <v>4646</v>
      </c>
      <c r="F180" s="2" t="s">
        <v>26</v>
      </c>
      <c r="G180" s="6" t="s">
        <v>154</v>
      </c>
      <c r="H180" s="2" t="s">
        <v>284</v>
      </c>
      <c r="I180" s="2" t="s">
        <v>408</v>
      </c>
      <c r="J180" s="2" t="s">
        <v>19</v>
      </c>
      <c r="K180" s="2" t="s">
        <v>775</v>
      </c>
      <c r="L180" s="7" t="str">
        <f>HYPERLINK("http://slimages.macys.com/is/image/MCY/12672509 ")</f>
        <v xml:space="preserve">http://slimages.macys.com/is/image/MCY/12672509 </v>
      </c>
    </row>
    <row r="181" spans="1:12" ht="24.75" x14ac:dyDescent="0.25">
      <c r="A181" s="4" t="s">
        <v>7954</v>
      </c>
      <c r="B181" s="2" t="s">
        <v>693</v>
      </c>
      <c r="C181" s="3">
        <v>1</v>
      </c>
      <c r="D181" s="5">
        <v>29.99</v>
      </c>
      <c r="E181" s="3" t="s">
        <v>7955</v>
      </c>
      <c r="F181" s="2" t="s">
        <v>331</v>
      </c>
      <c r="G181" s="6" t="s">
        <v>200</v>
      </c>
      <c r="H181" s="2" t="s">
        <v>284</v>
      </c>
      <c r="I181" s="2" t="s">
        <v>408</v>
      </c>
      <c r="J181" s="2" t="s">
        <v>19</v>
      </c>
      <c r="K181" s="2" t="s">
        <v>409</v>
      </c>
      <c r="L181" s="7" t="str">
        <f>HYPERLINK("http://slimages.macys.com/is/image/MCY/9387631 ")</f>
        <v xml:space="preserve">http://slimages.macys.com/is/image/MCY/9387631 </v>
      </c>
    </row>
    <row r="182" spans="1:12" ht="24.75" x14ac:dyDescent="0.25">
      <c r="A182" s="4" t="s">
        <v>9426</v>
      </c>
      <c r="B182" s="2" t="s">
        <v>9427</v>
      </c>
      <c r="C182" s="3">
        <v>1</v>
      </c>
      <c r="D182" s="5">
        <v>44.63</v>
      </c>
      <c r="E182" s="3" t="s">
        <v>9428</v>
      </c>
      <c r="F182" s="2" t="s">
        <v>1584</v>
      </c>
      <c r="G182" s="6" t="s">
        <v>156</v>
      </c>
      <c r="H182" s="2" t="s">
        <v>246</v>
      </c>
      <c r="I182" s="2" t="s">
        <v>189</v>
      </c>
      <c r="J182" s="2"/>
      <c r="K182" s="2"/>
      <c r="L182" s="7" t="str">
        <f>HYPERLINK("http://slimages.macys.com/is/image/MCY/11188184 ")</f>
        <v xml:space="preserve">http://slimages.macys.com/is/image/MCY/11188184 </v>
      </c>
    </row>
    <row r="183" spans="1:12" ht="24.75" x14ac:dyDescent="0.25">
      <c r="A183" s="4" t="s">
        <v>9429</v>
      </c>
      <c r="B183" s="2" t="s">
        <v>9430</v>
      </c>
      <c r="C183" s="3">
        <v>1</v>
      </c>
      <c r="D183" s="5">
        <v>40.880000000000003</v>
      </c>
      <c r="E183" s="3" t="s">
        <v>9431</v>
      </c>
      <c r="F183" s="2" t="s">
        <v>111</v>
      </c>
      <c r="G183" s="6" t="s">
        <v>200</v>
      </c>
      <c r="H183" s="2" t="s">
        <v>284</v>
      </c>
      <c r="I183" s="2" t="s">
        <v>285</v>
      </c>
      <c r="J183" s="2" t="s">
        <v>19</v>
      </c>
      <c r="K183" s="2" t="s">
        <v>137</v>
      </c>
      <c r="L183" s="7" t="str">
        <f>HYPERLINK("http://slimages.macys.com/is/image/MCY/11940164 ")</f>
        <v xml:space="preserve">http://slimages.macys.com/is/image/MCY/11940164 </v>
      </c>
    </row>
    <row r="184" spans="1:12" ht="24.75" x14ac:dyDescent="0.25">
      <c r="A184" s="4" t="s">
        <v>9432</v>
      </c>
      <c r="B184" s="2" t="s">
        <v>9430</v>
      </c>
      <c r="C184" s="3">
        <v>1</v>
      </c>
      <c r="D184" s="5">
        <v>40.880000000000003</v>
      </c>
      <c r="E184" s="3" t="s">
        <v>9431</v>
      </c>
      <c r="F184" s="2" t="s">
        <v>111</v>
      </c>
      <c r="G184" s="6" t="s">
        <v>181</v>
      </c>
      <c r="H184" s="2" t="s">
        <v>284</v>
      </c>
      <c r="I184" s="2" t="s">
        <v>285</v>
      </c>
      <c r="J184" s="2" t="s">
        <v>19</v>
      </c>
      <c r="K184" s="2" t="s">
        <v>137</v>
      </c>
      <c r="L184" s="7" t="str">
        <f>HYPERLINK("http://slimages.macys.com/is/image/MCY/11940164 ")</f>
        <v xml:space="preserve">http://slimages.macys.com/is/image/MCY/11940164 </v>
      </c>
    </row>
    <row r="185" spans="1:12" ht="24.75" x14ac:dyDescent="0.25">
      <c r="A185" s="4" t="s">
        <v>9433</v>
      </c>
      <c r="B185" s="2" t="s">
        <v>9430</v>
      </c>
      <c r="C185" s="3">
        <v>2</v>
      </c>
      <c r="D185" s="5">
        <v>40.880000000000003</v>
      </c>
      <c r="E185" s="3" t="s">
        <v>9431</v>
      </c>
      <c r="F185" s="2" t="s">
        <v>111</v>
      </c>
      <c r="G185" s="6" t="s">
        <v>154</v>
      </c>
      <c r="H185" s="2" t="s">
        <v>284</v>
      </c>
      <c r="I185" s="2" t="s">
        <v>285</v>
      </c>
      <c r="J185" s="2" t="s">
        <v>19</v>
      </c>
      <c r="K185" s="2" t="s">
        <v>137</v>
      </c>
      <c r="L185" s="7" t="str">
        <f>HYPERLINK("http://slimages.macys.com/is/image/MCY/11940164 ")</f>
        <v xml:space="preserve">http://slimages.macys.com/is/image/MCY/11940164 </v>
      </c>
    </row>
    <row r="186" spans="1:12" ht="24.75" x14ac:dyDescent="0.25">
      <c r="A186" s="4" t="s">
        <v>5566</v>
      </c>
      <c r="B186" s="2" t="s">
        <v>2385</v>
      </c>
      <c r="C186" s="3">
        <v>2</v>
      </c>
      <c r="D186" s="5">
        <v>39.5</v>
      </c>
      <c r="E186" s="3" t="s">
        <v>2386</v>
      </c>
      <c r="F186" s="2" t="s">
        <v>417</v>
      </c>
      <c r="G186" s="6" t="s">
        <v>234</v>
      </c>
      <c r="H186" s="2" t="s">
        <v>194</v>
      </c>
      <c r="I186" s="2" t="s">
        <v>195</v>
      </c>
      <c r="J186" s="2" t="s">
        <v>19</v>
      </c>
      <c r="K186" s="2" t="s">
        <v>201</v>
      </c>
      <c r="L186" s="7" t="str">
        <f>HYPERLINK("http://slimages.macys.com/is/image/MCY/12034726 ")</f>
        <v xml:space="preserve">http://slimages.macys.com/is/image/MCY/12034726 </v>
      </c>
    </row>
    <row r="187" spans="1:12" ht="24.75" x14ac:dyDescent="0.25">
      <c r="A187" s="4" t="s">
        <v>7961</v>
      </c>
      <c r="B187" s="2" t="s">
        <v>707</v>
      </c>
      <c r="C187" s="3">
        <v>1</v>
      </c>
      <c r="D187" s="5">
        <v>40.880000000000003</v>
      </c>
      <c r="E187" s="3">
        <v>100047657</v>
      </c>
      <c r="F187" s="2" t="s">
        <v>376</v>
      </c>
      <c r="G187" s="6" t="s">
        <v>27</v>
      </c>
      <c r="H187" s="2" t="s">
        <v>194</v>
      </c>
      <c r="I187" s="2" t="s">
        <v>195</v>
      </c>
      <c r="J187" s="2" t="s">
        <v>19</v>
      </c>
      <c r="K187" s="2" t="s">
        <v>546</v>
      </c>
      <c r="L187" s="7" t="str">
        <f>HYPERLINK("http://slimages.macys.com/is/image/MCY/12143636 ")</f>
        <v xml:space="preserve">http://slimages.macys.com/is/image/MCY/12143636 </v>
      </c>
    </row>
    <row r="188" spans="1:12" ht="24.75" x14ac:dyDescent="0.25">
      <c r="A188" s="4" t="s">
        <v>9434</v>
      </c>
      <c r="B188" s="2" t="s">
        <v>9435</v>
      </c>
      <c r="C188" s="3">
        <v>1</v>
      </c>
      <c r="D188" s="5">
        <v>44.63</v>
      </c>
      <c r="E188" s="3" t="s">
        <v>9436</v>
      </c>
      <c r="F188" s="2" t="s">
        <v>74</v>
      </c>
      <c r="G188" s="6" t="s">
        <v>234</v>
      </c>
      <c r="H188" s="2" t="s">
        <v>284</v>
      </c>
      <c r="I188" s="2" t="s">
        <v>285</v>
      </c>
      <c r="J188" s="2" t="s">
        <v>19</v>
      </c>
      <c r="K188" s="2" t="s">
        <v>160</v>
      </c>
      <c r="L188" s="7" t="str">
        <f>HYPERLINK("http://slimages.macys.com/is/image/MCY/9971917 ")</f>
        <v xml:space="preserve">http://slimages.macys.com/is/image/MCY/9971917 </v>
      </c>
    </row>
    <row r="189" spans="1:12" ht="24.75" x14ac:dyDescent="0.25">
      <c r="A189" s="4" t="s">
        <v>9437</v>
      </c>
      <c r="B189" s="2" t="s">
        <v>9435</v>
      </c>
      <c r="C189" s="3">
        <v>1</v>
      </c>
      <c r="D189" s="5">
        <v>44.63</v>
      </c>
      <c r="E189" s="3" t="s">
        <v>9436</v>
      </c>
      <c r="F189" s="2" t="s">
        <v>74</v>
      </c>
      <c r="G189" s="6" t="s">
        <v>245</v>
      </c>
      <c r="H189" s="2" t="s">
        <v>284</v>
      </c>
      <c r="I189" s="2" t="s">
        <v>285</v>
      </c>
      <c r="J189" s="2" t="s">
        <v>19</v>
      </c>
      <c r="K189" s="2" t="s">
        <v>160</v>
      </c>
      <c r="L189" s="7" t="str">
        <f>HYPERLINK("http://slimages.macys.com/is/image/MCY/9971917 ")</f>
        <v xml:space="preserve">http://slimages.macys.com/is/image/MCY/9971917 </v>
      </c>
    </row>
    <row r="190" spans="1:12" ht="36.75" x14ac:dyDescent="0.25">
      <c r="A190" s="4" t="s">
        <v>9438</v>
      </c>
      <c r="B190" s="2" t="s">
        <v>9439</v>
      </c>
      <c r="C190" s="3">
        <v>1</v>
      </c>
      <c r="D190" s="5">
        <v>49.99</v>
      </c>
      <c r="E190" s="3" t="s">
        <v>9440</v>
      </c>
      <c r="F190" s="2" t="s">
        <v>376</v>
      </c>
      <c r="G190" s="6" t="s">
        <v>363</v>
      </c>
      <c r="H190" s="2" t="s">
        <v>127</v>
      </c>
      <c r="I190" s="2" t="s">
        <v>541</v>
      </c>
      <c r="J190" s="2" t="s">
        <v>19</v>
      </c>
      <c r="K190" s="2" t="s">
        <v>687</v>
      </c>
      <c r="L190" s="7" t="str">
        <f>HYPERLINK("http://slimages.macys.com/is/image/MCY/10315366 ")</f>
        <v xml:space="preserve">http://slimages.macys.com/is/image/MCY/10315366 </v>
      </c>
    </row>
    <row r="191" spans="1:12" ht="24.75" x14ac:dyDescent="0.25">
      <c r="A191" s="4" t="s">
        <v>2393</v>
      </c>
      <c r="B191" s="2" t="s">
        <v>2394</v>
      </c>
      <c r="C191" s="3">
        <v>1</v>
      </c>
      <c r="D191" s="5">
        <v>40.880000000000003</v>
      </c>
      <c r="E191" s="3" t="s">
        <v>2395</v>
      </c>
      <c r="F191" s="2" t="s">
        <v>33</v>
      </c>
      <c r="G191" s="6" t="s">
        <v>181</v>
      </c>
      <c r="H191" s="2" t="s">
        <v>194</v>
      </c>
      <c r="I191" s="2" t="s">
        <v>195</v>
      </c>
      <c r="J191" s="2" t="s">
        <v>19</v>
      </c>
      <c r="K191" s="2" t="s">
        <v>34</v>
      </c>
      <c r="L191" s="7" t="str">
        <f>HYPERLINK("http://slimages.macys.com/is/image/MCY/12950238 ")</f>
        <v xml:space="preserve">http://slimages.macys.com/is/image/MCY/12950238 </v>
      </c>
    </row>
    <row r="192" spans="1:12" ht="24.75" x14ac:dyDescent="0.25">
      <c r="A192" s="4" t="s">
        <v>9441</v>
      </c>
      <c r="B192" s="2" t="s">
        <v>453</v>
      </c>
      <c r="C192" s="3">
        <v>1</v>
      </c>
      <c r="D192" s="5">
        <v>37.130000000000003</v>
      </c>
      <c r="E192" s="3" t="s">
        <v>721</v>
      </c>
      <c r="F192" s="2" t="s">
        <v>413</v>
      </c>
      <c r="G192" s="6" t="s">
        <v>234</v>
      </c>
      <c r="H192" s="2" t="s">
        <v>284</v>
      </c>
      <c r="I192" s="2" t="s">
        <v>285</v>
      </c>
      <c r="J192" s="2" t="s">
        <v>19</v>
      </c>
      <c r="K192" s="2" t="s">
        <v>323</v>
      </c>
      <c r="L192" s="7" t="str">
        <f>HYPERLINK("http://slimages.macys.com/is/image/MCY/9678668 ")</f>
        <v xml:space="preserve">http://slimages.macys.com/is/image/MCY/9678668 </v>
      </c>
    </row>
    <row r="193" spans="1:12" ht="24.75" x14ac:dyDescent="0.25">
      <c r="A193" s="4" t="s">
        <v>9442</v>
      </c>
      <c r="B193" s="2" t="s">
        <v>456</v>
      </c>
      <c r="C193" s="3">
        <v>1</v>
      </c>
      <c r="D193" s="5">
        <v>37.130000000000003</v>
      </c>
      <c r="E193" s="3" t="s">
        <v>731</v>
      </c>
      <c r="F193" s="2" t="s">
        <v>417</v>
      </c>
      <c r="G193" s="6" t="s">
        <v>156</v>
      </c>
      <c r="H193" s="2" t="s">
        <v>284</v>
      </c>
      <c r="I193" s="2" t="s">
        <v>458</v>
      </c>
      <c r="J193" s="2" t="s">
        <v>19</v>
      </c>
      <c r="K193" s="2" t="s">
        <v>442</v>
      </c>
      <c r="L193" s="7" t="str">
        <f>HYPERLINK("http://slimages.macys.com/is/image/MCY/10242537 ")</f>
        <v xml:space="preserve">http://slimages.macys.com/is/image/MCY/10242537 </v>
      </c>
    </row>
    <row r="194" spans="1:12" ht="24.75" x14ac:dyDescent="0.25">
      <c r="A194" s="4" t="s">
        <v>733</v>
      </c>
      <c r="B194" s="2" t="s">
        <v>734</v>
      </c>
      <c r="C194" s="3">
        <v>1</v>
      </c>
      <c r="D194" s="5">
        <v>44.63</v>
      </c>
      <c r="E194" s="3" t="s">
        <v>735</v>
      </c>
      <c r="F194" s="2" t="s">
        <v>26</v>
      </c>
      <c r="G194" s="6" t="s">
        <v>181</v>
      </c>
      <c r="H194" s="2" t="s">
        <v>284</v>
      </c>
      <c r="I194" s="2" t="s">
        <v>736</v>
      </c>
      <c r="J194" s="2" t="s">
        <v>19</v>
      </c>
      <c r="K194" s="2" t="s">
        <v>737</v>
      </c>
      <c r="L194" s="7" t="str">
        <f>HYPERLINK("http://slimages.macys.com/is/image/MCY/12671708 ")</f>
        <v xml:space="preserve">http://slimages.macys.com/is/image/MCY/12671708 </v>
      </c>
    </row>
    <row r="195" spans="1:12" ht="24.75" x14ac:dyDescent="0.25">
      <c r="A195" s="4" t="s">
        <v>4661</v>
      </c>
      <c r="B195" s="2" t="s">
        <v>4662</v>
      </c>
      <c r="C195" s="3">
        <v>1</v>
      </c>
      <c r="D195" s="5">
        <v>42.38</v>
      </c>
      <c r="E195" s="3" t="s">
        <v>4663</v>
      </c>
      <c r="F195" s="2" t="s">
        <v>15</v>
      </c>
      <c r="G195" s="6"/>
      <c r="H195" s="2" t="s">
        <v>349</v>
      </c>
      <c r="I195" s="2" t="s">
        <v>2548</v>
      </c>
      <c r="J195" s="2" t="s">
        <v>19</v>
      </c>
      <c r="K195" s="2" t="s">
        <v>34</v>
      </c>
      <c r="L195" s="7" t="str">
        <f>HYPERLINK("http://slimages.macys.com/is/image/MCY/9919297 ")</f>
        <v xml:space="preserve">http://slimages.macys.com/is/image/MCY/9919297 </v>
      </c>
    </row>
    <row r="196" spans="1:12" ht="24.75" x14ac:dyDescent="0.25">
      <c r="A196" s="4" t="s">
        <v>9443</v>
      </c>
      <c r="B196" s="2" t="s">
        <v>707</v>
      </c>
      <c r="C196" s="3">
        <v>1</v>
      </c>
      <c r="D196" s="5">
        <v>40.880000000000003</v>
      </c>
      <c r="E196" s="3" t="s">
        <v>742</v>
      </c>
      <c r="F196" s="2" t="s">
        <v>199</v>
      </c>
      <c r="G196" s="6" t="s">
        <v>363</v>
      </c>
      <c r="H196" s="2" t="s">
        <v>312</v>
      </c>
      <c r="I196" s="2" t="s">
        <v>195</v>
      </c>
      <c r="J196" s="2" t="s">
        <v>19</v>
      </c>
      <c r="K196" s="2" t="s">
        <v>546</v>
      </c>
      <c r="L196" s="7" t="str">
        <f>HYPERLINK("http://slimages.macys.com/is/image/MCY/12143632 ")</f>
        <v xml:space="preserve">http://slimages.macys.com/is/image/MCY/12143632 </v>
      </c>
    </row>
    <row r="197" spans="1:12" ht="24.75" x14ac:dyDescent="0.25">
      <c r="A197" s="4" t="s">
        <v>9444</v>
      </c>
      <c r="B197" s="2" t="s">
        <v>5587</v>
      </c>
      <c r="C197" s="3">
        <v>1</v>
      </c>
      <c r="D197" s="5">
        <v>44.63</v>
      </c>
      <c r="E197" s="3" t="s">
        <v>5588</v>
      </c>
      <c r="F197" s="2" t="s">
        <v>26</v>
      </c>
      <c r="G197" s="6" t="s">
        <v>156</v>
      </c>
      <c r="H197" s="2" t="s">
        <v>246</v>
      </c>
      <c r="I197" s="2" t="s">
        <v>189</v>
      </c>
      <c r="J197" s="2" t="s">
        <v>19</v>
      </c>
      <c r="K197" s="2" t="s">
        <v>705</v>
      </c>
      <c r="L197" s="7" t="str">
        <f>HYPERLINK("http://slimages.macys.com/is/image/MCY/9630962 ")</f>
        <v xml:space="preserve">http://slimages.macys.com/is/image/MCY/9630962 </v>
      </c>
    </row>
    <row r="198" spans="1:12" ht="24.75" x14ac:dyDescent="0.25">
      <c r="A198" s="4" t="s">
        <v>8557</v>
      </c>
      <c r="B198" s="2" t="s">
        <v>2403</v>
      </c>
      <c r="C198" s="3">
        <v>1</v>
      </c>
      <c r="D198" s="5">
        <v>36.75</v>
      </c>
      <c r="E198" s="3">
        <v>100009360</v>
      </c>
      <c r="F198" s="2" t="s">
        <v>225</v>
      </c>
      <c r="G198" s="6" t="s">
        <v>245</v>
      </c>
      <c r="H198" s="2" t="s">
        <v>194</v>
      </c>
      <c r="I198" s="2" t="s">
        <v>503</v>
      </c>
      <c r="J198" s="2" t="s">
        <v>19</v>
      </c>
      <c r="K198" s="2" t="s">
        <v>160</v>
      </c>
      <c r="L198" s="7" t="str">
        <f>HYPERLINK("http://slimages.macys.com/is/image/MCY/12734522 ")</f>
        <v xml:space="preserve">http://slimages.macys.com/is/image/MCY/12734522 </v>
      </c>
    </row>
    <row r="199" spans="1:12" ht="24.75" x14ac:dyDescent="0.25">
      <c r="A199" s="4" t="s">
        <v>2402</v>
      </c>
      <c r="B199" s="2" t="s">
        <v>2403</v>
      </c>
      <c r="C199" s="3">
        <v>1</v>
      </c>
      <c r="D199" s="5">
        <v>36.75</v>
      </c>
      <c r="E199" s="3">
        <v>100009360</v>
      </c>
      <c r="F199" s="2" t="s">
        <v>225</v>
      </c>
      <c r="G199" s="6" t="s">
        <v>181</v>
      </c>
      <c r="H199" s="2" t="s">
        <v>194</v>
      </c>
      <c r="I199" s="2" t="s">
        <v>503</v>
      </c>
      <c r="J199" s="2" t="s">
        <v>19</v>
      </c>
      <c r="K199" s="2" t="s">
        <v>160</v>
      </c>
      <c r="L199" s="7" t="str">
        <f>HYPERLINK("http://slimages.macys.com/is/image/MCY/12734522 ")</f>
        <v xml:space="preserve">http://slimages.macys.com/is/image/MCY/12734522 </v>
      </c>
    </row>
    <row r="200" spans="1:12" ht="48.75" x14ac:dyDescent="0.25">
      <c r="A200" s="4" t="s">
        <v>749</v>
      </c>
      <c r="B200" s="2" t="s">
        <v>750</v>
      </c>
      <c r="C200" s="3">
        <v>1</v>
      </c>
      <c r="D200" s="5">
        <v>44.63</v>
      </c>
      <c r="E200" s="3" t="s">
        <v>751</v>
      </c>
      <c r="F200" s="2" t="s">
        <v>752</v>
      </c>
      <c r="G200" s="6" t="s">
        <v>154</v>
      </c>
      <c r="H200" s="2" t="s">
        <v>194</v>
      </c>
      <c r="I200" s="2" t="s">
        <v>195</v>
      </c>
      <c r="J200" s="2" t="s">
        <v>19</v>
      </c>
      <c r="K200" s="2" t="s">
        <v>753</v>
      </c>
      <c r="L200" s="7" t="str">
        <f>HYPERLINK("http://slimages.macys.com/is/image/MCY/12734332 ")</f>
        <v xml:space="preserve">http://slimages.macys.com/is/image/MCY/12734332 </v>
      </c>
    </row>
    <row r="201" spans="1:12" ht="48.75" x14ac:dyDescent="0.25">
      <c r="A201" s="4" t="s">
        <v>5592</v>
      </c>
      <c r="B201" s="2" t="s">
        <v>750</v>
      </c>
      <c r="C201" s="3">
        <v>1</v>
      </c>
      <c r="D201" s="5">
        <v>44.63</v>
      </c>
      <c r="E201" s="3" t="s">
        <v>751</v>
      </c>
      <c r="F201" s="2" t="s">
        <v>752</v>
      </c>
      <c r="G201" s="6" t="s">
        <v>156</v>
      </c>
      <c r="H201" s="2" t="s">
        <v>194</v>
      </c>
      <c r="I201" s="2" t="s">
        <v>195</v>
      </c>
      <c r="J201" s="2" t="s">
        <v>19</v>
      </c>
      <c r="K201" s="2" t="s">
        <v>753</v>
      </c>
      <c r="L201" s="7" t="str">
        <f>HYPERLINK("http://slimages.macys.com/is/image/MCY/12734332 ")</f>
        <v xml:space="preserve">http://slimages.macys.com/is/image/MCY/12734332 </v>
      </c>
    </row>
    <row r="202" spans="1:12" ht="48.75" x14ac:dyDescent="0.25">
      <c r="A202" s="4" t="s">
        <v>3543</v>
      </c>
      <c r="B202" s="2" t="s">
        <v>750</v>
      </c>
      <c r="C202" s="3">
        <v>1</v>
      </c>
      <c r="D202" s="5">
        <v>44.63</v>
      </c>
      <c r="E202" s="3" t="s">
        <v>751</v>
      </c>
      <c r="F202" s="2" t="s">
        <v>752</v>
      </c>
      <c r="G202" s="6" t="s">
        <v>200</v>
      </c>
      <c r="H202" s="2" t="s">
        <v>194</v>
      </c>
      <c r="I202" s="2" t="s">
        <v>195</v>
      </c>
      <c r="J202" s="2" t="s">
        <v>19</v>
      </c>
      <c r="K202" s="2" t="s">
        <v>753</v>
      </c>
      <c r="L202" s="7" t="str">
        <f>HYPERLINK("http://slimages.macys.com/is/image/MCY/12734332 ")</f>
        <v xml:space="preserve">http://slimages.macys.com/is/image/MCY/12734332 </v>
      </c>
    </row>
    <row r="203" spans="1:12" ht="36.75" x14ac:dyDescent="0.25">
      <c r="A203" s="4" t="s">
        <v>9445</v>
      </c>
      <c r="B203" s="2" t="s">
        <v>9446</v>
      </c>
      <c r="C203" s="3">
        <v>1</v>
      </c>
      <c r="D203" s="5">
        <v>44.25</v>
      </c>
      <c r="E203" s="3" t="s">
        <v>9447</v>
      </c>
      <c r="F203" s="2" t="s">
        <v>676</v>
      </c>
      <c r="G203" s="6" t="s">
        <v>205</v>
      </c>
      <c r="H203" s="2" t="s">
        <v>426</v>
      </c>
      <c r="I203" s="2" t="s">
        <v>229</v>
      </c>
      <c r="J203" s="2" t="s">
        <v>19</v>
      </c>
      <c r="K203" s="2" t="s">
        <v>9448</v>
      </c>
      <c r="L203" s="7" t="str">
        <f>HYPERLINK("http://slimages.macys.com/is/image/MCY/12850749 ")</f>
        <v xml:space="preserve">http://slimages.macys.com/is/image/MCY/12850749 </v>
      </c>
    </row>
    <row r="204" spans="1:12" ht="24.75" x14ac:dyDescent="0.25">
      <c r="A204" s="4" t="s">
        <v>2404</v>
      </c>
      <c r="B204" s="2" t="s">
        <v>768</v>
      </c>
      <c r="C204" s="3">
        <v>1</v>
      </c>
      <c r="D204" s="5">
        <v>34.880000000000003</v>
      </c>
      <c r="E204" s="3">
        <v>100054400</v>
      </c>
      <c r="F204" s="2" t="s">
        <v>64</v>
      </c>
      <c r="G204" s="6" t="s">
        <v>141</v>
      </c>
      <c r="H204" s="2" t="s">
        <v>194</v>
      </c>
      <c r="I204" s="2" t="s">
        <v>195</v>
      </c>
      <c r="J204" s="2" t="s">
        <v>19</v>
      </c>
      <c r="K204" s="2" t="s">
        <v>546</v>
      </c>
      <c r="L204" s="7" t="str">
        <f t="shared" ref="L204:L209" si="0">HYPERLINK("http://slimages.macys.com/is/image/MCY/12850455 ")</f>
        <v xml:space="preserve">http://slimages.macys.com/is/image/MCY/12850455 </v>
      </c>
    </row>
    <row r="205" spans="1:12" ht="24.75" x14ac:dyDescent="0.25">
      <c r="A205" s="4" t="s">
        <v>7975</v>
      </c>
      <c r="B205" s="2" t="s">
        <v>768</v>
      </c>
      <c r="C205" s="3">
        <v>2</v>
      </c>
      <c r="D205" s="5">
        <v>34.880000000000003</v>
      </c>
      <c r="E205" s="3">
        <v>100054400</v>
      </c>
      <c r="F205" s="2" t="s">
        <v>64</v>
      </c>
      <c r="G205" s="6" t="s">
        <v>27</v>
      </c>
      <c r="H205" s="2" t="s">
        <v>194</v>
      </c>
      <c r="I205" s="2" t="s">
        <v>195</v>
      </c>
      <c r="J205" s="2" t="s">
        <v>19</v>
      </c>
      <c r="K205" s="2" t="s">
        <v>546</v>
      </c>
      <c r="L205" s="7" t="str">
        <f t="shared" si="0"/>
        <v xml:space="preserve">http://slimages.macys.com/is/image/MCY/12850455 </v>
      </c>
    </row>
    <row r="206" spans="1:12" ht="24.75" x14ac:dyDescent="0.25">
      <c r="A206" s="4" t="s">
        <v>2409</v>
      </c>
      <c r="B206" s="2" t="s">
        <v>768</v>
      </c>
      <c r="C206" s="3">
        <v>1</v>
      </c>
      <c r="D206" s="5">
        <v>34.880000000000003</v>
      </c>
      <c r="E206" s="3">
        <v>100054400</v>
      </c>
      <c r="F206" s="2" t="s">
        <v>64</v>
      </c>
      <c r="G206" s="6" t="s">
        <v>16</v>
      </c>
      <c r="H206" s="2" t="s">
        <v>194</v>
      </c>
      <c r="I206" s="2" t="s">
        <v>195</v>
      </c>
      <c r="J206" s="2" t="s">
        <v>19</v>
      </c>
      <c r="K206" s="2" t="s">
        <v>546</v>
      </c>
      <c r="L206" s="7" t="str">
        <f t="shared" si="0"/>
        <v xml:space="preserve">http://slimages.macys.com/is/image/MCY/12850455 </v>
      </c>
    </row>
    <row r="207" spans="1:12" ht="24.75" x14ac:dyDescent="0.25">
      <c r="A207" s="4" t="s">
        <v>767</v>
      </c>
      <c r="B207" s="2" t="s">
        <v>768</v>
      </c>
      <c r="C207" s="3">
        <v>1</v>
      </c>
      <c r="D207" s="5">
        <v>34.880000000000003</v>
      </c>
      <c r="E207" s="3">
        <v>100054400</v>
      </c>
      <c r="F207" s="2" t="s">
        <v>64</v>
      </c>
      <c r="G207" s="6" t="s">
        <v>22</v>
      </c>
      <c r="H207" s="2" t="s">
        <v>194</v>
      </c>
      <c r="I207" s="2" t="s">
        <v>195</v>
      </c>
      <c r="J207" s="2" t="s">
        <v>19</v>
      </c>
      <c r="K207" s="2" t="s">
        <v>546</v>
      </c>
      <c r="L207" s="7" t="str">
        <f t="shared" si="0"/>
        <v xml:space="preserve">http://slimages.macys.com/is/image/MCY/12850455 </v>
      </c>
    </row>
    <row r="208" spans="1:12" ht="24.75" x14ac:dyDescent="0.25">
      <c r="A208" s="4" t="s">
        <v>2407</v>
      </c>
      <c r="B208" s="2" t="s">
        <v>768</v>
      </c>
      <c r="C208" s="3">
        <v>3</v>
      </c>
      <c r="D208" s="5">
        <v>34.880000000000003</v>
      </c>
      <c r="E208" s="3">
        <v>100054400</v>
      </c>
      <c r="F208" s="2" t="s">
        <v>64</v>
      </c>
      <c r="G208" s="6" t="s">
        <v>58</v>
      </c>
      <c r="H208" s="2" t="s">
        <v>194</v>
      </c>
      <c r="I208" s="2" t="s">
        <v>195</v>
      </c>
      <c r="J208" s="2" t="s">
        <v>19</v>
      </c>
      <c r="K208" s="2" t="s">
        <v>546</v>
      </c>
      <c r="L208" s="7" t="str">
        <f t="shared" si="0"/>
        <v xml:space="preserve">http://slimages.macys.com/is/image/MCY/12850455 </v>
      </c>
    </row>
    <row r="209" spans="1:12" ht="24.75" x14ac:dyDescent="0.25">
      <c r="A209" s="4" t="s">
        <v>2405</v>
      </c>
      <c r="B209" s="2" t="s">
        <v>768</v>
      </c>
      <c r="C209" s="3">
        <v>1</v>
      </c>
      <c r="D209" s="5">
        <v>34.880000000000003</v>
      </c>
      <c r="E209" s="3">
        <v>100054400</v>
      </c>
      <c r="F209" s="2" t="s">
        <v>64</v>
      </c>
      <c r="G209" s="6" t="s">
        <v>106</v>
      </c>
      <c r="H209" s="2" t="s">
        <v>194</v>
      </c>
      <c r="I209" s="2" t="s">
        <v>195</v>
      </c>
      <c r="J209" s="2" t="s">
        <v>19</v>
      </c>
      <c r="K209" s="2" t="s">
        <v>546</v>
      </c>
      <c r="L209" s="7" t="str">
        <f t="shared" si="0"/>
        <v xml:space="preserve">http://slimages.macys.com/is/image/MCY/12850455 </v>
      </c>
    </row>
    <row r="210" spans="1:12" ht="36.75" x14ac:dyDescent="0.25">
      <c r="A210" s="4" t="s">
        <v>7228</v>
      </c>
      <c r="B210" s="2" t="s">
        <v>764</v>
      </c>
      <c r="C210" s="3">
        <v>1</v>
      </c>
      <c r="D210" s="5">
        <v>37.130000000000003</v>
      </c>
      <c r="E210" s="3" t="s">
        <v>765</v>
      </c>
      <c r="F210" s="2" t="s">
        <v>566</v>
      </c>
      <c r="G210" s="6" t="s">
        <v>156</v>
      </c>
      <c r="H210" s="2" t="s">
        <v>284</v>
      </c>
      <c r="I210" s="2" t="s">
        <v>458</v>
      </c>
      <c r="J210" s="2" t="s">
        <v>19</v>
      </c>
      <c r="K210" s="2" t="s">
        <v>514</v>
      </c>
      <c r="L210" s="7" t="str">
        <f>HYPERLINK("http://slimages.macys.com/is/image/MCY/13804604 ")</f>
        <v xml:space="preserve">http://slimages.macys.com/is/image/MCY/13804604 </v>
      </c>
    </row>
    <row r="211" spans="1:12" ht="36.75" x14ac:dyDescent="0.25">
      <c r="A211" s="4" t="s">
        <v>766</v>
      </c>
      <c r="B211" s="2" t="s">
        <v>764</v>
      </c>
      <c r="C211" s="3">
        <v>1</v>
      </c>
      <c r="D211" s="5">
        <v>37.130000000000003</v>
      </c>
      <c r="E211" s="3" t="s">
        <v>765</v>
      </c>
      <c r="F211" s="2" t="s">
        <v>566</v>
      </c>
      <c r="G211" s="6" t="s">
        <v>200</v>
      </c>
      <c r="H211" s="2" t="s">
        <v>284</v>
      </c>
      <c r="I211" s="2" t="s">
        <v>458</v>
      </c>
      <c r="J211" s="2" t="s">
        <v>19</v>
      </c>
      <c r="K211" s="2" t="s">
        <v>514</v>
      </c>
      <c r="L211" s="7" t="str">
        <f>HYPERLINK("http://slimages.macys.com/is/image/MCY/13804604 ")</f>
        <v xml:space="preserve">http://slimages.macys.com/is/image/MCY/13804604 </v>
      </c>
    </row>
    <row r="212" spans="1:12" ht="24.75" x14ac:dyDescent="0.25">
      <c r="A212" s="4" t="s">
        <v>9449</v>
      </c>
      <c r="B212" s="2" t="s">
        <v>9450</v>
      </c>
      <c r="C212" s="3">
        <v>1</v>
      </c>
      <c r="D212" s="5">
        <v>34.5</v>
      </c>
      <c r="E212" s="3">
        <v>100012233</v>
      </c>
      <c r="F212" s="2" t="s">
        <v>15</v>
      </c>
      <c r="G212" s="6" t="s">
        <v>141</v>
      </c>
      <c r="H212" s="2" t="s">
        <v>228</v>
      </c>
      <c r="I212" s="2" t="s">
        <v>229</v>
      </c>
      <c r="J212" s="2"/>
      <c r="K212" s="2"/>
      <c r="L212" s="7" t="str">
        <f>HYPERLINK("http://slimages.macys.com/is/image/MCY/9382136 ")</f>
        <v xml:space="preserve">http://slimages.macys.com/is/image/MCY/9382136 </v>
      </c>
    </row>
    <row r="213" spans="1:12" ht="36.75" x14ac:dyDescent="0.25">
      <c r="A213" s="4" t="s">
        <v>9451</v>
      </c>
      <c r="B213" s="2" t="s">
        <v>4501</v>
      </c>
      <c r="C213" s="3">
        <v>1</v>
      </c>
      <c r="D213" s="5">
        <v>52.13</v>
      </c>
      <c r="E213" s="3" t="s">
        <v>4502</v>
      </c>
      <c r="F213" s="2" t="s">
        <v>125</v>
      </c>
      <c r="G213" s="6" t="s">
        <v>27</v>
      </c>
      <c r="H213" s="2" t="s">
        <v>246</v>
      </c>
      <c r="I213" s="2" t="s">
        <v>189</v>
      </c>
      <c r="J213" s="2" t="s">
        <v>19</v>
      </c>
      <c r="K213" s="2" t="s">
        <v>395</v>
      </c>
      <c r="L213" s="7" t="str">
        <f>HYPERLINK("http://slimages.macys.com/is/image/MCY/13973791 ")</f>
        <v xml:space="preserve">http://slimages.macys.com/is/image/MCY/13973791 </v>
      </c>
    </row>
    <row r="214" spans="1:12" ht="36.75" x14ac:dyDescent="0.25">
      <c r="A214" s="4" t="s">
        <v>8565</v>
      </c>
      <c r="B214" s="2" t="s">
        <v>4685</v>
      </c>
      <c r="C214" s="3">
        <v>1</v>
      </c>
      <c r="D214" s="5">
        <v>36.99</v>
      </c>
      <c r="E214" s="3" t="s">
        <v>4686</v>
      </c>
      <c r="F214" s="2" t="s">
        <v>74</v>
      </c>
      <c r="G214" s="6" t="s">
        <v>181</v>
      </c>
      <c r="H214" s="2" t="s">
        <v>284</v>
      </c>
      <c r="I214" s="2" t="s">
        <v>285</v>
      </c>
      <c r="J214" s="2" t="s">
        <v>19</v>
      </c>
      <c r="K214" s="2" t="s">
        <v>4687</v>
      </c>
      <c r="L214" s="7" t="str">
        <f>HYPERLINK("http://slimages.macys.com/is/image/MCY/13291017 ")</f>
        <v xml:space="preserve">http://slimages.macys.com/is/image/MCY/13291017 </v>
      </c>
    </row>
    <row r="215" spans="1:12" ht="36.75" x14ac:dyDescent="0.25">
      <c r="A215" s="4" t="s">
        <v>9452</v>
      </c>
      <c r="B215" s="2" t="s">
        <v>2211</v>
      </c>
      <c r="C215" s="3">
        <v>2</v>
      </c>
      <c r="D215" s="5">
        <v>59.5</v>
      </c>
      <c r="E215" s="3" t="s">
        <v>2212</v>
      </c>
      <c r="F215" s="2" t="s">
        <v>136</v>
      </c>
      <c r="G215" s="6" t="s">
        <v>802</v>
      </c>
      <c r="H215" s="2" t="s">
        <v>127</v>
      </c>
      <c r="I215" s="2" t="s">
        <v>128</v>
      </c>
      <c r="J215" s="2" t="s">
        <v>19</v>
      </c>
      <c r="K215" s="2" t="s">
        <v>2213</v>
      </c>
      <c r="L215" s="7" t="str">
        <f>HYPERLINK("http://slimages.macys.com/is/image/MCY/11074772 ")</f>
        <v xml:space="preserve">http://slimages.macys.com/is/image/MCY/11074772 </v>
      </c>
    </row>
    <row r="216" spans="1:12" ht="36.75" x14ac:dyDescent="0.25">
      <c r="A216" s="4" t="s">
        <v>4481</v>
      </c>
      <c r="B216" s="2" t="s">
        <v>2211</v>
      </c>
      <c r="C216" s="3">
        <v>1</v>
      </c>
      <c r="D216" s="5">
        <v>59.5</v>
      </c>
      <c r="E216" s="3" t="s">
        <v>2212</v>
      </c>
      <c r="F216" s="2" t="s">
        <v>136</v>
      </c>
      <c r="G216" s="6" t="s">
        <v>165</v>
      </c>
      <c r="H216" s="2" t="s">
        <v>127</v>
      </c>
      <c r="I216" s="2" t="s">
        <v>128</v>
      </c>
      <c r="J216" s="2" t="s">
        <v>19</v>
      </c>
      <c r="K216" s="2" t="s">
        <v>2213</v>
      </c>
      <c r="L216" s="7" t="str">
        <f>HYPERLINK("http://slimages.macys.com/is/image/MCY/11074772 ")</f>
        <v xml:space="preserve">http://slimages.macys.com/is/image/MCY/11074772 </v>
      </c>
    </row>
    <row r="217" spans="1:12" ht="24.75" x14ac:dyDescent="0.25">
      <c r="A217" s="4" t="s">
        <v>9453</v>
      </c>
      <c r="B217" s="2" t="s">
        <v>777</v>
      </c>
      <c r="C217" s="3">
        <v>1</v>
      </c>
      <c r="D217" s="5">
        <v>34.880000000000003</v>
      </c>
      <c r="E217" s="3" t="s">
        <v>778</v>
      </c>
      <c r="F217" s="2" t="s">
        <v>376</v>
      </c>
      <c r="G217" s="6"/>
      <c r="H217" s="2" t="s">
        <v>312</v>
      </c>
      <c r="I217" s="2" t="s">
        <v>503</v>
      </c>
      <c r="J217" s="2" t="s">
        <v>19</v>
      </c>
      <c r="K217" s="2" t="s">
        <v>353</v>
      </c>
      <c r="L217" s="7" t="str">
        <f>HYPERLINK("http://slimages.macys.com/is/image/MCY/11146051 ")</f>
        <v xml:space="preserve">http://slimages.macys.com/is/image/MCY/11146051 </v>
      </c>
    </row>
    <row r="218" spans="1:12" ht="24.75" x14ac:dyDescent="0.25">
      <c r="A218" s="4" t="s">
        <v>9454</v>
      </c>
      <c r="B218" s="2" t="s">
        <v>777</v>
      </c>
      <c r="C218" s="3">
        <v>1</v>
      </c>
      <c r="D218" s="5">
        <v>34.880000000000003</v>
      </c>
      <c r="E218" s="3" t="s">
        <v>778</v>
      </c>
      <c r="F218" s="2" t="s">
        <v>64</v>
      </c>
      <c r="G218" s="6"/>
      <c r="H218" s="2" t="s">
        <v>312</v>
      </c>
      <c r="I218" s="2" t="s">
        <v>503</v>
      </c>
      <c r="J218" s="2" t="s">
        <v>19</v>
      </c>
      <c r="K218" s="2" t="s">
        <v>353</v>
      </c>
      <c r="L218" s="7" t="str">
        <f>HYPERLINK("http://slimages.macys.com/is/image/MCY/11146051 ")</f>
        <v xml:space="preserve">http://slimages.macys.com/is/image/MCY/11146051 </v>
      </c>
    </row>
    <row r="219" spans="1:12" ht="36.75" x14ac:dyDescent="0.25">
      <c r="A219" s="4" t="s">
        <v>9455</v>
      </c>
      <c r="B219" s="2" t="s">
        <v>3572</v>
      </c>
      <c r="C219" s="3">
        <v>1</v>
      </c>
      <c r="D219" s="5">
        <v>34.979999999999997</v>
      </c>
      <c r="E219" s="3" t="s">
        <v>3573</v>
      </c>
      <c r="F219" s="2" t="s">
        <v>417</v>
      </c>
      <c r="G219" s="6" t="s">
        <v>2458</v>
      </c>
      <c r="H219" s="2" t="s">
        <v>349</v>
      </c>
      <c r="I219" s="2" t="s">
        <v>408</v>
      </c>
      <c r="J219" s="2" t="s">
        <v>19</v>
      </c>
      <c r="K219" s="2" t="s">
        <v>3579</v>
      </c>
      <c r="L219" s="7" t="str">
        <f>HYPERLINK("http://slimages.macys.com/is/image/MCY/1697450 ")</f>
        <v xml:space="preserve">http://slimages.macys.com/is/image/MCY/1697450 </v>
      </c>
    </row>
    <row r="220" spans="1:12" ht="36.75" x14ac:dyDescent="0.25">
      <c r="A220" s="4" t="s">
        <v>8568</v>
      </c>
      <c r="B220" s="2" t="s">
        <v>780</v>
      </c>
      <c r="C220" s="3">
        <v>1</v>
      </c>
      <c r="D220" s="5">
        <v>59.5</v>
      </c>
      <c r="E220" s="3" t="s">
        <v>781</v>
      </c>
      <c r="F220" s="2" t="s">
        <v>53</v>
      </c>
      <c r="G220" s="6" t="s">
        <v>219</v>
      </c>
      <c r="H220" s="2" t="s">
        <v>127</v>
      </c>
      <c r="I220" s="2" t="s">
        <v>128</v>
      </c>
      <c r="J220" s="2" t="s">
        <v>19</v>
      </c>
      <c r="K220" s="2" t="s">
        <v>782</v>
      </c>
      <c r="L220" s="7" t="str">
        <f>HYPERLINK("http://slimages.macys.com/is/image/MCY/13039364 ")</f>
        <v xml:space="preserve">http://slimages.macys.com/is/image/MCY/13039364 </v>
      </c>
    </row>
    <row r="221" spans="1:12" ht="36.75" x14ac:dyDescent="0.25">
      <c r="A221" s="4" t="s">
        <v>9456</v>
      </c>
      <c r="B221" s="2" t="s">
        <v>9457</v>
      </c>
      <c r="C221" s="3">
        <v>1</v>
      </c>
      <c r="D221" s="5">
        <v>45</v>
      </c>
      <c r="E221" s="3" t="s">
        <v>9458</v>
      </c>
      <c r="F221" s="2" t="s">
        <v>74</v>
      </c>
      <c r="G221" s="6"/>
      <c r="H221" s="2" t="s">
        <v>447</v>
      </c>
      <c r="I221" s="2" t="s">
        <v>792</v>
      </c>
      <c r="J221" s="2" t="s">
        <v>19</v>
      </c>
      <c r="K221" s="2" t="s">
        <v>2419</v>
      </c>
      <c r="L221" s="7" t="str">
        <f>HYPERLINK("http://slimages.macys.com/is/image/MCY/12258636 ")</f>
        <v xml:space="preserve">http://slimages.macys.com/is/image/MCY/12258636 </v>
      </c>
    </row>
    <row r="222" spans="1:12" ht="24.75" x14ac:dyDescent="0.25">
      <c r="A222" s="4" t="s">
        <v>9459</v>
      </c>
      <c r="B222" s="2" t="s">
        <v>7982</v>
      </c>
      <c r="C222" s="3">
        <v>1</v>
      </c>
      <c r="D222" s="5">
        <v>69.5</v>
      </c>
      <c r="E222" s="3">
        <v>100052014</v>
      </c>
      <c r="F222" s="2" t="s">
        <v>79</v>
      </c>
      <c r="G222" s="6" t="s">
        <v>39</v>
      </c>
      <c r="H222" s="2" t="s">
        <v>386</v>
      </c>
      <c r="I222" s="2" t="s">
        <v>337</v>
      </c>
      <c r="J222" s="2" t="s">
        <v>19</v>
      </c>
      <c r="K222" s="2" t="s">
        <v>338</v>
      </c>
      <c r="L222" s="7" t="str">
        <f>HYPERLINK("http://slimages.macys.com/is/image/MCY/10625187 ")</f>
        <v xml:space="preserve">http://slimages.macys.com/is/image/MCY/10625187 </v>
      </c>
    </row>
    <row r="223" spans="1:12" ht="36.75" x14ac:dyDescent="0.25">
      <c r="A223" s="4" t="s">
        <v>9460</v>
      </c>
      <c r="B223" s="2" t="s">
        <v>9461</v>
      </c>
      <c r="C223" s="3">
        <v>1</v>
      </c>
      <c r="D223" s="5">
        <v>45</v>
      </c>
      <c r="E223" s="3" t="s">
        <v>7241</v>
      </c>
      <c r="F223" s="2" t="s">
        <v>170</v>
      </c>
      <c r="G223" s="6" t="s">
        <v>794</v>
      </c>
      <c r="H223" s="2" t="s">
        <v>447</v>
      </c>
      <c r="I223" s="2" t="s">
        <v>792</v>
      </c>
      <c r="J223" s="2" t="s">
        <v>19</v>
      </c>
      <c r="K223" s="2" t="s">
        <v>7242</v>
      </c>
      <c r="L223" s="7" t="str">
        <f>HYPERLINK("http://slimages.macys.com/is/image/MCY/12258752 ")</f>
        <v xml:space="preserve">http://slimages.macys.com/is/image/MCY/12258752 </v>
      </c>
    </row>
    <row r="224" spans="1:12" ht="24.75" x14ac:dyDescent="0.25">
      <c r="A224" s="4" t="s">
        <v>9462</v>
      </c>
      <c r="B224" s="2" t="s">
        <v>9463</v>
      </c>
      <c r="C224" s="3">
        <v>1</v>
      </c>
      <c r="D224" s="5">
        <v>45</v>
      </c>
      <c r="E224" s="3" t="s">
        <v>9464</v>
      </c>
      <c r="F224" s="2" t="s">
        <v>94</v>
      </c>
      <c r="G224" s="6"/>
      <c r="H224" s="2" t="s">
        <v>447</v>
      </c>
      <c r="I224" s="2" t="s">
        <v>792</v>
      </c>
      <c r="J224" s="2" t="s">
        <v>19</v>
      </c>
      <c r="K224" s="2" t="s">
        <v>160</v>
      </c>
      <c r="L224" s="7" t="str">
        <f>HYPERLINK("http://slimages.macys.com/is/image/MCY/11702440 ")</f>
        <v xml:space="preserve">http://slimages.macys.com/is/image/MCY/11702440 </v>
      </c>
    </row>
    <row r="225" spans="1:12" ht="24.75" x14ac:dyDescent="0.25">
      <c r="A225" s="4" t="s">
        <v>9008</v>
      </c>
      <c r="B225" s="2" t="s">
        <v>4691</v>
      </c>
      <c r="C225" s="3">
        <v>1</v>
      </c>
      <c r="D225" s="5">
        <v>36.75</v>
      </c>
      <c r="E225" s="3">
        <v>100060495</v>
      </c>
      <c r="F225" s="2" t="s">
        <v>89</v>
      </c>
      <c r="G225" s="6" t="s">
        <v>141</v>
      </c>
      <c r="H225" s="2" t="s">
        <v>228</v>
      </c>
      <c r="I225" s="2" t="s">
        <v>229</v>
      </c>
      <c r="J225" s="2" t="s">
        <v>19</v>
      </c>
      <c r="K225" s="2" t="s">
        <v>230</v>
      </c>
      <c r="L225" s="7" t="str">
        <f>HYPERLINK("http://slimages.macys.com/is/image/MCY/12316599 ")</f>
        <v xml:space="preserve">http://slimages.macys.com/is/image/MCY/12316599 </v>
      </c>
    </row>
    <row r="226" spans="1:12" ht="24.75" x14ac:dyDescent="0.25">
      <c r="A226" s="4" t="s">
        <v>9465</v>
      </c>
      <c r="B226" s="2" t="s">
        <v>4691</v>
      </c>
      <c r="C226" s="3">
        <v>1</v>
      </c>
      <c r="D226" s="5">
        <v>36.75</v>
      </c>
      <c r="E226" s="3">
        <v>100060496</v>
      </c>
      <c r="F226" s="2" t="s">
        <v>89</v>
      </c>
      <c r="G226" s="6" t="s">
        <v>106</v>
      </c>
      <c r="H226" s="2" t="s">
        <v>228</v>
      </c>
      <c r="I226" s="2" t="s">
        <v>229</v>
      </c>
      <c r="J226" s="2" t="s">
        <v>19</v>
      </c>
      <c r="K226" s="2" t="s">
        <v>230</v>
      </c>
      <c r="L226" s="7" t="str">
        <f>HYPERLINK("http://slimages.macys.com/is/image/MCY/12316599 ")</f>
        <v xml:space="preserve">http://slimages.macys.com/is/image/MCY/12316599 </v>
      </c>
    </row>
    <row r="227" spans="1:12" ht="24.75" x14ac:dyDescent="0.25">
      <c r="A227" s="4" t="s">
        <v>9466</v>
      </c>
      <c r="B227" s="2" t="s">
        <v>4691</v>
      </c>
      <c r="C227" s="3">
        <v>1</v>
      </c>
      <c r="D227" s="5">
        <v>36.75</v>
      </c>
      <c r="E227" s="3">
        <v>100060496</v>
      </c>
      <c r="F227" s="2" t="s">
        <v>89</v>
      </c>
      <c r="G227" s="6" t="s">
        <v>58</v>
      </c>
      <c r="H227" s="2" t="s">
        <v>228</v>
      </c>
      <c r="I227" s="2" t="s">
        <v>229</v>
      </c>
      <c r="J227" s="2" t="s">
        <v>19</v>
      </c>
      <c r="K227" s="2" t="s">
        <v>230</v>
      </c>
      <c r="L227" s="7" t="str">
        <f>HYPERLINK("http://slimages.macys.com/is/image/MCY/12316599 ")</f>
        <v xml:space="preserve">http://slimages.macys.com/is/image/MCY/12316599 </v>
      </c>
    </row>
    <row r="228" spans="1:12" ht="24.75" x14ac:dyDescent="0.25">
      <c r="A228" s="4" t="s">
        <v>9467</v>
      </c>
      <c r="B228" s="2" t="s">
        <v>796</v>
      </c>
      <c r="C228" s="3">
        <v>1</v>
      </c>
      <c r="D228" s="5">
        <v>40.880000000000003</v>
      </c>
      <c r="E228" s="3" t="s">
        <v>797</v>
      </c>
      <c r="F228" s="2" t="s">
        <v>26</v>
      </c>
      <c r="G228" s="6" t="s">
        <v>200</v>
      </c>
      <c r="H228" s="2" t="s">
        <v>194</v>
      </c>
      <c r="I228" s="2" t="s">
        <v>195</v>
      </c>
      <c r="J228" s="2" t="s">
        <v>19</v>
      </c>
      <c r="K228" s="2" t="s">
        <v>798</v>
      </c>
      <c r="L228" s="7" t="str">
        <f>HYPERLINK("http://slimages.macys.com/is/image/MCY/12950259 ")</f>
        <v xml:space="preserve">http://slimages.macys.com/is/image/MCY/12950259 </v>
      </c>
    </row>
    <row r="229" spans="1:12" ht="24.75" x14ac:dyDescent="0.25">
      <c r="A229" s="4" t="s">
        <v>3586</v>
      </c>
      <c r="B229" s="2" t="s">
        <v>796</v>
      </c>
      <c r="C229" s="3">
        <v>1</v>
      </c>
      <c r="D229" s="5">
        <v>40.880000000000003</v>
      </c>
      <c r="E229" s="3" t="s">
        <v>797</v>
      </c>
      <c r="F229" s="2" t="s">
        <v>26</v>
      </c>
      <c r="G229" s="6" t="s">
        <v>181</v>
      </c>
      <c r="H229" s="2" t="s">
        <v>194</v>
      </c>
      <c r="I229" s="2" t="s">
        <v>195</v>
      </c>
      <c r="J229" s="2" t="s">
        <v>19</v>
      </c>
      <c r="K229" s="2" t="s">
        <v>798</v>
      </c>
      <c r="L229" s="7" t="str">
        <f>HYPERLINK("http://slimages.macys.com/is/image/MCY/12950259 ")</f>
        <v xml:space="preserve">http://slimages.macys.com/is/image/MCY/12950259 </v>
      </c>
    </row>
    <row r="230" spans="1:12" ht="24.75" x14ac:dyDescent="0.25">
      <c r="A230" s="4" t="s">
        <v>9468</v>
      </c>
      <c r="B230" s="2" t="s">
        <v>808</v>
      </c>
      <c r="C230" s="3">
        <v>1</v>
      </c>
      <c r="D230" s="5">
        <v>37.130000000000003</v>
      </c>
      <c r="E230" s="3">
        <v>100013676</v>
      </c>
      <c r="F230" s="2" t="s">
        <v>53</v>
      </c>
      <c r="G230" s="6" t="s">
        <v>245</v>
      </c>
      <c r="H230" s="2" t="s">
        <v>194</v>
      </c>
      <c r="I230" s="2" t="s">
        <v>503</v>
      </c>
      <c r="J230" s="2" t="s">
        <v>19</v>
      </c>
      <c r="K230" s="2" t="s">
        <v>546</v>
      </c>
      <c r="L230" s="7" t="str">
        <f>HYPERLINK("http://slimages.macys.com/is/image/MCY/9340718 ")</f>
        <v xml:space="preserve">http://slimages.macys.com/is/image/MCY/9340718 </v>
      </c>
    </row>
    <row r="231" spans="1:12" ht="24.75" x14ac:dyDescent="0.25">
      <c r="A231" s="4" t="s">
        <v>9469</v>
      </c>
      <c r="B231" s="2" t="s">
        <v>815</v>
      </c>
      <c r="C231" s="3">
        <v>1</v>
      </c>
      <c r="D231" s="5">
        <v>44.63</v>
      </c>
      <c r="E231" s="3" t="s">
        <v>816</v>
      </c>
      <c r="F231" s="2" t="s">
        <v>26</v>
      </c>
      <c r="G231" s="6" t="s">
        <v>112</v>
      </c>
      <c r="H231" s="2" t="s">
        <v>246</v>
      </c>
      <c r="I231" s="2" t="s">
        <v>487</v>
      </c>
      <c r="J231" s="2" t="s">
        <v>19</v>
      </c>
      <c r="K231" s="2" t="s">
        <v>409</v>
      </c>
      <c r="L231" s="7" t="str">
        <f>HYPERLINK("http://slimages.macys.com/is/image/MCY/12893394 ")</f>
        <v xml:space="preserve">http://slimages.macys.com/is/image/MCY/12893394 </v>
      </c>
    </row>
    <row r="232" spans="1:12" ht="36.75" x14ac:dyDescent="0.25">
      <c r="A232" s="4" t="s">
        <v>9470</v>
      </c>
      <c r="B232" s="2" t="s">
        <v>895</v>
      </c>
      <c r="C232" s="3">
        <v>2</v>
      </c>
      <c r="D232" s="5">
        <v>44.99</v>
      </c>
      <c r="E232" s="3" t="s">
        <v>9471</v>
      </c>
      <c r="F232" s="2" t="s">
        <v>413</v>
      </c>
      <c r="G232" s="6" t="s">
        <v>336</v>
      </c>
      <c r="H232" s="2" t="s">
        <v>127</v>
      </c>
      <c r="I232" s="2" t="s">
        <v>541</v>
      </c>
      <c r="J232" s="2" t="s">
        <v>19</v>
      </c>
      <c r="K232" s="2" t="s">
        <v>500</v>
      </c>
      <c r="L232" s="7" t="str">
        <f>HYPERLINK("http://slimages.macys.com/is/image/MCY/16583426 ")</f>
        <v xml:space="preserve">http://slimages.macys.com/is/image/MCY/16583426 </v>
      </c>
    </row>
    <row r="233" spans="1:12" ht="24.75" x14ac:dyDescent="0.25">
      <c r="A233" s="4" t="s">
        <v>9472</v>
      </c>
      <c r="B233" s="2" t="s">
        <v>2430</v>
      </c>
      <c r="C233" s="3">
        <v>1</v>
      </c>
      <c r="D233" s="5">
        <v>59.5</v>
      </c>
      <c r="E233" s="3" t="s">
        <v>2431</v>
      </c>
      <c r="F233" s="2" t="s">
        <v>64</v>
      </c>
      <c r="G233" s="6" t="s">
        <v>16</v>
      </c>
      <c r="H233" s="2" t="s">
        <v>386</v>
      </c>
      <c r="I233" s="2" t="s">
        <v>337</v>
      </c>
      <c r="J233" s="2" t="s">
        <v>19</v>
      </c>
      <c r="K233" s="2" t="s">
        <v>387</v>
      </c>
      <c r="L233" s="7" t="str">
        <f>HYPERLINK("http://slimages.macys.com/is/image/MCY/9477891 ")</f>
        <v xml:space="preserve">http://slimages.macys.com/is/image/MCY/9477891 </v>
      </c>
    </row>
    <row r="234" spans="1:12" ht="24.75" x14ac:dyDescent="0.25">
      <c r="A234" s="4" t="s">
        <v>2432</v>
      </c>
      <c r="B234" s="2" t="s">
        <v>818</v>
      </c>
      <c r="C234" s="3">
        <v>3</v>
      </c>
      <c r="D234" s="5">
        <v>36.5</v>
      </c>
      <c r="E234" s="3" t="s">
        <v>819</v>
      </c>
      <c r="F234" s="2" t="s">
        <v>820</v>
      </c>
      <c r="G234" s="6" t="s">
        <v>181</v>
      </c>
      <c r="H234" s="2" t="s">
        <v>194</v>
      </c>
      <c r="I234" s="2" t="s">
        <v>195</v>
      </c>
      <c r="J234" s="2" t="s">
        <v>19</v>
      </c>
      <c r="K234" s="2" t="s">
        <v>201</v>
      </c>
      <c r="L234" s="7" t="str">
        <f>HYPERLINK("http://slimages.macys.com/is/image/MCY/11935616 ")</f>
        <v xml:space="preserve">http://slimages.macys.com/is/image/MCY/11935616 </v>
      </c>
    </row>
    <row r="235" spans="1:12" ht="24.75" x14ac:dyDescent="0.25">
      <c r="A235" s="4" t="s">
        <v>821</v>
      </c>
      <c r="B235" s="2" t="s">
        <v>818</v>
      </c>
      <c r="C235" s="3">
        <v>2</v>
      </c>
      <c r="D235" s="5">
        <v>36.5</v>
      </c>
      <c r="E235" s="3" t="s">
        <v>819</v>
      </c>
      <c r="F235" s="2" t="s">
        <v>820</v>
      </c>
      <c r="G235" s="6" t="s">
        <v>154</v>
      </c>
      <c r="H235" s="2" t="s">
        <v>194</v>
      </c>
      <c r="I235" s="2" t="s">
        <v>195</v>
      </c>
      <c r="J235" s="2" t="s">
        <v>19</v>
      </c>
      <c r="K235" s="2" t="s">
        <v>201</v>
      </c>
      <c r="L235" s="7" t="str">
        <f>HYPERLINK("http://slimages.macys.com/is/image/MCY/11935616 ")</f>
        <v xml:space="preserve">http://slimages.macys.com/is/image/MCY/11935616 </v>
      </c>
    </row>
    <row r="236" spans="1:12" ht="24.75" x14ac:dyDescent="0.25">
      <c r="A236" s="4" t="s">
        <v>9473</v>
      </c>
      <c r="B236" s="2" t="s">
        <v>818</v>
      </c>
      <c r="C236" s="3">
        <v>1</v>
      </c>
      <c r="D236" s="5">
        <v>36.5</v>
      </c>
      <c r="E236" s="3" t="s">
        <v>819</v>
      </c>
      <c r="F236" s="2" t="s">
        <v>820</v>
      </c>
      <c r="G236" s="6" t="s">
        <v>245</v>
      </c>
      <c r="H236" s="2" t="s">
        <v>194</v>
      </c>
      <c r="I236" s="2" t="s">
        <v>195</v>
      </c>
      <c r="J236" s="2" t="s">
        <v>19</v>
      </c>
      <c r="K236" s="2" t="s">
        <v>201</v>
      </c>
      <c r="L236" s="7" t="str">
        <f>HYPERLINK("http://slimages.macys.com/is/image/MCY/11935616 ")</f>
        <v xml:space="preserve">http://slimages.macys.com/is/image/MCY/11935616 </v>
      </c>
    </row>
    <row r="237" spans="1:12" ht="24.75" x14ac:dyDescent="0.25">
      <c r="A237" s="4" t="s">
        <v>823</v>
      </c>
      <c r="B237" s="2" t="s">
        <v>824</v>
      </c>
      <c r="C237" s="3">
        <v>1</v>
      </c>
      <c r="D237" s="5">
        <v>36.5</v>
      </c>
      <c r="E237" s="3" t="s">
        <v>825</v>
      </c>
      <c r="F237" s="2" t="s">
        <v>26</v>
      </c>
      <c r="G237" s="6" t="s">
        <v>200</v>
      </c>
      <c r="H237" s="2" t="s">
        <v>194</v>
      </c>
      <c r="I237" s="2" t="s">
        <v>307</v>
      </c>
      <c r="J237" s="2" t="s">
        <v>19</v>
      </c>
      <c r="K237" s="2" t="s">
        <v>160</v>
      </c>
      <c r="L237" s="7" t="str">
        <f>HYPERLINK("http://slimages.macys.com/is/image/MCY/11936006 ")</f>
        <v xml:space="preserve">http://slimages.macys.com/is/image/MCY/11936006 </v>
      </c>
    </row>
    <row r="238" spans="1:12" ht="24.75" x14ac:dyDescent="0.25">
      <c r="A238" s="4" t="s">
        <v>8582</v>
      </c>
      <c r="B238" s="2" t="s">
        <v>824</v>
      </c>
      <c r="C238" s="3">
        <v>1</v>
      </c>
      <c r="D238" s="5">
        <v>36.5</v>
      </c>
      <c r="E238" s="3" t="s">
        <v>825</v>
      </c>
      <c r="F238" s="2" t="s">
        <v>26</v>
      </c>
      <c r="G238" s="6" t="s">
        <v>234</v>
      </c>
      <c r="H238" s="2" t="s">
        <v>194</v>
      </c>
      <c r="I238" s="2" t="s">
        <v>307</v>
      </c>
      <c r="J238" s="2" t="s">
        <v>19</v>
      </c>
      <c r="K238" s="2" t="s">
        <v>160</v>
      </c>
      <c r="L238" s="7" t="str">
        <f>HYPERLINK("http://slimages.macys.com/is/image/MCY/11936006 ")</f>
        <v xml:space="preserve">http://slimages.macys.com/is/image/MCY/11936006 </v>
      </c>
    </row>
    <row r="239" spans="1:12" ht="24.75" x14ac:dyDescent="0.25">
      <c r="A239" s="4" t="s">
        <v>2433</v>
      </c>
      <c r="B239" s="2" t="s">
        <v>824</v>
      </c>
      <c r="C239" s="3">
        <v>1</v>
      </c>
      <c r="D239" s="5">
        <v>36.5</v>
      </c>
      <c r="E239" s="3" t="s">
        <v>825</v>
      </c>
      <c r="F239" s="2" t="s">
        <v>26</v>
      </c>
      <c r="G239" s="6" t="s">
        <v>181</v>
      </c>
      <c r="H239" s="2" t="s">
        <v>194</v>
      </c>
      <c r="I239" s="2" t="s">
        <v>307</v>
      </c>
      <c r="J239" s="2" t="s">
        <v>19</v>
      </c>
      <c r="K239" s="2" t="s">
        <v>160</v>
      </c>
      <c r="L239" s="7" t="str">
        <f>HYPERLINK("http://slimages.macys.com/is/image/MCY/11936006 ")</f>
        <v xml:space="preserve">http://slimages.macys.com/is/image/MCY/11936006 </v>
      </c>
    </row>
    <row r="240" spans="1:12" ht="24.75" x14ac:dyDescent="0.25">
      <c r="A240" s="4" t="s">
        <v>9474</v>
      </c>
      <c r="B240" s="2" t="s">
        <v>5617</v>
      </c>
      <c r="C240" s="3">
        <v>2</v>
      </c>
      <c r="D240" s="5">
        <v>37.130000000000003</v>
      </c>
      <c r="E240" s="3" t="s">
        <v>5618</v>
      </c>
      <c r="F240" s="2" t="s">
        <v>64</v>
      </c>
      <c r="G240" s="6" t="s">
        <v>154</v>
      </c>
      <c r="H240" s="2" t="s">
        <v>284</v>
      </c>
      <c r="I240" s="2" t="s">
        <v>285</v>
      </c>
      <c r="J240" s="2" t="s">
        <v>19</v>
      </c>
      <c r="K240" s="2" t="s">
        <v>160</v>
      </c>
      <c r="L240" s="7" t="str">
        <f>HYPERLINK("http://slimages.macys.com/is/image/MCY/12671643 ")</f>
        <v xml:space="preserve">http://slimages.macys.com/is/image/MCY/12671643 </v>
      </c>
    </row>
    <row r="241" spans="1:12" ht="24.75" x14ac:dyDescent="0.25">
      <c r="A241" s="4" t="s">
        <v>9475</v>
      </c>
      <c r="B241" s="2" t="s">
        <v>827</v>
      </c>
      <c r="C241" s="3">
        <v>1</v>
      </c>
      <c r="D241" s="5">
        <v>37.130000000000003</v>
      </c>
      <c r="E241" s="3">
        <v>100009535</v>
      </c>
      <c r="F241" s="2" t="s">
        <v>26</v>
      </c>
      <c r="G241" s="6" t="s">
        <v>27</v>
      </c>
      <c r="H241" s="2" t="s">
        <v>194</v>
      </c>
      <c r="I241" s="2" t="s">
        <v>503</v>
      </c>
      <c r="J241" s="2" t="s">
        <v>19</v>
      </c>
      <c r="K241" s="2" t="s">
        <v>353</v>
      </c>
      <c r="L241" s="7" t="str">
        <f>HYPERLINK("http://slimages.macys.com/is/image/MCY/9450411 ")</f>
        <v xml:space="preserve">http://slimages.macys.com/is/image/MCY/9450411 </v>
      </c>
    </row>
    <row r="242" spans="1:12" ht="24.75" x14ac:dyDescent="0.25">
      <c r="A242" s="4" t="s">
        <v>5623</v>
      </c>
      <c r="B242" s="2" t="s">
        <v>827</v>
      </c>
      <c r="C242" s="3">
        <v>1</v>
      </c>
      <c r="D242" s="5">
        <v>37.130000000000003</v>
      </c>
      <c r="E242" s="3">
        <v>100009535</v>
      </c>
      <c r="F242" s="2" t="s">
        <v>376</v>
      </c>
      <c r="G242" s="6" t="s">
        <v>16</v>
      </c>
      <c r="H242" s="2" t="s">
        <v>194</v>
      </c>
      <c r="I242" s="2" t="s">
        <v>503</v>
      </c>
      <c r="J242" s="2" t="s">
        <v>19</v>
      </c>
      <c r="K242" s="2" t="s">
        <v>353</v>
      </c>
      <c r="L242" s="7" t="str">
        <f>HYPERLINK("http://slimages.macys.com/is/image/MCY/9340634 ")</f>
        <v xml:space="preserve">http://slimages.macys.com/is/image/MCY/9340634 </v>
      </c>
    </row>
    <row r="243" spans="1:12" ht="24.75" x14ac:dyDescent="0.25">
      <c r="A243" s="4" t="s">
        <v>8008</v>
      </c>
      <c r="B243" s="2" t="s">
        <v>2439</v>
      </c>
      <c r="C243" s="3">
        <v>1</v>
      </c>
      <c r="D243" s="5">
        <v>44.63</v>
      </c>
      <c r="E243" s="3" t="s">
        <v>2440</v>
      </c>
      <c r="F243" s="2" t="s">
        <v>956</v>
      </c>
      <c r="G243" s="6" t="s">
        <v>200</v>
      </c>
      <c r="H243" s="2" t="s">
        <v>194</v>
      </c>
      <c r="I243" s="2" t="s">
        <v>195</v>
      </c>
      <c r="J243" s="2" t="s">
        <v>19</v>
      </c>
      <c r="K243" s="2" t="s">
        <v>34</v>
      </c>
      <c r="L243" s="7" t="str">
        <f>HYPERLINK("http://slimages.macys.com/is/image/MCY/11527019 ")</f>
        <v xml:space="preserve">http://slimages.macys.com/is/image/MCY/11527019 </v>
      </c>
    </row>
    <row r="244" spans="1:12" ht="24.75" x14ac:dyDescent="0.25">
      <c r="A244" s="4" t="s">
        <v>2438</v>
      </c>
      <c r="B244" s="2" t="s">
        <v>2439</v>
      </c>
      <c r="C244" s="3">
        <v>1</v>
      </c>
      <c r="D244" s="5">
        <v>44.63</v>
      </c>
      <c r="E244" s="3" t="s">
        <v>2440</v>
      </c>
      <c r="F244" s="2" t="s">
        <v>956</v>
      </c>
      <c r="G244" s="6" t="s">
        <v>156</v>
      </c>
      <c r="H244" s="2" t="s">
        <v>194</v>
      </c>
      <c r="I244" s="2" t="s">
        <v>195</v>
      </c>
      <c r="J244" s="2" t="s">
        <v>19</v>
      </c>
      <c r="K244" s="2" t="s">
        <v>34</v>
      </c>
      <c r="L244" s="7" t="str">
        <f>HYPERLINK("http://slimages.macys.com/is/image/MCY/11527019 ")</f>
        <v xml:space="preserve">http://slimages.macys.com/is/image/MCY/11527019 </v>
      </c>
    </row>
    <row r="245" spans="1:12" ht="24.75" x14ac:dyDescent="0.25">
      <c r="A245" s="4" t="s">
        <v>9016</v>
      </c>
      <c r="B245" s="2" t="s">
        <v>827</v>
      </c>
      <c r="C245" s="3">
        <v>1</v>
      </c>
      <c r="D245" s="5">
        <v>37.130000000000003</v>
      </c>
      <c r="E245" s="3">
        <v>100009535</v>
      </c>
      <c r="F245" s="2" t="s">
        <v>15</v>
      </c>
      <c r="G245" s="6" t="s">
        <v>58</v>
      </c>
      <c r="H245" s="2" t="s">
        <v>194</v>
      </c>
      <c r="I245" s="2" t="s">
        <v>503</v>
      </c>
      <c r="J245" s="2" t="s">
        <v>19</v>
      </c>
      <c r="K245" s="2" t="s">
        <v>353</v>
      </c>
      <c r="L245" s="7" t="str">
        <f>HYPERLINK("http://slimages.macys.com/is/image/MCY/9340634 ")</f>
        <v xml:space="preserve">http://slimages.macys.com/is/image/MCY/9340634 </v>
      </c>
    </row>
    <row r="246" spans="1:12" ht="24.75" x14ac:dyDescent="0.25">
      <c r="A246" s="4" t="s">
        <v>9476</v>
      </c>
      <c r="B246" s="2" t="s">
        <v>827</v>
      </c>
      <c r="C246" s="3">
        <v>1</v>
      </c>
      <c r="D246" s="5">
        <v>37.130000000000003</v>
      </c>
      <c r="E246" s="3">
        <v>100009535</v>
      </c>
      <c r="F246" s="2" t="s">
        <v>15</v>
      </c>
      <c r="G246" s="6" t="s">
        <v>112</v>
      </c>
      <c r="H246" s="2" t="s">
        <v>194</v>
      </c>
      <c r="I246" s="2" t="s">
        <v>503</v>
      </c>
      <c r="J246" s="2" t="s">
        <v>19</v>
      </c>
      <c r="K246" s="2" t="s">
        <v>353</v>
      </c>
      <c r="L246" s="7" t="str">
        <f>HYPERLINK("http://slimages.macys.com/is/image/MCY/9340634 ")</f>
        <v xml:space="preserve">http://slimages.macys.com/is/image/MCY/9340634 </v>
      </c>
    </row>
    <row r="247" spans="1:12" ht="24.75" x14ac:dyDescent="0.25">
      <c r="A247" s="4" t="s">
        <v>6439</v>
      </c>
      <c r="B247" s="2" t="s">
        <v>827</v>
      </c>
      <c r="C247" s="3">
        <v>1</v>
      </c>
      <c r="D247" s="5">
        <v>37.130000000000003</v>
      </c>
      <c r="E247" s="3">
        <v>100009535</v>
      </c>
      <c r="F247" s="2" t="s">
        <v>566</v>
      </c>
      <c r="G247" s="6" t="s">
        <v>27</v>
      </c>
      <c r="H247" s="2" t="s">
        <v>194</v>
      </c>
      <c r="I247" s="2" t="s">
        <v>503</v>
      </c>
      <c r="J247" s="2" t="s">
        <v>19</v>
      </c>
      <c r="K247" s="2" t="s">
        <v>353</v>
      </c>
      <c r="L247" s="7" t="str">
        <f>HYPERLINK("http://slimages.macys.com/is/image/MCY/9340634 ")</f>
        <v xml:space="preserve">http://slimages.macys.com/is/image/MCY/9340634 </v>
      </c>
    </row>
    <row r="248" spans="1:12" ht="24.75" x14ac:dyDescent="0.25">
      <c r="A248" s="4" t="s">
        <v>830</v>
      </c>
      <c r="B248" s="2" t="s">
        <v>827</v>
      </c>
      <c r="C248" s="3">
        <v>1</v>
      </c>
      <c r="D248" s="5">
        <v>37.130000000000003</v>
      </c>
      <c r="E248" s="3">
        <v>100009535</v>
      </c>
      <c r="F248" s="2" t="s">
        <v>376</v>
      </c>
      <c r="G248" s="6" t="s">
        <v>22</v>
      </c>
      <c r="H248" s="2" t="s">
        <v>194</v>
      </c>
      <c r="I248" s="2" t="s">
        <v>503</v>
      </c>
      <c r="J248" s="2" t="s">
        <v>19</v>
      </c>
      <c r="K248" s="2" t="s">
        <v>353</v>
      </c>
      <c r="L248" s="7" t="str">
        <f>HYPERLINK("http://slimages.macys.com/is/image/MCY/9340634 ")</f>
        <v xml:space="preserve">http://slimages.macys.com/is/image/MCY/9340634 </v>
      </c>
    </row>
    <row r="249" spans="1:12" ht="24.75" x14ac:dyDescent="0.25">
      <c r="A249" s="4" t="s">
        <v>9477</v>
      </c>
      <c r="B249" s="2" t="s">
        <v>5626</v>
      </c>
      <c r="C249" s="3">
        <v>2</v>
      </c>
      <c r="D249" s="5">
        <v>40.880000000000003</v>
      </c>
      <c r="E249" s="3" t="s">
        <v>5627</v>
      </c>
      <c r="F249" s="2" t="s">
        <v>26</v>
      </c>
      <c r="G249" s="6" t="s">
        <v>58</v>
      </c>
      <c r="H249" s="2" t="s">
        <v>246</v>
      </c>
      <c r="I249" s="2" t="s">
        <v>189</v>
      </c>
      <c r="J249" s="2" t="s">
        <v>19</v>
      </c>
      <c r="K249" s="2" t="s">
        <v>839</v>
      </c>
      <c r="L249" s="7" t="str">
        <f>HYPERLINK("http://slimages.macys.com/is/image/MCY/12268105 ")</f>
        <v xml:space="preserve">http://slimages.macys.com/is/image/MCY/12268105 </v>
      </c>
    </row>
    <row r="250" spans="1:12" ht="24.75" x14ac:dyDescent="0.25">
      <c r="A250" s="4" t="s">
        <v>2451</v>
      </c>
      <c r="B250" s="2" t="s">
        <v>837</v>
      </c>
      <c r="C250" s="3">
        <v>1</v>
      </c>
      <c r="D250" s="5">
        <v>40.880000000000003</v>
      </c>
      <c r="E250" s="3" t="s">
        <v>838</v>
      </c>
      <c r="F250" s="2" t="s">
        <v>57</v>
      </c>
      <c r="G250" s="6" t="s">
        <v>802</v>
      </c>
      <c r="H250" s="2" t="s">
        <v>188</v>
      </c>
      <c r="I250" s="2" t="s">
        <v>189</v>
      </c>
      <c r="J250" s="2" t="s">
        <v>19</v>
      </c>
      <c r="K250" s="2" t="s">
        <v>839</v>
      </c>
      <c r="L250" s="7" t="str">
        <f>HYPERLINK("http://slimages.macys.com/is/image/MCY/11940229 ")</f>
        <v xml:space="preserve">http://slimages.macys.com/is/image/MCY/11940229 </v>
      </c>
    </row>
    <row r="251" spans="1:12" ht="24.75" x14ac:dyDescent="0.25">
      <c r="A251" s="4" t="s">
        <v>9478</v>
      </c>
      <c r="B251" s="2" t="s">
        <v>2460</v>
      </c>
      <c r="C251" s="3">
        <v>1</v>
      </c>
      <c r="D251" s="5">
        <v>34.880000000000003</v>
      </c>
      <c r="E251" s="3" t="s">
        <v>2461</v>
      </c>
      <c r="F251" s="2" t="s">
        <v>376</v>
      </c>
      <c r="G251" s="6" t="s">
        <v>205</v>
      </c>
      <c r="H251" s="2" t="s">
        <v>312</v>
      </c>
      <c r="I251" s="2" t="s">
        <v>503</v>
      </c>
      <c r="J251" s="2" t="s">
        <v>19</v>
      </c>
      <c r="K251" s="2" t="s">
        <v>353</v>
      </c>
      <c r="L251" s="7" t="str">
        <f>HYPERLINK("http://slimages.macys.com/is/image/MCY/9325305 ")</f>
        <v xml:space="preserve">http://slimages.macys.com/is/image/MCY/9325305 </v>
      </c>
    </row>
    <row r="252" spans="1:12" ht="24.75" x14ac:dyDescent="0.25">
      <c r="A252" s="4" t="s">
        <v>9479</v>
      </c>
      <c r="B252" s="2" t="s">
        <v>2460</v>
      </c>
      <c r="C252" s="3">
        <v>1</v>
      </c>
      <c r="D252" s="5">
        <v>34.880000000000003</v>
      </c>
      <c r="E252" s="3" t="s">
        <v>2461</v>
      </c>
      <c r="F252" s="2" t="s">
        <v>376</v>
      </c>
      <c r="G252" s="6" t="s">
        <v>238</v>
      </c>
      <c r="H252" s="2" t="s">
        <v>312</v>
      </c>
      <c r="I252" s="2" t="s">
        <v>503</v>
      </c>
      <c r="J252" s="2" t="s">
        <v>19</v>
      </c>
      <c r="K252" s="2" t="s">
        <v>353</v>
      </c>
      <c r="L252" s="7" t="str">
        <f>HYPERLINK("http://slimages.macys.com/is/image/MCY/9325305 ")</f>
        <v xml:space="preserve">http://slimages.macys.com/is/image/MCY/9325305 </v>
      </c>
    </row>
    <row r="253" spans="1:12" ht="24.75" x14ac:dyDescent="0.25">
      <c r="A253" s="4" t="s">
        <v>9480</v>
      </c>
      <c r="B253" s="2" t="s">
        <v>2460</v>
      </c>
      <c r="C253" s="3">
        <v>1</v>
      </c>
      <c r="D253" s="5">
        <v>34.880000000000003</v>
      </c>
      <c r="E253" s="3" t="s">
        <v>2461</v>
      </c>
      <c r="F253" s="2" t="s">
        <v>26</v>
      </c>
      <c r="G253" s="6" t="s">
        <v>205</v>
      </c>
      <c r="H253" s="2" t="s">
        <v>312</v>
      </c>
      <c r="I253" s="2" t="s">
        <v>503</v>
      </c>
      <c r="J253" s="2" t="s">
        <v>19</v>
      </c>
      <c r="K253" s="2" t="s">
        <v>353</v>
      </c>
      <c r="L253" s="7" t="str">
        <f>HYPERLINK("http://slimages.macys.com/is/image/MCY/9325305 ")</f>
        <v xml:space="preserve">http://slimages.macys.com/is/image/MCY/9325305 </v>
      </c>
    </row>
    <row r="254" spans="1:12" ht="24.75" x14ac:dyDescent="0.25">
      <c r="A254" s="4" t="s">
        <v>9481</v>
      </c>
      <c r="B254" s="2" t="s">
        <v>849</v>
      </c>
      <c r="C254" s="3">
        <v>1</v>
      </c>
      <c r="D254" s="5">
        <v>40.65</v>
      </c>
      <c r="E254" s="3" t="s">
        <v>850</v>
      </c>
      <c r="F254" s="2" t="s">
        <v>15</v>
      </c>
      <c r="G254" s="6" t="s">
        <v>154</v>
      </c>
      <c r="H254" s="2" t="s">
        <v>182</v>
      </c>
      <c r="I254" s="2" t="s">
        <v>183</v>
      </c>
      <c r="J254" s="2" t="s">
        <v>19</v>
      </c>
      <c r="K254" s="2" t="s">
        <v>851</v>
      </c>
      <c r="L254" s="7" t="str">
        <f>HYPERLINK("http://slimages.macys.com/is/image/MCY/12851655 ")</f>
        <v xml:space="preserve">http://slimages.macys.com/is/image/MCY/12851655 </v>
      </c>
    </row>
    <row r="255" spans="1:12" ht="24.75" x14ac:dyDescent="0.25">
      <c r="A255" s="4" t="s">
        <v>9021</v>
      </c>
      <c r="B255" s="2" t="s">
        <v>849</v>
      </c>
      <c r="C255" s="3">
        <v>1</v>
      </c>
      <c r="D255" s="5">
        <v>40.65</v>
      </c>
      <c r="E255" s="3" t="s">
        <v>850</v>
      </c>
      <c r="F255" s="2" t="s">
        <v>74</v>
      </c>
      <c r="G255" s="6" t="s">
        <v>156</v>
      </c>
      <c r="H255" s="2" t="s">
        <v>182</v>
      </c>
      <c r="I255" s="2" t="s">
        <v>183</v>
      </c>
      <c r="J255" s="2" t="s">
        <v>19</v>
      </c>
      <c r="K255" s="2" t="s">
        <v>851</v>
      </c>
      <c r="L255" s="7" t="str">
        <f>HYPERLINK("http://slimages.macys.com/is/image/MCY/12851655 ")</f>
        <v xml:space="preserve">http://slimages.macys.com/is/image/MCY/12851655 </v>
      </c>
    </row>
    <row r="256" spans="1:12" ht="24.75" x14ac:dyDescent="0.25">
      <c r="A256" s="4" t="s">
        <v>6459</v>
      </c>
      <c r="B256" s="2" t="s">
        <v>849</v>
      </c>
      <c r="C256" s="3">
        <v>1</v>
      </c>
      <c r="D256" s="5">
        <v>40.65</v>
      </c>
      <c r="E256" s="3" t="s">
        <v>850</v>
      </c>
      <c r="F256" s="2" t="s">
        <v>15</v>
      </c>
      <c r="G256" s="6" t="s">
        <v>245</v>
      </c>
      <c r="H256" s="2" t="s">
        <v>182</v>
      </c>
      <c r="I256" s="2" t="s">
        <v>183</v>
      </c>
      <c r="J256" s="2" t="s">
        <v>19</v>
      </c>
      <c r="K256" s="2" t="s">
        <v>851</v>
      </c>
      <c r="L256" s="7" t="str">
        <f>HYPERLINK("http://slimages.macys.com/is/image/MCY/12851655 ")</f>
        <v xml:space="preserve">http://slimages.macys.com/is/image/MCY/12851655 </v>
      </c>
    </row>
    <row r="257" spans="1:12" ht="36.75" x14ac:dyDescent="0.25">
      <c r="A257" s="4" t="s">
        <v>9482</v>
      </c>
      <c r="B257" s="2" t="s">
        <v>9483</v>
      </c>
      <c r="C257" s="3">
        <v>1</v>
      </c>
      <c r="D257" s="5">
        <v>41.65</v>
      </c>
      <c r="E257" s="3" t="s">
        <v>9484</v>
      </c>
      <c r="F257" s="2" t="s">
        <v>26</v>
      </c>
      <c r="G257" s="6" t="s">
        <v>245</v>
      </c>
      <c r="H257" s="2" t="s">
        <v>182</v>
      </c>
      <c r="I257" s="2" t="s">
        <v>183</v>
      </c>
      <c r="J257" s="2" t="s">
        <v>19</v>
      </c>
      <c r="K257" s="2" t="s">
        <v>1179</v>
      </c>
      <c r="L257" s="7" t="str">
        <f>HYPERLINK("http://slimages.macys.com/is/image/MCY/12077895 ")</f>
        <v xml:space="preserve">http://slimages.macys.com/is/image/MCY/12077895 </v>
      </c>
    </row>
    <row r="258" spans="1:12" ht="36.75" x14ac:dyDescent="0.25">
      <c r="A258" s="4" t="s">
        <v>9485</v>
      </c>
      <c r="B258" s="2" t="s">
        <v>9483</v>
      </c>
      <c r="C258" s="3">
        <v>1</v>
      </c>
      <c r="D258" s="5">
        <v>41.65</v>
      </c>
      <c r="E258" s="3" t="s">
        <v>9484</v>
      </c>
      <c r="F258" s="2" t="s">
        <v>74</v>
      </c>
      <c r="G258" s="6" t="s">
        <v>245</v>
      </c>
      <c r="H258" s="2" t="s">
        <v>182</v>
      </c>
      <c r="I258" s="2" t="s">
        <v>183</v>
      </c>
      <c r="J258" s="2" t="s">
        <v>19</v>
      </c>
      <c r="K258" s="2" t="s">
        <v>1179</v>
      </c>
      <c r="L258" s="7" t="str">
        <f>HYPERLINK("http://slimages.macys.com/is/image/MCY/12077895 ")</f>
        <v xml:space="preserve">http://slimages.macys.com/is/image/MCY/12077895 </v>
      </c>
    </row>
    <row r="259" spans="1:12" ht="24.75" x14ac:dyDescent="0.25">
      <c r="A259" s="4" t="s">
        <v>2464</v>
      </c>
      <c r="B259" s="2" t="s">
        <v>818</v>
      </c>
      <c r="C259" s="3">
        <v>1</v>
      </c>
      <c r="D259" s="5">
        <v>36.5</v>
      </c>
      <c r="E259" s="3" t="s">
        <v>2465</v>
      </c>
      <c r="F259" s="2" t="s">
        <v>26</v>
      </c>
      <c r="G259" s="6" t="s">
        <v>181</v>
      </c>
      <c r="H259" s="2" t="s">
        <v>194</v>
      </c>
      <c r="I259" s="2" t="s">
        <v>195</v>
      </c>
      <c r="J259" s="2" t="s">
        <v>19</v>
      </c>
      <c r="K259" s="2" t="s">
        <v>247</v>
      </c>
      <c r="L259" s="7" t="str">
        <f>HYPERLINK("http://slimages.macys.com/is/image/MCY/11764566 ")</f>
        <v xml:space="preserve">http://slimages.macys.com/is/image/MCY/11764566 </v>
      </c>
    </row>
    <row r="260" spans="1:12" ht="24.75" x14ac:dyDescent="0.25">
      <c r="A260" s="4" t="s">
        <v>2467</v>
      </c>
      <c r="B260" s="2" t="s">
        <v>818</v>
      </c>
      <c r="C260" s="3">
        <v>1</v>
      </c>
      <c r="D260" s="5">
        <v>36.5</v>
      </c>
      <c r="E260" s="3" t="s">
        <v>2465</v>
      </c>
      <c r="F260" s="2" t="s">
        <v>26</v>
      </c>
      <c r="G260" s="6" t="s">
        <v>234</v>
      </c>
      <c r="H260" s="2" t="s">
        <v>194</v>
      </c>
      <c r="I260" s="2" t="s">
        <v>195</v>
      </c>
      <c r="J260" s="2" t="s">
        <v>19</v>
      </c>
      <c r="K260" s="2" t="s">
        <v>247</v>
      </c>
      <c r="L260" s="7" t="str">
        <f>HYPERLINK("http://slimages.macys.com/is/image/MCY/11764566 ")</f>
        <v xml:space="preserve">http://slimages.macys.com/is/image/MCY/11764566 </v>
      </c>
    </row>
    <row r="261" spans="1:12" ht="36.75" x14ac:dyDescent="0.25">
      <c r="A261" s="4" t="s">
        <v>8026</v>
      </c>
      <c r="B261" s="2" t="s">
        <v>5632</v>
      </c>
      <c r="C261" s="3">
        <v>1</v>
      </c>
      <c r="D261" s="5">
        <v>37.130000000000003</v>
      </c>
      <c r="E261" s="3">
        <v>100022657</v>
      </c>
      <c r="F261" s="2" t="s">
        <v>74</v>
      </c>
      <c r="G261" s="6" t="s">
        <v>156</v>
      </c>
      <c r="H261" s="2" t="s">
        <v>284</v>
      </c>
      <c r="I261" s="2" t="s">
        <v>408</v>
      </c>
      <c r="J261" s="2" t="s">
        <v>19</v>
      </c>
      <c r="K261" s="2" t="s">
        <v>500</v>
      </c>
      <c r="L261" s="7" t="str">
        <f>HYPERLINK("http://slimages.macys.com/is/image/MCY/9449861 ")</f>
        <v xml:space="preserve">http://slimages.macys.com/is/image/MCY/9449861 </v>
      </c>
    </row>
    <row r="262" spans="1:12" ht="24.75" x14ac:dyDescent="0.25">
      <c r="A262" s="4" t="s">
        <v>9486</v>
      </c>
      <c r="B262" s="2" t="s">
        <v>2472</v>
      </c>
      <c r="C262" s="3">
        <v>1</v>
      </c>
      <c r="D262" s="5">
        <v>45</v>
      </c>
      <c r="E262" s="3" t="s">
        <v>2473</v>
      </c>
      <c r="F262" s="2" t="s">
        <v>5457</v>
      </c>
      <c r="G262" s="6"/>
      <c r="H262" s="2" t="s">
        <v>447</v>
      </c>
      <c r="I262" s="2" t="s">
        <v>792</v>
      </c>
      <c r="J262" s="2" t="s">
        <v>2474</v>
      </c>
      <c r="K262" s="2" t="s">
        <v>160</v>
      </c>
      <c r="L262" s="7" t="str">
        <f>HYPERLINK("http://slimages.macys.com/is/image/MCY/12258294 ")</f>
        <v xml:space="preserve">http://slimages.macys.com/is/image/MCY/12258294 </v>
      </c>
    </row>
    <row r="263" spans="1:12" ht="24.75" x14ac:dyDescent="0.25">
      <c r="A263" s="4" t="s">
        <v>9487</v>
      </c>
      <c r="B263" s="2" t="s">
        <v>865</v>
      </c>
      <c r="C263" s="3">
        <v>1</v>
      </c>
      <c r="D263" s="5">
        <v>45</v>
      </c>
      <c r="E263" s="3" t="s">
        <v>866</v>
      </c>
      <c r="F263" s="2" t="s">
        <v>15</v>
      </c>
      <c r="G263" s="6" t="s">
        <v>794</v>
      </c>
      <c r="H263" s="2" t="s">
        <v>447</v>
      </c>
      <c r="I263" s="2" t="s">
        <v>792</v>
      </c>
      <c r="J263" s="2" t="s">
        <v>19</v>
      </c>
      <c r="K263" s="2" t="s">
        <v>160</v>
      </c>
      <c r="L263" s="7" t="str">
        <f>HYPERLINK("http://slimages.macys.com/is/image/MCY/12258177 ")</f>
        <v xml:space="preserve">http://slimages.macys.com/is/image/MCY/12258177 </v>
      </c>
    </row>
    <row r="264" spans="1:12" ht="24.75" x14ac:dyDescent="0.25">
      <c r="A264" s="4" t="s">
        <v>3612</v>
      </c>
      <c r="B264" s="2" t="s">
        <v>2476</v>
      </c>
      <c r="C264" s="3">
        <v>1</v>
      </c>
      <c r="D264" s="5">
        <v>40.880000000000003</v>
      </c>
      <c r="E264" s="3" t="s">
        <v>2479</v>
      </c>
      <c r="F264" s="2" t="s">
        <v>1614</v>
      </c>
      <c r="G264" s="6" t="s">
        <v>156</v>
      </c>
      <c r="H264" s="2" t="s">
        <v>194</v>
      </c>
      <c r="I264" s="2" t="s">
        <v>195</v>
      </c>
      <c r="J264" s="2" t="s">
        <v>19</v>
      </c>
      <c r="K264" s="2" t="s">
        <v>34</v>
      </c>
      <c r="L264" s="7" t="str">
        <f>HYPERLINK("http://slimages.macys.com/is/image/MCY/11526932 ")</f>
        <v xml:space="preserve">http://slimages.macys.com/is/image/MCY/11526932 </v>
      </c>
    </row>
    <row r="265" spans="1:12" ht="24.75" x14ac:dyDescent="0.25">
      <c r="A265" s="4" t="s">
        <v>3620</v>
      </c>
      <c r="B265" s="2" t="s">
        <v>880</v>
      </c>
      <c r="C265" s="3">
        <v>1</v>
      </c>
      <c r="D265" s="5">
        <v>34.5</v>
      </c>
      <c r="E265" s="3">
        <v>100040729</v>
      </c>
      <c r="F265" s="2" t="s">
        <v>252</v>
      </c>
      <c r="G265" s="6" t="s">
        <v>58</v>
      </c>
      <c r="H265" s="2" t="s">
        <v>228</v>
      </c>
      <c r="I265" s="2" t="s">
        <v>229</v>
      </c>
      <c r="J265" s="2" t="s">
        <v>19</v>
      </c>
      <c r="K265" s="2" t="s">
        <v>230</v>
      </c>
      <c r="L265" s="7" t="str">
        <f>HYPERLINK("http://slimages.macys.com/is/image/MCY/3650189 ")</f>
        <v xml:space="preserve">http://slimages.macys.com/is/image/MCY/3650189 </v>
      </c>
    </row>
    <row r="266" spans="1:12" ht="24.75" x14ac:dyDescent="0.25">
      <c r="A266" s="4" t="s">
        <v>2480</v>
      </c>
      <c r="B266" s="2" t="s">
        <v>876</v>
      </c>
      <c r="C266" s="3">
        <v>1</v>
      </c>
      <c r="D266" s="5">
        <v>34.5</v>
      </c>
      <c r="E266" s="3" t="s">
        <v>877</v>
      </c>
      <c r="F266" s="2" t="s">
        <v>878</v>
      </c>
      <c r="G266" s="6" t="s">
        <v>205</v>
      </c>
      <c r="H266" s="2" t="s">
        <v>426</v>
      </c>
      <c r="I266" s="2" t="s">
        <v>229</v>
      </c>
      <c r="J266" s="2" t="s">
        <v>19</v>
      </c>
      <c r="K266" s="2" t="s">
        <v>253</v>
      </c>
      <c r="L266" s="7" t="str">
        <f>HYPERLINK("http://slimages.macys.com/is/image/MCY/1290325 ")</f>
        <v xml:space="preserve">http://slimages.macys.com/is/image/MCY/1290325 </v>
      </c>
    </row>
    <row r="267" spans="1:12" ht="24.75" x14ac:dyDescent="0.25">
      <c r="A267" s="4" t="s">
        <v>882</v>
      </c>
      <c r="B267" s="2" t="s">
        <v>880</v>
      </c>
      <c r="C267" s="3">
        <v>1</v>
      </c>
      <c r="D267" s="5">
        <v>34.5</v>
      </c>
      <c r="E267" s="3">
        <v>100040729</v>
      </c>
      <c r="F267" s="2" t="s">
        <v>252</v>
      </c>
      <c r="G267" s="6" t="s">
        <v>27</v>
      </c>
      <c r="H267" s="2" t="s">
        <v>228</v>
      </c>
      <c r="I267" s="2" t="s">
        <v>229</v>
      </c>
      <c r="J267" s="2" t="s">
        <v>19</v>
      </c>
      <c r="K267" s="2" t="s">
        <v>230</v>
      </c>
      <c r="L267" s="7" t="str">
        <f>HYPERLINK("http://slimages.macys.com/is/image/MCY/3650189 ")</f>
        <v xml:space="preserve">http://slimages.macys.com/is/image/MCY/3650189 </v>
      </c>
    </row>
    <row r="268" spans="1:12" ht="24.75" x14ac:dyDescent="0.25">
      <c r="A268" s="4" t="s">
        <v>3621</v>
      </c>
      <c r="B268" s="2" t="s">
        <v>876</v>
      </c>
      <c r="C268" s="3">
        <v>1</v>
      </c>
      <c r="D268" s="5">
        <v>34.5</v>
      </c>
      <c r="E268" s="3" t="s">
        <v>877</v>
      </c>
      <c r="F268" s="2" t="s">
        <v>878</v>
      </c>
      <c r="G268" s="6" t="s">
        <v>126</v>
      </c>
      <c r="H268" s="2" t="s">
        <v>426</v>
      </c>
      <c r="I268" s="2" t="s">
        <v>229</v>
      </c>
      <c r="J268" s="2" t="s">
        <v>19</v>
      </c>
      <c r="K268" s="2" t="s">
        <v>253</v>
      </c>
      <c r="L268" s="7" t="str">
        <f>HYPERLINK("http://slimages.macys.com/is/image/MCY/1290325 ")</f>
        <v xml:space="preserve">http://slimages.macys.com/is/image/MCY/1290325 </v>
      </c>
    </row>
    <row r="269" spans="1:12" ht="24.75" x14ac:dyDescent="0.25">
      <c r="A269" s="4" t="s">
        <v>8033</v>
      </c>
      <c r="B269" s="2" t="s">
        <v>811</v>
      </c>
      <c r="C269" s="3">
        <v>2</v>
      </c>
      <c r="D269" s="5">
        <v>36.5</v>
      </c>
      <c r="E269" s="3" t="s">
        <v>3628</v>
      </c>
      <c r="F269" s="2" t="s">
        <v>15</v>
      </c>
      <c r="G269" s="6" t="s">
        <v>234</v>
      </c>
      <c r="H269" s="2" t="s">
        <v>194</v>
      </c>
      <c r="I269" s="2" t="s">
        <v>195</v>
      </c>
      <c r="J269" s="2" t="s">
        <v>19</v>
      </c>
      <c r="K269" s="2" t="s">
        <v>160</v>
      </c>
      <c r="L269" s="7" t="str">
        <f>HYPERLINK("http://slimages.macys.com/is/image/MCY/11764562 ")</f>
        <v xml:space="preserve">http://slimages.macys.com/is/image/MCY/11764562 </v>
      </c>
    </row>
    <row r="270" spans="1:12" ht="24.75" x14ac:dyDescent="0.25">
      <c r="A270" s="4" t="s">
        <v>5640</v>
      </c>
      <c r="B270" s="2" t="s">
        <v>2483</v>
      </c>
      <c r="C270" s="3">
        <v>2</v>
      </c>
      <c r="D270" s="5">
        <v>34.880000000000003</v>
      </c>
      <c r="E270" s="3">
        <v>100058189</v>
      </c>
      <c r="F270" s="2" t="s">
        <v>15</v>
      </c>
      <c r="G270" s="6" t="s">
        <v>22</v>
      </c>
      <c r="H270" s="2" t="s">
        <v>194</v>
      </c>
      <c r="I270" s="2" t="s">
        <v>195</v>
      </c>
      <c r="J270" s="2" t="s">
        <v>19</v>
      </c>
      <c r="K270" s="2" t="s">
        <v>648</v>
      </c>
      <c r="L270" s="7" t="str">
        <f>HYPERLINK("http://slimages.macys.com/is/image/MCY/12802459 ")</f>
        <v xml:space="preserve">http://slimages.macys.com/is/image/MCY/12802459 </v>
      </c>
    </row>
    <row r="271" spans="1:12" ht="24.75" x14ac:dyDescent="0.25">
      <c r="A271" s="4" t="s">
        <v>8034</v>
      </c>
      <c r="B271" s="2" t="s">
        <v>2483</v>
      </c>
      <c r="C271" s="3">
        <v>2</v>
      </c>
      <c r="D271" s="5">
        <v>34.880000000000003</v>
      </c>
      <c r="E271" s="3">
        <v>100058189</v>
      </c>
      <c r="F271" s="2" t="s">
        <v>15</v>
      </c>
      <c r="G271" s="6" t="s">
        <v>106</v>
      </c>
      <c r="H271" s="2" t="s">
        <v>194</v>
      </c>
      <c r="I271" s="2" t="s">
        <v>195</v>
      </c>
      <c r="J271" s="2" t="s">
        <v>19</v>
      </c>
      <c r="K271" s="2" t="s">
        <v>648</v>
      </c>
      <c r="L271" s="7" t="str">
        <f>HYPERLINK("http://slimages.macys.com/is/image/MCY/12802459 ")</f>
        <v xml:space="preserve">http://slimages.macys.com/is/image/MCY/12802459 </v>
      </c>
    </row>
    <row r="272" spans="1:12" ht="24.75" x14ac:dyDescent="0.25">
      <c r="A272" s="4" t="s">
        <v>9488</v>
      </c>
      <c r="B272" s="2" t="s">
        <v>926</v>
      </c>
      <c r="C272" s="3">
        <v>1</v>
      </c>
      <c r="D272" s="5">
        <v>37.130000000000003</v>
      </c>
      <c r="E272" s="3">
        <v>100009311</v>
      </c>
      <c r="F272" s="2" t="s">
        <v>26</v>
      </c>
      <c r="G272" s="6" t="s">
        <v>16</v>
      </c>
      <c r="H272" s="2" t="s">
        <v>194</v>
      </c>
      <c r="I272" s="2" t="s">
        <v>928</v>
      </c>
      <c r="J272" s="2" t="s">
        <v>19</v>
      </c>
      <c r="K272" s="2" t="s">
        <v>929</v>
      </c>
      <c r="L272" s="7" t="str">
        <f>HYPERLINK("http://slimages.macys.com/is/image/MCY/10249270 ")</f>
        <v xml:space="preserve">http://slimages.macys.com/is/image/MCY/10249270 </v>
      </c>
    </row>
    <row r="273" spans="1:12" ht="24.75" x14ac:dyDescent="0.25">
      <c r="A273" s="4" t="s">
        <v>9489</v>
      </c>
      <c r="B273" s="2" t="s">
        <v>926</v>
      </c>
      <c r="C273" s="3">
        <v>1</v>
      </c>
      <c r="D273" s="5">
        <v>37.130000000000003</v>
      </c>
      <c r="E273" s="3">
        <v>100009311</v>
      </c>
      <c r="F273" s="2" t="s">
        <v>26</v>
      </c>
      <c r="G273" s="6" t="s">
        <v>65</v>
      </c>
      <c r="H273" s="2" t="s">
        <v>194</v>
      </c>
      <c r="I273" s="2" t="s">
        <v>928</v>
      </c>
      <c r="J273" s="2" t="s">
        <v>19</v>
      </c>
      <c r="K273" s="2" t="s">
        <v>929</v>
      </c>
      <c r="L273" s="7" t="str">
        <f>HYPERLINK("http://slimages.macys.com/is/image/MCY/10249270 ")</f>
        <v xml:space="preserve">http://slimages.macys.com/is/image/MCY/10249270 </v>
      </c>
    </row>
    <row r="274" spans="1:12" ht="24.75" x14ac:dyDescent="0.25">
      <c r="A274" s="4" t="s">
        <v>9490</v>
      </c>
      <c r="B274" s="2" t="s">
        <v>7931</v>
      </c>
      <c r="C274" s="3">
        <v>1</v>
      </c>
      <c r="D274" s="5">
        <v>40.880000000000003</v>
      </c>
      <c r="E274" s="3" t="s">
        <v>9491</v>
      </c>
      <c r="F274" s="2" t="s">
        <v>170</v>
      </c>
      <c r="G274" s="6" t="s">
        <v>234</v>
      </c>
      <c r="H274" s="2" t="s">
        <v>284</v>
      </c>
      <c r="I274" s="2" t="s">
        <v>285</v>
      </c>
      <c r="J274" s="2" t="s">
        <v>19</v>
      </c>
      <c r="K274" s="2" t="s">
        <v>160</v>
      </c>
      <c r="L274" s="7" t="str">
        <f>HYPERLINK("http://slimages.macys.com/is/image/MCY/11620914 ")</f>
        <v xml:space="preserve">http://slimages.macys.com/is/image/MCY/11620914 </v>
      </c>
    </row>
    <row r="275" spans="1:12" ht="24.75" x14ac:dyDescent="0.25">
      <c r="A275" s="4" t="s">
        <v>9492</v>
      </c>
      <c r="B275" s="2" t="s">
        <v>3644</v>
      </c>
      <c r="C275" s="3">
        <v>1</v>
      </c>
      <c r="D275" s="5">
        <v>39.99</v>
      </c>
      <c r="E275" s="3" t="s">
        <v>3645</v>
      </c>
      <c r="F275" s="2" t="s">
        <v>170</v>
      </c>
      <c r="G275" s="6" t="s">
        <v>219</v>
      </c>
      <c r="H275" s="2" t="s">
        <v>188</v>
      </c>
      <c r="I275" s="2" t="s">
        <v>189</v>
      </c>
      <c r="J275" s="2" t="s">
        <v>19</v>
      </c>
      <c r="K275" s="2" t="s">
        <v>1480</v>
      </c>
      <c r="L275" s="7" t="str">
        <f>HYPERLINK("http://slimages.macys.com/is/image/MCY/11153487 ")</f>
        <v xml:space="preserve">http://slimages.macys.com/is/image/MCY/11153487 </v>
      </c>
    </row>
    <row r="276" spans="1:12" ht="24.75" x14ac:dyDescent="0.25">
      <c r="A276" s="4" t="s">
        <v>9493</v>
      </c>
      <c r="B276" s="2" t="s">
        <v>901</v>
      </c>
      <c r="C276" s="3">
        <v>1</v>
      </c>
      <c r="D276" s="5">
        <v>39.5</v>
      </c>
      <c r="E276" s="3" t="s">
        <v>902</v>
      </c>
      <c r="F276" s="2" t="s">
        <v>417</v>
      </c>
      <c r="G276" s="6" t="s">
        <v>234</v>
      </c>
      <c r="H276" s="2" t="s">
        <v>194</v>
      </c>
      <c r="I276" s="2" t="s">
        <v>195</v>
      </c>
      <c r="J276" s="2" t="s">
        <v>19</v>
      </c>
      <c r="K276" s="2" t="s">
        <v>438</v>
      </c>
      <c r="L276" s="7" t="str">
        <f>HYPERLINK("http://slimages.macys.com/is/image/MCY/12143757 ")</f>
        <v xml:space="preserve">http://slimages.macys.com/is/image/MCY/12143757 </v>
      </c>
    </row>
    <row r="277" spans="1:12" ht="24.75" x14ac:dyDescent="0.25">
      <c r="A277" s="4" t="s">
        <v>9494</v>
      </c>
      <c r="B277" s="2" t="s">
        <v>9495</v>
      </c>
      <c r="C277" s="3">
        <v>1</v>
      </c>
      <c r="D277" s="5">
        <v>37.130000000000003</v>
      </c>
      <c r="E277" s="3">
        <v>100052283</v>
      </c>
      <c r="F277" s="2" t="s">
        <v>376</v>
      </c>
      <c r="G277" s="6" t="s">
        <v>65</v>
      </c>
      <c r="H277" s="2" t="s">
        <v>194</v>
      </c>
      <c r="I277" s="2" t="s">
        <v>503</v>
      </c>
      <c r="J277" s="2" t="s">
        <v>19</v>
      </c>
      <c r="K277" s="2" t="s">
        <v>353</v>
      </c>
      <c r="L277" s="7" t="str">
        <f>HYPERLINK("http://slimages.macys.com/is/image/MCY/11526759 ")</f>
        <v xml:space="preserve">http://slimages.macys.com/is/image/MCY/11526759 </v>
      </c>
    </row>
    <row r="278" spans="1:12" ht="24.75" x14ac:dyDescent="0.25">
      <c r="A278" s="4" t="s">
        <v>9496</v>
      </c>
      <c r="B278" s="2" t="s">
        <v>904</v>
      </c>
      <c r="C278" s="3">
        <v>1</v>
      </c>
      <c r="D278" s="5">
        <v>34.5</v>
      </c>
      <c r="E278" s="3">
        <v>100051031</v>
      </c>
      <c r="F278" s="2" t="s">
        <v>111</v>
      </c>
      <c r="G278" s="6" t="s">
        <v>156</v>
      </c>
      <c r="H278" s="2" t="s">
        <v>228</v>
      </c>
      <c r="I278" s="2" t="s">
        <v>229</v>
      </c>
      <c r="J278" s="2" t="s">
        <v>19</v>
      </c>
      <c r="K278" s="2" t="s">
        <v>353</v>
      </c>
      <c r="L278" s="7" t="str">
        <f>HYPERLINK("http://slimages.macys.com/is/image/MCY/11606163 ")</f>
        <v xml:space="preserve">http://slimages.macys.com/is/image/MCY/11606163 </v>
      </c>
    </row>
    <row r="279" spans="1:12" ht="24.75" x14ac:dyDescent="0.25">
      <c r="A279" s="4" t="s">
        <v>8595</v>
      </c>
      <c r="B279" s="2" t="s">
        <v>904</v>
      </c>
      <c r="C279" s="3">
        <v>2</v>
      </c>
      <c r="D279" s="5">
        <v>34.5</v>
      </c>
      <c r="E279" s="3">
        <v>100051031</v>
      </c>
      <c r="F279" s="2" t="s">
        <v>111</v>
      </c>
      <c r="G279" s="6" t="s">
        <v>245</v>
      </c>
      <c r="H279" s="2" t="s">
        <v>228</v>
      </c>
      <c r="I279" s="2" t="s">
        <v>229</v>
      </c>
      <c r="J279" s="2" t="s">
        <v>19</v>
      </c>
      <c r="K279" s="2" t="s">
        <v>353</v>
      </c>
      <c r="L279" s="7" t="str">
        <f>HYPERLINK("http://slimages.macys.com/is/image/MCY/11606163 ")</f>
        <v xml:space="preserve">http://slimages.macys.com/is/image/MCY/11606163 </v>
      </c>
    </row>
    <row r="280" spans="1:12" ht="24.75" x14ac:dyDescent="0.25">
      <c r="A280" s="4" t="s">
        <v>3647</v>
      </c>
      <c r="B280" s="2" t="s">
        <v>904</v>
      </c>
      <c r="C280" s="3">
        <v>1</v>
      </c>
      <c r="D280" s="5">
        <v>34.5</v>
      </c>
      <c r="E280" s="3" t="s">
        <v>905</v>
      </c>
      <c r="F280" s="2" t="s">
        <v>74</v>
      </c>
      <c r="G280" s="6" t="s">
        <v>156</v>
      </c>
      <c r="H280" s="2" t="s">
        <v>228</v>
      </c>
      <c r="I280" s="2" t="s">
        <v>229</v>
      </c>
      <c r="J280" s="2" t="s">
        <v>19</v>
      </c>
      <c r="K280" s="2" t="s">
        <v>253</v>
      </c>
      <c r="L280" s="7" t="str">
        <f>HYPERLINK("http://slimages.macys.com/is/image/MCY/12794164 ")</f>
        <v xml:space="preserve">http://slimages.macys.com/is/image/MCY/12794164 </v>
      </c>
    </row>
    <row r="281" spans="1:12" ht="24.75" x14ac:dyDescent="0.25">
      <c r="A281" s="4" t="s">
        <v>7293</v>
      </c>
      <c r="B281" s="2" t="s">
        <v>904</v>
      </c>
      <c r="C281" s="3">
        <v>1</v>
      </c>
      <c r="D281" s="5">
        <v>34.5</v>
      </c>
      <c r="E281" s="3">
        <v>100051031</v>
      </c>
      <c r="F281" s="2" t="s">
        <v>111</v>
      </c>
      <c r="G281" s="6" t="s">
        <v>234</v>
      </c>
      <c r="H281" s="2" t="s">
        <v>228</v>
      </c>
      <c r="I281" s="2" t="s">
        <v>229</v>
      </c>
      <c r="J281" s="2" t="s">
        <v>19</v>
      </c>
      <c r="K281" s="2" t="s">
        <v>353</v>
      </c>
      <c r="L281" s="7" t="str">
        <f>HYPERLINK("http://slimages.macys.com/is/image/MCY/11606163 ")</f>
        <v xml:space="preserve">http://slimages.macys.com/is/image/MCY/11606163 </v>
      </c>
    </row>
    <row r="282" spans="1:12" ht="24.75" x14ac:dyDescent="0.25">
      <c r="A282" s="4" t="s">
        <v>9497</v>
      </c>
      <c r="B282" s="2" t="s">
        <v>909</v>
      </c>
      <c r="C282" s="3">
        <v>1</v>
      </c>
      <c r="D282" s="5">
        <v>40.880000000000003</v>
      </c>
      <c r="E282" s="3" t="s">
        <v>910</v>
      </c>
      <c r="F282" s="2" t="s">
        <v>1584</v>
      </c>
      <c r="G282" s="6" t="s">
        <v>112</v>
      </c>
      <c r="H282" s="2" t="s">
        <v>246</v>
      </c>
      <c r="I282" s="2" t="s">
        <v>189</v>
      </c>
      <c r="J282" s="2" t="s">
        <v>19</v>
      </c>
      <c r="K282" s="2" t="s">
        <v>648</v>
      </c>
      <c r="L282" s="7" t="str">
        <f>HYPERLINK("http://slimages.macys.com/is/image/MCY/11940216 ")</f>
        <v xml:space="preserve">http://slimages.macys.com/is/image/MCY/11940216 </v>
      </c>
    </row>
    <row r="283" spans="1:12" ht="24.75" x14ac:dyDescent="0.25">
      <c r="A283" s="4" t="s">
        <v>9498</v>
      </c>
      <c r="B283" s="2" t="s">
        <v>909</v>
      </c>
      <c r="C283" s="3">
        <v>1</v>
      </c>
      <c r="D283" s="5">
        <v>40.880000000000003</v>
      </c>
      <c r="E283" s="3" t="s">
        <v>910</v>
      </c>
      <c r="F283" s="2" t="s">
        <v>911</v>
      </c>
      <c r="G283" s="6" t="s">
        <v>22</v>
      </c>
      <c r="H283" s="2" t="s">
        <v>246</v>
      </c>
      <c r="I283" s="2" t="s">
        <v>189</v>
      </c>
      <c r="J283" s="2" t="s">
        <v>19</v>
      </c>
      <c r="K283" s="2" t="s">
        <v>648</v>
      </c>
      <c r="L283" s="7" t="str">
        <f>HYPERLINK("http://slimages.macys.com/is/image/MCY/11940216 ")</f>
        <v xml:space="preserve">http://slimages.macys.com/is/image/MCY/11940216 </v>
      </c>
    </row>
    <row r="284" spans="1:12" ht="24.75" x14ac:dyDescent="0.25">
      <c r="A284" s="4" t="s">
        <v>8056</v>
      </c>
      <c r="B284" s="2" t="s">
        <v>909</v>
      </c>
      <c r="C284" s="3">
        <v>1</v>
      </c>
      <c r="D284" s="5">
        <v>40.880000000000003</v>
      </c>
      <c r="E284" s="3" t="s">
        <v>7295</v>
      </c>
      <c r="F284" s="2" t="s">
        <v>1584</v>
      </c>
      <c r="G284" s="6" t="s">
        <v>165</v>
      </c>
      <c r="H284" s="2" t="s">
        <v>188</v>
      </c>
      <c r="I284" s="2" t="s">
        <v>189</v>
      </c>
      <c r="J284" s="2" t="s">
        <v>19</v>
      </c>
      <c r="K284" s="2" t="s">
        <v>648</v>
      </c>
      <c r="L284" s="7" t="str">
        <f>HYPERLINK("http://slimages.macys.com/is/image/MCY/12268099 ")</f>
        <v xml:space="preserve">http://slimages.macys.com/is/image/MCY/12268099 </v>
      </c>
    </row>
    <row r="285" spans="1:12" ht="24.75" x14ac:dyDescent="0.25">
      <c r="A285" s="4" t="s">
        <v>9499</v>
      </c>
      <c r="B285" s="2" t="s">
        <v>4735</v>
      </c>
      <c r="C285" s="3">
        <v>1</v>
      </c>
      <c r="D285" s="5">
        <v>59.5</v>
      </c>
      <c r="E285" s="3" t="s">
        <v>4736</v>
      </c>
      <c r="F285" s="2" t="s">
        <v>15</v>
      </c>
      <c r="G285" s="6" t="s">
        <v>141</v>
      </c>
      <c r="H285" s="2" t="s">
        <v>386</v>
      </c>
      <c r="I285" s="2" t="s">
        <v>207</v>
      </c>
      <c r="J285" s="2" t="s">
        <v>19</v>
      </c>
      <c r="K285" s="2" t="s">
        <v>338</v>
      </c>
      <c r="L285" s="7" t="str">
        <f>HYPERLINK("http://slimages.macys.com/is/image/MCY/9477976 ")</f>
        <v xml:space="preserve">http://slimages.macys.com/is/image/MCY/9477976 </v>
      </c>
    </row>
    <row r="286" spans="1:12" ht="24.75" x14ac:dyDescent="0.25">
      <c r="A286" s="4" t="s">
        <v>921</v>
      </c>
      <c r="B286" s="2" t="s">
        <v>917</v>
      </c>
      <c r="C286" s="3">
        <v>1</v>
      </c>
      <c r="D286" s="5">
        <v>37.130000000000003</v>
      </c>
      <c r="E286" s="3" t="s">
        <v>918</v>
      </c>
      <c r="F286" s="2" t="s">
        <v>26</v>
      </c>
      <c r="G286" s="6"/>
      <c r="H286" s="2" t="s">
        <v>312</v>
      </c>
      <c r="I286" s="2" t="s">
        <v>919</v>
      </c>
      <c r="J286" s="2" t="s">
        <v>19</v>
      </c>
      <c r="K286" s="2" t="s">
        <v>409</v>
      </c>
      <c r="L286" s="7" t="str">
        <f>HYPERLINK("http://slimages.macys.com/is/image/MCY/11144334 ")</f>
        <v xml:space="preserve">http://slimages.macys.com/is/image/MCY/11144334 </v>
      </c>
    </row>
    <row r="287" spans="1:12" ht="24.75" x14ac:dyDescent="0.25">
      <c r="A287" s="4" t="s">
        <v>4738</v>
      </c>
      <c r="B287" s="2" t="s">
        <v>936</v>
      </c>
      <c r="C287" s="3">
        <v>1</v>
      </c>
      <c r="D287" s="5">
        <v>34.5</v>
      </c>
      <c r="E287" s="3">
        <v>100025268</v>
      </c>
      <c r="F287" s="2" t="s">
        <v>417</v>
      </c>
      <c r="G287" s="6" t="s">
        <v>16</v>
      </c>
      <c r="H287" s="2" t="s">
        <v>228</v>
      </c>
      <c r="I287" s="2" t="s">
        <v>229</v>
      </c>
      <c r="J287" s="2" t="s">
        <v>19</v>
      </c>
      <c r="K287" s="2" t="s">
        <v>230</v>
      </c>
      <c r="L287" s="7" t="str">
        <f>HYPERLINK("http://slimages.macys.com/is/image/MCY/10985237 ")</f>
        <v xml:space="preserve">http://slimages.macys.com/is/image/MCY/10985237 </v>
      </c>
    </row>
    <row r="288" spans="1:12" ht="24.75" x14ac:dyDescent="0.25">
      <c r="A288" s="4" t="s">
        <v>5651</v>
      </c>
      <c r="B288" s="2" t="s">
        <v>453</v>
      </c>
      <c r="C288" s="3">
        <v>1</v>
      </c>
      <c r="D288" s="5">
        <v>37.130000000000003</v>
      </c>
      <c r="E288" s="3" t="s">
        <v>721</v>
      </c>
      <c r="F288" s="2" t="s">
        <v>74</v>
      </c>
      <c r="G288" s="6" t="s">
        <v>234</v>
      </c>
      <c r="H288" s="2" t="s">
        <v>284</v>
      </c>
      <c r="I288" s="2" t="s">
        <v>285</v>
      </c>
      <c r="J288" s="2" t="s">
        <v>19</v>
      </c>
      <c r="K288" s="2" t="s">
        <v>323</v>
      </c>
      <c r="L288" s="7" t="str">
        <f>HYPERLINK("http://slimages.macys.com/is/image/MCY/9678668 ")</f>
        <v xml:space="preserve">http://slimages.macys.com/is/image/MCY/9678668 </v>
      </c>
    </row>
    <row r="289" spans="1:12" ht="24.75" x14ac:dyDescent="0.25">
      <c r="A289" s="4" t="s">
        <v>932</v>
      </c>
      <c r="B289" s="2" t="s">
        <v>926</v>
      </c>
      <c r="C289" s="3">
        <v>1</v>
      </c>
      <c r="D289" s="5">
        <v>37.130000000000003</v>
      </c>
      <c r="E289" s="3" t="s">
        <v>927</v>
      </c>
      <c r="F289" s="2" t="s">
        <v>170</v>
      </c>
      <c r="G289" s="6" t="s">
        <v>205</v>
      </c>
      <c r="H289" s="2" t="s">
        <v>312</v>
      </c>
      <c r="I289" s="2" t="s">
        <v>928</v>
      </c>
      <c r="J289" s="2" t="s">
        <v>19</v>
      </c>
      <c r="K289" s="2" t="s">
        <v>929</v>
      </c>
      <c r="L289" s="7" t="str">
        <f>HYPERLINK("http://slimages.macys.com/is/image/MCY/9300257 ")</f>
        <v xml:space="preserve">http://slimages.macys.com/is/image/MCY/9300257 </v>
      </c>
    </row>
    <row r="290" spans="1:12" ht="24.75" x14ac:dyDescent="0.25">
      <c r="A290" s="4" t="s">
        <v>2495</v>
      </c>
      <c r="B290" s="2" t="s">
        <v>2496</v>
      </c>
      <c r="C290" s="3">
        <v>1</v>
      </c>
      <c r="D290" s="5">
        <v>37.130000000000003</v>
      </c>
      <c r="E290" s="3" t="s">
        <v>2497</v>
      </c>
      <c r="F290" s="2" t="s">
        <v>252</v>
      </c>
      <c r="G290" s="6" t="s">
        <v>234</v>
      </c>
      <c r="H290" s="2" t="s">
        <v>194</v>
      </c>
      <c r="I290" s="2" t="s">
        <v>307</v>
      </c>
      <c r="J290" s="2" t="s">
        <v>19</v>
      </c>
      <c r="K290" s="2" t="s">
        <v>160</v>
      </c>
      <c r="L290" s="7" t="str">
        <f>HYPERLINK("http://slimages.macys.com/is/image/MCY/12316773 ")</f>
        <v xml:space="preserve">http://slimages.macys.com/is/image/MCY/12316773 </v>
      </c>
    </row>
    <row r="291" spans="1:12" ht="36.75" x14ac:dyDescent="0.25">
      <c r="A291" s="4" t="s">
        <v>9500</v>
      </c>
      <c r="B291" s="2" t="s">
        <v>9501</v>
      </c>
      <c r="C291" s="3">
        <v>1</v>
      </c>
      <c r="D291" s="5">
        <v>69.5</v>
      </c>
      <c r="E291" s="3" t="s">
        <v>9502</v>
      </c>
      <c r="F291" s="2" t="s">
        <v>74</v>
      </c>
      <c r="G291" s="6" t="s">
        <v>126</v>
      </c>
      <c r="H291" s="2" t="s">
        <v>206</v>
      </c>
      <c r="I291" s="2" t="s">
        <v>1010</v>
      </c>
      <c r="J291" s="2" t="s">
        <v>19</v>
      </c>
      <c r="K291" s="2" t="s">
        <v>9503</v>
      </c>
      <c r="L291" s="7" t="str">
        <f>HYPERLINK("http://slimages.macys.com/is/image/MCY/13404361 ")</f>
        <v xml:space="preserve">http://slimages.macys.com/is/image/MCY/13404361 </v>
      </c>
    </row>
    <row r="292" spans="1:12" ht="24.75" x14ac:dyDescent="0.25">
      <c r="A292" s="4" t="s">
        <v>5658</v>
      </c>
      <c r="B292" s="2" t="s">
        <v>2460</v>
      </c>
      <c r="C292" s="3">
        <v>1</v>
      </c>
      <c r="D292" s="5">
        <v>34.880000000000003</v>
      </c>
      <c r="E292" s="3">
        <v>100009313</v>
      </c>
      <c r="F292" s="2" t="s">
        <v>376</v>
      </c>
      <c r="G292" s="6" t="s">
        <v>16</v>
      </c>
      <c r="H292" s="2" t="s">
        <v>194</v>
      </c>
      <c r="I292" s="2" t="s">
        <v>503</v>
      </c>
      <c r="J292" s="2" t="s">
        <v>19</v>
      </c>
      <c r="K292" s="2" t="s">
        <v>353</v>
      </c>
      <c r="L292" s="7" t="str">
        <f>HYPERLINK("http://slimages.macys.com/is/image/MCY/9340611 ")</f>
        <v xml:space="preserve">http://slimages.macys.com/is/image/MCY/9340611 </v>
      </c>
    </row>
    <row r="293" spans="1:12" ht="24.75" x14ac:dyDescent="0.25">
      <c r="A293" s="4" t="s">
        <v>9038</v>
      </c>
      <c r="B293" s="2" t="s">
        <v>948</v>
      </c>
      <c r="C293" s="3">
        <v>1</v>
      </c>
      <c r="D293" s="5">
        <v>34.880000000000003</v>
      </c>
      <c r="E293" s="3">
        <v>100038962</v>
      </c>
      <c r="F293" s="2" t="s">
        <v>376</v>
      </c>
      <c r="G293" s="6" t="s">
        <v>112</v>
      </c>
      <c r="H293" s="2" t="s">
        <v>194</v>
      </c>
      <c r="I293" s="2" t="s">
        <v>195</v>
      </c>
      <c r="J293" s="2" t="s">
        <v>19</v>
      </c>
      <c r="K293" s="2" t="s">
        <v>353</v>
      </c>
      <c r="L293" s="7" t="str">
        <f t="shared" ref="L293:L298" si="1">HYPERLINK("http://slimages.macys.com/is/image/MCY/11145019 ")</f>
        <v xml:space="preserve">http://slimages.macys.com/is/image/MCY/11145019 </v>
      </c>
    </row>
    <row r="294" spans="1:12" ht="24.75" x14ac:dyDescent="0.25">
      <c r="A294" s="4" t="s">
        <v>5673</v>
      </c>
      <c r="B294" s="2" t="s">
        <v>948</v>
      </c>
      <c r="C294" s="3">
        <v>1</v>
      </c>
      <c r="D294" s="5">
        <v>34.880000000000003</v>
      </c>
      <c r="E294" s="3">
        <v>100038962</v>
      </c>
      <c r="F294" s="2" t="s">
        <v>64</v>
      </c>
      <c r="G294" s="6" t="s">
        <v>22</v>
      </c>
      <c r="H294" s="2" t="s">
        <v>194</v>
      </c>
      <c r="I294" s="2" t="s">
        <v>195</v>
      </c>
      <c r="J294" s="2" t="s">
        <v>19</v>
      </c>
      <c r="K294" s="2" t="s">
        <v>353</v>
      </c>
      <c r="L294" s="7" t="str">
        <f t="shared" si="1"/>
        <v xml:space="preserve">http://slimages.macys.com/is/image/MCY/11145019 </v>
      </c>
    </row>
    <row r="295" spans="1:12" ht="24.75" x14ac:dyDescent="0.25">
      <c r="A295" s="4" t="s">
        <v>5676</v>
      </c>
      <c r="B295" s="2" t="s">
        <v>948</v>
      </c>
      <c r="C295" s="3">
        <v>1</v>
      </c>
      <c r="D295" s="5">
        <v>34.880000000000003</v>
      </c>
      <c r="E295" s="3">
        <v>100038962</v>
      </c>
      <c r="F295" s="2" t="s">
        <v>64</v>
      </c>
      <c r="G295" s="6" t="s">
        <v>141</v>
      </c>
      <c r="H295" s="2" t="s">
        <v>194</v>
      </c>
      <c r="I295" s="2" t="s">
        <v>195</v>
      </c>
      <c r="J295" s="2" t="s">
        <v>19</v>
      </c>
      <c r="K295" s="2" t="s">
        <v>353</v>
      </c>
      <c r="L295" s="7" t="str">
        <f t="shared" si="1"/>
        <v xml:space="preserve">http://slimages.macys.com/is/image/MCY/11145019 </v>
      </c>
    </row>
    <row r="296" spans="1:12" ht="24.75" x14ac:dyDescent="0.25">
      <c r="A296" s="4" t="s">
        <v>5664</v>
      </c>
      <c r="B296" s="2" t="s">
        <v>948</v>
      </c>
      <c r="C296" s="3">
        <v>1</v>
      </c>
      <c r="D296" s="5">
        <v>34.880000000000003</v>
      </c>
      <c r="E296" s="3">
        <v>100038962</v>
      </c>
      <c r="F296" s="2" t="s">
        <v>64</v>
      </c>
      <c r="G296" s="6" t="s">
        <v>65</v>
      </c>
      <c r="H296" s="2" t="s">
        <v>194</v>
      </c>
      <c r="I296" s="2" t="s">
        <v>195</v>
      </c>
      <c r="J296" s="2" t="s">
        <v>19</v>
      </c>
      <c r="K296" s="2" t="s">
        <v>353</v>
      </c>
      <c r="L296" s="7" t="str">
        <f t="shared" si="1"/>
        <v xml:space="preserve">http://slimages.macys.com/is/image/MCY/11145019 </v>
      </c>
    </row>
    <row r="297" spans="1:12" ht="24.75" x14ac:dyDescent="0.25">
      <c r="A297" s="4" t="s">
        <v>2499</v>
      </c>
      <c r="B297" s="2" t="s">
        <v>948</v>
      </c>
      <c r="C297" s="3">
        <v>1</v>
      </c>
      <c r="D297" s="5">
        <v>34.880000000000003</v>
      </c>
      <c r="E297" s="3">
        <v>100038962</v>
      </c>
      <c r="F297" s="2" t="s">
        <v>376</v>
      </c>
      <c r="G297" s="6" t="s">
        <v>16</v>
      </c>
      <c r="H297" s="2" t="s">
        <v>194</v>
      </c>
      <c r="I297" s="2" t="s">
        <v>195</v>
      </c>
      <c r="J297" s="2" t="s">
        <v>19</v>
      </c>
      <c r="K297" s="2" t="s">
        <v>353</v>
      </c>
      <c r="L297" s="7" t="str">
        <f t="shared" si="1"/>
        <v xml:space="preserve">http://slimages.macys.com/is/image/MCY/11145019 </v>
      </c>
    </row>
    <row r="298" spans="1:12" ht="24.75" x14ac:dyDescent="0.25">
      <c r="A298" s="4" t="s">
        <v>5672</v>
      </c>
      <c r="B298" s="2" t="s">
        <v>948</v>
      </c>
      <c r="C298" s="3">
        <v>1</v>
      </c>
      <c r="D298" s="5">
        <v>34.880000000000003</v>
      </c>
      <c r="E298" s="3">
        <v>100038962</v>
      </c>
      <c r="F298" s="2" t="s">
        <v>64</v>
      </c>
      <c r="G298" s="6" t="s">
        <v>106</v>
      </c>
      <c r="H298" s="2" t="s">
        <v>194</v>
      </c>
      <c r="I298" s="2" t="s">
        <v>195</v>
      </c>
      <c r="J298" s="2" t="s">
        <v>19</v>
      </c>
      <c r="K298" s="2" t="s">
        <v>353</v>
      </c>
      <c r="L298" s="7" t="str">
        <f t="shared" si="1"/>
        <v xml:space="preserve">http://slimages.macys.com/is/image/MCY/11145019 </v>
      </c>
    </row>
    <row r="299" spans="1:12" ht="24.75" x14ac:dyDescent="0.25">
      <c r="A299" s="4" t="s">
        <v>2502</v>
      </c>
      <c r="B299" s="2" t="s">
        <v>954</v>
      </c>
      <c r="C299" s="3">
        <v>1</v>
      </c>
      <c r="D299" s="5">
        <v>44.63</v>
      </c>
      <c r="E299" s="3" t="s">
        <v>955</v>
      </c>
      <c r="F299" s="2" t="s">
        <v>956</v>
      </c>
      <c r="G299" s="6" t="s">
        <v>181</v>
      </c>
      <c r="H299" s="2" t="s">
        <v>194</v>
      </c>
      <c r="I299" s="2" t="s">
        <v>195</v>
      </c>
      <c r="J299" s="2" t="s">
        <v>19</v>
      </c>
      <c r="K299" s="2" t="s">
        <v>438</v>
      </c>
      <c r="L299" s="7" t="str">
        <f>HYPERLINK("http://slimages.macys.com/is/image/MCY/12794040 ")</f>
        <v xml:space="preserve">http://slimages.macys.com/is/image/MCY/12794040 </v>
      </c>
    </row>
    <row r="300" spans="1:12" ht="24.75" x14ac:dyDescent="0.25">
      <c r="A300" s="4" t="s">
        <v>9504</v>
      </c>
      <c r="B300" s="2" t="s">
        <v>954</v>
      </c>
      <c r="C300" s="3">
        <v>1</v>
      </c>
      <c r="D300" s="5">
        <v>44.63</v>
      </c>
      <c r="E300" s="3" t="s">
        <v>955</v>
      </c>
      <c r="F300" s="2" t="s">
        <v>956</v>
      </c>
      <c r="G300" s="6" t="s">
        <v>154</v>
      </c>
      <c r="H300" s="2" t="s">
        <v>194</v>
      </c>
      <c r="I300" s="2" t="s">
        <v>195</v>
      </c>
      <c r="J300" s="2" t="s">
        <v>19</v>
      </c>
      <c r="K300" s="2" t="s">
        <v>438</v>
      </c>
      <c r="L300" s="7" t="str">
        <f>HYPERLINK("http://slimages.macys.com/is/image/MCY/12794040 ")</f>
        <v xml:space="preserve">http://slimages.macys.com/is/image/MCY/12794040 </v>
      </c>
    </row>
    <row r="301" spans="1:12" ht="24.75" x14ac:dyDescent="0.25">
      <c r="A301" s="4" t="s">
        <v>3669</v>
      </c>
      <c r="B301" s="2" t="s">
        <v>890</v>
      </c>
      <c r="C301" s="3">
        <v>1</v>
      </c>
      <c r="D301" s="5">
        <v>34.5</v>
      </c>
      <c r="E301" s="3" t="s">
        <v>3670</v>
      </c>
      <c r="F301" s="2" t="s">
        <v>15</v>
      </c>
      <c r="G301" s="6" t="s">
        <v>3671</v>
      </c>
      <c r="H301" s="2" t="s">
        <v>228</v>
      </c>
      <c r="I301" s="2" t="s">
        <v>863</v>
      </c>
      <c r="J301" s="2" t="s">
        <v>19</v>
      </c>
      <c r="K301" s="2" t="s">
        <v>253</v>
      </c>
      <c r="L301" s="7" t="str">
        <f>HYPERLINK("http://slimages.macys.com/is/image/MCY/9864908 ")</f>
        <v xml:space="preserve">http://slimages.macys.com/is/image/MCY/9864908 </v>
      </c>
    </row>
    <row r="302" spans="1:12" ht="36.75" x14ac:dyDescent="0.25">
      <c r="A302" s="4" t="s">
        <v>4744</v>
      </c>
      <c r="B302" s="2" t="s">
        <v>961</v>
      </c>
      <c r="C302" s="3">
        <v>1</v>
      </c>
      <c r="D302" s="5">
        <v>40.880000000000003</v>
      </c>
      <c r="E302" s="3">
        <v>100026212</v>
      </c>
      <c r="F302" s="2" t="s">
        <v>15</v>
      </c>
      <c r="G302" s="6" t="s">
        <v>154</v>
      </c>
      <c r="H302" s="2" t="s">
        <v>194</v>
      </c>
      <c r="I302" s="2" t="s">
        <v>195</v>
      </c>
      <c r="J302" s="2" t="s">
        <v>19</v>
      </c>
      <c r="K302" s="2" t="s">
        <v>962</v>
      </c>
      <c r="L302" s="7" t="str">
        <f>HYPERLINK("http://slimages.macys.com/is/image/MCY/10139221 ")</f>
        <v xml:space="preserve">http://slimages.macys.com/is/image/MCY/10139221 </v>
      </c>
    </row>
    <row r="303" spans="1:12" ht="36.75" x14ac:dyDescent="0.25">
      <c r="A303" s="4" t="s">
        <v>9505</v>
      </c>
      <c r="B303" s="2" t="s">
        <v>961</v>
      </c>
      <c r="C303" s="3">
        <v>1</v>
      </c>
      <c r="D303" s="5">
        <v>40.880000000000003</v>
      </c>
      <c r="E303" s="3">
        <v>100026212</v>
      </c>
      <c r="F303" s="2" t="s">
        <v>79</v>
      </c>
      <c r="G303" s="6" t="s">
        <v>154</v>
      </c>
      <c r="H303" s="2" t="s">
        <v>194</v>
      </c>
      <c r="I303" s="2" t="s">
        <v>195</v>
      </c>
      <c r="J303" s="2" t="s">
        <v>19</v>
      </c>
      <c r="K303" s="2" t="s">
        <v>962</v>
      </c>
      <c r="L303" s="7" t="str">
        <f>HYPERLINK("http://slimages.macys.com/is/image/MCY/10139221 ")</f>
        <v xml:space="preserve">http://slimages.macys.com/is/image/MCY/10139221 </v>
      </c>
    </row>
    <row r="304" spans="1:12" ht="36.75" x14ac:dyDescent="0.25">
      <c r="A304" s="4" t="s">
        <v>9506</v>
      </c>
      <c r="B304" s="2" t="s">
        <v>964</v>
      </c>
      <c r="C304" s="3">
        <v>1</v>
      </c>
      <c r="D304" s="5">
        <v>37.130000000000003</v>
      </c>
      <c r="E304" s="3">
        <v>100026210</v>
      </c>
      <c r="F304" s="2" t="s">
        <v>125</v>
      </c>
      <c r="G304" s="6" t="s">
        <v>154</v>
      </c>
      <c r="H304" s="2" t="s">
        <v>194</v>
      </c>
      <c r="I304" s="2" t="s">
        <v>195</v>
      </c>
      <c r="J304" s="2" t="s">
        <v>19</v>
      </c>
      <c r="K304" s="2" t="s">
        <v>965</v>
      </c>
      <c r="L304" s="7" t="str">
        <f>HYPERLINK("http://slimages.macys.com/is/image/MCY/9714233 ")</f>
        <v xml:space="preserve">http://slimages.macys.com/is/image/MCY/9714233 </v>
      </c>
    </row>
    <row r="305" spans="1:12" ht="24.75" x14ac:dyDescent="0.25">
      <c r="A305" s="4" t="s">
        <v>9507</v>
      </c>
      <c r="B305" s="2" t="s">
        <v>9508</v>
      </c>
      <c r="C305" s="3">
        <v>1</v>
      </c>
      <c r="D305" s="5">
        <v>27.99</v>
      </c>
      <c r="E305" s="3">
        <v>100011587</v>
      </c>
      <c r="F305" s="2" t="s">
        <v>74</v>
      </c>
      <c r="G305" s="6" t="s">
        <v>181</v>
      </c>
      <c r="H305" s="2" t="s">
        <v>194</v>
      </c>
      <c r="I305" s="2" t="s">
        <v>1922</v>
      </c>
      <c r="J305" s="2" t="s">
        <v>19</v>
      </c>
      <c r="K305" s="2" t="s">
        <v>338</v>
      </c>
      <c r="L305" s="7" t="str">
        <f>HYPERLINK("http://slimages.macys.com/is/image/MCY/10043958 ")</f>
        <v xml:space="preserve">http://slimages.macys.com/is/image/MCY/10043958 </v>
      </c>
    </row>
    <row r="306" spans="1:12" ht="24.75" x14ac:dyDescent="0.25">
      <c r="A306" s="4" t="s">
        <v>9509</v>
      </c>
      <c r="B306" s="2" t="s">
        <v>4746</v>
      </c>
      <c r="C306" s="3">
        <v>1</v>
      </c>
      <c r="D306" s="5">
        <v>37.130000000000003</v>
      </c>
      <c r="E306" s="3" t="s">
        <v>8607</v>
      </c>
      <c r="F306" s="2" t="s">
        <v>26</v>
      </c>
      <c r="G306" s="6" t="s">
        <v>234</v>
      </c>
      <c r="H306" s="2" t="s">
        <v>284</v>
      </c>
      <c r="I306" s="2" t="s">
        <v>408</v>
      </c>
      <c r="J306" s="2" t="s">
        <v>19</v>
      </c>
      <c r="K306" s="2" t="s">
        <v>409</v>
      </c>
      <c r="L306" s="7" t="str">
        <f>HYPERLINK("http://slimages.macys.com/is/image/MCY/11957298 ")</f>
        <v xml:space="preserve">http://slimages.macys.com/is/image/MCY/11957298 </v>
      </c>
    </row>
    <row r="307" spans="1:12" ht="24.75" x14ac:dyDescent="0.25">
      <c r="A307" s="4" t="s">
        <v>9510</v>
      </c>
      <c r="B307" s="2" t="s">
        <v>3683</v>
      </c>
      <c r="C307" s="3">
        <v>1</v>
      </c>
      <c r="D307" s="5">
        <v>45</v>
      </c>
      <c r="E307" s="3" t="s">
        <v>3684</v>
      </c>
      <c r="F307" s="2" t="s">
        <v>94</v>
      </c>
      <c r="G307" s="6" t="s">
        <v>794</v>
      </c>
      <c r="H307" s="2" t="s">
        <v>447</v>
      </c>
      <c r="I307" s="2" t="s">
        <v>792</v>
      </c>
      <c r="J307" s="2" t="s">
        <v>19</v>
      </c>
      <c r="K307" s="2" t="s">
        <v>160</v>
      </c>
      <c r="L307" s="7" t="str">
        <f>HYPERLINK("http://slimages.macys.com/is/image/MCY/12768079 ")</f>
        <v xml:space="preserve">http://slimages.macys.com/is/image/MCY/12768079 </v>
      </c>
    </row>
    <row r="308" spans="1:12" ht="24.75" x14ac:dyDescent="0.25">
      <c r="A308" s="4" t="s">
        <v>2507</v>
      </c>
      <c r="B308" s="2" t="s">
        <v>641</v>
      </c>
      <c r="C308" s="3">
        <v>1</v>
      </c>
      <c r="D308" s="5">
        <v>29.99</v>
      </c>
      <c r="E308" s="3" t="s">
        <v>977</v>
      </c>
      <c r="F308" s="2" t="s">
        <v>74</v>
      </c>
      <c r="G308" s="6" t="s">
        <v>156</v>
      </c>
      <c r="H308" s="2" t="s">
        <v>284</v>
      </c>
      <c r="I308" s="2" t="s">
        <v>408</v>
      </c>
      <c r="J308" s="2" t="s">
        <v>19</v>
      </c>
      <c r="K308" s="2" t="s">
        <v>409</v>
      </c>
      <c r="L308" s="7" t="str">
        <f>HYPERLINK("http://slimages.macys.com/is/image/MCY/9387631 ")</f>
        <v xml:space="preserve">http://slimages.macys.com/is/image/MCY/9387631 </v>
      </c>
    </row>
    <row r="309" spans="1:12" ht="24.75" x14ac:dyDescent="0.25">
      <c r="A309" s="4" t="s">
        <v>9511</v>
      </c>
      <c r="B309" s="2" t="s">
        <v>3683</v>
      </c>
      <c r="C309" s="3">
        <v>1</v>
      </c>
      <c r="D309" s="5">
        <v>45</v>
      </c>
      <c r="E309" s="3" t="s">
        <v>3684</v>
      </c>
      <c r="F309" s="2" t="s">
        <v>94</v>
      </c>
      <c r="G309" s="6"/>
      <c r="H309" s="2" t="s">
        <v>447</v>
      </c>
      <c r="I309" s="2" t="s">
        <v>792</v>
      </c>
      <c r="J309" s="2" t="s">
        <v>19</v>
      </c>
      <c r="K309" s="2" t="s">
        <v>160</v>
      </c>
      <c r="L309" s="7" t="str">
        <f>HYPERLINK("http://slimages.macys.com/is/image/MCY/12768079 ")</f>
        <v xml:space="preserve">http://slimages.macys.com/is/image/MCY/12768079 </v>
      </c>
    </row>
    <row r="310" spans="1:12" ht="24.75" x14ac:dyDescent="0.25">
      <c r="A310" s="4" t="s">
        <v>9512</v>
      </c>
      <c r="B310" s="2" t="s">
        <v>9513</v>
      </c>
      <c r="C310" s="3">
        <v>2</v>
      </c>
      <c r="D310" s="5">
        <v>45</v>
      </c>
      <c r="E310" s="3" t="s">
        <v>9514</v>
      </c>
      <c r="F310" s="2" t="s">
        <v>74</v>
      </c>
      <c r="G310" s="6" t="s">
        <v>791</v>
      </c>
      <c r="H310" s="2" t="s">
        <v>447</v>
      </c>
      <c r="I310" s="2" t="s">
        <v>792</v>
      </c>
      <c r="J310" s="2" t="s">
        <v>19</v>
      </c>
      <c r="K310" s="2" t="s">
        <v>160</v>
      </c>
      <c r="L310" s="7" t="str">
        <f>HYPERLINK("http://slimages.macys.com/is/image/MCY/11626989 ")</f>
        <v xml:space="preserve">http://slimages.macys.com/is/image/MCY/11626989 </v>
      </c>
    </row>
    <row r="311" spans="1:12" ht="24.75" x14ac:dyDescent="0.25">
      <c r="A311" s="4" t="s">
        <v>9515</v>
      </c>
      <c r="B311" s="2" t="s">
        <v>4746</v>
      </c>
      <c r="C311" s="3">
        <v>1</v>
      </c>
      <c r="D311" s="5">
        <v>36.5</v>
      </c>
      <c r="E311" s="3" t="s">
        <v>4747</v>
      </c>
      <c r="F311" s="2" t="s">
        <v>74</v>
      </c>
      <c r="G311" s="6" t="s">
        <v>200</v>
      </c>
      <c r="H311" s="2" t="s">
        <v>284</v>
      </c>
      <c r="I311" s="2" t="s">
        <v>408</v>
      </c>
      <c r="J311" s="2" t="s">
        <v>19</v>
      </c>
      <c r="K311" s="2" t="s">
        <v>409</v>
      </c>
      <c r="L311" s="7" t="str">
        <f>HYPERLINK("http://slimages.macys.com/is/image/MCY/11957298 ")</f>
        <v xml:space="preserve">http://slimages.macys.com/is/image/MCY/11957298 </v>
      </c>
    </row>
    <row r="312" spans="1:12" ht="24.75" x14ac:dyDescent="0.25">
      <c r="A312" s="4" t="s">
        <v>7319</v>
      </c>
      <c r="B312" s="2" t="s">
        <v>641</v>
      </c>
      <c r="C312" s="3">
        <v>1</v>
      </c>
      <c r="D312" s="5">
        <v>29.99</v>
      </c>
      <c r="E312" s="3" t="s">
        <v>3677</v>
      </c>
      <c r="F312" s="2" t="s">
        <v>94</v>
      </c>
      <c r="G312" s="6" t="s">
        <v>234</v>
      </c>
      <c r="H312" s="2" t="s">
        <v>284</v>
      </c>
      <c r="I312" s="2" t="s">
        <v>408</v>
      </c>
      <c r="J312" s="2" t="s">
        <v>19</v>
      </c>
      <c r="K312" s="2" t="s">
        <v>409</v>
      </c>
      <c r="L312" s="7" t="str">
        <f>HYPERLINK("http://slimages.macys.com/is/image/MCY/9387631 ")</f>
        <v xml:space="preserve">http://slimages.macys.com/is/image/MCY/9387631 </v>
      </c>
    </row>
    <row r="313" spans="1:12" ht="24.75" x14ac:dyDescent="0.25">
      <c r="A313" s="4" t="s">
        <v>9516</v>
      </c>
      <c r="B313" s="2" t="s">
        <v>641</v>
      </c>
      <c r="C313" s="3">
        <v>1</v>
      </c>
      <c r="D313" s="5">
        <v>29.99</v>
      </c>
      <c r="E313" s="3" t="s">
        <v>971</v>
      </c>
      <c r="F313" s="2" t="s">
        <v>38</v>
      </c>
      <c r="G313" s="6"/>
      <c r="H313" s="2" t="s">
        <v>632</v>
      </c>
      <c r="I313" s="2" t="s">
        <v>408</v>
      </c>
      <c r="J313" s="2" t="s">
        <v>19</v>
      </c>
      <c r="K313" s="2" t="s">
        <v>409</v>
      </c>
      <c r="L313" s="7" t="str">
        <f>HYPERLINK("http://slimages.macys.com/is/image/MCY/8140828 ")</f>
        <v xml:space="preserve">http://slimages.macys.com/is/image/MCY/8140828 </v>
      </c>
    </row>
    <row r="314" spans="1:12" ht="24.75" x14ac:dyDescent="0.25">
      <c r="A314" s="4" t="s">
        <v>9517</v>
      </c>
      <c r="B314" s="2" t="s">
        <v>936</v>
      </c>
      <c r="C314" s="3">
        <v>1</v>
      </c>
      <c r="D314" s="5">
        <v>34.5</v>
      </c>
      <c r="E314" s="3">
        <v>100040726</v>
      </c>
      <c r="F314" s="2" t="s">
        <v>417</v>
      </c>
      <c r="G314" s="6" t="s">
        <v>58</v>
      </c>
      <c r="H314" s="2" t="s">
        <v>228</v>
      </c>
      <c r="I314" s="2" t="s">
        <v>229</v>
      </c>
      <c r="J314" s="2" t="s">
        <v>19</v>
      </c>
      <c r="K314" s="2" t="s">
        <v>230</v>
      </c>
      <c r="L314" s="7" t="str">
        <f>HYPERLINK("http://slimages.macys.com/is/image/MCY/10985237 ")</f>
        <v xml:space="preserve">http://slimages.macys.com/is/image/MCY/10985237 </v>
      </c>
    </row>
    <row r="315" spans="1:12" ht="24.75" x14ac:dyDescent="0.25">
      <c r="A315" s="4" t="s">
        <v>7329</v>
      </c>
      <c r="B315" s="2" t="s">
        <v>964</v>
      </c>
      <c r="C315" s="3">
        <v>1</v>
      </c>
      <c r="D315" s="5">
        <v>36.5</v>
      </c>
      <c r="E315" s="3" t="s">
        <v>3695</v>
      </c>
      <c r="F315" s="2" t="s">
        <v>956</v>
      </c>
      <c r="G315" s="6"/>
      <c r="H315" s="2" t="s">
        <v>312</v>
      </c>
      <c r="I315" s="2" t="s">
        <v>195</v>
      </c>
      <c r="J315" s="2" t="s">
        <v>19</v>
      </c>
      <c r="K315" s="2" t="s">
        <v>3699</v>
      </c>
      <c r="L315" s="7" t="str">
        <f>HYPERLINK("http://slimages.macys.com/is/image/MCY/9711318 ")</f>
        <v xml:space="preserve">http://slimages.macys.com/is/image/MCY/9711318 </v>
      </c>
    </row>
    <row r="316" spans="1:12" ht="24.75" x14ac:dyDescent="0.25">
      <c r="A316" s="4" t="s">
        <v>9518</v>
      </c>
      <c r="B316" s="2" t="s">
        <v>964</v>
      </c>
      <c r="C316" s="3">
        <v>1</v>
      </c>
      <c r="D316" s="5">
        <v>37.130000000000003</v>
      </c>
      <c r="E316" s="3" t="s">
        <v>3695</v>
      </c>
      <c r="F316" s="2" t="s">
        <v>15</v>
      </c>
      <c r="G316" s="6"/>
      <c r="H316" s="2" t="s">
        <v>312</v>
      </c>
      <c r="I316" s="2" t="s">
        <v>195</v>
      </c>
      <c r="J316" s="2" t="s">
        <v>19</v>
      </c>
      <c r="K316" s="2" t="s">
        <v>3699</v>
      </c>
      <c r="L316" s="7" t="str">
        <f>HYPERLINK("http://slimages.macys.com/is/image/MCY/12668240 ")</f>
        <v xml:space="preserve">http://slimages.macys.com/is/image/MCY/12668240 </v>
      </c>
    </row>
    <row r="317" spans="1:12" ht="24.75" x14ac:dyDescent="0.25">
      <c r="A317" s="4" t="s">
        <v>9519</v>
      </c>
      <c r="B317" s="2" t="s">
        <v>904</v>
      </c>
      <c r="C317" s="3">
        <v>1</v>
      </c>
      <c r="D317" s="5">
        <v>34.5</v>
      </c>
      <c r="E317" s="3" t="s">
        <v>5707</v>
      </c>
      <c r="F317" s="2" t="s">
        <v>33</v>
      </c>
      <c r="G317" s="6" t="s">
        <v>794</v>
      </c>
      <c r="H317" s="2" t="s">
        <v>426</v>
      </c>
      <c r="I317" s="2" t="s">
        <v>229</v>
      </c>
      <c r="J317" s="2" t="s">
        <v>19</v>
      </c>
      <c r="K317" s="2" t="s">
        <v>353</v>
      </c>
      <c r="L317" s="7" t="str">
        <f>HYPERLINK("http://slimages.macys.com/is/image/MCY/11934830 ")</f>
        <v xml:space="preserve">http://slimages.macys.com/is/image/MCY/11934830 </v>
      </c>
    </row>
    <row r="318" spans="1:12" ht="24.75" x14ac:dyDescent="0.25">
      <c r="A318" s="4" t="s">
        <v>3697</v>
      </c>
      <c r="B318" s="2" t="s">
        <v>904</v>
      </c>
      <c r="C318" s="3">
        <v>1</v>
      </c>
      <c r="D318" s="5">
        <v>34.5</v>
      </c>
      <c r="E318" s="3" t="s">
        <v>997</v>
      </c>
      <c r="F318" s="2" t="s">
        <v>998</v>
      </c>
      <c r="G318" s="6"/>
      <c r="H318" s="2" t="s">
        <v>426</v>
      </c>
      <c r="I318" s="2" t="s">
        <v>229</v>
      </c>
      <c r="J318" s="2" t="s">
        <v>19</v>
      </c>
      <c r="K318" s="2" t="s">
        <v>353</v>
      </c>
      <c r="L318" s="7" t="str">
        <f>HYPERLINK("http://slimages.macys.com/is/image/MCY/11934830 ")</f>
        <v xml:space="preserve">http://slimages.macys.com/is/image/MCY/11934830 </v>
      </c>
    </row>
    <row r="319" spans="1:12" ht="24.75" x14ac:dyDescent="0.25">
      <c r="A319" s="4" t="s">
        <v>5706</v>
      </c>
      <c r="B319" s="2" t="s">
        <v>904</v>
      </c>
      <c r="C319" s="3">
        <v>2</v>
      </c>
      <c r="D319" s="5">
        <v>34.5</v>
      </c>
      <c r="E319" s="3" t="s">
        <v>5707</v>
      </c>
      <c r="F319" s="2" t="s">
        <v>33</v>
      </c>
      <c r="G319" s="6"/>
      <c r="H319" s="2" t="s">
        <v>426</v>
      </c>
      <c r="I319" s="2" t="s">
        <v>229</v>
      </c>
      <c r="J319" s="2" t="s">
        <v>19</v>
      </c>
      <c r="K319" s="2" t="s">
        <v>353</v>
      </c>
      <c r="L319" s="7" t="str">
        <f>HYPERLINK("http://slimages.macys.com/is/image/MCY/11934830 ")</f>
        <v xml:space="preserve">http://slimages.macys.com/is/image/MCY/11934830 </v>
      </c>
    </row>
    <row r="320" spans="1:12" ht="24.75" x14ac:dyDescent="0.25">
      <c r="A320" s="4" t="s">
        <v>996</v>
      </c>
      <c r="B320" s="2" t="s">
        <v>904</v>
      </c>
      <c r="C320" s="3">
        <v>2</v>
      </c>
      <c r="D320" s="5">
        <v>34.5</v>
      </c>
      <c r="E320" s="3" t="s">
        <v>997</v>
      </c>
      <c r="F320" s="2" t="s">
        <v>998</v>
      </c>
      <c r="G320" s="6"/>
      <c r="H320" s="2" t="s">
        <v>426</v>
      </c>
      <c r="I320" s="2" t="s">
        <v>229</v>
      </c>
      <c r="J320" s="2" t="s">
        <v>19</v>
      </c>
      <c r="K320" s="2" t="s">
        <v>353</v>
      </c>
      <c r="L320" s="7" t="str">
        <f>HYPERLINK("http://slimages.macys.com/is/image/MCY/11934830 ")</f>
        <v xml:space="preserve">http://slimages.macys.com/is/image/MCY/11934830 </v>
      </c>
    </row>
    <row r="321" spans="1:12" x14ac:dyDescent="0.25">
      <c r="A321" s="4" t="s">
        <v>8093</v>
      </c>
      <c r="B321" s="2" t="s">
        <v>8094</v>
      </c>
      <c r="C321" s="3">
        <v>1</v>
      </c>
      <c r="D321" s="5">
        <v>37.15</v>
      </c>
      <c r="E321" s="3" t="s">
        <v>8095</v>
      </c>
      <c r="F321" s="2" t="s">
        <v>111</v>
      </c>
      <c r="G321" s="6" t="s">
        <v>156</v>
      </c>
      <c r="H321" s="2" t="s">
        <v>182</v>
      </c>
      <c r="I321" s="2" t="s">
        <v>183</v>
      </c>
      <c r="J321" s="2" t="s">
        <v>19</v>
      </c>
      <c r="K321" s="2" t="s">
        <v>34</v>
      </c>
      <c r="L321" s="7" t="str">
        <f>HYPERLINK("http://slimages.macys.com/is/image/MCY/12671400 ")</f>
        <v xml:space="preserve">http://slimages.macys.com/is/image/MCY/12671400 </v>
      </c>
    </row>
    <row r="322" spans="1:12" ht="24.75" x14ac:dyDescent="0.25">
      <c r="A322" s="4" t="s">
        <v>9520</v>
      </c>
      <c r="B322" s="2" t="s">
        <v>3728</v>
      </c>
      <c r="C322" s="3">
        <v>1</v>
      </c>
      <c r="D322" s="5">
        <v>37.130000000000003</v>
      </c>
      <c r="E322" s="3" t="s">
        <v>3729</v>
      </c>
      <c r="F322" s="2" t="s">
        <v>26</v>
      </c>
      <c r="G322" s="6" t="s">
        <v>181</v>
      </c>
      <c r="H322" s="2" t="s">
        <v>246</v>
      </c>
      <c r="I322" s="2" t="s">
        <v>189</v>
      </c>
      <c r="J322" s="2" t="s">
        <v>19</v>
      </c>
      <c r="K322" s="2" t="s">
        <v>3733</v>
      </c>
      <c r="L322" s="7" t="str">
        <f>HYPERLINK("http://slimages.macys.com/is/image/MCY/12048191 ")</f>
        <v xml:space="preserve">http://slimages.macys.com/is/image/MCY/12048191 </v>
      </c>
    </row>
    <row r="323" spans="1:12" ht="24.75" x14ac:dyDescent="0.25">
      <c r="A323" s="4" t="s">
        <v>9521</v>
      </c>
      <c r="B323" s="2" t="s">
        <v>1012</v>
      </c>
      <c r="C323" s="3">
        <v>1</v>
      </c>
      <c r="D323" s="5">
        <v>37.130000000000003</v>
      </c>
      <c r="E323" s="3" t="s">
        <v>1013</v>
      </c>
      <c r="F323" s="2" t="s">
        <v>70</v>
      </c>
      <c r="G323" s="6" t="s">
        <v>27</v>
      </c>
      <c r="H323" s="2" t="s">
        <v>246</v>
      </c>
      <c r="I323" s="2" t="s">
        <v>214</v>
      </c>
      <c r="J323" s="2" t="s">
        <v>19</v>
      </c>
      <c r="K323" s="2" t="s">
        <v>253</v>
      </c>
      <c r="L323" s="7" t="str">
        <f>HYPERLINK("http://slimages.macys.com/is/image/MCY/10679372 ")</f>
        <v xml:space="preserve">http://slimages.macys.com/is/image/MCY/10679372 </v>
      </c>
    </row>
    <row r="324" spans="1:12" ht="24.75" x14ac:dyDescent="0.25">
      <c r="A324" s="4" t="s">
        <v>3714</v>
      </c>
      <c r="B324" s="2" t="s">
        <v>1008</v>
      </c>
      <c r="C324" s="3">
        <v>1</v>
      </c>
      <c r="D324" s="5">
        <v>49.5</v>
      </c>
      <c r="E324" s="3" t="s">
        <v>1009</v>
      </c>
      <c r="F324" s="2" t="s">
        <v>74</v>
      </c>
      <c r="G324" s="6" t="s">
        <v>3715</v>
      </c>
      <c r="H324" s="2" t="s">
        <v>206</v>
      </c>
      <c r="I324" s="2" t="s">
        <v>1010</v>
      </c>
      <c r="J324" s="2" t="s">
        <v>19</v>
      </c>
      <c r="K324" s="2" t="s">
        <v>409</v>
      </c>
      <c r="L324" s="7" t="str">
        <f>HYPERLINK("http://slimages.macys.com/is/image/MCY/9044823 ")</f>
        <v xml:space="preserve">http://slimages.macys.com/is/image/MCY/9044823 </v>
      </c>
    </row>
    <row r="325" spans="1:12" ht="24.75" x14ac:dyDescent="0.25">
      <c r="A325" s="4" t="s">
        <v>2520</v>
      </c>
      <c r="B325" s="2" t="s">
        <v>2521</v>
      </c>
      <c r="C325" s="3">
        <v>1</v>
      </c>
      <c r="D325" s="5">
        <v>34.5</v>
      </c>
      <c r="E325" s="3">
        <v>100045823</v>
      </c>
      <c r="F325" s="2" t="s">
        <v>26</v>
      </c>
      <c r="G325" s="6" t="s">
        <v>154</v>
      </c>
      <c r="H325" s="2" t="s">
        <v>228</v>
      </c>
      <c r="I325" s="2" t="s">
        <v>229</v>
      </c>
      <c r="J325" s="2" t="s">
        <v>19</v>
      </c>
      <c r="K325" s="2" t="s">
        <v>215</v>
      </c>
      <c r="L325" s="7" t="str">
        <f>HYPERLINK("http://slimages.macys.com/is/image/MCY/11804428 ")</f>
        <v xml:space="preserve">http://slimages.macys.com/is/image/MCY/11804428 </v>
      </c>
    </row>
    <row r="326" spans="1:12" ht="24.75" x14ac:dyDescent="0.25">
      <c r="A326" s="4" t="s">
        <v>1015</v>
      </c>
      <c r="B326" s="2" t="s">
        <v>1012</v>
      </c>
      <c r="C326" s="3">
        <v>1</v>
      </c>
      <c r="D326" s="5">
        <v>37.130000000000003</v>
      </c>
      <c r="E326" s="3" t="s">
        <v>1013</v>
      </c>
      <c r="F326" s="2" t="s">
        <v>494</v>
      </c>
      <c r="G326" s="6" t="s">
        <v>141</v>
      </c>
      <c r="H326" s="2" t="s">
        <v>246</v>
      </c>
      <c r="I326" s="2" t="s">
        <v>214</v>
      </c>
      <c r="J326" s="2" t="s">
        <v>19</v>
      </c>
      <c r="K326" s="2" t="s">
        <v>253</v>
      </c>
      <c r="L326" s="7" t="str">
        <f>HYPERLINK("http://slimages.macys.com/is/image/MCY/10679372 ")</f>
        <v xml:space="preserve">http://slimages.macys.com/is/image/MCY/10679372 </v>
      </c>
    </row>
    <row r="327" spans="1:12" ht="24.75" x14ac:dyDescent="0.25">
      <c r="A327" s="4" t="s">
        <v>2528</v>
      </c>
      <c r="B327" s="2" t="s">
        <v>1012</v>
      </c>
      <c r="C327" s="3">
        <v>2</v>
      </c>
      <c r="D327" s="5">
        <v>37.130000000000003</v>
      </c>
      <c r="E327" s="3" t="s">
        <v>1013</v>
      </c>
      <c r="F327" s="2" t="s">
        <v>64</v>
      </c>
      <c r="G327" s="6" t="s">
        <v>16</v>
      </c>
      <c r="H327" s="2" t="s">
        <v>246</v>
      </c>
      <c r="I327" s="2" t="s">
        <v>214</v>
      </c>
      <c r="J327" s="2" t="s">
        <v>19</v>
      </c>
      <c r="K327" s="2" t="s">
        <v>253</v>
      </c>
      <c r="L327" s="7" t="str">
        <f>HYPERLINK("http://slimages.macys.com/is/image/MCY/10679372 ")</f>
        <v xml:space="preserve">http://slimages.macys.com/is/image/MCY/10679372 </v>
      </c>
    </row>
    <row r="328" spans="1:12" ht="24.75" x14ac:dyDescent="0.25">
      <c r="A328" s="4" t="s">
        <v>3719</v>
      </c>
      <c r="B328" s="2" t="s">
        <v>2530</v>
      </c>
      <c r="C328" s="3">
        <v>1</v>
      </c>
      <c r="D328" s="5">
        <v>34.5</v>
      </c>
      <c r="E328" s="3">
        <v>100054339</v>
      </c>
      <c r="F328" s="2" t="s">
        <v>26</v>
      </c>
      <c r="G328" s="6" t="s">
        <v>156</v>
      </c>
      <c r="H328" s="2" t="s">
        <v>228</v>
      </c>
      <c r="I328" s="2" t="s">
        <v>857</v>
      </c>
      <c r="J328" s="2" t="s">
        <v>19</v>
      </c>
      <c r="K328" s="2" t="s">
        <v>338</v>
      </c>
      <c r="L328" s="7" t="str">
        <f>HYPERLINK("http://slimages.macys.com/is/image/MCY/12144139 ")</f>
        <v xml:space="preserve">http://slimages.macys.com/is/image/MCY/12144139 </v>
      </c>
    </row>
    <row r="329" spans="1:12" ht="24.75" x14ac:dyDescent="0.25">
      <c r="A329" s="4" t="s">
        <v>9522</v>
      </c>
      <c r="B329" s="2" t="s">
        <v>8101</v>
      </c>
      <c r="C329" s="3">
        <v>1</v>
      </c>
      <c r="D329" s="5">
        <v>38.15</v>
      </c>
      <c r="E329" s="3" t="s">
        <v>8102</v>
      </c>
      <c r="F329" s="2" t="s">
        <v>257</v>
      </c>
      <c r="G329" s="6" t="s">
        <v>154</v>
      </c>
      <c r="H329" s="2" t="s">
        <v>182</v>
      </c>
      <c r="I329" s="2" t="s">
        <v>183</v>
      </c>
      <c r="J329" s="2" t="s">
        <v>19</v>
      </c>
      <c r="K329" s="2" t="s">
        <v>8103</v>
      </c>
      <c r="L329" s="7" t="str">
        <f>HYPERLINK("http://slimages.macys.com/is/image/MCY/12851651 ")</f>
        <v xml:space="preserve">http://slimages.macys.com/is/image/MCY/12851651 </v>
      </c>
    </row>
    <row r="330" spans="1:12" ht="24.75" x14ac:dyDescent="0.25">
      <c r="A330" s="4" t="s">
        <v>4792</v>
      </c>
      <c r="B330" s="2" t="s">
        <v>1028</v>
      </c>
      <c r="C330" s="3">
        <v>1</v>
      </c>
      <c r="D330" s="5">
        <v>37.130000000000003</v>
      </c>
      <c r="E330" s="3" t="s">
        <v>2532</v>
      </c>
      <c r="F330" s="2" t="s">
        <v>26</v>
      </c>
      <c r="G330" s="6"/>
      <c r="H330" s="2" t="s">
        <v>632</v>
      </c>
      <c r="I330" s="2" t="s">
        <v>408</v>
      </c>
      <c r="J330" s="2" t="s">
        <v>19</v>
      </c>
      <c r="K330" s="2" t="s">
        <v>409</v>
      </c>
      <c r="L330" s="7" t="str">
        <f>HYPERLINK("http://slimages.macys.com/is/image/MCY/8191312 ")</f>
        <v xml:space="preserve">http://slimages.macys.com/is/image/MCY/8191312 </v>
      </c>
    </row>
    <row r="331" spans="1:12" ht="24.75" x14ac:dyDescent="0.25">
      <c r="A331" s="4" t="s">
        <v>2533</v>
      </c>
      <c r="B331" s="2" t="s">
        <v>1028</v>
      </c>
      <c r="C331" s="3">
        <v>1</v>
      </c>
      <c r="D331" s="5">
        <v>37.130000000000003</v>
      </c>
      <c r="E331" s="3" t="s">
        <v>2532</v>
      </c>
      <c r="F331" s="2" t="s">
        <v>26</v>
      </c>
      <c r="G331" s="6"/>
      <c r="H331" s="2" t="s">
        <v>632</v>
      </c>
      <c r="I331" s="2" t="s">
        <v>408</v>
      </c>
      <c r="J331" s="2" t="s">
        <v>19</v>
      </c>
      <c r="K331" s="2" t="s">
        <v>409</v>
      </c>
      <c r="L331" s="7" t="str">
        <f>HYPERLINK("http://slimages.macys.com/is/image/MCY/8191312 ")</f>
        <v xml:space="preserve">http://slimages.macys.com/is/image/MCY/8191312 </v>
      </c>
    </row>
    <row r="332" spans="1:12" ht="24.75" x14ac:dyDescent="0.25">
      <c r="A332" s="4" t="s">
        <v>9523</v>
      </c>
      <c r="B332" s="2" t="s">
        <v>1002</v>
      </c>
      <c r="C332" s="3">
        <v>1</v>
      </c>
      <c r="D332" s="5">
        <v>44.63</v>
      </c>
      <c r="E332" s="3">
        <v>100015592</v>
      </c>
      <c r="F332" s="2" t="s">
        <v>74</v>
      </c>
      <c r="G332" s="6" t="s">
        <v>245</v>
      </c>
      <c r="H332" s="2" t="s">
        <v>194</v>
      </c>
      <c r="I332" s="2" t="s">
        <v>195</v>
      </c>
      <c r="J332" s="2" t="s">
        <v>19</v>
      </c>
      <c r="K332" s="2" t="s">
        <v>137</v>
      </c>
      <c r="L332" s="7" t="str">
        <f>HYPERLINK("http://slimages.macys.com/is/image/MCY/9653304 ")</f>
        <v xml:space="preserve">http://slimages.macys.com/is/image/MCY/9653304 </v>
      </c>
    </row>
    <row r="333" spans="1:12" ht="24.75" x14ac:dyDescent="0.25">
      <c r="A333" s="4" t="s">
        <v>3720</v>
      </c>
      <c r="B333" s="2" t="s">
        <v>1033</v>
      </c>
      <c r="C333" s="3">
        <v>1</v>
      </c>
      <c r="D333" s="5">
        <v>37.130000000000003</v>
      </c>
      <c r="E333" s="3" t="s">
        <v>1034</v>
      </c>
      <c r="F333" s="2" t="s">
        <v>331</v>
      </c>
      <c r="G333" s="6" t="s">
        <v>205</v>
      </c>
      <c r="H333" s="2" t="s">
        <v>188</v>
      </c>
      <c r="I333" s="2" t="s">
        <v>189</v>
      </c>
      <c r="J333" s="2" t="s">
        <v>19</v>
      </c>
      <c r="K333" s="2" t="s">
        <v>107</v>
      </c>
      <c r="L333" s="7" t="str">
        <f>HYPERLINK("http://slimages.macys.com/is/image/MCY/12649654 ")</f>
        <v xml:space="preserve">http://slimages.macys.com/is/image/MCY/12649654 </v>
      </c>
    </row>
    <row r="334" spans="1:12" ht="24.75" x14ac:dyDescent="0.25">
      <c r="A334" s="4" t="s">
        <v>9524</v>
      </c>
      <c r="B334" s="2" t="s">
        <v>7357</v>
      </c>
      <c r="C334" s="3">
        <v>3</v>
      </c>
      <c r="D334" s="5">
        <v>37.130000000000003</v>
      </c>
      <c r="E334" s="3" t="s">
        <v>7358</v>
      </c>
      <c r="F334" s="2" t="s">
        <v>26</v>
      </c>
      <c r="G334" s="6"/>
      <c r="H334" s="2" t="s">
        <v>312</v>
      </c>
      <c r="I334" s="2" t="s">
        <v>195</v>
      </c>
      <c r="J334" s="2" t="s">
        <v>19</v>
      </c>
      <c r="K334" s="2" t="s">
        <v>648</v>
      </c>
      <c r="L334" s="7" t="str">
        <f>HYPERLINK("http://slimages.macys.com/is/image/MCY/9893924 ")</f>
        <v xml:space="preserve">http://slimages.macys.com/is/image/MCY/9893924 </v>
      </c>
    </row>
    <row r="335" spans="1:12" ht="24.75" x14ac:dyDescent="0.25">
      <c r="A335" s="4" t="s">
        <v>7356</v>
      </c>
      <c r="B335" s="2" t="s">
        <v>7357</v>
      </c>
      <c r="C335" s="3">
        <v>3</v>
      </c>
      <c r="D335" s="5">
        <v>37.130000000000003</v>
      </c>
      <c r="E335" s="3" t="s">
        <v>7358</v>
      </c>
      <c r="F335" s="2" t="s">
        <v>26</v>
      </c>
      <c r="G335" s="6"/>
      <c r="H335" s="2" t="s">
        <v>312</v>
      </c>
      <c r="I335" s="2" t="s">
        <v>195</v>
      </c>
      <c r="J335" s="2" t="s">
        <v>19</v>
      </c>
      <c r="K335" s="2" t="s">
        <v>648</v>
      </c>
      <c r="L335" s="7" t="str">
        <f>HYPERLINK("http://slimages.macys.com/is/image/MCY/9893924 ")</f>
        <v xml:space="preserve">http://slimages.macys.com/is/image/MCY/9893924 </v>
      </c>
    </row>
    <row r="336" spans="1:12" ht="24.75" x14ac:dyDescent="0.25">
      <c r="A336" s="4" t="s">
        <v>9525</v>
      </c>
      <c r="B336" s="2" t="s">
        <v>7357</v>
      </c>
      <c r="C336" s="3">
        <v>2</v>
      </c>
      <c r="D336" s="5">
        <v>37.130000000000003</v>
      </c>
      <c r="E336" s="3" t="s">
        <v>7358</v>
      </c>
      <c r="F336" s="2" t="s">
        <v>26</v>
      </c>
      <c r="G336" s="6"/>
      <c r="H336" s="2" t="s">
        <v>312</v>
      </c>
      <c r="I336" s="2" t="s">
        <v>195</v>
      </c>
      <c r="J336" s="2" t="s">
        <v>19</v>
      </c>
      <c r="K336" s="2" t="s">
        <v>648</v>
      </c>
      <c r="L336" s="7" t="str">
        <f>HYPERLINK("http://slimages.macys.com/is/image/MCY/9893924 ")</f>
        <v xml:space="preserve">http://slimages.macys.com/is/image/MCY/9893924 </v>
      </c>
    </row>
    <row r="337" spans="1:12" ht="24.75" x14ac:dyDescent="0.25">
      <c r="A337" s="4" t="s">
        <v>9526</v>
      </c>
      <c r="B337" s="2" t="s">
        <v>1043</v>
      </c>
      <c r="C337" s="3">
        <v>1</v>
      </c>
      <c r="D337" s="5">
        <v>44.63</v>
      </c>
      <c r="E337" s="3" t="s">
        <v>1044</v>
      </c>
      <c r="F337" s="2" t="s">
        <v>566</v>
      </c>
      <c r="G337" s="6" t="s">
        <v>2276</v>
      </c>
      <c r="H337" s="2" t="s">
        <v>349</v>
      </c>
      <c r="I337" s="2" t="s">
        <v>285</v>
      </c>
      <c r="J337" s="2" t="s">
        <v>19</v>
      </c>
      <c r="K337" s="2" t="s">
        <v>1045</v>
      </c>
      <c r="L337" s="7" t="str">
        <f>HYPERLINK("http://slimages.macys.com/is/image/MCY/12700824 ")</f>
        <v xml:space="preserve">http://slimages.macys.com/is/image/MCY/12700824 </v>
      </c>
    </row>
    <row r="338" spans="1:12" ht="24.75" x14ac:dyDescent="0.25">
      <c r="A338" s="4" t="s">
        <v>8617</v>
      </c>
      <c r="B338" s="2" t="s">
        <v>1043</v>
      </c>
      <c r="C338" s="3">
        <v>1</v>
      </c>
      <c r="D338" s="5">
        <v>44.63</v>
      </c>
      <c r="E338" s="3" t="s">
        <v>1044</v>
      </c>
      <c r="F338" s="2" t="s">
        <v>566</v>
      </c>
      <c r="G338" s="6" t="s">
        <v>348</v>
      </c>
      <c r="H338" s="2" t="s">
        <v>349</v>
      </c>
      <c r="I338" s="2" t="s">
        <v>285</v>
      </c>
      <c r="J338" s="2" t="s">
        <v>19</v>
      </c>
      <c r="K338" s="2" t="s">
        <v>1045</v>
      </c>
      <c r="L338" s="7" t="str">
        <f>HYPERLINK("http://slimages.macys.com/is/image/MCY/12700824 ")</f>
        <v xml:space="preserve">http://slimages.macys.com/is/image/MCY/12700824 </v>
      </c>
    </row>
    <row r="339" spans="1:12" ht="24.75" x14ac:dyDescent="0.25">
      <c r="A339" s="4" t="s">
        <v>7361</v>
      </c>
      <c r="B339" s="2" t="s">
        <v>1047</v>
      </c>
      <c r="C339" s="3">
        <v>1</v>
      </c>
      <c r="D339" s="5">
        <v>34.880000000000003</v>
      </c>
      <c r="E339" s="3">
        <v>100009312</v>
      </c>
      <c r="F339" s="2" t="s">
        <v>26</v>
      </c>
      <c r="G339" s="6" t="s">
        <v>234</v>
      </c>
      <c r="H339" s="2" t="s">
        <v>194</v>
      </c>
      <c r="I339" s="2" t="s">
        <v>195</v>
      </c>
      <c r="J339" s="2" t="s">
        <v>19</v>
      </c>
      <c r="K339" s="2" t="s">
        <v>353</v>
      </c>
      <c r="L339" s="7" t="str">
        <f>HYPERLINK("http://slimages.macys.com/is/image/MCY/9603701 ")</f>
        <v xml:space="preserve">http://slimages.macys.com/is/image/MCY/9603701 </v>
      </c>
    </row>
    <row r="340" spans="1:12" ht="24.75" x14ac:dyDescent="0.25">
      <c r="A340" s="4" t="s">
        <v>9527</v>
      </c>
      <c r="B340" s="2" t="s">
        <v>1047</v>
      </c>
      <c r="C340" s="3">
        <v>1</v>
      </c>
      <c r="D340" s="5">
        <v>34.880000000000003</v>
      </c>
      <c r="E340" s="3">
        <v>100009312</v>
      </c>
      <c r="F340" s="2" t="s">
        <v>506</v>
      </c>
      <c r="G340" s="6" t="s">
        <v>245</v>
      </c>
      <c r="H340" s="2" t="s">
        <v>194</v>
      </c>
      <c r="I340" s="2" t="s">
        <v>195</v>
      </c>
      <c r="J340" s="2" t="s">
        <v>19</v>
      </c>
      <c r="K340" s="2" t="s">
        <v>353</v>
      </c>
      <c r="L340" s="7" t="str">
        <f>HYPERLINK("http://slimages.macys.com/is/image/MCY/9603701 ")</f>
        <v xml:space="preserve">http://slimages.macys.com/is/image/MCY/9603701 </v>
      </c>
    </row>
    <row r="341" spans="1:12" ht="24.75" x14ac:dyDescent="0.25">
      <c r="A341" s="4" t="s">
        <v>4799</v>
      </c>
      <c r="B341" s="2" t="s">
        <v>1047</v>
      </c>
      <c r="C341" s="3">
        <v>1</v>
      </c>
      <c r="D341" s="5">
        <v>34.880000000000003</v>
      </c>
      <c r="E341" s="3">
        <v>100009312</v>
      </c>
      <c r="F341" s="2" t="s">
        <v>506</v>
      </c>
      <c r="G341" s="6" t="s">
        <v>154</v>
      </c>
      <c r="H341" s="2" t="s">
        <v>194</v>
      </c>
      <c r="I341" s="2" t="s">
        <v>195</v>
      </c>
      <c r="J341" s="2" t="s">
        <v>19</v>
      </c>
      <c r="K341" s="2" t="s">
        <v>353</v>
      </c>
      <c r="L341" s="7" t="str">
        <f>HYPERLINK("http://slimages.macys.com/is/image/MCY/9603701 ")</f>
        <v xml:space="preserve">http://slimages.macys.com/is/image/MCY/9603701 </v>
      </c>
    </row>
    <row r="342" spans="1:12" ht="24.75" x14ac:dyDescent="0.25">
      <c r="A342" s="4" t="s">
        <v>9528</v>
      </c>
      <c r="B342" s="2" t="s">
        <v>5894</v>
      </c>
      <c r="C342" s="3">
        <v>1</v>
      </c>
      <c r="D342" s="5">
        <v>37.130000000000003</v>
      </c>
      <c r="E342" s="3" t="s">
        <v>9529</v>
      </c>
      <c r="F342" s="2" t="s">
        <v>331</v>
      </c>
      <c r="G342" s="6" t="s">
        <v>746</v>
      </c>
      <c r="H342" s="2" t="s">
        <v>349</v>
      </c>
      <c r="I342" s="2" t="s">
        <v>285</v>
      </c>
      <c r="J342" s="2" t="s">
        <v>19</v>
      </c>
      <c r="K342" s="2" t="s">
        <v>160</v>
      </c>
      <c r="L342" s="7" t="str">
        <f>HYPERLINK("http://slimages.macys.com/is/image/MCY/13300607 ")</f>
        <v xml:space="preserve">http://slimages.macys.com/is/image/MCY/13300607 </v>
      </c>
    </row>
    <row r="343" spans="1:12" ht="24.75" x14ac:dyDescent="0.25">
      <c r="A343" s="4" t="s">
        <v>9530</v>
      </c>
      <c r="B343" s="2" t="s">
        <v>9531</v>
      </c>
      <c r="C343" s="3">
        <v>1</v>
      </c>
      <c r="D343" s="5">
        <v>33.380000000000003</v>
      </c>
      <c r="E343" s="3" t="s">
        <v>9532</v>
      </c>
      <c r="F343" s="2" t="s">
        <v>566</v>
      </c>
      <c r="G343" s="6" t="s">
        <v>181</v>
      </c>
      <c r="H343" s="2" t="s">
        <v>194</v>
      </c>
      <c r="I343" s="2" t="s">
        <v>195</v>
      </c>
      <c r="J343" s="2" t="s">
        <v>19</v>
      </c>
      <c r="K343" s="2" t="s">
        <v>648</v>
      </c>
      <c r="L343" s="7" t="str">
        <f>HYPERLINK("http://slimages.macys.com/is/image/MCY/11936156 ")</f>
        <v xml:space="preserve">http://slimages.macys.com/is/image/MCY/11936156 </v>
      </c>
    </row>
    <row r="344" spans="1:12" ht="24.75" x14ac:dyDescent="0.25">
      <c r="A344" s="4" t="s">
        <v>5726</v>
      </c>
      <c r="B344" s="2" t="s">
        <v>5727</v>
      </c>
      <c r="C344" s="3">
        <v>1</v>
      </c>
      <c r="D344" s="5">
        <v>33.380000000000003</v>
      </c>
      <c r="E344" s="3">
        <v>100028787</v>
      </c>
      <c r="F344" s="2" t="s">
        <v>33</v>
      </c>
      <c r="G344" s="6" t="s">
        <v>154</v>
      </c>
      <c r="H344" s="2" t="s">
        <v>194</v>
      </c>
      <c r="I344" s="2" t="s">
        <v>195</v>
      </c>
      <c r="J344" s="2" t="s">
        <v>19</v>
      </c>
      <c r="K344" s="2" t="s">
        <v>648</v>
      </c>
      <c r="L344" s="7" t="str">
        <f>HYPERLINK("http://slimages.macys.com/is/image/MCY/12035204 ")</f>
        <v xml:space="preserve">http://slimages.macys.com/is/image/MCY/12035204 </v>
      </c>
    </row>
    <row r="345" spans="1:12" ht="24.75" x14ac:dyDescent="0.25">
      <c r="A345" s="4" t="s">
        <v>3734</v>
      </c>
      <c r="B345" s="2" t="s">
        <v>1062</v>
      </c>
      <c r="C345" s="3">
        <v>3</v>
      </c>
      <c r="D345" s="5">
        <v>36.5</v>
      </c>
      <c r="E345" s="3" t="s">
        <v>1063</v>
      </c>
      <c r="F345" s="2" t="s">
        <v>26</v>
      </c>
      <c r="G345" s="6" t="s">
        <v>234</v>
      </c>
      <c r="H345" s="2" t="s">
        <v>194</v>
      </c>
      <c r="I345" s="2" t="s">
        <v>195</v>
      </c>
      <c r="J345" s="2" t="s">
        <v>19</v>
      </c>
      <c r="K345" s="2" t="s">
        <v>247</v>
      </c>
      <c r="L345" s="7" t="str">
        <f>HYPERLINK("http://slimages.macys.com/is/image/MCY/11515386 ")</f>
        <v xml:space="preserve">http://slimages.macys.com/is/image/MCY/11515386 </v>
      </c>
    </row>
    <row r="346" spans="1:12" ht="48.75" x14ac:dyDescent="0.25">
      <c r="A346" s="4" t="s">
        <v>9533</v>
      </c>
      <c r="B346" s="2" t="s">
        <v>1065</v>
      </c>
      <c r="C346" s="3">
        <v>1</v>
      </c>
      <c r="D346" s="5">
        <v>37.130000000000003</v>
      </c>
      <c r="E346" s="3">
        <v>100016108</v>
      </c>
      <c r="F346" s="2" t="s">
        <v>26</v>
      </c>
      <c r="G346" s="6" t="s">
        <v>181</v>
      </c>
      <c r="H346" s="2" t="s">
        <v>194</v>
      </c>
      <c r="I346" s="2" t="s">
        <v>919</v>
      </c>
      <c r="J346" s="2" t="s">
        <v>19</v>
      </c>
      <c r="K346" s="2" t="s">
        <v>1066</v>
      </c>
      <c r="L346" s="7" t="str">
        <f>HYPERLINK("http://slimages.macys.com/is/image/MCY/9582082 ")</f>
        <v xml:space="preserve">http://slimages.macys.com/is/image/MCY/9582082 </v>
      </c>
    </row>
    <row r="347" spans="1:12" ht="48.75" x14ac:dyDescent="0.25">
      <c r="A347" s="4" t="s">
        <v>4809</v>
      </c>
      <c r="B347" s="2" t="s">
        <v>1065</v>
      </c>
      <c r="C347" s="3">
        <v>2</v>
      </c>
      <c r="D347" s="5">
        <v>37.130000000000003</v>
      </c>
      <c r="E347" s="3">
        <v>100016108</v>
      </c>
      <c r="F347" s="2" t="s">
        <v>26</v>
      </c>
      <c r="G347" s="6" t="s">
        <v>154</v>
      </c>
      <c r="H347" s="2" t="s">
        <v>194</v>
      </c>
      <c r="I347" s="2" t="s">
        <v>919</v>
      </c>
      <c r="J347" s="2" t="s">
        <v>19</v>
      </c>
      <c r="K347" s="2" t="s">
        <v>1066</v>
      </c>
      <c r="L347" s="7" t="str">
        <f>HYPERLINK("http://slimages.macys.com/is/image/MCY/9582082 ")</f>
        <v xml:space="preserve">http://slimages.macys.com/is/image/MCY/9582082 </v>
      </c>
    </row>
    <row r="348" spans="1:12" ht="24.75" x14ac:dyDescent="0.25">
      <c r="A348" s="4" t="s">
        <v>8108</v>
      </c>
      <c r="B348" s="2" t="s">
        <v>1069</v>
      </c>
      <c r="C348" s="3">
        <v>1</v>
      </c>
      <c r="D348" s="5">
        <v>34.5</v>
      </c>
      <c r="E348" s="3">
        <v>100050028</v>
      </c>
      <c r="F348" s="2" t="s">
        <v>180</v>
      </c>
      <c r="G348" s="6" t="s">
        <v>112</v>
      </c>
      <c r="H348" s="2" t="s">
        <v>228</v>
      </c>
      <c r="I348" s="2" t="s">
        <v>229</v>
      </c>
      <c r="J348" s="2" t="s">
        <v>19</v>
      </c>
      <c r="K348" s="2" t="s">
        <v>353</v>
      </c>
      <c r="L348" s="7" t="str">
        <f>HYPERLINK("http://slimages.macys.com/is/image/MCY/11527150 ")</f>
        <v xml:space="preserve">http://slimages.macys.com/is/image/MCY/11527150 </v>
      </c>
    </row>
    <row r="349" spans="1:12" ht="24.75" x14ac:dyDescent="0.25">
      <c r="A349" s="4" t="s">
        <v>1068</v>
      </c>
      <c r="B349" s="2" t="s">
        <v>1069</v>
      </c>
      <c r="C349" s="3">
        <v>2</v>
      </c>
      <c r="D349" s="5">
        <v>34.5</v>
      </c>
      <c r="E349" s="3">
        <v>100050028</v>
      </c>
      <c r="F349" s="2" t="s">
        <v>180</v>
      </c>
      <c r="G349" s="6" t="s">
        <v>27</v>
      </c>
      <c r="H349" s="2" t="s">
        <v>228</v>
      </c>
      <c r="I349" s="2" t="s">
        <v>229</v>
      </c>
      <c r="J349" s="2" t="s">
        <v>19</v>
      </c>
      <c r="K349" s="2" t="s">
        <v>353</v>
      </c>
      <c r="L349" s="7" t="str">
        <f>HYPERLINK("http://slimages.macys.com/is/image/MCY/11527150 ")</f>
        <v xml:space="preserve">http://slimages.macys.com/is/image/MCY/11527150 </v>
      </c>
    </row>
    <row r="350" spans="1:12" ht="24.75" x14ac:dyDescent="0.25">
      <c r="A350" s="4" t="s">
        <v>2557</v>
      </c>
      <c r="B350" s="2" t="s">
        <v>898</v>
      </c>
      <c r="C350" s="3">
        <v>1</v>
      </c>
      <c r="D350" s="5">
        <v>37.130000000000003</v>
      </c>
      <c r="E350" s="3">
        <v>100009193</v>
      </c>
      <c r="F350" s="2" t="s">
        <v>15</v>
      </c>
      <c r="G350" s="6" t="s">
        <v>106</v>
      </c>
      <c r="H350" s="2" t="s">
        <v>194</v>
      </c>
      <c r="I350" s="2" t="s">
        <v>503</v>
      </c>
      <c r="J350" s="2" t="s">
        <v>19</v>
      </c>
      <c r="K350" s="2" t="s">
        <v>353</v>
      </c>
      <c r="L350" s="7" t="str">
        <f>HYPERLINK("http://slimages.macys.com/is/image/MCY/11804644 ")</f>
        <v xml:space="preserve">http://slimages.macys.com/is/image/MCY/11804644 </v>
      </c>
    </row>
    <row r="351" spans="1:12" ht="24.75" x14ac:dyDescent="0.25">
      <c r="A351" s="4" t="s">
        <v>2556</v>
      </c>
      <c r="B351" s="2" t="s">
        <v>898</v>
      </c>
      <c r="C351" s="3">
        <v>2</v>
      </c>
      <c r="D351" s="5">
        <v>37.130000000000003</v>
      </c>
      <c r="E351" s="3">
        <v>100009193</v>
      </c>
      <c r="F351" s="2" t="s">
        <v>506</v>
      </c>
      <c r="G351" s="6" t="s">
        <v>106</v>
      </c>
      <c r="H351" s="2" t="s">
        <v>194</v>
      </c>
      <c r="I351" s="2" t="s">
        <v>503</v>
      </c>
      <c r="J351" s="2" t="s">
        <v>19</v>
      </c>
      <c r="K351" s="2" t="s">
        <v>353</v>
      </c>
      <c r="L351" s="7" t="str">
        <f>HYPERLINK("http://slimages.macys.com/is/image/MCY/11804644 ")</f>
        <v xml:space="preserve">http://slimages.macys.com/is/image/MCY/11804644 </v>
      </c>
    </row>
    <row r="352" spans="1:12" ht="24.75" x14ac:dyDescent="0.25">
      <c r="A352" s="4" t="s">
        <v>9534</v>
      </c>
      <c r="B352" s="2" t="s">
        <v>898</v>
      </c>
      <c r="C352" s="3">
        <v>1</v>
      </c>
      <c r="D352" s="5">
        <v>37.130000000000003</v>
      </c>
      <c r="E352" s="3">
        <v>100009193</v>
      </c>
      <c r="F352" s="2" t="s">
        <v>566</v>
      </c>
      <c r="G352" s="6" t="s">
        <v>65</v>
      </c>
      <c r="H352" s="2" t="s">
        <v>194</v>
      </c>
      <c r="I352" s="2" t="s">
        <v>503</v>
      </c>
      <c r="J352" s="2" t="s">
        <v>19</v>
      </c>
      <c r="K352" s="2" t="s">
        <v>353</v>
      </c>
      <c r="L352" s="7" t="str">
        <f>HYPERLINK("http://slimages.macys.com/is/image/MCY/11804644 ")</f>
        <v xml:space="preserve">http://slimages.macys.com/is/image/MCY/11804644 </v>
      </c>
    </row>
    <row r="353" spans="1:12" ht="24.75" x14ac:dyDescent="0.25">
      <c r="A353" s="4" t="s">
        <v>6552</v>
      </c>
      <c r="B353" s="2" t="s">
        <v>898</v>
      </c>
      <c r="C353" s="3">
        <v>2</v>
      </c>
      <c r="D353" s="5">
        <v>37.130000000000003</v>
      </c>
      <c r="E353" s="3">
        <v>100009193</v>
      </c>
      <c r="F353" s="2" t="s">
        <v>15</v>
      </c>
      <c r="G353" s="6" t="s">
        <v>58</v>
      </c>
      <c r="H353" s="2" t="s">
        <v>194</v>
      </c>
      <c r="I353" s="2" t="s">
        <v>503</v>
      </c>
      <c r="J353" s="2" t="s">
        <v>19</v>
      </c>
      <c r="K353" s="2" t="s">
        <v>353</v>
      </c>
      <c r="L353" s="7" t="str">
        <f>HYPERLINK("http://slimages.macys.com/is/image/MCY/11804644 ")</f>
        <v xml:space="preserve">http://slimages.macys.com/is/image/MCY/11804644 </v>
      </c>
    </row>
    <row r="354" spans="1:12" ht="24.75" x14ac:dyDescent="0.25">
      <c r="A354" s="4" t="s">
        <v>5740</v>
      </c>
      <c r="B354" s="2" t="s">
        <v>898</v>
      </c>
      <c r="C354" s="3">
        <v>1</v>
      </c>
      <c r="D354" s="5">
        <v>37.130000000000003</v>
      </c>
      <c r="E354" s="3">
        <v>100009193</v>
      </c>
      <c r="F354" s="2" t="s">
        <v>26</v>
      </c>
      <c r="G354" s="6" t="s">
        <v>112</v>
      </c>
      <c r="H354" s="2" t="s">
        <v>194</v>
      </c>
      <c r="I354" s="2" t="s">
        <v>503</v>
      </c>
      <c r="J354" s="2" t="s">
        <v>19</v>
      </c>
      <c r="K354" s="2" t="s">
        <v>353</v>
      </c>
      <c r="L354" s="7" t="str">
        <f>HYPERLINK("http://slimages.macys.com/is/image/MCY/11804644 ")</f>
        <v xml:space="preserve">http://slimages.macys.com/is/image/MCY/11804644 </v>
      </c>
    </row>
    <row r="355" spans="1:12" ht="24.75" x14ac:dyDescent="0.25">
      <c r="A355" s="4" t="s">
        <v>5748</v>
      </c>
      <c r="B355" s="2" t="s">
        <v>2542</v>
      </c>
      <c r="C355" s="3">
        <v>1</v>
      </c>
      <c r="D355" s="5">
        <v>59.5</v>
      </c>
      <c r="E355" s="3">
        <v>100061924</v>
      </c>
      <c r="F355" s="2" t="s">
        <v>64</v>
      </c>
      <c r="G355" s="6" t="s">
        <v>27</v>
      </c>
      <c r="H355" s="2" t="s">
        <v>386</v>
      </c>
      <c r="I355" s="2" t="s">
        <v>207</v>
      </c>
      <c r="J355" s="2" t="s">
        <v>19</v>
      </c>
      <c r="K355" s="2" t="s">
        <v>1251</v>
      </c>
      <c r="L355" s="7" t="str">
        <f>HYPERLINK("http://slimages.macys.com/is/image/MCY/11963036 ")</f>
        <v xml:space="preserve">http://slimages.macys.com/is/image/MCY/11963036 </v>
      </c>
    </row>
    <row r="356" spans="1:12" ht="24.75" x14ac:dyDescent="0.25">
      <c r="A356" s="4" t="s">
        <v>9535</v>
      </c>
      <c r="B356" s="2" t="s">
        <v>2542</v>
      </c>
      <c r="C356" s="3">
        <v>1</v>
      </c>
      <c r="D356" s="5">
        <v>59.5</v>
      </c>
      <c r="E356" s="3">
        <v>100061924</v>
      </c>
      <c r="F356" s="2" t="s">
        <v>64</v>
      </c>
      <c r="G356" s="6" t="s">
        <v>39</v>
      </c>
      <c r="H356" s="2" t="s">
        <v>386</v>
      </c>
      <c r="I356" s="2" t="s">
        <v>207</v>
      </c>
      <c r="J356" s="2" t="s">
        <v>19</v>
      </c>
      <c r="K356" s="2" t="s">
        <v>1251</v>
      </c>
      <c r="L356" s="7" t="str">
        <f>HYPERLINK("http://slimages.macys.com/is/image/MCY/11963036 ")</f>
        <v xml:space="preserve">http://slimages.macys.com/is/image/MCY/11963036 </v>
      </c>
    </row>
    <row r="357" spans="1:12" ht="24.75" x14ac:dyDescent="0.25">
      <c r="A357" s="4" t="s">
        <v>8113</v>
      </c>
      <c r="B357" s="2" t="s">
        <v>7371</v>
      </c>
      <c r="C357" s="3">
        <v>1</v>
      </c>
      <c r="D357" s="5">
        <v>33.380000000000003</v>
      </c>
      <c r="E357" s="3" t="s">
        <v>7372</v>
      </c>
      <c r="F357" s="2" t="s">
        <v>417</v>
      </c>
      <c r="G357" s="6" t="s">
        <v>234</v>
      </c>
      <c r="H357" s="2" t="s">
        <v>194</v>
      </c>
      <c r="I357" s="2" t="s">
        <v>195</v>
      </c>
      <c r="J357" s="2" t="s">
        <v>19</v>
      </c>
      <c r="K357" s="2" t="s">
        <v>323</v>
      </c>
      <c r="L357" s="7" t="str">
        <f>HYPERLINK("http://slimages.macys.com/is/image/MCY/12734325 ")</f>
        <v xml:space="preserve">http://slimages.macys.com/is/image/MCY/12734325 </v>
      </c>
    </row>
    <row r="358" spans="1:12" ht="24.75" x14ac:dyDescent="0.25">
      <c r="A358" s="4" t="s">
        <v>1089</v>
      </c>
      <c r="B358" s="2" t="s">
        <v>1090</v>
      </c>
      <c r="C358" s="3">
        <v>2</v>
      </c>
      <c r="D358" s="5">
        <v>34.5</v>
      </c>
      <c r="E358" s="3" t="s">
        <v>1091</v>
      </c>
      <c r="F358" s="2" t="s">
        <v>111</v>
      </c>
      <c r="G358" s="6"/>
      <c r="H358" s="2" t="s">
        <v>426</v>
      </c>
      <c r="I358" s="2" t="s">
        <v>229</v>
      </c>
      <c r="J358" s="2" t="s">
        <v>19</v>
      </c>
      <c r="K358" s="2" t="s">
        <v>383</v>
      </c>
      <c r="L358" s="7" t="str">
        <f>HYPERLINK("http://slimages.macys.com/is/image/MCY/11804183 ")</f>
        <v xml:space="preserve">http://slimages.macys.com/is/image/MCY/11804183 </v>
      </c>
    </row>
    <row r="359" spans="1:12" ht="24.75" x14ac:dyDescent="0.25">
      <c r="A359" s="4" t="s">
        <v>9536</v>
      </c>
      <c r="B359" s="2" t="s">
        <v>9537</v>
      </c>
      <c r="C359" s="3">
        <v>1</v>
      </c>
      <c r="D359" s="5">
        <v>40.880000000000003</v>
      </c>
      <c r="E359" s="3" t="s">
        <v>9538</v>
      </c>
      <c r="F359" s="2" t="s">
        <v>15</v>
      </c>
      <c r="G359" s="6" t="s">
        <v>154</v>
      </c>
      <c r="H359" s="2" t="s">
        <v>284</v>
      </c>
      <c r="I359" s="2" t="s">
        <v>285</v>
      </c>
      <c r="J359" s="2" t="s">
        <v>19</v>
      </c>
      <c r="K359" s="2" t="s">
        <v>160</v>
      </c>
      <c r="L359" s="7" t="str">
        <f>HYPERLINK("http://slimages.macys.com/is/image/MCY/12671691 ")</f>
        <v xml:space="preserve">http://slimages.macys.com/is/image/MCY/12671691 </v>
      </c>
    </row>
    <row r="360" spans="1:12" x14ac:dyDescent="0.25">
      <c r="A360" s="4" t="s">
        <v>9539</v>
      </c>
      <c r="B360" s="2" t="s">
        <v>9540</v>
      </c>
      <c r="C360" s="3">
        <v>1</v>
      </c>
      <c r="D360" s="5">
        <v>34.99</v>
      </c>
      <c r="E360" s="3" t="s">
        <v>9541</v>
      </c>
      <c r="F360" s="2" t="s">
        <v>566</v>
      </c>
      <c r="G360" s="6" t="s">
        <v>348</v>
      </c>
      <c r="H360" s="2" t="s">
        <v>349</v>
      </c>
      <c r="I360" s="2" t="s">
        <v>285</v>
      </c>
      <c r="J360" s="2" t="s">
        <v>19</v>
      </c>
      <c r="K360" s="2" t="s">
        <v>160</v>
      </c>
      <c r="L360" s="7" t="str">
        <f>HYPERLINK("http://slimages.macys.com/is/image/MCY/9322396 ")</f>
        <v xml:space="preserve">http://slimages.macys.com/is/image/MCY/9322396 </v>
      </c>
    </row>
    <row r="361" spans="1:12" ht="24.75" x14ac:dyDescent="0.25">
      <c r="A361" s="4" t="s">
        <v>9542</v>
      </c>
      <c r="B361" s="2" t="s">
        <v>4828</v>
      </c>
      <c r="C361" s="3">
        <v>1</v>
      </c>
      <c r="D361" s="5">
        <v>37.130000000000003</v>
      </c>
      <c r="E361" s="3" t="s">
        <v>4829</v>
      </c>
      <c r="F361" s="2" t="s">
        <v>74</v>
      </c>
      <c r="G361" s="6" t="s">
        <v>245</v>
      </c>
      <c r="H361" s="2" t="s">
        <v>194</v>
      </c>
      <c r="I361" s="2" t="s">
        <v>195</v>
      </c>
      <c r="J361" s="2" t="s">
        <v>19</v>
      </c>
      <c r="K361" s="2" t="s">
        <v>4830</v>
      </c>
      <c r="L361" s="7" t="str">
        <f>HYPERLINK("http://slimages.macys.com/is/image/MCY/12143855 ")</f>
        <v xml:space="preserve">http://slimages.macys.com/is/image/MCY/12143855 </v>
      </c>
    </row>
    <row r="362" spans="1:12" ht="24.75" x14ac:dyDescent="0.25">
      <c r="A362" s="4" t="s">
        <v>9543</v>
      </c>
      <c r="B362" s="2" t="s">
        <v>1265</v>
      </c>
      <c r="C362" s="3">
        <v>1</v>
      </c>
      <c r="D362" s="5">
        <v>37.130000000000003</v>
      </c>
      <c r="E362" s="3">
        <v>100020742</v>
      </c>
      <c r="F362" s="2" t="s">
        <v>15</v>
      </c>
      <c r="G362" s="6" t="s">
        <v>154</v>
      </c>
      <c r="H362" s="2" t="s">
        <v>194</v>
      </c>
      <c r="I362" s="2" t="s">
        <v>503</v>
      </c>
      <c r="J362" s="2" t="s">
        <v>19</v>
      </c>
      <c r="K362" s="2" t="s">
        <v>201</v>
      </c>
      <c r="L362" s="7" t="str">
        <f>HYPERLINK("http://slimages.macys.com/is/image/MCY/12035316 ")</f>
        <v xml:space="preserve">http://slimages.macys.com/is/image/MCY/12035316 </v>
      </c>
    </row>
    <row r="363" spans="1:12" ht="24.75" x14ac:dyDescent="0.25">
      <c r="A363" s="4" t="s">
        <v>5764</v>
      </c>
      <c r="B363" s="2" t="s">
        <v>1106</v>
      </c>
      <c r="C363" s="3">
        <v>1</v>
      </c>
      <c r="D363" s="5">
        <v>33.380000000000003</v>
      </c>
      <c r="E363" s="3" t="s">
        <v>5762</v>
      </c>
      <c r="F363" s="2" t="s">
        <v>26</v>
      </c>
      <c r="G363" s="6" t="s">
        <v>154</v>
      </c>
      <c r="H363" s="2" t="s">
        <v>194</v>
      </c>
      <c r="I363" s="2" t="s">
        <v>195</v>
      </c>
      <c r="J363" s="2" t="s">
        <v>19</v>
      </c>
      <c r="K363" s="2" t="s">
        <v>1108</v>
      </c>
      <c r="L363" s="7" t="str">
        <f>HYPERLINK("http://slimages.macys.com/is/image/MCY/11764459 ")</f>
        <v xml:space="preserve">http://slimages.macys.com/is/image/MCY/11764459 </v>
      </c>
    </row>
    <row r="364" spans="1:12" ht="24.75" x14ac:dyDescent="0.25">
      <c r="A364" s="4" t="s">
        <v>5760</v>
      </c>
      <c r="B364" s="2" t="s">
        <v>1106</v>
      </c>
      <c r="C364" s="3">
        <v>1</v>
      </c>
      <c r="D364" s="5">
        <v>32.5</v>
      </c>
      <c r="E364" s="3" t="s">
        <v>1107</v>
      </c>
      <c r="F364" s="2" t="s">
        <v>15</v>
      </c>
      <c r="G364" s="6" t="s">
        <v>154</v>
      </c>
      <c r="H364" s="2" t="s">
        <v>194</v>
      </c>
      <c r="I364" s="2" t="s">
        <v>195</v>
      </c>
      <c r="J364" s="2" t="s">
        <v>19</v>
      </c>
      <c r="K364" s="2" t="s">
        <v>1108</v>
      </c>
      <c r="L364" s="7" t="str">
        <f>HYPERLINK("http://slimages.macys.com/is/image/MCY/11764459 ")</f>
        <v xml:space="preserve">http://slimages.macys.com/is/image/MCY/11764459 </v>
      </c>
    </row>
    <row r="365" spans="1:12" ht="24.75" x14ac:dyDescent="0.25">
      <c r="A365" s="4" t="s">
        <v>9544</v>
      </c>
      <c r="B365" s="2" t="s">
        <v>4836</v>
      </c>
      <c r="C365" s="3">
        <v>1</v>
      </c>
      <c r="D365" s="5">
        <v>37.130000000000003</v>
      </c>
      <c r="E365" s="3" t="s">
        <v>4837</v>
      </c>
      <c r="F365" s="2" t="s">
        <v>26</v>
      </c>
      <c r="G365" s="6" t="s">
        <v>234</v>
      </c>
      <c r="H365" s="2" t="s">
        <v>194</v>
      </c>
      <c r="I365" s="2" t="s">
        <v>195</v>
      </c>
      <c r="J365" s="2" t="s">
        <v>19</v>
      </c>
      <c r="K365" s="2" t="s">
        <v>648</v>
      </c>
      <c r="L365" s="7" t="str">
        <f>HYPERLINK("http://slimages.macys.com/is/image/MCY/12734350 ")</f>
        <v xml:space="preserve">http://slimages.macys.com/is/image/MCY/12734350 </v>
      </c>
    </row>
    <row r="366" spans="1:12" ht="24.75" x14ac:dyDescent="0.25">
      <c r="A366" s="4" t="s">
        <v>7382</v>
      </c>
      <c r="B366" s="2" t="s">
        <v>1114</v>
      </c>
      <c r="C366" s="3">
        <v>2</v>
      </c>
      <c r="D366" s="5">
        <v>37.130000000000003</v>
      </c>
      <c r="E366" s="3">
        <v>100042369</v>
      </c>
      <c r="F366" s="2" t="s">
        <v>136</v>
      </c>
      <c r="G366" s="6" t="s">
        <v>16</v>
      </c>
      <c r="H366" s="2" t="s">
        <v>194</v>
      </c>
      <c r="I366" s="2" t="s">
        <v>195</v>
      </c>
      <c r="J366" s="2"/>
      <c r="K366" s="2"/>
      <c r="L366" s="7" t="str">
        <f t="shared" ref="L366:L372" si="2">HYPERLINK("http://slimages.macys.com/is/image/MCY/11934939 ")</f>
        <v xml:space="preserve">http://slimages.macys.com/is/image/MCY/11934939 </v>
      </c>
    </row>
    <row r="367" spans="1:12" ht="24.75" x14ac:dyDescent="0.25">
      <c r="A367" s="4" t="s">
        <v>9545</v>
      </c>
      <c r="B367" s="2" t="s">
        <v>1114</v>
      </c>
      <c r="C367" s="3">
        <v>1</v>
      </c>
      <c r="D367" s="5">
        <v>37.130000000000003</v>
      </c>
      <c r="E367" s="3">
        <v>100042369</v>
      </c>
      <c r="F367" s="2" t="s">
        <v>136</v>
      </c>
      <c r="G367" s="6" t="s">
        <v>141</v>
      </c>
      <c r="H367" s="2" t="s">
        <v>194</v>
      </c>
      <c r="I367" s="2" t="s">
        <v>195</v>
      </c>
      <c r="J367" s="2"/>
      <c r="K367" s="2"/>
      <c r="L367" s="7" t="str">
        <f t="shared" si="2"/>
        <v xml:space="preserve">http://slimages.macys.com/is/image/MCY/11934939 </v>
      </c>
    </row>
    <row r="368" spans="1:12" ht="24.75" x14ac:dyDescent="0.25">
      <c r="A368" s="4" t="s">
        <v>9546</v>
      </c>
      <c r="B368" s="2" t="s">
        <v>1114</v>
      </c>
      <c r="C368" s="3">
        <v>1</v>
      </c>
      <c r="D368" s="5">
        <v>37.130000000000003</v>
      </c>
      <c r="E368" s="3">
        <v>100042369</v>
      </c>
      <c r="F368" s="2" t="s">
        <v>136</v>
      </c>
      <c r="G368" s="6" t="s">
        <v>112</v>
      </c>
      <c r="H368" s="2" t="s">
        <v>194</v>
      </c>
      <c r="I368" s="2" t="s">
        <v>195</v>
      </c>
      <c r="J368" s="2"/>
      <c r="K368" s="2"/>
      <c r="L368" s="7" t="str">
        <f t="shared" si="2"/>
        <v xml:space="preserve">http://slimages.macys.com/is/image/MCY/11934939 </v>
      </c>
    </row>
    <row r="369" spans="1:12" ht="24.75" x14ac:dyDescent="0.25">
      <c r="A369" s="4" t="s">
        <v>5767</v>
      </c>
      <c r="B369" s="2" t="s">
        <v>1114</v>
      </c>
      <c r="C369" s="3">
        <v>1</v>
      </c>
      <c r="D369" s="5">
        <v>37.130000000000003</v>
      </c>
      <c r="E369" s="3">
        <v>100042369</v>
      </c>
      <c r="F369" s="2" t="s">
        <v>64</v>
      </c>
      <c r="G369" s="6" t="s">
        <v>16</v>
      </c>
      <c r="H369" s="2" t="s">
        <v>194</v>
      </c>
      <c r="I369" s="2" t="s">
        <v>195</v>
      </c>
      <c r="J369" s="2"/>
      <c r="K369" s="2"/>
      <c r="L369" s="7" t="str">
        <f t="shared" si="2"/>
        <v xml:space="preserve">http://slimages.macys.com/is/image/MCY/11934939 </v>
      </c>
    </row>
    <row r="370" spans="1:12" ht="24.75" x14ac:dyDescent="0.25">
      <c r="A370" s="4" t="s">
        <v>9547</v>
      </c>
      <c r="B370" s="2" t="s">
        <v>1114</v>
      </c>
      <c r="C370" s="3">
        <v>1</v>
      </c>
      <c r="D370" s="5">
        <v>37.130000000000003</v>
      </c>
      <c r="E370" s="3">
        <v>100042369</v>
      </c>
      <c r="F370" s="2" t="s">
        <v>136</v>
      </c>
      <c r="G370" s="6" t="s">
        <v>22</v>
      </c>
      <c r="H370" s="2" t="s">
        <v>194</v>
      </c>
      <c r="I370" s="2" t="s">
        <v>195</v>
      </c>
      <c r="J370" s="2"/>
      <c r="K370" s="2"/>
      <c r="L370" s="7" t="str">
        <f t="shared" si="2"/>
        <v xml:space="preserve">http://slimages.macys.com/is/image/MCY/11934939 </v>
      </c>
    </row>
    <row r="371" spans="1:12" ht="24.75" x14ac:dyDescent="0.25">
      <c r="A371" s="4" t="s">
        <v>4838</v>
      </c>
      <c r="B371" s="2" t="s">
        <v>1114</v>
      </c>
      <c r="C371" s="3">
        <v>1</v>
      </c>
      <c r="D371" s="5">
        <v>37.130000000000003</v>
      </c>
      <c r="E371" s="3">
        <v>100042369</v>
      </c>
      <c r="F371" s="2" t="s">
        <v>136</v>
      </c>
      <c r="G371" s="6" t="s">
        <v>27</v>
      </c>
      <c r="H371" s="2" t="s">
        <v>194</v>
      </c>
      <c r="I371" s="2" t="s">
        <v>195</v>
      </c>
      <c r="J371" s="2"/>
      <c r="K371" s="2"/>
      <c r="L371" s="7" t="str">
        <f t="shared" si="2"/>
        <v xml:space="preserve">http://slimages.macys.com/is/image/MCY/11934939 </v>
      </c>
    </row>
    <row r="372" spans="1:12" ht="24.75" x14ac:dyDescent="0.25">
      <c r="A372" s="4" t="s">
        <v>9548</v>
      </c>
      <c r="B372" s="2" t="s">
        <v>1114</v>
      </c>
      <c r="C372" s="3">
        <v>1</v>
      </c>
      <c r="D372" s="5">
        <v>37.130000000000003</v>
      </c>
      <c r="E372" s="3">
        <v>100042369</v>
      </c>
      <c r="F372" s="2" t="s">
        <v>136</v>
      </c>
      <c r="G372" s="6" t="s">
        <v>106</v>
      </c>
      <c r="H372" s="2" t="s">
        <v>194</v>
      </c>
      <c r="I372" s="2" t="s">
        <v>195</v>
      </c>
      <c r="J372" s="2"/>
      <c r="K372" s="2"/>
      <c r="L372" s="7" t="str">
        <f t="shared" si="2"/>
        <v xml:space="preserve">http://slimages.macys.com/is/image/MCY/11934939 </v>
      </c>
    </row>
    <row r="373" spans="1:12" ht="24.75" x14ac:dyDescent="0.25">
      <c r="A373" s="4" t="s">
        <v>4840</v>
      </c>
      <c r="B373" s="2" t="s">
        <v>1114</v>
      </c>
      <c r="C373" s="3">
        <v>1</v>
      </c>
      <c r="D373" s="5">
        <v>37.130000000000003</v>
      </c>
      <c r="E373" s="3">
        <v>100042369</v>
      </c>
      <c r="F373" s="2" t="s">
        <v>94</v>
      </c>
      <c r="G373" s="6" t="s">
        <v>106</v>
      </c>
      <c r="H373" s="2" t="s">
        <v>194</v>
      </c>
      <c r="I373" s="2" t="s">
        <v>195</v>
      </c>
      <c r="J373" s="2" t="s">
        <v>19</v>
      </c>
      <c r="K373" s="2" t="s">
        <v>353</v>
      </c>
      <c r="L373" s="7" t="str">
        <f>HYPERLINK("http://slimages.macys.com/is/image/MCY/11934953 ")</f>
        <v xml:space="preserve">http://slimages.macys.com/is/image/MCY/11934953 </v>
      </c>
    </row>
    <row r="374" spans="1:12" ht="24.75" x14ac:dyDescent="0.25">
      <c r="A374" s="4" t="s">
        <v>1120</v>
      </c>
      <c r="B374" s="2" t="s">
        <v>1118</v>
      </c>
      <c r="C374" s="3">
        <v>1</v>
      </c>
      <c r="D374" s="5">
        <v>37.130000000000003</v>
      </c>
      <c r="E374" s="3">
        <v>100070736</v>
      </c>
      <c r="F374" s="2" t="s">
        <v>376</v>
      </c>
      <c r="G374" s="6" t="s">
        <v>154</v>
      </c>
      <c r="H374" s="2" t="s">
        <v>194</v>
      </c>
      <c r="I374" s="2" t="s">
        <v>195</v>
      </c>
      <c r="J374" s="2" t="s">
        <v>19</v>
      </c>
      <c r="K374" s="2" t="s">
        <v>353</v>
      </c>
      <c r="L374" s="7" t="str">
        <f>HYPERLINK("http://slimages.macys.com/is/image/MCY/13120823 ")</f>
        <v xml:space="preserve">http://slimages.macys.com/is/image/MCY/13120823 </v>
      </c>
    </row>
    <row r="375" spans="1:12" ht="24.75" x14ac:dyDescent="0.25">
      <c r="A375" s="4" t="s">
        <v>1117</v>
      </c>
      <c r="B375" s="2" t="s">
        <v>1118</v>
      </c>
      <c r="C375" s="3">
        <v>1</v>
      </c>
      <c r="D375" s="5">
        <v>37.130000000000003</v>
      </c>
      <c r="E375" s="3">
        <v>100070736</v>
      </c>
      <c r="F375" s="2" t="s">
        <v>376</v>
      </c>
      <c r="G375" s="6" t="s">
        <v>156</v>
      </c>
      <c r="H375" s="2" t="s">
        <v>194</v>
      </c>
      <c r="I375" s="2" t="s">
        <v>195</v>
      </c>
      <c r="J375" s="2" t="s">
        <v>19</v>
      </c>
      <c r="K375" s="2" t="s">
        <v>353</v>
      </c>
      <c r="L375" s="7" t="str">
        <f>HYPERLINK("http://slimages.macys.com/is/image/MCY/13120823 ")</f>
        <v xml:space="preserve">http://slimages.macys.com/is/image/MCY/13120823 </v>
      </c>
    </row>
    <row r="376" spans="1:12" ht="24.75" x14ac:dyDescent="0.25">
      <c r="A376" s="4" t="s">
        <v>1130</v>
      </c>
      <c r="B376" s="2" t="s">
        <v>1128</v>
      </c>
      <c r="C376" s="3">
        <v>1</v>
      </c>
      <c r="D376" s="5">
        <v>32.5</v>
      </c>
      <c r="E376" s="3" t="s">
        <v>1129</v>
      </c>
      <c r="F376" s="2" t="s">
        <v>252</v>
      </c>
      <c r="G376" s="6" t="s">
        <v>181</v>
      </c>
      <c r="H376" s="2" t="s">
        <v>194</v>
      </c>
      <c r="I376" s="2" t="s">
        <v>195</v>
      </c>
      <c r="J376" s="2" t="s">
        <v>19</v>
      </c>
      <c r="K376" s="2" t="s">
        <v>1108</v>
      </c>
      <c r="L376" s="7" t="str">
        <f>HYPERLINK("http://slimages.macys.com/is/image/MCY/12850781 ")</f>
        <v xml:space="preserve">http://slimages.macys.com/is/image/MCY/12850781 </v>
      </c>
    </row>
    <row r="377" spans="1:12" ht="24.75" x14ac:dyDescent="0.25">
      <c r="A377" s="4" t="s">
        <v>1144</v>
      </c>
      <c r="B377" s="2" t="s">
        <v>1132</v>
      </c>
      <c r="C377" s="3">
        <v>1</v>
      </c>
      <c r="D377" s="5">
        <v>34.5</v>
      </c>
      <c r="E377" s="3" t="s">
        <v>1143</v>
      </c>
      <c r="F377" s="2" t="s">
        <v>506</v>
      </c>
      <c r="G377" s="6" t="s">
        <v>22</v>
      </c>
      <c r="H377" s="2" t="s">
        <v>228</v>
      </c>
      <c r="I377" s="2" t="s">
        <v>863</v>
      </c>
      <c r="J377" s="2" t="s">
        <v>19</v>
      </c>
      <c r="K377" s="2" t="s">
        <v>253</v>
      </c>
      <c r="L377" s="7" t="str">
        <f>HYPERLINK("http://slimages.macys.com/is/image/MCY/11804272 ")</f>
        <v xml:space="preserve">http://slimages.macys.com/is/image/MCY/11804272 </v>
      </c>
    </row>
    <row r="378" spans="1:12" ht="24.75" x14ac:dyDescent="0.25">
      <c r="A378" s="4" t="s">
        <v>3759</v>
      </c>
      <c r="B378" s="2" t="s">
        <v>890</v>
      </c>
      <c r="C378" s="3">
        <v>1</v>
      </c>
      <c r="D378" s="5">
        <v>34.5</v>
      </c>
      <c r="E378" s="3" t="s">
        <v>1136</v>
      </c>
      <c r="F378" s="2" t="s">
        <v>252</v>
      </c>
      <c r="G378" s="6" t="s">
        <v>16</v>
      </c>
      <c r="H378" s="2" t="s">
        <v>228</v>
      </c>
      <c r="I378" s="2" t="s">
        <v>863</v>
      </c>
      <c r="J378" s="2" t="s">
        <v>19</v>
      </c>
      <c r="K378" s="2" t="s">
        <v>253</v>
      </c>
      <c r="L378" s="7" t="str">
        <f>HYPERLINK("http://slimages.macys.com/is/image/MCY/11804239 ")</f>
        <v xml:space="preserve">http://slimages.macys.com/is/image/MCY/11804239 </v>
      </c>
    </row>
    <row r="379" spans="1:12" ht="24.75" x14ac:dyDescent="0.25">
      <c r="A379" s="4" t="s">
        <v>9549</v>
      </c>
      <c r="B379" s="2" t="s">
        <v>3761</v>
      </c>
      <c r="C379" s="3">
        <v>1</v>
      </c>
      <c r="D379" s="5">
        <v>35.15</v>
      </c>
      <c r="E379" s="3" t="s">
        <v>3762</v>
      </c>
      <c r="F379" s="2" t="s">
        <v>193</v>
      </c>
      <c r="G379" s="6" t="s">
        <v>181</v>
      </c>
      <c r="H379" s="2" t="s">
        <v>182</v>
      </c>
      <c r="I379" s="2" t="s">
        <v>183</v>
      </c>
      <c r="J379" s="2" t="s">
        <v>19</v>
      </c>
      <c r="K379" s="2" t="s">
        <v>3766</v>
      </c>
      <c r="L379" s="7" t="str">
        <f>HYPERLINK("http://slimages.macys.com/is/image/MCY/12851899 ")</f>
        <v xml:space="preserve">http://slimages.macys.com/is/image/MCY/12851899 </v>
      </c>
    </row>
    <row r="380" spans="1:12" ht="24.75" x14ac:dyDescent="0.25">
      <c r="A380" s="4" t="s">
        <v>9550</v>
      </c>
      <c r="B380" s="2" t="s">
        <v>1152</v>
      </c>
      <c r="C380" s="3">
        <v>2</v>
      </c>
      <c r="D380" s="5">
        <v>37.130000000000003</v>
      </c>
      <c r="E380" s="3" t="s">
        <v>1153</v>
      </c>
      <c r="F380" s="2" t="s">
        <v>94</v>
      </c>
      <c r="G380" s="6" t="s">
        <v>156</v>
      </c>
      <c r="H380" s="2" t="s">
        <v>194</v>
      </c>
      <c r="I380" s="2" t="s">
        <v>195</v>
      </c>
      <c r="J380" s="2" t="s">
        <v>19</v>
      </c>
      <c r="K380" s="2" t="s">
        <v>34</v>
      </c>
      <c r="L380" s="7" t="str">
        <f>HYPERLINK("http://slimages.macys.com/is/image/MCY/12793856 ")</f>
        <v xml:space="preserve">http://slimages.macys.com/is/image/MCY/12793856 </v>
      </c>
    </row>
    <row r="381" spans="1:12" ht="24.75" x14ac:dyDescent="0.25">
      <c r="A381" s="4" t="s">
        <v>1157</v>
      </c>
      <c r="B381" s="2" t="s">
        <v>1152</v>
      </c>
      <c r="C381" s="3">
        <v>1</v>
      </c>
      <c r="D381" s="5">
        <v>37.130000000000003</v>
      </c>
      <c r="E381" s="3" t="s">
        <v>1153</v>
      </c>
      <c r="F381" s="2" t="s">
        <v>94</v>
      </c>
      <c r="G381" s="6" t="s">
        <v>245</v>
      </c>
      <c r="H381" s="2" t="s">
        <v>194</v>
      </c>
      <c r="I381" s="2" t="s">
        <v>195</v>
      </c>
      <c r="J381" s="2" t="s">
        <v>19</v>
      </c>
      <c r="K381" s="2" t="s">
        <v>34</v>
      </c>
      <c r="L381" s="7" t="str">
        <f>HYPERLINK("http://slimages.macys.com/is/image/MCY/12793856 ")</f>
        <v xml:space="preserve">http://slimages.macys.com/is/image/MCY/12793856 </v>
      </c>
    </row>
    <row r="382" spans="1:12" ht="24.75" x14ac:dyDescent="0.25">
      <c r="A382" s="4" t="s">
        <v>9068</v>
      </c>
      <c r="B382" s="2" t="s">
        <v>1160</v>
      </c>
      <c r="C382" s="3">
        <v>1</v>
      </c>
      <c r="D382" s="5">
        <v>69.5</v>
      </c>
      <c r="E382" s="3">
        <v>100055239</v>
      </c>
      <c r="F382" s="2" t="s">
        <v>74</v>
      </c>
      <c r="G382" s="6" t="s">
        <v>22</v>
      </c>
      <c r="H382" s="2" t="s">
        <v>386</v>
      </c>
      <c r="I382" s="2" t="s">
        <v>207</v>
      </c>
      <c r="J382" s="2" t="s">
        <v>19</v>
      </c>
      <c r="K382" s="2" t="s">
        <v>387</v>
      </c>
      <c r="L382" s="7" t="str">
        <f>HYPERLINK("http://slimages.macys.com/is/image/MCY/11535562 ")</f>
        <v xml:space="preserve">http://slimages.macys.com/is/image/MCY/11535562 </v>
      </c>
    </row>
    <row r="383" spans="1:12" ht="24.75" x14ac:dyDescent="0.25">
      <c r="A383" s="4" t="s">
        <v>9551</v>
      </c>
      <c r="B383" s="2" t="s">
        <v>1167</v>
      </c>
      <c r="C383" s="3">
        <v>1</v>
      </c>
      <c r="D383" s="5">
        <v>34.5</v>
      </c>
      <c r="E383" s="3" t="s">
        <v>1168</v>
      </c>
      <c r="F383" s="2" t="s">
        <v>74</v>
      </c>
      <c r="G383" s="6" t="s">
        <v>65</v>
      </c>
      <c r="H383" s="2" t="s">
        <v>228</v>
      </c>
      <c r="I383" s="2" t="s">
        <v>863</v>
      </c>
      <c r="J383" s="2" t="s">
        <v>19</v>
      </c>
      <c r="K383" s="2" t="s">
        <v>230</v>
      </c>
      <c r="L383" s="7" t="str">
        <f>HYPERLINK("http://slimages.macys.com/is/image/MCY/3623515 ")</f>
        <v xml:space="preserve">http://slimages.macys.com/is/image/MCY/3623515 </v>
      </c>
    </row>
    <row r="384" spans="1:12" ht="24.75" x14ac:dyDescent="0.25">
      <c r="A384" s="4" t="s">
        <v>9552</v>
      </c>
      <c r="B384" s="2" t="s">
        <v>1167</v>
      </c>
      <c r="C384" s="3">
        <v>1</v>
      </c>
      <c r="D384" s="5">
        <v>34.5</v>
      </c>
      <c r="E384" s="3" t="s">
        <v>6567</v>
      </c>
      <c r="F384" s="2" t="s">
        <v>417</v>
      </c>
      <c r="G384" s="6" t="s">
        <v>22</v>
      </c>
      <c r="H384" s="2" t="s">
        <v>228</v>
      </c>
      <c r="I384" s="2" t="s">
        <v>863</v>
      </c>
      <c r="J384" s="2" t="s">
        <v>19</v>
      </c>
      <c r="K384" s="2" t="s">
        <v>230</v>
      </c>
      <c r="L384" s="7" t="str">
        <f>HYPERLINK("http://slimages.macys.com/is/image/MCY/3623515 ")</f>
        <v xml:space="preserve">http://slimages.macys.com/is/image/MCY/3623515 </v>
      </c>
    </row>
    <row r="385" spans="1:12" ht="24.75" x14ac:dyDescent="0.25">
      <c r="A385" s="4" t="s">
        <v>9553</v>
      </c>
      <c r="B385" s="2" t="s">
        <v>1163</v>
      </c>
      <c r="C385" s="3">
        <v>1</v>
      </c>
      <c r="D385" s="5">
        <v>34.5</v>
      </c>
      <c r="E385" s="3" t="s">
        <v>1164</v>
      </c>
      <c r="F385" s="2" t="s">
        <v>74</v>
      </c>
      <c r="G385" s="6" t="s">
        <v>1134</v>
      </c>
      <c r="H385" s="2" t="s">
        <v>228</v>
      </c>
      <c r="I385" s="2" t="s">
        <v>863</v>
      </c>
      <c r="J385" s="2" t="s">
        <v>19</v>
      </c>
      <c r="K385" s="2" t="s">
        <v>230</v>
      </c>
      <c r="L385" s="7" t="str">
        <f>HYPERLINK("http://slimages.macys.com/is/image/MCY/3623515 ")</f>
        <v xml:space="preserve">http://slimages.macys.com/is/image/MCY/3623515 </v>
      </c>
    </row>
    <row r="386" spans="1:12" ht="24.75" x14ac:dyDescent="0.25">
      <c r="A386" s="4" t="s">
        <v>9554</v>
      </c>
      <c r="B386" s="2" t="s">
        <v>1167</v>
      </c>
      <c r="C386" s="3">
        <v>1</v>
      </c>
      <c r="D386" s="5">
        <v>34.5</v>
      </c>
      <c r="E386" s="3" t="s">
        <v>6567</v>
      </c>
      <c r="F386" s="2" t="s">
        <v>417</v>
      </c>
      <c r="G386" s="6" t="s">
        <v>27</v>
      </c>
      <c r="H386" s="2" t="s">
        <v>228</v>
      </c>
      <c r="I386" s="2" t="s">
        <v>863</v>
      </c>
      <c r="J386" s="2" t="s">
        <v>19</v>
      </c>
      <c r="K386" s="2" t="s">
        <v>230</v>
      </c>
      <c r="L386" s="7" t="str">
        <f>HYPERLINK("http://slimages.macys.com/is/image/MCY/3623515 ")</f>
        <v xml:space="preserve">http://slimages.macys.com/is/image/MCY/3623515 </v>
      </c>
    </row>
    <row r="387" spans="1:12" ht="24.75" x14ac:dyDescent="0.25">
      <c r="A387" s="4" t="s">
        <v>1180</v>
      </c>
      <c r="B387" s="2" t="s">
        <v>1181</v>
      </c>
      <c r="C387" s="3">
        <v>1</v>
      </c>
      <c r="D387" s="5">
        <v>37.130000000000003</v>
      </c>
      <c r="E387" s="3">
        <v>100064797</v>
      </c>
      <c r="F387" s="2" t="s">
        <v>15</v>
      </c>
      <c r="G387" s="6" t="s">
        <v>154</v>
      </c>
      <c r="H387" s="2" t="s">
        <v>194</v>
      </c>
      <c r="I387" s="2" t="s">
        <v>195</v>
      </c>
      <c r="J387" s="2" t="s">
        <v>19</v>
      </c>
      <c r="K387" s="2" t="s">
        <v>247</v>
      </c>
      <c r="L387" s="7" t="str">
        <f>HYPERLINK("http://slimages.macys.com/is/image/MCY/12950007 ")</f>
        <v xml:space="preserve">http://slimages.macys.com/is/image/MCY/12950007 </v>
      </c>
    </row>
    <row r="388" spans="1:12" ht="24.75" x14ac:dyDescent="0.25">
      <c r="A388" s="4" t="s">
        <v>6576</v>
      </c>
      <c r="B388" s="2" t="s">
        <v>1106</v>
      </c>
      <c r="C388" s="3">
        <v>1</v>
      </c>
      <c r="D388" s="5">
        <v>33.380000000000003</v>
      </c>
      <c r="E388" s="3" t="s">
        <v>3775</v>
      </c>
      <c r="F388" s="2" t="s">
        <v>417</v>
      </c>
      <c r="G388" s="6" t="s">
        <v>154</v>
      </c>
      <c r="H388" s="2" t="s">
        <v>194</v>
      </c>
      <c r="I388" s="2" t="s">
        <v>195</v>
      </c>
      <c r="J388" s="2" t="s">
        <v>19</v>
      </c>
      <c r="K388" s="2" t="s">
        <v>1108</v>
      </c>
      <c r="L388" s="7" t="str">
        <f>HYPERLINK("http://slimages.macys.com/is/image/MCY/12034216 ")</f>
        <v xml:space="preserve">http://slimages.macys.com/is/image/MCY/12034216 </v>
      </c>
    </row>
    <row r="389" spans="1:12" ht="24.75" x14ac:dyDescent="0.25">
      <c r="A389" s="4" t="s">
        <v>2603</v>
      </c>
      <c r="B389" s="2" t="s">
        <v>1183</v>
      </c>
      <c r="C389" s="3">
        <v>1</v>
      </c>
      <c r="D389" s="5">
        <v>34.5</v>
      </c>
      <c r="E389" s="3" t="s">
        <v>2602</v>
      </c>
      <c r="F389" s="2" t="s">
        <v>26</v>
      </c>
      <c r="G389" s="6" t="s">
        <v>154</v>
      </c>
      <c r="H389" s="2" t="s">
        <v>228</v>
      </c>
      <c r="I389" s="2" t="s">
        <v>229</v>
      </c>
      <c r="J389" s="2" t="s">
        <v>19</v>
      </c>
      <c r="K389" s="2" t="s">
        <v>253</v>
      </c>
      <c r="L389" s="7" t="str">
        <f>HYPERLINK("http://slimages.macys.com/is/image/MCY/11269044 ")</f>
        <v xml:space="preserve">http://slimages.macys.com/is/image/MCY/11269044 </v>
      </c>
    </row>
    <row r="390" spans="1:12" ht="24.75" x14ac:dyDescent="0.25">
      <c r="A390" s="4" t="s">
        <v>4852</v>
      </c>
      <c r="B390" s="2" t="s">
        <v>1183</v>
      </c>
      <c r="C390" s="3">
        <v>1</v>
      </c>
      <c r="D390" s="5">
        <v>34.5</v>
      </c>
      <c r="E390" s="3" t="s">
        <v>3777</v>
      </c>
      <c r="F390" s="2" t="s">
        <v>74</v>
      </c>
      <c r="G390" s="6" t="s">
        <v>181</v>
      </c>
      <c r="H390" s="2" t="s">
        <v>228</v>
      </c>
      <c r="I390" s="2" t="s">
        <v>229</v>
      </c>
      <c r="J390" s="2" t="s">
        <v>19</v>
      </c>
      <c r="K390" s="2" t="s">
        <v>253</v>
      </c>
      <c r="L390" s="7" t="str">
        <f>HYPERLINK("http://slimages.macys.com/is/image/MCY/11269044 ")</f>
        <v xml:space="preserve">http://slimages.macys.com/is/image/MCY/11269044 </v>
      </c>
    </row>
    <row r="391" spans="1:12" ht="24.75" x14ac:dyDescent="0.25">
      <c r="A391" s="4" t="s">
        <v>5791</v>
      </c>
      <c r="B391" s="2" t="s">
        <v>1183</v>
      </c>
      <c r="C391" s="3">
        <v>1</v>
      </c>
      <c r="D391" s="5">
        <v>34.5</v>
      </c>
      <c r="E391" s="3" t="s">
        <v>2602</v>
      </c>
      <c r="F391" s="2" t="s">
        <v>26</v>
      </c>
      <c r="G391" s="6" t="s">
        <v>181</v>
      </c>
      <c r="H391" s="2" t="s">
        <v>228</v>
      </c>
      <c r="I391" s="2" t="s">
        <v>229</v>
      </c>
      <c r="J391" s="2" t="s">
        <v>19</v>
      </c>
      <c r="K391" s="2" t="s">
        <v>253</v>
      </c>
      <c r="L391" s="7" t="str">
        <f>HYPERLINK("http://slimages.macys.com/is/image/MCY/11269044 ")</f>
        <v xml:space="preserve">http://slimages.macys.com/is/image/MCY/11269044 </v>
      </c>
    </row>
    <row r="392" spans="1:12" ht="24.75" x14ac:dyDescent="0.25">
      <c r="A392" s="4" t="s">
        <v>5796</v>
      </c>
      <c r="B392" s="2" t="s">
        <v>1185</v>
      </c>
      <c r="C392" s="3">
        <v>1</v>
      </c>
      <c r="D392" s="5">
        <v>34.5</v>
      </c>
      <c r="E392" s="3" t="s">
        <v>1186</v>
      </c>
      <c r="F392" s="2" t="s">
        <v>376</v>
      </c>
      <c r="G392" s="6" t="s">
        <v>154</v>
      </c>
      <c r="H392" s="2" t="s">
        <v>228</v>
      </c>
      <c r="I392" s="2" t="s">
        <v>229</v>
      </c>
      <c r="J392" s="2" t="s">
        <v>19</v>
      </c>
      <c r="K392" s="2" t="s">
        <v>253</v>
      </c>
      <c r="L392" s="7" t="str">
        <f>HYPERLINK("http://slimages.macys.com/is/image/MCY/11269044 ")</f>
        <v xml:space="preserve">http://slimages.macys.com/is/image/MCY/11269044 </v>
      </c>
    </row>
    <row r="393" spans="1:12" ht="24.75" x14ac:dyDescent="0.25">
      <c r="A393" s="4" t="s">
        <v>9555</v>
      </c>
      <c r="B393" s="2" t="s">
        <v>4854</v>
      </c>
      <c r="C393" s="3">
        <v>1</v>
      </c>
      <c r="D393" s="5">
        <v>37.130000000000003</v>
      </c>
      <c r="E393" s="3">
        <v>100027424</v>
      </c>
      <c r="F393" s="2" t="s">
        <v>74</v>
      </c>
      <c r="G393" s="6" t="s">
        <v>9556</v>
      </c>
      <c r="H393" s="2" t="s">
        <v>194</v>
      </c>
      <c r="I393" s="2" t="s">
        <v>1112</v>
      </c>
      <c r="J393" s="2" t="s">
        <v>19</v>
      </c>
      <c r="K393" s="2" t="s">
        <v>409</v>
      </c>
      <c r="L393" s="7" t="str">
        <f>HYPERLINK("http://slimages.macys.com/is/image/MCY/8185791 ")</f>
        <v xml:space="preserve">http://slimages.macys.com/is/image/MCY/8185791 </v>
      </c>
    </row>
    <row r="394" spans="1:12" ht="24.75" x14ac:dyDescent="0.25">
      <c r="A394" s="4" t="s">
        <v>1184</v>
      </c>
      <c r="B394" s="2" t="s">
        <v>1185</v>
      </c>
      <c r="C394" s="3">
        <v>1</v>
      </c>
      <c r="D394" s="5">
        <v>34.5</v>
      </c>
      <c r="E394" s="3" t="s">
        <v>1186</v>
      </c>
      <c r="F394" s="2" t="s">
        <v>376</v>
      </c>
      <c r="G394" s="6" t="s">
        <v>181</v>
      </c>
      <c r="H394" s="2" t="s">
        <v>228</v>
      </c>
      <c r="I394" s="2" t="s">
        <v>229</v>
      </c>
      <c r="J394" s="2" t="s">
        <v>19</v>
      </c>
      <c r="K394" s="2" t="s">
        <v>253</v>
      </c>
      <c r="L394" s="7" t="str">
        <f>HYPERLINK("http://slimages.macys.com/is/image/MCY/11269044 ")</f>
        <v xml:space="preserve">http://slimages.macys.com/is/image/MCY/11269044 </v>
      </c>
    </row>
    <row r="395" spans="1:12" ht="24.75" x14ac:dyDescent="0.25">
      <c r="A395" s="4" t="s">
        <v>3778</v>
      </c>
      <c r="B395" s="2" t="s">
        <v>1188</v>
      </c>
      <c r="C395" s="3">
        <v>1</v>
      </c>
      <c r="D395" s="5">
        <v>44.63</v>
      </c>
      <c r="E395" s="3" t="s">
        <v>1189</v>
      </c>
      <c r="F395" s="2" t="s">
        <v>64</v>
      </c>
      <c r="G395" s="6" t="s">
        <v>154</v>
      </c>
      <c r="H395" s="2" t="s">
        <v>194</v>
      </c>
      <c r="I395" s="2" t="s">
        <v>195</v>
      </c>
      <c r="J395" s="2" t="s">
        <v>19</v>
      </c>
      <c r="K395" s="2" t="s">
        <v>803</v>
      </c>
      <c r="L395" s="7" t="str">
        <f>HYPERLINK("http://slimages.macys.com/is/image/MCY/13683354 ")</f>
        <v xml:space="preserve">http://slimages.macys.com/is/image/MCY/13683354 </v>
      </c>
    </row>
    <row r="396" spans="1:12" ht="24.75" x14ac:dyDescent="0.25">
      <c r="A396" s="4" t="s">
        <v>1190</v>
      </c>
      <c r="B396" s="2" t="s">
        <v>1188</v>
      </c>
      <c r="C396" s="3">
        <v>1</v>
      </c>
      <c r="D396" s="5">
        <v>44.63</v>
      </c>
      <c r="E396" s="3" t="s">
        <v>1189</v>
      </c>
      <c r="F396" s="2" t="s">
        <v>38</v>
      </c>
      <c r="G396" s="6" t="s">
        <v>154</v>
      </c>
      <c r="H396" s="2" t="s">
        <v>194</v>
      </c>
      <c r="I396" s="2" t="s">
        <v>195</v>
      </c>
      <c r="J396" s="2" t="s">
        <v>19</v>
      </c>
      <c r="K396" s="2" t="s">
        <v>803</v>
      </c>
      <c r="L396" s="7" t="str">
        <f>HYPERLINK("http://slimages.macys.com/is/image/MCY/13683354 ")</f>
        <v xml:space="preserve">http://slimages.macys.com/is/image/MCY/13683354 </v>
      </c>
    </row>
    <row r="397" spans="1:12" ht="24.75" x14ac:dyDescent="0.25">
      <c r="A397" s="4" t="s">
        <v>2606</v>
      </c>
      <c r="B397" s="2" t="s">
        <v>1196</v>
      </c>
      <c r="C397" s="3">
        <v>1</v>
      </c>
      <c r="D397" s="5">
        <v>37.130000000000003</v>
      </c>
      <c r="E397" s="3">
        <v>100020406</v>
      </c>
      <c r="F397" s="2" t="s">
        <v>887</v>
      </c>
      <c r="G397" s="6" t="s">
        <v>234</v>
      </c>
      <c r="H397" s="2" t="s">
        <v>194</v>
      </c>
      <c r="I397" s="2" t="s">
        <v>195</v>
      </c>
      <c r="J397" s="2" t="s">
        <v>19</v>
      </c>
      <c r="K397" s="2" t="s">
        <v>648</v>
      </c>
      <c r="L397" s="7" t="str">
        <f>HYPERLINK("http://slimages.macys.com/is/image/MCY/9577038 ")</f>
        <v xml:space="preserve">http://slimages.macys.com/is/image/MCY/9577038 </v>
      </c>
    </row>
    <row r="398" spans="1:12" ht="24.75" x14ac:dyDescent="0.25">
      <c r="A398" s="4" t="s">
        <v>9557</v>
      </c>
      <c r="B398" s="2" t="s">
        <v>9558</v>
      </c>
      <c r="C398" s="3">
        <v>1</v>
      </c>
      <c r="D398" s="5">
        <v>37.130000000000003</v>
      </c>
      <c r="E398" s="3" t="s">
        <v>9559</v>
      </c>
      <c r="F398" s="2" t="s">
        <v>26</v>
      </c>
      <c r="G398" s="6"/>
      <c r="H398" s="2" t="s">
        <v>312</v>
      </c>
      <c r="I398" s="2" t="s">
        <v>919</v>
      </c>
      <c r="J398" s="2" t="s">
        <v>19</v>
      </c>
      <c r="K398" s="2" t="s">
        <v>409</v>
      </c>
      <c r="L398" s="7" t="str">
        <f>HYPERLINK("http://slimages.macys.com/is/image/MCY/8106048 ")</f>
        <v xml:space="preserve">http://slimages.macys.com/is/image/MCY/8106048 </v>
      </c>
    </row>
    <row r="399" spans="1:12" ht="24.75" x14ac:dyDescent="0.25">
      <c r="A399" s="4" t="s">
        <v>9560</v>
      </c>
      <c r="B399" s="2" t="s">
        <v>9561</v>
      </c>
      <c r="C399" s="3">
        <v>1</v>
      </c>
      <c r="D399" s="5">
        <v>59.5</v>
      </c>
      <c r="E399" s="3" t="s">
        <v>9562</v>
      </c>
      <c r="F399" s="2" t="s">
        <v>74</v>
      </c>
      <c r="G399" s="6"/>
      <c r="H399" s="2" t="s">
        <v>206</v>
      </c>
      <c r="I399" s="2" t="s">
        <v>207</v>
      </c>
      <c r="J399" s="2" t="s">
        <v>19</v>
      </c>
      <c r="K399" s="2" t="s">
        <v>9563</v>
      </c>
      <c r="L399" s="7" t="str">
        <f>HYPERLINK("http://slimages.macys.com/is/image/MCY/12386566 ")</f>
        <v xml:space="preserve">http://slimages.macys.com/is/image/MCY/12386566 </v>
      </c>
    </row>
    <row r="400" spans="1:12" ht="24.75" x14ac:dyDescent="0.25">
      <c r="A400" s="4" t="s">
        <v>1202</v>
      </c>
      <c r="B400" s="2" t="s">
        <v>1203</v>
      </c>
      <c r="C400" s="3">
        <v>1</v>
      </c>
      <c r="D400" s="5">
        <v>34.5</v>
      </c>
      <c r="E400" s="3" t="s">
        <v>1204</v>
      </c>
      <c r="F400" s="2" t="s">
        <v>506</v>
      </c>
      <c r="G400" s="6" t="s">
        <v>165</v>
      </c>
      <c r="H400" s="2" t="s">
        <v>426</v>
      </c>
      <c r="I400" s="2" t="s">
        <v>229</v>
      </c>
      <c r="J400" s="2" t="s">
        <v>19</v>
      </c>
      <c r="K400" s="2" t="s">
        <v>253</v>
      </c>
      <c r="L400" s="7" t="str">
        <f>HYPERLINK("http://slimages.macys.com/is/image/MCY/13535247 ")</f>
        <v xml:space="preserve">http://slimages.macys.com/is/image/MCY/13535247 </v>
      </c>
    </row>
    <row r="401" spans="1:12" ht="24.75" x14ac:dyDescent="0.25">
      <c r="A401" s="4" t="s">
        <v>9564</v>
      </c>
      <c r="B401" s="2" t="s">
        <v>7414</v>
      </c>
      <c r="C401" s="3">
        <v>1</v>
      </c>
      <c r="D401" s="5">
        <v>37.130000000000003</v>
      </c>
      <c r="E401" s="3" t="s">
        <v>7415</v>
      </c>
      <c r="F401" s="2" t="s">
        <v>64</v>
      </c>
      <c r="G401" s="6" t="s">
        <v>58</v>
      </c>
      <c r="H401" s="2" t="s">
        <v>246</v>
      </c>
      <c r="I401" s="2" t="s">
        <v>189</v>
      </c>
      <c r="J401" s="2" t="s">
        <v>19</v>
      </c>
      <c r="K401" s="2" t="s">
        <v>353</v>
      </c>
      <c r="L401" s="7" t="str">
        <f>HYPERLINK("http://slimages.macys.com/is/image/MCY/11915457 ")</f>
        <v xml:space="preserve">http://slimages.macys.com/is/image/MCY/11915457 </v>
      </c>
    </row>
    <row r="402" spans="1:12" ht="24.75" x14ac:dyDescent="0.25">
      <c r="A402" s="4" t="s">
        <v>9565</v>
      </c>
      <c r="B402" s="2" t="s">
        <v>1199</v>
      </c>
      <c r="C402" s="3">
        <v>1</v>
      </c>
      <c r="D402" s="5">
        <v>37.130000000000003</v>
      </c>
      <c r="E402" s="3">
        <v>100009324</v>
      </c>
      <c r="F402" s="2" t="s">
        <v>74</v>
      </c>
      <c r="G402" s="6" t="s">
        <v>65</v>
      </c>
      <c r="H402" s="2" t="s">
        <v>194</v>
      </c>
      <c r="I402" s="2" t="s">
        <v>195</v>
      </c>
      <c r="J402" s="2" t="s">
        <v>19</v>
      </c>
      <c r="K402" s="2" t="s">
        <v>353</v>
      </c>
      <c r="L402" s="7" t="str">
        <f>HYPERLINK("http://slimages.macys.com/is/image/MCY/9404224 ")</f>
        <v xml:space="preserve">http://slimages.macys.com/is/image/MCY/9404224 </v>
      </c>
    </row>
    <row r="403" spans="1:12" ht="24.75" x14ac:dyDescent="0.25">
      <c r="A403" s="4" t="s">
        <v>9566</v>
      </c>
      <c r="B403" s="2" t="s">
        <v>1199</v>
      </c>
      <c r="C403" s="3">
        <v>1</v>
      </c>
      <c r="D403" s="5">
        <v>37.130000000000003</v>
      </c>
      <c r="E403" s="3">
        <v>100009324</v>
      </c>
      <c r="F403" s="2" t="s">
        <v>376</v>
      </c>
      <c r="G403" s="6" t="s">
        <v>39</v>
      </c>
      <c r="H403" s="2" t="s">
        <v>194</v>
      </c>
      <c r="I403" s="2" t="s">
        <v>195</v>
      </c>
      <c r="J403" s="2" t="s">
        <v>19</v>
      </c>
      <c r="K403" s="2" t="s">
        <v>353</v>
      </c>
      <c r="L403" s="7" t="str">
        <f>HYPERLINK("http://slimages.macys.com/is/image/MCY/9404224 ")</f>
        <v xml:space="preserve">http://slimages.macys.com/is/image/MCY/9404224 </v>
      </c>
    </row>
    <row r="404" spans="1:12" ht="24.75" x14ac:dyDescent="0.25">
      <c r="A404" s="4" t="s">
        <v>9567</v>
      </c>
      <c r="B404" s="2" t="s">
        <v>1199</v>
      </c>
      <c r="C404" s="3">
        <v>1</v>
      </c>
      <c r="D404" s="5">
        <v>37.130000000000003</v>
      </c>
      <c r="E404" s="3">
        <v>100009324</v>
      </c>
      <c r="F404" s="2" t="s">
        <v>376</v>
      </c>
      <c r="G404" s="6" t="s">
        <v>22</v>
      </c>
      <c r="H404" s="2" t="s">
        <v>194</v>
      </c>
      <c r="I404" s="2" t="s">
        <v>195</v>
      </c>
      <c r="J404" s="2" t="s">
        <v>19</v>
      </c>
      <c r="K404" s="2" t="s">
        <v>353</v>
      </c>
      <c r="L404" s="7" t="str">
        <f>HYPERLINK("http://slimages.macys.com/is/image/MCY/9404224 ")</f>
        <v xml:space="preserve">http://slimages.macys.com/is/image/MCY/9404224 </v>
      </c>
    </row>
    <row r="405" spans="1:12" ht="24.75" x14ac:dyDescent="0.25">
      <c r="A405" s="4" t="s">
        <v>9568</v>
      </c>
      <c r="B405" s="2" t="s">
        <v>5935</v>
      </c>
      <c r="C405" s="3">
        <v>1</v>
      </c>
      <c r="D405" s="5">
        <v>33.380000000000003</v>
      </c>
      <c r="E405" s="3" t="s">
        <v>8133</v>
      </c>
      <c r="F405" s="2" t="s">
        <v>417</v>
      </c>
      <c r="G405" s="6" t="s">
        <v>2276</v>
      </c>
      <c r="H405" s="2" t="s">
        <v>349</v>
      </c>
      <c r="I405" s="2" t="s">
        <v>285</v>
      </c>
      <c r="J405" s="2" t="s">
        <v>19</v>
      </c>
      <c r="K405" s="2" t="s">
        <v>247</v>
      </c>
      <c r="L405" s="7" t="str">
        <f>HYPERLINK("http://slimages.macys.com/is/image/MCY/12343059 ")</f>
        <v xml:space="preserve">http://slimages.macys.com/is/image/MCY/12343059 </v>
      </c>
    </row>
    <row r="406" spans="1:12" ht="24.75" x14ac:dyDescent="0.25">
      <c r="A406" s="4" t="s">
        <v>9569</v>
      </c>
      <c r="B406" s="2" t="s">
        <v>5935</v>
      </c>
      <c r="C406" s="3">
        <v>1</v>
      </c>
      <c r="D406" s="5">
        <v>33.380000000000003</v>
      </c>
      <c r="E406" s="3" t="s">
        <v>8133</v>
      </c>
      <c r="F406" s="2" t="s">
        <v>26</v>
      </c>
      <c r="G406" s="6" t="s">
        <v>2276</v>
      </c>
      <c r="H406" s="2" t="s">
        <v>349</v>
      </c>
      <c r="I406" s="2" t="s">
        <v>285</v>
      </c>
      <c r="J406" s="2" t="s">
        <v>19</v>
      </c>
      <c r="K406" s="2" t="s">
        <v>247</v>
      </c>
      <c r="L406" s="7" t="str">
        <f>HYPERLINK("http://slimages.macys.com/is/image/MCY/12794352 ")</f>
        <v xml:space="preserve">http://slimages.macys.com/is/image/MCY/12794352 </v>
      </c>
    </row>
    <row r="407" spans="1:12" ht="24.75" x14ac:dyDescent="0.25">
      <c r="A407" s="4" t="s">
        <v>9570</v>
      </c>
      <c r="B407" s="2" t="s">
        <v>3804</v>
      </c>
      <c r="C407" s="3">
        <v>1</v>
      </c>
      <c r="D407" s="5">
        <v>37.130000000000003</v>
      </c>
      <c r="E407" s="3" t="s">
        <v>9571</v>
      </c>
      <c r="F407" s="2" t="s">
        <v>74</v>
      </c>
      <c r="G407" s="6" t="s">
        <v>219</v>
      </c>
      <c r="H407" s="2" t="s">
        <v>188</v>
      </c>
      <c r="I407" s="2" t="s">
        <v>189</v>
      </c>
      <c r="J407" s="2" t="s">
        <v>19</v>
      </c>
      <c r="K407" s="2" t="s">
        <v>648</v>
      </c>
      <c r="L407" s="7" t="str">
        <f>HYPERLINK("http://slimages.macys.com/is/image/MCY/9550377 ")</f>
        <v xml:space="preserve">http://slimages.macys.com/is/image/MCY/9550377 </v>
      </c>
    </row>
    <row r="408" spans="1:12" ht="24.75" x14ac:dyDescent="0.25">
      <c r="A408" s="4" t="s">
        <v>9572</v>
      </c>
      <c r="B408" s="2" t="s">
        <v>1188</v>
      </c>
      <c r="C408" s="3">
        <v>1</v>
      </c>
      <c r="D408" s="5">
        <v>44.63</v>
      </c>
      <c r="E408" s="3" t="s">
        <v>3791</v>
      </c>
      <c r="F408" s="2" t="s">
        <v>125</v>
      </c>
      <c r="G408" s="6"/>
      <c r="H408" s="2" t="s">
        <v>312</v>
      </c>
      <c r="I408" s="2" t="s">
        <v>195</v>
      </c>
      <c r="J408" s="2" t="s">
        <v>19</v>
      </c>
      <c r="K408" s="2" t="s">
        <v>247</v>
      </c>
      <c r="L408" s="7" t="str">
        <f>HYPERLINK("http://slimages.macys.com/is/image/MCY/12280062 ")</f>
        <v xml:space="preserve">http://slimages.macys.com/is/image/MCY/12280062 </v>
      </c>
    </row>
    <row r="409" spans="1:12" ht="24.75" x14ac:dyDescent="0.25">
      <c r="A409" s="4" t="s">
        <v>9573</v>
      </c>
      <c r="B409" s="2" t="s">
        <v>9574</v>
      </c>
      <c r="C409" s="3">
        <v>1</v>
      </c>
      <c r="D409" s="5">
        <v>33.5</v>
      </c>
      <c r="E409" s="3" t="s">
        <v>9575</v>
      </c>
      <c r="F409" s="2" t="s">
        <v>74</v>
      </c>
      <c r="G409" s="6"/>
      <c r="H409" s="2" t="s">
        <v>312</v>
      </c>
      <c r="I409" s="2" t="s">
        <v>195</v>
      </c>
      <c r="J409" s="2" t="s">
        <v>19</v>
      </c>
      <c r="K409" s="2" t="s">
        <v>247</v>
      </c>
      <c r="L409" s="7" t="str">
        <f>HYPERLINK("http://slimages.macys.com/is/image/MCY/11026320 ")</f>
        <v xml:space="preserve">http://slimages.macys.com/is/image/MCY/11026320 </v>
      </c>
    </row>
    <row r="410" spans="1:12" ht="24.75" x14ac:dyDescent="0.25">
      <c r="A410" s="4" t="s">
        <v>9576</v>
      </c>
      <c r="B410" s="2" t="s">
        <v>9577</v>
      </c>
      <c r="C410" s="3">
        <v>1</v>
      </c>
      <c r="D410" s="5">
        <v>59.5</v>
      </c>
      <c r="E410" s="3" t="s">
        <v>9578</v>
      </c>
      <c r="F410" s="2" t="s">
        <v>15</v>
      </c>
      <c r="G410" s="6" t="s">
        <v>187</v>
      </c>
      <c r="H410" s="2" t="s">
        <v>206</v>
      </c>
      <c r="I410" s="2" t="s">
        <v>207</v>
      </c>
      <c r="J410" s="2" t="s">
        <v>19</v>
      </c>
      <c r="K410" s="2" t="s">
        <v>672</v>
      </c>
      <c r="L410" s="7" t="str">
        <f>HYPERLINK("http://slimages.macys.com/is/image/MCY/9507267 ")</f>
        <v xml:space="preserve">http://slimages.macys.com/is/image/MCY/9507267 </v>
      </c>
    </row>
    <row r="411" spans="1:12" ht="24.75" x14ac:dyDescent="0.25">
      <c r="A411" s="4" t="s">
        <v>9579</v>
      </c>
      <c r="B411" s="2" t="s">
        <v>5818</v>
      </c>
      <c r="C411" s="3">
        <v>1</v>
      </c>
      <c r="D411" s="5">
        <v>37.130000000000003</v>
      </c>
      <c r="E411" s="3" t="s">
        <v>5819</v>
      </c>
      <c r="F411" s="2" t="s">
        <v>566</v>
      </c>
      <c r="G411" s="6" t="s">
        <v>200</v>
      </c>
      <c r="H411" s="2" t="s">
        <v>284</v>
      </c>
      <c r="I411" s="2" t="s">
        <v>285</v>
      </c>
      <c r="J411" s="2" t="s">
        <v>19</v>
      </c>
      <c r="K411" s="2" t="s">
        <v>990</v>
      </c>
      <c r="L411" s="7" t="str">
        <f>HYPERLINK("http://slimages.macys.com/is/image/MCY/12342959 ")</f>
        <v xml:space="preserve">http://slimages.macys.com/is/image/MCY/12342959 </v>
      </c>
    </row>
    <row r="412" spans="1:12" ht="24.75" x14ac:dyDescent="0.25">
      <c r="A412" s="4" t="s">
        <v>9580</v>
      </c>
      <c r="B412" s="2" t="s">
        <v>9086</v>
      </c>
      <c r="C412" s="3">
        <v>1</v>
      </c>
      <c r="D412" s="5">
        <v>37.130000000000003</v>
      </c>
      <c r="E412" s="3">
        <v>100042375</v>
      </c>
      <c r="F412" s="2" t="s">
        <v>417</v>
      </c>
      <c r="G412" s="6" t="s">
        <v>65</v>
      </c>
      <c r="H412" s="2" t="s">
        <v>194</v>
      </c>
      <c r="I412" s="2" t="s">
        <v>195</v>
      </c>
      <c r="J412" s="2" t="s">
        <v>19</v>
      </c>
      <c r="K412" s="2" t="s">
        <v>353</v>
      </c>
      <c r="L412" s="7" t="str">
        <f>HYPERLINK("http://slimages.macys.com/is/image/MCY/11025487 ")</f>
        <v xml:space="preserve">http://slimages.macys.com/is/image/MCY/11025487 </v>
      </c>
    </row>
    <row r="413" spans="1:12" ht="24.75" x14ac:dyDescent="0.25">
      <c r="A413" s="4" t="s">
        <v>9581</v>
      </c>
      <c r="B413" s="2" t="s">
        <v>9086</v>
      </c>
      <c r="C413" s="3">
        <v>2</v>
      </c>
      <c r="D413" s="5">
        <v>37.130000000000003</v>
      </c>
      <c r="E413" s="3">
        <v>100042375</v>
      </c>
      <c r="F413" s="2" t="s">
        <v>94</v>
      </c>
      <c r="G413" s="6" t="s">
        <v>27</v>
      </c>
      <c r="H413" s="2" t="s">
        <v>194</v>
      </c>
      <c r="I413" s="2" t="s">
        <v>195</v>
      </c>
      <c r="J413" s="2" t="s">
        <v>19</v>
      </c>
      <c r="K413" s="2" t="s">
        <v>353</v>
      </c>
      <c r="L413" s="7" t="str">
        <f>HYPERLINK("http://slimages.macys.com/is/image/MCY/11025487 ")</f>
        <v xml:space="preserve">http://slimages.macys.com/is/image/MCY/11025487 </v>
      </c>
    </row>
    <row r="414" spans="1:12" ht="24.75" x14ac:dyDescent="0.25">
      <c r="A414" s="4" t="s">
        <v>7425</v>
      </c>
      <c r="B414" s="2" t="s">
        <v>1215</v>
      </c>
      <c r="C414" s="3">
        <v>1</v>
      </c>
      <c r="D414" s="5">
        <v>37.130000000000003</v>
      </c>
      <c r="E414" s="3" t="s">
        <v>1216</v>
      </c>
      <c r="F414" s="2" t="s">
        <v>579</v>
      </c>
      <c r="G414" s="6" t="s">
        <v>154</v>
      </c>
      <c r="H414" s="2" t="s">
        <v>194</v>
      </c>
      <c r="I414" s="2" t="s">
        <v>580</v>
      </c>
      <c r="J414" s="2" t="s">
        <v>19</v>
      </c>
      <c r="K414" s="2" t="s">
        <v>247</v>
      </c>
      <c r="L414" s="7" t="str">
        <f>HYPERLINK("http://slimages.macys.com/is/image/MCY/12950186 ")</f>
        <v xml:space="preserve">http://slimages.macys.com/is/image/MCY/12950186 </v>
      </c>
    </row>
    <row r="415" spans="1:12" ht="24.75" x14ac:dyDescent="0.25">
      <c r="A415" s="4" t="s">
        <v>1224</v>
      </c>
      <c r="B415" s="2" t="s">
        <v>1215</v>
      </c>
      <c r="C415" s="3">
        <v>1</v>
      </c>
      <c r="D415" s="5">
        <v>37.130000000000003</v>
      </c>
      <c r="E415" s="3" t="s">
        <v>1216</v>
      </c>
      <c r="F415" s="2" t="s">
        <v>579</v>
      </c>
      <c r="G415" s="6" t="s">
        <v>181</v>
      </c>
      <c r="H415" s="2" t="s">
        <v>194</v>
      </c>
      <c r="I415" s="2" t="s">
        <v>580</v>
      </c>
      <c r="J415" s="2" t="s">
        <v>19</v>
      </c>
      <c r="K415" s="2" t="s">
        <v>247</v>
      </c>
      <c r="L415" s="7" t="str">
        <f>HYPERLINK("http://slimages.macys.com/is/image/MCY/12950186 ")</f>
        <v xml:space="preserve">http://slimages.macys.com/is/image/MCY/12950186 </v>
      </c>
    </row>
    <row r="416" spans="1:12" ht="24.75" x14ac:dyDescent="0.25">
      <c r="A416" s="4" t="s">
        <v>1225</v>
      </c>
      <c r="B416" s="2" t="s">
        <v>1222</v>
      </c>
      <c r="C416" s="3">
        <v>1</v>
      </c>
      <c r="D416" s="5">
        <v>37.130000000000003</v>
      </c>
      <c r="E416" s="3" t="s">
        <v>1223</v>
      </c>
      <c r="F416" s="2" t="s">
        <v>26</v>
      </c>
      <c r="G416" s="6" t="s">
        <v>234</v>
      </c>
      <c r="H416" s="2" t="s">
        <v>194</v>
      </c>
      <c r="I416" s="2" t="s">
        <v>580</v>
      </c>
      <c r="J416" s="2" t="s">
        <v>19</v>
      </c>
      <c r="K416" s="2" t="s">
        <v>247</v>
      </c>
      <c r="L416" s="7" t="str">
        <f>HYPERLINK("http://slimages.macys.com/is/image/MCY/12950179 ")</f>
        <v xml:space="preserve">http://slimages.macys.com/is/image/MCY/12950179 </v>
      </c>
    </row>
    <row r="417" spans="1:12" ht="24.75" x14ac:dyDescent="0.25">
      <c r="A417" s="4" t="s">
        <v>9582</v>
      </c>
      <c r="B417" s="2" t="s">
        <v>1219</v>
      </c>
      <c r="C417" s="3">
        <v>1</v>
      </c>
      <c r="D417" s="5">
        <v>37.130000000000003</v>
      </c>
      <c r="E417" s="3" t="s">
        <v>1220</v>
      </c>
      <c r="F417" s="2" t="s">
        <v>74</v>
      </c>
      <c r="G417" s="6" t="s">
        <v>234</v>
      </c>
      <c r="H417" s="2" t="s">
        <v>194</v>
      </c>
      <c r="I417" s="2" t="s">
        <v>580</v>
      </c>
      <c r="J417" s="2" t="s">
        <v>19</v>
      </c>
      <c r="K417" s="2" t="s">
        <v>247</v>
      </c>
      <c r="L417" s="7" t="str">
        <f>HYPERLINK("http://slimages.macys.com/is/image/MCY/13120755 ")</f>
        <v xml:space="preserve">http://slimages.macys.com/is/image/MCY/13120755 </v>
      </c>
    </row>
    <row r="418" spans="1:12" x14ac:dyDescent="0.25">
      <c r="A418" s="4" t="s">
        <v>9583</v>
      </c>
      <c r="B418" s="2" t="s">
        <v>9584</v>
      </c>
      <c r="C418" s="3">
        <v>1</v>
      </c>
      <c r="D418" s="5">
        <v>32.700000000000003</v>
      </c>
      <c r="E418" s="3" t="s">
        <v>9585</v>
      </c>
      <c r="F418" s="2" t="s">
        <v>464</v>
      </c>
      <c r="G418" s="6" t="s">
        <v>156</v>
      </c>
      <c r="H418" s="2" t="s">
        <v>182</v>
      </c>
      <c r="I418" s="2" t="s">
        <v>183</v>
      </c>
      <c r="J418" s="2" t="s">
        <v>19</v>
      </c>
      <c r="K418" s="2" t="s">
        <v>422</v>
      </c>
      <c r="L418" s="7" t="str">
        <f>HYPERLINK("http://slimages.macys.com/is/image/MCY/15136025 ")</f>
        <v xml:space="preserve">http://slimages.macys.com/is/image/MCY/15136025 </v>
      </c>
    </row>
    <row r="419" spans="1:12" ht="24.75" x14ac:dyDescent="0.25">
      <c r="A419" s="4" t="s">
        <v>7427</v>
      </c>
      <c r="B419" s="2" t="s">
        <v>1232</v>
      </c>
      <c r="C419" s="3">
        <v>2</v>
      </c>
      <c r="D419" s="5">
        <v>34.5</v>
      </c>
      <c r="E419" s="3" t="s">
        <v>1236</v>
      </c>
      <c r="F419" s="2" t="s">
        <v>506</v>
      </c>
      <c r="G419" s="6" t="s">
        <v>27</v>
      </c>
      <c r="H419" s="2" t="s">
        <v>194</v>
      </c>
      <c r="I419" s="2" t="s">
        <v>195</v>
      </c>
      <c r="J419" s="2" t="s">
        <v>19</v>
      </c>
      <c r="K419" s="2" t="s">
        <v>353</v>
      </c>
      <c r="L419" s="7" t="str">
        <f>HYPERLINK("http://slimages.macys.com/is/image/MCY/8312314 ")</f>
        <v xml:space="preserve">http://slimages.macys.com/is/image/MCY/8312314 </v>
      </c>
    </row>
    <row r="420" spans="1:12" ht="24.75" x14ac:dyDescent="0.25">
      <c r="A420" s="4" t="s">
        <v>1237</v>
      </c>
      <c r="B420" s="2" t="s">
        <v>1232</v>
      </c>
      <c r="C420" s="3">
        <v>2</v>
      </c>
      <c r="D420" s="5">
        <v>34.880000000000003</v>
      </c>
      <c r="E420" s="3" t="s">
        <v>1238</v>
      </c>
      <c r="F420" s="2" t="s">
        <v>26</v>
      </c>
      <c r="G420" s="6" t="s">
        <v>22</v>
      </c>
      <c r="H420" s="2" t="s">
        <v>194</v>
      </c>
      <c r="I420" s="2" t="s">
        <v>195</v>
      </c>
      <c r="J420" s="2" t="s">
        <v>19</v>
      </c>
      <c r="K420" s="2" t="s">
        <v>353</v>
      </c>
      <c r="L420" s="7" t="str">
        <f>HYPERLINK("http://slimages.macys.com/is/image/MCY/8312314 ")</f>
        <v xml:space="preserve">http://slimages.macys.com/is/image/MCY/8312314 </v>
      </c>
    </row>
    <row r="421" spans="1:12" ht="24.75" x14ac:dyDescent="0.25">
      <c r="A421" s="4" t="s">
        <v>1231</v>
      </c>
      <c r="B421" s="2" t="s">
        <v>1232</v>
      </c>
      <c r="C421" s="3">
        <v>1</v>
      </c>
      <c r="D421" s="5">
        <v>34.880000000000003</v>
      </c>
      <c r="E421" s="3" t="s">
        <v>1233</v>
      </c>
      <c r="F421" s="2" t="s">
        <v>1234</v>
      </c>
      <c r="G421" s="6" t="s">
        <v>112</v>
      </c>
      <c r="H421" s="2" t="s">
        <v>194</v>
      </c>
      <c r="I421" s="2" t="s">
        <v>195</v>
      </c>
      <c r="J421" s="2" t="s">
        <v>19</v>
      </c>
      <c r="K421" s="2" t="s">
        <v>353</v>
      </c>
      <c r="L421" s="7" t="str">
        <f>HYPERLINK("http://slimages.macys.com/is/image/MCY/8312314 ")</f>
        <v xml:space="preserve">http://slimages.macys.com/is/image/MCY/8312314 </v>
      </c>
    </row>
    <row r="422" spans="1:12" ht="24.75" x14ac:dyDescent="0.25">
      <c r="A422" s="4" t="s">
        <v>4883</v>
      </c>
      <c r="B422" s="2" t="s">
        <v>1232</v>
      </c>
      <c r="C422" s="3">
        <v>1</v>
      </c>
      <c r="D422" s="5">
        <v>34.5</v>
      </c>
      <c r="E422" s="3" t="s">
        <v>1236</v>
      </c>
      <c r="F422" s="2" t="s">
        <v>506</v>
      </c>
      <c r="G422" s="6" t="s">
        <v>16</v>
      </c>
      <c r="H422" s="2" t="s">
        <v>194</v>
      </c>
      <c r="I422" s="2" t="s">
        <v>195</v>
      </c>
      <c r="J422" s="2" t="s">
        <v>19</v>
      </c>
      <c r="K422" s="2" t="s">
        <v>353</v>
      </c>
      <c r="L422" s="7" t="str">
        <f>HYPERLINK("http://slimages.macys.com/is/image/MCY/8312314 ")</f>
        <v xml:space="preserve">http://slimages.macys.com/is/image/MCY/8312314 </v>
      </c>
    </row>
    <row r="423" spans="1:12" ht="24.75" x14ac:dyDescent="0.25">
      <c r="A423" s="4" t="s">
        <v>9586</v>
      </c>
      <c r="B423" s="2" t="s">
        <v>4885</v>
      </c>
      <c r="C423" s="3">
        <v>1</v>
      </c>
      <c r="D423" s="5">
        <v>32.5</v>
      </c>
      <c r="E423" s="3" t="s">
        <v>4886</v>
      </c>
      <c r="F423" s="2" t="s">
        <v>376</v>
      </c>
      <c r="G423" s="6"/>
      <c r="H423" s="2" t="s">
        <v>312</v>
      </c>
      <c r="I423" s="2" t="s">
        <v>195</v>
      </c>
      <c r="J423" s="2" t="s">
        <v>19</v>
      </c>
      <c r="K423" s="2" t="s">
        <v>1108</v>
      </c>
      <c r="L423" s="7" t="str">
        <f>HYPERLINK("http://slimages.macys.com/is/image/MCY/9248552 ")</f>
        <v xml:space="preserve">http://slimages.macys.com/is/image/MCY/9248552 </v>
      </c>
    </row>
    <row r="424" spans="1:12" ht="24.75" x14ac:dyDescent="0.25">
      <c r="A424" s="4" t="s">
        <v>8663</v>
      </c>
      <c r="B424" s="2" t="s">
        <v>8664</v>
      </c>
      <c r="C424" s="3">
        <v>1</v>
      </c>
      <c r="D424" s="5">
        <v>37.130000000000003</v>
      </c>
      <c r="E424" s="3">
        <v>100022567</v>
      </c>
      <c r="F424" s="2" t="s">
        <v>566</v>
      </c>
      <c r="G424" s="6" t="s">
        <v>234</v>
      </c>
      <c r="H424" s="2" t="s">
        <v>284</v>
      </c>
      <c r="I424" s="2" t="s">
        <v>285</v>
      </c>
      <c r="J424" s="2" t="s">
        <v>19</v>
      </c>
      <c r="K424" s="2" t="s">
        <v>160</v>
      </c>
      <c r="L424" s="7" t="str">
        <f>HYPERLINK("http://slimages.macys.com/is/image/MCY/16292092 ")</f>
        <v xml:space="preserve">http://slimages.macys.com/is/image/MCY/16292092 </v>
      </c>
    </row>
    <row r="425" spans="1:12" ht="24.75" x14ac:dyDescent="0.25">
      <c r="A425" s="4" t="s">
        <v>9587</v>
      </c>
      <c r="B425" s="2" t="s">
        <v>7429</v>
      </c>
      <c r="C425" s="3">
        <v>1</v>
      </c>
      <c r="D425" s="5">
        <v>24.99</v>
      </c>
      <c r="E425" s="3">
        <v>100037992</v>
      </c>
      <c r="F425" s="2" t="s">
        <v>417</v>
      </c>
      <c r="G425" s="6" t="s">
        <v>27</v>
      </c>
      <c r="H425" s="2" t="s">
        <v>228</v>
      </c>
      <c r="I425" s="2" t="s">
        <v>857</v>
      </c>
      <c r="J425" s="2" t="s">
        <v>19</v>
      </c>
      <c r="K425" s="2" t="s">
        <v>495</v>
      </c>
      <c r="L425" s="7" t="str">
        <f>HYPERLINK("http://slimages.macys.com/is/image/MCY/10242349 ")</f>
        <v xml:space="preserve">http://slimages.macys.com/is/image/MCY/10242349 </v>
      </c>
    </row>
    <row r="426" spans="1:12" ht="24.75" x14ac:dyDescent="0.25">
      <c r="A426" s="4" t="s">
        <v>9588</v>
      </c>
      <c r="B426" s="2" t="s">
        <v>1327</v>
      </c>
      <c r="C426" s="3">
        <v>1</v>
      </c>
      <c r="D426" s="5">
        <v>34.880000000000003</v>
      </c>
      <c r="E426" s="3" t="s">
        <v>3808</v>
      </c>
      <c r="F426" s="2" t="s">
        <v>506</v>
      </c>
      <c r="G426" s="6" t="s">
        <v>27</v>
      </c>
      <c r="H426" s="2" t="s">
        <v>194</v>
      </c>
      <c r="I426" s="2" t="s">
        <v>195</v>
      </c>
      <c r="J426" s="2" t="s">
        <v>19</v>
      </c>
      <c r="K426" s="2" t="s">
        <v>353</v>
      </c>
      <c r="L426" s="7" t="str">
        <f>HYPERLINK("http://slimages.macys.com/is/image/MCY/12033298 ")</f>
        <v xml:space="preserve">http://slimages.macys.com/is/image/MCY/12033298 </v>
      </c>
    </row>
    <row r="427" spans="1:12" ht="24.75" x14ac:dyDescent="0.25">
      <c r="A427" s="4" t="s">
        <v>3811</v>
      </c>
      <c r="B427" s="2" t="s">
        <v>1244</v>
      </c>
      <c r="C427" s="3">
        <v>1</v>
      </c>
      <c r="D427" s="5">
        <v>37.130000000000003</v>
      </c>
      <c r="E427" s="3">
        <v>100058183</v>
      </c>
      <c r="F427" s="2" t="s">
        <v>26</v>
      </c>
      <c r="G427" s="6" t="s">
        <v>22</v>
      </c>
      <c r="H427" s="2" t="s">
        <v>194</v>
      </c>
      <c r="I427" s="2" t="s">
        <v>195</v>
      </c>
      <c r="J427" s="2" t="s">
        <v>19</v>
      </c>
      <c r="K427" s="2" t="s">
        <v>353</v>
      </c>
      <c r="L427" s="7" t="str">
        <f>HYPERLINK("http://slimages.macys.com/is/image/MCY/12793647 ")</f>
        <v xml:space="preserve">http://slimages.macys.com/is/image/MCY/12793647 </v>
      </c>
    </row>
    <row r="428" spans="1:12" ht="24.75" x14ac:dyDescent="0.25">
      <c r="A428" s="4" t="s">
        <v>7431</v>
      </c>
      <c r="B428" s="2" t="s">
        <v>1244</v>
      </c>
      <c r="C428" s="3">
        <v>1</v>
      </c>
      <c r="D428" s="5">
        <v>37.130000000000003</v>
      </c>
      <c r="E428" s="3">
        <v>100058183</v>
      </c>
      <c r="F428" s="2" t="s">
        <v>15</v>
      </c>
      <c r="G428" s="6" t="s">
        <v>106</v>
      </c>
      <c r="H428" s="2" t="s">
        <v>194</v>
      </c>
      <c r="I428" s="2" t="s">
        <v>195</v>
      </c>
      <c r="J428" s="2" t="s">
        <v>19</v>
      </c>
      <c r="K428" s="2" t="s">
        <v>353</v>
      </c>
      <c r="L428" s="7" t="str">
        <f>HYPERLINK("http://slimages.macys.com/is/image/MCY/12793647 ")</f>
        <v xml:space="preserve">http://slimages.macys.com/is/image/MCY/12793647 </v>
      </c>
    </row>
    <row r="429" spans="1:12" ht="24.75" x14ac:dyDescent="0.25">
      <c r="A429" s="4" t="s">
        <v>2647</v>
      </c>
      <c r="B429" s="2" t="s">
        <v>1232</v>
      </c>
      <c r="C429" s="3">
        <v>1</v>
      </c>
      <c r="D429" s="5">
        <v>34.880000000000003</v>
      </c>
      <c r="E429" s="3" t="s">
        <v>1246</v>
      </c>
      <c r="F429" s="2" t="s">
        <v>74</v>
      </c>
      <c r="G429" s="6" t="s">
        <v>934</v>
      </c>
      <c r="H429" s="2" t="s">
        <v>312</v>
      </c>
      <c r="I429" s="2" t="s">
        <v>195</v>
      </c>
      <c r="J429" s="2" t="s">
        <v>19</v>
      </c>
      <c r="K429" s="2" t="s">
        <v>353</v>
      </c>
      <c r="L429" s="7" t="str">
        <f>HYPERLINK("http://slimages.macys.com/is/image/MCY/8256708 ")</f>
        <v xml:space="preserve">http://slimages.macys.com/is/image/MCY/8256708 </v>
      </c>
    </row>
    <row r="430" spans="1:12" ht="24.75" x14ac:dyDescent="0.25">
      <c r="A430" s="4" t="s">
        <v>4896</v>
      </c>
      <c r="B430" s="2" t="s">
        <v>1232</v>
      </c>
      <c r="C430" s="3">
        <v>1</v>
      </c>
      <c r="D430" s="5">
        <v>34.880000000000003</v>
      </c>
      <c r="E430" s="3" t="s">
        <v>4895</v>
      </c>
      <c r="F430" s="2" t="s">
        <v>376</v>
      </c>
      <c r="G430" s="6" t="s">
        <v>126</v>
      </c>
      <c r="H430" s="2" t="s">
        <v>312</v>
      </c>
      <c r="I430" s="2" t="s">
        <v>195</v>
      </c>
      <c r="J430" s="2" t="s">
        <v>19</v>
      </c>
      <c r="K430" s="2" t="s">
        <v>353</v>
      </c>
      <c r="L430" s="7" t="str">
        <f>HYPERLINK("http://slimages.macys.com/is/image/MCY/8256708 ")</f>
        <v xml:space="preserve">http://slimages.macys.com/is/image/MCY/8256708 </v>
      </c>
    </row>
    <row r="431" spans="1:12" ht="24.75" x14ac:dyDescent="0.25">
      <c r="A431" s="4" t="s">
        <v>2650</v>
      </c>
      <c r="B431" s="2" t="s">
        <v>1232</v>
      </c>
      <c r="C431" s="3">
        <v>1</v>
      </c>
      <c r="D431" s="5">
        <v>34.880000000000003</v>
      </c>
      <c r="E431" s="3" t="s">
        <v>1246</v>
      </c>
      <c r="F431" s="2" t="s">
        <v>74</v>
      </c>
      <c r="G431" s="6" t="s">
        <v>126</v>
      </c>
      <c r="H431" s="2" t="s">
        <v>312</v>
      </c>
      <c r="I431" s="2" t="s">
        <v>195</v>
      </c>
      <c r="J431" s="2" t="s">
        <v>19</v>
      </c>
      <c r="K431" s="2" t="s">
        <v>353</v>
      </c>
      <c r="L431" s="7" t="str">
        <f>HYPERLINK("http://slimages.macys.com/is/image/MCY/8256708 ")</f>
        <v xml:space="preserve">http://slimages.macys.com/is/image/MCY/8256708 </v>
      </c>
    </row>
    <row r="432" spans="1:12" ht="24.75" x14ac:dyDescent="0.25">
      <c r="A432" s="4" t="s">
        <v>9589</v>
      </c>
      <c r="B432" s="2" t="s">
        <v>1232</v>
      </c>
      <c r="C432" s="3">
        <v>1</v>
      </c>
      <c r="D432" s="5">
        <v>34.880000000000003</v>
      </c>
      <c r="E432" s="3" t="s">
        <v>1246</v>
      </c>
      <c r="F432" s="2" t="s">
        <v>74</v>
      </c>
      <c r="G432" s="6" t="s">
        <v>165</v>
      </c>
      <c r="H432" s="2" t="s">
        <v>312</v>
      </c>
      <c r="I432" s="2" t="s">
        <v>195</v>
      </c>
      <c r="J432" s="2" t="s">
        <v>19</v>
      </c>
      <c r="K432" s="2" t="s">
        <v>353</v>
      </c>
      <c r="L432" s="7" t="str">
        <f>HYPERLINK("http://slimages.macys.com/is/image/MCY/8256708 ")</f>
        <v xml:space="preserve">http://slimages.macys.com/is/image/MCY/8256708 </v>
      </c>
    </row>
    <row r="433" spans="1:12" ht="24.75" x14ac:dyDescent="0.25">
      <c r="A433" s="4" t="s">
        <v>9590</v>
      </c>
      <c r="B433" s="2" t="s">
        <v>904</v>
      </c>
      <c r="C433" s="3">
        <v>1</v>
      </c>
      <c r="D433" s="5">
        <v>34.5</v>
      </c>
      <c r="E433" s="3" t="s">
        <v>5832</v>
      </c>
      <c r="F433" s="2" t="s">
        <v>89</v>
      </c>
      <c r="G433" s="6" t="s">
        <v>245</v>
      </c>
      <c r="H433" s="2" t="s">
        <v>228</v>
      </c>
      <c r="I433" s="2" t="s">
        <v>229</v>
      </c>
      <c r="J433" s="2" t="s">
        <v>19</v>
      </c>
      <c r="K433" s="2" t="s">
        <v>253</v>
      </c>
      <c r="L433" s="7" t="str">
        <f>HYPERLINK("http://slimages.macys.com/is/image/MCY/12794164 ")</f>
        <v xml:space="preserve">http://slimages.macys.com/is/image/MCY/12794164 </v>
      </c>
    </row>
    <row r="434" spans="1:12" ht="24.75" x14ac:dyDescent="0.25">
      <c r="A434" s="4" t="s">
        <v>5833</v>
      </c>
      <c r="B434" s="2" t="s">
        <v>904</v>
      </c>
      <c r="C434" s="3">
        <v>1</v>
      </c>
      <c r="D434" s="5">
        <v>34.5</v>
      </c>
      <c r="E434" s="3" t="s">
        <v>5832</v>
      </c>
      <c r="F434" s="2" t="s">
        <v>89</v>
      </c>
      <c r="G434" s="6" t="s">
        <v>154</v>
      </c>
      <c r="H434" s="2" t="s">
        <v>228</v>
      </c>
      <c r="I434" s="2" t="s">
        <v>229</v>
      </c>
      <c r="J434" s="2" t="s">
        <v>19</v>
      </c>
      <c r="K434" s="2" t="s">
        <v>253</v>
      </c>
      <c r="L434" s="7" t="str">
        <f>HYPERLINK("http://slimages.macys.com/is/image/MCY/12794164 ")</f>
        <v xml:space="preserve">http://slimages.macys.com/is/image/MCY/12794164 </v>
      </c>
    </row>
    <row r="435" spans="1:12" ht="24.75" x14ac:dyDescent="0.25">
      <c r="A435" s="4" t="s">
        <v>9591</v>
      </c>
      <c r="B435" s="2" t="s">
        <v>1416</v>
      </c>
      <c r="C435" s="3">
        <v>1</v>
      </c>
      <c r="D435" s="5">
        <v>21.99</v>
      </c>
      <c r="E435" s="3" t="s">
        <v>9592</v>
      </c>
      <c r="F435" s="2" t="s">
        <v>199</v>
      </c>
      <c r="G435" s="6" t="s">
        <v>802</v>
      </c>
      <c r="H435" s="2" t="s">
        <v>312</v>
      </c>
      <c r="I435" s="2" t="s">
        <v>195</v>
      </c>
      <c r="J435" s="2" t="s">
        <v>19</v>
      </c>
      <c r="K435" s="2" t="s">
        <v>353</v>
      </c>
      <c r="L435" s="7" t="str">
        <f>HYPERLINK("http://slimages.macys.com/is/image/MCY/16058397 ")</f>
        <v xml:space="preserve">http://slimages.macys.com/is/image/MCY/16058397 </v>
      </c>
    </row>
    <row r="436" spans="1:12" ht="24.75" x14ac:dyDescent="0.25">
      <c r="A436" s="4" t="s">
        <v>9593</v>
      </c>
      <c r="B436" s="2" t="s">
        <v>1047</v>
      </c>
      <c r="C436" s="3">
        <v>1</v>
      </c>
      <c r="D436" s="5">
        <v>34.880000000000003</v>
      </c>
      <c r="E436" s="3">
        <v>100009312</v>
      </c>
      <c r="F436" s="2" t="s">
        <v>566</v>
      </c>
      <c r="G436" s="6" t="s">
        <v>156</v>
      </c>
      <c r="H436" s="2" t="s">
        <v>194</v>
      </c>
      <c r="I436" s="2" t="s">
        <v>195</v>
      </c>
      <c r="J436" s="2" t="s">
        <v>19</v>
      </c>
      <c r="K436" s="2" t="s">
        <v>353</v>
      </c>
      <c r="L436" s="7" t="str">
        <f>HYPERLINK("http://slimages.macys.com/is/image/MCY/9603701 ")</f>
        <v xml:space="preserve">http://slimages.macys.com/is/image/MCY/9603701 </v>
      </c>
    </row>
    <row r="437" spans="1:12" ht="24.75" x14ac:dyDescent="0.25">
      <c r="A437" s="4" t="s">
        <v>9594</v>
      </c>
      <c r="B437" s="2" t="s">
        <v>4915</v>
      </c>
      <c r="C437" s="3">
        <v>1</v>
      </c>
      <c r="D437" s="5">
        <v>34.880000000000003</v>
      </c>
      <c r="E437" s="3" t="s">
        <v>4916</v>
      </c>
      <c r="F437" s="2" t="s">
        <v>26</v>
      </c>
      <c r="G437" s="6"/>
      <c r="H437" s="2" t="s">
        <v>312</v>
      </c>
      <c r="I437" s="2" t="s">
        <v>229</v>
      </c>
      <c r="J437" s="2" t="s">
        <v>19</v>
      </c>
      <c r="K437" s="2" t="s">
        <v>253</v>
      </c>
      <c r="L437" s="7" t="str">
        <f>HYPERLINK("http://slimages.macys.com/is/image/MCY/9489387 ")</f>
        <v xml:space="preserve">http://slimages.macys.com/is/image/MCY/9489387 </v>
      </c>
    </row>
    <row r="438" spans="1:12" ht="24.75" x14ac:dyDescent="0.25">
      <c r="A438" s="4" t="s">
        <v>5845</v>
      </c>
      <c r="B438" s="2" t="s">
        <v>4922</v>
      </c>
      <c r="C438" s="3">
        <v>1</v>
      </c>
      <c r="D438" s="5">
        <v>44.63</v>
      </c>
      <c r="E438" s="3">
        <v>100047681</v>
      </c>
      <c r="F438" s="2" t="s">
        <v>74</v>
      </c>
      <c r="G438" s="6" t="s">
        <v>181</v>
      </c>
      <c r="H438" s="2" t="s">
        <v>194</v>
      </c>
      <c r="I438" s="2" t="s">
        <v>195</v>
      </c>
      <c r="J438" s="2" t="s">
        <v>19</v>
      </c>
      <c r="K438" s="2" t="s">
        <v>247</v>
      </c>
      <c r="L438" s="7" t="str">
        <f>HYPERLINK("http://slimages.macys.com/is/image/MCY/11935520 ")</f>
        <v xml:space="preserve">http://slimages.macys.com/is/image/MCY/11935520 </v>
      </c>
    </row>
    <row r="439" spans="1:12" ht="24.75" x14ac:dyDescent="0.25">
      <c r="A439" s="4" t="s">
        <v>9595</v>
      </c>
      <c r="B439" s="2" t="s">
        <v>1274</v>
      </c>
      <c r="C439" s="3">
        <v>1</v>
      </c>
      <c r="D439" s="5">
        <v>33.380000000000003</v>
      </c>
      <c r="E439" s="3" t="s">
        <v>1275</v>
      </c>
      <c r="F439" s="2" t="s">
        <v>26</v>
      </c>
      <c r="G439" s="6" t="s">
        <v>154</v>
      </c>
      <c r="H439" s="2" t="s">
        <v>194</v>
      </c>
      <c r="I439" s="2" t="s">
        <v>195</v>
      </c>
      <c r="J439" s="2" t="s">
        <v>19</v>
      </c>
      <c r="K439" s="2" t="s">
        <v>107</v>
      </c>
      <c r="L439" s="7" t="str">
        <f>HYPERLINK("http://slimages.macys.com/is/image/MCY/12850892 ")</f>
        <v xml:space="preserve">http://slimages.macys.com/is/image/MCY/12850892 </v>
      </c>
    </row>
    <row r="440" spans="1:12" ht="24.75" x14ac:dyDescent="0.25">
      <c r="A440" s="4" t="s">
        <v>1273</v>
      </c>
      <c r="B440" s="2" t="s">
        <v>1274</v>
      </c>
      <c r="C440" s="3">
        <v>1</v>
      </c>
      <c r="D440" s="5">
        <v>33.380000000000003</v>
      </c>
      <c r="E440" s="3" t="s">
        <v>1275</v>
      </c>
      <c r="F440" s="2" t="s">
        <v>26</v>
      </c>
      <c r="G440" s="6" t="s">
        <v>234</v>
      </c>
      <c r="H440" s="2" t="s">
        <v>194</v>
      </c>
      <c r="I440" s="2" t="s">
        <v>195</v>
      </c>
      <c r="J440" s="2" t="s">
        <v>19</v>
      </c>
      <c r="K440" s="2" t="s">
        <v>107</v>
      </c>
      <c r="L440" s="7" t="str">
        <f>HYPERLINK("http://slimages.macys.com/is/image/MCY/12850892 ")</f>
        <v xml:space="preserve">http://slimages.macys.com/is/image/MCY/12850892 </v>
      </c>
    </row>
    <row r="441" spans="1:12" ht="24.75" x14ac:dyDescent="0.25">
      <c r="A441" s="4" t="s">
        <v>1281</v>
      </c>
      <c r="B441" s="2" t="s">
        <v>1279</v>
      </c>
      <c r="C441" s="3">
        <v>2</v>
      </c>
      <c r="D441" s="5">
        <v>27.99</v>
      </c>
      <c r="E441" s="3" t="s">
        <v>1280</v>
      </c>
      <c r="F441" s="2" t="s">
        <v>566</v>
      </c>
      <c r="G441" s="6"/>
      <c r="H441" s="2" t="s">
        <v>312</v>
      </c>
      <c r="I441" s="2" t="s">
        <v>1112</v>
      </c>
      <c r="J441" s="2" t="s">
        <v>19</v>
      </c>
      <c r="K441" s="2" t="s">
        <v>409</v>
      </c>
      <c r="L441" s="7" t="str">
        <f>HYPERLINK("http://slimages.macys.com/is/image/MCY/3832970 ")</f>
        <v xml:space="preserve">http://slimages.macys.com/is/image/MCY/3832970 </v>
      </c>
    </row>
    <row r="442" spans="1:12" ht="24.75" x14ac:dyDescent="0.25">
      <c r="A442" s="4" t="s">
        <v>1282</v>
      </c>
      <c r="B442" s="2" t="s">
        <v>1283</v>
      </c>
      <c r="C442" s="3">
        <v>1</v>
      </c>
      <c r="D442" s="5">
        <v>37.130000000000003</v>
      </c>
      <c r="E442" s="3" t="s">
        <v>1284</v>
      </c>
      <c r="F442" s="2" t="s">
        <v>74</v>
      </c>
      <c r="G442" s="6"/>
      <c r="H442" s="2" t="s">
        <v>312</v>
      </c>
      <c r="I442" s="2" t="s">
        <v>195</v>
      </c>
      <c r="J442" s="2" t="s">
        <v>19</v>
      </c>
      <c r="K442" s="2" t="s">
        <v>247</v>
      </c>
      <c r="L442" s="7" t="str">
        <f>HYPERLINK("http://slimages.macys.com/is/image/MCY/9108604 ")</f>
        <v xml:space="preserve">http://slimages.macys.com/is/image/MCY/9108604 </v>
      </c>
    </row>
    <row r="443" spans="1:12" ht="24.75" x14ac:dyDescent="0.25">
      <c r="A443" s="4" t="s">
        <v>9596</v>
      </c>
      <c r="B443" s="2" t="s">
        <v>9597</v>
      </c>
      <c r="C443" s="3">
        <v>1</v>
      </c>
      <c r="D443" s="5">
        <v>29.99</v>
      </c>
      <c r="E443" s="3" t="s">
        <v>9598</v>
      </c>
      <c r="F443" s="2" t="s">
        <v>74</v>
      </c>
      <c r="G443" s="6" t="s">
        <v>200</v>
      </c>
      <c r="H443" s="2" t="s">
        <v>1522</v>
      </c>
      <c r="I443" s="2" t="s">
        <v>1469</v>
      </c>
      <c r="J443" s="2" t="s">
        <v>19</v>
      </c>
      <c r="K443" s="2" t="s">
        <v>495</v>
      </c>
      <c r="L443" s="7" t="str">
        <f>HYPERLINK("http://slimages.macys.com/is/image/MCY/10472186 ")</f>
        <v xml:space="preserve">http://slimages.macys.com/is/image/MCY/10472186 </v>
      </c>
    </row>
    <row r="444" spans="1:12" ht="24.75" x14ac:dyDescent="0.25">
      <c r="A444" s="4" t="s">
        <v>1300</v>
      </c>
      <c r="B444" s="2" t="s">
        <v>1279</v>
      </c>
      <c r="C444" s="3">
        <v>1</v>
      </c>
      <c r="D444" s="5">
        <v>27.99</v>
      </c>
      <c r="E444" s="3" t="s">
        <v>1286</v>
      </c>
      <c r="F444" s="2" t="s">
        <v>506</v>
      </c>
      <c r="G444" s="6" t="s">
        <v>181</v>
      </c>
      <c r="H444" s="2" t="s">
        <v>194</v>
      </c>
      <c r="I444" s="2" t="s">
        <v>919</v>
      </c>
      <c r="J444" s="2" t="s">
        <v>19</v>
      </c>
      <c r="K444" s="2" t="s">
        <v>409</v>
      </c>
      <c r="L444" s="7" t="str">
        <f>HYPERLINK("http://slimages.macys.com/is/image/MCY/8185331 ")</f>
        <v xml:space="preserve">http://slimages.macys.com/is/image/MCY/8185331 </v>
      </c>
    </row>
    <row r="445" spans="1:12" ht="24.75" x14ac:dyDescent="0.25">
      <c r="A445" s="4" t="s">
        <v>1303</v>
      </c>
      <c r="B445" s="2" t="s">
        <v>1279</v>
      </c>
      <c r="C445" s="3">
        <v>1</v>
      </c>
      <c r="D445" s="5">
        <v>27.99</v>
      </c>
      <c r="E445" s="3" t="s">
        <v>1286</v>
      </c>
      <c r="F445" s="2" t="s">
        <v>506</v>
      </c>
      <c r="G445" s="6" t="s">
        <v>234</v>
      </c>
      <c r="H445" s="2" t="s">
        <v>194</v>
      </c>
      <c r="I445" s="2" t="s">
        <v>919</v>
      </c>
      <c r="J445" s="2" t="s">
        <v>19</v>
      </c>
      <c r="K445" s="2" t="s">
        <v>409</v>
      </c>
      <c r="L445" s="7" t="str">
        <f>HYPERLINK("http://slimages.macys.com/is/image/MCY/8185331 ")</f>
        <v xml:space="preserve">http://slimages.macys.com/is/image/MCY/8185331 </v>
      </c>
    </row>
    <row r="446" spans="1:12" ht="24.75" x14ac:dyDescent="0.25">
      <c r="A446" s="4" t="s">
        <v>1285</v>
      </c>
      <c r="B446" s="2" t="s">
        <v>1279</v>
      </c>
      <c r="C446" s="3">
        <v>4</v>
      </c>
      <c r="D446" s="5">
        <v>27.99</v>
      </c>
      <c r="E446" s="3" t="s">
        <v>1286</v>
      </c>
      <c r="F446" s="2" t="s">
        <v>506</v>
      </c>
      <c r="G446" s="6" t="s">
        <v>154</v>
      </c>
      <c r="H446" s="2" t="s">
        <v>194</v>
      </c>
      <c r="I446" s="2" t="s">
        <v>919</v>
      </c>
      <c r="J446" s="2" t="s">
        <v>19</v>
      </c>
      <c r="K446" s="2" t="s">
        <v>409</v>
      </c>
      <c r="L446" s="7" t="str">
        <f>HYPERLINK("http://slimages.macys.com/is/image/MCY/8185331 ")</f>
        <v xml:space="preserve">http://slimages.macys.com/is/image/MCY/8185331 </v>
      </c>
    </row>
    <row r="447" spans="1:12" ht="24.75" x14ac:dyDescent="0.25">
      <c r="A447" s="4" t="s">
        <v>5849</v>
      </c>
      <c r="B447" s="2" t="s">
        <v>1279</v>
      </c>
      <c r="C447" s="3">
        <v>2</v>
      </c>
      <c r="D447" s="5">
        <v>27.99</v>
      </c>
      <c r="E447" s="3" t="s">
        <v>1302</v>
      </c>
      <c r="F447" s="2" t="s">
        <v>566</v>
      </c>
      <c r="G447" s="6" t="s">
        <v>181</v>
      </c>
      <c r="H447" s="2" t="s">
        <v>194</v>
      </c>
      <c r="I447" s="2" t="s">
        <v>919</v>
      </c>
      <c r="J447" s="2" t="s">
        <v>19</v>
      </c>
      <c r="K447" s="2" t="s">
        <v>409</v>
      </c>
      <c r="L447" s="7" t="str">
        <f>HYPERLINK("http://slimages.macys.com/is/image/MCY/3244804 ")</f>
        <v xml:space="preserve">http://slimages.macys.com/is/image/MCY/3244804 </v>
      </c>
    </row>
    <row r="448" spans="1:12" ht="24.75" x14ac:dyDescent="0.25">
      <c r="A448" s="4" t="s">
        <v>1288</v>
      </c>
      <c r="B448" s="2" t="s">
        <v>1279</v>
      </c>
      <c r="C448" s="3">
        <v>1</v>
      </c>
      <c r="D448" s="5">
        <v>27.99</v>
      </c>
      <c r="E448" s="3" t="s">
        <v>1280</v>
      </c>
      <c r="F448" s="2" t="s">
        <v>566</v>
      </c>
      <c r="G448" s="6"/>
      <c r="H448" s="2" t="s">
        <v>312</v>
      </c>
      <c r="I448" s="2" t="s">
        <v>1112</v>
      </c>
      <c r="J448" s="2" t="s">
        <v>19</v>
      </c>
      <c r="K448" s="2" t="s">
        <v>409</v>
      </c>
      <c r="L448" s="7" t="str">
        <f>HYPERLINK("http://slimages.macys.com/is/image/MCY/3832970 ")</f>
        <v xml:space="preserve">http://slimages.macys.com/is/image/MCY/3832970 </v>
      </c>
    </row>
    <row r="449" spans="1:12" ht="24.75" x14ac:dyDescent="0.25">
      <c r="A449" s="4" t="s">
        <v>4938</v>
      </c>
      <c r="B449" s="2" t="s">
        <v>1307</v>
      </c>
      <c r="C449" s="3">
        <v>2</v>
      </c>
      <c r="D449" s="5">
        <v>32.5</v>
      </c>
      <c r="E449" s="3" t="s">
        <v>1308</v>
      </c>
      <c r="F449" s="2" t="s">
        <v>193</v>
      </c>
      <c r="G449" s="6" t="s">
        <v>234</v>
      </c>
      <c r="H449" s="2" t="s">
        <v>194</v>
      </c>
      <c r="I449" s="2" t="s">
        <v>195</v>
      </c>
      <c r="J449" s="2" t="s">
        <v>19</v>
      </c>
      <c r="K449" s="2" t="s">
        <v>1108</v>
      </c>
      <c r="L449" s="7" t="str">
        <f>HYPERLINK("http://slimages.macys.com/is/image/MCY/12950211 ")</f>
        <v xml:space="preserve">http://slimages.macys.com/is/image/MCY/12950211 </v>
      </c>
    </row>
    <row r="450" spans="1:12" ht="24.75" x14ac:dyDescent="0.25">
      <c r="A450" s="4" t="s">
        <v>2671</v>
      </c>
      <c r="B450" s="2" t="s">
        <v>1307</v>
      </c>
      <c r="C450" s="3">
        <v>1</v>
      </c>
      <c r="D450" s="5">
        <v>32.5</v>
      </c>
      <c r="E450" s="3" t="s">
        <v>1308</v>
      </c>
      <c r="F450" s="2" t="s">
        <v>193</v>
      </c>
      <c r="G450" s="6" t="s">
        <v>181</v>
      </c>
      <c r="H450" s="2" t="s">
        <v>194</v>
      </c>
      <c r="I450" s="2" t="s">
        <v>195</v>
      </c>
      <c r="J450" s="2" t="s">
        <v>19</v>
      </c>
      <c r="K450" s="2" t="s">
        <v>1108</v>
      </c>
      <c r="L450" s="7" t="str">
        <f>HYPERLINK("http://slimages.macys.com/is/image/MCY/12950211 ")</f>
        <v xml:space="preserve">http://slimages.macys.com/is/image/MCY/12950211 </v>
      </c>
    </row>
    <row r="451" spans="1:12" ht="24.75" x14ac:dyDescent="0.25">
      <c r="A451" s="4" t="s">
        <v>6613</v>
      </c>
      <c r="B451" s="2" t="s">
        <v>1307</v>
      </c>
      <c r="C451" s="3">
        <v>1</v>
      </c>
      <c r="D451" s="5">
        <v>32.5</v>
      </c>
      <c r="E451" s="3" t="s">
        <v>1308</v>
      </c>
      <c r="F451" s="2" t="s">
        <v>193</v>
      </c>
      <c r="G451" s="6" t="s">
        <v>156</v>
      </c>
      <c r="H451" s="2" t="s">
        <v>194</v>
      </c>
      <c r="I451" s="2" t="s">
        <v>195</v>
      </c>
      <c r="J451" s="2" t="s">
        <v>19</v>
      </c>
      <c r="K451" s="2" t="s">
        <v>1108</v>
      </c>
      <c r="L451" s="7" t="str">
        <f>HYPERLINK("http://slimages.macys.com/is/image/MCY/12950211 ")</f>
        <v xml:space="preserve">http://slimages.macys.com/is/image/MCY/12950211 </v>
      </c>
    </row>
    <row r="452" spans="1:12" ht="24.75" x14ac:dyDescent="0.25">
      <c r="A452" s="4" t="s">
        <v>9599</v>
      </c>
      <c r="B452" s="2" t="s">
        <v>9600</v>
      </c>
      <c r="C452" s="3">
        <v>1</v>
      </c>
      <c r="D452" s="5">
        <v>34.5</v>
      </c>
      <c r="E452" s="3">
        <v>100060492</v>
      </c>
      <c r="F452" s="2" t="s">
        <v>225</v>
      </c>
      <c r="G452" s="6" t="s">
        <v>16</v>
      </c>
      <c r="H452" s="2" t="s">
        <v>228</v>
      </c>
      <c r="I452" s="2" t="s">
        <v>229</v>
      </c>
      <c r="J452" s="2" t="s">
        <v>19</v>
      </c>
      <c r="K452" s="2" t="s">
        <v>253</v>
      </c>
      <c r="L452" s="7" t="str">
        <f>HYPERLINK("http://slimages.macys.com/is/image/MCY/12035190 ")</f>
        <v xml:space="preserve">http://slimages.macys.com/is/image/MCY/12035190 </v>
      </c>
    </row>
    <row r="453" spans="1:12" ht="24.75" x14ac:dyDescent="0.25">
      <c r="A453" s="4" t="s">
        <v>9601</v>
      </c>
      <c r="B453" s="2" t="s">
        <v>7459</v>
      </c>
      <c r="C453" s="3">
        <v>1</v>
      </c>
      <c r="D453" s="5">
        <v>37.130000000000003</v>
      </c>
      <c r="E453" s="3" t="s">
        <v>7460</v>
      </c>
      <c r="F453" s="2" t="s">
        <v>464</v>
      </c>
      <c r="G453" s="6" t="s">
        <v>181</v>
      </c>
      <c r="H453" s="2" t="s">
        <v>246</v>
      </c>
      <c r="I453" s="2" t="s">
        <v>189</v>
      </c>
      <c r="J453" s="2" t="s">
        <v>19</v>
      </c>
      <c r="K453" s="2" t="s">
        <v>160</v>
      </c>
      <c r="L453" s="7" t="str">
        <f>HYPERLINK("http://slimages.macys.com/is/image/MCY/13761368 ")</f>
        <v xml:space="preserve">http://slimages.macys.com/is/image/MCY/13761368 </v>
      </c>
    </row>
    <row r="454" spans="1:12" ht="24.75" x14ac:dyDescent="0.25">
      <c r="A454" s="4" t="s">
        <v>9602</v>
      </c>
      <c r="B454" s="2" t="s">
        <v>4946</v>
      </c>
      <c r="C454" s="3">
        <v>1</v>
      </c>
      <c r="D454" s="5">
        <v>37.130000000000003</v>
      </c>
      <c r="E454" s="3" t="s">
        <v>4947</v>
      </c>
      <c r="F454" s="2" t="s">
        <v>74</v>
      </c>
      <c r="G454" s="6" t="s">
        <v>181</v>
      </c>
      <c r="H454" s="2" t="s">
        <v>284</v>
      </c>
      <c r="I454" s="2" t="s">
        <v>285</v>
      </c>
      <c r="J454" s="2" t="s">
        <v>19</v>
      </c>
      <c r="K454" s="2" t="s">
        <v>160</v>
      </c>
      <c r="L454" s="7" t="str">
        <f>HYPERLINK("http://slimages.macys.com/is/image/MCY/13401017 ")</f>
        <v xml:space="preserve">http://slimages.macys.com/is/image/MCY/13401017 </v>
      </c>
    </row>
    <row r="455" spans="1:12" ht="24.75" x14ac:dyDescent="0.25">
      <c r="A455" s="4" t="s">
        <v>9603</v>
      </c>
      <c r="B455" s="2" t="s">
        <v>5867</v>
      </c>
      <c r="C455" s="3">
        <v>1</v>
      </c>
      <c r="D455" s="5">
        <v>33.5</v>
      </c>
      <c r="E455" s="3" t="s">
        <v>5868</v>
      </c>
      <c r="F455" s="2" t="s">
        <v>111</v>
      </c>
      <c r="G455" s="6"/>
      <c r="H455" s="2" t="s">
        <v>312</v>
      </c>
      <c r="I455" s="2" t="s">
        <v>195</v>
      </c>
      <c r="J455" s="2" t="s">
        <v>19</v>
      </c>
      <c r="K455" s="2" t="s">
        <v>247</v>
      </c>
      <c r="L455" s="7" t="str">
        <f>HYPERLINK("http://slimages.macys.com/is/image/MCY/11337248 ")</f>
        <v xml:space="preserve">http://slimages.macys.com/is/image/MCY/11337248 </v>
      </c>
    </row>
    <row r="456" spans="1:12" ht="24.75" x14ac:dyDescent="0.25">
      <c r="A456" s="4" t="s">
        <v>2681</v>
      </c>
      <c r="B456" s="2" t="s">
        <v>1330</v>
      </c>
      <c r="C456" s="3">
        <v>2</v>
      </c>
      <c r="D456" s="5">
        <v>37.130000000000003</v>
      </c>
      <c r="E456" s="3" t="s">
        <v>1331</v>
      </c>
      <c r="F456" s="2" t="s">
        <v>417</v>
      </c>
      <c r="G456" s="6" t="s">
        <v>154</v>
      </c>
      <c r="H456" s="2" t="s">
        <v>194</v>
      </c>
      <c r="I456" s="2" t="s">
        <v>195</v>
      </c>
      <c r="J456" s="2" t="s">
        <v>19</v>
      </c>
      <c r="K456" s="2" t="s">
        <v>247</v>
      </c>
      <c r="L456" s="7" t="str">
        <f>HYPERLINK("http://slimages.macys.com/is/image/MCY/10889638 ")</f>
        <v xml:space="preserve">http://slimages.macys.com/is/image/MCY/10889638 </v>
      </c>
    </row>
    <row r="457" spans="1:12" ht="24.75" x14ac:dyDescent="0.25">
      <c r="A457" s="4" t="s">
        <v>9604</v>
      </c>
      <c r="B457" s="2" t="s">
        <v>2678</v>
      </c>
      <c r="C457" s="3">
        <v>1</v>
      </c>
      <c r="D457" s="5">
        <v>24.99</v>
      </c>
      <c r="E457" s="3" t="s">
        <v>6619</v>
      </c>
      <c r="F457" s="2" t="s">
        <v>878</v>
      </c>
      <c r="G457" s="6" t="s">
        <v>9605</v>
      </c>
      <c r="H457" s="2" t="s">
        <v>228</v>
      </c>
      <c r="I457" s="2" t="s">
        <v>863</v>
      </c>
      <c r="J457" s="2" t="s">
        <v>19</v>
      </c>
      <c r="K457" s="2" t="s">
        <v>253</v>
      </c>
      <c r="L457" s="7" t="str">
        <f>HYPERLINK("http://slimages.macys.com/is/image/MCY/11804521 ")</f>
        <v xml:space="preserve">http://slimages.macys.com/is/image/MCY/11804521 </v>
      </c>
    </row>
    <row r="458" spans="1:12" ht="24.75" x14ac:dyDescent="0.25">
      <c r="A458" s="4" t="s">
        <v>9606</v>
      </c>
      <c r="B458" s="2" t="s">
        <v>9607</v>
      </c>
      <c r="C458" s="3">
        <v>1</v>
      </c>
      <c r="D458" s="5">
        <v>37.130000000000003</v>
      </c>
      <c r="E458" s="3" t="s">
        <v>9608</v>
      </c>
      <c r="F458" s="2" t="s">
        <v>74</v>
      </c>
      <c r="G458" s="6" t="s">
        <v>245</v>
      </c>
      <c r="H458" s="2" t="s">
        <v>194</v>
      </c>
      <c r="I458" s="2" t="s">
        <v>195</v>
      </c>
      <c r="J458" s="2" t="s">
        <v>19</v>
      </c>
      <c r="K458" s="2" t="s">
        <v>247</v>
      </c>
      <c r="L458" s="7" t="str">
        <f>HYPERLINK("http://slimages.macys.com/is/image/MCY/10889609 ")</f>
        <v xml:space="preserve">http://slimages.macys.com/is/image/MCY/10889609 </v>
      </c>
    </row>
    <row r="459" spans="1:12" ht="24.75" x14ac:dyDescent="0.25">
      <c r="A459" s="4" t="s">
        <v>9609</v>
      </c>
      <c r="B459" s="2" t="s">
        <v>1330</v>
      </c>
      <c r="C459" s="3">
        <v>1</v>
      </c>
      <c r="D459" s="5">
        <v>33.5</v>
      </c>
      <c r="E459" s="3" t="s">
        <v>1331</v>
      </c>
      <c r="F459" s="2" t="s">
        <v>38</v>
      </c>
      <c r="G459" s="6" t="s">
        <v>154</v>
      </c>
      <c r="H459" s="2" t="s">
        <v>194</v>
      </c>
      <c r="I459" s="2" t="s">
        <v>195</v>
      </c>
      <c r="J459" s="2" t="s">
        <v>19</v>
      </c>
      <c r="K459" s="2" t="s">
        <v>247</v>
      </c>
      <c r="L459" s="7" t="str">
        <f>HYPERLINK("http://slimages.macys.com/is/image/MCY/10889638 ")</f>
        <v xml:space="preserve">http://slimages.macys.com/is/image/MCY/10889638 </v>
      </c>
    </row>
    <row r="460" spans="1:12" ht="24.75" x14ac:dyDescent="0.25">
      <c r="A460" s="4" t="s">
        <v>9610</v>
      </c>
      <c r="B460" s="2" t="s">
        <v>9607</v>
      </c>
      <c r="C460" s="3">
        <v>1</v>
      </c>
      <c r="D460" s="5">
        <v>37.130000000000003</v>
      </c>
      <c r="E460" s="3" t="s">
        <v>9608</v>
      </c>
      <c r="F460" s="2" t="s">
        <v>74</v>
      </c>
      <c r="G460" s="6" t="s">
        <v>234</v>
      </c>
      <c r="H460" s="2" t="s">
        <v>194</v>
      </c>
      <c r="I460" s="2" t="s">
        <v>195</v>
      </c>
      <c r="J460" s="2" t="s">
        <v>19</v>
      </c>
      <c r="K460" s="2" t="s">
        <v>247</v>
      </c>
      <c r="L460" s="7" t="str">
        <f>HYPERLINK("http://slimages.macys.com/is/image/MCY/10889609 ")</f>
        <v xml:space="preserve">http://slimages.macys.com/is/image/MCY/10889609 </v>
      </c>
    </row>
    <row r="461" spans="1:12" ht="24.75" x14ac:dyDescent="0.25">
      <c r="A461" s="4" t="s">
        <v>9611</v>
      </c>
      <c r="B461" s="2" t="s">
        <v>9612</v>
      </c>
      <c r="C461" s="3">
        <v>2</v>
      </c>
      <c r="D461" s="5">
        <v>24.99</v>
      </c>
      <c r="E461" s="3" t="s">
        <v>9613</v>
      </c>
      <c r="F461" s="2" t="s">
        <v>33</v>
      </c>
      <c r="G461" s="6" t="s">
        <v>219</v>
      </c>
      <c r="H461" s="2" t="s">
        <v>1425</v>
      </c>
      <c r="I461" s="2" t="s">
        <v>1469</v>
      </c>
      <c r="J461" s="2" t="s">
        <v>19</v>
      </c>
      <c r="K461" s="2" t="s">
        <v>353</v>
      </c>
      <c r="L461" s="7" t="str">
        <f>HYPERLINK("http://slimages.macys.com/is/image/MCY/11270468 ")</f>
        <v xml:space="preserve">http://slimages.macys.com/is/image/MCY/11270468 </v>
      </c>
    </row>
    <row r="462" spans="1:12" ht="24.75" x14ac:dyDescent="0.25">
      <c r="A462" s="4" t="s">
        <v>9614</v>
      </c>
      <c r="B462" s="2" t="s">
        <v>2683</v>
      </c>
      <c r="C462" s="3">
        <v>1</v>
      </c>
      <c r="D462" s="5">
        <v>33.380000000000003</v>
      </c>
      <c r="E462" s="3" t="s">
        <v>2684</v>
      </c>
      <c r="F462" s="2" t="s">
        <v>752</v>
      </c>
      <c r="G462" s="6" t="s">
        <v>200</v>
      </c>
      <c r="H462" s="2" t="s">
        <v>194</v>
      </c>
      <c r="I462" s="2" t="s">
        <v>195</v>
      </c>
      <c r="J462" s="2" t="s">
        <v>19</v>
      </c>
      <c r="K462" s="2" t="s">
        <v>247</v>
      </c>
      <c r="L462" s="7" t="str">
        <f>HYPERLINK("http://slimages.macys.com/is/image/MCY/12404928 ")</f>
        <v xml:space="preserve">http://slimages.macys.com/is/image/MCY/12404928 </v>
      </c>
    </row>
    <row r="463" spans="1:12" ht="24.75" x14ac:dyDescent="0.25">
      <c r="A463" s="4" t="s">
        <v>4948</v>
      </c>
      <c r="B463" s="2" t="s">
        <v>2683</v>
      </c>
      <c r="C463" s="3">
        <v>2</v>
      </c>
      <c r="D463" s="5">
        <v>33.380000000000003</v>
      </c>
      <c r="E463" s="3" t="s">
        <v>2684</v>
      </c>
      <c r="F463" s="2" t="s">
        <v>752</v>
      </c>
      <c r="G463" s="6" t="s">
        <v>234</v>
      </c>
      <c r="H463" s="2" t="s">
        <v>194</v>
      </c>
      <c r="I463" s="2" t="s">
        <v>195</v>
      </c>
      <c r="J463" s="2" t="s">
        <v>19</v>
      </c>
      <c r="K463" s="2" t="s">
        <v>247</v>
      </c>
      <c r="L463" s="7" t="str">
        <f>HYPERLINK("http://slimages.macys.com/is/image/MCY/12404928 ")</f>
        <v xml:space="preserve">http://slimages.macys.com/is/image/MCY/12404928 </v>
      </c>
    </row>
    <row r="464" spans="1:12" ht="48.75" x14ac:dyDescent="0.25">
      <c r="A464" s="4" t="s">
        <v>4950</v>
      </c>
      <c r="B464" s="2" t="s">
        <v>1155</v>
      </c>
      <c r="C464" s="3">
        <v>1</v>
      </c>
      <c r="D464" s="5">
        <v>37.130000000000003</v>
      </c>
      <c r="E464" s="3" t="s">
        <v>3875</v>
      </c>
      <c r="F464" s="2" t="s">
        <v>15</v>
      </c>
      <c r="G464" s="6" t="s">
        <v>234</v>
      </c>
      <c r="H464" s="2" t="s">
        <v>194</v>
      </c>
      <c r="I464" s="2" t="s">
        <v>195</v>
      </c>
      <c r="J464" s="2" t="s">
        <v>19</v>
      </c>
      <c r="K464" s="2" t="s">
        <v>3879</v>
      </c>
      <c r="L464" s="7" t="str">
        <f>HYPERLINK("http://slimages.macys.com/is/image/MCY/12404881 ")</f>
        <v xml:space="preserve">http://slimages.macys.com/is/image/MCY/12404881 </v>
      </c>
    </row>
    <row r="465" spans="1:12" ht="48.75" x14ac:dyDescent="0.25">
      <c r="A465" s="4" t="s">
        <v>8173</v>
      </c>
      <c r="B465" s="2" t="s">
        <v>1155</v>
      </c>
      <c r="C465" s="3">
        <v>1</v>
      </c>
      <c r="D465" s="5">
        <v>37.130000000000003</v>
      </c>
      <c r="E465" s="3" t="s">
        <v>3875</v>
      </c>
      <c r="F465" s="2" t="s">
        <v>26</v>
      </c>
      <c r="G465" s="6" t="s">
        <v>156</v>
      </c>
      <c r="H465" s="2" t="s">
        <v>194</v>
      </c>
      <c r="I465" s="2" t="s">
        <v>195</v>
      </c>
      <c r="J465" s="2" t="s">
        <v>19</v>
      </c>
      <c r="K465" s="2" t="s">
        <v>3879</v>
      </c>
      <c r="L465" s="7" t="str">
        <f>HYPERLINK("http://slimages.macys.com/is/image/MCY/12404881 ")</f>
        <v xml:space="preserve">http://slimages.macys.com/is/image/MCY/12404881 </v>
      </c>
    </row>
    <row r="466" spans="1:12" ht="48.75" x14ac:dyDescent="0.25">
      <c r="A466" s="4" t="s">
        <v>6628</v>
      </c>
      <c r="B466" s="2" t="s">
        <v>1155</v>
      </c>
      <c r="C466" s="3">
        <v>1</v>
      </c>
      <c r="D466" s="5">
        <v>37.130000000000003</v>
      </c>
      <c r="E466" s="3" t="s">
        <v>3875</v>
      </c>
      <c r="F466" s="2" t="s">
        <v>15</v>
      </c>
      <c r="G466" s="6" t="s">
        <v>156</v>
      </c>
      <c r="H466" s="2" t="s">
        <v>194</v>
      </c>
      <c r="I466" s="2" t="s">
        <v>195</v>
      </c>
      <c r="J466" s="2" t="s">
        <v>19</v>
      </c>
      <c r="K466" s="2" t="s">
        <v>3879</v>
      </c>
      <c r="L466" s="7" t="str">
        <f>HYPERLINK("http://slimages.macys.com/is/image/MCY/12404881 ")</f>
        <v xml:space="preserve">http://slimages.macys.com/is/image/MCY/12404881 </v>
      </c>
    </row>
    <row r="467" spans="1:12" ht="24.75" x14ac:dyDescent="0.25">
      <c r="A467" s="4" t="s">
        <v>5883</v>
      </c>
      <c r="B467" s="2" t="s">
        <v>1318</v>
      </c>
      <c r="C467" s="3">
        <v>1</v>
      </c>
      <c r="D467" s="5">
        <v>24.99</v>
      </c>
      <c r="E467" s="3" t="s">
        <v>1321</v>
      </c>
      <c r="F467" s="2" t="s">
        <v>506</v>
      </c>
      <c r="G467" s="6" t="s">
        <v>22</v>
      </c>
      <c r="H467" s="2" t="s">
        <v>228</v>
      </c>
      <c r="I467" s="2" t="s">
        <v>229</v>
      </c>
      <c r="J467" s="2" t="s">
        <v>19</v>
      </c>
      <c r="K467" s="2" t="s">
        <v>253</v>
      </c>
      <c r="L467" s="7" t="str">
        <f>HYPERLINK("http://slimages.macys.com/is/image/MCY/8296032 ")</f>
        <v xml:space="preserve">http://slimages.macys.com/is/image/MCY/8296032 </v>
      </c>
    </row>
    <row r="468" spans="1:12" ht="24.75" x14ac:dyDescent="0.25">
      <c r="A468" s="4" t="s">
        <v>9615</v>
      </c>
      <c r="B468" s="2" t="s">
        <v>1318</v>
      </c>
      <c r="C468" s="3">
        <v>1</v>
      </c>
      <c r="D468" s="5">
        <v>24.99</v>
      </c>
      <c r="E468" s="3">
        <v>100039649</v>
      </c>
      <c r="F468" s="2" t="s">
        <v>417</v>
      </c>
      <c r="G468" s="6" t="s">
        <v>27</v>
      </c>
      <c r="H468" s="2" t="s">
        <v>228</v>
      </c>
      <c r="I468" s="2" t="s">
        <v>863</v>
      </c>
      <c r="J468" s="2" t="s">
        <v>19</v>
      </c>
      <c r="K468" s="2" t="s">
        <v>2703</v>
      </c>
      <c r="L468" s="7" t="str">
        <f>HYPERLINK("http://slimages.macys.com/is/image/MCY/12667245 ")</f>
        <v xml:space="preserve">http://slimages.macys.com/is/image/MCY/12667245 </v>
      </c>
    </row>
    <row r="469" spans="1:12" ht="24.75" x14ac:dyDescent="0.25">
      <c r="A469" s="4" t="s">
        <v>3880</v>
      </c>
      <c r="B469" s="2" t="s">
        <v>1318</v>
      </c>
      <c r="C469" s="3">
        <v>1</v>
      </c>
      <c r="D469" s="5">
        <v>24.99</v>
      </c>
      <c r="E469" s="3" t="s">
        <v>1321</v>
      </c>
      <c r="F469" s="2" t="s">
        <v>506</v>
      </c>
      <c r="G469" s="6" t="s">
        <v>27</v>
      </c>
      <c r="H469" s="2" t="s">
        <v>228</v>
      </c>
      <c r="I469" s="2" t="s">
        <v>229</v>
      </c>
      <c r="J469" s="2" t="s">
        <v>19</v>
      </c>
      <c r="K469" s="2" t="s">
        <v>253</v>
      </c>
      <c r="L469" s="7" t="str">
        <f>HYPERLINK("http://slimages.macys.com/is/image/MCY/8296032 ")</f>
        <v xml:space="preserve">http://slimages.macys.com/is/image/MCY/8296032 </v>
      </c>
    </row>
    <row r="470" spans="1:12" ht="24.75" x14ac:dyDescent="0.25">
      <c r="A470" s="4" t="s">
        <v>1350</v>
      </c>
      <c r="B470" s="2" t="s">
        <v>1318</v>
      </c>
      <c r="C470" s="3">
        <v>3</v>
      </c>
      <c r="D470" s="5">
        <v>24.99</v>
      </c>
      <c r="E470" s="3" t="s">
        <v>1321</v>
      </c>
      <c r="F470" s="2" t="s">
        <v>506</v>
      </c>
      <c r="G470" s="6" t="s">
        <v>58</v>
      </c>
      <c r="H470" s="2" t="s">
        <v>228</v>
      </c>
      <c r="I470" s="2" t="s">
        <v>229</v>
      </c>
      <c r="J470" s="2" t="s">
        <v>19</v>
      </c>
      <c r="K470" s="2" t="s">
        <v>253</v>
      </c>
      <c r="L470" s="7" t="str">
        <f>HYPERLINK("http://slimages.macys.com/is/image/MCY/8296032 ")</f>
        <v xml:space="preserve">http://slimages.macys.com/is/image/MCY/8296032 </v>
      </c>
    </row>
    <row r="471" spans="1:12" ht="24.75" x14ac:dyDescent="0.25">
      <c r="A471" s="4" t="s">
        <v>2691</v>
      </c>
      <c r="B471" s="2" t="s">
        <v>1318</v>
      </c>
      <c r="C471" s="3">
        <v>1</v>
      </c>
      <c r="D471" s="5">
        <v>24.99</v>
      </c>
      <c r="E471" s="3" t="s">
        <v>1321</v>
      </c>
      <c r="F471" s="2" t="s">
        <v>506</v>
      </c>
      <c r="G471" s="6" t="s">
        <v>16</v>
      </c>
      <c r="H471" s="2" t="s">
        <v>228</v>
      </c>
      <c r="I471" s="2" t="s">
        <v>229</v>
      </c>
      <c r="J471" s="2" t="s">
        <v>19</v>
      </c>
      <c r="K471" s="2" t="s">
        <v>253</v>
      </c>
      <c r="L471" s="7" t="str">
        <f>HYPERLINK("http://slimages.macys.com/is/image/MCY/8296032 ")</f>
        <v xml:space="preserve">http://slimages.macys.com/is/image/MCY/8296032 </v>
      </c>
    </row>
    <row r="472" spans="1:12" ht="24.75" x14ac:dyDescent="0.25">
      <c r="A472" s="4" t="s">
        <v>2698</v>
      </c>
      <c r="B472" s="2" t="s">
        <v>1318</v>
      </c>
      <c r="C472" s="3">
        <v>1</v>
      </c>
      <c r="D472" s="5">
        <v>24.99</v>
      </c>
      <c r="E472" s="3" t="s">
        <v>1321</v>
      </c>
      <c r="F472" s="2" t="s">
        <v>376</v>
      </c>
      <c r="G472" s="6" t="s">
        <v>65</v>
      </c>
      <c r="H472" s="2" t="s">
        <v>228</v>
      </c>
      <c r="I472" s="2" t="s">
        <v>229</v>
      </c>
      <c r="J472" s="2" t="s">
        <v>19</v>
      </c>
      <c r="K472" s="2" t="s">
        <v>253</v>
      </c>
      <c r="L472" s="7" t="str">
        <f>HYPERLINK("http://slimages.macys.com/is/image/MCY/9029356 ")</f>
        <v xml:space="preserve">http://slimages.macys.com/is/image/MCY/9029356 </v>
      </c>
    </row>
    <row r="473" spans="1:12" ht="24.75" x14ac:dyDescent="0.25">
      <c r="A473" s="4" t="s">
        <v>6641</v>
      </c>
      <c r="B473" s="2" t="s">
        <v>1318</v>
      </c>
      <c r="C473" s="3">
        <v>1</v>
      </c>
      <c r="D473" s="5">
        <v>24.99</v>
      </c>
      <c r="E473" s="3" t="s">
        <v>1321</v>
      </c>
      <c r="F473" s="2" t="s">
        <v>376</v>
      </c>
      <c r="G473" s="6" t="s">
        <v>16</v>
      </c>
      <c r="H473" s="2" t="s">
        <v>228</v>
      </c>
      <c r="I473" s="2" t="s">
        <v>229</v>
      </c>
      <c r="J473" s="2" t="s">
        <v>19</v>
      </c>
      <c r="K473" s="2" t="s">
        <v>253</v>
      </c>
      <c r="L473" s="7" t="str">
        <f>HYPERLINK("http://slimages.macys.com/is/image/MCY/9029356 ")</f>
        <v xml:space="preserve">http://slimages.macys.com/is/image/MCY/9029356 </v>
      </c>
    </row>
    <row r="474" spans="1:12" ht="24.75" x14ac:dyDescent="0.25">
      <c r="A474" s="4" t="s">
        <v>2692</v>
      </c>
      <c r="B474" s="2" t="s">
        <v>1318</v>
      </c>
      <c r="C474" s="3">
        <v>2</v>
      </c>
      <c r="D474" s="5">
        <v>24.99</v>
      </c>
      <c r="E474" s="3" t="s">
        <v>1321</v>
      </c>
      <c r="F474" s="2" t="s">
        <v>506</v>
      </c>
      <c r="G474" s="6" t="s">
        <v>112</v>
      </c>
      <c r="H474" s="2" t="s">
        <v>228</v>
      </c>
      <c r="I474" s="2" t="s">
        <v>229</v>
      </c>
      <c r="J474" s="2" t="s">
        <v>19</v>
      </c>
      <c r="K474" s="2" t="s">
        <v>253</v>
      </c>
      <c r="L474" s="7" t="str">
        <f>HYPERLINK("http://slimages.macys.com/is/image/MCY/8296032 ")</f>
        <v xml:space="preserve">http://slimages.macys.com/is/image/MCY/8296032 </v>
      </c>
    </row>
    <row r="475" spans="1:12" ht="24.75" x14ac:dyDescent="0.25">
      <c r="A475" s="4" t="s">
        <v>3883</v>
      </c>
      <c r="B475" s="2" t="s">
        <v>1253</v>
      </c>
      <c r="C475" s="3">
        <v>1</v>
      </c>
      <c r="D475" s="5">
        <v>24.99</v>
      </c>
      <c r="E475" s="3" t="s">
        <v>2688</v>
      </c>
      <c r="F475" s="2" t="s">
        <v>506</v>
      </c>
      <c r="G475" s="6" t="s">
        <v>205</v>
      </c>
      <c r="H475" s="2" t="s">
        <v>426</v>
      </c>
      <c r="I475" s="2" t="s">
        <v>863</v>
      </c>
      <c r="J475" s="2" t="s">
        <v>19</v>
      </c>
      <c r="K475" s="2" t="s">
        <v>253</v>
      </c>
      <c r="L475" s="7" t="str">
        <f>HYPERLINK("http://slimages.macys.com/is/image/MCY/9029356 ")</f>
        <v xml:space="preserve">http://slimages.macys.com/is/image/MCY/9029356 </v>
      </c>
    </row>
    <row r="476" spans="1:12" ht="24.75" x14ac:dyDescent="0.25">
      <c r="A476" s="4" t="s">
        <v>1371</v>
      </c>
      <c r="B476" s="2" t="s">
        <v>1365</v>
      </c>
      <c r="C476" s="3">
        <v>1</v>
      </c>
      <c r="D476" s="5">
        <v>37.130000000000003</v>
      </c>
      <c r="E476" s="3">
        <v>100065803</v>
      </c>
      <c r="F476" s="2" t="s">
        <v>15</v>
      </c>
      <c r="G476" s="6" t="s">
        <v>200</v>
      </c>
      <c r="H476" s="2" t="s">
        <v>194</v>
      </c>
      <c r="I476" s="2" t="s">
        <v>195</v>
      </c>
      <c r="J476" s="2" t="s">
        <v>19</v>
      </c>
      <c r="K476" s="2" t="s">
        <v>353</v>
      </c>
      <c r="L476" s="7" t="str">
        <f>HYPERLINK("http://slimages.macys.com/is/image/MCY/12850008 ")</f>
        <v xml:space="preserve">http://slimages.macys.com/is/image/MCY/12850008 </v>
      </c>
    </row>
    <row r="477" spans="1:12" ht="24.75" x14ac:dyDescent="0.25">
      <c r="A477" s="4" t="s">
        <v>1370</v>
      </c>
      <c r="B477" s="2" t="s">
        <v>1365</v>
      </c>
      <c r="C477" s="3">
        <v>1</v>
      </c>
      <c r="D477" s="5">
        <v>37.130000000000003</v>
      </c>
      <c r="E477" s="3">
        <v>100065803</v>
      </c>
      <c r="F477" s="2" t="s">
        <v>74</v>
      </c>
      <c r="G477" s="6" t="s">
        <v>156</v>
      </c>
      <c r="H477" s="2" t="s">
        <v>194</v>
      </c>
      <c r="I477" s="2" t="s">
        <v>195</v>
      </c>
      <c r="J477" s="2" t="s">
        <v>19</v>
      </c>
      <c r="K477" s="2" t="s">
        <v>353</v>
      </c>
      <c r="L477" s="7" t="str">
        <f>HYPERLINK("http://slimages.macys.com/is/image/MCY/12850008 ")</f>
        <v xml:space="preserve">http://slimages.macys.com/is/image/MCY/12850008 </v>
      </c>
    </row>
    <row r="478" spans="1:12" ht="24.75" x14ac:dyDescent="0.25">
      <c r="A478" s="4" t="s">
        <v>1364</v>
      </c>
      <c r="B478" s="2" t="s">
        <v>1365</v>
      </c>
      <c r="C478" s="3">
        <v>2</v>
      </c>
      <c r="D478" s="5">
        <v>37.130000000000003</v>
      </c>
      <c r="E478" s="3">
        <v>100065803</v>
      </c>
      <c r="F478" s="2" t="s">
        <v>15</v>
      </c>
      <c r="G478" s="6" t="s">
        <v>181</v>
      </c>
      <c r="H478" s="2" t="s">
        <v>194</v>
      </c>
      <c r="I478" s="2" t="s">
        <v>195</v>
      </c>
      <c r="J478" s="2" t="s">
        <v>19</v>
      </c>
      <c r="K478" s="2" t="s">
        <v>353</v>
      </c>
      <c r="L478" s="7" t="str">
        <f>HYPERLINK("http://slimages.macys.com/is/image/MCY/12850008 ")</f>
        <v xml:space="preserve">http://slimages.macys.com/is/image/MCY/12850008 </v>
      </c>
    </row>
    <row r="479" spans="1:12" ht="24.75" x14ac:dyDescent="0.25">
      <c r="A479" s="4" t="s">
        <v>4959</v>
      </c>
      <c r="B479" s="2" t="s">
        <v>1365</v>
      </c>
      <c r="C479" s="3">
        <v>1</v>
      </c>
      <c r="D479" s="5">
        <v>37.130000000000003</v>
      </c>
      <c r="E479" s="3">
        <v>100065803</v>
      </c>
      <c r="F479" s="2" t="s">
        <v>15</v>
      </c>
      <c r="G479" s="6" t="s">
        <v>154</v>
      </c>
      <c r="H479" s="2" t="s">
        <v>194</v>
      </c>
      <c r="I479" s="2" t="s">
        <v>195</v>
      </c>
      <c r="J479" s="2" t="s">
        <v>19</v>
      </c>
      <c r="K479" s="2" t="s">
        <v>353</v>
      </c>
      <c r="L479" s="7" t="str">
        <f>HYPERLINK("http://slimages.macys.com/is/image/MCY/12850008 ")</f>
        <v xml:space="preserve">http://slimages.macys.com/is/image/MCY/12850008 </v>
      </c>
    </row>
    <row r="480" spans="1:12" ht="24.75" x14ac:dyDescent="0.25">
      <c r="A480" s="4" t="s">
        <v>9616</v>
      </c>
      <c r="B480" s="2" t="s">
        <v>1494</v>
      </c>
      <c r="C480" s="3">
        <v>1</v>
      </c>
      <c r="D480" s="5">
        <v>24.99</v>
      </c>
      <c r="E480" s="3">
        <v>100053891</v>
      </c>
      <c r="F480" s="2" t="s">
        <v>70</v>
      </c>
      <c r="G480" s="6" t="s">
        <v>22</v>
      </c>
      <c r="H480" s="2" t="s">
        <v>228</v>
      </c>
      <c r="I480" s="2" t="s">
        <v>857</v>
      </c>
      <c r="J480" s="2" t="s">
        <v>19</v>
      </c>
      <c r="K480" s="2" t="s">
        <v>1495</v>
      </c>
      <c r="L480" s="7" t="str">
        <f>HYPERLINK("http://slimages.macys.com/is/image/MCY/12143827 ")</f>
        <v xml:space="preserve">http://slimages.macys.com/is/image/MCY/12143827 </v>
      </c>
    </row>
    <row r="481" spans="1:12" ht="24.75" x14ac:dyDescent="0.25">
      <c r="A481" s="4" t="s">
        <v>1377</v>
      </c>
      <c r="B481" s="2" t="s">
        <v>1330</v>
      </c>
      <c r="C481" s="3">
        <v>1</v>
      </c>
      <c r="D481" s="5">
        <v>37.130000000000003</v>
      </c>
      <c r="E481" s="3" t="s">
        <v>1331</v>
      </c>
      <c r="F481" s="2" t="s">
        <v>125</v>
      </c>
      <c r="G481" s="6" t="s">
        <v>154</v>
      </c>
      <c r="H481" s="2" t="s">
        <v>194</v>
      </c>
      <c r="I481" s="2" t="s">
        <v>195</v>
      </c>
      <c r="J481" s="2" t="s">
        <v>19</v>
      </c>
      <c r="K481" s="2" t="s">
        <v>247</v>
      </c>
      <c r="L481" s="7" t="str">
        <f>HYPERLINK("http://slimages.macys.com/is/image/MCY/10889638 ")</f>
        <v xml:space="preserve">http://slimages.macys.com/is/image/MCY/10889638 </v>
      </c>
    </row>
    <row r="482" spans="1:12" ht="24.75" x14ac:dyDescent="0.25">
      <c r="A482" s="4" t="s">
        <v>2709</v>
      </c>
      <c r="B482" s="2" t="s">
        <v>1330</v>
      </c>
      <c r="C482" s="3">
        <v>1</v>
      </c>
      <c r="D482" s="5">
        <v>37.130000000000003</v>
      </c>
      <c r="E482" s="3" t="s">
        <v>1331</v>
      </c>
      <c r="F482" s="2" t="s">
        <v>125</v>
      </c>
      <c r="G482" s="6" t="s">
        <v>156</v>
      </c>
      <c r="H482" s="2" t="s">
        <v>194</v>
      </c>
      <c r="I482" s="2" t="s">
        <v>195</v>
      </c>
      <c r="J482" s="2" t="s">
        <v>19</v>
      </c>
      <c r="K482" s="2" t="s">
        <v>247</v>
      </c>
      <c r="L482" s="7" t="str">
        <f>HYPERLINK("http://slimages.macys.com/is/image/MCY/10889638 ")</f>
        <v xml:space="preserve">http://slimages.macys.com/is/image/MCY/10889638 </v>
      </c>
    </row>
    <row r="483" spans="1:12" ht="24.75" x14ac:dyDescent="0.25">
      <c r="A483" s="4" t="s">
        <v>1380</v>
      </c>
      <c r="B483" s="2" t="s">
        <v>1381</v>
      </c>
      <c r="C483" s="3">
        <v>1</v>
      </c>
      <c r="D483" s="5">
        <v>37.130000000000003</v>
      </c>
      <c r="E483" s="3" t="s">
        <v>1382</v>
      </c>
      <c r="F483" s="2" t="s">
        <v>170</v>
      </c>
      <c r="G483" s="6" t="s">
        <v>181</v>
      </c>
      <c r="H483" s="2" t="s">
        <v>194</v>
      </c>
      <c r="I483" s="2" t="s">
        <v>195</v>
      </c>
      <c r="J483" s="2" t="s">
        <v>19</v>
      </c>
      <c r="K483" s="2" t="s">
        <v>247</v>
      </c>
      <c r="L483" s="7" t="str">
        <f>HYPERLINK("http://slimages.macys.com/is/image/MCY/12668006 ")</f>
        <v xml:space="preserve">http://slimages.macys.com/is/image/MCY/12668006 </v>
      </c>
    </row>
    <row r="484" spans="1:12" ht="24.75" x14ac:dyDescent="0.25">
      <c r="A484" s="4" t="s">
        <v>2710</v>
      </c>
      <c r="B484" s="2" t="s">
        <v>1330</v>
      </c>
      <c r="C484" s="3">
        <v>1</v>
      </c>
      <c r="D484" s="5">
        <v>37.130000000000003</v>
      </c>
      <c r="E484" s="3" t="s">
        <v>1331</v>
      </c>
      <c r="F484" s="2" t="s">
        <v>125</v>
      </c>
      <c r="G484" s="6" t="s">
        <v>234</v>
      </c>
      <c r="H484" s="2" t="s">
        <v>194</v>
      </c>
      <c r="I484" s="2" t="s">
        <v>195</v>
      </c>
      <c r="J484" s="2" t="s">
        <v>19</v>
      </c>
      <c r="K484" s="2" t="s">
        <v>247</v>
      </c>
      <c r="L484" s="7" t="str">
        <f>HYPERLINK("http://slimages.macys.com/is/image/MCY/10889638 ")</f>
        <v xml:space="preserve">http://slimages.macys.com/is/image/MCY/10889638 </v>
      </c>
    </row>
    <row r="485" spans="1:12" ht="24.75" x14ac:dyDescent="0.25">
      <c r="A485" s="4" t="s">
        <v>1376</v>
      </c>
      <c r="B485" s="2" t="s">
        <v>1330</v>
      </c>
      <c r="C485" s="3">
        <v>2</v>
      </c>
      <c r="D485" s="5">
        <v>37.130000000000003</v>
      </c>
      <c r="E485" s="3" t="s">
        <v>1331</v>
      </c>
      <c r="F485" s="2" t="s">
        <v>125</v>
      </c>
      <c r="G485" s="6" t="s">
        <v>181</v>
      </c>
      <c r="H485" s="2" t="s">
        <v>194</v>
      </c>
      <c r="I485" s="2" t="s">
        <v>195</v>
      </c>
      <c r="J485" s="2" t="s">
        <v>19</v>
      </c>
      <c r="K485" s="2" t="s">
        <v>247</v>
      </c>
      <c r="L485" s="7" t="str">
        <f>HYPERLINK("http://slimages.macys.com/is/image/MCY/10889638 ")</f>
        <v xml:space="preserve">http://slimages.macys.com/is/image/MCY/10889638 </v>
      </c>
    </row>
    <row r="486" spans="1:12" ht="60.75" x14ac:dyDescent="0.25">
      <c r="A486" s="4" t="s">
        <v>9617</v>
      </c>
      <c r="B486" s="2" t="s">
        <v>3892</v>
      </c>
      <c r="C486" s="3">
        <v>1</v>
      </c>
      <c r="D486" s="5">
        <v>29.63</v>
      </c>
      <c r="E486" s="3">
        <v>100022669</v>
      </c>
      <c r="F486" s="2" t="s">
        <v>15</v>
      </c>
      <c r="G486" s="6" t="s">
        <v>154</v>
      </c>
      <c r="H486" s="2" t="s">
        <v>194</v>
      </c>
      <c r="I486" s="2" t="s">
        <v>1398</v>
      </c>
      <c r="J486" s="2" t="s">
        <v>19</v>
      </c>
      <c r="K486" s="2" t="s">
        <v>1399</v>
      </c>
      <c r="L486" s="7" t="str">
        <f>HYPERLINK("http://slimages.macys.com/is/image/MCY/13368177 ")</f>
        <v xml:space="preserve">http://slimages.macys.com/is/image/MCY/13368177 </v>
      </c>
    </row>
    <row r="487" spans="1:12" ht="36.75" x14ac:dyDescent="0.25">
      <c r="A487" s="4" t="s">
        <v>9618</v>
      </c>
      <c r="B487" s="2" t="s">
        <v>2351</v>
      </c>
      <c r="C487" s="3">
        <v>1</v>
      </c>
      <c r="D487" s="5">
        <v>29.63</v>
      </c>
      <c r="E487" s="3" t="s">
        <v>4963</v>
      </c>
      <c r="F487" s="2" t="s">
        <v>752</v>
      </c>
      <c r="G487" s="6" t="s">
        <v>245</v>
      </c>
      <c r="H487" s="2" t="s">
        <v>194</v>
      </c>
      <c r="I487" s="2" t="s">
        <v>195</v>
      </c>
      <c r="J487" s="2" t="s">
        <v>19</v>
      </c>
      <c r="K487" s="2" t="s">
        <v>1390</v>
      </c>
      <c r="L487" s="7" t="str">
        <f>HYPERLINK("http://slimages.macys.com/is/image/MCY/12950203 ")</f>
        <v xml:space="preserve">http://slimages.macys.com/is/image/MCY/12950203 </v>
      </c>
    </row>
    <row r="488" spans="1:12" ht="36.75" x14ac:dyDescent="0.25">
      <c r="A488" s="4" t="s">
        <v>1391</v>
      </c>
      <c r="B488" s="2" t="s">
        <v>1388</v>
      </c>
      <c r="C488" s="3">
        <v>1</v>
      </c>
      <c r="D488" s="5">
        <v>29.63</v>
      </c>
      <c r="E488" s="3" t="s">
        <v>1389</v>
      </c>
      <c r="F488" s="2" t="s">
        <v>111</v>
      </c>
      <c r="G488" s="6" t="s">
        <v>181</v>
      </c>
      <c r="H488" s="2" t="s">
        <v>194</v>
      </c>
      <c r="I488" s="2" t="s">
        <v>195</v>
      </c>
      <c r="J488" s="2" t="s">
        <v>19</v>
      </c>
      <c r="K488" s="2" t="s">
        <v>1390</v>
      </c>
      <c r="L488" s="7" t="str">
        <f>HYPERLINK("http://slimages.macys.com/is/image/MCY/12734335 ")</f>
        <v xml:space="preserve">http://slimages.macys.com/is/image/MCY/12734335 </v>
      </c>
    </row>
    <row r="489" spans="1:12" ht="36.75" x14ac:dyDescent="0.25">
      <c r="A489" s="4" t="s">
        <v>9619</v>
      </c>
      <c r="B489" s="2" t="s">
        <v>2351</v>
      </c>
      <c r="C489" s="3">
        <v>1</v>
      </c>
      <c r="D489" s="5">
        <v>29.63</v>
      </c>
      <c r="E489" s="3" t="s">
        <v>4963</v>
      </c>
      <c r="F489" s="2" t="s">
        <v>752</v>
      </c>
      <c r="G489" s="6" t="s">
        <v>181</v>
      </c>
      <c r="H489" s="2" t="s">
        <v>194</v>
      </c>
      <c r="I489" s="2" t="s">
        <v>195</v>
      </c>
      <c r="J489" s="2" t="s">
        <v>19</v>
      </c>
      <c r="K489" s="2" t="s">
        <v>1390</v>
      </c>
      <c r="L489" s="7" t="str">
        <f>HYPERLINK("http://slimages.macys.com/is/image/MCY/12950203 ")</f>
        <v xml:space="preserve">http://slimages.macys.com/is/image/MCY/12950203 </v>
      </c>
    </row>
    <row r="490" spans="1:12" ht="24.75" x14ac:dyDescent="0.25">
      <c r="A490" s="4" t="s">
        <v>9620</v>
      </c>
      <c r="B490" s="2" t="s">
        <v>9621</v>
      </c>
      <c r="C490" s="3">
        <v>1</v>
      </c>
      <c r="D490" s="5">
        <v>29.5</v>
      </c>
      <c r="E490" s="3" t="s">
        <v>9622</v>
      </c>
      <c r="F490" s="2" t="s">
        <v>413</v>
      </c>
      <c r="G490" s="6"/>
      <c r="H490" s="2" t="s">
        <v>312</v>
      </c>
      <c r="I490" s="2" t="s">
        <v>195</v>
      </c>
      <c r="J490" s="2" t="s">
        <v>19</v>
      </c>
      <c r="K490" s="2" t="s">
        <v>247</v>
      </c>
      <c r="L490" s="7" t="str">
        <f>HYPERLINK("http://slimages.macys.com/is/image/MCY/10888863 ")</f>
        <v xml:space="preserve">http://slimages.macys.com/is/image/MCY/10888863 </v>
      </c>
    </row>
    <row r="491" spans="1:12" ht="60.75" x14ac:dyDescent="0.25">
      <c r="A491" s="4" t="s">
        <v>9623</v>
      </c>
      <c r="B491" s="2" t="s">
        <v>1397</v>
      </c>
      <c r="C491" s="3">
        <v>1</v>
      </c>
      <c r="D491" s="5">
        <v>29.63</v>
      </c>
      <c r="E491" s="3">
        <v>100022669</v>
      </c>
      <c r="F491" s="2" t="s">
        <v>48</v>
      </c>
      <c r="G491" s="6" t="s">
        <v>245</v>
      </c>
      <c r="H491" s="2" t="s">
        <v>194</v>
      </c>
      <c r="I491" s="2" t="s">
        <v>1398</v>
      </c>
      <c r="J491" s="2" t="s">
        <v>19</v>
      </c>
      <c r="K491" s="2" t="s">
        <v>1399</v>
      </c>
      <c r="L491" s="7" t="str">
        <f>HYPERLINK("http://slimages.macys.com/is/image/MCY/13368177 ")</f>
        <v xml:space="preserve">http://slimages.macys.com/is/image/MCY/13368177 </v>
      </c>
    </row>
    <row r="492" spans="1:12" ht="24.75" x14ac:dyDescent="0.25">
      <c r="A492" s="4" t="s">
        <v>9624</v>
      </c>
      <c r="B492" s="2" t="s">
        <v>8196</v>
      </c>
      <c r="C492" s="3">
        <v>1</v>
      </c>
      <c r="D492" s="5">
        <v>37.130000000000003</v>
      </c>
      <c r="E492" s="3" t="s">
        <v>8197</v>
      </c>
      <c r="F492" s="2" t="s">
        <v>125</v>
      </c>
      <c r="G492" s="6"/>
      <c r="H492" s="2" t="s">
        <v>312</v>
      </c>
      <c r="I492" s="2" t="s">
        <v>195</v>
      </c>
      <c r="J492" s="2" t="s">
        <v>19</v>
      </c>
      <c r="K492" s="2" t="s">
        <v>247</v>
      </c>
      <c r="L492" s="7" t="str">
        <f>HYPERLINK("http://slimages.macys.com/is/image/MCY/12668586 ")</f>
        <v xml:space="preserve">http://slimages.macys.com/is/image/MCY/12668586 </v>
      </c>
    </row>
    <row r="493" spans="1:12" ht="24.75" x14ac:dyDescent="0.25">
      <c r="A493" s="4" t="s">
        <v>9625</v>
      </c>
      <c r="B493" s="2" t="s">
        <v>9626</v>
      </c>
      <c r="C493" s="3">
        <v>1</v>
      </c>
      <c r="D493" s="5">
        <v>37.130000000000003</v>
      </c>
      <c r="E493" s="3" t="s">
        <v>9627</v>
      </c>
      <c r="F493" s="2" t="s">
        <v>48</v>
      </c>
      <c r="G493" s="6"/>
      <c r="H493" s="2" t="s">
        <v>312</v>
      </c>
      <c r="I493" s="2" t="s">
        <v>195</v>
      </c>
      <c r="J493" s="2"/>
      <c r="K493" s="2"/>
      <c r="L493" s="7" t="str">
        <f>HYPERLINK("http://slimages.macys.com/is/image/MCY/12280397 ")</f>
        <v xml:space="preserve">http://slimages.macys.com/is/image/MCY/12280397 </v>
      </c>
    </row>
    <row r="494" spans="1:12" ht="24.75" x14ac:dyDescent="0.25">
      <c r="A494" s="4" t="s">
        <v>9103</v>
      </c>
      <c r="B494" s="2" t="s">
        <v>6666</v>
      </c>
      <c r="C494" s="3">
        <v>1</v>
      </c>
      <c r="D494" s="5">
        <v>24.99</v>
      </c>
      <c r="E494" s="3">
        <v>100060498</v>
      </c>
      <c r="F494" s="2" t="s">
        <v>33</v>
      </c>
      <c r="G494" s="6" t="s">
        <v>65</v>
      </c>
      <c r="H494" s="2" t="s">
        <v>228</v>
      </c>
      <c r="I494" s="2" t="s">
        <v>857</v>
      </c>
      <c r="J494" s="2" t="s">
        <v>19</v>
      </c>
      <c r="K494" s="2" t="s">
        <v>230</v>
      </c>
      <c r="L494" s="7" t="str">
        <f>HYPERLINK("http://slimages.macys.com/is/image/MCY/12850401 ")</f>
        <v xml:space="preserve">http://slimages.macys.com/is/image/MCY/12850401 </v>
      </c>
    </row>
    <row r="495" spans="1:12" ht="24.75" x14ac:dyDescent="0.25">
      <c r="A495" s="4" t="s">
        <v>9628</v>
      </c>
      <c r="B495" s="2" t="s">
        <v>2718</v>
      </c>
      <c r="C495" s="3">
        <v>1</v>
      </c>
      <c r="D495" s="5">
        <v>34.880000000000003</v>
      </c>
      <c r="E495" s="3">
        <v>100054890</v>
      </c>
      <c r="F495" s="2" t="s">
        <v>1322</v>
      </c>
      <c r="G495" s="6" t="s">
        <v>27</v>
      </c>
      <c r="H495" s="2" t="s">
        <v>194</v>
      </c>
      <c r="I495" s="2" t="s">
        <v>195</v>
      </c>
      <c r="J495" s="2" t="s">
        <v>19</v>
      </c>
      <c r="K495" s="2" t="s">
        <v>353</v>
      </c>
      <c r="L495" s="7" t="str">
        <f>HYPERLINK("http://slimages.macys.com/is/image/MCY/12331068 ")</f>
        <v xml:space="preserve">http://slimages.macys.com/is/image/MCY/12331068 </v>
      </c>
    </row>
    <row r="496" spans="1:12" ht="24.75" x14ac:dyDescent="0.25">
      <c r="A496" s="4" t="s">
        <v>3906</v>
      </c>
      <c r="B496" s="2" t="s">
        <v>1402</v>
      </c>
      <c r="C496" s="3">
        <v>1</v>
      </c>
      <c r="D496" s="5">
        <v>37.130000000000003</v>
      </c>
      <c r="E496" s="3" t="s">
        <v>1403</v>
      </c>
      <c r="F496" s="2" t="s">
        <v>376</v>
      </c>
      <c r="G496" s="6" t="s">
        <v>126</v>
      </c>
      <c r="H496" s="2" t="s">
        <v>312</v>
      </c>
      <c r="I496" s="2" t="s">
        <v>195</v>
      </c>
      <c r="J496" s="2" t="s">
        <v>19</v>
      </c>
      <c r="K496" s="2" t="s">
        <v>353</v>
      </c>
      <c r="L496" s="7" t="str">
        <f>HYPERLINK("http://slimages.macys.com/is/image/MCY/11934909 ")</f>
        <v xml:space="preserve">http://slimages.macys.com/is/image/MCY/11934909 </v>
      </c>
    </row>
    <row r="497" spans="1:12" ht="24.75" x14ac:dyDescent="0.25">
      <c r="A497" s="4" t="s">
        <v>4979</v>
      </c>
      <c r="B497" s="2" t="s">
        <v>1405</v>
      </c>
      <c r="C497" s="3">
        <v>2</v>
      </c>
      <c r="D497" s="5">
        <v>34.880000000000003</v>
      </c>
      <c r="E497" s="3">
        <v>100042372</v>
      </c>
      <c r="F497" s="2" t="s">
        <v>94</v>
      </c>
      <c r="G497" s="6" t="s">
        <v>106</v>
      </c>
      <c r="H497" s="2" t="s">
        <v>194</v>
      </c>
      <c r="I497" s="2" t="s">
        <v>195</v>
      </c>
      <c r="J497" s="2" t="s">
        <v>19</v>
      </c>
      <c r="K497" s="2" t="s">
        <v>353</v>
      </c>
      <c r="L497" s="7" t="str">
        <f t="shared" ref="L497:L502" si="3">HYPERLINK("http://slimages.macys.com/is/image/MCY/11935225 ")</f>
        <v xml:space="preserve">http://slimages.macys.com/is/image/MCY/11935225 </v>
      </c>
    </row>
    <row r="498" spans="1:12" ht="24.75" x14ac:dyDescent="0.25">
      <c r="A498" s="4" t="s">
        <v>2723</v>
      </c>
      <c r="B498" s="2" t="s">
        <v>1405</v>
      </c>
      <c r="C498" s="3">
        <v>2</v>
      </c>
      <c r="D498" s="5">
        <v>34.880000000000003</v>
      </c>
      <c r="E498" s="3">
        <v>100042372</v>
      </c>
      <c r="F498" s="2" t="s">
        <v>676</v>
      </c>
      <c r="G498" s="6" t="s">
        <v>22</v>
      </c>
      <c r="H498" s="2" t="s">
        <v>194</v>
      </c>
      <c r="I498" s="2" t="s">
        <v>195</v>
      </c>
      <c r="J498" s="2" t="s">
        <v>19</v>
      </c>
      <c r="K498" s="2" t="s">
        <v>353</v>
      </c>
      <c r="L498" s="7" t="str">
        <f t="shared" si="3"/>
        <v xml:space="preserve">http://slimages.macys.com/is/image/MCY/11935225 </v>
      </c>
    </row>
    <row r="499" spans="1:12" ht="24.75" x14ac:dyDescent="0.25">
      <c r="A499" s="4" t="s">
        <v>2722</v>
      </c>
      <c r="B499" s="2" t="s">
        <v>1405</v>
      </c>
      <c r="C499" s="3">
        <v>2</v>
      </c>
      <c r="D499" s="5">
        <v>34.880000000000003</v>
      </c>
      <c r="E499" s="3">
        <v>100042372</v>
      </c>
      <c r="F499" s="2" t="s">
        <v>676</v>
      </c>
      <c r="G499" s="6" t="s">
        <v>58</v>
      </c>
      <c r="H499" s="2" t="s">
        <v>194</v>
      </c>
      <c r="I499" s="2" t="s">
        <v>195</v>
      </c>
      <c r="J499" s="2" t="s">
        <v>19</v>
      </c>
      <c r="K499" s="2" t="s">
        <v>353</v>
      </c>
      <c r="L499" s="7" t="str">
        <f t="shared" si="3"/>
        <v xml:space="preserve">http://slimages.macys.com/is/image/MCY/11935225 </v>
      </c>
    </row>
    <row r="500" spans="1:12" ht="24.75" x14ac:dyDescent="0.25">
      <c r="A500" s="4" t="s">
        <v>2724</v>
      </c>
      <c r="B500" s="2" t="s">
        <v>1405</v>
      </c>
      <c r="C500" s="3">
        <v>1</v>
      </c>
      <c r="D500" s="5">
        <v>34.880000000000003</v>
      </c>
      <c r="E500" s="3">
        <v>100042372</v>
      </c>
      <c r="F500" s="2" t="s">
        <v>94</v>
      </c>
      <c r="G500" s="6" t="s">
        <v>22</v>
      </c>
      <c r="H500" s="2" t="s">
        <v>194</v>
      </c>
      <c r="I500" s="2" t="s">
        <v>195</v>
      </c>
      <c r="J500" s="2" t="s">
        <v>19</v>
      </c>
      <c r="K500" s="2" t="s">
        <v>353</v>
      </c>
      <c r="L500" s="7" t="str">
        <f t="shared" si="3"/>
        <v xml:space="preserve">http://slimages.macys.com/is/image/MCY/11935225 </v>
      </c>
    </row>
    <row r="501" spans="1:12" ht="24.75" x14ac:dyDescent="0.25">
      <c r="A501" s="4" t="s">
        <v>4976</v>
      </c>
      <c r="B501" s="2" t="s">
        <v>1405</v>
      </c>
      <c r="C501" s="3">
        <v>1</v>
      </c>
      <c r="D501" s="5">
        <v>34.880000000000003</v>
      </c>
      <c r="E501" s="3">
        <v>100042372</v>
      </c>
      <c r="F501" s="2" t="s">
        <v>676</v>
      </c>
      <c r="G501" s="6" t="s">
        <v>112</v>
      </c>
      <c r="H501" s="2" t="s">
        <v>194</v>
      </c>
      <c r="I501" s="2" t="s">
        <v>195</v>
      </c>
      <c r="J501" s="2" t="s">
        <v>19</v>
      </c>
      <c r="K501" s="2" t="s">
        <v>353</v>
      </c>
      <c r="L501" s="7" t="str">
        <f t="shared" si="3"/>
        <v xml:space="preserve">http://slimages.macys.com/is/image/MCY/11935225 </v>
      </c>
    </row>
    <row r="502" spans="1:12" ht="24.75" x14ac:dyDescent="0.25">
      <c r="A502" s="4" t="s">
        <v>2725</v>
      </c>
      <c r="B502" s="2" t="s">
        <v>1405</v>
      </c>
      <c r="C502" s="3">
        <v>1</v>
      </c>
      <c r="D502" s="5">
        <v>34.880000000000003</v>
      </c>
      <c r="E502" s="3">
        <v>100042372</v>
      </c>
      <c r="F502" s="2" t="s">
        <v>676</v>
      </c>
      <c r="G502" s="6" t="s">
        <v>16</v>
      </c>
      <c r="H502" s="2" t="s">
        <v>194</v>
      </c>
      <c r="I502" s="2" t="s">
        <v>195</v>
      </c>
      <c r="J502" s="2" t="s">
        <v>19</v>
      </c>
      <c r="K502" s="2" t="s">
        <v>353</v>
      </c>
      <c r="L502" s="7" t="str">
        <f t="shared" si="3"/>
        <v xml:space="preserve">http://slimages.macys.com/is/image/MCY/11935225 </v>
      </c>
    </row>
    <row r="503" spans="1:12" ht="24.75" x14ac:dyDescent="0.25">
      <c r="A503" s="4" t="s">
        <v>9629</v>
      </c>
      <c r="B503" s="2" t="s">
        <v>5911</v>
      </c>
      <c r="C503" s="3">
        <v>1</v>
      </c>
      <c r="D503" s="5">
        <v>49.5</v>
      </c>
      <c r="E503" s="3" t="s">
        <v>5912</v>
      </c>
      <c r="F503" s="2" t="s">
        <v>15</v>
      </c>
      <c r="G503" s="6" t="s">
        <v>336</v>
      </c>
      <c r="H503" s="2" t="s">
        <v>206</v>
      </c>
      <c r="I503" s="2" t="s">
        <v>1010</v>
      </c>
      <c r="J503" s="2" t="s">
        <v>19</v>
      </c>
      <c r="K503" s="2" t="s">
        <v>409</v>
      </c>
      <c r="L503" s="7" t="str">
        <f>HYPERLINK("http://slimages.macys.com/is/image/MCY/16635004 ")</f>
        <v xml:space="preserve">http://slimages.macys.com/is/image/MCY/16635004 </v>
      </c>
    </row>
    <row r="504" spans="1:12" ht="24.75" x14ac:dyDescent="0.25">
      <c r="A504" s="4" t="s">
        <v>7504</v>
      </c>
      <c r="B504" s="2" t="s">
        <v>1444</v>
      </c>
      <c r="C504" s="3">
        <v>1</v>
      </c>
      <c r="D504" s="5">
        <v>34.880000000000003</v>
      </c>
      <c r="E504" s="3">
        <v>100042376</v>
      </c>
      <c r="F504" s="2" t="s">
        <v>64</v>
      </c>
      <c r="G504" s="6" t="s">
        <v>58</v>
      </c>
      <c r="H504" s="2" t="s">
        <v>194</v>
      </c>
      <c r="I504" s="2" t="s">
        <v>195</v>
      </c>
      <c r="J504" s="2" t="s">
        <v>19</v>
      </c>
      <c r="K504" s="2" t="s">
        <v>353</v>
      </c>
      <c r="L504" s="7" t="str">
        <f>HYPERLINK("http://slimages.macys.com/is/image/MCY/11764758 ")</f>
        <v xml:space="preserve">http://slimages.macys.com/is/image/MCY/11764758 </v>
      </c>
    </row>
    <row r="505" spans="1:12" ht="24.75" x14ac:dyDescent="0.25">
      <c r="A505" s="4" t="s">
        <v>6675</v>
      </c>
      <c r="B505" s="2" t="s">
        <v>1444</v>
      </c>
      <c r="C505" s="3">
        <v>1</v>
      </c>
      <c r="D505" s="5">
        <v>34.880000000000003</v>
      </c>
      <c r="E505" s="3">
        <v>100042376</v>
      </c>
      <c r="F505" s="2" t="s">
        <v>136</v>
      </c>
      <c r="G505" s="6" t="s">
        <v>112</v>
      </c>
      <c r="H505" s="2" t="s">
        <v>194</v>
      </c>
      <c r="I505" s="2" t="s">
        <v>195</v>
      </c>
      <c r="J505" s="2" t="s">
        <v>19</v>
      </c>
      <c r="K505" s="2" t="s">
        <v>353</v>
      </c>
      <c r="L505" s="7" t="str">
        <f>HYPERLINK("http://slimages.macys.com/is/image/MCY/11764758 ")</f>
        <v xml:space="preserve">http://slimages.macys.com/is/image/MCY/11764758 </v>
      </c>
    </row>
    <row r="506" spans="1:12" ht="24.75" x14ac:dyDescent="0.25">
      <c r="A506" s="4" t="s">
        <v>8209</v>
      </c>
      <c r="B506" s="2" t="s">
        <v>1413</v>
      </c>
      <c r="C506" s="3">
        <v>1</v>
      </c>
      <c r="D506" s="5">
        <v>29.5</v>
      </c>
      <c r="E506" s="3" t="s">
        <v>1414</v>
      </c>
      <c r="F506" s="2" t="s">
        <v>79</v>
      </c>
      <c r="G506" s="6" t="s">
        <v>181</v>
      </c>
      <c r="H506" s="2" t="s">
        <v>194</v>
      </c>
      <c r="I506" s="2" t="s">
        <v>195</v>
      </c>
      <c r="J506" s="2" t="s">
        <v>19</v>
      </c>
      <c r="K506" s="2" t="s">
        <v>247</v>
      </c>
      <c r="L506" s="7" t="str">
        <f>HYPERLINK("http://slimages.macys.com/is/image/MCY/12063860 ")</f>
        <v xml:space="preserve">http://slimages.macys.com/is/image/MCY/12063860 </v>
      </c>
    </row>
    <row r="507" spans="1:12" ht="24.75" x14ac:dyDescent="0.25">
      <c r="A507" s="4" t="s">
        <v>9630</v>
      </c>
      <c r="B507" s="2" t="s">
        <v>1416</v>
      </c>
      <c r="C507" s="3">
        <v>1</v>
      </c>
      <c r="D507" s="5">
        <v>21.99</v>
      </c>
      <c r="E507" s="3" t="s">
        <v>4990</v>
      </c>
      <c r="F507" s="2" t="s">
        <v>506</v>
      </c>
      <c r="G507" s="6" t="s">
        <v>126</v>
      </c>
      <c r="H507" s="2" t="s">
        <v>312</v>
      </c>
      <c r="I507" s="2" t="s">
        <v>195</v>
      </c>
      <c r="J507" s="2" t="s">
        <v>19</v>
      </c>
      <c r="K507" s="2" t="s">
        <v>353</v>
      </c>
      <c r="L507" s="7" t="str">
        <f>HYPERLINK("http://slimages.macys.com/is/image/MCY/16058397 ")</f>
        <v xml:space="preserve">http://slimages.macys.com/is/image/MCY/16058397 </v>
      </c>
    </row>
    <row r="508" spans="1:12" ht="24.75" x14ac:dyDescent="0.25">
      <c r="A508" s="4" t="s">
        <v>9631</v>
      </c>
      <c r="B508" s="2" t="s">
        <v>1416</v>
      </c>
      <c r="C508" s="3">
        <v>1</v>
      </c>
      <c r="D508" s="5">
        <v>21.99</v>
      </c>
      <c r="E508" s="3" t="s">
        <v>1417</v>
      </c>
      <c r="F508" s="2" t="s">
        <v>1234</v>
      </c>
      <c r="G508" s="6" t="s">
        <v>802</v>
      </c>
      <c r="H508" s="2" t="s">
        <v>312</v>
      </c>
      <c r="I508" s="2" t="s">
        <v>195</v>
      </c>
      <c r="J508" s="2" t="s">
        <v>19</v>
      </c>
      <c r="K508" s="2" t="s">
        <v>353</v>
      </c>
      <c r="L508" s="7" t="str">
        <f>HYPERLINK("http://slimages.macys.com/is/image/MCY/16058397 ")</f>
        <v xml:space="preserve">http://slimages.macys.com/is/image/MCY/16058397 </v>
      </c>
    </row>
    <row r="509" spans="1:12" ht="24.75" x14ac:dyDescent="0.25">
      <c r="A509" s="4" t="s">
        <v>9108</v>
      </c>
      <c r="B509" s="2" t="s">
        <v>1416</v>
      </c>
      <c r="C509" s="3">
        <v>1</v>
      </c>
      <c r="D509" s="5">
        <v>21.99</v>
      </c>
      <c r="E509" s="3" t="s">
        <v>1417</v>
      </c>
      <c r="F509" s="2" t="s">
        <v>1234</v>
      </c>
      <c r="G509" s="6" t="s">
        <v>126</v>
      </c>
      <c r="H509" s="2" t="s">
        <v>312</v>
      </c>
      <c r="I509" s="2" t="s">
        <v>195</v>
      </c>
      <c r="J509" s="2" t="s">
        <v>19</v>
      </c>
      <c r="K509" s="2" t="s">
        <v>353</v>
      </c>
      <c r="L509" s="7" t="str">
        <f>HYPERLINK("http://slimages.macys.com/is/image/MCY/16058397 ")</f>
        <v xml:space="preserve">http://slimages.macys.com/is/image/MCY/16058397 </v>
      </c>
    </row>
    <row r="510" spans="1:12" ht="24.75" x14ac:dyDescent="0.25">
      <c r="A510" s="4" t="s">
        <v>9632</v>
      </c>
      <c r="B510" s="2" t="s">
        <v>1356</v>
      </c>
      <c r="C510" s="3">
        <v>1</v>
      </c>
      <c r="D510" s="5">
        <v>29.99</v>
      </c>
      <c r="E510" s="3">
        <v>100045815</v>
      </c>
      <c r="F510" s="2" t="s">
        <v>74</v>
      </c>
      <c r="G510" s="6" t="s">
        <v>65</v>
      </c>
      <c r="H510" s="2" t="s">
        <v>228</v>
      </c>
      <c r="I510" s="2" t="s">
        <v>229</v>
      </c>
      <c r="J510" s="2" t="s">
        <v>19</v>
      </c>
      <c r="K510" s="2" t="s">
        <v>353</v>
      </c>
      <c r="L510" s="7" t="str">
        <f>HYPERLINK("http://slimages.macys.com/is/image/MCY/11936020 ")</f>
        <v xml:space="preserve">http://slimages.macys.com/is/image/MCY/11936020 </v>
      </c>
    </row>
    <row r="511" spans="1:12" ht="24.75" x14ac:dyDescent="0.25">
      <c r="A511" s="4" t="s">
        <v>9633</v>
      </c>
      <c r="B511" s="2" t="s">
        <v>2734</v>
      </c>
      <c r="C511" s="3">
        <v>1</v>
      </c>
      <c r="D511" s="5">
        <v>29.63</v>
      </c>
      <c r="E511" s="3" t="s">
        <v>2735</v>
      </c>
      <c r="F511" s="2" t="s">
        <v>252</v>
      </c>
      <c r="G511" s="6" t="s">
        <v>245</v>
      </c>
      <c r="H511" s="2" t="s">
        <v>194</v>
      </c>
      <c r="I511" s="2" t="s">
        <v>195</v>
      </c>
      <c r="J511" s="2" t="s">
        <v>19</v>
      </c>
      <c r="K511" s="2" t="s">
        <v>137</v>
      </c>
      <c r="L511" s="7" t="str">
        <f>HYPERLINK("http://slimages.macys.com/is/image/MCY/12279918 ")</f>
        <v xml:space="preserve">http://slimages.macys.com/is/image/MCY/12279918 </v>
      </c>
    </row>
    <row r="512" spans="1:12" ht="24.75" x14ac:dyDescent="0.25">
      <c r="A512" s="4" t="s">
        <v>9634</v>
      </c>
      <c r="B512" s="2" t="s">
        <v>9635</v>
      </c>
      <c r="C512" s="3">
        <v>1</v>
      </c>
      <c r="D512" s="5">
        <v>24.99</v>
      </c>
      <c r="E512" s="3" t="s">
        <v>9636</v>
      </c>
      <c r="F512" s="2" t="s">
        <v>820</v>
      </c>
      <c r="G512" s="6" t="s">
        <v>219</v>
      </c>
      <c r="H512" s="2" t="s">
        <v>1425</v>
      </c>
      <c r="I512" s="2" t="s">
        <v>1426</v>
      </c>
      <c r="J512" s="2" t="s">
        <v>19</v>
      </c>
      <c r="K512" s="2" t="s">
        <v>1431</v>
      </c>
      <c r="L512" s="7" t="str">
        <f>HYPERLINK("http://slimages.macys.com/is/image/MCY/11417735 ")</f>
        <v xml:space="preserve">http://slimages.macys.com/is/image/MCY/11417735 </v>
      </c>
    </row>
    <row r="513" spans="1:12" ht="24.75" x14ac:dyDescent="0.25">
      <c r="A513" s="4" t="s">
        <v>9637</v>
      </c>
      <c r="B513" s="2" t="s">
        <v>9635</v>
      </c>
      <c r="C513" s="3">
        <v>1</v>
      </c>
      <c r="D513" s="5">
        <v>24.99</v>
      </c>
      <c r="E513" s="3" t="s">
        <v>9636</v>
      </c>
      <c r="F513" s="2" t="s">
        <v>820</v>
      </c>
      <c r="G513" s="6"/>
      <c r="H513" s="2" t="s">
        <v>1425</v>
      </c>
      <c r="I513" s="2" t="s">
        <v>1426</v>
      </c>
      <c r="J513" s="2" t="s">
        <v>19</v>
      </c>
      <c r="K513" s="2" t="s">
        <v>1431</v>
      </c>
      <c r="L513" s="7" t="str">
        <f>HYPERLINK("http://slimages.macys.com/is/image/MCY/11417735 ")</f>
        <v xml:space="preserve">http://slimages.macys.com/is/image/MCY/11417735 </v>
      </c>
    </row>
    <row r="514" spans="1:12" ht="24.75" x14ac:dyDescent="0.25">
      <c r="A514" s="4" t="s">
        <v>9638</v>
      </c>
      <c r="B514" s="2" t="s">
        <v>9635</v>
      </c>
      <c r="C514" s="3">
        <v>1</v>
      </c>
      <c r="D514" s="5">
        <v>24.99</v>
      </c>
      <c r="E514" s="3" t="s">
        <v>9636</v>
      </c>
      <c r="F514" s="2" t="s">
        <v>820</v>
      </c>
      <c r="G514" s="6"/>
      <c r="H514" s="2" t="s">
        <v>1425</v>
      </c>
      <c r="I514" s="2" t="s">
        <v>1426</v>
      </c>
      <c r="J514" s="2" t="s">
        <v>19</v>
      </c>
      <c r="K514" s="2" t="s">
        <v>1431</v>
      </c>
      <c r="L514" s="7" t="str">
        <f>HYPERLINK("http://slimages.macys.com/is/image/MCY/11417735 ")</f>
        <v xml:space="preserve">http://slimages.macys.com/is/image/MCY/11417735 </v>
      </c>
    </row>
    <row r="515" spans="1:12" ht="24.75" x14ac:dyDescent="0.25">
      <c r="A515" s="4" t="s">
        <v>9639</v>
      </c>
      <c r="B515" s="2" t="s">
        <v>9114</v>
      </c>
      <c r="C515" s="3">
        <v>1</v>
      </c>
      <c r="D515" s="5">
        <v>24.99</v>
      </c>
      <c r="E515" s="3" t="s">
        <v>9115</v>
      </c>
      <c r="F515" s="2" t="s">
        <v>7843</v>
      </c>
      <c r="G515" s="6"/>
      <c r="H515" s="2" t="s">
        <v>1425</v>
      </c>
      <c r="I515" s="2" t="s">
        <v>1426</v>
      </c>
      <c r="J515" s="2" t="s">
        <v>19</v>
      </c>
      <c r="K515" s="2" t="s">
        <v>1431</v>
      </c>
      <c r="L515" s="7" t="str">
        <f>HYPERLINK("http://slimages.macys.com/is/image/MCY/10746523 ")</f>
        <v xml:space="preserve">http://slimages.macys.com/is/image/MCY/10746523 </v>
      </c>
    </row>
    <row r="516" spans="1:12" ht="48.75" x14ac:dyDescent="0.25">
      <c r="A516" s="4" t="s">
        <v>9640</v>
      </c>
      <c r="B516" s="2" t="s">
        <v>9641</v>
      </c>
      <c r="C516" s="3">
        <v>1</v>
      </c>
      <c r="D516" s="5">
        <v>21.99</v>
      </c>
      <c r="E516" s="3" t="s">
        <v>9642</v>
      </c>
      <c r="F516" s="2" t="s">
        <v>417</v>
      </c>
      <c r="G516" s="6" t="s">
        <v>156</v>
      </c>
      <c r="H516" s="2" t="s">
        <v>194</v>
      </c>
      <c r="I516" s="2" t="s">
        <v>503</v>
      </c>
      <c r="J516" s="2" t="s">
        <v>19</v>
      </c>
      <c r="K516" s="2" t="s">
        <v>4065</v>
      </c>
      <c r="L516" s="7" t="str">
        <f>HYPERLINK("http://slimages.macys.com/is/image/MCY/2972094 ")</f>
        <v xml:space="preserve">http://slimages.macys.com/is/image/MCY/2972094 </v>
      </c>
    </row>
    <row r="517" spans="1:12" ht="24.75" x14ac:dyDescent="0.25">
      <c r="A517" s="4" t="s">
        <v>5920</v>
      </c>
      <c r="B517" s="2" t="s">
        <v>1444</v>
      </c>
      <c r="C517" s="3">
        <v>1</v>
      </c>
      <c r="D517" s="5">
        <v>34.880000000000003</v>
      </c>
      <c r="E517" s="3">
        <v>100042376</v>
      </c>
      <c r="F517" s="2" t="s">
        <v>506</v>
      </c>
      <c r="G517" s="6" t="s">
        <v>16</v>
      </c>
      <c r="H517" s="2" t="s">
        <v>194</v>
      </c>
      <c r="I517" s="2" t="s">
        <v>195</v>
      </c>
      <c r="J517" s="2" t="s">
        <v>19</v>
      </c>
      <c r="K517" s="2" t="s">
        <v>353</v>
      </c>
      <c r="L517" s="7" t="str">
        <f>HYPERLINK("http://slimages.macys.com/is/image/MCY/11764758 ")</f>
        <v xml:space="preserve">http://slimages.macys.com/is/image/MCY/11764758 </v>
      </c>
    </row>
    <row r="518" spans="1:12" ht="24.75" x14ac:dyDescent="0.25">
      <c r="A518" s="4" t="s">
        <v>8216</v>
      </c>
      <c r="B518" s="2" t="s">
        <v>1444</v>
      </c>
      <c r="C518" s="3">
        <v>1</v>
      </c>
      <c r="D518" s="5">
        <v>34.880000000000003</v>
      </c>
      <c r="E518" s="3">
        <v>100042376</v>
      </c>
      <c r="F518" s="2" t="s">
        <v>506</v>
      </c>
      <c r="G518" s="6" t="s">
        <v>65</v>
      </c>
      <c r="H518" s="2" t="s">
        <v>194</v>
      </c>
      <c r="I518" s="2" t="s">
        <v>195</v>
      </c>
      <c r="J518" s="2" t="s">
        <v>19</v>
      </c>
      <c r="K518" s="2" t="s">
        <v>353</v>
      </c>
      <c r="L518" s="7" t="str">
        <f>HYPERLINK("http://slimages.macys.com/is/image/MCY/11764758 ")</f>
        <v xml:space="preserve">http://slimages.macys.com/is/image/MCY/11764758 </v>
      </c>
    </row>
    <row r="519" spans="1:12" ht="24.75" x14ac:dyDescent="0.25">
      <c r="A519" s="4" t="s">
        <v>1443</v>
      </c>
      <c r="B519" s="2" t="s">
        <v>1444</v>
      </c>
      <c r="C519" s="3">
        <v>1</v>
      </c>
      <c r="D519" s="5">
        <v>34.880000000000003</v>
      </c>
      <c r="E519" s="3">
        <v>100042376</v>
      </c>
      <c r="F519" s="2" t="s">
        <v>257</v>
      </c>
      <c r="G519" s="6" t="s">
        <v>106</v>
      </c>
      <c r="H519" s="2" t="s">
        <v>194</v>
      </c>
      <c r="I519" s="2" t="s">
        <v>195</v>
      </c>
      <c r="J519" s="2" t="s">
        <v>19</v>
      </c>
      <c r="K519" s="2" t="s">
        <v>353</v>
      </c>
      <c r="L519" s="7" t="str">
        <f>HYPERLINK("http://slimages.macys.com/is/image/MCY/11764758 ")</f>
        <v xml:space="preserve">http://slimages.macys.com/is/image/MCY/11764758 </v>
      </c>
    </row>
    <row r="520" spans="1:12" ht="24.75" x14ac:dyDescent="0.25">
      <c r="A520" s="4" t="s">
        <v>9643</v>
      </c>
      <c r="B520" s="2" t="s">
        <v>1444</v>
      </c>
      <c r="C520" s="3">
        <v>1</v>
      </c>
      <c r="D520" s="5">
        <v>34.880000000000003</v>
      </c>
      <c r="E520" s="3">
        <v>100042376</v>
      </c>
      <c r="F520" s="2" t="s">
        <v>566</v>
      </c>
      <c r="G520" s="6" t="s">
        <v>65</v>
      </c>
      <c r="H520" s="2" t="s">
        <v>194</v>
      </c>
      <c r="I520" s="2" t="s">
        <v>195</v>
      </c>
      <c r="J520" s="2" t="s">
        <v>19</v>
      </c>
      <c r="K520" s="2" t="s">
        <v>353</v>
      </c>
      <c r="L520" s="7" t="str">
        <f>HYPERLINK("http://slimages.macys.com/is/image/MCY/11764758 ")</f>
        <v xml:space="preserve">http://slimages.macys.com/is/image/MCY/11764758 </v>
      </c>
    </row>
    <row r="521" spans="1:12" ht="24.75" x14ac:dyDescent="0.25">
      <c r="A521" s="4" t="s">
        <v>9644</v>
      </c>
      <c r="B521" s="2" t="s">
        <v>1444</v>
      </c>
      <c r="C521" s="3">
        <v>1</v>
      </c>
      <c r="D521" s="5">
        <v>34.880000000000003</v>
      </c>
      <c r="E521" s="3">
        <v>100042376</v>
      </c>
      <c r="F521" s="2" t="s">
        <v>57</v>
      </c>
      <c r="G521" s="6" t="s">
        <v>141</v>
      </c>
      <c r="H521" s="2" t="s">
        <v>194</v>
      </c>
      <c r="I521" s="2" t="s">
        <v>195</v>
      </c>
      <c r="J521" s="2" t="s">
        <v>19</v>
      </c>
      <c r="K521" s="2" t="s">
        <v>353</v>
      </c>
      <c r="L521" s="7" t="str">
        <f>HYPERLINK("http://slimages.macys.com/is/image/MCY/11764758 ")</f>
        <v xml:space="preserve">http://slimages.macys.com/is/image/MCY/11764758 </v>
      </c>
    </row>
    <row r="522" spans="1:12" ht="24.75" x14ac:dyDescent="0.25">
      <c r="A522" s="4" t="s">
        <v>1450</v>
      </c>
      <c r="B522" s="2" t="s">
        <v>1416</v>
      </c>
      <c r="C522" s="3">
        <v>1</v>
      </c>
      <c r="D522" s="5">
        <v>21.99</v>
      </c>
      <c r="E522" s="3" t="s">
        <v>1451</v>
      </c>
      <c r="F522" s="2" t="s">
        <v>79</v>
      </c>
      <c r="G522" s="6" t="s">
        <v>27</v>
      </c>
      <c r="H522" s="2" t="s">
        <v>194</v>
      </c>
      <c r="I522" s="2" t="s">
        <v>195</v>
      </c>
      <c r="J522" s="2" t="s">
        <v>19</v>
      </c>
      <c r="K522" s="2" t="s">
        <v>353</v>
      </c>
      <c r="L522" s="7" t="str">
        <f>HYPERLINK("http://slimages.macys.com/is/image/MCY/12033149 ")</f>
        <v xml:space="preserve">http://slimages.macys.com/is/image/MCY/12033149 </v>
      </c>
    </row>
    <row r="523" spans="1:12" ht="24.75" x14ac:dyDescent="0.25">
      <c r="A523" s="4" t="s">
        <v>3920</v>
      </c>
      <c r="B523" s="2" t="s">
        <v>1416</v>
      </c>
      <c r="C523" s="3">
        <v>1</v>
      </c>
      <c r="D523" s="5">
        <v>21.99</v>
      </c>
      <c r="E523" s="3" t="s">
        <v>1451</v>
      </c>
      <c r="F523" s="2" t="s">
        <v>79</v>
      </c>
      <c r="G523" s="6" t="s">
        <v>16</v>
      </c>
      <c r="H523" s="2" t="s">
        <v>194</v>
      </c>
      <c r="I523" s="2" t="s">
        <v>195</v>
      </c>
      <c r="J523" s="2" t="s">
        <v>19</v>
      </c>
      <c r="K523" s="2" t="s">
        <v>353</v>
      </c>
      <c r="L523" s="7" t="str">
        <f>HYPERLINK("http://slimages.macys.com/is/image/MCY/12033149 ")</f>
        <v xml:space="preserve">http://slimages.macys.com/is/image/MCY/12033149 </v>
      </c>
    </row>
    <row r="524" spans="1:12" ht="24.75" x14ac:dyDescent="0.25">
      <c r="A524" s="4" t="s">
        <v>9645</v>
      </c>
      <c r="B524" s="2" t="s">
        <v>9646</v>
      </c>
      <c r="C524" s="3">
        <v>1</v>
      </c>
      <c r="D524" s="5">
        <v>24.99</v>
      </c>
      <c r="E524" s="3" t="s">
        <v>9647</v>
      </c>
      <c r="F524" s="2" t="s">
        <v>15</v>
      </c>
      <c r="G524" s="6" t="s">
        <v>154</v>
      </c>
      <c r="H524" s="2" t="s">
        <v>1473</v>
      </c>
      <c r="I524" s="2" t="s">
        <v>1426</v>
      </c>
      <c r="J524" s="2" t="s">
        <v>19</v>
      </c>
      <c r="K524" s="2" t="s">
        <v>409</v>
      </c>
      <c r="L524" s="7" t="str">
        <f>HYPERLINK("http://slimages.macys.com/is/image/MCY/11515235 ")</f>
        <v xml:space="preserve">http://slimages.macys.com/is/image/MCY/11515235 </v>
      </c>
    </row>
    <row r="525" spans="1:12" ht="24.75" x14ac:dyDescent="0.25">
      <c r="A525" s="4" t="s">
        <v>9648</v>
      </c>
      <c r="B525" s="2" t="s">
        <v>1008</v>
      </c>
      <c r="C525" s="3">
        <v>1</v>
      </c>
      <c r="D525" s="5">
        <v>49.5</v>
      </c>
      <c r="E525" s="3" t="s">
        <v>1009</v>
      </c>
      <c r="F525" s="2" t="s">
        <v>680</v>
      </c>
      <c r="G525" s="6" t="s">
        <v>3715</v>
      </c>
      <c r="H525" s="2" t="s">
        <v>206</v>
      </c>
      <c r="I525" s="2" t="s">
        <v>1010</v>
      </c>
      <c r="J525" s="2" t="s">
        <v>19</v>
      </c>
      <c r="K525" s="2" t="s">
        <v>409</v>
      </c>
      <c r="L525" s="7" t="str">
        <f>HYPERLINK("http://slimages.macys.com/is/image/MCY/9044823 ")</f>
        <v xml:space="preserve">http://slimages.macys.com/is/image/MCY/9044823 </v>
      </c>
    </row>
    <row r="526" spans="1:12" ht="24.75" x14ac:dyDescent="0.25">
      <c r="A526" s="4" t="s">
        <v>4996</v>
      </c>
      <c r="B526" s="2" t="s">
        <v>1482</v>
      </c>
      <c r="C526" s="3">
        <v>1</v>
      </c>
      <c r="D526" s="5">
        <v>29.63</v>
      </c>
      <c r="E526" s="3" t="s">
        <v>4997</v>
      </c>
      <c r="F526" s="2" t="s">
        <v>252</v>
      </c>
      <c r="G526" s="6" t="s">
        <v>234</v>
      </c>
      <c r="H526" s="2" t="s">
        <v>194</v>
      </c>
      <c r="I526" s="2" t="s">
        <v>195</v>
      </c>
      <c r="J526" s="2" t="s">
        <v>19</v>
      </c>
      <c r="K526" s="2" t="s">
        <v>1082</v>
      </c>
      <c r="L526" s="7" t="str">
        <f>HYPERLINK("http://slimages.macys.com/is/image/MCY/12734370 ")</f>
        <v xml:space="preserve">http://slimages.macys.com/is/image/MCY/12734370 </v>
      </c>
    </row>
    <row r="527" spans="1:12" ht="24.75" x14ac:dyDescent="0.25">
      <c r="A527" s="4" t="s">
        <v>9649</v>
      </c>
      <c r="B527" s="2" t="s">
        <v>1465</v>
      </c>
      <c r="C527" s="3">
        <v>1</v>
      </c>
      <c r="D527" s="5">
        <v>34.880000000000003</v>
      </c>
      <c r="E527" s="3">
        <v>100054394</v>
      </c>
      <c r="F527" s="2" t="s">
        <v>566</v>
      </c>
      <c r="G527" s="6" t="s">
        <v>27</v>
      </c>
      <c r="H527" s="2" t="s">
        <v>194</v>
      </c>
      <c r="I527" s="2" t="s">
        <v>195</v>
      </c>
      <c r="J527" s="2" t="s">
        <v>19</v>
      </c>
      <c r="K527" s="2" t="s">
        <v>353</v>
      </c>
      <c r="L527" s="7" t="str">
        <f>HYPERLINK("http://slimages.macys.com/is/image/MCY/12404668 ")</f>
        <v xml:space="preserve">http://slimages.macys.com/is/image/MCY/12404668 </v>
      </c>
    </row>
    <row r="528" spans="1:12" ht="24.75" x14ac:dyDescent="0.25">
      <c r="A528" s="4" t="s">
        <v>8229</v>
      </c>
      <c r="B528" s="2" t="s">
        <v>1465</v>
      </c>
      <c r="C528" s="3">
        <v>1</v>
      </c>
      <c r="D528" s="5">
        <v>34.880000000000003</v>
      </c>
      <c r="E528" s="3">
        <v>100054394</v>
      </c>
      <c r="F528" s="2" t="s">
        <v>506</v>
      </c>
      <c r="G528" s="6" t="s">
        <v>16</v>
      </c>
      <c r="H528" s="2" t="s">
        <v>194</v>
      </c>
      <c r="I528" s="2" t="s">
        <v>195</v>
      </c>
      <c r="J528" s="2" t="s">
        <v>19</v>
      </c>
      <c r="K528" s="2" t="s">
        <v>353</v>
      </c>
      <c r="L528" s="7" t="str">
        <f>HYPERLINK("http://slimages.macys.com/is/image/MCY/12404668 ")</f>
        <v xml:space="preserve">http://slimages.macys.com/is/image/MCY/12404668 </v>
      </c>
    </row>
    <row r="529" spans="1:12" ht="24.75" x14ac:dyDescent="0.25">
      <c r="A529" s="4" t="s">
        <v>8228</v>
      </c>
      <c r="B529" s="2" t="s">
        <v>1465</v>
      </c>
      <c r="C529" s="3">
        <v>2</v>
      </c>
      <c r="D529" s="5">
        <v>34.880000000000003</v>
      </c>
      <c r="E529" s="3">
        <v>100054394</v>
      </c>
      <c r="F529" s="2" t="s">
        <v>566</v>
      </c>
      <c r="G529" s="6" t="s">
        <v>16</v>
      </c>
      <c r="H529" s="2" t="s">
        <v>194</v>
      </c>
      <c r="I529" s="2" t="s">
        <v>195</v>
      </c>
      <c r="J529" s="2" t="s">
        <v>19</v>
      </c>
      <c r="K529" s="2" t="s">
        <v>353</v>
      </c>
      <c r="L529" s="7" t="str">
        <f>HYPERLINK("http://slimages.macys.com/is/image/MCY/12404668 ")</f>
        <v xml:space="preserve">http://slimages.macys.com/is/image/MCY/12404668 </v>
      </c>
    </row>
    <row r="530" spans="1:12" ht="24.75" x14ac:dyDescent="0.25">
      <c r="A530" s="4" t="s">
        <v>4999</v>
      </c>
      <c r="B530" s="2" t="s">
        <v>1465</v>
      </c>
      <c r="C530" s="3">
        <v>1</v>
      </c>
      <c r="D530" s="5">
        <v>34.880000000000003</v>
      </c>
      <c r="E530" s="3">
        <v>100054394</v>
      </c>
      <c r="F530" s="2" t="s">
        <v>74</v>
      </c>
      <c r="G530" s="6" t="s">
        <v>27</v>
      </c>
      <c r="H530" s="2" t="s">
        <v>194</v>
      </c>
      <c r="I530" s="2" t="s">
        <v>195</v>
      </c>
      <c r="J530" s="2" t="s">
        <v>19</v>
      </c>
      <c r="K530" s="2" t="s">
        <v>353</v>
      </c>
      <c r="L530" s="7" t="str">
        <f>HYPERLINK("http://slimages.macys.com/is/image/MCY/12404668 ")</f>
        <v xml:space="preserve">http://slimages.macys.com/is/image/MCY/12404668 </v>
      </c>
    </row>
    <row r="531" spans="1:12" ht="24.75" x14ac:dyDescent="0.25">
      <c r="A531" s="4" t="s">
        <v>2753</v>
      </c>
      <c r="B531" s="2" t="s">
        <v>1465</v>
      </c>
      <c r="C531" s="3">
        <v>1</v>
      </c>
      <c r="D531" s="5">
        <v>34.880000000000003</v>
      </c>
      <c r="E531" s="3">
        <v>100054394</v>
      </c>
      <c r="F531" s="2" t="s">
        <v>566</v>
      </c>
      <c r="G531" s="6" t="s">
        <v>22</v>
      </c>
      <c r="H531" s="2" t="s">
        <v>194</v>
      </c>
      <c r="I531" s="2" t="s">
        <v>195</v>
      </c>
      <c r="J531" s="2" t="s">
        <v>19</v>
      </c>
      <c r="K531" s="2" t="s">
        <v>353</v>
      </c>
      <c r="L531" s="7" t="str">
        <f>HYPERLINK("http://slimages.macys.com/is/image/MCY/12404668 ")</f>
        <v xml:space="preserve">http://slimages.macys.com/is/image/MCY/12404668 </v>
      </c>
    </row>
    <row r="532" spans="1:12" ht="24.75" x14ac:dyDescent="0.25">
      <c r="A532" s="4" t="s">
        <v>7523</v>
      </c>
      <c r="B532" s="2" t="s">
        <v>2763</v>
      </c>
      <c r="C532" s="3">
        <v>1</v>
      </c>
      <c r="D532" s="5">
        <v>24.99</v>
      </c>
      <c r="E532" s="3" t="s">
        <v>2764</v>
      </c>
      <c r="F532" s="2" t="s">
        <v>74</v>
      </c>
      <c r="G532" s="6"/>
      <c r="H532" s="2" t="s">
        <v>1425</v>
      </c>
      <c r="I532" s="2" t="s">
        <v>1469</v>
      </c>
      <c r="J532" s="2" t="s">
        <v>19</v>
      </c>
      <c r="K532" s="2" t="s">
        <v>495</v>
      </c>
      <c r="L532" s="7" t="str">
        <f>HYPERLINK("http://slimages.macys.com/is/image/MCY/12144707 ")</f>
        <v xml:space="preserve">http://slimages.macys.com/is/image/MCY/12144707 </v>
      </c>
    </row>
    <row r="533" spans="1:12" ht="24.75" x14ac:dyDescent="0.25">
      <c r="A533" s="4" t="s">
        <v>7521</v>
      </c>
      <c r="B533" s="2" t="s">
        <v>2759</v>
      </c>
      <c r="C533" s="3">
        <v>1</v>
      </c>
      <c r="D533" s="5">
        <v>24.99</v>
      </c>
      <c r="E533" s="3" t="s">
        <v>2760</v>
      </c>
      <c r="F533" s="2" t="s">
        <v>15</v>
      </c>
      <c r="G533" s="6" t="s">
        <v>187</v>
      </c>
      <c r="H533" s="2" t="s">
        <v>1425</v>
      </c>
      <c r="I533" s="2" t="s">
        <v>1469</v>
      </c>
      <c r="J533" s="2" t="s">
        <v>19</v>
      </c>
      <c r="K533" s="2" t="s">
        <v>495</v>
      </c>
      <c r="L533" s="7" t="str">
        <f>HYPERLINK("http://slimages.macys.com/is/image/MCY/12650081 ")</f>
        <v xml:space="preserve">http://slimages.macys.com/is/image/MCY/12650081 </v>
      </c>
    </row>
    <row r="534" spans="1:12" ht="24.75" x14ac:dyDescent="0.25">
      <c r="A534" s="4" t="s">
        <v>5941</v>
      </c>
      <c r="B534" s="2" t="s">
        <v>1471</v>
      </c>
      <c r="C534" s="3">
        <v>1</v>
      </c>
      <c r="D534" s="5">
        <v>26.99</v>
      </c>
      <c r="E534" s="3" t="s">
        <v>1472</v>
      </c>
      <c r="F534" s="2" t="s">
        <v>15</v>
      </c>
      <c r="G534" s="6" t="s">
        <v>22</v>
      </c>
      <c r="H534" s="2" t="s">
        <v>1473</v>
      </c>
      <c r="I534" s="2" t="s">
        <v>1426</v>
      </c>
      <c r="J534" s="2" t="s">
        <v>19</v>
      </c>
      <c r="K534" s="2" t="s">
        <v>353</v>
      </c>
      <c r="L534" s="7" t="str">
        <f>HYPERLINK("http://slimages.macys.com/is/image/MCY/11989623 ")</f>
        <v xml:space="preserve">http://slimages.macys.com/is/image/MCY/11989623 </v>
      </c>
    </row>
    <row r="535" spans="1:12" ht="24.75" x14ac:dyDescent="0.25">
      <c r="A535" s="4" t="s">
        <v>9650</v>
      </c>
      <c r="B535" s="2" t="s">
        <v>9651</v>
      </c>
      <c r="C535" s="3">
        <v>1</v>
      </c>
      <c r="D535" s="5">
        <v>29.99</v>
      </c>
      <c r="E535" s="3">
        <v>4622446</v>
      </c>
      <c r="F535" s="2" t="s">
        <v>15</v>
      </c>
      <c r="G535" s="6" t="s">
        <v>4401</v>
      </c>
      <c r="H535" s="2" t="s">
        <v>1086</v>
      </c>
      <c r="I535" s="2" t="s">
        <v>1087</v>
      </c>
      <c r="J535" s="2" t="s">
        <v>19</v>
      </c>
      <c r="K535" s="2" t="s">
        <v>353</v>
      </c>
      <c r="L535" s="7" t="str">
        <f>HYPERLINK("http://slimages.macys.com/is/image/MCY/12067976 ")</f>
        <v xml:space="preserve">http://slimages.macys.com/is/image/MCY/12067976 </v>
      </c>
    </row>
    <row r="536" spans="1:12" ht="24.75" x14ac:dyDescent="0.25">
      <c r="A536" s="4" t="s">
        <v>5943</v>
      </c>
      <c r="B536" s="2" t="s">
        <v>1471</v>
      </c>
      <c r="C536" s="3">
        <v>1</v>
      </c>
      <c r="D536" s="5">
        <v>26.99</v>
      </c>
      <c r="E536" s="3" t="s">
        <v>1472</v>
      </c>
      <c r="F536" s="2" t="s">
        <v>15</v>
      </c>
      <c r="G536" s="6" t="s">
        <v>112</v>
      </c>
      <c r="H536" s="2" t="s">
        <v>1473</v>
      </c>
      <c r="I536" s="2" t="s">
        <v>1426</v>
      </c>
      <c r="J536" s="2" t="s">
        <v>19</v>
      </c>
      <c r="K536" s="2" t="s">
        <v>353</v>
      </c>
      <c r="L536" s="7" t="str">
        <f>HYPERLINK("http://slimages.macys.com/is/image/MCY/11989623 ")</f>
        <v xml:space="preserve">http://slimages.macys.com/is/image/MCY/11989623 </v>
      </c>
    </row>
    <row r="537" spans="1:12" ht="24.75" x14ac:dyDescent="0.25">
      <c r="A537" s="4" t="s">
        <v>9652</v>
      </c>
      <c r="B537" s="2" t="s">
        <v>5948</v>
      </c>
      <c r="C537" s="3">
        <v>1</v>
      </c>
      <c r="D537" s="5">
        <v>24.99</v>
      </c>
      <c r="E537" s="3" t="s">
        <v>5949</v>
      </c>
      <c r="F537" s="2" t="s">
        <v>26</v>
      </c>
      <c r="G537" s="6" t="s">
        <v>58</v>
      </c>
      <c r="H537" s="2" t="s">
        <v>1473</v>
      </c>
      <c r="I537" s="2" t="s">
        <v>1426</v>
      </c>
      <c r="J537" s="2" t="s">
        <v>19</v>
      </c>
      <c r="K537" s="2" t="s">
        <v>353</v>
      </c>
      <c r="L537" s="7" t="str">
        <f>HYPERLINK("http://slimages.macys.com/is/image/MCY/11134801 ")</f>
        <v xml:space="preserve">http://slimages.macys.com/is/image/MCY/11134801 </v>
      </c>
    </row>
    <row r="538" spans="1:12" ht="24.75" x14ac:dyDescent="0.25">
      <c r="A538" s="4" t="s">
        <v>8730</v>
      </c>
      <c r="B538" s="2" t="s">
        <v>5006</v>
      </c>
      <c r="C538" s="3">
        <v>1</v>
      </c>
      <c r="D538" s="5">
        <v>26.99</v>
      </c>
      <c r="E538" s="3" t="s">
        <v>5007</v>
      </c>
      <c r="F538" s="2" t="s">
        <v>15</v>
      </c>
      <c r="G538" s="6" t="s">
        <v>27</v>
      </c>
      <c r="H538" s="2" t="s">
        <v>1473</v>
      </c>
      <c r="I538" s="2" t="s">
        <v>1426</v>
      </c>
      <c r="J538" s="2" t="s">
        <v>19</v>
      </c>
      <c r="K538" s="2" t="s">
        <v>353</v>
      </c>
      <c r="L538" s="7" t="str">
        <f>HYPERLINK("http://slimages.macys.com/is/image/MCY/11027855 ")</f>
        <v xml:space="preserve">http://slimages.macys.com/is/image/MCY/11027855 </v>
      </c>
    </row>
    <row r="539" spans="1:12" ht="24.75" x14ac:dyDescent="0.25">
      <c r="A539" s="4" t="s">
        <v>5004</v>
      </c>
      <c r="B539" s="2" t="s">
        <v>1471</v>
      </c>
      <c r="C539" s="3">
        <v>1</v>
      </c>
      <c r="D539" s="5">
        <v>26.99</v>
      </c>
      <c r="E539" s="3" t="s">
        <v>1472</v>
      </c>
      <c r="F539" s="2" t="s">
        <v>15</v>
      </c>
      <c r="G539" s="6" t="s">
        <v>27</v>
      </c>
      <c r="H539" s="2" t="s">
        <v>1473</v>
      </c>
      <c r="I539" s="2" t="s">
        <v>1426</v>
      </c>
      <c r="J539" s="2" t="s">
        <v>19</v>
      </c>
      <c r="K539" s="2" t="s">
        <v>353</v>
      </c>
      <c r="L539" s="7" t="str">
        <f>HYPERLINK("http://slimages.macys.com/is/image/MCY/11989623 ")</f>
        <v xml:space="preserve">http://slimages.macys.com/is/image/MCY/11989623 </v>
      </c>
    </row>
    <row r="540" spans="1:12" ht="24.75" x14ac:dyDescent="0.25">
      <c r="A540" s="4" t="s">
        <v>3928</v>
      </c>
      <c r="B540" s="2" t="s">
        <v>3929</v>
      </c>
      <c r="C540" s="3">
        <v>1</v>
      </c>
      <c r="D540" s="5">
        <v>37.130000000000003</v>
      </c>
      <c r="E540" s="3" t="s">
        <v>3930</v>
      </c>
      <c r="F540" s="2" t="s">
        <v>15</v>
      </c>
      <c r="G540" s="6" t="s">
        <v>154</v>
      </c>
      <c r="H540" s="2" t="s">
        <v>284</v>
      </c>
      <c r="I540" s="2" t="s">
        <v>285</v>
      </c>
      <c r="J540" s="2" t="s">
        <v>19</v>
      </c>
      <c r="K540" s="2" t="s">
        <v>160</v>
      </c>
      <c r="L540" s="7" t="str">
        <f>HYPERLINK("http://slimages.macys.com/is/image/MCY/12672394 ")</f>
        <v xml:space="preserve">http://slimages.macys.com/is/image/MCY/12672394 </v>
      </c>
    </row>
    <row r="541" spans="1:12" ht="36.75" x14ac:dyDescent="0.25">
      <c r="A541" s="4" t="s">
        <v>5016</v>
      </c>
      <c r="B541" s="2" t="s">
        <v>1482</v>
      </c>
      <c r="C541" s="3">
        <v>1</v>
      </c>
      <c r="D541" s="5">
        <v>32.5</v>
      </c>
      <c r="E541" s="3" t="s">
        <v>1483</v>
      </c>
      <c r="F541" s="2" t="s">
        <v>48</v>
      </c>
      <c r="G541" s="6"/>
      <c r="H541" s="2" t="s">
        <v>312</v>
      </c>
      <c r="I541" s="2" t="s">
        <v>195</v>
      </c>
      <c r="J541" s="2" t="s">
        <v>19</v>
      </c>
      <c r="K541" s="2" t="s">
        <v>1484</v>
      </c>
      <c r="L541" s="7" t="str">
        <f>HYPERLINK("http://slimages.macys.com/is/image/MCY/12064112 ")</f>
        <v xml:space="preserve">http://slimages.macys.com/is/image/MCY/12064112 </v>
      </c>
    </row>
    <row r="542" spans="1:12" ht="24.75" x14ac:dyDescent="0.25">
      <c r="A542" s="4" t="s">
        <v>5957</v>
      </c>
      <c r="B542" s="2" t="s">
        <v>3929</v>
      </c>
      <c r="C542" s="3">
        <v>1</v>
      </c>
      <c r="D542" s="5">
        <v>37.130000000000003</v>
      </c>
      <c r="E542" s="3" t="s">
        <v>3930</v>
      </c>
      <c r="F542" s="2" t="s">
        <v>15</v>
      </c>
      <c r="G542" s="6" t="s">
        <v>181</v>
      </c>
      <c r="H542" s="2" t="s">
        <v>284</v>
      </c>
      <c r="I542" s="2" t="s">
        <v>285</v>
      </c>
      <c r="J542" s="2" t="s">
        <v>19</v>
      </c>
      <c r="K542" s="2" t="s">
        <v>160</v>
      </c>
      <c r="L542" s="7" t="str">
        <f>HYPERLINK("http://slimages.macys.com/is/image/MCY/12672394 ")</f>
        <v xml:space="preserve">http://slimages.macys.com/is/image/MCY/12672394 </v>
      </c>
    </row>
    <row r="543" spans="1:12" x14ac:dyDescent="0.25">
      <c r="A543" s="4" t="s">
        <v>5020</v>
      </c>
      <c r="B543" s="2" t="s">
        <v>1486</v>
      </c>
      <c r="C543" s="3">
        <v>1</v>
      </c>
      <c r="D543" s="5">
        <v>39.5</v>
      </c>
      <c r="E543" s="3" t="s">
        <v>1487</v>
      </c>
      <c r="F543" s="2" t="s">
        <v>752</v>
      </c>
      <c r="G543" s="6"/>
      <c r="H543" s="2" t="s">
        <v>206</v>
      </c>
      <c r="I543" s="2" t="s">
        <v>207</v>
      </c>
      <c r="J543" s="2" t="s">
        <v>19</v>
      </c>
      <c r="K543" s="2" t="s">
        <v>1488</v>
      </c>
      <c r="L543" s="7" t="str">
        <f>HYPERLINK("http://slimages.macys.com/is/image/MCY/12953073 ")</f>
        <v xml:space="preserve">http://slimages.macys.com/is/image/MCY/12953073 </v>
      </c>
    </row>
    <row r="544" spans="1:12" x14ac:dyDescent="0.25">
      <c r="A544" s="4" t="s">
        <v>9653</v>
      </c>
      <c r="B544" s="2" t="s">
        <v>1486</v>
      </c>
      <c r="C544" s="3">
        <v>1</v>
      </c>
      <c r="D544" s="5">
        <v>39.5</v>
      </c>
      <c r="E544" s="3" t="s">
        <v>1487</v>
      </c>
      <c r="F544" s="2" t="s">
        <v>752</v>
      </c>
      <c r="G544" s="6"/>
      <c r="H544" s="2" t="s">
        <v>206</v>
      </c>
      <c r="I544" s="2" t="s">
        <v>207</v>
      </c>
      <c r="J544" s="2" t="s">
        <v>19</v>
      </c>
      <c r="K544" s="2" t="s">
        <v>1488</v>
      </c>
      <c r="L544" s="7" t="str">
        <f>HYPERLINK("http://slimages.macys.com/is/image/MCY/12953073 ")</f>
        <v xml:space="preserve">http://slimages.macys.com/is/image/MCY/12953073 </v>
      </c>
    </row>
    <row r="545" spans="1:12" ht="24.75" x14ac:dyDescent="0.25">
      <c r="A545" s="4" t="s">
        <v>5962</v>
      </c>
      <c r="B545" s="2" t="s">
        <v>948</v>
      </c>
      <c r="C545" s="3">
        <v>2</v>
      </c>
      <c r="D545" s="5">
        <v>34.880000000000003</v>
      </c>
      <c r="E545" s="3">
        <v>100038962</v>
      </c>
      <c r="F545" s="2" t="s">
        <v>74</v>
      </c>
      <c r="G545" s="6" t="s">
        <v>112</v>
      </c>
      <c r="H545" s="2" t="s">
        <v>194</v>
      </c>
      <c r="I545" s="2" t="s">
        <v>195</v>
      </c>
      <c r="J545" s="2" t="s">
        <v>19</v>
      </c>
      <c r="K545" s="2" t="s">
        <v>353</v>
      </c>
      <c r="L545" s="7" t="str">
        <f>HYPERLINK("http://slimages.macys.com/is/image/MCY/11145019 ")</f>
        <v xml:space="preserve">http://slimages.macys.com/is/image/MCY/11145019 </v>
      </c>
    </row>
    <row r="546" spans="1:12" ht="24.75" x14ac:dyDescent="0.25">
      <c r="A546" s="4" t="s">
        <v>9654</v>
      </c>
      <c r="B546" s="2" t="s">
        <v>9655</v>
      </c>
      <c r="C546" s="3">
        <v>1</v>
      </c>
      <c r="D546" s="5">
        <v>27.65</v>
      </c>
      <c r="E546" s="3" t="s">
        <v>9656</v>
      </c>
      <c r="F546" s="2"/>
      <c r="G546" s="6" t="s">
        <v>234</v>
      </c>
      <c r="H546" s="2" t="s">
        <v>182</v>
      </c>
      <c r="I546" s="2" t="s">
        <v>183</v>
      </c>
      <c r="J546" s="2" t="s">
        <v>19</v>
      </c>
      <c r="K546" s="2" t="s">
        <v>247</v>
      </c>
      <c r="L546" s="7" t="str">
        <f>HYPERLINK("http://slimages.macys.com/is/image/MCY/12671426 ")</f>
        <v xml:space="preserve">http://slimages.macys.com/is/image/MCY/12671426 </v>
      </c>
    </row>
    <row r="547" spans="1:12" ht="24.75" x14ac:dyDescent="0.25">
      <c r="A547" s="4" t="s">
        <v>9657</v>
      </c>
      <c r="B547" s="2" t="s">
        <v>9658</v>
      </c>
      <c r="C547" s="3">
        <v>1</v>
      </c>
      <c r="D547" s="5">
        <v>37.130000000000003</v>
      </c>
      <c r="E547" s="3" t="s">
        <v>9659</v>
      </c>
      <c r="F547" s="2" t="s">
        <v>74</v>
      </c>
      <c r="G547" s="6" t="s">
        <v>234</v>
      </c>
      <c r="H547" s="2" t="s">
        <v>284</v>
      </c>
      <c r="I547" s="2" t="s">
        <v>285</v>
      </c>
      <c r="J547" s="2" t="s">
        <v>19</v>
      </c>
      <c r="K547" s="2" t="s">
        <v>160</v>
      </c>
      <c r="L547" s="7" t="str">
        <f>HYPERLINK("http://slimages.macys.com/is/image/MCY/13081147 ")</f>
        <v xml:space="preserve">http://slimages.macys.com/is/image/MCY/13081147 </v>
      </c>
    </row>
    <row r="548" spans="1:12" ht="24.75" x14ac:dyDescent="0.25">
      <c r="A548" s="4" t="s">
        <v>9660</v>
      </c>
      <c r="B548" s="2" t="s">
        <v>9658</v>
      </c>
      <c r="C548" s="3">
        <v>1</v>
      </c>
      <c r="D548" s="5">
        <v>37.130000000000003</v>
      </c>
      <c r="E548" s="3" t="s">
        <v>9659</v>
      </c>
      <c r="F548" s="2" t="s">
        <v>74</v>
      </c>
      <c r="G548" s="6" t="s">
        <v>200</v>
      </c>
      <c r="H548" s="2" t="s">
        <v>284</v>
      </c>
      <c r="I548" s="2" t="s">
        <v>285</v>
      </c>
      <c r="J548" s="2" t="s">
        <v>19</v>
      </c>
      <c r="K548" s="2" t="s">
        <v>160</v>
      </c>
      <c r="L548" s="7" t="str">
        <f>HYPERLINK("http://slimages.macys.com/is/image/MCY/13081147 ")</f>
        <v xml:space="preserve">http://slimages.macys.com/is/image/MCY/13081147 </v>
      </c>
    </row>
    <row r="549" spans="1:12" ht="24.75" x14ac:dyDescent="0.25">
      <c r="A549" s="4" t="s">
        <v>9661</v>
      </c>
      <c r="B549" s="2" t="s">
        <v>9658</v>
      </c>
      <c r="C549" s="3">
        <v>1</v>
      </c>
      <c r="D549" s="5">
        <v>37.130000000000003</v>
      </c>
      <c r="E549" s="3" t="s">
        <v>9659</v>
      </c>
      <c r="F549" s="2" t="s">
        <v>74</v>
      </c>
      <c r="G549" s="6" t="s">
        <v>181</v>
      </c>
      <c r="H549" s="2" t="s">
        <v>284</v>
      </c>
      <c r="I549" s="2" t="s">
        <v>285</v>
      </c>
      <c r="J549" s="2" t="s">
        <v>19</v>
      </c>
      <c r="K549" s="2" t="s">
        <v>160</v>
      </c>
      <c r="L549" s="7" t="str">
        <f>HYPERLINK("http://slimages.macys.com/is/image/MCY/13081147 ")</f>
        <v xml:space="preserve">http://slimages.macys.com/is/image/MCY/13081147 </v>
      </c>
    </row>
    <row r="550" spans="1:12" ht="24.75" x14ac:dyDescent="0.25">
      <c r="A550" s="4" t="s">
        <v>9662</v>
      </c>
      <c r="B550" s="2" t="s">
        <v>1494</v>
      </c>
      <c r="C550" s="3">
        <v>1</v>
      </c>
      <c r="D550" s="5">
        <v>24.99</v>
      </c>
      <c r="E550" s="3">
        <v>100011892</v>
      </c>
      <c r="F550" s="2" t="s">
        <v>417</v>
      </c>
      <c r="G550" s="6" t="s">
        <v>16</v>
      </c>
      <c r="H550" s="2" t="s">
        <v>228</v>
      </c>
      <c r="I550" s="2" t="s">
        <v>857</v>
      </c>
      <c r="J550" s="2" t="s">
        <v>19</v>
      </c>
      <c r="K550" s="2" t="s">
        <v>1495</v>
      </c>
      <c r="L550" s="7" t="str">
        <f>HYPERLINK("http://slimages.macys.com/is/image/MCY/12143827 ")</f>
        <v xml:space="preserve">http://slimages.macys.com/is/image/MCY/12143827 </v>
      </c>
    </row>
    <row r="551" spans="1:12" ht="24.75" x14ac:dyDescent="0.25">
      <c r="A551" s="4" t="s">
        <v>9663</v>
      </c>
      <c r="B551" s="2" t="s">
        <v>9664</v>
      </c>
      <c r="C551" s="3">
        <v>1</v>
      </c>
      <c r="D551" s="5">
        <v>24.99</v>
      </c>
      <c r="E551" s="3" t="s">
        <v>9665</v>
      </c>
      <c r="F551" s="2" t="s">
        <v>15</v>
      </c>
      <c r="G551" s="6" t="s">
        <v>58</v>
      </c>
      <c r="H551" s="2" t="s">
        <v>1473</v>
      </c>
      <c r="I551" s="2" t="s">
        <v>1426</v>
      </c>
      <c r="J551" s="2" t="s">
        <v>19</v>
      </c>
      <c r="K551" s="2" t="s">
        <v>353</v>
      </c>
      <c r="L551" s="7" t="str">
        <f>HYPERLINK("http://slimages.macys.com/is/image/MCY/11029753 ")</f>
        <v xml:space="preserve">http://slimages.macys.com/is/image/MCY/11029753 </v>
      </c>
    </row>
    <row r="552" spans="1:12" ht="24.75" x14ac:dyDescent="0.25">
      <c r="A552" s="4" t="s">
        <v>3949</v>
      </c>
      <c r="B552" s="2" t="s">
        <v>1516</v>
      </c>
      <c r="C552" s="3">
        <v>1</v>
      </c>
      <c r="D552" s="5">
        <v>24.99</v>
      </c>
      <c r="E552" s="3" t="s">
        <v>1517</v>
      </c>
      <c r="F552" s="2" t="s">
        <v>998</v>
      </c>
      <c r="G552" s="6" t="s">
        <v>106</v>
      </c>
      <c r="H552" s="2" t="s">
        <v>1473</v>
      </c>
      <c r="I552" s="2" t="s">
        <v>1426</v>
      </c>
      <c r="J552" s="2" t="s">
        <v>19</v>
      </c>
      <c r="K552" s="2" t="s">
        <v>353</v>
      </c>
      <c r="L552" s="7" t="str">
        <f>HYPERLINK("http://slimages.macys.com/is/image/MCY/11029826 ")</f>
        <v xml:space="preserve">http://slimages.macys.com/is/image/MCY/11029826 </v>
      </c>
    </row>
    <row r="553" spans="1:12" ht="24.75" x14ac:dyDescent="0.25">
      <c r="A553" s="4" t="s">
        <v>3948</v>
      </c>
      <c r="B553" s="2" t="s">
        <v>1516</v>
      </c>
      <c r="C553" s="3">
        <v>1</v>
      </c>
      <c r="D553" s="5">
        <v>24.99</v>
      </c>
      <c r="E553" s="3" t="s">
        <v>1517</v>
      </c>
      <c r="F553" s="2" t="s">
        <v>15</v>
      </c>
      <c r="G553" s="6" t="s">
        <v>27</v>
      </c>
      <c r="H553" s="2" t="s">
        <v>1473</v>
      </c>
      <c r="I553" s="2" t="s">
        <v>1426</v>
      </c>
      <c r="J553" s="2" t="s">
        <v>19</v>
      </c>
      <c r="K553" s="2" t="s">
        <v>353</v>
      </c>
      <c r="L553" s="7" t="str">
        <f>HYPERLINK("http://slimages.macys.com/is/image/MCY/11029826 ")</f>
        <v xml:space="preserve">http://slimages.macys.com/is/image/MCY/11029826 </v>
      </c>
    </row>
    <row r="554" spans="1:12" ht="24.75" x14ac:dyDescent="0.25">
      <c r="A554" s="4" t="s">
        <v>2792</v>
      </c>
      <c r="B554" s="2" t="s">
        <v>1516</v>
      </c>
      <c r="C554" s="3">
        <v>1</v>
      </c>
      <c r="D554" s="5">
        <v>24.99</v>
      </c>
      <c r="E554" s="3" t="s">
        <v>1517</v>
      </c>
      <c r="F554" s="2" t="s">
        <v>15</v>
      </c>
      <c r="G554" s="6" t="s">
        <v>22</v>
      </c>
      <c r="H554" s="2" t="s">
        <v>1473</v>
      </c>
      <c r="I554" s="2" t="s">
        <v>1426</v>
      </c>
      <c r="J554" s="2" t="s">
        <v>19</v>
      </c>
      <c r="K554" s="2" t="s">
        <v>353</v>
      </c>
      <c r="L554" s="7" t="str">
        <f>HYPERLINK("http://slimages.macys.com/is/image/MCY/11029826 ")</f>
        <v xml:space="preserve">http://slimages.macys.com/is/image/MCY/11029826 </v>
      </c>
    </row>
    <row r="555" spans="1:12" ht="24.75" x14ac:dyDescent="0.25">
      <c r="A555" s="4" t="s">
        <v>9666</v>
      </c>
      <c r="B555" s="2" t="s">
        <v>3946</v>
      </c>
      <c r="C555" s="3">
        <v>1</v>
      </c>
      <c r="D555" s="5">
        <v>24.99</v>
      </c>
      <c r="E555" s="3" t="s">
        <v>6713</v>
      </c>
      <c r="F555" s="2" t="s">
        <v>74</v>
      </c>
      <c r="G555" s="6" t="s">
        <v>219</v>
      </c>
      <c r="H555" s="2" t="s">
        <v>1425</v>
      </c>
      <c r="I555" s="2" t="s">
        <v>1426</v>
      </c>
      <c r="J555" s="2" t="s">
        <v>19</v>
      </c>
      <c r="K555" s="2" t="s">
        <v>648</v>
      </c>
      <c r="L555" s="7" t="str">
        <f>HYPERLINK("http://slimages.macys.com/is/image/MCY/9484394 ")</f>
        <v xml:space="preserve">http://slimages.macys.com/is/image/MCY/9484394 </v>
      </c>
    </row>
    <row r="556" spans="1:12" ht="24.75" x14ac:dyDescent="0.25">
      <c r="A556" s="4" t="s">
        <v>9667</v>
      </c>
      <c r="B556" s="2" t="s">
        <v>5032</v>
      </c>
      <c r="C556" s="3">
        <v>1</v>
      </c>
      <c r="D556" s="5">
        <v>24.99</v>
      </c>
      <c r="E556" s="3" t="s">
        <v>5033</v>
      </c>
      <c r="F556" s="2" t="s">
        <v>413</v>
      </c>
      <c r="G556" s="6"/>
      <c r="H556" s="2" t="s">
        <v>1425</v>
      </c>
      <c r="I556" s="2" t="s">
        <v>1469</v>
      </c>
      <c r="J556" s="2" t="s">
        <v>19</v>
      </c>
      <c r="K556" s="2" t="s">
        <v>990</v>
      </c>
      <c r="L556" s="7" t="str">
        <f>HYPERLINK("http://slimages.macys.com/is/image/MCY/12645266 ")</f>
        <v xml:space="preserve">http://slimages.macys.com/is/image/MCY/12645266 </v>
      </c>
    </row>
    <row r="557" spans="1:12" ht="24.75" x14ac:dyDescent="0.25">
      <c r="A557" s="4" t="s">
        <v>9668</v>
      </c>
      <c r="B557" s="2" t="s">
        <v>5032</v>
      </c>
      <c r="C557" s="3">
        <v>1</v>
      </c>
      <c r="D557" s="5">
        <v>24.99</v>
      </c>
      <c r="E557" s="3" t="s">
        <v>5033</v>
      </c>
      <c r="F557" s="2" t="s">
        <v>94</v>
      </c>
      <c r="G557" s="6"/>
      <c r="H557" s="2" t="s">
        <v>1425</v>
      </c>
      <c r="I557" s="2" t="s">
        <v>1469</v>
      </c>
      <c r="J557" s="2" t="s">
        <v>19</v>
      </c>
      <c r="K557" s="2" t="s">
        <v>990</v>
      </c>
      <c r="L557" s="7" t="str">
        <f>HYPERLINK("http://slimages.macys.com/is/image/MCY/12645266 ")</f>
        <v xml:space="preserve">http://slimages.macys.com/is/image/MCY/12645266 </v>
      </c>
    </row>
    <row r="558" spans="1:12" ht="24.75" x14ac:dyDescent="0.25">
      <c r="A558" s="4" t="s">
        <v>9669</v>
      </c>
      <c r="B558" s="2" t="s">
        <v>9670</v>
      </c>
      <c r="C558" s="3">
        <v>1</v>
      </c>
      <c r="D558" s="5">
        <v>21.99</v>
      </c>
      <c r="E558" s="3" t="s">
        <v>9671</v>
      </c>
      <c r="F558" s="2" t="s">
        <v>15</v>
      </c>
      <c r="G558" s="6" t="s">
        <v>187</v>
      </c>
      <c r="H558" s="2" t="s">
        <v>1425</v>
      </c>
      <c r="I558" s="2" t="s">
        <v>1426</v>
      </c>
      <c r="J558" s="2" t="s">
        <v>19</v>
      </c>
      <c r="K558" s="2" t="s">
        <v>338</v>
      </c>
      <c r="L558" s="7" t="str">
        <f>HYPERLINK("http://slimages.macys.com/is/image/MCY/11456803 ")</f>
        <v xml:space="preserve">http://slimages.macys.com/is/image/MCY/11456803 </v>
      </c>
    </row>
    <row r="559" spans="1:12" ht="24.75" x14ac:dyDescent="0.25">
      <c r="A559" s="4" t="s">
        <v>1518</v>
      </c>
      <c r="B559" s="2" t="s">
        <v>1502</v>
      </c>
      <c r="C559" s="3">
        <v>1</v>
      </c>
      <c r="D559" s="5">
        <v>24.99</v>
      </c>
      <c r="E559" s="3" t="s">
        <v>1503</v>
      </c>
      <c r="F559" s="2" t="s">
        <v>15</v>
      </c>
      <c r="G559" s="6"/>
      <c r="H559" s="2" t="s">
        <v>1425</v>
      </c>
      <c r="I559" s="2" t="s">
        <v>1469</v>
      </c>
      <c r="J559" s="2" t="s">
        <v>19</v>
      </c>
      <c r="K559" s="2" t="s">
        <v>990</v>
      </c>
      <c r="L559" s="7" t="str">
        <f>HYPERLINK("http://slimages.macys.com/is/image/MCY/13048287 ")</f>
        <v xml:space="preserve">http://slimages.macys.com/is/image/MCY/13048287 </v>
      </c>
    </row>
    <row r="560" spans="1:12" ht="24.75" x14ac:dyDescent="0.25">
      <c r="A560" s="4" t="s">
        <v>6709</v>
      </c>
      <c r="B560" s="2" t="s">
        <v>5032</v>
      </c>
      <c r="C560" s="3">
        <v>1</v>
      </c>
      <c r="D560" s="5">
        <v>24.99</v>
      </c>
      <c r="E560" s="3" t="s">
        <v>5033</v>
      </c>
      <c r="F560" s="2" t="s">
        <v>70</v>
      </c>
      <c r="G560" s="6"/>
      <c r="H560" s="2" t="s">
        <v>1425</v>
      </c>
      <c r="I560" s="2" t="s">
        <v>1469</v>
      </c>
      <c r="J560" s="2" t="s">
        <v>19</v>
      </c>
      <c r="K560" s="2" t="s">
        <v>990</v>
      </c>
      <c r="L560" s="7" t="str">
        <f>HYPERLINK("http://slimages.macys.com/is/image/MCY/12645266 ")</f>
        <v xml:space="preserve">http://slimages.macys.com/is/image/MCY/12645266 </v>
      </c>
    </row>
    <row r="561" spans="1:12" ht="24.75" x14ac:dyDescent="0.25">
      <c r="A561" s="4" t="s">
        <v>3939</v>
      </c>
      <c r="B561" s="2" t="s">
        <v>1516</v>
      </c>
      <c r="C561" s="3">
        <v>1</v>
      </c>
      <c r="D561" s="5">
        <v>24.99</v>
      </c>
      <c r="E561" s="3" t="s">
        <v>1517</v>
      </c>
      <c r="F561" s="2" t="s">
        <v>998</v>
      </c>
      <c r="G561" s="6" t="s">
        <v>16</v>
      </c>
      <c r="H561" s="2" t="s">
        <v>1473</v>
      </c>
      <c r="I561" s="2" t="s">
        <v>1426</v>
      </c>
      <c r="J561" s="2" t="s">
        <v>19</v>
      </c>
      <c r="K561" s="2" t="s">
        <v>353</v>
      </c>
      <c r="L561" s="7" t="str">
        <f t="shared" ref="L561:L568" si="4">HYPERLINK("http://slimages.macys.com/is/image/MCY/11029826 ")</f>
        <v xml:space="preserve">http://slimages.macys.com/is/image/MCY/11029826 </v>
      </c>
    </row>
    <row r="562" spans="1:12" ht="24.75" x14ac:dyDescent="0.25">
      <c r="A562" s="4" t="s">
        <v>2793</v>
      </c>
      <c r="B562" s="2" t="s">
        <v>1516</v>
      </c>
      <c r="C562" s="3">
        <v>6</v>
      </c>
      <c r="D562" s="5">
        <v>24.99</v>
      </c>
      <c r="E562" s="3" t="s">
        <v>1517</v>
      </c>
      <c r="F562" s="2" t="s">
        <v>998</v>
      </c>
      <c r="G562" s="6" t="s">
        <v>112</v>
      </c>
      <c r="H562" s="2" t="s">
        <v>1473</v>
      </c>
      <c r="I562" s="2" t="s">
        <v>1426</v>
      </c>
      <c r="J562" s="2" t="s">
        <v>19</v>
      </c>
      <c r="K562" s="2" t="s">
        <v>353</v>
      </c>
      <c r="L562" s="7" t="str">
        <f t="shared" si="4"/>
        <v xml:space="preserve">http://slimages.macys.com/is/image/MCY/11029826 </v>
      </c>
    </row>
    <row r="563" spans="1:12" ht="24.75" x14ac:dyDescent="0.25">
      <c r="A563" s="4" t="s">
        <v>3941</v>
      </c>
      <c r="B563" s="2" t="s">
        <v>1516</v>
      </c>
      <c r="C563" s="3">
        <v>1</v>
      </c>
      <c r="D563" s="5">
        <v>24.99</v>
      </c>
      <c r="E563" s="3" t="s">
        <v>1517</v>
      </c>
      <c r="F563" s="2" t="s">
        <v>74</v>
      </c>
      <c r="G563" s="6" t="s">
        <v>141</v>
      </c>
      <c r="H563" s="2" t="s">
        <v>1473</v>
      </c>
      <c r="I563" s="2" t="s">
        <v>1426</v>
      </c>
      <c r="J563" s="2" t="s">
        <v>19</v>
      </c>
      <c r="K563" s="2" t="s">
        <v>353</v>
      </c>
      <c r="L563" s="7" t="str">
        <f t="shared" si="4"/>
        <v xml:space="preserve">http://slimages.macys.com/is/image/MCY/11029826 </v>
      </c>
    </row>
    <row r="564" spans="1:12" ht="24.75" x14ac:dyDescent="0.25">
      <c r="A564" s="4" t="s">
        <v>1515</v>
      </c>
      <c r="B564" s="2" t="s">
        <v>1516</v>
      </c>
      <c r="C564" s="3">
        <v>2</v>
      </c>
      <c r="D564" s="5">
        <v>24.99</v>
      </c>
      <c r="E564" s="3" t="s">
        <v>1517</v>
      </c>
      <c r="F564" s="2" t="s">
        <v>998</v>
      </c>
      <c r="G564" s="6" t="s">
        <v>58</v>
      </c>
      <c r="H564" s="2" t="s">
        <v>1473</v>
      </c>
      <c r="I564" s="2" t="s">
        <v>1426</v>
      </c>
      <c r="J564" s="2" t="s">
        <v>19</v>
      </c>
      <c r="K564" s="2" t="s">
        <v>353</v>
      </c>
      <c r="L564" s="7" t="str">
        <f t="shared" si="4"/>
        <v xml:space="preserve">http://slimages.macys.com/is/image/MCY/11029826 </v>
      </c>
    </row>
    <row r="565" spans="1:12" ht="24.75" x14ac:dyDescent="0.25">
      <c r="A565" s="4" t="s">
        <v>9672</v>
      </c>
      <c r="B565" s="2" t="s">
        <v>1516</v>
      </c>
      <c r="C565" s="3">
        <v>1</v>
      </c>
      <c r="D565" s="5">
        <v>24.99</v>
      </c>
      <c r="E565" s="3" t="s">
        <v>1517</v>
      </c>
      <c r="F565" s="2" t="s">
        <v>252</v>
      </c>
      <c r="G565" s="6" t="s">
        <v>112</v>
      </c>
      <c r="H565" s="2" t="s">
        <v>1473</v>
      </c>
      <c r="I565" s="2" t="s">
        <v>1426</v>
      </c>
      <c r="J565" s="2" t="s">
        <v>19</v>
      </c>
      <c r="K565" s="2" t="s">
        <v>353</v>
      </c>
      <c r="L565" s="7" t="str">
        <f t="shared" si="4"/>
        <v xml:space="preserve">http://slimages.macys.com/is/image/MCY/11029826 </v>
      </c>
    </row>
    <row r="566" spans="1:12" ht="24.75" x14ac:dyDescent="0.25">
      <c r="A566" s="4" t="s">
        <v>2798</v>
      </c>
      <c r="B566" s="2" t="s">
        <v>1516</v>
      </c>
      <c r="C566" s="3">
        <v>1</v>
      </c>
      <c r="D566" s="5">
        <v>24.99</v>
      </c>
      <c r="E566" s="3" t="s">
        <v>1517</v>
      </c>
      <c r="F566" s="2" t="s">
        <v>998</v>
      </c>
      <c r="G566" s="6" t="s">
        <v>22</v>
      </c>
      <c r="H566" s="2" t="s">
        <v>1473</v>
      </c>
      <c r="I566" s="2" t="s">
        <v>1426</v>
      </c>
      <c r="J566" s="2" t="s">
        <v>19</v>
      </c>
      <c r="K566" s="2" t="s">
        <v>353</v>
      </c>
      <c r="L566" s="7" t="str">
        <f t="shared" si="4"/>
        <v xml:space="preserve">http://slimages.macys.com/is/image/MCY/11029826 </v>
      </c>
    </row>
    <row r="567" spans="1:12" ht="24.75" x14ac:dyDescent="0.25">
      <c r="A567" s="4" t="s">
        <v>9673</v>
      </c>
      <c r="B567" s="2" t="s">
        <v>1516</v>
      </c>
      <c r="C567" s="3">
        <v>1</v>
      </c>
      <c r="D567" s="5">
        <v>24.99</v>
      </c>
      <c r="E567" s="3" t="s">
        <v>1517</v>
      </c>
      <c r="F567" s="2" t="s">
        <v>74</v>
      </c>
      <c r="G567" s="6" t="s">
        <v>106</v>
      </c>
      <c r="H567" s="2" t="s">
        <v>1473</v>
      </c>
      <c r="I567" s="2" t="s">
        <v>1426</v>
      </c>
      <c r="J567" s="2" t="s">
        <v>19</v>
      </c>
      <c r="K567" s="2" t="s">
        <v>353</v>
      </c>
      <c r="L567" s="7" t="str">
        <f t="shared" si="4"/>
        <v xml:space="preserve">http://slimages.macys.com/is/image/MCY/11029826 </v>
      </c>
    </row>
    <row r="568" spans="1:12" ht="24.75" x14ac:dyDescent="0.25">
      <c r="A568" s="4" t="s">
        <v>9674</v>
      </c>
      <c r="B568" s="2" t="s">
        <v>1516</v>
      </c>
      <c r="C568" s="3">
        <v>1</v>
      </c>
      <c r="D568" s="5">
        <v>24.99</v>
      </c>
      <c r="E568" s="3" t="s">
        <v>1517</v>
      </c>
      <c r="F568" s="2" t="s">
        <v>15</v>
      </c>
      <c r="G568" s="6" t="s">
        <v>106</v>
      </c>
      <c r="H568" s="2" t="s">
        <v>1473</v>
      </c>
      <c r="I568" s="2" t="s">
        <v>1426</v>
      </c>
      <c r="J568" s="2" t="s">
        <v>19</v>
      </c>
      <c r="K568" s="2" t="s">
        <v>353</v>
      </c>
      <c r="L568" s="7" t="str">
        <f t="shared" si="4"/>
        <v xml:space="preserve">http://slimages.macys.com/is/image/MCY/11029826 </v>
      </c>
    </row>
    <row r="569" spans="1:12" ht="24.75" x14ac:dyDescent="0.25">
      <c r="A569" s="4" t="s">
        <v>9675</v>
      </c>
      <c r="B569" s="2" t="s">
        <v>1505</v>
      </c>
      <c r="C569" s="3">
        <v>1</v>
      </c>
      <c r="D569" s="5">
        <v>21.99</v>
      </c>
      <c r="E569" s="3" t="s">
        <v>1506</v>
      </c>
      <c r="F569" s="2" t="s">
        <v>15</v>
      </c>
      <c r="G569" s="6" t="s">
        <v>219</v>
      </c>
      <c r="H569" s="2" t="s">
        <v>1425</v>
      </c>
      <c r="I569" s="2" t="s">
        <v>1426</v>
      </c>
      <c r="J569" s="2" t="s">
        <v>19</v>
      </c>
      <c r="K569" s="2" t="s">
        <v>338</v>
      </c>
      <c r="L569" s="7" t="str">
        <f>HYPERLINK("http://slimages.macys.com/is/image/MCY/11456803 ")</f>
        <v xml:space="preserve">http://slimages.macys.com/is/image/MCY/11456803 </v>
      </c>
    </row>
    <row r="570" spans="1:12" ht="24.75" x14ac:dyDescent="0.25">
      <c r="A570" s="4" t="s">
        <v>1525</v>
      </c>
      <c r="B570" s="2" t="s">
        <v>1526</v>
      </c>
      <c r="C570" s="3">
        <v>1</v>
      </c>
      <c r="D570" s="5">
        <v>27.65</v>
      </c>
      <c r="E570" s="3" t="s">
        <v>1527</v>
      </c>
      <c r="F570" s="2" t="s">
        <v>26</v>
      </c>
      <c r="G570" s="6" t="s">
        <v>181</v>
      </c>
      <c r="H570" s="2" t="s">
        <v>182</v>
      </c>
      <c r="I570" s="2" t="s">
        <v>183</v>
      </c>
      <c r="J570" s="2" t="s">
        <v>19</v>
      </c>
      <c r="K570" s="2" t="s">
        <v>247</v>
      </c>
      <c r="L570" s="7" t="str">
        <f>HYPERLINK("http://slimages.macys.com/is/image/MCY/12851875 ")</f>
        <v xml:space="preserve">http://slimages.macys.com/is/image/MCY/12851875 </v>
      </c>
    </row>
    <row r="571" spans="1:12" ht="24.75" x14ac:dyDescent="0.25">
      <c r="A571" s="4" t="s">
        <v>9676</v>
      </c>
      <c r="B571" s="2" t="s">
        <v>1526</v>
      </c>
      <c r="C571" s="3">
        <v>1</v>
      </c>
      <c r="D571" s="5">
        <v>27.65</v>
      </c>
      <c r="E571" s="3" t="s">
        <v>1527</v>
      </c>
      <c r="F571" s="2" t="s">
        <v>26</v>
      </c>
      <c r="G571" s="6" t="s">
        <v>154</v>
      </c>
      <c r="H571" s="2" t="s">
        <v>182</v>
      </c>
      <c r="I571" s="2" t="s">
        <v>183</v>
      </c>
      <c r="J571" s="2" t="s">
        <v>19</v>
      </c>
      <c r="K571" s="2" t="s">
        <v>247</v>
      </c>
      <c r="L571" s="7" t="str">
        <f>HYPERLINK("http://slimages.macys.com/is/image/MCY/12851875 ")</f>
        <v xml:space="preserve">http://slimages.macys.com/is/image/MCY/12851875 </v>
      </c>
    </row>
    <row r="572" spans="1:12" ht="24.75" x14ac:dyDescent="0.25">
      <c r="A572" s="4" t="s">
        <v>2809</v>
      </c>
      <c r="B572" s="2" t="s">
        <v>2779</v>
      </c>
      <c r="C572" s="3">
        <v>1</v>
      </c>
      <c r="D572" s="5">
        <v>29.63</v>
      </c>
      <c r="E572" s="3" t="s">
        <v>2810</v>
      </c>
      <c r="F572" s="2" t="s">
        <v>15</v>
      </c>
      <c r="G572" s="6"/>
      <c r="H572" s="2" t="s">
        <v>312</v>
      </c>
      <c r="I572" s="2" t="s">
        <v>195</v>
      </c>
      <c r="J572" s="2" t="s">
        <v>19</v>
      </c>
      <c r="K572" s="2" t="s">
        <v>247</v>
      </c>
      <c r="L572" s="7" t="str">
        <f>HYPERLINK("http://slimages.macys.com/is/image/MCY/12279859 ")</f>
        <v xml:space="preserve">http://slimages.macys.com/is/image/MCY/12279859 </v>
      </c>
    </row>
    <row r="573" spans="1:12" ht="24.75" x14ac:dyDescent="0.25">
      <c r="A573" s="4" t="s">
        <v>5041</v>
      </c>
      <c r="B573" s="2" t="s">
        <v>5040</v>
      </c>
      <c r="C573" s="3">
        <v>1</v>
      </c>
      <c r="D573" s="5">
        <v>29.63</v>
      </c>
      <c r="E573" s="3">
        <v>100018082</v>
      </c>
      <c r="F573" s="2" t="s">
        <v>15</v>
      </c>
      <c r="G573" s="6" t="s">
        <v>156</v>
      </c>
      <c r="H573" s="2" t="s">
        <v>194</v>
      </c>
      <c r="I573" s="2" t="s">
        <v>195</v>
      </c>
      <c r="J573" s="2" t="s">
        <v>19</v>
      </c>
      <c r="K573" s="2" t="s">
        <v>1082</v>
      </c>
      <c r="L573" s="7" t="str">
        <f>HYPERLINK("http://slimages.macys.com/is/image/MCY/13367475 ")</f>
        <v xml:space="preserve">http://slimages.macys.com/is/image/MCY/13367475 </v>
      </c>
    </row>
    <row r="574" spans="1:12" ht="24.75" x14ac:dyDescent="0.25">
      <c r="A574" s="4" t="s">
        <v>9677</v>
      </c>
      <c r="B574" s="2" t="s">
        <v>1529</v>
      </c>
      <c r="C574" s="3">
        <v>1</v>
      </c>
      <c r="D574" s="5">
        <v>37.130000000000003</v>
      </c>
      <c r="E574" s="3" t="s">
        <v>1530</v>
      </c>
      <c r="F574" s="2" t="s">
        <v>94</v>
      </c>
      <c r="G574" s="6" t="s">
        <v>363</v>
      </c>
      <c r="H574" s="2" t="s">
        <v>312</v>
      </c>
      <c r="I574" s="2" t="s">
        <v>195</v>
      </c>
      <c r="J574" s="2" t="s">
        <v>19</v>
      </c>
      <c r="K574" s="2" t="s">
        <v>353</v>
      </c>
      <c r="L574" s="7" t="str">
        <f>HYPERLINK("http://slimages.macys.com/is/image/MCY/11938040 ")</f>
        <v xml:space="preserve">http://slimages.macys.com/is/image/MCY/11938040 </v>
      </c>
    </row>
    <row r="575" spans="1:12" ht="24.75" x14ac:dyDescent="0.25">
      <c r="A575" s="4" t="s">
        <v>9678</v>
      </c>
      <c r="B575" s="2" t="s">
        <v>2812</v>
      </c>
      <c r="C575" s="3">
        <v>1</v>
      </c>
      <c r="D575" s="5">
        <v>34.5</v>
      </c>
      <c r="E575" s="3">
        <v>100019211</v>
      </c>
      <c r="F575" s="2" t="s">
        <v>417</v>
      </c>
      <c r="G575" s="6" t="s">
        <v>27</v>
      </c>
      <c r="H575" s="2" t="s">
        <v>228</v>
      </c>
      <c r="I575" s="2" t="s">
        <v>229</v>
      </c>
      <c r="J575" s="2" t="s">
        <v>19</v>
      </c>
      <c r="K575" s="2" t="s">
        <v>353</v>
      </c>
      <c r="L575" s="7" t="str">
        <f>HYPERLINK("http://slimages.macys.com/is/image/MCY/9504729 ")</f>
        <v xml:space="preserve">http://slimages.macys.com/is/image/MCY/9504729 </v>
      </c>
    </row>
    <row r="576" spans="1:12" ht="24.75" x14ac:dyDescent="0.25">
      <c r="A576" s="4" t="s">
        <v>1535</v>
      </c>
      <c r="B576" s="2" t="s">
        <v>1533</v>
      </c>
      <c r="C576" s="3">
        <v>1</v>
      </c>
      <c r="D576" s="5">
        <v>37.130000000000003</v>
      </c>
      <c r="E576" s="3" t="s">
        <v>1534</v>
      </c>
      <c r="F576" s="2" t="s">
        <v>15</v>
      </c>
      <c r="G576" s="6"/>
      <c r="H576" s="2" t="s">
        <v>312</v>
      </c>
      <c r="I576" s="2" t="s">
        <v>195</v>
      </c>
      <c r="J576" s="2" t="s">
        <v>19</v>
      </c>
      <c r="K576" s="2" t="s">
        <v>353</v>
      </c>
      <c r="L576" s="7" t="str">
        <f>HYPERLINK("http://slimages.macys.com/is/image/MCY/12035001 ")</f>
        <v xml:space="preserve">http://slimages.macys.com/is/image/MCY/12035001 </v>
      </c>
    </row>
    <row r="577" spans="1:12" ht="24.75" x14ac:dyDescent="0.25">
      <c r="A577" s="4" t="s">
        <v>9679</v>
      </c>
      <c r="B577" s="2" t="s">
        <v>1539</v>
      </c>
      <c r="C577" s="3">
        <v>1</v>
      </c>
      <c r="D577" s="5">
        <v>26.99</v>
      </c>
      <c r="E577" s="3" t="s">
        <v>1540</v>
      </c>
      <c r="F577" s="2" t="s">
        <v>1234</v>
      </c>
      <c r="G577" s="6" t="s">
        <v>106</v>
      </c>
      <c r="H577" s="2" t="s">
        <v>1473</v>
      </c>
      <c r="I577" s="2" t="s">
        <v>1426</v>
      </c>
      <c r="J577" s="2" t="s">
        <v>19</v>
      </c>
      <c r="K577" s="2" t="s">
        <v>353</v>
      </c>
      <c r="L577" s="7" t="str">
        <f>HYPERLINK("http://slimages.macys.com/is/image/MCY/10786732 ")</f>
        <v xml:space="preserve">http://slimages.macys.com/is/image/MCY/10786732 </v>
      </c>
    </row>
    <row r="578" spans="1:12" ht="24.75" x14ac:dyDescent="0.25">
      <c r="A578" s="4" t="s">
        <v>2825</v>
      </c>
      <c r="B578" s="2" t="s">
        <v>1539</v>
      </c>
      <c r="C578" s="3">
        <v>1</v>
      </c>
      <c r="D578" s="5">
        <v>26.99</v>
      </c>
      <c r="E578" s="3" t="s">
        <v>1540</v>
      </c>
      <c r="F578" s="2" t="s">
        <v>252</v>
      </c>
      <c r="G578" s="6" t="s">
        <v>22</v>
      </c>
      <c r="H578" s="2" t="s">
        <v>1473</v>
      </c>
      <c r="I578" s="2" t="s">
        <v>1426</v>
      </c>
      <c r="J578" s="2" t="s">
        <v>19</v>
      </c>
      <c r="K578" s="2" t="s">
        <v>353</v>
      </c>
      <c r="L578" s="7" t="str">
        <f>HYPERLINK("http://slimages.macys.com/is/image/MCY/10786732 ")</f>
        <v xml:space="preserve">http://slimages.macys.com/is/image/MCY/10786732 </v>
      </c>
    </row>
    <row r="579" spans="1:12" ht="24.75" x14ac:dyDescent="0.25">
      <c r="A579" s="4" t="s">
        <v>9680</v>
      </c>
      <c r="B579" s="2" t="s">
        <v>5981</v>
      </c>
      <c r="C579" s="3">
        <v>1</v>
      </c>
      <c r="D579" s="5">
        <v>22.13</v>
      </c>
      <c r="E579" s="3" t="s">
        <v>5982</v>
      </c>
      <c r="F579" s="2" t="s">
        <v>417</v>
      </c>
      <c r="G579" s="6" t="s">
        <v>156</v>
      </c>
      <c r="H579" s="2" t="s">
        <v>194</v>
      </c>
      <c r="I579" s="2" t="s">
        <v>195</v>
      </c>
      <c r="J579" s="2" t="s">
        <v>19</v>
      </c>
      <c r="K579" s="2" t="s">
        <v>1108</v>
      </c>
      <c r="L579" s="7" t="str">
        <f>HYPERLINK("http://slimages.macys.com/is/image/MCY/12063885 ")</f>
        <v xml:space="preserve">http://slimages.macys.com/is/image/MCY/12063885 </v>
      </c>
    </row>
    <row r="580" spans="1:12" ht="24.75" x14ac:dyDescent="0.25">
      <c r="A580" s="4" t="s">
        <v>1546</v>
      </c>
      <c r="B580" s="2" t="s">
        <v>1539</v>
      </c>
      <c r="C580" s="3">
        <v>2</v>
      </c>
      <c r="D580" s="5">
        <v>26.99</v>
      </c>
      <c r="E580" s="3" t="s">
        <v>1540</v>
      </c>
      <c r="F580" s="2" t="s">
        <v>15</v>
      </c>
      <c r="G580" s="6" t="s">
        <v>112</v>
      </c>
      <c r="H580" s="2" t="s">
        <v>1473</v>
      </c>
      <c r="I580" s="2" t="s">
        <v>1426</v>
      </c>
      <c r="J580" s="2" t="s">
        <v>19</v>
      </c>
      <c r="K580" s="2" t="s">
        <v>353</v>
      </c>
      <c r="L580" s="7" t="str">
        <f>HYPERLINK("http://slimages.macys.com/is/image/MCY/10786732 ")</f>
        <v xml:space="preserve">http://slimages.macys.com/is/image/MCY/10786732 </v>
      </c>
    </row>
    <row r="581" spans="1:12" ht="24.75" x14ac:dyDescent="0.25">
      <c r="A581" s="4" t="s">
        <v>1549</v>
      </c>
      <c r="B581" s="2" t="s">
        <v>1539</v>
      </c>
      <c r="C581" s="3">
        <v>1</v>
      </c>
      <c r="D581" s="5">
        <v>26.99</v>
      </c>
      <c r="E581" s="3" t="s">
        <v>1548</v>
      </c>
      <c r="F581" s="2" t="s">
        <v>998</v>
      </c>
      <c r="G581" s="6" t="s">
        <v>205</v>
      </c>
      <c r="H581" s="2" t="s">
        <v>1425</v>
      </c>
      <c r="I581" s="2" t="s">
        <v>1426</v>
      </c>
      <c r="J581" s="2" t="s">
        <v>19</v>
      </c>
      <c r="K581" s="2" t="s">
        <v>353</v>
      </c>
      <c r="L581" s="7" t="str">
        <f>HYPERLINK("http://slimages.macys.com/is/image/MCY/11092539 ")</f>
        <v xml:space="preserve">http://slimages.macys.com/is/image/MCY/11092539 </v>
      </c>
    </row>
    <row r="582" spans="1:12" ht="24.75" x14ac:dyDescent="0.25">
      <c r="A582" s="4" t="s">
        <v>1550</v>
      </c>
      <c r="B582" s="2" t="s">
        <v>1539</v>
      </c>
      <c r="C582" s="3">
        <v>2</v>
      </c>
      <c r="D582" s="5">
        <v>26.99</v>
      </c>
      <c r="E582" s="3" t="s">
        <v>1548</v>
      </c>
      <c r="F582" s="2" t="s">
        <v>998</v>
      </c>
      <c r="G582" s="6" t="s">
        <v>802</v>
      </c>
      <c r="H582" s="2" t="s">
        <v>1425</v>
      </c>
      <c r="I582" s="2" t="s">
        <v>1426</v>
      </c>
      <c r="J582" s="2" t="s">
        <v>19</v>
      </c>
      <c r="K582" s="2" t="s">
        <v>353</v>
      </c>
      <c r="L582" s="7" t="str">
        <f>HYPERLINK("http://slimages.macys.com/is/image/MCY/11092539 ")</f>
        <v xml:space="preserve">http://slimages.macys.com/is/image/MCY/11092539 </v>
      </c>
    </row>
    <row r="583" spans="1:12" ht="24.75" x14ac:dyDescent="0.25">
      <c r="A583" s="4" t="s">
        <v>3963</v>
      </c>
      <c r="B583" s="2" t="s">
        <v>1539</v>
      </c>
      <c r="C583" s="3">
        <v>1</v>
      </c>
      <c r="D583" s="5">
        <v>26.99</v>
      </c>
      <c r="E583" s="3" t="s">
        <v>1548</v>
      </c>
      <c r="F583" s="2" t="s">
        <v>998</v>
      </c>
      <c r="G583" s="6" t="s">
        <v>165</v>
      </c>
      <c r="H583" s="2" t="s">
        <v>1425</v>
      </c>
      <c r="I583" s="2" t="s">
        <v>1426</v>
      </c>
      <c r="J583" s="2" t="s">
        <v>19</v>
      </c>
      <c r="K583" s="2" t="s">
        <v>353</v>
      </c>
      <c r="L583" s="7" t="str">
        <f>HYPERLINK("http://slimages.macys.com/is/image/MCY/11092539 ")</f>
        <v xml:space="preserve">http://slimages.macys.com/is/image/MCY/11092539 </v>
      </c>
    </row>
    <row r="584" spans="1:12" ht="24.75" x14ac:dyDescent="0.25">
      <c r="A584" s="4" t="s">
        <v>2826</v>
      </c>
      <c r="B584" s="2" t="s">
        <v>1539</v>
      </c>
      <c r="C584" s="3">
        <v>1</v>
      </c>
      <c r="D584" s="5">
        <v>26.99</v>
      </c>
      <c r="E584" s="3" t="s">
        <v>1540</v>
      </c>
      <c r="F584" s="2" t="s">
        <v>998</v>
      </c>
      <c r="G584" s="6" t="s">
        <v>27</v>
      </c>
      <c r="H584" s="2" t="s">
        <v>1473</v>
      </c>
      <c r="I584" s="2" t="s">
        <v>1426</v>
      </c>
      <c r="J584" s="2" t="s">
        <v>19</v>
      </c>
      <c r="K584" s="2" t="s">
        <v>353</v>
      </c>
      <c r="L584" s="7" t="str">
        <f t="shared" ref="L584:L602" si="5">HYPERLINK("http://slimages.macys.com/is/image/MCY/10786732 ")</f>
        <v xml:space="preserve">http://slimages.macys.com/is/image/MCY/10786732 </v>
      </c>
    </row>
    <row r="585" spans="1:12" ht="24.75" x14ac:dyDescent="0.25">
      <c r="A585" s="4" t="s">
        <v>3961</v>
      </c>
      <c r="B585" s="2" t="s">
        <v>1539</v>
      </c>
      <c r="C585" s="3">
        <v>1</v>
      </c>
      <c r="D585" s="5">
        <v>26.99</v>
      </c>
      <c r="E585" s="3" t="s">
        <v>1540</v>
      </c>
      <c r="F585" s="2" t="s">
        <v>70</v>
      </c>
      <c r="G585" s="6" t="s">
        <v>58</v>
      </c>
      <c r="H585" s="2" t="s">
        <v>1473</v>
      </c>
      <c r="I585" s="2" t="s">
        <v>1426</v>
      </c>
      <c r="J585" s="2" t="s">
        <v>19</v>
      </c>
      <c r="K585" s="2" t="s">
        <v>353</v>
      </c>
      <c r="L585" s="7" t="str">
        <f t="shared" si="5"/>
        <v xml:space="preserve">http://slimages.macys.com/is/image/MCY/10786732 </v>
      </c>
    </row>
    <row r="586" spans="1:12" ht="24.75" x14ac:dyDescent="0.25">
      <c r="A586" s="4" t="s">
        <v>2829</v>
      </c>
      <c r="B586" s="2" t="s">
        <v>1539</v>
      </c>
      <c r="C586" s="3">
        <v>1</v>
      </c>
      <c r="D586" s="5">
        <v>26.99</v>
      </c>
      <c r="E586" s="3" t="s">
        <v>1540</v>
      </c>
      <c r="F586" s="2" t="s">
        <v>70</v>
      </c>
      <c r="G586" s="6" t="s">
        <v>112</v>
      </c>
      <c r="H586" s="2" t="s">
        <v>1473</v>
      </c>
      <c r="I586" s="2" t="s">
        <v>1426</v>
      </c>
      <c r="J586" s="2" t="s">
        <v>19</v>
      </c>
      <c r="K586" s="2" t="s">
        <v>353</v>
      </c>
      <c r="L586" s="7" t="str">
        <f t="shared" si="5"/>
        <v xml:space="preserve">http://slimages.macys.com/is/image/MCY/10786732 </v>
      </c>
    </row>
    <row r="587" spans="1:12" ht="24.75" x14ac:dyDescent="0.25">
      <c r="A587" s="4" t="s">
        <v>1554</v>
      </c>
      <c r="B587" s="2" t="s">
        <v>1539</v>
      </c>
      <c r="C587" s="3">
        <v>2</v>
      </c>
      <c r="D587" s="5">
        <v>26.99</v>
      </c>
      <c r="E587" s="3" t="s">
        <v>1540</v>
      </c>
      <c r="F587" s="2" t="s">
        <v>70</v>
      </c>
      <c r="G587" s="6" t="s">
        <v>141</v>
      </c>
      <c r="H587" s="2" t="s">
        <v>1473</v>
      </c>
      <c r="I587" s="2" t="s">
        <v>1426</v>
      </c>
      <c r="J587" s="2" t="s">
        <v>19</v>
      </c>
      <c r="K587" s="2" t="s">
        <v>353</v>
      </c>
      <c r="L587" s="7" t="str">
        <f t="shared" si="5"/>
        <v xml:space="preserve">http://slimages.macys.com/is/image/MCY/10786732 </v>
      </c>
    </row>
    <row r="588" spans="1:12" ht="24.75" x14ac:dyDescent="0.25">
      <c r="A588" s="4" t="s">
        <v>1542</v>
      </c>
      <c r="B588" s="2" t="s">
        <v>1539</v>
      </c>
      <c r="C588" s="3">
        <v>1</v>
      </c>
      <c r="D588" s="5">
        <v>26.99</v>
      </c>
      <c r="E588" s="3" t="s">
        <v>1540</v>
      </c>
      <c r="F588" s="2" t="s">
        <v>15</v>
      </c>
      <c r="G588" s="6" t="s">
        <v>141</v>
      </c>
      <c r="H588" s="2" t="s">
        <v>1473</v>
      </c>
      <c r="I588" s="2" t="s">
        <v>1426</v>
      </c>
      <c r="J588" s="2" t="s">
        <v>19</v>
      </c>
      <c r="K588" s="2" t="s">
        <v>353</v>
      </c>
      <c r="L588" s="7" t="str">
        <f t="shared" si="5"/>
        <v xml:space="preserve">http://slimages.macys.com/is/image/MCY/10786732 </v>
      </c>
    </row>
    <row r="589" spans="1:12" ht="24.75" x14ac:dyDescent="0.25">
      <c r="A589" s="4" t="s">
        <v>1545</v>
      </c>
      <c r="B589" s="2" t="s">
        <v>1539</v>
      </c>
      <c r="C589" s="3">
        <v>2</v>
      </c>
      <c r="D589" s="5">
        <v>26.99</v>
      </c>
      <c r="E589" s="3" t="s">
        <v>1540</v>
      </c>
      <c r="F589" s="2" t="s">
        <v>998</v>
      </c>
      <c r="G589" s="6" t="s">
        <v>58</v>
      </c>
      <c r="H589" s="2" t="s">
        <v>1473</v>
      </c>
      <c r="I589" s="2" t="s">
        <v>1426</v>
      </c>
      <c r="J589" s="2" t="s">
        <v>19</v>
      </c>
      <c r="K589" s="2" t="s">
        <v>353</v>
      </c>
      <c r="L589" s="7" t="str">
        <f t="shared" si="5"/>
        <v xml:space="preserve">http://slimages.macys.com/is/image/MCY/10786732 </v>
      </c>
    </row>
    <row r="590" spans="1:12" ht="24.75" x14ac:dyDescent="0.25">
      <c r="A590" s="4" t="s">
        <v>2821</v>
      </c>
      <c r="B590" s="2" t="s">
        <v>1539</v>
      </c>
      <c r="C590" s="3">
        <v>1</v>
      </c>
      <c r="D590" s="5">
        <v>26.99</v>
      </c>
      <c r="E590" s="3" t="s">
        <v>1540</v>
      </c>
      <c r="F590" s="2" t="s">
        <v>998</v>
      </c>
      <c r="G590" s="6" t="s">
        <v>112</v>
      </c>
      <c r="H590" s="2" t="s">
        <v>1473</v>
      </c>
      <c r="I590" s="2" t="s">
        <v>1426</v>
      </c>
      <c r="J590" s="2" t="s">
        <v>19</v>
      </c>
      <c r="K590" s="2" t="s">
        <v>353</v>
      </c>
      <c r="L590" s="7" t="str">
        <f t="shared" si="5"/>
        <v xml:space="preserve">http://slimages.macys.com/is/image/MCY/10786732 </v>
      </c>
    </row>
    <row r="591" spans="1:12" ht="24.75" x14ac:dyDescent="0.25">
      <c r="A591" s="4" t="s">
        <v>1552</v>
      </c>
      <c r="B591" s="2" t="s">
        <v>1539</v>
      </c>
      <c r="C591" s="3">
        <v>5</v>
      </c>
      <c r="D591" s="5">
        <v>26.99</v>
      </c>
      <c r="E591" s="3" t="s">
        <v>1540</v>
      </c>
      <c r="F591" s="2" t="s">
        <v>998</v>
      </c>
      <c r="G591" s="6" t="s">
        <v>22</v>
      </c>
      <c r="H591" s="2" t="s">
        <v>1473</v>
      </c>
      <c r="I591" s="2" t="s">
        <v>1426</v>
      </c>
      <c r="J591" s="2" t="s">
        <v>19</v>
      </c>
      <c r="K591" s="2" t="s">
        <v>353</v>
      </c>
      <c r="L591" s="7" t="str">
        <f t="shared" si="5"/>
        <v xml:space="preserve">http://slimages.macys.com/is/image/MCY/10786732 </v>
      </c>
    </row>
    <row r="592" spans="1:12" ht="24.75" x14ac:dyDescent="0.25">
      <c r="A592" s="4" t="s">
        <v>8751</v>
      </c>
      <c r="B592" s="2" t="s">
        <v>1539</v>
      </c>
      <c r="C592" s="3">
        <v>2</v>
      </c>
      <c r="D592" s="5">
        <v>26.99</v>
      </c>
      <c r="E592" s="3" t="s">
        <v>1540</v>
      </c>
      <c r="F592" s="2" t="s">
        <v>998</v>
      </c>
      <c r="G592" s="6" t="s">
        <v>141</v>
      </c>
      <c r="H592" s="2" t="s">
        <v>1473</v>
      </c>
      <c r="I592" s="2" t="s">
        <v>1426</v>
      </c>
      <c r="J592" s="2" t="s">
        <v>19</v>
      </c>
      <c r="K592" s="2" t="s">
        <v>353</v>
      </c>
      <c r="L592" s="7" t="str">
        <f t="shared" si="5"/>
        <v xml:space="preserve">http://slimages.macys.com/is/image/MCY/10786732 </v>
      </c>
    </row>
    <row r="593" spans="1:12" ht="24.75" x14ac:dyDescent="0.25">
      <c r="A593" s="4" t="s">
        <v>2823</v>
      </c>
      <c r="B593" s="2" t="s">
        <v>1539</v>
      </c>
      <c r="C593" s="3">
        <v>1</v>
      </c>
      <c r="D593" s="5">
        <v>26.99</v>
      </c>
      <c r="E593" s="3" t="s">
        <v>1540</v>
      </c>
      <c r="F593" s="2" t="s">
        <v>998</v>
      </c>
      <c r="G593" s="6" t="s">
        <v>106</v>
      </c>
      <c r="H593" s="2" t="s">
        <v>1473</v>
      </c>
      <c r="I593" s="2" t="s">
        <v>1426</v>
      </c>
      <c r="J593" s="2" t="s">
        <v>19</v>
      </c>
      <c r="K593" s="2" t="s">
        <v>353</v>
      </c>
      <c r="L593" s="7" t="str">
        <f t="shared" si="5"/>
        <v xml:space="preserve">http://slimages.macys.com/is/image/MCY/10786732 </v>
      </c>
    </row>
    <row r="594" spans="1:12" ht="24.75" x14ac:dyDescent="0.25">
      <c r="A594" s="4" t="s">
        <v>2820</v>
      </c>
      <c r="B594" s="2" t="s">
        <v>1539</v>
      </c>
      <c r="C594" s="3">
        <v>7</v>
      </c>
      <c r="D594" s="5">
        <v>26.99</v>
      </c>
      <c r="E594" s="3" t="s">
        <v>1540</v>
      </c>
      <c r="F594" s="2" t="s">
        <v>998</v>
      </c>
      <c r="G594" s="6" t="s">
        <v>16</v>
      </c>
      <c r="H594" s="2" t="s">
        <v>1473</v>
      </c>
      <c r="I594" s="2" t="s">
        <v>1426</v>
      </c>
      <c r="J594" s="2" t="s">
        <v>19</v>
      </c>
      <c r="K594" s="2" t="s">
        <v>353</v>
      </c>
      <c r="L594" s="7" t="str">
        <f t="shared" si="5"/>
        <v xml:space="preserve">http://slimages.macys.com/is/image/MCY/10786732 </v>
      </c>
    </row>
    <row r="595" spans="1:12" ht="24.75" x14ac:dyDescent="0.25">
      <c r="A595" s="4" t="s">
        <v>8256</v>
      </c>
      <c r="B595" s="2" t="s">
        <v>1539</v>
      </c>
      <c r="C595" s="3">
        <v>1</v>
      </c>
      <c r="D595" s="5">
        <v>26.99</v>
      </c>
      <c r="E595" s="3" t="s">
        <v>1540</v>
      </c>
      <c r="F595" s="2" t="s">
        <v>74</v>
      </c>
      <c r="G595" s="6" t="s">
        <v>16</v>
      </c>
      <c r="H595" s="2" t="s">
        <v>1473</v>
      </c>
      <c r="I595" s="2" t="s">
        <v>1426</v>
      </c>
      <c r="J595" s="2" t="s">
        <v>19</v>
      </c>
      <c r="K595" s="2" t="s">
        <v>353</v>
      </c>
      <c r="L595" s="7" t="str">
        <f t="shared" si="5"/>
        <v xml:space="preserve">http://slimages.macys.com/is/image/MCY/10786732 </v>
      </c>
    </row>
    <row r="596" spans="1:12" ht="24.75" x14ac:dyDescent="0.25">
      <c r="A596" s="4" t="s">
        <v>9140</v>
      </c>
      <c r="B596" s="2" t="s">
        <v>1539</v>
      </c>
      <c r="C596" s="3">
        <v>1</v>
      </c>
      <c r="D596" s="5">
        <v>26.99</v>
      </c>
      <c r="E596" s="3" t="s">
        <v>1540</v>
      </c>
      <c r="F596" s="2" t="s">
        <v>1234</v>
      </c>
      <c r="G596" s="6" t="s">
        <v>141</v>
      </c>
      <c r="H596" s="2" t="s">
        <v>1473</v>
      </c>
      <c r="I596" s="2" t="s">
        <v>1426</v>
      </c>
      <c r="J596" s="2" t="s">
        <v>19</v>
      </c>
      <c r="K596" s="2" t="s">
        <v>353</v>
      </c>
      <c r="L596" s="7" t="str">
        <f t="shared" si="5"/>
        <v xml:space="preserve">http://slimages.macys.com/is/image/MCY/10786732 </v>
      </c>
    </row>
    <row r="597" spans="1:12" ht="24.75" x14ac:dyDescent="0.25">
      <c r="A597" s="4" t="s">
        <v>2819</v>
      </c>
      <c r="B597" s="2" t="s">
        <v>1539</v>
      </c>
      <c r="C597" s="3">
        <v>2</v>
      </c>
      <c r="D597" s="5">
        <v>26.99</v>
      </c>
      <c r="E597" s="3" t="s">
        <v>1540</v>
      </c>
      <c r="F597" s="2" t="s">
        <v>74</v>
      </c>
      <c r="G597" s="6" t="s">
        <v>22</v>
      </c>
      <c r="H597" s="2" t="s">
        <v>1473</v>
      </c>
      <c r="I597" s="2" t="s">
        <v>1426</v>
      </c>
      <c r="J597" s="2" t="s">
        <v>19</v>
      </c>
      <c r="K597" s="2" t="s">
        <v>353</v>
      </c>
      <c r="L597" s="7" t="str">
        <f t="shared" si="5"/>
        <v xml:space="preserve">http://slimages.macys.com/is/image/MCY/10786732 </v>
      </c>
    </row>
    <row r="598" spans="1:12" ht="24.75" x14ac:dyDescent="0.25">
      <c r="A598" s="4" t="s">
        <v>3955</v>
      </c>
      <c r="B598" s="2" t="s">
        <v>1539</v>
      </c>
      <c r="C598" s="3">
        <v>1</v>
      </c>
      <c r="D598" s="5">
        <v>26.99</v>
      </c>
      <c r="E598" s="3" t="s">
        <v>1540</v>
      </c>
      <c r="F598" s="2" t="s">
        <v>70</v>
      </c>
      <c r="G598" s="6" t="s">
        <v>27</v>
      </c>
      <c r="H598" s="2" t="s">
        <v>1473</v>
      </c>
      <c r="I598" s="2" t="s">
        <v>1426</v>
      </c>
      <c r="J598" s="2" t="s">
        <v>19</v>
      </c>
      <c r="K598" s="2" t="s">
        <v>353</v>
      </c>
      <c r="L598" s="7" t="str">
        <f t="shared" si="5"/>
        <v xml:space="preserve">http://slimages.macys.com/is/image/MCY/10786732 </v>
      </c>
    </row>
    <row r="599" spans="1:12" ht="24.75" x14ac:dyDescent="0.25">
      <c r="A599" s="4" t="s">
        <v>5979</v>
      </c>
      <c r="B599" s="2" t="s">
        <v>1539</v>
      </c>
      <c r="C599" s="3">
        <v>1</v>
      </c>
      <c r="D599" s="5">
        <v>26.99</v>
      </c>
      <c r="E599" s="3" t="s">
        <v>1540</v>
      </c>
      <c r="F599" s="2" t="s">
        <v>74</v>
      </c>
      <c r="G599" s="6" t="s">
        <v>27</v>
      </c>
      <c r="H599" s="2" t="s">
        <v>1473</v>
      </c>
      <c r="I599" s="2" t="s">
        <v>1426</v>
      </c>
      <c r="J599" s="2" t="s">
        <v>19</v>
      </c>
      <c r="K599" s="2" t="s">
        <v>353</v>
      </c>
      <c r="L599" s="7" t="str">
        <f t="shared" si="5"/>
        <v xml:space="preserve">http://slimages.macys.com/is/image/MCY/10786732 </v>
      </c>
    </row>
    <row r="600" spans="1:12" ht="24.75" x14ac:dyDescent="0.25">
      <c r="A600" s="4" t="s">
        <v>1544</v>
      </c>
      <c r="B600" s="2" t="s">
        <v>1539</v>
      </c>
      <c r="C600" s="3">
        <v>2</v>
      </c>
      <c r="D600" s="5">
        <v>26.99</v>
      </c>
      <c r="E600" s="3" t="s">
        <v>1540</v>
      </c>
      <c r="F600" s="2" t="s">
        <v>252</v>
      </c>
      <c r="G600" s="6" t="s">
        <v>112</v>
      </c>
      <c r="H600" s="2" t="s">
        <v>1473</v>
      </c>
      <c r="I600" s="2" t="s">
        <v>1426</v>
      </c>
      <c r="J600" s="2" t="s">
        <v>19</v>
      </c>
      <c r="K600" s="2" t="s">
        <v>353</v>
      </c>
      <c r="L600" s="7" t="str">
        <f t="shared" si="5"/>
        <v xml:space="preserve">http://slimages.macys.com/is/image/MCY/10786732 </v>
      </c>
    </row>
    <row r="601" spans="1:12" ht="24.75" x14ac:dyDescent="0.25">
      <c r="A601" s="4" t="s">
        <v>3959</v>
      </c>
      <c r="B601" s="2" t="s">
        <v>1539</v>
      </c>
      <c r="C601" s="3">
        <v>2</v>
      </c>
      <c r="D601" s="5">
        <v>26.99</v>
      </c>
      <c r="E601" s="3" t="s">
        <v>1540</v>
      </c>
      <c r="F601" s="2" t="s">
        <v>252</v>
      </c>
      <c r="G601" s="6" t="s">
        <v>16</v>
      </c>
      <c r="H601" s="2" t="s">
        <v>1473</v>
      </c>
      <c r="I601" s="2" t="s">
        <v>1426</v>
      </c>
      <c r="J601" s="2" t="s">
        <v>19</v>
      </c>
      <c r="K601" s="2" t="s">
        <v>353</v>
      </c>
      <c r="L601" s="7" t="str">
        <f t="shared" si="5"/>
        <v xml:space="preserve">http://slimages.macys.com/is/image/MCY/10786732 </v>
      </c>
    </row>
    <row r="602" spans="1:12" ht="24.75" x14ac:dyDescent="0.25">
      <c r="A602" s="4" t="s">
        <v>2817</v>
      </c>
      <c r="B602" s="2" t="s">
        <v>1539</v>
      </c>
      <c r="C602" s="3">
        <v>1</v>
      </c>
      <c r="D602" s="5">
        <v>26.99</v>
      </c>
      <c r="E602" s="3" t="s">
        <v>1540</v>
      </c>
      <c r="F602" s="2" t="s">
        <v>1234</v>
      </c>
      <c r="G602" s="6" t="s">
        <v>112</v>
      </c>
      <c r="H602" s="2" t="s">
        <v>1473</v>
      </c>
      <c r="I602" s="2" t="s">
        <v>1426</v>
      </c>
      <c r="J602" s="2" t="s">
        <v>19</v>
      </c>
      <c r="K602" s="2" t="s">
        <v>353</v>
      </c>
      <c r="L602" s="7" t="str">
        <f t="shared" si="5"/>
        <v xml:space="preserve">http://slimages.macys.com/is/image/MCY/10786732 </v>
      </c>
    </row>
    <row r="603" spans="1:12" ht="24.75" x14ac:dyDescent="0.25">
      <c r="A603" s="4" t="s">
        <v>9681</v>
      </c>
      <c r="B603" s="2" t="s">
        <v>5981</v>
      </c>
      <c r="C603" s="3">
        <v>1</v>
      </c>
      <c r="D603" s="5">
        <v>22.13</v>
      </c>
      <c r="E603" s="3" t="s">
        <v>5982</v>
      </c>
      <c r="F603" s="2" t="s">
        <v>74</v>
      </c>
      <c r="G603" s="6" t="s">
        <v>234</v>
      </c>
      <c r="H603" s="2" t="s">
        <v>194</v>
      </c>
      <c r="I603" s="2" t="s">
        <v>195</v>
      </c>
      <c r="J603" s="2" t="s">
        <v>19</v>
      </c>
      <c r="K603" s="2" t="s">
        <v>1108</v>
      </c>
      <c r="L603" s="7" t="str">
        <f>HYPERLINK("http://slimages.macys.com/is/image/MCY/12063885 ")</f>
        <v xml:space="preserve">http://slimages.macys.com/is/image/MCY/12063885 </v>
      </c>
    </row>
    <row r="604" spans="1:12" ht="24.75" x14ac:dyDescent="0.25">
      <c r="A604" s="4" t="s">
        <v>2833</v>
      </c>
      <c r="B604" s="2" t="s">
        <v>1556</v>
      </c>
      <c r="C604" s="3">
        <v>2</v>
      </c>
      <c r="D604" s="5">
        <v>25.88</v>
      </c>
      <c r="E604" s="3">
        <v>100018059</v>
      </c>
      <c r="F604" s="2" t="s">
        <v>64</v>
      </c>
      <c r="G604" s="6" t="s">
        <v>234</v>
      </c>
      <c r="H604" s="2" t="s">
        <v>194</v>
      </c>
      <c r="I604" s="2" t="s">
        <v>195</v>
      </c>
      <c r="J604" s="2" t="s">
        <v>19</v>
      </c>
      <c r="K604" s="2" t="s">
        <v>648</v>
      </c>
      <c r="L604" s="7" t="str">
        <f>HYPERLINK("http://slimages.macys.com/is/image/MCY/9795496 ")</f>
        <v xml:space="preserve">http://slimages.macys.com/is/image/MCY/9795496 </v>
      </c>
    </row>
    <row r="605" spans="1:12" ht="24.75" x14ac:dyDescent="0.25">
      <c r="A605" s="4" t="s">
        <v>2834</v>
      </c>
      <c r="B605" s="2" t="s">
        <v>1559</v>
      </c>
      <c r="C605" s="3">
        <v>1</v>
      </c>
      <c r="D605" s="5">
        <v>24.99</v>
      </c>
      <c r="E605" s="3" t="s">
        <v>1564</v>
      </c>
      <c r="F605" s="2" t="s">
        <v>15</v>
      </c>
      <c r="G605" s="6" t="s">
        <v>219</v>
      </c>
      <c r="H605" s="2" t="s">
        <v>1425</v>
      </c>
      <c r="I605" s="2" t="s">
        <v>1469</v>
      </c>
      <c r="J605" s="2" t="s">
        <v>19</v>
      </c>
      <c r="K605" s="2" t="s">
        <v>353</v>
      </c>
      <c r="L605" s="7" t="str">
        <f>HYPERLINK("http://slimages.macys.com/is/image/MCY/11883694 ")</f>
        <v xml:space="preserve">http://slimages.macys.com/is/image/MCY/11883694 </v>
      </c>
    </row>
    <row r="606" spans="1:12" ht="24.75" x14ac:dyDescent="0.25">
      <c r="A606" s="4" t="s">
        <v>9682</v>
      </c>
      <c r="B606" s="2" t="s">
        <v>1559</v>
      </c>
      <c r="C606" s="3">
        <v>1</v>
      </c>
      <c r="D606" s="5">
        <v>24.99</v>
      </c>
      <c r="E606" s="3" t="s">
        <v>1560</v>
      </c>
      <c r="F606" s="2" t="s">
        <v>33</v>
      </c>
      <c r="G606" s="6" t="s">
        <v>219</v>
      </c>
      <c r="H606" s="2" t="s">
        <v>1425</v>
      </c>
      <c r="I606" s="2" t="s">
        <v>1469</v>
      </c>
      <c r="J606" s="2" t="s">
        <v>19</v>
      </c>
      <c r="K606" s="2" t="s">
        <v>353</v>
      </c>
      <c r="L606" s="7" t="str">
        <f>HYPERLINK("http://slimages.macys.com/is/image/MCY/9406309 ")</f>
        <v xml:space="preserve">http://slimages.macys.com/is/image/MCY/9406309 </v>
      </c>
    </row>
    <row r="607" spans="1:12" ht="24.75" x14ac:dyDescent="0.25">
      <c r="A607" s="4" t="s">
        <v>9683</v>
      </c>
      <c r="B607" s="2" t="s">
        <v>1559</v>
      </c>
      <c r="C607" s="3">
        <v>1</v>
      </c>
      <c r="D607" s="5">
        <v>24.99</v>
      </c>
      <c r="E607" s="3" t="s">
        <v>1560</v>
      </c>
      <c r="F607" s="2" t="s">
        <v>33</v>
      </c>
      <c r="G607" s="6" t="s">
        <v>187</v>
      </c>
      <c r="H607" s="2" t="s">
        <v>1425</v>
      </c>
      <c r="I607" s="2" t="s">
        <v>1469</v>
      </c>
      <c r="J607" s="2" t="s">
        <v>19</v>
      </c>
      <c r="K607" s="2" t="s">
        <v>353</v>
      </c>
      <c r="L607" s="7" t="str">
        <f>HYPERLINK("http://slimages.macys.com/is/image/MCY/9406309 ")</f>
        <v xml:space="preserve">http://slimages.macys.com/is/image/MCY/9406309 </v>
      </c>
    </row>
    <row r="608" spans="1:12" ht="36.75" x14ac:dyDescent="0.25">
      <c r="A608" s="4" t="s">
        <v>9684</v>
      </c>
      <c r="B608" s="2" t="s">
        <v>1575</v>
      </c>
      <c r="C608" s="3">
        <v>1</v>
      </c>
      <c r="D608" s="5">
        <v>33.380000000000003</v>
      </c>
      <c r="E608" s="3" t="s">
        <v>1576</v>
      </c>
      <c r="F608" s="2" t="s">
        <v>125</v>
      </c>
      <c r="G608" s="6" t="s">
        <v>181</v>
      </c>
      <c r="H608" s="2" t="s">
        <v>194</v>
      </c>
      <c r="I608" s="2" t="s">
        <v>195</v>
      </c>
      <c r="J608" s="2" t="s">
        <v>19</v>
      </c>
      <c r="K608" s="2" t="s">
        <v>1577</v>
      </c>
      <c r="L608" s="7" t="str">
        <f>HYPERLINK("http://slimages.macys.com/is/image/MCY/12734297 ")</f>
        <v xml:space="preserve">http://slimages.macys.com/is/image/MCY/12734297 </v>
      </c>
    </row>
    <row r="609" spans="1:12" ht="36.75" x14ac:dyDescent="0.25">
      <c r="A609" s="4" t="s">
        <v>9685</v>
      </c>
      <c r="B609" s="2" t="s">
        <v>1575</v>
      </c>
      <c r="C609" s="3">
        <v>1</v>
      </c>
      <c r="D609" s="5">
        <v>33.380000000000003</v>
      </c>
      <c r="E609" s="3" t="s">
        <v>1576</v>
      </c>
      <c r="F609" s="2" t="s">
        <v>125</v>
      </c>
      <c r="G609" s="6" t="s">
        <v>156</v>
      </c>
      <c r="H609" s="2" t="s">
        <v>194</v>
      </c>
      <c r="I609" s="2" t="s">
        <v>195</v>
      </c>
      <c r="J609" s="2" t="s">
        <v>19</v>
      </c>
      <c r="K609" s="2" t="s">
        <v>1577</v>
      </c>
      <c r="L609" s="7" t="str">
        <f>HYPERLINK("http://slimages.macys.com/is/image/MCY/12734297 ")</f>
        <v xml:space="preserve">http://slimages.macys.com/is/image/MCY/12734297 </v>
      </c>
    </row>
    <row r="610" spans="1:12" ht="36.75" x14ac:dyDescent="0.25">
      <c r="A610" s="4" t="s">
        <v>3973</v>
      </c>
      <c r="B610" s="2" t="s">
        <v>2840</v>
      </c>
      <c r="C610" s="3">
        <v>1</v>
      </c>
      <c r="D610" s="5">
        <v>33.380000000000003</v>
      </c>
      <c r="E610" s="3" t="s">
        <v>2841</v>
      </c>
      <c r="F610" s="2" t="s">
        <v>676</v>
      </c>
      <c r="G610" s="6" t="s">
        <v>156</v>
      </c>
      <c r="H610" s="2" t="s">
        <v>194</v>
      </c>
      <c r="I610" s="2" t="s">
        <v>195</v>
      </c>
      <c r="J610" s="2" t="s">
        <v>19</v>
      </c>
      <c r="K610" s="2" t="s">
        <v>2842</v>
      </c>
      <c r="L610" s="7" t="str">
        <f>HYPERLINK("http://slimages.macys.com/is/image/MCY/12143804 ")</f>
        <v xml:space="preserve">http://slimages.macys.com/is/image/MCY/12143804 </v>
      </c>
    </row>
    <row r="611" spans="1:12" ht="24.75" x14ac:dyDescent="0.25">
      <c r="A611" s="4" t="s">
        <v>9686</v>
      </c>
      <c r="B611" s="2" t="s">
        <v>1579</v>
      </c>
      <c r="C611" s="3">
        <v>1</v>
      </c>
      <c r="D611" s="5">
        <v>29.63</v>
      </c>
      <c r="E611" s="3" t="s">
        <v>1580</v>
      </c>
      <c r="F611" s="2" t="s">
        <v>48</v>
      </c>
      <c r="G611" s="6" t="s">
        <v>200</v>
      </c>
      <c r="H611" s="2" t="s">
        <v>194</v>
      </c>
      <c r="I611" s="2" t="s">
        <v>195</v>
      </c>
      <c r="J611" s="2" t="s">
        <v>19</v>
      </c>
      <c r="K611" s="2" t="s">
        <v>691</v>
      </c>
      <c r="L611" s="7" t="str">
        <f>HYPERLINK("http://slimages.macys.com/is/image/MCY/12950272 ")</f>
        <v xml:space="preserve">http://slimages.macys.com/is/image/MCY/12950272 </v>
      </c>
    </row>
    <row r="612" spans="1:12" ht="24.75" x14ac:dyDescent="0.25">
      <c r="A612" s="4" t="s">
        <v>6735</v>
      </c>
      <c r="B612" s="2" t="s">
        <v>1586</v>
      </c>
      <c r="C612" s="3">
        <v>1</v>
      </c>
      <c r="D612" s="5">
        <v>21.99</v>
      </c>
      <c r="E612" s="3" t="s">
        <v>1587</v>
      </c>
      <c r="F612" s="2" t="s">
        <v>1234</v>
      </c>
      <c r="G612" s="6"/>
      <c r="H612" s="2" t="s">
        <v>1425</v>
      </c>
      <c r="I612" s="2" t="s">
        <v>1426</v>
      </c>
      <c r="J612" s="2" t="s">
        <v>19</v>
      </c>
      <c r="K612" s="2" t="s">
        <v>34</v>
      </c>
      <c r="L612" s="7" t="str">
        <f>HYPERLINK("http://slimages.macys.com/is/image/MCY/11174709 ")</f>
        <v xml:space="preserve">http://slimages.macys.com/is/image/MCY/11174709 </v>
      </c>
    </row>
    <row r="613" spans="1:12" ht="24.75" x14ac:dyDescent="0.25">
      <c r="A613" s="4" t="s">
        <v>1610</v>
      </c>
      <c r="B613" s="2" t="s">
        <v>1586</v>
      </c>
      <c r="C613" s="3">
        <v>1</v>
      </c>
      <c r="D613" s="5">
        <v>21.99</v>
      </c>
      <c r="E613" s="3" t="s">
        <v>1587</v>
      </c>
      <c r="F613" s="2" t="s">
        <v>15</v>
      </c>
      <c r="G613" s="6"/>
      <c r="H613" s="2" t="s">
        <v>1425</v>
      </c>
      <c r="I613" s="2" t="s">
        <v>1426</v>
      </c>
      <c r="J613" s="2" t="s">
        <v>19</v>
      </c>
      <c r="K613" s="2" t="s">
        <v>34</v>
      </c>
      <c r="L613" s="7" t="str">
        <f>HYPERLINK("http://slimages.macys.com/is/image/MCY/11174709 ")</f>
        <v xml:space="preserve">http://slimages.macys.com/is/image/MCY/11174709 </v>
      </c>
    </row>
    <row r="614" spans="1:12" ht="24.75" x14ac:dyDescent="0.25">
      <c r="A614" s="4" t="s">
        <v>9687</v>
      </c>
      <c r="B614" s="2" t="s">
        <v>1596</v>
      </c>
      <c r="C614" s="3">
        <v>1</v>
      </c>
      <c r="D614" s="5">
        <v>31</v>
      </c>
      <c r="E614" s="3" t="s">
        <v>1597</v>
      </c>
      <c r="F614" s="2" t="s">
        <v>74</v>
      </c>
      <c r="G614" s="6" t="s">
        <v>446</v>
      </c>
      <c r="H614" s="2" t="s">
        <v>447</v>
      </c>
      <c r="I614" s="2" t="s">
        <v>792</v>
      </c>
      <c r="J614" s="2" t="s">
        <v>19</v>
      </c>
      <c r="K614" s="2" t="s">
        <v>160</v>
      </c>
      <c r="L614" s="7" t="str">
        <f>HYPERLINK("http://slimages.macys.com/is/image/MCY/14876146 ")</f>
        <v xml:space="preserve">http://slimages.macys.com/is/image/MCY/14876146 </v>
      </c>
    </row>
    <row r="615" spans="1:12" ht="24.75" x14ac:dyDescent="0.25">
      <c r="A615" s="4" t="s">
        <v>2846</v>
      </c>
      <c r="B615" s="2" t="s">
        <v>1586</v>
      </c>
      <c r="C615" s="3">
        <v>2</v>
      </c>
      <c r="D615" s="5">
        <v>21.99</v>
      </c>
      <c r="E615" s="3" t="s">
        <v>1587</v>
      </c>
      <c r="F615" s="2" t="s">
        <v>252</v>
      </c>
      <c r="G615" s="6"/>
      <c r="H615" s="2" t="s">
        <v>1425</v>
      </c>
      <c r="I615" s="2" t="s">
        <v>1426</v>
      </c>
      <c r="J615" s="2" t="s">
        <v>19</v>
      </c>
      <c r="K615" s="2" t="s">
        <v>34</v>
      </c>
      <c r="L615" s="7" t="str">
        <f>HYPERLINK("http://slimages.macys.com/is/image/MCY/11174709 ")</f>
        <v xml:space="preserve">http://slimages.macys.com/is/image/MCY/11174709 </v>
      </c>
    </row>
    <row r="616" spans="1:12" ht="24.75" x14ac:dyDescent="0.25">
      <c r="A616" s="4" t="s">
        <v>3976</v>
      </c>
      <c r="B616" s="2" t="s">
        <v>1586</v>
      </c>
      <c r="C616" s="3">
        <v>1</v>
      </c>
      <c r="D616" s="5">
        <v>21.99</v>
      </c>
      <c r="E616" s="3" t="s">
        <v>1587</v>
      </c>
      <c r="F616" s="2" t="s">
        <v>15</v>
      </c>
      <c r="G616" s="6"/>
      <c r="H616" s="2" t="s">
        <v>1425</v>
      </c>
      <c r="I616" s="2" t="s">
        <v>1426</v>
      </c>
      <c r="J616" s="2" t="s">
        <v>19</v>
      </c>
      <c r="K616" s="2" t="s">
        <v>34</v>
      </c>
      <c r="L616" s="7" t="str">
        <f>HYPERLINK("http://slimages.macys.com/is/image/MCY/11174709 ")</f>
        <v xml:space="preserve">http://slimages.macys.com/is/image/MCY/11174709 </v>
      </c>
    </row>
    <row r="617" spans="1:12" ht="24.75" x14ac:dyDescent="0.25">
      <c r="A617" s="4" t="s">
        <v>9688</v>
      </c>
      <c r="B617" s="2" t="s">
        <v>1586</v>
      </c>
      <c r="C617" s="3">
        <v>1</v>
      </c>
      <c r="D617" s="5">
        <v>21.99</v>
      </c>
      <c r="E617" s="3" t="s">
        <v>1591</v>
      </c>
      <c r="F617" s="2" t="s">
        <v>15</v>
      </c>
      <c r="G617" s="6" t="s">
        <v>181</v>
      </c>
      <c r="H617" s="2" t="s">
        <v>1473</v>
      </c>
      <c r="I617" s="2" t="s">
        <v>1426</v>
      </c>
      <c r="J617" s="2"/>
      <c r="K617" s="2"/>
      <c r="L617" s="7" t="str">
        <f>HYPERLINK("http://slimages.macys.com/is/image/MCY/10205118 ")</f>
        <v xml:space="preserve">http://slimages.macys.com/is/image/MCY/10205118 </v>
      </c>
    </row>
    <row r="618" spans="1:12" ht="24.75" x14ac:dyDescent="0.25">
      <c r="A618" s="4" t="s">
        <v>9689</v>
      </c>
      <c r="B618" s="2" t="s">
        <v>1596</v>
      </c>
      <c r="C618" s="3">
        <v>1</v>
      </c>
      <c r="D618" s="5">
        <v>31</v>
      </c>
      <c r="E618" s="3" t="s">
        <v>1597</v>
      </c>
      <c r="F618" s="2" t="s">
        <v>74</v>
      </c>
      <c r="G618" s="6" t="s">
        <v>794</v>
      </c>
      <c r="H618" s="2" t="s">
        <v>447</v>
      </c>
      <c r="I618" s="2" t="s">
        <v>792</v>
      </c>
      <c r="J618" s="2" t="s">
        <v>19</v>
      </c>
      <c r="K618" s="2" t="s">
        <v>160</v>
      </c>
      <c r="L618" s="7" t="str">
        <f>HYPERLINK("http://slimages.macys.com/is/image/MCY/14876146 ")</f>
        <v xml:space="preserve">http://slimages.macys.com/is/image/MCY/14876146 </v>
      </c>
    </row>
    <row r="619" spans="1:12" ht="24.75" x14ac:dyDescent="0.25">
      <c r="A619" s="4" t="s">
        <v>1603</v>
      </c>
      <c r="B619" s="2" t="s">
        <v>1586</v>
      </c>
      <c r="C619" s="3">
        <v>1</v>
      </c>
      <c r="D619" s="5">
        <v>21.99</v>
      </c>
      <c r="E619" s="3" t="s">
        <v>1587</v>
      </c>
      <c r="F619" s="2" t="s">
        <v>74</v>
      </c>
      <c r="G619" s="6"/>
      <c r="H619" s="2" t="s">
        <v>1425</v>
      </c>
      <c r="I619" s="2" t="s">
        <v>1426</v>
      </c>
      <c r="J619" s="2" t="s">
        <v>19</v>
      </c>
      <c r="K619" s="2" t="s">
        <v>34</v>
      </c>
      <c r="L619" s="7" t="str">
        <f>HYPERLINK("http://slimages.macys.com/is/image/MCY/11174709 ")</f>
        <v xml:space="preserve">http://slimages.macys.com/is/image/MCY/11174709 </v>
      </c>
    </row>
    <row r="620" spans="1:12" ht="24.75" x14ac:dyDescent="0.25">
      <c r="A620" s="4" t="s">
        <v>1585</v>
      </c>
      <c r="B620" s="2" t="s">
        <v>1586</v>
      </c>
      <c r="C620" s="3">
        <v>1</v>
      </c>
      <c r="D620" s="5">
        <v>21.99</v>
      </c>
      <c r="E620" s="3" t="s">
        <v>1587</v>
      </c>
      <c r="F620" s="2" t="s">
        <v>136</v>
      </c>
      <c r="G620" s="6" t="s">
        <v>219</v>
      </c>
      <c r="H620" s="2" t="s">
        <v>1425</v>
      </c>
      <c r="I620" s="2" t="s">
        <v>1426</v>
      </c>
      <c r="J620" s="2" t="s">
        <v>19</v>
      </c>
      <c r="K620" s="2" t="s">
        <v>34</v>
      </c>
      <c r="L620" s="7" t="str">
        <f>HYPERLINK("http://slimages.macys.com/is/image/MCY/11174709 ")</f>
        <v xml:space="preserve">http://slimages.macys.com/is/image/MCY/11174709 </v>
      </c>
    </row>
    <row r="621" spans="1:12" ht="24.75" x14ac:dyDescent="0.25">
      <c r="A621" s="4" t="s">
        <v>3980</v>
      </c>
      <c r="B621" s="2" t="s">
        <v>1586</v>
      </c>
      <c r="C621" s="3">
        <v>1</v>
      </c>
      <c r="D621" s="5">
        <v>21.99</v>
      </c>
      <c r="E621" s="3" t="s">
        <v>1587</v>
      </c>
      <c r="F621" s="2" t="s">
        <v>15</v>
      </c>
      <c r="G621" s="6" t="s">
        <v>219</v>
      </c>
      <c r="H621" s="2" t="s">
        <v>1425</v>
      </c>
      <c r="I621" s="2" t="s">
        <v>1426</v>
      </c>
      <c r="J621" s="2" t="s">
        <v>19</v>
      </c>
      <c r="K621" s="2" t="s">
        <v>34</v>
      </c>
      <c r="L621" s="7" t="str">
        <f>HYPERLINK("http://slimages.macys.com/is/image/MCY/11174709 ")</f>
        <v xml:space="preserve">http://slimages.macys.com/is/image/MCY/11174709 </v>
      </c>
    </row>
    <row r="622" spans="1:12" ht="24.75" x14ac:dyDescent="0.25">
      <c r="A622" s="4" t="s">
        <v>7564</v>
      </c>
      <c r="B622" s="2" t="s">
        <v>1616</v>
      </c>
      <c r="C622" s="3">
        <v>1</v>
      </c>
      <c r="D622" s="5">
        <v>25.88</v>
      </c>
      <c r="E622" s="3">
        <v>100011992</v>
      </c>
      <c r="F622" s="2" t="s">
        <v>26</v>
      </c>
      <c r="G622" s="6" t="s">
        <v>154</v>
      </c>
      <c r="H622" s="2" t="s">
        <v>194</v>
      </c>
      <c r="I622" s="2" t="s">
        <v>195</v>
      </c>
      <c r="J622" s="2" t="s">
        <v>19</v>
      </c>
      <c r="K622" s="2" t="s">
        <v>1617</v>
      </c>
      <c r="L622" s="7" t="str">
        <f>HYPERLINK("http://slimages.macys.com/is/image/MCY/13314771 ")</f>
        <v xml:space="preserve">http://slimages.macys.com/is/image/MCY/13314771 </v>
      </c>
    </row>
    <row r="623" spans="1:12" ht="24.75" x14ac:dyDescent="0.25">
      <c r="A623" s="4" t="s">
        <v>1621</v>
      </c>
      <c r="B623" s="2" t="s">
        <v>1529</v>
      </c>
      <c r="C623" s="3">
        <v>1</v>
      </c>
      <c r="D623" s="5">
        <v>37.130000000000003</v>
      </c>
      <c r="E623" s="3" t="s">
        <v>1530</v>
      </c>
      <c r="F623" s="2" t="s">
        <v>998</v>
      </c>
      <c r="G623" s="6" t="s">
        <v>205</v>
      </c>
      <c r="H623" s="2" t="s">
        <v>312</v>
      </c>
      <c r="I623" s="2" t="s">
        <v>195</v>
      </c>
      <c r="J623" s="2" t="s">
        <v>19</v>
      </c>
      <c r="K623" s="2" t="s">
        <v>353</v>
      </c>
      <c r="L623" s="7" t="str">
        <f>HYPERLINK("http://slimages.macys.com/is/image/MCY/11938040 ")</f>
        <v xml:space="preserve">http://slimages.macys.com/is/image/MCY/11938040 </v>
      </c>
    </row>
    <row r="624" spans="1:12" ht="24.75" x14ac:dyDescent="0.25">
      <c r="A624" s="4" t="s">
        <v>1620</v>
      </c>
      <c r="B624" s="2" t="s">
        <v>1529</v>
      </c>
      <c r="C624" s="3">
        <v>1</v>
      </c>
      <c r="D624" s="5">
        <v>37.130000000000003</v>
      </c>
      <c r="E624" s="3" t="s">
        <v>1530</v>
      </c>
      <c r="F624" s="2" t="s">
        <v>998</v>
      </c>
      <c r="G624" s="6" t="s">
        <v>934</v>
      </c>
      <c r="H624" s="2" t="s">
        <v>312</v>
      </c>
      <c r="I624" s="2" t="s">
        <v>195</v>
      </c>
      <c r="J624" s="2" t="s">
        <v>19</v>
      </c>
      <c r="K624" s="2" t="s">
        <v>353</v>
      </c>
      <c r="L624" s="7" t="str">
        <f>HYPERLINK("http://slimages.macys.com/is/image/MCY/11938040 ")</f>
        <v xml:space="preserve">http://slimages.macys.com/is/image/MCY/11938040 </v>
      </c>
    </row>
    <row r="625" spans="1:12" ht="24.75" x14ac:dyDescent="0.25">
      <c r="A625" s="4" t="s">
        <v>9690</v>
      </c>
      <c r="B625" s="2" t="s">
        <v>1529</v>
      </c>
      <c r="C625" s="3">
        <v>1</v>
      </c>
      <c r="D625" s="5">
        <v>37.130000000000003</v>
      </c>
      <c r="E625" s="3" t="s">
        <v>1530</v>
      </c>
      <c r="F625" s="2" t="s">
        <v>998</v>
      </c>
      <c r="G625" s="6" t="s">
        <v>363</v>
      </c>
      <c r="H625" s="2" t="s">
        <v>312</v>
      </c>
      <c r="I625" s="2" t="s">
        <v>195</v>
      </c>
      <c r="J625" s="2" t="s">
        <v>19</v>
      </c>
      <c r="K625" s="2" t="s">
        <v>353</v>
      </c>
      <c r="L625" s="7" t="str">
        <f>HYPERLINK("http://slimages.macys.com/is/image/MCY/11938040 ")</f>
        <v xml:space="preserve">http://slimages.macys.com/is/image/MCY/11938040 </v>
      </c>
    </row>
    <row r="626" spans="1:12" ht="24.75" x14ac:dyDescent="0.25">
      <c r="A626" s="4" t="s">
        <v>5060</v>
      </c>
      <c r="B626" s="2" t="s">
        <v>2856</v>
      </c>
      <c r="C626" s="3">
        <v>1</v>
      </c>
      <c r="D626" s="5">
        <v>24.99</v>
      </c>
      <c r="E626" s="3" t="s">
        <v>2857</v>
      </c>
      <c r="F626" s="2" t="s">
        <v>15</v>
      </c>
      <c r="G626" s="6" t="s">
        <v>219</v>
      </c>
      <c r="H626" s="2" t="s">
        <v>1425</v>
      </c>
      <c r="I626" s="2" t="s">
        <v>1426</v>
      </c>
      <c r="J626" s="2" t="s">
        <v>19</v>
      </c>
      <c r="K626" s="2" t="s">
        <v>495</v>
      </c>
      <c r="L626" s="7" t="str">
        <f>HYPERLINK("http://slimages.macys.com/is/image/MCY/11831271 ")</f>
        <v xml:space="preserve">http://slimages.macys.com/is/image/MCY/11831271 </v>
      </c>
    </row>
    <row r="627" spans="1:12" ht="24.75" x14ac:dyDescent="0.25">
      <c r="A627" s="4" t="s">
        <v>5059</v>
      </c>
      <c r="B627" s="2" t="s">
        <v>2856</v>
      </c>
      <c r="C627" s="3">
        <v>1</v>
      </c>
      <c r="D627" s="5">
        <v>24.99</v>
      </c>
      <c r="E627" s="3" t="s">
        <v>2857</v>
      </c>
      <c r="F627" s="2" t="s">
        <v>15</v>
      </c>
      <c r="G627" s="6"/>
      <c r="H627" s="2" t="s">
        <v>1425</v>
      </c>
      <c r="I627" s="2" t="s">
        <v>1426</v>
      </c>
      <c r="J627" s="2" t="s">
        <v>19</v>
      </c>
      <c r="K627" s="2" t="s">
        <v>495</v>
      </c>
      <c r="L627" s="7" t="str">
        <f>HYPERLINK("http://slimages.macys.com/is/image/MCY/11831271 ")</f>
        <v xml:space="preserve">http://slimages.macys.com/is/image/MCY/11831271 </v>
      </c>
    </row>
    <row r="628" spans="1:12" ht="24.75" x14ac:dyDescent="0.25">
      <c r="A628" s="4" t="s">
        <v>1626</v>
      </c>
      <c r="B628" s="2" t="s">
        <v>1627</v>
      </c>
      <c r="C628" s="3">
        <v>1</v>
      </c>
      <c r="D628" s="5">
        <v>25.88</v>
      </c>
      <c r="E628" s="3" t="s">
        <v>1628</v>
      </c>
      <c r="F628" s="2" t="s">
        <v>70</v>
      </c>
      <c r="G628" s="6" t="s">
        <v>245</v>
      </c>
      <c r="H628" s="2" t="s">
        <v>194</v>
      </c>
      <c r="I628" s="2" t="s">
        <v>195</v>
      </c>
      <c r="J628" s="2" t="s">
        <v>19</v>
      </c>
      <c r="K628" s="2" t="s">
        <v>1629</v>
      </c>
      <c r="L628" s="7" t="str">
        <f>HYPERLINK("http://slimages.macys.com/is/image/MCY/11531058 ")</f>
        <v xml:space="preserve">http://slimages.macys.com/is/image/MCY/11531058 </v>
      </c>
    </row>
    <row r="629" spans="1:12" ht="24.75" x14ac:dyDescent="0.25">
      <c r="A629" s="4" t="s">
        <v>9691</v>
      </c>
      <c r="B629" s="2" t="s">
        <v>2878</v>
      </c>
      <c r="C629" s="3">
        <v>1</v>
      </c>
      <c r="D629" s="5">
        <v>29.5</v>
      </c>
      <c r="E629" s="3" t="s">
        <v>2879</v>
      </c>
      <c r="F629" s="2" t="s">
        <v>566</v>
      </c>
      <c r="G629" s="6" t="s">
        <v>181</v>
      </c>
      <c r="H629" s="2" t="s">
        <v>194</v>
      </c>
      <c r="I629" s="2" t="s">
        <v>195</v>
      </c>
      <c r="J629" s="2" t="s">
        <v>19</v>
      </c>
      <c r="K629" s="2" t="s">
        <v>1108</v>
      </c>
      <c r="L629" s="7" t="str">
        <f>HYPERLINK("http://slimages.macys.com/is/image/MCY/15002965 ")</f>
        <v xml:space="preserve">http://slimages.macys.com/is/image/MCY/15002965 </v>
      </c>
    </row>
    <row r="630" spans="1:12" ht="24.75" x14ac:dyDescent="0.25">
      <c r="A630" s="4" t="s">
        <v>8267</v>
      </c>
      <c r="B630" s="2" t="s">
        <v>1635</v>
      </c>
      <c r="C630" s="3">
        <v>1</v>
      </c>
      <c r="D630" s="5">
        <v>25.88</v>
      </c>
      <c r="E630" s="3">
        <v>100011992</v>
      </c>
      <c r="F630" s="2" t="s">
        <v>33</v>
      </c>
      <c r="G630" s="6" t="s">
        <v>234</v>
      </c>
      <c r="H630" s="2" t="s">
        <v>194</v>
      </c>
      <c r="I630" s="2" t="s">
        <v>195</v>
      </c>
      <c r="J630" s="2" t="s">
        <v>19</v>
      </c>
      <c r="K630" s="2" t="s">
        <v>1617</v>
      </c>
      <c r="L630" s="7" t="str">
        <f t="shared" ref="L630:L635" si="6">HYPERLINK("http://slimages.macys.com/is/image/MCY/13314771 ")</f>
        <v xml:space="preserve">http://slimages.macys.com/is/image/MCY/13314771 </v>
      </c>
    </row>
    <row r="631" spans="1:12" ht="24.75" x14ac:dyDescent="0.25">
      <c r="A631" s="4" t="s">
        <v>1640</v>
      </c>
      <c r="B631" s="2" t="s">
        <v>1635</v>
      </c>
      <c r="C631" s="3">
        <v>5</v>
      </c>
      <c r="D631" s="5">
        <v>25.88</v>
      </c>
      <c r="E631" s="3">
        <v>100011992</v>
      </c>
      <c r="F631" s="2" t="s">
        <v>53</v>
      </c>
      <c r="G631" s="6" t="s">
        <v>234</v>
      </c>
      <c r="H631" s="2" t="s">
        <v>194</v>
      </c>
      <c r="I631" s="2" t="s">
        <v>195</v>
      </c>
      <c r="J631" s="2" t="s">
        <v>19</v>
      </c>
      <c r="K631" s="2" t="s">
        <v>1617</v>
      </c>
      <c r="L631" s="7" t="str">
        <f t="shared" si="6"/>
        <v xml:space="preserve">http://slimages.macys.com/is/image/MCY/13314771 </v>
      </c>
    </row>
    <row r="632" spans="1:12" ht="24.75" x14ac:dyDescent="0.25">
      <c r="A632" s="4" t="s">
        <v>1639</v>
      </c>
      <c r="B632" s="2" t="s">
        <v>1635</v>
      </c>
      <c r="C632" s="3">
        <v>4</v>
      </c>
      <c r="D632" s="5">
        <v>25.88</v>
      </c>
      <c r="E632" s="3">
        <v>100011992</v>
      </c>
      <c r="F632" s="2" t="s">
        <v>64</v>
      </c>
      <c r="G632" s="6" t="s">
        <v>234</v>
      </c>
      <c r="H632" s="2" t="s">
        <v>194</v>
      </c>
      <c r="I632" s="2" t="s">
        <v>195</v>
      </c>
      <c r="J632" s="2" t="s">
        <v>19</v>
      </c>
      <c r="K632" s="2" t="s">
        <v>1617</v>
      </c>
      <c r="L632" s="7" t="str">
        <f t="shared" si="6"/>
        <v xml:space="preserve">http://slimages.macys.com/is/image/MCY/13314771 </v>
      </c>
    </row>
    <row r="633" spans="1:12" ht="24.75" x14ac:dyDescent="0.25">
      <c r="A633" s="4" t="s">
        <v>5069</v>
      </c>
      <c r="B633" s="2" t="s">
        <v>1635</v>
      </c>
      <c r="C633" s="3">
        <v>1</v>
      </c>
      <c r="D633" s="5">
        <v>25.88</v>
      </c>
      <c r="E633" s="3">
        <v>100011992</v>
      </c>
      <c r="F633" s="2" t="s">
        <v>57</v>
      </c>
      <c r="G633" s="6" t="s">
        <v>156</v>
      </c>
      <c r="H633" s="2" t="s">
        <v>194</v>
      </c>
      <c r="I633" s="2" t="s">
        <v>195</v>
      </c>
      <c r="J633" s="2" t="s">
        <v>19</v>
      </c>
      <c r="K633" s="2" t="s">
        <v>1617</v>
      </c>
      <c r="L633" s="7" t="str">
        <f t="shared" si="6"/>
        <v xml:space="preserve">http://slimages.macys.com/is/image/MCY/13314771 </v>
      </c>
    </row>
    <row r="634" spans="1:12" ht="24.75" x14ac:dyDescent="0.25">
      <c r="A634" s="4" t="s">
        <v>2870</v>
      </c>
      <c r="B634" s="2" t="s">
        <v>1635</v>
      </c>
      <c r="C634" s="3">
        <v>1</v>
      </c>
      <c r="D634" s="5">
        <v>25.88</v>
      </c>
      <c r="E634" s="3">
        <v>100011992</v>
      </c>
      <c r="F634" s="2" t="s">
        <v>64</v>
      </c>
      <c r="G634" s="6" t="s">
        <v>181</v>
      </c>
      <c r="H634" s="2" t="s">
        <v>194</v>
      </c>
      <c r="I634" s="2" t="s">
        <v>195</v>
      </c>
      <c r="J634" s="2" t="s">
        <v>19</v>
      </c>
      <c r="K634" s="2" t="s">
        <v>1617</v>
      </c>
      <c r="L634" s="7" t="str">
        <f t="shared" si="6"/>
        <v xml:space="preserve">http://slimages.macys.com/is/image/MCY/13314771 </v>
      </c>
    </row>
    <row r="635" spans="1:12" ht="24.75" x14ac:dyDescent="0.25">
      <c r="A635" s="4" t="s">
        <v>9692</v>
      </c>
      <c r="B635" s="2" t="s">
        <v>1635</v>
      </c>
      <c r="C635" s="3">
        <v>1</v>
      </c>
      <c r="D635" s="5">
        <v>25.88</v>
      </c>
      <c r="E635" s="3">
        <v>100011992</v>
      </c>
      <c r="F635" s="2" t="s">
        <v>33</v>
      </c>
      <c r="G635" s="6" t="s">
        <v>156</v>
      </c>
      <c r="H635" s="2" t="s">
        <v>194</v>
      </c>
      <c r="I635" s="2" t="s">
        <v>195</v>
      </c>
      <c r="J635" s="2" t="s">
        <v>19</v>
      </c>
      <c r="K635" s="2" t="s">
        <v>1617</v>
      </c>
      <c r="L635" s="7" t="str">
        <f t="shared" si="6"/>
        <v xml:space="preserve">http://slimages.macys.com/is/image/MCY/13314771 </v>
      </c>
    </row>
    <row r="636" spans="1:12" ht="24.75" x14ac:dyDescent="0.25">
      <c r="A636" s="4" t="s">
        <v>2877</v>
      </c>
      <c r="B636" s="2" t="s">
        <v>2878</v>
      </c>
      <c r="C636" s="3">
        <v>1</v>
      </c>
      <c r="D636" s="5">
        <v>29.63</v>
      </c>
      <c r="E636" s="3" t="s">
        <v>2879</v>
      </c>
      <c r="F636" s="2" t="s">
        <v>64</v>
      </c>
      <c r="G636" s="6" t="s">
        <v>156</v>
      </c>
      <c r="H636" s="2" t="s">
        <v>194</v>
      </c>
      <c r="I636" s="2" t="s">
        <v>195</v>
      </c>
      <c r="J636" s="2" t="s">
        <v>19</v>
      </c>
      <c r="K636" s="2" t="s">
        <v>1108</v>
      </c>
      <c r="L636" s="7" t="str">
        <f>HYPERLINK("http://slimages.macys.com/is/image/MCY/12144113 ")</f>
        <v xml:space="preserve">http://slimages.macys.com/is/image/MCY/12144113 </v>
      </c>
    </row>
    <row r="637" spans="1:12" ht="24.75" x14ac:dyDescent="0.25">
      <c r="A637" s="4" t="s">
        <v>9693</v>
      </c>
      <c r="B637" s="2" t="s">
        <v>1478</v>
      </c>
      <c r="C637" s="3">
        <v>1</v>
      </c>
      <c r="D637" s="5">
        <v>29.99</v>
      </c>
      <c r="E637" s="3" t="s">
        <v>9694</v>
      </c>
      <c r="F637" s="2" t="s">
        <v>48</v>
      </c>
      <c r="G637" s="6" t="s">
        <v>200</v>
      </c>
      <c r="H637" s="2" t="s">
        <v>246</v>
      </c>
      <c r="I637" s="2" t="s">
        <v>3504</v>
      </c>
      <c r="J637" s="2" t="s">
        <v>19</v>
      </c>
      <c r="K637" s="2" t="s">
        <v>1480</v>
      </c>
      <c r="L637" s="7" t="str">
        <f>HYPERLINK("http://slimages.macys.com/is/image/MCY/10048328 ")</f>
        <v xml:space="preserve">http://slimages.macys.com/is/image/MCY/10048328 </v>
      </c>
    </row>
    <row r="638" spans="1:12" ht="24.75" x14ac:dyDescent="0.25">
      <c r="A638" s="4" t="s">
        <v>1674</v>
      </c>
      <c r="B638" s="2" t="s">
        <v>1649</v>
      </c>
      <c r="C638" s="3">
        <v>1</v>
      </c>
      <c r="D638" s="5">
        <v>19.989999999999998</v>
      </c>
      <c r="E638" s="3" t="s">
        <v>1650</v>
      </c>
      <c r="F638" s="2" t="s">
        <v>820</v>
      </c>
      <c r="G638" s="6" t="s">
        <v>234</v>
      </c>
      <c r="H638" s="2" t="s">
        <v>194</v>
      </c>
      <c r="I638" s="2" t="s">
        <v>195</v>
      </c>
      <c r="J638" s="2" t="s">
        <v>19</v>
      </c>
      <c r="K638" s="2" t="s">
        <v>247</v>
      </c>
      <c r="L638" s="7" t="str">
        <f>HYPERLINK("http://slimages.macys.com/is/image/MCY/11466486 ")</f>
        <v xml:space="preserve">http://slimages.macys.com/is/image/MCY/11466486 </v>
      </c>
    </row>
    <row r="639" spans="1:12" ht="24.75" x14ac:dyDescent="0.25">
      <c r="A639" s="4" t="s">
        <v>9695</v>
      </c>
      <c r="B639" s="2" t="s">
        <v>1645</v>
      </c>
      <c r="C639" s="3">
        <v>1</v>
      </c>
      <c r="D639" s="5">
        <v>19.989999999999998</v>
      </c>
      <c r="E639" s="3" t="s">
        <v>1646</v>
      </c>
      <c r="F639" s="2" t="s">
        <v>170</v>
      </c>
      <c r="G639" s="6" t="s">
        <v>156</v>
      </c>
      <c r="H639" s="2" t="s">
        <v>194</v>
      </c>
      <c r="I639" s="2" t="s">
        <v>195</v>
      </c>
      <c r="J639" s="2" t="s">
        <v>19</v>
      </c>
      <c r="K639" s="2" t="s">
        <v>1647</v>
      </c>
      <c r="L639" s="7" t="str">
        <f>HYPERLINK("http://slimages.macys.com/is/image/MCY/12405276 ")</f>
        <v xml:space="preserve">http://slimages.macys.com/is/image/MCY/12405276 </v>
      </c>
    </row>
    <row r="640" spans="1:12" ht="24.75" x14ac:dyDescent="0.25">
      <c r="A640" s="4" t="s">
        <v>5994</v>
      </c>
      <c r="B640" s="2" t="s">
        <v>3995</v>
      </c>
      <c r="C640" s="3">
        <v>1</v>
      </c>
      <c r="D640" s="5">
        <v>19.989999999999998</v>
      </c>
      <c r="E640" s="3" t="s">
        <v>3996</v>
      </c>
      <c r="F640" s="2" t="s">
        <v>170</v>
      </c>
      <c r="G640" s="6" t="s">
        <v>156</v>
      </c>
      <c r="H640" s="2" t="s">
        <v>194</v>
      </c>
      <c r="I640" s="2" t="s">
        <v>195</v>
      </c>
      <c r="J640" s="2" t="s">
        <v>19</v>
      </c>
      <c r="K640" s="2" t="s">
        <v>247</v>
      </c>
      <c r="L640" s="7" t="str">
        <f>HYPERLINK("http://slimages.macys.com/is/image/MCY/12143893 ")</f>
        <v xml:space="preserve">http://slimages.macys.com/is/image/MCY/12143893 </v>
      </c>
    </row>
    <row r="641" spans="1:12" ht="24.75" x14ac:dyDescent="0.25">
      <c r="A641" s="4" t="s">
        <v>2882</v>
      </c>
      <c r="B641" s="2" t="s">
        <v>1649</v>
      </c>
      <c r="C641" s="3">
        <v>1</v>
      </c>
      <c r="D641" s="5">
        <v>19.989999999999998</v>
      </c>
      <c r="E641" s="3" t="s">
        <v>1650</v>
      </c>
      <c r="F641" s="2" t="s">
        <v>820</v>
      </c>
      <c r="G641" s="6" t="s">
        <v>156</v>
      </c>
      <c r="H641" s="2" t="s">
        <v>194</v>
      </c>
      <c r="I641" s="2" t="s">
        <v>195</v>
      </c>
      <c r="J641" s="2" t="s">
        <v>19</v>
      </c>
      <c r="K641" s="2" t="s">
        <v>247</v>
      </c>
      <c r="L641" s="7" t="str">
        <f>HYPERLINK("http://slimages.macys.com/is/image/MCY/11466486 ")</f>
        <v xml:space="preserve">http://slimages.macys.com/is/image/MCY/11466486 </v>
      </c>
    </row>
    <row r="642" spans="1:12" ht="48.75" x14ac:dyDescent="0.25">
      <c r="A642" s="4" t="s">
        <v>8269</v>
      </c>
      <c r="B642" s="2" t="s">
        <v>1579</v>
      </c>
      <c r="C642" s="3">
        <v>1</v>
      </c>
      <c r="D642" s="5">
        <v>29.63</v>
      </c>
      <c r="E642" s="3" t="s">
        <v>8270</v>
      </c>
      <c r="F642" s="2" t="s">
        <v>15</v>
      </c>
      <c r="G642" s="6"/>
      <c r="H642" s="2" t="s">
        <v>312</v>
      </c>
      <c r="I642" s="2" t="s">
        <v>195</v>
      </c>
      <c r="J642" s="2" t="s">
        <v>19</v>
      </c>
      <c r="K642" s="2" t="s">
        <v>8271</v>
      </c>
      <c r="L642" s="7" t="str">
        <f>HYPERLINK("http://slimages.macys.com/is/image/MCY/12850954 ")</f>
        <v xml:space="preserve">http://slimages.macys.com/is/image/MCY/12850954 </v>
      </c>
    </row>
    <row r="643" spans="1:12" ht="24.75" x14ac:dyDescent="0.25">
      <c r="A643" s="4" t="s">
        <v>3997</v>
      </c>
      <c r="B643" s="2" t="s">
        <v>1649</v>
      </c>
      <c r="C643" s="3">
        <v>1</v>
      </c>
      <c r="D643" s="5">
        <v>19.989999999999998</v>
      </c>
      <c r="E643" s="3" t="s">
        <v>1650</v>
      </c>
      <c r="F643" s="2" t="s">
        <v>820</v>
      </c>
      <c r="G643" s="6" t="s">
        <v>181</v>
      </c>
      <c r="H643" s="2" t="s">
        <v>194</v>
      </c>
      <c r="I643" s="2" t="s">
        <v>195</v>
      </c>
      <c r="J643" s="2" t="s">
        <v>19</v>
      </c>
      <c r="K643" s="2" t="s">
        <v>247</v>
      </c>
      <c r="L643" s="7" t="str">
        <f>HYPERLINK("http://slimages.macys.com/is/image/MCY/11466486 ")</f>
        <v xml:space="preserve">http://slimages.macys.com/is/image/MCY/11466486 </v>
      </c>
    </row>
    <row r="644" spans="1:12" ht="24.75" x14ac:dyDescent="0.25">
      <c r="A644" s="4" t="s">
        <v>6752</v>
      </c>
      <c r="B644" s="2" t="s">
        <v>1645</v>
      </c>
      <c r="C644" s="3">
        <v>1</v>
      </c>
      <c r="D644" s="5">
        <v>19.989999999999998</v>
      </c>
      <c r="E644" s="3" t="s">
        <v>1646</v>
      </c>
      <c r="F644" s="2" t="s">
        <v>820</v>
      </c>
      <c r="G644" s="6" t="s">
        <v>245</v>
      </c>
      <c r="H644" s="2" t="s">
        <v>194</v>
      </c>
      <c r="I644" s="2" t="s">
        <v>195</v>
      </c>
      <c r="J644" s="2" t="s">
        <v>19</v>
      </c>
      <c r="K644" s="2" t="s">
        <v>1647</v>
      </c>
      <c r="L644" s="7" t="str">
        <f>HYPERLINK("http://slimages.macys.com/is/image/MCY/12405276 ")</f>
        <v xml:space="preserve">http://slimages.macys.com/is/image/MCY/12405276 </v>
      </c>
    </row>
    <row r="645" spans="1:12" ht="24.75" x14ac:dyDescent="0.25">
      <c r="A645" s="4" t="s">
        <v>1648</v>
      </c>
      <c r="B645" s="2" t="s">
        <v>1649</v>
      </c>
      <c r="C645" s="3">
        <v>1</v>
      </c>
      <c r="D645" s="5">
        <v>19.989999999999998</v>
      </c>
      <c r="E645" s="3" t="s">
        <v>1650</v>
      </c>
      <c r="F645" s="2" t="s">
        <v>70</v>
      </c>
      <c r="G645" s="6" t="s">
        <v>154</v>
      </c>
      <c r="H645" s="2" t="s">
        <v>194</v>
      </c>
      <c r="I645" s="2" t="s">
        <v>195</v>
      </c>
      <c r="J645" s="2" t="s">
        <v>19</v>
      </c>
      <c r="K645" s="2" t="s">
        <v>247</v>
      </c>
      <c r="L645" s="7" t="str">
        <f>HYPERLINK("http://slimages.macys.com/is/image/MCY/11466486 ")</f>
        <v xml:space="preserve">http://slimages.macys.com/is/image/MCY/11466486 </v>
      </c>
    </row>
    <row r="646" spans="1:12" ht="24.75" x14ac:dyDescent="0.25">
      <c r="A646" s="4" t="s">
        <v>1663</v>
      </c>
      <c r="B646" s="2" t="s">
        <v>1645</v>
      </c>
      <c r="C646" s="3">
        <v>1</v>
      </c>
      <c r="D646" s="5">
        <v>19.989999999999998</v>
      </c>
      <c r="E646" s="3" t="s">
        <v>1646</v>
      </c>
      <c r="F646" s="2" t="s">
        <v>170</v>
      </c>
      <c r="G646" s="6" t="s">
        <v>181</v>
      </c>
      <c r="H646" s="2" t="s">
        <v>194</v>
      </c>
      <c r="I646" s="2" t="s">
        <v>195</v>
      </c>
      <c r="J646" s="2" t="s">
        <v>19</v>
      </c>
      <c r="K646" s="2" t="s">
        <v>1647</v>
      </c>
      <c r="L646" s="7" t="str">
        <f>HYPERLINK("http://slimages.macys.com/is/image/MCY/12405276 ")</f>
        <v xml:space="preserve">http://slimages.macys.com/is/image/MCY/12405276 </v>
      </c>
    </row>
    <row r="647" spans="1:12" ht="24.75" x14ac:dyDescent="0.25">
      <c r="A647" s="4" t="s">
        <v>3994</v>
      </c>
      <c r="B647" s="2" t="s">
        <v>3995</v>
      </c>
      <c r="C647" s="3">
        <v>1</v>
      </c>
      <c r="D647" s="5">
        <v>19.989999999999998</v>
      </c>
      <c r="E647" s="3" t="s">
        <v>3996</v>
      </c>
      <c r="F647" s="2" t="s">
        <v>170</v>
      </c>
      <c r="G647" s="6" t="s">
        <v>154</v>
      </c>
      <c r="H647" s="2" t="s">
        <v>194</v>
      </c>
      <c r="I647" s="2" t="s">
        <v>195</v>
      </c>
      <c r="J647" s="2" t="s">
        <v>19</v>
      </c>
      <c r="K647" s="2" t="s">
        <v>247</v>
      </c>
      <c r="L647" s="7" t="str">
        <f>HYPERLINK("http://slimages.macys.com/is/image/MCY/12143893 ")</f>
        <v xml:space="preserve">http://slimages.macys.com/is/image/MCY/12143893 </v>
      </c>
    </row>
    <row r="648" spans="1:12" ht="24.75" x14ac:dyDescent="0.25">
      <c r="A648" s="4" t="s">
        <v>2890</v>
      </c>
      <c r="B648" s="2" t="s">
        <v>1689</v>
      </c>
      <c r="C648" s="3">
        <v>2</v>
      </c>
      <c r="D648" s="5">
        <v>25.88</v>
      </c>
      <c r="E648" s="3" t="s">
        <v>1690</v>
      </c>
      <c r="F648" s="2" t="s">
        <v>820</v>
      </c>
      <c r="G648" s="6" t="s">
        <v>234</v>
      </c>
      <c r="H648" s="2" t="s">
        <v>194</v>
      </c>
      <c r="I648" s="2" t="s">
        <v>195</v>
      </c>
      <c r="J648" s="2" t="s">
        <v>19</v>
      </c>
      <c r="K648" s="2" t="s">
        <v>648</v>
      </c>
      <c r="L648" s="7" t="str">
        <f>HYPERLINK("http://slimages.macys.com/is/image/MCY/3650047 ")</f>
        <v xml:space="preserve">http://slimages.macys.com/is/image/MCY/3650047 </v>
      </c>
    </row>
    <row r="649" spans="1:12" ht="24.75" x14ac:dyDescent="0.25">
      <c r="A649" s="4" t="s">
        <v>4000</v>
      </c>
      <c r="B649" s="2" t="s">
        <v>1689</v>
      </c>
      <c r="C649" s="3">
        <v>1</v>
      </c>
      <c r="D649" s="5">
        <v>25.88</v>
      </c>
      <c r="E649" s="3" t="s">
        <v>1690</v>
      </c>
      <c r="F649" s="2" t="s">
        <v>820</v>
      </c>
      <c r="G649" s="6" t="s">
        <v>154</v>
      </c>
      <c r="H649" s="2" t="s">
        <v>194</v>
      </c>
      <c r="I649" s="2" t="s">
        <v>195</v>
      </c>
      <c r="J649" s="2" t="s">
        <v>19</v>
      </c>
      <c r="K649" s="2" t="s">
        <v>648</v>
      </c>
      <c r="L649" s="7" t="str">
        <f>HYPERLINK("http://slimages.macys.com/is/image/MCY/3650047 ")</f>
        <v xml:space="preserve">http://slimages.macys.com/is/image/MCY/3650047 </v>
      </c>
    </row>
    <row r="650" spans="1:12" ht="24.75" x14ac:dyDescent="0.25">
      <c r="A650" s="4" t="s">
        <v>1685</v>
      </c>
      <c r="B650" s="2" t="s">
        <v>1683</v>
      </c>
      <c r="C650" s="3">
        <v>1</v>
      </c>
      <c r="D650" s="5">
        <v>37.130000000000003</v>
      </c>
      <c r="E650" s="3" t="s">
        <v>1684</v>
      </c>
      <c r="F650" s="2" t="s">
        <v>74</v>
      </c>
      <c r="G650" s="6" t="s">
        <v>156</v>
      </c>
      <c r="H650" s="2" t="s">
        <v>194</v>
      </c>
      <c r="I650" s="2" t="s">
        <v>195</v>
      </c>
      <c r="J650" s="2" t="s">
        <v>19</v>
      </c>
      <c r="K650" s="2" t="s">
        <v>247</v>
      </c>
      <c r="L650" s="7" t="str">
        <f>HYPERLINK("http://slimages.macys.com/is/image/MCY/13121030 ")</f>
        <v xml:space="preserve">http://slimages.macys.com/is/image/MCY/13121030 </v>
      </c>
    </row>
    <row r="651" spans="1:12" ht="24.75" x14ac:dyDescent="0.25">
      <c r="A651" s="4" t="s">
        <v>9696</v>
      </c>
      <c r="B651" s="2" t="s">
        <v>1689</v>
      </c>
      <c r="C651" s="3">
        <v>1</v>
      </c>
      <c r="D651" s="5">
        <v>25.88</v>
      </c>
      <c r="E651" s="3" t="s">
        <v>1690</v>
      </c>
      <c r="F651" s="2" t="s">
        <v>820</v>
      </c>
      <c r="G651" s="6" t="s">
        <v>245</v>
      </c>
      <c r="H651" s="2" t="s">
        <v>194</v>
      </c>
      <c r="I651" s="2" t="s">
        <v>195</v>
      </c>
      <c r="J651" s="2" t="s">
        <v>19</v>
      </c>
      <c r="K651" s="2" t="s">
        <v>648</v>
      </c>
      <c r="L651" s="7" t="str">
        <f>HYPERLINK("http://slimages.macys.com/is/image/MCY/3650047 ")</f>
        <v xml:space="preserve">http://slimages.macys.com/is/image/MCY/3650047 </v>
      </c>
    </row>
    <row r="652" spans="1:12" ht="24.75" x14ac:dyDescent="0.25">
      <c r="A652" s="4" t="s">
        <v>1688</v>
      </c>
      <c r="B652" s="2" t="s">
        <v>1689</v>
      </c>
      <c r="C652" s="3">
        <v>1</v>
      </c>
      <c r="D652" s="5">
        <v>25.88</v>
      </c>
      <c r="E652" s="3" t="s">
        <v>1690</v>
      </c>
      <c r="F652" s="2" t="s">
        <v>1584</v>
      </c>
      <c r="G652" s="6" t="s">
        <v>234</v>
      </c>
      <c r="H652" s="2" t="s">
        <v>194</v>
      </c>
      <c r="I652" s="2" t="s">
        <v>195</v>
      </c>
      <c r="J652" s="2" t="s">
        <v>19</v>
      </c>
      <c r="K652" s="2" t="s">
        <v>648</v>
      </c>
      <c r="L652" s="7" t="str">
        <f>HYPERLINK("http://slimages.macys.com/is/image/MCY/3650047 ")</f>
        <v xml:space="preserve">http://slimages.macys.com/is/image/MCY/3650047 </v>
      </c>
    </row>
    <row r="653" spans="1:12" ht="24.75" x14ac:dyDescent="0.25">
      <c r="A653" s="4" t="s">
        <v>9697</v>
      </c>
      <c r="B653" s="2" t="s">
        <v>1692</v>
      </c>
      <c r="C653" s="3">
        <v>1</v>
      </c>
      <c r="D653" s="5">
        <v>24.37</v>
      </c>
      <c r="E653" s="3" t="s">
        <v>9698</v>
      </c>
      <c r="F653" s="2" t="s">
        <v>33</v>
      </c>
      <c r="G653" s="6" t="s">
        <v>245</v>
      </c>
      <c r="H653" s="2" t="s">
        <v>194</v>
      </c>
      <c r="I653" s="2" t="s">
        <v>580</v>
      </c>
      <c r="J653" s="2" t="s">
        <v>19</v>
      </c>
      <c r="K653" s="2" t="s">
        <v>137</v>
      </c>
      <c r="L653" s="7" t="str">
        <f>HYPERLINK("http://slimages.macys.com/is/image/MCY/16404085 ")</f>
        <v xml:space="preserve">http://slimages.macys.com/is/image/MCY/16404085 </v>
      </c>
    </row>
    <row r="654" spans="1:12" ht="24.75" x14ac:dyDescent="0.25">
      <c r="A654" s="4" t="s">
        <v>9699</v>
      </c>
      <c r="B654" s="2" t="s">
        <v>1692</v>
      </c>
      <c r="C654" s="3">
        <v>1</v>
      </c>
      <c r="D654" s="5">
        <v>24.37</v>
      </c>
      <c r="E654" s="3" t="s">
        <v>5076</v>
      </c>
      <c r="F654" s="2" t="s">
        <v>5077</v>
      </c>
      <c r="G654" s="6" t="s">
        <v>154</v>
      </c>
      <c r="H654" s="2" t="s">
        <v>194</v>
      </c>
      <c r="I654" s="2" t="s">
        <v>580</v>
      </c>
      <c r="J654" s="2" t="s">
        <v>19</v>
      </c>
      <c r="K654" s="2" t="s">
        <v>137</v>
      </c>
      <c r="L654" s="7" t="str">
        <f>HYPERLINK("http://slimages.macys.com/is/image/MCY/16404085 ")</f>
        <v xml:space="preserve">http://slimages.macys.com/is/image/MCY/16404085 </v>
      </c>
    </row>
    <row r="655" spans="1:12" ht="24.75" x14ac:dyDescent="0.25">
      <c r="A655" s="4" t="s">
        <v>9700</v>
      </c>
      <c r="B655" s="2" t="s">
        <v>4004</v>
      </c>
      <c r="C655" s="3">
        <v>1</v>
      </c>
      <c r="D655" s="5">
        <v>24.99</v>
      </c>
      <c r="E655" s="3" t="s">
        <v>4005</v>
      </c>
      <c r="F655" s="2" t="s">
        <v>15</v>
      </c>
      <c r="G655" s="6" t="s">
        <v>156</v>
      </c>
      <c r="H655" s="2" t="s">
        <v>1522</v>
      </c>
      <c r="I655" s="2" t="s">
        <v>1469</v>
      </c>
      <c r="J655" s="2" t="s">
        <v>19</v>
      </c>
      <c r="K655" s="2" t="s">
        <v>495</v>
      </c>
      <c r="L655" s="7" t="str">
        <f>HYPERLINK("http://slimages.macys.com/is/image/MCY/11207455 ")</f>
        <v xml:space="preserve">http://slimages.macys.com/is/image/MCY/11207455 </v>
      </c>
    </row>
    <row r="656" spans="1:12" ht="24.75" x14ac:dyDescent="0.25">
      <c r="A656" s="4" t="s">
        <v>9701</v>
      </c>
      <c r="B656" s="2" t="s">
        <v>2892</v>
      </c>
      <c r="C656" s="3">
        <v>1</v>
      </c>
      <c r="D656" s="5">
        <v>19.989999999999998</v>
      </c>
      <c r="E656" s="3" t="s">
        <v>2893</v>
      </c>
      <c r="F656" s="2" t="s">
        <v>94</v>
      </c>
      <c r="G656" s="6" t="s">
        <v>181</v>
      </c>
      <c r="H656" s="2" t="s">
        <v>1473</v>
      </c>
      <c r="I656" s="2" t="s">
        <v>1426</v>
      </c>
      <c r="J656" s="2" t="s">
        <v>19</v>
      </c>
      <c r="K656" s="2" t="s">
        <v>495</v>
      </c>
      <c r="L656" s="7" t="str">
        <f>HYPERLINK("http://slimages.macys.com/is/image/MCY/12550012 ")</f>
        <v xml:space="preserve">http://slimages.macys.com/is/image/MCY/12550012 </v>
      </c>
    </row>
    <row r="657" spans="1:12" ht="24.75" x14ac:dyDescent="0.25">
      <c r="A657" s="4" t="s">
        <v>6005</v>
      </c>
      <c r="B657" s="2" t="s">
        <v>1699</v>
      </c>
      <c r="C657" s="3">
        <v>1</v>
      </c>
      <c r="D657" s="5">
        <v>19.989999999999998</v>
      </c>
      <c r="E657" s="3" t="s">
        <v>1700</v>
      </c>
      <c r="F657" s="2" t="s">
        <v>26</v>
      </c>
      <c r="G657" s="6" t="s">
        <v>234</v>
      </c>
      <c r="H657" s="2" t="s">
        <v>1473</v>
      </c>
      <c r="I657" s="2" t="s">
        <v>1426</v>
      </c>
      <c r="J657" s="2" t="s">
        <v>19</v>
      </c>
      <c r="K657" s="2" t="s">
        <v>990</v>
      </c>
      <c r="L657" s="7" t="str">
        <f>HYPERLINK("http://slimages.macys.com/is/image/MCY/11831242 ")</f>
        <v xml:space="preserve">http://slimages.macys.com/is/image/MCY/11831242 </v>
      </c>
    </row>
    <row r="658" spans="1:12" ht="24.75" x14ac:dyDescent="0.25">
      <c r="A658" s="4" t="s">
        <v>2897</v>
      </c>
      <c r="B658" s="2" t="s">
        <v>1253</v>
      </c>
      <c r="C658" s="3">
        <v>1</v>
      </c>
      <c r="D658" s="5">
        <v>24.99</v>
      </c>
      <c r="E658" s="3" t="s">
        <v>2898</v>
      </c>
      <c r="F658" s="2" t="s">
        <v>417</v>
      </c>
      <c r="G658" s="6" t="s">
        <v>336</v>
      </c>
      <c r="H658" s="2" t="s">
        <v>426</v>
      </c>
      <c r="I658" s="2" t="s">
        <v>863</v>
      </c>
      <c r="J658" s="2" t="s">
        <v>19</v>
      </c>
      <c r="K658" s="2" t="s">
        <v>253</v>
      </c>
      <c r="L658" s="7" t="str">
        <f>HYPERLINK("http://slimages.macys.com/is/image/MCY/9029356 ")</f>
        <v xml:space="preserve">http://slimages.macys.com/is/image/MCY/9029356 </v>
      </c>
    </row>
    <row r="659" spans="1:12" ht="24.75" x14ac:dyDescent="0.25">
      <c r="A659" s="4" t="s">
        <v>9702</v>
      </c>
      <c r="B659" s="2" t="s">
        <v>1712</v>
      </c>
      <c r="C659" s="3">
        <v>1</v>
      </c>
      <c r="D659" s="5">
        <v>19.989999999999998</v>
      </c>
      <c r="E659" s="3" t="s">
        <v>4019</v>
      </c>
      <c r="F659" s="2" t="s">
        <v>74</v>
      </c>
      <c r="G659" s="6" t="s">
        <v>181</v>
      </c>
      <c r="H659" s="2" t="s">
        <v>194</v>
      </c>
      <c r="I659" s="2" t="s">
        <v>195</v>
      </c>
      <c r="J659" s="2" t="s">
        <v>19</v>
      </c>
      <c r="K659" s="2" t="s">
        <v>160</v>
      </c>
      <c r="L659" s="7" t="str">
        <f>HYPERLINK("http://slimages.macys.com/is/image/MCY/13317763 ")</f>
        <v xml:space="preserve">http://slimages.macys.com/is/image/MCY/13317763 </v>
      </c>
    </row>
    <row r="660" spans="1:12" ht="24.75" x14ac:dyDescent="0.25">
      <c r="A660" s="4" t="s">
        <v>9703</v>
      </c>
      <c r="B660" s="2" t="s">
        <v>1705</v>
      </c>
      <c r="C660" s="3">
        <v>1</v>
      </c>
      <c r="D660" s="5">
        <v>24.99</v>
      </c>
      <c r="E660" s="3" t="s">
        <v>4023</v>
      </c>
      <c r="F660" s="2" t="s">
        <v>74</v>
      </c>
      <c r="G660" s="6" t="s">
        <v>156</v>
      </c>
      <c r="H660" s="2" t="s">
        <v>1522</v>
      </c>
      <c r="I660" s="2" t="s">
        <v>1469</v>
      </c>
      <c r="J660" s="2" t="s">
        <v>19</v>
      </c>
      <c r="K660" s="2" t="s">
        <v>648</v>
      </c>
      <c r="L660" s="7" t="str">
        <f>HYPERLINK("http://slimages.macys.com/is/image/MCY/9114999 ")</f>
        <v xml:space="preserve">http://slimages.macys.com/is/image/MCY/9114999 </v>
      </c>
    </row>
    <row r="661" spans="1:12" ht="36.75" x14ac:dyDescent="0.25">
      <c r="A661" s="4" t="s">
        <v>5090</v>
      </c>
      <c r="B661" s="2" t="s">
        <v>2911</v>
      </c>
      <c r="C661" s="3">
        <v>1</v>
      </c>
      <c r="D661" s="5">
        <v>25.88</v>
      </c>
      <c r="E661" s="3">
        <v>100015718</v>
      </c>
      <c r="F661" s="2" t="s">
        <v>48</v>
      </c>
      <c r="G661" s="6" t="s">
        <v>234</v>
      </c>
      <c r="H661" s="2" t="s">
        <v>194</v>
      </c>
      <c r="I661" s="2" t="s">
        <v>195</v>
      </c>
      <c r="J661" s="2" t="s">
        <v>19</v>
      </c>
      <c r="K661" s="2" t="s">
        <v>1696</v>
      </c>
      <c r="L661" s="7" t="str">
        <f>HYPERLINK("http://slimages.macys.com/is/image/MCY/9504848 ")</f>
        <v xml:space="preserve">http://slimages.macys.com/is/image/MCY/9504848 </v>
      </c>
    </row>
    <row r="662" spans="1:12" ht="24.75" x14ac:dyDescent="0.25">
      <c r="A662" s="4" t="s">
        <v>9704</v>
      </c>
      <c r="B662" s="2" t="s">
        <v>9151</v>
      </c>
      <c r="C662" s="3">
        <v>1</v>
      </c>
      <c r="D662" s="5">
        <v>19.989999999999998</v>
      </c>
      <c r="E662" s="3" t="s">
        <v>9152</v>
      </c>
      <c r="F662" s="2" t="s">
        <v>64</v>
      </c>
      <c r="G662" s="6" t="s">
        <v>181</v>
      </c>
      <c r="H662" s="2" t="s">
        <v>246</v>
      </c>
      <c r="I662" s="2" t="s">
        <v>1939</v>
      </c>
      <c r="J662" s="2" t="s">
        <v>19</v>
      </c>
      <c r="K662" s="2" t="s">
        <v>9153</v>
      </c>
      <c r="L662" s="7" t="str">
        <f>HYPERLINK("http://slimages.macys.com/is/image/MCY/11420555 ")</f>
        <v xml:space="preserve">http://slimages.macys.com/is/image/MCY/11420555 </v>
      </c>
    </row>
    <row r="663" spans="1:12" ht="24.75" x14ac:dyDescent="0.25">
      <c r="A663" s="4" t="s">
        <v>9705</v>
      </c>
      <c r="B663" s="2" t="s">
        <v>9151</v>
      </c>
      <c r="C663" s="3">
        <v>1</v>
      </c>
      <c r="D663" s="5">
        <v>19.989999999999998</v>
      </c>
      <c r="E663" s="3" t="s">
        <v>9152</v>
      </c>
      <c r="F663" s="2" t="s">
        <v>64</v>
      </c>
      <c r="G663" s="6" t="s">
        <v>156</v>
      </c>
      <c r="H663" s="2" t="s">
        <v>246</v>
      </c>
      <c r="I663" s="2" t="s">
        <v>1939</v>
      </c>
      <c r="J663" s="2" t="s">
        <v>19</v>
      </c>
      <c r="K663" s="2" t="s">
        <v>9153</v>
      </c>
      <c r="L663" s="7" t="str">
        <f>HYPERLINK("http://slimages.macys.com/is/image/MCY/11420555 ")</f>
        <v xml:space="preserve">http://slimages.macys.com/is/image/MCY/11420555 </v>
      </c>
    </row>
    <row r="664" spans="1:12" ht="24.75" x14ac:dyDescent="0.25">
      <c r="A664" s="4" t="s">
        <v>1717</v>
      </c>
      <c r="B664" s="2" t="s">
        <v>1718</v>
      </c>
      <c r="C664" s="3">
        <v>1</v>
      </c>
      <c r="D664" s="5">
        <v>22.13</v>
      </c>
      <c r="E664" s="3" t="s">
        <v>1719</v>
      </c>
      <c r="F664" s="2" t="s">
        <v>494</v>
      </c>
      <c r="G664" s="6" t="s">
        <v>181</v>
      </c>
      <c r="H664" s="2" t="s">
        <v>194</v>
      </c>
      <c r="I664" s="2" t="s">
        <v>195</v>
      </c>
      <c r="J664" s="2" t="s">
        <v>19</v>
      </c>
      <c r="K664" s="2" t="s">
        <v>1108</v>
      </c>
      <c r="L664" s="7" t="str">
        <f>HYPERLINK("http://slimages.macys.com/is/image/MCY/15709119 ")</f>
        <v xml:space="preserve">http://slimages.macys.com/is/image/MCY/15709119 </v>
      </c>
    </row>
    <row r="665" spans="1:12" ht="24.75" x14ac:dyDescent="0.25">
      <c r="A665" s="4" t="s">
        <v>9706</v>
      </c>
      <c r="B665" s="2" t="s">
        <v>1718</v>
      </c>
      <c r="C665" s="3">
        <v>1</v>
      </c>
      <c r="D665" s="5">
        <v>22.13</v>
      </c>
      <c r="E665" s="3" t="s">
        <v>1719</v>
      </c>
      <c r="F665" s="2" t="s">
        <v>494</v>
      </c>
      <c r="G665" s="6" t="s">
        <v>234</v>
      </c>
      <c r="H665" s="2" t="s">
        <v>194</v>
      </c>
      <c r="I665" s="2" t="s">
        <v>195</v>
      </c>
      <c r="J665" s="2" t="s">
        <v>19</v>
      </c>
      <c r="K665" s="2" t="s">
        <v>1108</v>
      </c>
      <c r="L665" s="7" t="str">
        <f>HYPERLINK("http://slimages.macys.com/is/image/MCY/15709119 ")</f>
        <v xml:space="preserve">http://slimages.macys.com/is/image/MCY/15709119 </v>
      </c>
    </row>
    <row r="666" spans="1:12" ht="24.75" x14ac:dyDescent="0.25">
      <c r="A666" s="4" t="s">
        <v>9707</v>
      </c>
      <c r="B666" s="2" t="s">
        <v>9708</v>
      </c>
      <c r="C666" s="3">
        <v>1</v>
      </c>
      <c r="D666" s="5">
        <v>21.99</v>
      </c>
      <c r="E666" s="3" t="s">
        <v>9709</v>
      </c>
      <c r="F666" s="2" t="s">
        <v>74</v>
      </c>
      <c r="G666" s="6" t="s">
        <v>234</v>
      </c>
      <c r="H666" s="2" t="s">
        <v>284</v>
      </c>
      <c r="I666" s="2" t="s">
        <v>285</v>
      </c>
      <c r="J666" s="2" t="s">
        <v>19</v>
      </c>
      <c r="K666" s="2" t="s">
        <v>247</v>
      </c>
      <c r="L666" s="7" t="str">
        <f>HYPERLINK("http://slimages.macys.com/is/image/MCY/13761817 ")</f>
        <v xml:space="preserve">http://slimages.macys.com/is/image/MCY/13761817 </v>
      </c>
    </row>
    <row r="667" spans="1:12" ht="24.75" x14ac:dyDescent="0.25">
      <c r="A667" s="4" t="s">
        <v>9710</v>
      </c>
      <c r="B667" s="2" t="s">
        <v>2913</v>
      </c>
      <c r="C667" s="3">
        <v>1</v>
      </c>
      <c r="D667" s="5">
        <v>34.880000000000003</v>
      </c>
      <c r="E667" s="3">
        <v>100054399</v>
      </c>
      <c r="F667" s="2" t="s">
        <v>199</v>
      </c>
      <c r="G667" s="6" t="s">
        <v>181</v>
      </c>
      <c r="H667" s="2" t="s">
        <v>194</v>
      </c>
      <c r="I667" s="2" t="s">
        <v>195</v>
      </c>
      <c r="J667" s="2" t="s">
        <v>19</v>
      </c>
      <c r="K667" s="2" t="s">
        <v>607</v>
      </c>
      <c r="L667" s="7" t="str">
        <f>HYPERLINK("http://slimages.macys.com/is/image/MCY/12850736 ")</f>
        <v xml:space="preserve">http://slimages.macys.com/is/image/MCY/12850736 </v>
      </c>
    </row>
    <row r="668" spans="1:12" ht="24.75" x14ac:dyDescent="0.25">
      <c r="A668" s="4" t="s">
        <v>9711</v>
      </c>
      <c r="B668" s="2" t="s">
        <v>2913</v>
      </c>
      <c r="C668" s="3">
        <v>1</v>
      </c>
      <c r="D668" s="5">
        <v>34.880000000000003</v>
      </c>
      <c r="E668" s="3">
        <v>100054399</v>
      </c>
      <c r="F668" s="2" t="s">
        <v>199</v>
      </c>
      <c r="G668" s="6" t="s">
        <v>234</v>
      </c>
      <c r="H668" s="2" t="s">
        <v>194</v>
      </c>
      <c r="I668" s="2" t="s">
        <v>195</v>
      </c>
      <c r="J668" s="2" t="s">
        <v>19</v>
      </c>
      <c r="K668" s="2" t="s">
        <v>607</v>
      </c>
      <c r="L668" s="7" t="str">
        <f>HYPERLINK("http://slimages.macys.com/is/image/MCY/12850736 ")</f>
        <v xml:space="preserve">http://slimages.macys.com/is/image/MCY/12850736 </v>
      </c>
    </row>
    <row r="669" spans="1:12" ht="24.75" x14ac:dyDescent="0.25">
      <c r="A669" s="4" t="s">
        <v>9712</v>
      </c>
      <c r="B669" s="2" t="s">
        <v>1724</v>
      </c>
      <c r="C669" s="3">
        <v>1</v>
      </c>
      <c r="D669" s="5">
        <v>34.880000000000003</v>
      </c>
      <c r="E669" s="3">
        <v>100018041</v>
      </c>
      <c r="F669" s="2" t="s">
        <v>566</v>
      </c>
      <c r="G669" s="6" t="s">
        <v>112</v>
      </c>
      <c r="H669" s="2" t="s">
        <v>194</v>
      </c>
      <c r="I669" s="2" t="s">
        <v>195</v>
      </c>
      <c r="J669" s="2" t="s">
        <v>19</v>
      </c>
      <c r="K669" s="2" t="s">
        <v>353</v>
      </c>
      <c r="L669" s="7" t="str">
        <f>HYPERLINK("http://slimages.macys.com/is/image/MCY/12950342 ")</f>
        <v xml:space="preserve">http://slimages.macys.com/is/image/MCY/12950342 </v>
      </c>
    </row>
    <row r="670" spans="1:12" ht="24.75" x14ac:dyDescent="0.25">
      <c r="A670" s="4" t="s">
        <v>2915</v>
      </c>
      <c r="B670" s="2" t="s">
        <v>1724</v>
      </c>
      <c r="C670" s="3">
        <v>2</v>
      </c>
      <c r="D670" s="5">
        <v>34.880000000000003</v>
      </c>
      <c r="E670" s="3">
        <v>100018041</v>
      </c>
      <c r="F670" s="2" t="s">
        <v>566</v>
      </c>
      <c r="G670" s="6" t="s">
        <v>22</v>
      </c>
      <c r="H670" s="2" t="s">
        <v>194</v>
      </c>
      <c r="I670" s="2" t="s">
        <v>195</v>
      </c>
      <c r="J670" s="2" t="s">
        <v>19</v>
      </c>
      <c r="K670" s="2" t="s">
        <v>353</v>
      </c>
      <c r="L670" s="7" t="str">
        <f>HYPERLINK("http://slimages.macys.com/is/image/MCY/12950342 ")</f>
        <v xml:space="preserve">http://slimages.macys.com/is/image/MCY/12950342 </v>
      </c>
    </row>
    <row r="671" spans="1:12" ht="24.75" x14ac:dyDescent="0.25">
      <c r="A671" s="4" t="s">
        <v>6018</v>
      </c>
      <c r="B671" s="2" t="s">
        <v>1724</v>
      </c>
      <c r="C671" s="3">
        <v>1</v>
      </c>
      <c r="D671" s="5">
        <v>34.880000000000003</v>
      </c>
      <c r="E671" s="3">
        <v>100018041</v>
      </c>
      <c r="F671" s="2" t="s">
        <v>680</v>
      </c>
      <c r="G671" s="6" t="s">
        <v>22</v>
      </c>
      <c r="H671" s="2" t="s">
        <v>194</v>
      </c>
      <c r="I671" s="2" t="s">
        <v>195</v>
      </c>
      <c r="J671" s="2" t="s">
        <v>19</v>
      </c>
      <c r="K671" s="2" t="s">
        <v>353</v>
      </c>
      <c r="L671" s="7" t="str">
        <f>HYPERLINK("http://slimages.macys.com/is/image/MCY/12950342 ")</f>
        <v xml:space="preserve">http://slimages.macys.com/is/image/MCY/12950342 </v>
      </c>
    </row>
    <row r="672" spans="1:12" ht="24.75" x14ac:dyDescent="0.25">
      <c r="A672" s="4" t="s">
        <v>9713</v>
      </c>
      <c r="B672" s="2" t="s">
        <v>1726</v>
      </c>
      <c r="C672" s="3">
        <v>1</v>
      </c>
      <c r="D672" s="5">
        <v>26.99</v>
      </c>
      <c r="E672" s="3" t="s">
        <v>1727</v>
      </c>
      <c r="F672" s="2" t="s">
        <v>331</v>
      </c>
      <c r="G672" s="6"/>
      <c r="H672" s="2" t="s">
        <v>349</v>
      </c>
      <c r="I672" s="2" t="s">
        <v>285</v>
      </c>
      <c r="J672" s="2" t="s">
        <v>19</v>
      </c>
      <c r="K672" s="2" t="s">
        <v>247</v>
      </c>
      <c r="L672" s="7" t="str">
        <f>HYPERLINK("http://slimages.macys.com/is/image/MCY/13118338 ")</f>
        <v xml:space="preserve">http://slimages.macys.com/is/image/MCY/13118338 </v>
      </c>
    </row>
    <row r="673" spans="1:12" ht="24.75" x14ac:dyDescent="0.25">
      <c r="A673" s="4" t="s">
        <v>7594</v>
      </c>
      <c r="B673" s="2" t="s">
        <v>1732</v>
      </c>
      <c r="C673" s="3">
        <v>1</v>
      </c>
      <c r="D673" s="5">
        <v>20.99</v>
      </c>
      <c r="E673" s="3" t="s">
        <v>1733</v>
      </c>
      <c r="F673" s="2" t="s">
        <v>15</v>
      </c>
      <c r="G673" s="6" t="s">
        <v>181</v>
      </c>
      <c r="H673" s="2" t="s">
        <v>1473</v>
      </c>
      <c r="I673" s="2" t="s">
        <v>1426</v>
      </c>
      <c r="J673" s="2" t="s">
        <v>19</v>
      </c>
      <c r="K673" s="2" t="s">
        <v>648</v>
      </c>
      <c r="L673" s="7" t="str">
        <f>HYPERLINK("http://slimages.macys.com/is/image/MCY/11995647 ")</f>
        <v xml:space="preserve">http://slimages.macys.com/is/image/MCY/11995647 </v>
      </c>
    </row>
    <row r="674" spans="1:12" ht="24.75" x14ac:dyDescent="0.25">
      <c r="A674" s="4" t="s">
        <v>9714</v>
      </c>
      <c r="B674" s="2" t="s">
        <v>9163</v>
      </c>
      <c r="C674" s="3">
        <v>1</v>
      </c>
      <c r="D674" s="5">
        <v>19.989999999999998</v>
      </c>
      <c r="E674" s="3" t="s">
        <v>9164</v>
      </c>
      <c r="F674" s="2" t="s">
        <v>70</v>
      </c>
      <c r="G674" s="6" t="s">
        <v>245</v>
      </c>
      <c r="H674" s="2" t="s">
        <v>1473</v>
      </c>
      <c r="I674" s="2" t="s">
        <v>1426</v>
      </c>
      <c r="J674" s="2" t="s">
        <v>19</v>
      </c>
      <c r="K674" s="2" t="s">
        <v>338</v>
      </c>
      <c r="L674" s="7" t="str">
        <f>HYPERLINK("http://slimages.macys.com/is/image/MCY/12774531 ")</f>
        <v xml:space="preserve">http://slimages.macys.com/is/image/MCY/12774531 </v>
      </c>
    </row>
    <row r="675" spans="1:12" ht="24.75" x14ac:dyDescent="0.25">
      <c r="A675" s="4" t="s">
        <v>9715</v>
      </c>
      <c r="B675" s="2" t="s">
        <v>1732</v>
      </c>
      <c r="C675" s="3">
        <v>1</v>
      </c>
      <c r="D675" s="5">
        <v>20.99</v>
      </c>
      <c r="E675" s="3" t="s">
        <v>9716</v>
      </c>
      <c r="F675" s="2" t="s">
        <v>15</v>
      </c>
      <c r="G675" s="6"/>
      <c r="H675" s="2" t="s">
        <v>1425</v>
      </c>
      <c r="I675" s="2" t="s">
        <v>1426</v>
      </c>
      <c r="J675" s="2" t="s">
        <v>19</v>
      </c>
      <c r="K675" s="2" t="s">
        <v>648</v>
      </c>
      <c r="L675" s="7" t="str">
        <f>HYPERLINK("http://slimages.macys.com/is/image/MCY/11995651 ")</f>
        <v xml:space="preserve">http://slimages.macys.com/is/image/MCY/11995651 </v>
      </c>
    </row>
    <row r="676" spans="1:12" ht="24.75" x14ac:dyDescent="0.25">
      <c r="A676" s="4" t="s">
        <v>4050</v>
      </c>
      <c r="B676" s="2" t="s">
        <v>1724</v>
      </c>
      <c r="C676" s="3">
        <v>1</v>
      </c>
      <c r="D676" s="5">
        <v>34.880000000000003</v>
      </c>
      <c r="E676" s="3" t="s">
        <v>2925</v>
      </c>
      <c r="F676" s="2" t="s">
        <v>566</v>
      </c>
      <c r="G676" s="6" t="s">
        <v>336</v>
      </c>
      <c r="H676" s="2" t="s">
        <v>312</v>
      </c>
      <c r="I676" s="2" t="s">
        <v>195</v>
      </c>
      <c r="J676" s="2" t="s">
        <v>19</v>
      </c>
      <c r="K676" s="2" t="s">
        <v>353</v>
      </c>
      <c r="L676" s="7" t="str">
        <f>HYPERLINK("http://slimages.macys.com/is/image/MCY/9714189 ")</f>
        <v xml:space="preserve">http://slimages.macys.com/is/image/MCY/9714189 </v>
      </c>
    </row>
    <row r="677" spans="1:12" ht="24.75" x14ac:dyDescent="0.25">
      <c r="A677" s="4" t="s">
        <v>6774</v>
      </c>
      <c r="B677" s="2" t="s">
        <v>1738</v>
      </c>
      <c r="C677" s="3">
        <v>1</v>
      </c>
      <c r="D677" s="5">
        <v>29.63</v>
      </c>
      <c r="E677" s="3" t="s">
        <v>1739</v>
      </c>
      <c r="F677" s="2" t="s">
        <v>26</v>
      </c>
      <c r="G677" s="6" t="s">
        <v>234</v>
      </c>
      <c r="H677" s="2" t="s">
        <v>194</v>
      </c>
      <c r="I677" s="2" t="s">
        <v>195</v>
      </c>
      <c r="J677" s="2" t="s">
        <v>19</v>
      </c>
      <c r="K677" s="2" t="s">
        <v>1108</v>
      </c>
      <c r="L677" s="7" t="str">
        <f t="shared" ref="L677:L683" si="7">HYPERLINK("http://slimages.macys.com/is/image/MCY/12064042 ")</f>
        <v xml:space="preserve">http://slimages.macys.com/is/image/MCY/12064042 </v>
      </c>
    </row>
    <row r="678" spans="1:12" ht="24.75" x14ac:dyDescent="0.25">
      <c r="A678" s="4" t="s">
        <v>2929</v>
      </c>
      <c r="B678" s="2" t="s">
        <v>1738</v>
      </c>
      <c r="C678" s="3">
        <v>1</v>
      </c>
      <c r="D678" s="5">
        <v>29.63</v>
      </c>
      <c r="E678" s="3" t="s">
        <v>1739</v>
      </c>
      <c r="F678" s="2" t="s">
        <v>26</v>
      </c>
      <c r="G678" s="6" t="s">
        <v>156</v>
      </c>
      <c r="H678" s="2" t="s">
        <v>194</v>
      </c>
      <c r="I678" s="2" t="s">
        <v>195</v>
      </c>
      <c r="J678" s="2" t="s">
        <v>19</v>
      </c>
      <c r="K678" s="2" t="s">
        <v>1108</v>
      </c>
      <c r="L678" s="7" t="str">
        <f t="shared" si="7"/>
        <v xml:space="preserve">http://slimages.macys.com/is/image/MCY/12064042 </v>
      </c>
    </row>
    <row r="679" spans="1:12" ht="24.75" x14ac:dyDescent="0.25">
      <c r="A679" s="4" t="s">
        <v>9717</v>
      </c>
      <c r="B679" s="2" t="s">
        <v>1738</v>
      </c>
      <c r="C679" s="3">
        <v>2</v>
      </c>
      <c r="D679" s="5">
        <v>29.63</v>
      </c>
      <c r="E679" s="3" t="s">
        <v>1739</v>
      </c>
      <c r="F679" s="2" t="s">
        <v>26</v>
      </c>
      <c r="G679" s="6" t="s">
        <v>245</v>
      </c>
      <c r="H679" s="2" t="s">
        <v>194</v>
      </c>
      <c r="I679" s="2" t="s">
        <v>195</v>
      </c>
      <c r="J679" s="2" t="s">
        <v>19</v>
      </c>
      <c r="K679" s="2" t="s">
        <v>1108</v>
      </c>
      <c r="L679" s="7" t="str">
        <f t="shared" si="7"/>
        <v xml:space="preserve">http://slimages.macys.com/is/image/MCY/12064042 </v>
      </c>
    </row>
    <row r="680" spans="1:12" ht="24.75" x14ac:dyDescent="0.25">
      <c r="A680" s="4" t="s">
        <v>2928</v>
      </c>
      <c r="B680" s="2" t="s">
        <v>1738</v>
      </c>
      <c r="C680" s="3">
        <v>1</v>
      </c>
      <c r="D680" s="5">
        <v>29.63</v>
      </c>
      <c r="E680" s="3" t="s">
        <v>1739</v>
      </c>
      <c r="F680" s="2" t="s">
        <v>26</v>
      </c>
      <c r="G680" s="6" t="s">
        <v>181</v>
      </c>
      <c r="H680" s="2" t="s">
        <v>194</v>
      </c>
      <c r="I680" s="2" t="s">
        <v>195</v>
      </c>
      <c r="J680" s="2" t="s">
        <v>19</v>
      </c>
      <c r="K680" s="2" t="s">
        <v>1108</v>
      </c>
      <c r="L680" s="7" t="str">
        <f t="shared" si="7"/>
        <v xml:space="preserve">http://slimages.macys.com/is/image/MCY/12064042 </v>
      </c>
    </row>
    <row r="681" spans="1:12" ht="24.75" x14ac:dyDescent="0.25">
      <c r="A681" s="4" t="s">
        <v>9718</v>
      </c>
      <c r="B681" s="2" t="s">
        <v>1738</v>
      </c>
      <c r="C681" s="3">
        <v>1</v>
      </c>
      <c r="D681" s="5">
        <v>29.5</v>
      </c>
      <c r="E681" s="3" t="s">
        <v>1739</v>
      </c>
      <c r="F681" s="2" t="s">
        <v>170</v>
      </c>
      <c r="G681" s="6" t="s">
        <v>200</v>
      </c>
      <c r="H681" s="2" t="s">
        <v>194</v>
      </c>
      <c r="I681" s="2" t="s">
        <v>195</v>
      </c>
      <c r="J681" s="2" t="s">
        <v>19</v>
      </c>
      <c r="K681" s="2" t="s">
        <v>1108</v>
      </c>
      <c r="L681" s="7" t="str">
        <f t="shared" si="7"/>
        <v xml:space="preserve">http://slimages.macys.com/is/image/MCY/12064042 </v>
      </c>
    </row>
    <row r="682" spans="1:12" ht="24.75" x14ac:dyDescent="0.25">
      <c r="A682" s="4" t="s">
        <v>1740</v>
      </c>
      <c r="B682" s="2" t="s">
        <v>1738</v>
      </c>
      <c r="C682" s="3">
        <v>1</v>
      </c>
      <c r="D682" s="5">
        <v>29.63</v>
      </c>
      <c r="E682" s="3" t="s">
        <v>1739</v>
      </c>
      <c r="F682" s="2" t="s">
        <v>15</v>
      </c>
      <c r="G682" s="6" t="s">
        <v>154</v>
      </c>
      <c r="H682" s="2" t="s">
        <v>194</v>
      </c>
      <c r="I682" s="2" t="s">
        <v>195</v>
      </c>
      <c r="J682" s="2" t="s">
        <v>19</v>
      </c>
      <c r="K682" s="2" t="s">
        <v>1108</v>
      </c>
      <c r="L682" s="7" t="str">
        <f t="shared" si="7"/>
        <v xml:space="preserve">http://slimages.macys.com/is/image/MCY/12064042 </v>
      </c>
    </row>
    <row r="683" spans="1:12" ht="24.75" x14ac:dyDescent="0.25">
      <c r="A683" s="4" t="s">
        <v>2927</v>
      </c>
      <c r="B683" s="2" t="s">
        <v>1738</v>
      </c>
      <c r="C683" s="3">
        <v>4</v>
      </c>
      <c r="D683" s="5">
        <v>29.63</v>
      </c>
      <c r="E683" s="3" t="s">
        <v>1739</v>
      </c>
      <c r="F683" s="2" t="s">
        <v>26</v>
      </c>
      <c r="G683" s="6" t="s">
        <v>154</v>
      </c>
      <c r="H683" s="2" t="s">
        <v>194</v>
      </c>
      <c r="I683" s="2" t="s">
        <v>195</v>
      </c>
      <c r="J683" s="2" t="s">
        <v>19</v>
      </c>
      <c r="K683" s="2" t="s">
        <v>1108</v>
      </c>
      <c r="L683" s="7" t="str">
        <f t="shared" si="7"/>
        <v xml:space="preserve">http://slimages.macys.com/is/image/MCY/12064042 </v>
      </c>
    </row>
    <row r="684" spans="1:12" ht="24.75" x14ac:dyDescent="0.25">
      <c r="A684" s="4" t="s">
        <v>4054</v>
      </c>
      <c r="B684" s="2" t="s">
        <v>2936</v>
      </c>
      <c r="C684" s="3">
        <v>1</v>
      </c>
      <c r="D684" s="5">
        <v>20.99</v>
      </c>
      <c r="E684" s="3" t="s">
        <v>2937</v>
      </c>
      <c r="F684" s="2" t="s">
        <v>64</v>
      </c>
      <c r="G684" s="6" t="s">
        <v>154</v>
      </c>
      <c r="H684" s="2" t="s">
        <v>1473</v>
      </c>
      <c r="I684" s="2" t="s">
        <v>1864</v>
      </c>
      <c r="J684" s="2" t="s">
        <v>19</v>
      </c>
      <c r="K684" s="2" t="s">
        <v>107</v>
      </c>
      <c r="L684" s="7" t="str">
        <f>HYPERLINK("http://slimages.macys.com/is/image/MCY/12266786 ")</f>
        <v xml:space="preserve">http://slimages.macys.com/is/image/MCY/12266786 </v>
      </c>
    </row>
    <row r="685" spans="1:12" ht="24.75" x14ac:dyDescent="0.25">
      <c r="A685" s="4" t="s">
        <v>9719</v>
      </c>
      <c r="B685" s="2" t="s">
        <v>2952</v>
      </c>
      <c r="C685" s="3">
        <v>1</v>
      </c>
      <c r="D685" s="5">
        <v>19.989999999999998</v>
      </c>
      <c r="E685" s="3" t="s">
        <v>9720</v>
      </c>
      <c r="F685" s="2" t="s">
        <v>579</v>
      </c>
      <c r="G685" s="6" t="s">
        <v>219</v>
      </c>
      <c r="H685" s="2" t="s">
        <v>1425</v>
      </c>
      <c r="I685" s="2" t="s">
        <v>1426</v>
      </c>
      <c r="J685" s="2" t="s">
        <v>19</v>
      </c>
      <c r="K685" s="2" t="s">
        <v>648</v>
      </c>
      <c r="L685" s="7" t="str">
        <f>HYPERLINK("http://slimages.macys.com/is/image/MCY/11537486 ")</f>
        <v xml:space="preserve">http://slimages.macys.com/is/image/MCY/11537486 </v>
      </c>
    </row>
    <row r="686" spans="1:12" ht="24.75" x14ac:dyDescent="0.25">
      <c r="A686" s="4" t="s">
        <v>9721</v>
      </c>
      <c r="B686" s="2" t="s">
        <v>9722</v>
      </c>
      <c r="C686" s="3">
        <v>1</v>
      </c>
      <c r="D686" s="5">
        <v>17.989999999999998</v>
      </c>
      <c r="E686" s="3" t="s">
        <v>9723</v>
      </c>
      <c r="F686" s="2" t="s">
        <v>70</v>
      </c>
      <c r="G686" s="6" t="s">
        <v>22</v>
      </c>
      <c r="H686" s="2" t="s">
        <v>1473</v>
      </c>
      <c r="I686" s="2" t="s">
        <v>1426</v>
      </c>
      <c r="J686" s="2"/>
      <c r="K686" s="2"/>
      <c r="L686" s="7" t="str">
        <f>HYPERLINK("http://slimages.macys.com/is/image/MCY/11882691 ")</f>
        <v xml:space="preserve">http://slimages.macys.com/is/image/MCY/11882691 </v>
      </c>
    </row>
    <row r="687" spans="1:12" ht="24.75" x14ac:dyDescent="0.25">
      <c r="A687" s="4" t="s">
        <v>9724</v>
      </c>
      <c r="B687" s="2" t="s">
        <v>6039</v>
      </c>
      <c r="C687" s="3">
        <v>2</v>
      </c>
      <c r="D687" s="5">
        <v>19.989999999999998</v>
      </c>
      <c r="E687" s="3" t="s">
        <v>6040</v>
      </c>
      <c r="F687" s="2" t="s">
        <v>74</v>
      </c>
      <c r="G687" s="6" t="s">
        <v>200</v>
      </c>
      <c r="H687" s="2" t="s">
        <v>194</v>
      </c>
      <c r="I687" s="2" t="s">
        <v>1922</v>
      </c>
      <c r="J687" s="2" t="s">
        <v>19</v>
      </c>
      <c r="K687" s="2" t="s">
        <v>247</v>
      </c>
      <c r="L687" s="7" t="str">
        <f>HYPERLINK("http://slimages.macys.com/is/image/MCY/3580595 ")</f>
        <v xml:space="preserve">http://slimages.macys.com/is/image/MCY/3580595 </v>
      </c>
    </row>
    <row r="688" spans="1:12" ht="24.75" x14ac:dyDescent="0.25">
      <c r="A688" s="4" t="s">
        <v>2955</v>
      </c>
      <c r="B688" s="2" t="s">
        <v>2956</v>
      </c>
      <c r="C688" s="3">
        <v>1</v>
      </c>
      <c r="D688" s="5">
        <v>19.989999999999998</v>
      </c>
      <c r="E688" s="3" t="s">
        <v>2957</v>
      </c>
      <c r="F688" s="2" t="s">
        <v>70</v>
      </c>
      <c r="G688" s="6" t="s">
        <v>154</v>
      </c>
      <c r="H688" s="2" t="s">
        <v>1473</v>
      </c>
      <c r="I688" s="2" t="s">
        <v>1426</v>
      </c>
      <c r="J688" s="2" t="s">
        <v>19</v>
      </c>
      <c r="K688" s="2" t="s">
        <v>495</v>
      </c>
      <c r="L688" s="7" t="str">
        <f>HYPERLINK("http://slimages.macys.com/is/image/MCY/12671837 ")</f>
        <v xml:space="preserve">http://slimages.macys.com/is/image/MCY/12671837 </v>
      </c>
    </row>
    <row r="689" spans="1:12" ht="24.75" x14ac:dyDescent="0.25">
      <c r="A689" s="4" t="s">
        <v>9725</v>
      </c>
      <c r="B689" s="2" t="s">
        <v>6055</v>
      </c>
      <c r="C689" s="3">
        <v>1</v>
      </c>
      <c r="D689" s="5">
        <v>22.13</v>
      </c>
      <c r="E689" s="3" t="s">
        <v>6056</v>
      </c>
      <c r="F689" s="2" t="s">
        <v>676</v>
      </c>
      <c r="G689" s="6" t="s">
        <v>156</v>
      </c>
      <c r="H689" s="2" t="s">
        <v>194</v>
      </c>
      <c r="I689" s="2" t="s">
        <v>580</v>
      </c>
      <c r="J689" s="2" t="s">
        <v>19</v>
      </c>
      <c r="K689" s="2" t="s">
        <v>1758</v>
      </c>
      <c r="L689" s="7" t="str">
        <f>HYPERLINK("http://slimages.macys.com/is/image/MCY/12794135 ")</f>
        <v xml:space="preserve">http://slimages.macys.com/is/image/MCY/12794135 </v>
      </c>
    </row>
    <row r="690" spans="1:12" ht="24.75" x14ac:dyDescent="0.25">
      <c r="A690" s="4" t="s">
        <v>2964</v>
      </c>
      <c r="B690" s="2" t="s">
        <v>1764</v>
      </c>
      <c r="C690" s="3">
        <v>1</v>
      </c>
      <c r="D690" s="5">
        <v>22.13</v>
      </c>
      <c r="E690" s="3" t="s">
        <v>2965</v>
      </c>
      <c r="F690" s="2" t="s">
        <v>331</v>
      </c>
      <c r="G690" s="6" t="s">
        <v>156</v>
      </c>
      <c r="H690" s="2" t="s">
        <v>194</v>
      </c>
      <c r="I690" s="2" t="s">
        <v>1766</v>
      </c>
      <c r="J690" s="2" t="s">
        <v>1499</v>
      </c>
      <c r="K690" s="2" t="s">
        <v>1758</v>
      </c>
      <c r="L690" s="7" t="str">
        <f>HYPERLINK("http://slimages.macys.com/is/image/MCY/11804543 ")</f>
        <v xml:space="preserve">http://slimages.macys.com/is/image/MCY/11804543 </v>
      </c>
    </row>
    <row r="691" spans="1:12" ht="24.75" x14ac:dyDescent="0.25">
      <c r="A691" s="4" t="s">
        <v>1780</v>
      </c>
      <c r="B691" s="2" t="s">
        <v>1776</v>
      </c>
      <c r="C691" s="3">
        <v>1</v>
      </c>
      <c r="D691" s="5">
        <v>22.13</v>
      </c>
      <c r="E691" s="3" t="s">
        <v>1779</v>
      </c>
      <c r="F691" s="2" t="s">
        <v>79</v>
      </c>
      <c r="G691" s="6" t="s">
        <v>154</v>
      </c>
      <c r="H691" s="2" t="s">
        <v>194</v>
      </c>
      <c r="I691" s="2" t="s">
        <v>1766</v>
      </c>
      <c r="J691" s="2" t="s">
        <v>19</v>
      </c>
      <c r="K691" s="2" t="s">
        <v>1758</v>
      </c>
      <c r="L691" s="7" t="str">
        <f>HYPERLINK("http://slimages.macys.com/is/image/MCY/12035171 ")</f>
        <v xml:space="preserve">http://slimages.macys.com/is/image/MCY/12035171 </v>
      </c>
    </row>
    <row r="692" spans="1:12" ht="24.75" x14ac:dyDescent="0.25">
      <c r="A692" s="4" t="s">
        <v>9726</v>
      </c>
      <c r="B692" s="2" t="s">
        <v>1776</v>
      </c>
      <c r="C692" s="3">
        <v>1</v>
      </c>
      <c r="D692" s="5">
        <v>22.13</v>
      </c>
      <c r="E692" s="3" t="s">
        <v>1779</v>
      </c>
      <c r="F692" s="2" t="s">
        <v>79</v>
      </c>
      <c r="G692" s="6" t="s">
        <v>200</v>
      </c>
      <c r="H692" s="2" t="s">
        <v>194</v>
      </c>
      <c r="I692" s="2" t="s">
        <v>1766</v>
      </c>
      <c r="J692" s="2" t="s">
        <v>19</v>
      </c>
      <c r="K692" s="2" t="s">
        <v>1758</v>
      </c>
      <c r="L692" s="7" t="str">
        <f>HYPERLINK("http://slimages.macys.com/is/image/MCY/12035171 ")</f>
        <v xml:space="preserve">http://slimages.macys.com/is/image/MCY/12035171 </v>
      </c>
    </row>
    <row r="693" spans="1:12" ht="24.75" x14ac:dyDescent="0.25">
      <c r="A693" s="4" t="s">
        <v>6068</v>
      </c>
      <c r="B693" s="2" t="s">
        <v>1776</v>
      </c>
      <c r="C693" s="3">
        <v>1</v>
      </c>
      <c r="D693" s="5">
        <v>22.13</v>
      </c>
      <c r="E693" s="3" t="s">
        <v>1779</v>
      </c>
      <c r="F693" s="2" t="s">
        <v>79</v>
      </c>
      <c r="G693" s="6" t="s">
        <v>181</v>
      </c>
      <c r="H693" s="2" t="s">
        <v>194</v>
      </c>
      <c r="I693" s="2" t="s">
        <v>1766</v>
      </c>
      <c r="J693" s="2" t="s">
        <v>19</v>
      </c>
      <c r="K693" s="2" t="s">
        <v>1758</v>
      </c>
      <c r="L693" s="7" t="str">
        <f>HYPERLINK("http://slimages.macys.com/is/image/MCY/12035171 ")</f>
        <v xml:space="preserve">http://slimages.macys.com/is/image/MCY/12035171 </v>
      </c>
    </row>
    <row r="694" spans="1:12" ht="24.75" x14ac:dyDescent="0.25">
      <c r="A694" s="4" t="s">
        <v>9727</v>
      </c>
      <c r="B694" s="2" t="s">
        <v>6046</v>
      </c>
      <c r="C694" s="3">
        <v>1</v>
      </c>
      <c r="D694" s="5">
        <v>22.13</v>
      </c>
      <c r="E694" s="3" t="s">
        <v>6063</v>
      </c>
      <c r="F694" s="2" t="s">
        <v>225</v>
      </c>
      <c r="G694" s="6" t="s">
        <v>154</v>
      </c>
      <c r="H694" s="2" t="s">
        <v>194</v>
      </c>
      <c r="I694" s="2" t="s">
        <v>580</v>
      </c>
      <c r="J694" s="2" t="s">
        <v>19</v>
      </c>
      <c r="K694" s="2" t="s">
        <v>442</v>
      </c>
      <c r="L694" s="7" t="str">
        <f>HYPERLINK("http://slimages.macys.com/is/image/MCY/11937957 ")</f>
        <v xml:space="preserve">http://slimages.macys.com/is/image/MCY/11937957 </v>
      </c>
    </row>
    <row r="695" spans="1:12" ht="24.75" x14ac:dyDescent="0.25">
      <c r="A695" s="4" t="s">
        <v>9728</v>
      </c>
      <c r="B695" s="2" t="s">
        <v>6043</v>
      </c>
      <c r="C695" s="3">
        <v>1</v>
      </c>
      <c r="D695" s="5">
        <v>22.13</v>
      </c>
      <c r="E695" s="3" t="s">
        <v>6044</v>
      </c>
      <c r="F695" s="2" t="s">
        <v>74</v>
      </c>
      <c r="G695" s="6" t="s">
        <v>181</v>
      </c>
      <c r="H695" s="2" t="s">
        <v>194</v>
      </c>
      <c r="I695" s="2" t="s">
        <v>580</v>
      </c>
      <c r="J695" s="2" t="s">
        <v>19</v>
      </c>
      <c r="K695" s="2" t="s">
        <v>1758</v>
      </c>
      <c r="L695" s="7" t="str">
        <f>HYPERLINK("http://slimages.macys.com/is/image/MCY/11937972 ")</f>
        <v xml:space="preserve">http://slimages.macys.com/is/image/MCY/11937972 </v>
      </c>
    </row>
    <row r="696" spans="1:12" ht="24.75" x14ac:dyDescent="0.25">
      <c r="A696" s="4" t="s">
        <v>1763</v>
      </c>
      <c r="B696" s="2" t="s">
        <v>1764</v>
      </c>
      <c r="C696" s="3">
        <v>1</v>
      </c>
      <c r="D696" s="5">
        <v>22.13</v>
      </c>
      <c r="E696" s="3" t="s">
        <v>1765</v>
      </c>
      <c r="F696" s="2" t="s">
        <v>38</v>
      </c>
      <c r="G696" s="6" t="s">
        <v>154</v>
      </c>
      <c r="H696" s="2" t="s">
        <v>194</v>
      </c>
      <c r="I696" s="2" t="s">
        <v>1766</v>
      </c>
      <c r="J696" s="2" t="s">
        <v>19</v>
      </c>
      <c r="K696" s="2" t="s">
        <v>1082</v>
      </c>
      <c r="L696" s="7" t="str">
        <f>HYPERLINK("http://slimages.macys.com/is/image/MCY/12143911 ")</f>
        <v xml:space="preserve">http://slimages.macys.com/is/image/MCY/12143911 </v>
      </c>
    </row>
    <row r="697" spans="1:12" ht="24.75" x14ac:dyDescent="0.25">
      <c r="A697" s="4" t="s">
        <v>9729</v>
      </c>
      <c r="B697" s="2" t="s">
        <v>1808</v>
      </c>
      <c r="C697" s="3">
        <v>1</v>
      </c>
      <c r="D697" s="5">
        <v>22.13</v>
      </c>
      <c r="E697" s="3" t="s">
        <v>7607</v>
      </c>
      <c r="F697" s="2" t="s">
        <v>252</v>
      </c>
      <c r="G697" s="6" t="s">
        <v>200</v>
      </c>
      <c r="H697" s="2" t="s">
        <v>194</v>
      </c>
      <c r="I697" s="2" t="s">
        <v>580</v>
      </c>
      <c r="J697" s="2" t="s">
        <v>19</v>
      </c>
      <c r="K697" s="2" t="s">
        <v>1758</v>
      </c>
      <c r="L697" s="7" t="str">
        <f>HYPERLINK("http://slimages.macys.com/is/image/MCY/12734385 ")</f>
        <v xml:space="preserve">http://slimages.macys.com/is/image/MCY/12734385 </v>
      </c>
    </row>
    <row r="698" spans="1:12" ht="24.75" x14ac:dyDescent="0.25">
      <c r="A698" s="4" t="s">
        <v>6042</v>
      </c>
      <c r="B698" s="2" t="s">
        <v>6043</v>
      </c>
      <c r="C698" s="3">
        <v>1</v>
      </c>
      <c r="D698" s="5">
        <v>22.13</v>
      </c>
      <c r="E698" s="3" t="s">
        <v>6044</v>
      </c>
      <c r="F698" s="2" t="s">
        <v>74</v>
      </c>
      <c r="G698" s="6" t="s">
        <v>156</v>
      </c>
      <c r="H698" s="2" t="s">
        <v>194</v>
      </c>
      <c r="I698" s="2" t="s">
        <v>580</v>
      </c>
      <c r="J698" s="2" t="s">
        <v>19</v>
      </c>
      <c r="K698" s="2" t="s">
        <v>1758</v>
      </c>
      <c r="L698" s="7" t="str">
        <f>HYPERLINK("http://slimages.macys.com/is/image/MCY/11937972 ")</f>
        <v xml:space="preserve">http://slimages.macys.com/is/image/MCY/11937972 </v>
      </c>
    </row>
    <row r="699" spans="1:12" ht="24.75" x14ac:dyDescent="0.25">
      <c r="A699" s="4" t="s">
        <v>7600</v>
      </c>
      <c r="B699" s="2" t="s">
        <v>1761</v>
      </c>
      <c r="C699" s="3">
        <v>1</v>
      </c>
      <c r="D699" s="5">
        <v>22.13</v>
      </c>
      <c r="E699" s="3" t="s">
        <v>5127</v>
      </c>
      <c r="F699" s="2" t="s">
        <v>572</v>
      </c>
      <c r="G699" s="6" t="s">
        <v>156</v>
      </c>
      <c r="H699" s="2" t="s">
        <v>194</v>
      </c>
      <c r="I699" s="2" t="s">
        <v>580</v>
      </c>
      <c r="J699" s="2" t="s">
        <v>19</v>
      </c>
      <c r="K699" s="2" t="s">
        <v>1082</v>
      </c>
      <c r="L699" s="7" t="str">
        <f>HYPERLINK("http://slimages.macys.com/is/image/MCY/12950289 ")</f>
        <v xml:space="preserve">http://slimages.macys.com/is/image/MCY/12950289 </v>
      </c>
    </row>
    <row r="700" spans="1:12" ht="24.75" x14ac:dyDescent="0.25">
      <c r="A700" s="4" t="s">
        <v>9730</v>
      </c>
      <c r="B700" s="2" t="s">
        <v>6059</v>
      </c>
      <c r="C700" s="3">
        <v>1</v>
      </c>
      <c r="D700" s="5">
        <v>22.13</v>
      </c>
      <c r="E700" s="3" t="s">
        <v>6060</v>
      </c>
      <c r="F700" s="2" t="s">
        <v>572</v>
      </c>
      <c r="G700" s="6" t="s">
        <v>245</v>
      </c>
      <c r="H700" s="2" t="s">
        <v>194</v>
      </c>
      <c r="I700" s="2" t="s">
        <v>580</v>
      </c>
      <c r="J700" s="2" t="s">
        <v>19</v>
      </c>
      <c r="K700" s="2" t="s">
        <v>1082</v>
      </c>
      <c r="L700" s="7" t="str">
        <f>HYPERLINK("http://slimages.macys.com/is/image/MCY/12950293 ")</f>
        <v xml:space="preserve">http://slimages.macys.com/is/image/MCY/12950293 </v>
      </c>
    </row>
    <row r="701" spans="1:12" ht="24.75" x14ac:dyDescent="0.25">
      <c r="A701" s="4" t="s">
        <v>2972</v>
      </c>
      <c r="B701" s="2" t="s">
        <v>1761</v>
      </c>
      <c r="C701" s="3">
        <v>2</v>
      </c>
      <c r="D701" s="5">
        <v>22.13</v>
      </c>
      <c r="E701" s="3" t="s">
        <v>1762</v>
      </c>
      <c r="F701" s="2" t="s">
        <v>15</v>
      </c>
      <c r="G701" s="6" t="s">
        <v>234</v>
      </c>
      <c r="H701" s="2" t="s">
        <v>194</v>
      </c>
      <c r="I701" s="2" t="s">
        <v>580</v>
      </c>
      <c r="J701" s="2" t="s">
        <v>19</v>
      </c>
      <c r="K701" s="2" t="s">
        <v>1082</v>
      </c>
      <c r="L701" s="7" t="str">
        <f>HYPERLINK("http://slimages.macys.com/is/image/MCY/12794096 ")</f>
        <v xml:space="preserve">http://slimages.macys.com/is/image/MCY/12794096 </v>
      </c>
    </row>
    <row r="702" spans="1:12" ht="24.75" x14ac:dyDescent="0.25">
      <c r="A702" s="4" t="s">
        <v>9731</v>
      </c>
      <c r="B702" s="2" t="s">
        <v>1770</v>
      </c>
      <c r="C702" s="3">
        <v>1</v>
      </c>
      <c r="D702" s="5">
        <v>22.13</v>
      </c>
      <c r="E702" s="3" t="s">
        <v>1771</v>
      </c>
      <c r="F702" s="2" t="s">
        <v>64</v>
      </c>
      <c r="G702" s="6" t="s">
        <v>234</v>
      </c>
      <c r="H702" s="2" t="s">
        <v>194</v>
      </c>
      <c r="I702" s="2" t="s">
        <v>580</v>
      </c>
      <c r="J702" s="2" t="s">
        <v>19</v>
      </c>
      <c r="K702" s="2" t="s">
        <v>1082</v>
      </c>
      <c r="L702" s="7" t="str">
        <f>HYPERLINK("http://slimages.macys.com/is/image/MCY/12794152 ")</f>
        <v xml:space="preserve">http://slimages.macys.com/is/image/MCY/12794152 </v>
      </c>
    </row>
    <row r="703" spans="1:12" ht="24.75" x14ac:dyDescent="0.25">
      <c r="A703" s="4" t="s">
        <v>2963</v>
      </c>
      <c r="B703" s="2" t="s">
        <v>1761</v>
      </c>
      <c r="C703" s="3">
        <v>1</v>
      </c>
      <c r="D703" s="5">
        <v>22.13</v>
      </c>
      <c r="E703" s="3" t="s">
        <v>1768</v>
      </c>
      <c r="F703" s="2" t="s">
        <v>64</v>
      </c>
      <c r="G703" s="6" t="s">
        <v>234</v>
      </c>
      <c r="H703" s="2" t="s">
        <v>194</v>
      </c>
      <c r="I703" s="2" t="s">
        <v>580</v>
      </c>
      <c r="J703" s="2" t="s">
        <v>19</v>
      </c>
      <c r="K703" s="2" t="s">
        <v>1758</v>
      </c>
      <c r="L703" s="7" t="str">
        <f>HYPERLINK("http://slimages.macys.com/is/image/MCY/12799771 ")</f>
        <v xml:space="preserve">http://slimages.macys.com/is/image/MCY/12799771 </v>
      </c>
    </row>
    <row r="704" spans="1:12" ht="24.75" x14ac:dyDescent="0.25">
      <c r="A704" s="4" t="s">
        <v>9732</v>
      </c>
      <c r="B704" s="2" t="s">
        <v>1770</v>
      </c>
      <c r="C704" s="3">
        <v>1</v>
      </c>
      <c r="D704" s="5">
        <v>22.13</v>
      </c>
      <c r="E704" s="3" t="s">
        <v>1771</v>
      </c>
      <c r="F704" s="2" t="s">
        <v>64</v>
      </c>
      <c r="G704" s="6" t="s">
        <v>245</v>
      </c>
      <c r="H704" s="2" t="s">
        <v>194</v>
      </c>
      <c r="I704" s="2" t="s">
        <v>580</v>
      </c>
      <c r="J704" s="2" t="s">
        <v>19</v>
      </c>
      <c r="K704" s="2" t="s">
        <v>1082</v>
      </c>
      <c r="L704" s="7" t="str">
        <f>HYPERLINK("http://slimages.macys.com/is/image/MCY/12794152 ")</f>
        <v xml:space="preserve">http://slimages.macys.com/is/image/MCY/12794152 </v>
      </c>
    </row>
    <row r="705" spans="1:12" ht="24.75" x14ac:dyDescent="0.25">
      <c r="A705" s="4" t="s">
        <v>9733</v>
      </c>
      <c r="B705" s="2" t="s">
        <v>4079</v>
      </c>
      <c r="C705" s="3">
        <v>1</v>
      </c>
      <c r="D705" s="5">
        <v>22.13</v>
      </c>
      <c r="E705" s="3" t="s">
        <v>4080</v>
      </c>
      <c r="F705" s="2" t="s">
        <v>199</v>
      </c>
      <c r="G705" s="6" t="s">
        <v>234</v>
      </c>
      <c r="H705" s="2" t="s">
        <v>194</v>
      </c>
      <c r="I705" s="2" t="s">
        <v>1766</v>
      </c>
      <c r="J705" s="2" t="s">
        <v>19</v>
      </c>
      <c r="K705" s="2" t="s">
        <v>1082</v>
      </c>
      <c r="L705" s="7" t="str">
        <f>HYPERLINK("http://slimages.macys.com/is/image/MCY/11701564 ")</f>
        <v xml:space="preserve">http://slimages.macys.com/is/image/MCY/11701564 </v>
      </c>
    </row>
    <row r="706" spans="1:12" ht="24.75" x14ac:dyDescent="0.25">
      <c r="A706" s="4" t="s">
        <v>2980</v>
      </c>
      <c r="B706" s="2" t="s">
        <v>1724</v>
      </c>
      <c r="C706" s="3">
        <v>1</v>
      </c>
      <c r="D706" s="5">
        <v>34.880000000000003</v>
      </c>
      <c r="E706" s="3">
        <v>100018041</v>
      </c>
      <c r="F706" s="2" t="s">
        <v>74</v>
      </c>
      <c r="G706" s="6" t="s">
        <v>22</v>
      </c>
      <c r="H706" s="2" t="s">
        <v>194</v>
      </c>
      <c r="I706" s="2" t="s">
        <v>195</v>
      </c>
      <c r="J706" s="2" t="s">
        <v>19</v>
      </c>
      <c r="K706" s="2" t="s">
        <v>353</v>
      </c>
      <c r="L706" s="7" t="str">
        <f>HYPERLINK("http://slimages.macys.com/is/image/MCY/12950342 ")</f>
        <v xml:space="preserve">http://slimages.macys.com/is/image/MCY/12950342 </v>
      </c>
    </row>
    <row r="707" spans="1:12" ht="24.75" x14ac:dyDescent="0.25">
      <c r="A707" s="4" t="s">
        <v>2977</v>
      </c>
      <c r="B707" s="2" t="s">
        <v>1724</v>
      </c>
      <c r="C707" s="3">
        <v>1</v>
      </c>
      <c r="D707" s="5">
        <v>34.880000000000003</v>
      </c>
      <c r="E707" s="3">
        <v>100018041</v>
      </c>
      <c r="F707" s="2" t="s">
        <v>26</v>
      </c>
      <c r="G707" s="6" t="s">
        <v>16</v>
      </c>
      <c r="H707" s="2" t="s">
        <v>194</v>
      </c>
      <c r="I707" s="2" t="s">
        <v>195</v>
      </c>
      <c r="J707" s="2" t="s">
        <v>19</v>
      </c>
      <c r="K707" s="2" t="s">
        <v>353</v>
      </c>
      <c r="L707" s="7" t="str">
        <f>HYPERLINK("http://slimages.macys.com/is/image/MCY/12950342 ")</f>
        <v xml:space="preserve">http://slimages.macys.com/is/image/MCY/12950342 </v>
      </c>
    </row>
    <row r="708" spans="1:12" ht="24.75" x14ac:dyDescent="0.25">
      <c r="A708" s="4" t="s">
        <v>9181</v>
      </c>
      <c r="B708" s="2" t="s">
        <v>1724</v>
      </c>
      <c r="C708" s="3">
        <v>1</v>
      </c>
      <c r="D708" s="5">
        <v>34.880000000000003</v>
      </c>
      <c r="E708" s="3">
        <v>100018041</v>
      </c>
      <c r="F708" s="2" t="s">
        <v>26</v>
      </c>
      <c r="G708" s="6" t="s">
        <v>58</v>
      </c>
      <c r="H708" s="2" t="s">
        <v>194</v>
      </c>
      <c r="I708" s="2" t="s">
        <v>195</v>
      </c>
      <c r="J708" s="2" t="s">
        <v>19</v>
      </c>
      <c r="K708" s="2" t="s">
        <v>353</v>
      </c>
      <c r="L708" s="7" t="str">
        <f>HYPERLINK("http://slimages.macys.com/is/image/MCY/12950342 ")</f>
        <v xml:space="preserve">http://slimages.macys.com/is/image/MCY/12950342 </v>
      </c>
    </row>
    <row r="709" spans="1:12" ht="24.75" x14ac:dyDescent="0.25">
      <c r="A709" s="4" t="s">
        <v>2978</v>
      </c>
      <c r="B709" s="2" t="s">
        <v>1724</v>
      </c>
      <c r="C709" s="3">
        <v>1</v>
      </c>
      <c r="D709" s="5">
        <v>34.880000000000003</v>
      </c>
      <c r="E709" s="3">
        <v>100018041</v>
      </c>
      <c r="F709" s="2" t="s">
        <v>74</v>
      </c>
      <c r="G709" s="6" t="s">
        <v>16</v>
      </c>
      <c r="H709" s="2" t="s">
        <v>194</v>
      </c>
      <c r="I709" s="2" t="s">
        <v>195</v>
      </c>
      <c r="J709" s="2" t="s">
        <v>19</v>
      </c>
      <c r="K709" s="2" t="s">
        <v>353</v>
      </c>
      <c r="L709" s="7" t="str">
        <f>HYPERLINK("http://slimages.macys.com/is/image/MCY/12950342 ")</f>
        <v xml:space="preserve">http://slimages.macys.com/is/image/MCY/12950342 </v>
      </c>
    </row>
    <row r="710" spans="1:12" ht="24.75" x14ac:dyDescent="0.25">
      <c r="A710" s="4" t="s">
        <v>8308</v>
      </c>
      <c r="B710" s="2" t="s">
        <v>1724</v>
      </c>
      <c r="C710" s="3">
        <v>2</v>
      </c>
      <c r="D710" s="5">
        <v>34.880000000000003</v>
      </c>
      <c r="E710" s="3">
        <v>100018041</v>
      </c>
      <c r="F710" s="2" t="s">
        <v>74</v>
      </c>
      <c r="G710" s="6" t="s">
        <v>27</v>
      </c>
      <c r="H710" s="2" t="s">
        <v>194</v>
      </c>
      <c r="I710" s="2" t="s">
        <v>195</v>
      </c>
      <c r="J710" s="2" t="s">
        <v>19</v>
      </c>
      <c r="K710" s="2" t="s">
        <v>353</v>
      </c>
      <c r="L710" s="7" t="str">
        <f>HYPERLINK("http://slimages.macys.com/is/image/MCY/12950342 ")</f>
        <v xml:space="preserve">http://slimages.macys.com/is/image/MCY/12950342 </v>
      </c>
    </row>
    <row r="711" spans="1:12" ht="24.75" x14ac:dyDescent="0.25">
      <c r="A711" s="4" t="s">
        <v>9734</v>
      </c>
      <c r="B711" s="2" t="s">
        <v>9735</v>
      </c>
      <c r="C711" s="3">
        <v>1</v>
      </c>
      <c r="D711" s="5">
        <v>22.13</v>
      </c>
      <c r="E711" s="3" t="s">
        <v>9736</v>
      </c>
      <c r="F711" s="2"/>
      <c r="G711" s="6"/>
      <c r="H711" s="2" t="s">
        <v>312</v>
      </c>
      <c r="I711" s="2" t="s">
        <v>580</v>
      </c>
      <c r="J711" s="2" t="s">
        <v>19</v>
      </c>
      <c r="K711" s="2" t="s">
        <v>1758</v>
      </c>
      <c r="L711" s="7" t="str">
        <f>HYPERLINK("http://slimages.macys.com/is/image/MCY/11466757 ")</f>
        <v xml:space="preserve">http://slimages.macys.com/is/image/MCY/11466757 </v>
      </c>
    </row>
    <row r="712" spans="1:12" ht="24.75" x14ac:dyDescent="0.25">
      <c r="A712" s="4" t="s">
        <v>9737</v>
      </c>
      <c r="B712" s="2" t="s">
        <v>1761</v>
      </c>
      <c r="C712" s="3">
        <v>1</v>
      </c>
      <c r="D712" s="5">
        <v>22.13</v>
      </c>
      <c r="E712" s="3" t="s">
        <v>1804</v>
      </c>
      <c r="F712" s="2" t="s">
        <v>26</v>
      </c>
      <c r="G712" s="6"/>
      <c r="H712" s="2" t="s">
        <v>312</v>
      </c>
      <c r="I712" s="2" t="s">
        <v>580</v>
      </c>
      <c r="J712" s="2" t="s">
        <v>19</v>
      </c>
      <c r="K712" s="2" t="s">
        <v>1082</v>
      </c>
      <c r="L712" s="7" t="str">
        <f>HYPERLINK("http://slimages.macys.com/is/image/MCY/12794100 ")</f>
        <v xml:space="preserve">http://slimages.macys.com/is/image/MCY/12794100 </v>
      </c>
    </row>
    <row r="713" spans="1:12" ht="24.75" x14ac:dyDescent="0.25">
      <c r="A713" s="4" t="s">
        <v>2987</v>
      </c>
      <c r="B713" s="2" t="s">
        <v>2988</v>
      </c>
      <c r="C713" s="3">
        <v>2</v>
      </c>
      <c r="D713" s="5">
        <v>20.99</v>
      </c>
      <c r="E713" s="3" t="s">
        <v>2989</v>
      </c>
      <c r="F713" s="2" t="s">
        <v>64</v>
      </c>
      <c r="G713" s="6" t="s">
        <v>156</v>
      </c>
      <c r="H713" s="2" t="s">
        <v>1473</v>
      </c>
      <c r="I713" s="2" t="s">
        <v>1864</v>
      </c>
      <c r="J713" s="2" t="s">
        <v>19</v>
      </c>
      <c r="K713" s="2" t="s">
        <v>990</v>
      </c>
      <c r="L713" s="7" t="str">
        <f>HYPERLINK("http://slimages.macys.com/is/image/MCY/10787778 ")</f>
        <v xml:space="preserve">http://slimages.macys.com/is/image/MCY/10787778 </v>
      </c>
    </row>
    <row r="714" spans="1:12" ht="24.75" x14ac:dyDescent="0.25">
      <c r="A714" s="4" t="s">
        <v>9738</v>
      </c>
      <c r="B714" s="2" t="s">
        <v>9739</v>
      </c>
      <c r="C714" s="3">
        <v>1</v>
      </c>
      <c r="D714" s="5">
        <v>33</v>
      </c>
      <c r="E714" s="3" t="s">
        <v>9740</v>
      </c>
      <c r="F714" s="2" t="s">
        <v>1788</v>
      </c>
      <c r="G714" s="6" t="s">
        <v>794</v>
      </c>
      <c r="H714" s="2" t="s">
        <v>447</v>
      </c>
      <c r="I714" s="2" t="s">
        <v>792</v>
      </c>
      <c r="J714" s="2" t="s">
        <v>19</v>
      </c>
      <c r="K714" s="2" t="s">
        <v>442</v>
      </c>
      <c r="L714" s="7" t="str">
        <f>HYPERLINK("http://slimages.macys.com/is/image/MCY/13402061 ")</f>
        <v xml:space="preserve">http://slimages.macys.com/is/image/MCY/13402061 </v>
      </c>
    </row>
    <row r="715" spans="1:12" ht="24.75" x14ac:dyDescent="0.25">
      <c r="A715" s="4" t="s">
        <v>9741</v>
      </c>
      <c r="B715" s="2" t="s">
        <v>6803</v>
      </c>
      <c r="C715" s="3">
        <v>1</v>
      </c>
      <c r="D715" s="5">
        <v>17.989999999999998</v>
      </c>
      <c r="E715" s="3" t="s">
        <v>9742</v>
      </c>
      <c r="F715" s="2" t="s">
        <v>331</v>
      </c>
      <c r="G715" s="6" t="s">
        <v>234</v>
      </c>
      <c r="H715" s="2" t="s">
        <v>1473</v>
      </c>
      <c r="I715" s="2" t="s">
        <v>1426</v>
      </c>
      <c r="J715" s="2" t="s">
        <v>19</v>
      </c>
      <c r="K715" s="2" t="s">
        <v>495</v>
      </c>
      <c r="L715" s="7" t="str">
        <f>HYPERLINK("http://slimages.macys.com/is/image/MCY/12064162 ")</f>
        <v xml:space="preserve">http://slimages.macys.com/is/image/MCY/12064162 </v>
      </c>
    </row>
    <row r="716" spans="1:12" ht="24.75" x14ac:dyDescent="0.25">
      <c r="A716" s="4" t="s">
        <v>9743</v>
      </c>
      <c r="B716" s="2" t="s">
        <v>1783</v>
      </c>
      <c r="C716" s="3">
        <v>1</v>
      </c>
      <c r="D716" s="5">
        <v>45</v>
      </c>
      <c r="E716" s="3" t="s">
        <v>1784</v>
      </c>
      <c r="F716" s="2" t="s">
        <v>48</v>
      </c>
      <c r="G716" s="6" t="s">
        <v>794</v>
      </c>
      <c r="H716" s="2" t="s">
        <v>447</v>
      </c>
      <c r="I716" s="2" t="s">
        <v>792</v>
      </c>
      <c r="J716" s="2" t="s">
        <v>1499</v>
      </c>
      <c r="K716" s="2" t="s">
        <v>160</v>
      </c>
      <c r="L716" s="7" t="str">
        <f>HYPERLINK("http://slimages.macys.com/is/image/MCY/13286075 ")</f>
        <v xml:space="preserve">http://slimages.macys.com/is/image/MCY/13286075 </v>
      </c>
    </row>
    <row r="717" spans="1:12" ht="24.75" x14ac:dyDescent="0.25">
      <c r="A717" s="4" t="s">
        <v>9744</v>
      </c>
      <c r="B717" s="2" t="s">
        <v>9745</v>
      </c>
      <c r="C717" s="3">
        <v>1</v>
      </c>
      <c r="D717" s="5">
        <v>26.99</v>
      </c>
      <c r="E717" s="3" t="s">
        <v>9746</v>
      </c>
      <c r="F717" s="2" t="s">
        <v>15</v>
      </c>
      <c r="G717" s="6" t="s">
        <v>434</v>
      </c>
      <c r="H717" s="2" t="s">
        <v>349</v>
      </c>
      <c r="I717" s="2" t="s">
        <v>285</v>
      </c>
      <c r="J717" s="2" t="s">
        <v>19</v>
      </c>
      <c r="K717" s="2" t="s">
        <v>247</v>
      </c>
      <c r="L717" s="7" t="str">
        <f>HYPERLINK("http://slimages.macys.com/is/image/MCY/12877143 ")</f>
        <v xml:space="preserve">http://slimages.macys.com/is/image/MCY/12877143 </v>
      </c>
    </row>
    <row r="718" spans="1:12" x14ac:dyDescent="0.25">
      <c r="A718" s="4" t="s">
        <v>7615</v>
      </c>
      <c r="B718" s="2" t="s">
        <v>6098</v>
      </c>
      <c r="C718" s="3">
        <v>1</v>
      </c>
      <c r="D718" s="5">
        <v>19.989999999999998</v>
      </c>
      <c r="E718" s="3" t="s">
        <v>7616</v>
      </c>
      <c r="F718" s="2" t="s">
        <v>1584</v>
      </c>
      <c r="G718" s="6" t="s">
        <v>348</v>
      </c>
      <c r="H718" s="2" t="s">
        <v>349</v>
      </c>
      <c r="I718" s="2" t="s">
        <v>285</v>
      </c>
      <c r="J718" s="2" t="s">
        <v>19</v>
      </c>
      <c r="K718" s="2" t="s">
        <v>247</v>
      </c>
      <c r="L718" s="7" t="str">
        <f>HYPERLINK("http://slimages.macys.com/is/image/MCY/10311232 ")</f>
        <v xml:space="preserve">http://slimages.macys.com/is/image/MCY/10311232 </v>
      </c>
    </row>
    <row r="719" spans="1:12" ht="24.75" x14ac:dyDescent="0.25">
      <c r="A719" s="4" t="s">
        <v>9747</v>
      </c>
      <c r="B719" s="2" t="s">
        <v>5138</v>
      </c>
      <c r="C719" s="3">
        <v>1</v>
      </c>
      <c r="D719" s="5">
        <v>19.989999999999998</v>
      </c>
      <c r="E719" s="3" t="s">
        <v>5139</v>
      </c>
      <c r="F719" s="2" t="s">
        <v>413</v>
      </c>
      <c r="G719" s="6" t="s">
        <v>181</v>
      </c>
      <c r="H719" s="2" t="s">
        <v>1473</v>
      </c>
      <c r="I719" s="2" t="s">
        <v>1426</v>
      </c>
      <c r="J719" s="2" t="s">
        <v>19</v>
      </c>
      <c r="K719" s="2" t="s">
        <v>648</v>
      </c>
      <c r="L719" s="7" t="str">
        <f>HYPERLINK("http://slimages.macys.com/is/image/MCY/12774735 ")</f>
        <v xml:space="preserve">http://slimages.macys.com/is/image/MCY/12774735 </v>
      </c>
    </row>
    <row r="720" spans="1:12" ht="24.75" x14ac:dyDescent="0.25">
      <c r="A720" s="4" t="s">
        <v>9748</v>
      </c>
      <c r="B720" s="2" t="s">
        <v>5138</v>
      </c>
      <c r="C720" s="3">
        <v>1</v>
      </c>
      <c r="D720" s="5">
        <v>19.989999999999998</v>
      </c>
      <c r="E720" s="3" t="s">
        <v>5139</v>
      </c>
      <c r="F720" s="2"/>
      <c r="G720" s="6" t="s">
        <v>154</v>
      </c>
      <c r="H720" s="2" t="s">
        <v>1473</v>
      </c>
      <c r="I720" s="2" t="s">
        <v>1426</v>
      </c>
      <c r="J720" s="2" t="s">
        <v>19</v>
      </c>
      <c r="K720" s="2" t="s">
        <v>648</v>
      </c>
      <c r="L720" s="7" t="str">
        <f>HYPERLINK("http://slimages.macys.com/is/image/MCY/12774735 ")</f>
        <v xml:space="preserve">http://slimages.macys.com/is/image/MCY/12774735 </v>
      </c>
    </row>
    <row r="721" spans="1:12" ht="24.75" x14ac:dyDescent="0.25">
      <c r="A721" s="4" t="s">
        <v>6092</v>
      </c>
      <c r="B721" s="2" t="s">
        <v>5138</v>
      </c>
      <c r="C721" s="3">
        <v>1</v>
      </c>
      <c r="D721" s="5">
        <v>19.989999999999998</v>
      </c>
      <c r="E721" s="3" t="s">
        <v>5139</v>
      </c>
      <c r="F721" s="2" t="s">
        <v>413</v>
      </c>
      <c r="G721" s="6" t="s">
        <v>154</v>
      </c>
      <c r="H721" s="2" t="s">
        <v>1473</v>
      </c>
      <c r="I721" s="2" t="s">
        <v>1426</v>
      </c>
      <c r="J721" s="2" t="s">
        <v>19</v>
      </c>
      <c r="K721" s="2" t="s">
        <v>648</v>
      </c>
      <c r="L721" s="7" t="str">
        <f>HYPERLINK("http://slimages.macys.com/is/image/MCY/12774735 ")</f>
        <v xml:space="preserve">http://slimages.macys.com/is/image/MCY/12774735 </v>
      </c>
    </row>
    <row r="722" spans="1:12" ht="24.75" x14ac:dyDescent="0.25">
      <c r="A722" s="4" t="s">
        <v>9749</v>
      </c>
      <c r="B722" s="2" t="s">
        <v>9750</v>
      </c>
      <c r="C722" s="3">
        <v>1</v>
      </c>
      <c r="D722" s="5">
        <v>24.99</v>
      </c>
      <c r="E722" s="3" t="s">
        <v>9751</v>
      </c>
      <c r="F722" s="2" t="s">
        <v>74</v>
      </c>
      <c r="G722" s="6" t="s">
        <v>200</v>
      </c>
      <c r="H722" s="2" t="s">
        <v>1522</v>
      </c>
      <c r="I722" s="2" t="s">
        <v>1469</v>
      </c>
      <c r="J722" s="2" t="s">
        <v>19</v>
      </c>
      <c r="K722" s="2" t="s">
        <v>495</v>
      </c>
      <c r="L722" s="7" t="str">
        <f>HYPERLINK("http://slimages.macys.com/is/image/MCY/10472491 ")</f>
        <v xml:space="preserve">http://slimages.macys.com/is/image/MCY/10472491 </v>
      </c>
    </row>
    <row r="723" spans="1:12" ht="24.75" x14ac:dyDescent="0.25">
      <c r="A723" s="4" t="s">
        <v>9752</v>
      </c>
      <c r="B723" s="2" t="s">
        <v>1823</v>
      </c>
      <c r="C723" s="3">
        <v>1</v>
      </c>
      <c r="D723" s="5">
        <v>17.989999999999998</v>
      </c>
      <c r="E723" s="3" t="s">
        <v>3005</v>
      </c>
      <c r="F723" s="2" t="s">
        <v>1322</v>
      </c>
      <c r="G723" s="6" t="s">
        <v>200</v>
      </c>
      <c r="H723" s="2" t="s">
        <v>1473</v>
      </c>
      <c r="I723" s="2" t="s">
        <v>1426</v>
      </c>
      <c r="J723" s="2" t="s">
        <v>19</v>
      </c>
      <c r="K723" s="2" t="s">
        <v>495</v>
      </c>
      <c r="L723" s="7" t="str">
        <f>HYPERLINK("http://slimages.macys.com/is/image/MCY/11831305 ")</f>
        <v xml:space="preserve">http://slimages.macys.com/is/image/MCY/11831305 </v>
      </c>
    </row>
    <row r="724" spans="1:12" ht="24.75" x14ac:dyDescent="0.25">
      <c r="A724" s="4" t="s">
        <v>9753</v>
      </c>
      <c r="B724" s="2" t="s">
        <v>9754</v>
      </c>
      <c r="C724" s="3">
        <v>1</v>
      </c>
      <c r="D724" s="5">
        <v>22.13</v>
      </c>
      <c r="E724" s="3" t="s">
        <v>9755</v>
      </c>
      <c r="F724" s="2" t="s">
        <v>170</v>
      </c>
      <c r="G724" s="6" t="s">
        <v>156</v>
      </c>
      <c r="H724" s="2" t="s">
        <v>194</v>
      </c>
      <c r="I724" s="2" t="s">
        <v>195</v>
      </c>
      <c r="J724" s="2" t="s">
        <v>19</v>
      </c>
      <c r="K724" s="2" t="s">
        <v>1082</v>
      </c>
      <c r="L724" s="7" t="str">
        <f>HYPERLINK("http://slimages.macys.com/is/image/MCY/12734417 ")</f>
        <v xml:space="preserve">http://slimages.macys.com/is/image/MCY/12734417 </v>
      </c>
    </row>
    <row r="725" spans="1:12" ht="24.75" x14ac:dyDescent="0.25">
      <c r="A725" s="4" t="s">
        <v>3014</v>
      </c>
      <c r="B725" s="2" t="s">
        <v>3012</v>
      </c>
      <c r="C725" s="3">
        <v>1</v>
      </c>
      <c r="D725" s="5">
        <v>22.13</v>
      </c>
      <c r="E725" s="3" t="s">
        <v>3013</v>
      </c>
      <c r="F725" s="2" t="s">
        <v>752</v>
      </c>
      <c r="G725" s="6" t="s">
        <v>156</v>
      </c>
      <c r="H725" s="2" t="s">
        <v>194</v>
      </c>
      <c r="I725" s="2" t="s">
        <v>195</v>
      </c>
      <c r="J725" s="2" t="s">
        <v>19</v>
      </c>
      <c r="K725" s="2" t="s">
        <v>1082</v>
      </c>
      <c r="L725" s="7" t="str">
        <f>HYPERLINK("http://slimages.macys.com/is/image/MCY/12724768 ")</f>
        <v xml:space="preserve">http://slimages.macys.com/is/image/MCY/12724768 </v>
      </c>
    </row>
    <row r="726" spans="1:12" ht="24.75" x14ac:dyDescent="0.25">
      <c r="A726" s="4" t="s">
        <v>3008</v>
      </c>
      <c r="B726" s="2" t="s">
        <v>3009</v>
      </c>
      <c r="C726" s="3">
        <v>1</v>
      </c>
      <c r="D726" s="5">
        <v>22.13</v>
      </c>
      <c r="E726" s="3" t="s">
        <v>3010</v>
      </c>
      <c r="F726" s="2" t="s">
        <v>566</v>
      </c>
      <c r="G726" s="6" t="s">
        <v>234</v>
      </c>
      <c r="H726" s="2" t="s">
        <v>194</v>
      </c>
      <c r="I726" s="2" t="s">
        <v>195</v>
      </c>
      <c r="J726" s="2" t="s">
        <v>19</v>
      </c>
      <c r="K726" s="2" t="s">
        <v>1082</v>
      </c>
      <c r="L726" s="7" t="str">
        <f>HYPERLINK("http://slimages.macys.com/is/image/MCY/11415452 ")</f>
        <v xml:space="preserve">http://slimages.macys.com/is/image/MCY/11415452 </v>
      </c>
    </row>
    <row r="727" spans="1:12" ht="24.75" x14ac:dyDescent="0.25">
      <c r="A727" s="4" t="s">
        <v>9756</v>
      </c>
      <c r="B727" s="2" t="s">
        <v>3009</v>
      </c>
      <c r="C727" s="3">
        <v>1</v>
      </c>
      <c r="D727" s="5">
        <v>22.13</v>
      </c>
      <c r="E727" s="3" t="s">
        <v>3010</v>
      </c>
      <c r="F727" s="2" t="s">
        <v>566</v>
      </c>
      <c r="G727" s="6" t="s">
        <v>156</v>
      </c>
      <c r="H727" s="2" t="s">
        <v>194</v>
      </c>
      <c r="I727" s="2" t="s">
        <v>195</v>
      </c>
      <c r="J727" s="2" t="s">
        <v>19</v>
      </c>
      <c r="K727" s="2" t="s">
        <v>1082</v>
      </c>
      <c r="L727" s="7" t="str">
        <f>HYPERLINK("http://slimages.macys.com/is/image/MCY/11415452 ")</f>
        <v xml:space="preserve">http://slimages.macys.com/is/image/MCY/11415452 </v>
      </c>
    </row>
    <row r="728" spans="1:12" ht="24.75" x14ac:dyDescent="0.25">
      <c r="A728" s="4" t="s">
        <v>9757</v>
      </c>
      <c r="B728" s="2" t="s">
        <v>4128</v>
      </c>
      <c r="C728" s="3">
        <v>1</v>
      </c>
      <c r="D728" s="5">
        <v>19.989999999999998</v>
      </c>
      <c r="E728" s="3" t="s">
        <v>5153</v>
      </c>
      <c r="F728" s="2" t="s">
        <v>74</v>
      </c>
      <c r="G728" s="6" t="s">
        <v>245</v>
      </c>
      <c r="H728" s="2" t="s">
        <v>1473</v>
      </c>
      <c r="I728" s="2" t="s">
        <v>1426</v>
      </c>
      <c r="J728" s="2" t="s">
        <v>19</v>
      </c>
      <c r="K728" s="2" t="s">
        <v>1108</v>
      </c>
      <c r="L728" s="7" t="str">
        <f>HYPERLINK("http://slimages.macys.com/is/image/MCY/11831179 ")</f>
        <v xml:space="preserve">http://slimages.macys.com/is/image/MCY/11831179 </v>
      </c>
    </row>
    <row r="729" spans="1:12" ht="24.75" x14ac:dyDescent="0.25">
      <c r="A729" s="4" t="s">
        <v>9758</v>
      </c>
      <c r="B729" s="2" t="s">
        <v>4128</v>
      </c>
      <c r="C729" s="3">
        <v>1</v>
      </c>
      <c r="D729" s="5">
        <v>19.989999999999998</v>
      </c>
      <c r="E729" s="3" t="s">
        <v>5153</v>
      </c>
      <c r="F729" s="2" t="s">
        <v>94</v>
      </c>
      <c r="G729" s="6" t="s">
        <v>234</v>
      </c>
      <c r="H729" s="2" t="s">
        <v>1473</v>
      </c>
      <c r="I729" s="2" t="s">
        <v>1426</v>
      </c>
      <c r="J729" s="2" t="s">
        <v>19</v>
      </c>
      <c r="K729" s="2" t="s">
        <v>1108</v>
      </c>
      <c r="L729" s="7" t="str">
        <f>HYPERLINK("http://slimages.macys.com/is/image/MCY/11831179 ")</f>
        <v xml:space="preserve">http://slimages.macys.com/is/image/MCY/11831179 </v>
      </c>
    </row>
    <row r="730" spans="1:12" ht="24.75" x14ac:dyDescent="0.25">
      <c r="A730" s="4" t="s">
        <v>9759</v>
      </c>
      <c r="B730" s="2" t="s">
        <v>9760</v>
      </c>
      <c r="C730" s="3">
        <v>1</v>
      </c>
      <c r="D730" s="5">
        <v>19.989999999999998</v>
      </c>
      <c r="E730" s="3" t="s">
        <v>9761</v>
      </c>
      <c r="F730" s="2" t="s">
        <v>94</v>
      </c>
      <c r="G730" s="6"/>
      <c r="H730" s="2" t="s">
        <v>1425</v>
      </c>
      <c r="I730" s="2" t="s">
        <v>1426</v>
      </c>
      <c r="J730" s="2" t="s">
        <v>19</v>
      </c>
      <c r="K730" s="2" t="s">
        <v>495</v>
      </c>
      <c r="L730" s="7" t="str">
        <f>HYPERLINK("http://slimages.macys.com/is/image/MCY/12327122 ")</f>
        <v xml:space="preserve">http://slimages.macys.com/is/image/MCY/12327122 </v>
      </c>
    </row>
    <row r="731" spans="1:12" ht="24.75" x14ac:dyDescent="0.25">
      <c r="A731" s="4" t="s">
        <v>9762</v>
      </c>
      <c r="B731" s="2" t="s">
        <v>3026</v>
      </c>
      <c r="C731" s="3">
        <v>1</v>
      </c>
      <c r="D731" s="5">
        <v>21.99</v>
      </c>
      <c r="E731" s="3" t="s">
        <v>9763</v>
      </c>
      <c r="F731" s="2" t="s">
        <v>252</v>
      </c>
      <c r="G731" s="6" t="s">
        <v>154</v>
      </c>
      <c r="H731" s="2" t="s">
        <v>284</v>
      </c>
      <c r="I731" s="2" t="s">
        <v>285</v>
      </c>
      <c r="J731" s="2"/>
      <c r="K731" s="2"/>
      <c r="L731" s="7" t="str">
        <f>HYPERLINK("http://slimages.macys.com/is/image/MCY/11640364 ")</f>
        <v xml:space="preserve">http://slimages.macys.com/is/image/MCY/11640364 </v>
      </c>
    </row>
    <row r="732" spans="1:12" ht="24.75" x14ac:dyDescent="0.25">
      <c r="A732" s="4" t="s">
        <v>9764</v>
      </c>
      <c r="B732" s="2" t="s">
        <v>4128</v>
      </c>
      <c r="C732" s="3">
        <v>1</v>
      </c>
      <c r="D732" s="5">
        <v>19.989999999999998</v>
      </c>
      <c r="E732" s="3" t="s">
        <v>5153</v>
      </c>
      <c r="F732" s="2" t="s">
        <v>74</v>
      </c>
      <c r="G732" s="6" t="s">
        <v>154</v>
      </c>
      <c r="H732" s="2" t="s">
        <v>1473</v>
      </c>
      <c r="I732" s="2" t="s">
        <v>1426</v>
      </c>
      <c r="J732" s="2" t="s">
        <v>19</v>
      </c>
      <c r="K732" s="2" t="s">
        <v>1108</v>
      </c>
      <c r="L732" s="7" t="str">
        <f>HYPERLINK("http://slimages.macys.com/is/image/MCY/11831179 ")</f>
        <v xml:space="preserve">http://slimages.macys.com/is/image/MCY/11831179 </v>
      </c>
    </row>
    <row r="733" spans="1:12" ht="24.75" x14ac:dyDescent="0.25">
      <c r="A733" s="4" t="s">
        <v>9765</v>
      </c>
      <c r="B733" s="2" t="s">
        <v>9766</v>
      </c>
      <c r="C733" s="3">
        <v>1</v>
      </c>
      <c r="D733" s="5">
        <v>19.989999999999998</v>
      </c>
      <c r="E733" s="3" t="s">
        <v>9767</v>
      </c>
      <c r="F733" s="2" t="s">
        <v>70</v>
      </c>
      <c r="G733" s="6" t="s">
        <v>156</v>
      </c>
      <c r="H733" s="2" t="s">
        <v>1473</v>
      </c>
      <c r="I733" s="2" t="s">
        <v>1426</v>
      </c>
      <c r="J733" s="2" t="s">
        <v>19</v>
      </c>
      <c r="K733" s="2" t="s">
        <v>495</v>
      </c>
      <c r="L733" s="7" t="str">
        <f>HYPERLINK("http://slimages.macys.com/is/image/MCY/10702972 ")</f>
        <v xml:space="preserve">http://slimages.macys.com/is/image/MCY/10702972 </v>
      </c>
    </row>
    <row r="734" spans="1:12" ht="24.75" x14ac:dyDescent="0.25">
      <c r="A734" s="4" t="s">
        <v>5155</v>
      </c>
      <c r="B734" s="2" t="s">
        <v>3026</v>
      </c>
      <c r="C734" s="3">
        <v>1</v>
      </c>
      <c r="D734" s="5">
        <v>21.99</v>
      </c>
      <c r="E734" s="3" t="s">
        <v>5156</v>
      </c>
      <c r="F734" s="2" t="s">
        <v>64</v>
      </c>
      <c r="G734" s="6" t="s">
        <v>156</v>
      </c>
      <c r="H734" s="2" t="s">
        <v>284</v>
      </c>
      <c r="I734" s="2" t="s">
        <v>285</v>
      </c>
      <c r="J734" s="2" t="s">
        <v>19</v>
      </c>
      <c r="K734" s="2" t="s">
        <v>247</v>
      </c>
      <c r="L734" s="7" t="str">
        <f>HYPERLINK("http://slimages.macys.com/is/image/MCY/16393197 ")</f>
        <v xml:space="preserve">http://slimages.macys.com/is/image/MCY/16393197 </v>
      </c>
    </row>
    <row r="735" spans="1:12" ht="24.75" x14ac:dyDescent="0.25">
      <c r="A735" s="4" t="s">
        <v>9768</v>
      </c>
      <c r="B735" s="2" t="s">
        <v>9769</v>
      </c>
      <c r="C735" s="3">
        <v>1</v>
      </c>
      <c r="D735" s="5">
        <v>48</v>
      </c>
      <c r="E735" s="3" t="s">
        <v>9770</v>
      </c>
      <c r="F735" s="2" t="s">
        <v>1234</v>
      </c>
      <c r="G735" s="6" t="s">
        <v>9417</v>
      </c>
      <c r="H735" s="2" t="s">
        <v>447</v>
      </c>
      <c r="I735" s="2" t="s">
        <v>3409</v>
      </c>
      <c r="J735" s="2" t="s">
        <v>19</v>
      </c>
      <c r="K735" s="2" t="s">
        <v>338</v>
      </c>
      <c r="L735" s="7" t="str">
        <f>HYPERLINK("http://slimages.macys.com/is/image/MCY/12948140 ")</f>
        <v xml:space="preserve">http://slimages.macys.com/is/image/MCY/12948140 </v>
      </c>
    </row>
    <row r="736" spans="1:12" ht="24.75" x14ac:dyDescent="0.25">
      <c r="A736" s="4" t="s">
        <v>9771</v>
      </c>
      <c r="B736" s="2" t="s">
        <v>9769</v>
      </c>
      <c r="C736" s="3">
        <v>1</v>
      </c>
      <c r="D736" s="5">
        <v>48</v>
      </c>
      <c r="E736" s="3" t="s">
        <v>9770</v>
      </c>
      <c r="F736" s="2" t="s">
        <v>1234</v>
      </c>
      <c r="G736" s="6" t="s">
        <v>4929</v>
      </c>
      <c r="H736" s="2" t="s">
        <v>447</v>
      </c>
      <c r="I736" s="2" t="s">
        <v>3409</v>
      </c>
      <c r="J736" s="2" t="s">
        <v>19</v>
      </c>
      <c r="K736" s="2" t="s">
        <v>338</v>
      </c>
      <c r="L736" s="7" t="str">
        <f>HYPERLINK("http://slimages.macys.com/is/image/MCY/12948140 ")</f>
        <v xml:space="preserve">http://slimages.macys.com/is/image/MCY/12948140 </v>
      </c>
    </row>
    <row r="737" spans="1:12" ht="24.75" x14ac:dyDescent="0.25">
      <c r="A737" s="4" t="s">
        <v>3025</v>
      </c>
      <c r="B737" s="2" t="s">
        <v>3026</v>
      </c>
      <c r="C737" s="3">
        <v>1</v>
      </c>
      <c r="D737" s="5">
        <v>21.99</v>
      </c>
      <c r="E737" s="3" t="s">
        <v>3027</v>
      </c>
      <c r="F737" s="2" t="s">
        <v>79</v>
      </c>
      <c r="G737" s="6" t="s">
        <v>181</v>
      </c>
      <c r="H737" s="2" t="s">
        <v>284</v>
      </c>
      <c r="I737" s="2" t="s">
        <v>285</v>
      </c>
      <c r="J737" s="2" t="s">
        <v>19</v>
      </c>
      <c r="K737" s="2" t="s">
        <v>247</v>
      </c>
      <c r="L737" s="7" t="str">
        <f>HYPERLINK("http://slimages.macys.com/is/image/MCY/9972026 ")</f>
        <v xml:space="preserve">http://slimages.macys.com/is/image/MCY/9972026 </v>
      </c>
    </row>
    <row r="738" spans="1:12" ht="24.75" x14ac:dyDescent="0.25">
      <c r="A738" s="4" t="s">
        <v>6819</v>
      </c>
      <c r="B738" s="2" t="s">
        <v>1833</v>
      </c>
      <c r="C738" s="3">
        <v>1</v>
      </c>
      <c r="D738" s="5">
        <v>14.99</v>
      </c>
      <c r="E738" s="3" t="s">
        <v>1834</v>
      </c>
      <c r="F738" s="2" t="s">
        <v>566</v>
      </c>
      <c r="G738" s="6" t="s">
        <v>234</v>
      </c>
      <c r="H738" s="2" t="s">
        <v>194</v>
      </c>
      <c r="I738" s="2" t="s">
        <v>307</v>
      </c>
      <c r="J738" s="2" t="s">
        <v>19</v>
      </c>
      <c r="K738" s="2" t="s">
        <v>34</v>
      </c>
      <c r="L738" s="7" t="str">
        <f>HYPERLINK("http://slimages.macys.com/is/image/MCY/11337542 ")</f>
        <v xml:space="preserve">http://slimages.macys.com/is/image/MCY/11337542 </v>
      </c>
    </row>
    <row r="739" spans="1:12" ht="24.75" x14ac:dyDescent="0.25">
      <c r="A739" s="4" t="s">
        <v>6115</v>
      </c>
      <c r="B739" s="2" t="s">
        <v>1833</v>
      </c>
      <c r="C739" s="3">
        <v>3</v>
      </c>
      <c r="D739" s="5">
        <v>14.99</v>
      </c>
      <c r="E739" s="3" t="s">
        <v>4134</v>
      </c>
      <c r="F739" s="2" t="s">
        <v>998</v>
      </c>
      <c r="G739" s="6" t="s">
        <v>156</v>
      </c>
      <c r="H739" s="2" t="s">
        <v>194</v>
      </c>
      <c r="I739" s="2" t="s">
        <v>307</v>
      </c>
      <c r="J739" s="2" t="s">
        <v>19</v>
      </c>
      <c r="K739" s="2" t="s">
        <v>34</v>
      </c>
      <c r="L739" s="7" t="str">
        <f>HYPERLINK("http://slimages.macys.com/is/image/MCY/12668021 ")</f>
        <v xml:space="preserve">http://slimages.macys.com/is/image/MCY/12668021 </v>
      </c>
    </row>
    <row r="740" spans="1:12" ht="24.75" x14ac:dyDescent="0.25">
      <c r="A740" s="4" t="s">
        <v>5166</v>
      </c>
      <c r="B740" s="2" t="s">
        <v>1833</v>
      </c>
      <c r="C740" s="3">
        <v>2</v>
      </c>
      <c r="D740" s="5">
        <v>14.99</v>
      </c>
      <c r="E740" s="3" t="s">
        <v>4134</v>
      </c>
      <c r="F740" s="2" t="s">
        <v>998</v>
      </c>
      <c r="G740" s="6" t="s">
        <v>234</v>
      </c>
      <c r="H740" s="2" t="s">
        <v>194</v>
      </c>
      <c r="I740" s="2" t="s">
        <v>307</v>
      </c>
      <c r="J740" s="2" t="s">
        <v>19</v>
      </c>
      <c r="K740" s="2" t="s">
        <v>34</v>
      </c>
      <c r="L740" s="7" t="str">
        <f>HYPERLINK("http://slimages.macys.com/is/image/MCY/12668021 ")</f>
        <v xml:space="preserve">http://slimages.macys.com/is/image/MCY/12668021 </v>
      </c>
    </row>
    <row r="741" spans="1:12" ht="24.75" x14ac:dyDescent="0.25">
      <c r="A741" s="4" t="s">
        <v>9772</v>
      </c>
      <c r="B741" s="2" t="s">
        <v>1833</v>
      </c>
      <c r="C741" s="3">
        <v>1</v>
      </c>
      <c r="D741" s="5">
        <v>14.99</v>
      </c>
      <c r="E741" s="3" t="s">
        <v>6110</v>
      </c>
      <c r="F741" s="2" t="s">
        <v>101</v>
      </c>
      <c r="G741" s="6" t="s">
        <v>156</v>
      </c>
      <c r="H741" s="2" t="s">
        <v>194</v>
      </c>
      <c r="I741" s="2" t="s">
        <v>307</v>
      </c>
      <c r="J741" s="2" t="s">
        <v>19</v>
      </c>
      <c r="K741" s="2" t="s">
        <v>34</v>
      </c>
      <c r="L741" s="7" t="str">
        <f>HYPERLINK("http://slimages.macys.com/is/image/MCY/11515395 ")</f>
        <v xml:space="preserve">http://slimages.macys.com/is/image/MCY/11515395 </v>
      </c>
    </row>
    <row r="742" spans="1:12" ht="24.75" x14ac:dyDescent="0.25">
      <c r="A742" s="4" t="s">
        <v>7634</v>
      </c>
      <c r="B742" s="2" t="s">
        <v>1833</v>
      </c>
      <c r="C742" s="3">
        <v>1</v>
      </c>
      <c r="D742" s="5">
        <v>14.99</v>
      </c>
      <c r="E742" s="3" t="s">
        <v>1834</v>
      </c>
      <c r="F742" s="2" t="s">
        <v>566</v>
      </c>
      <c r="G742" s="6" t="s">
        <v>154</v>
      </c>
      <c r="H742" s="2" t="s">
        <v>194</v>
      </c>
      <c r="I742" s="2" t="s">
        <v>307</v>
      </c>
      <c r="J742" s="2" t="s">
        <v>19</v>
      </c>
      <c r="K742" s="2" t="s">
        <v>34</v>
      </c>
      <c r="L742" s="7" t="str">
        <f>HYPERLINK("http://slimages.macys.com/is/image/MCY/11337542 ")</f>
        <v xml:space="preserve">http://slimages.macys.com/is/image/MCY/11337542 </v>
      </c>
    </row>
    <row r="743" spans="1:12" ht="24.75" x14ac:dyDescent="0.25">
      <c r="A743" s="4" t="s">
        <v>6824</v>
      </c>
      <c r="B743" s="2" t="s">
        <v>6825</v>
      </c>
      <c r="C743" s="3">
        <v>1</v>
      </c>
      <c r="D743" s="5">
        <v>17.989999999999998</v>
      </c>
      <c r="E743" s="3" t="s">
        <v>4110</v>
      </c>
      <c r="F743" s="2" t="s">
        <v>199</v>
      </c>
      <c r="G743" s="6"/>
      <c r="H743" s="2" t="s">
        <v>1425</v>
      </c>
      <c r="I743" s="2" t="s">
        <v>1469</v>
      </c>
      <c r="J743" s="2"/>
      <c r="K743" s="2"/>
      <c r="L743" s="7" t="str">
        <f>HYPERLINK("http://slimages.macys.com/is/image/MCY/3951540 ")</f>
        <v xml:space="preserve">http://slimages.macys.com/is/image/MCY/3951540 </v>
      </c>
    </row>
    <row r="744" spans="1:12" ht="24.75" x14ac:dyDescent="0.25">
      <c r="A744" s="4" t="s">
        <v>3041</v>
      </c>
      <c r="B744" s="2" t="s">
        <v>1859</v>
      </c>
      <c r="C744" s="3">
        <v>1</v>
      </c>
      <c r="D744" s="5">
        <v>20.99</v>
      </c>
      <c r="E744" s="3" t="s">
        <v>1860</v>
      </c>
      <c r="F744" s="2" t="s">
        <v>74</v>
      </c>
      <c r="G744" s="6" t="s">
        <v>154</v>
      </c>
      <c r="H744" s="2" t="s">
        <v>1473</v>
      </c>
      <c r="I744" s="2" t="s">
        <v>1426</v>
      </c>
      <c r="J744" s="2" t="s">
        <v>19</v>
      </c>
      <c r="K744" s="2" t="s">
        <v>803</v>
      </c>
      <c r="L744" s="7" t="str">
        <f>HYPERLINK("http://slimages.macys.com/is/image/MCY/12144754 ")</f>
        <v xml:space="preserve">http://slimages.macys.com/is/image/MCY/12144754 </v>
      </c>
    </row>
    <row r="745" spans="1:12" ht="24.75" x14ac:dyDescent="0.25">
      <c r="A745" s="4" t="s">
        <v>1858</v>
      </c>
      <c r="B745" s="2" t="s">
        <v>1859</v>
      </c>
      <c r="C745" s="3">
        <v>1</v>
      </c>
      <c r="D745" s="5">
        <v>20.99</v>
      </c>
      <c r="E745" s="3" t="s">
        <v>1860</v>
      </c>
      <c r="F745" s="2" t="s">
        <v>74</v>
      </c>
      <c r="G745" s="6" t="s">
        <v>156</v>
      </c>
      <c r="H745" s="2" t="s">
        <v>1473</v>
      </c>
      <c r="I745" s="2" t="s">
        <v>1426</v>
      </c>
      <c r="J745" s="2" t="s">
        <v>19</v>
      </c>
      <c r="K745" s="2" t="s">
        <v>803</v>
      </c>
      <c r="L745" s="7" t="str">
        <f>HYPERLINK("http://slimages.macys.com/is/image/MCY/12144754 ")</f>
        <v xml:space="preserve">http://slimages.macys.com/is/image/MCY/12144754 </v>
      </c>
    </row>
    <row r="746" spans="1:12" ht="24.75" x14ac:dyDescent="0.25">
      <c r="A746" s="4" t="s">
        <v>3046</v>
      </c>
      <c r="B746" s="2" t="s">
        <v>1862</v>
      </c>
      <c r="C746" s="3">
        <v>1</v>
      </c>
      <c r="D746" s="5">
        <v>20.99</v>
      </c>
      <c r="E746" s="3" t="s">
        <v>1868</v>
      </c>
      <c r="F746" s="2" t="s">
        <v>998</v>
      </c>
      <c r="G746" s="6" t="s">
        <v>154</v>
      </c>
      <c r="H746" s="2" t="s">
        <v>1473</v>
      </c>
      <c r="I746" s="2" t="s">
        <v>1864</v>
      </c>
      <c r="J746" s="2" t="s">
        <v>19</v>
      </c>
      <c r="K746" s="2" t="s">
        <v>648</v>
      </c>
      <c r="L746" s="7" t="str">
        <f>HYPERLINK("http://slimages.macys.com/is/image/MCY/12267099 ")</f>
        <v xml:space="preserve">http://slimages.macys.com/is/image/MCY/12267099 </v>
      </c>
    </row>
    <row r="747" spans="1:12" ht="24.75" x14ac:dyDescent="0.25">
      <c r="A747" s="4" t="s">
        <v>6832</v>
      </c>
      <c r="B747" s="2" t="s">
        <v>1862</v>
      </c>
      <c r="C747" s="3">
        <v>1</v>
      </c>
      <c r="D747" s="5">
        <v>20.99</v>
      </c>
      <c r="E747" s="3" t="s">
        <v>1868</v>
      </c>
      <c r="F747" s="2" t="s">
        <v>998</v>
      </c>
      <c r="G747" s="6" t="s">
        <v>234</v>
      </c>
      <c r="H747" s="2" t="s">
        <v>1473</v>
      </c>
      <c r="I747" s="2" t="s">
        <v>1864</v>
      </c>
      <c r="J747" s="2" t="s">
        <v>19</v>
      </c>
      <c r="K747" s="2" t="s">
        <v>648</v>
      </c>
      <c r="L747" s="7" t="str">
        <f>HYPERLINK("http://slimages.macys.com/is/image/MCY/12267099 ")</f>
        <v xml:space="preserve">http://slimages.macys.com/is/image/MCY/12267099 </v>
      </c>
    </row>
    <row r="748" spans="1:12" ht="24.75" x14ac:dyDescent="0.25">
      <c r="A748" s="4" t="s">
        <v>1870</v>
      </c>
      <c r="B748" s="2" t="s">
        <v>1862</v>
      </c>
      <c r="C748" s="3">
        <v>1</v>
      </c>
      <c r="D748" s="5">
        <v>20.99</v>
      </c>
      <c r="E748" s="3" t="s">
        <v>1868</v>
      </c>
      <c r="F748" s="2" t="s">
        <v>15</v>
      </c>
      <c r="G748" s="6" t="s">
        <v>156</v>
      </c>
      <c r="H748" s="2" t="s">
        <v>1473</v>
      </c>
      <c r="I748" s="2" t="s">
        <v>1864</v>
      </c>
      <c r="J748" s="2" t="s">
        <v>19</v>
      </c>
      <c r="K748" s="2" t="s">
        <v>648</v>
      </c>
      <c r="L748" s="7" t="str">
        <f>HYPERLINK("http://slimages.macys.com/is/image/MCY/12267099 ")</f>
        <v xml:space="preserve">http://slimages.macys.com/is/image/MCY/12267099 </v>
      </c>
    </row>
    <row r="749" spans="1:12" ht="24.75" x14ac:dyDescent="0.25">
      <c r="A749" s="4" t="s">
        <v>1871</v>
      </c>
      <c r="B749" s="2" t="s">
        <v>1862</v>
      </c>
      <c r="C749" s="3">
        <v>1</v>
      </c>
      <c r="D749" s="5">
        <v>20.99</v>
      </c>
      <c r="E749" s="3" t="s">
        <v>1868</v>
      </c>
      <c r="F749" s="2" t="s">
        <v>70</v>
      </c>
      <c r="G749" s="6" t="s">
        <v>156</v>
      </c>
      <c r="H749" s="2" t="s">
        <v>1473</v>
      </c>
      <c r="I749" s="2" t="s">
        <v>1864</v>
      </c>
      <c r="J749" s="2" t="s">
        <v>19</v>
      </c>
      <c r="K749" s="2" t="s">
        <v>648</v>
      </c>
      <c r="L749" s="7" t="str">
        <f>HYPERLINK("http://slimages.macys.com/is/image/MCY/12267099 ")</f>
        <v xml:space="preserve">http://slimages.macys.com/is/image/MCY/12267099 </v>
      </c>
    </row>
    <row r="750" spans="1:12" ht="24.75" x14ac:dyDescent="0.25">
      <c r="A750" s="4" t="s">
        <v>9773</v>
      </c>
      <c r="B750" s="2" t="s">
        <v>4146</v>
      </c>
      <c r="C750" s="3">
        <v>2</v>
      </c>
      <c r="D750" s="5">
        <v>17.989999999999998</v>
      </c>
      <c r="E750" s="3" t="s">
        <v>4147</v>
      </c>
      <c r="F750" s="2" t="s">
        <v>413</v>
      </c>
      <c r="G750" s="6" t="s">
        <v>234</v>
      </c>
      <c r="H750" s="2" t="s">
        <v>1473</v>
      </c>
      <c r="I750" s="2" t="s">
        <v>1426</v>
      </c>
      <c r="J750" s="2" t="s">
        <v>19</v>
      </c>
      <c r="K750" s="2" t="s">
        <v>107</v>
      </c>
      <c r="L750" s="7" t="str">
        <f>HYPERLINK("http://slimages.macys.com/is/image/MCY/11191267 ")</f>
        <v xml:space="preserve">http://slimages.macys.com/is/image/MCY/11191267 </v>
      </c>
    </row>
    <row r="751" spans="1:12" ht="24.75" x14ac:dyDescent="0.25">
      <c r="A751" s="4" t="s">
        <v>9200</v>
      </c>
      <c r="B751" s="2" t="s">
        <v>7644</v>
      </c>
      <c r="C751" s="3">
        <v>1</v>
      </c>
      <c r="D751" s="5">
        <v>29.63</v>
      </c>
      <c r="E751" s="3" t="s">
        <v>7645</v>
      </c>
      <c r="F751" s="2" t="s">
        <v>15</v>
      </c>
      <c r="G751" s="6" t="s">
        <v>200</v>
      </c>
      <c r="H751" s="2" t="s">
        <v>284</v>
      </c>
      <c r="I751" s="2" t="s">
        <v>285</v>
      </c>
      <c r="J751" s="2" t="s">
        <v>19</v>
      </c>
      <c r="K751" s="2" t="s">
        <v>160</v>
      </c>
      <c r="L751" s="7" t="str">
        <f>HYPERLINK("http://slimages.macys.com/is/image/MCY/12671557 ")</f>
        <v xml:space="preserve">http://slimages.macys.com/is/image/MCY/12671557 </v>
      </c>
    </row>
    <row r="752" spans="1:12" ht="24.75" x14ac:dyDescent="0.25">
      <c r="A752" s="4" t="s">
        <v>6840</v>
      </c>
      <c r="B752" s="2" t="s">
        <v>1876</v>
      </c>
      <c r="C752" s="3">
        <v>1</v>
      </c>
      <c r="D752" s="5">
        <v>17.989999999999998</v>
      </c>
      <c r="E752" s="3" t="s">
        <v>1877</v>
      </c>
      <c r="F752" s="2" t="s">
        <v>94</v>
      </c>
      <c r="G752" s="6" t="s">
        <v>181</v>
      </c>
      <c r="H752" s="2" t="s">
        <v>1473</v>
      </c>
      <c r="I752" s="2" t="s">
        <v>1426</v>
      </c>
      <c r="J752" s="2" t="s">
        <v>19</v>
      </c>
      <c r="K752" s="2" t="s">
        <v>495</v>
      </c>
      <c r="L752" s="7" t="str">
        <f>HYPERLINK("http://slimages.macys.com/is/image/MCY/12672802 ")</f>
        <v xml:space="preserve">http://slimages.macys.com/is/image/MCY/12672802 </v>
      </c>
    </row>
    <row r="753" spans="1:12" ht="24.75" x14ac:dyDescent="0.25">
      <c r="A753" s="4" t="s">
        <v>9774</v>
      </c>
      <c r="B753" s="2" t="s">
        <v>1879</v>
      </c>
      <c r="C753" s="3">
        <v>1</v>
      </c>
      <c r="D753" s="5">
        <v>17.989999999999998</v>
      </c>
      <c r="E753" s="3" t="s">
        <v>1880</v>
      </c>
      <c r="F753" s="2" t="s">
        <v>752</v>
      </c>
      <c r="G753" s="6" t="s">
        <v>154</v>
      </c>
      <c r="H753" s="2" t="s">
        <v>194</v>
      </c>
      <c r="I753" s="2" t="s">
        <v>195</v>
      </c>
      <c r="J753" s="2" t="s">
        <v>19</v>
      </c>
      <c r="K753" s="2" t="s">
        <v>648</v>
      </c>
      <c r="L753" s="7" t="str">
        <f>HYPERLINK("http://slimages.macys.com/is/image/MCY/10482866 ")</f>
        <v xml:space="preserve">http://slimages.macys.com/is/image/MCY/10482866 </v>
      </c>
    </row>
    <row r="754" spans="1:12" ht="24.75" x14ac:dyDescent="0.25">
      <c r="A754" s="4" t="s">
        <v>6848</v>
      </c>
      <c r="B754" s="2" t="s">
        <v>1892</v>
      </c>
      <c r="C754" s="3">
        <v>1</v>
      </c>
      <c r="D754" s="5">
        <v>20.99</v>
      </c>
      <c r="E754" s="3" t="s">
        <v>1901</v>
      </c>
      <c r="F754" s="2" t="s">
        <v>998</v>
      </c>
      <c r="G754" s="6" t="s">
        <v>181</v>
      </c>
      <c r="H754" s="2" t="s">
        <v>1473</v>
      </c>
      <c r="I754" s="2" t="s">
        <v>1864</v>
      </c>
      <c r="J754" s="2" t="s">
        <v>19</v>
      </c>
      <c r="K754" s="2" t="s">
        <v>648</v>
      </c>
      <c r="L754" s="7" t="str">
        <f>HYPERLINK("http://slimages.macys.com/is/image/MCY/11689284 ")</f>
        <v xml:space="preserve">http://slimages.macys.com/is/image/MCY/11689284 </v>
      </c>
    </row>
    <row r="755" spans="1:12" ht="24.75" x14ac:dyDescent="0.25">
      <c r="A755" s="4" t="s">
        <v>1891</v>
      </c>
      <c r="B755" s="2" t="s">
        <v>1892</v>
      </c>
      <c r="C755" s="3">
        <v>1</v>
      </c>
      <c r="D755" s="5">
        <v>20.99</v>
      </c>
      <c r="E755" s="3" t="s">
        <v>1893</v>
      </c>
      <c r="F755" s="2" t="s">
        <v>15</v>
      </c>
      <c r="G755" s="6"/>
      <c r="H755" s="2" t="s">
        <v>1425</v>
      </c>
      <c r="I755" s="2" t="s">
        <v>1864</v>
      </c>
      <c r="J755" s="2" t="s">
        <v>19</v>
      </c>
      <c r="K755" s="2" t="s">
        <v>1894</v>
      </c>
      <c r="L755" s="7" t="str">
        <f>HYPERLINK("http://slimages.macys.com/is/image/MCY/11689288 ")</f>
        <v xml:space="preserve">http://slimages.macys.com/is/image/MCY/11689288 </v>
      </c>
    </row>
    <row r="756" spans="1:12" ht="24.75" x14ac:dyDescent="0.25">
      <c r="A756" s="4" t="s">
        <v>5175</v>
      </c>
      <c r="B756" s="2" t="s">
        <v>1892</v>
      </c>
      <c r="C756" s="3">
        <v>1</v>
      </c>
      <c r="D756" s="5">
        <v>20.99</v>
      </c>
      <c r="E756" s="3" t="s">
        <v>1901</v>
      </c>
      <c r="F756" s="2" t="s">
        <v>74</v>
      </c>
      <c r="G756" s="6" t="s">
        <v>181</v>
      </c>
      <c r="H756" s="2" t="s">
        <v>1473</v>
      </c>
      <c r="I756" s="2" t="s">
        <v>1864</v>
      </c>
      <c r="J756" s="2" t="s">
        <v>19</v>
      </c>
      <c r="K756" s="2" t="s">
        <v>648</v>
      </c>
      <c r="L756" s="7" t="str">
        <f>HYPERLINK("http://slimages.macys.com/is/image/MCY/11689284 ")</f>
        <v xml:space="preserve">http://slimages.macys.com/is/image/MCY/11689284 </v>
      </c>
    </row>
    <row r="757" spans="1:12" ht="24.75" x14ac:dyDescent="0.25">
      <c r="A757" s="4" t="s">
        <v>8828</v>
      </c>
      <c r="B757" s="2" t="s">
        <v>1892</v>
      </c>
      <c r="C757" s="3">
        <v>2</v>
      </c>
      <c r="D757" s="5">
        <v>20.99</v>
      </c>
      <c r="E757" s="3" t="s">
        <v>1901</v>
      </c>
      <c r="F757" s="2" t="s">
        <v>15</v>
      </c>
      <c r="G757" s="6" t="s">
        <v>234</v>
      </c>
      <c r="H757" s="2" t="s">
        <v>1473</v>
      </c>
      <c r="I757" s="2" t="s">
        <v>1864</v>
      </c>
      <c r="J757" s="2" t="s">
        <v>19</v>
      </c>
      <c r="K757" s="2" t="s">
        <v>648</v>
      </c>
      <c r="L757" s="7" t="str">
        <f>HYPERLINK("http://slimages.macys.com/is/image/MCY/11689284 ")</f>
        <v xml:space="preserve">http://slimages.macys.com/is/image/MCY/11689284 </v>
      </c>
    </row>
    <row r="758" spans="1:12" ht="24.75" x14ac:dyDescent="0.25">
      <c r="A758" s="4" t="s">
        <v>1916</v>
      </c>
      <c r="B758" s="2" t="s">
        <v>1896</v>
      </c>
      <c r="C758" s="3">
        <v>2</v>
      </c>
      <c r="D758" s="5">
        <v>20.99</v>
      </c>
      <c r="E758" s="3" t="s">
        <v>1899</v>
      </c>
      <c r="F758" s="2" t="s">
        <v>15</v>
      </c>
      <c r="G758" s="6" t="s">
        <v>154</v>
      </c>
      <c r="H758" s="2" t="s">
        <v>1473</v>
      </c>
      <c r="I758" s="2" t="s">
        <v>1864</v>
      </c>
      <c r="J758" s="2" t="s">
        <v>19</v>
      </c>
      <c r="K758" s="2" t="s">
        <v>648</v>
      </c>
      <c r="L758" s="7" t="str">
        <f>HYPERLINK("http://slimages.macys.com/is/image/MCY/10787705 ")</f>
        <v xml:space="preserve">http://slimages.macys.com/is/image/MCY/10787705 </v>
      </c>
    </row>
    <row r="759" spans="1:12" ht="24.75" x14ac:dyDescent="0.25">
      <c r="A759" s="4" t="s">
        <v>4152</v>
      </c>
      <c r="B759" s="2" t="s">
        <v>1892</v>
      </c>
      <c r="C759" s="3">
        <v>2</v>
      </c>
      <c r="D759" s="5">
        <v>20.99</v>
      </c>
      <c r="E759" s="3" t="s">
        <v>1901</v>
      </c>
      <c r="F759" s="2" t="s">
        <v>15</v>
      </c>
      <c r="G759" s="6" t="s">
        <v>181</v>
      </c>
      <c r="H759" s="2" t="s">
        <v>1473</v>
      </c>
      <c r="I759" s="2" t="s">
        <v>1864</v>
      </c>
      <c r="J759" s="2" t="s">
        <v>19</v>
      </c>
      <c r="K759" s="2" t="s">
        <v>648</v>
      </c>
      <c r="L759" s="7" t="str">
        <f>HYPERLINK("http://slimages.macys.com/is/image/MCY/11689284 ")</f>
        <v xml:space="preserve">http://slimages.macys.com/is/image/MCY/11689284 </v>
      </c>
    </row>
    <row r="760" spans="1:12" ht="24.75" x14ac:dyDescent="0.25">
      <c r="A760" s="4" t="s">
        <v>3076</v>
      </c>
      <c r="B760" s="2" t="s">
        <v>1896</v>
      </c>
      <c r="C760" s="3">
        <v>1</v>
      </c>
      <c r="D760" s="5">
        <v>20.99</v>
      </c>
      <c r="E760" s="3" t="s">
        <v>1899</v>
      </c>
      <c r="F760" s="2" t="s">
        <v>70</v>
      </c>
      <c r="G760" s="6" t="s">
        <v>154</v>
      </c>
      <c r="H760" s="2" t="s">
        <v>1473</v>
      </c>
      <c r="I760" s="2" t="s">
        <v>1864</v>
      </c>
      <c r="J760" s="2" t="s">
        <v>19</v>
      </c>
      <c r="K760" s="2" t="s">
        <v>648</v>
      </c>
      <c r="L760" s="7" t="str">
        <f t="shared" ref="L760:L767" si="8">HYPERLINK("http://slimages.macys.com/is/image/MCY/10787705 ")</f>
        <v xml:space="preserve">http://slimages.macys.com/is/image/MCY/10787705 </v>
      </c>
    </row>
    <row r="761" spans="1:12" ht="24.75" x14ac:dyDescent="0.25">
      <c r="A761" s="4" t="s">
        <v>3064</v>
      </c>
      <c r="B761" s="2" t="s">
        <v>1896</v>
      </c>
      <c r="C761" s="3">
        <v>5</v>
      </c>
      <c r="D761" s="5">
        <v>20.99</v>
      </c>
      <c r="E761" s="3" t="s">
        <v>1899</v>
      </c>
      <c r="F761" s="2" t="s">
        <v>252</v>
      </c>
      <c r="G761" s="6" t="s">
        <v>156</v>
      </c>
      <c r="H761" s="2" t="s">
        <v>1473</v>
      </c>
      <c r="I761" s="2" t="s">
        <v>1864</v>
      </c>
      <c r="J761" s="2" t="s">
        <v>19</v>
      </c>
      <c r="K761" s="2" t="s">
        <v>648</v>
      </c>
      <c r="L761" s="7" t="str">
        <f t="shared" si="8"/>
        <v xml:space="preserve">http://slimages.macys.com/is/image/MCY/10787705 </v>
      </c>
    </row>
    <row r="762" spans="1:12" ht="24.75" x14ac:dyDescent="0.25">
      <c r="A762" s="4" t="s">
        <v>3073</v>
      </c>
      <c r="B762" s="2" t="s">
        <v>1896</v>
      </c>
      <c r="C762" s="3">
        <v>3</v>
      </c>
      <c r="D762" s="5">
        <v>20.99</v>
      </c>
      <c r="E762" s="3" t="s">
        <v>1899</v>
      </c>
      <c r="F762" s="2" t="s">
        <v>15</v>
      </c>
      <c r="G762" s="6" t="s">
        <v>181</v>
      </c>
      <c r="H762" s="2" t="s">
        <v>1473</v>
      </c>
      <c r="I762" s="2" t="s">
        <v>1864</v>
      </c>
      <c r="J762" s="2" t="s">
        <v>19</v>
      </c>
      <c r="K762" s="2" t="s">
        <v>648</v>
      </c>
      <c r="L762" s="7" t="str">
        <f t="shared" si="8"/>
        <v xml:space="preserve">http://slimages.macys.com/is/image/MCY/10787705 </v>
      </c>
    </row>
    <row r="763" spans="1:12" ht="24.75" x14ac:dyDescent="0.25">
      <c r="A763" s="4" t="s">
        <v>6850</v>
      </c>
      <c r="B763" s="2" t="s">
        <v>1896</v>
      </c>
      <c r="C763" s="3">
        <v>2</v>
      </c>
      <c r="D763" s="5">
        <v>20.99</v>
      </c>
      <c r="E763" s="3" t="s">
        <v>1899</v>
      </c>
      <c r="F763" s="2" t="s">
        <v>70</v>
      </c>
      <c r="G763" s="6" t="s">
        <v>156</v>
      </c>
      <c r="H763" s="2" t="s">
        <v>1473</v>
      </c>
      <c r="I763" s="2" t="s">
        <v>1864</v>
      </c>
      <c r="J763" s="2" t="s">
        <v>19</v>
      </c>
      <c r="K763" s="2" t="s">
        <v>648</v>
      </c>
      <c r="L763" s="7" t="str">
        <f t="shared" si="8"/>
        <v xml:space="preserve">http://slimages.macys.com/is/image/MCY/10787705 </v>
      </c>
    </row>
    <row r="764" spans="1:12" ht="24.75" x14ac:dyDescent="0.25">
      <c r="A764" s="4" t="s">
        <v>3059</v>
      </c>
      <c r="B764" s="2" t="s">
        <v>1896</v>
      </c>
      <c r="C764" s="3">
        <v>2</v>
      </c>
      <c r="D764" s="5">
        <v>20.99</v>
      </c>
      <c r="E764" s="3" t="s">
        <v>1899</v>
      </c>
      <c r="F764" s="2" t="s">
        <v>74</v>
      </c>
      <c r="G764" s="6" t="s">
        <v>234</v>
      </c>
      <c r="H764" s="2" t="s">
        <v>1473</v>
      </c>
      <c r="I764" s="2" t="s">
        <v>1864</v>
      </c>
      <c r="J764" s="2" t="s">
        <v>19</v>
      </c>
      <c r="K764" s="2" t="s">
        <v>648</v>
      </c>
      <c r="L764" s="7" t="str">
        <f t="shared" si="8"/>
        <v xml:space="preserve">http://slimages.macys.com/is/image/MCY/10787705 </v>
      </c>
    </row>
    <row r="765" spans="1:12" ht="24.75" x14ac:dyDescent="0.25">
      <c r="A765" s="4" t="s">
        <v>3052</v>
      </c>
      <c r="B765" s="2" t="s">
        <v>1896</v>
      </c>
      <c r="C765" s="3">
        <v>2</v>
      </c>
      <c r="D765" s="5">
        <v>20.99</v>
      </c>
      <c r="E765" s="3" t="s">
        <v>1899</v>
      </c>
      <c r="F765" s="2" t="s">
        <v>74</v>
      </c>
      <c r="G765" s="6" t="s">
        <v>156</v>
      </c>
      <c r="H765" s="2" t="s">
        <v>1473</v>
      </c>
      <c r="I765" s="2" t="s">
        <v>1864</v>
      </c>
      <c r="J765" s="2" t="s">
        <v>19</v>
      </c>
      <c r="K765" s="2" t="s">
        <v>648</v>
      </c>
      <c r="L765" s="7" t="str">
        <f t="shared" si="8"/>
        <v xml:space="preserve">http://slimages.macys.com/is/image/MCY/10787705 </v>
      </c>
    </row>
    <row r="766" spans="1:12" ht="24.75" x14ac:dyDescent="0.25">
      <c r="A766" s="4" t="s">
        <v>3060</v>
      </c>
      <c r="B766" s="2" t="s">
        <v>1896</v>
      </c>
      <c r="C766" s="3">
        <v>1</v>
      </c>
      <c r="D766" s="5">
        <v>20.99</v>
      </c>
      <c r="E766" s="3" t="s">
        <v>1899</v>
      </c>
      <c r="F766" s="2" t="s">
        <v>15</v>
      </c>
      <c r="G766" s="6" t="s">
        <v>156</v>
      </c>
      <c r="H766" s="2" t="s">
        <v>1473</v>
      </c>
      <c r="I766" s="2" t="s">
        <v>1864</v>
      </c>
      <c r="J766" s="2" t="s">
        <v>19</v>
      </c>
      <c r="K766" s="2" t="s">
        <v>648</v>
      </c>
      <c r="L766" s="7" t="str">
        <f t="shared" si="8"/>
        <v xml:space="preserve">http://slimages.macys.com/is/image/MCY/10787705 </v>
      </c>
    </row>
    <row r="767" spans="1:12" ht="24.75" x14ac:dyDescent="0.25">
      <c r="A767" s="4" t="s">
        <v>1898</v>
      </c>
      <c r="B767" s="2" t="s">
        <v>1896</v>
      </c>
      <c r="C767" s="3">
        <v>3</v>
      </c>
      <c r="D767" s="5">
        <v>20.99</v>
      </c>
      <c r="E767" s="3" t="s">
        <v>1899</v>
      </c>
      <c r="F767" s="2" t="s">
        <v>74</v>
      </c>
      <c r="G767" s="6" t="s">
        <v>154</v>
      </c>
      <c r="H767" s="2" t="s">
        <v>1473</v>
      </c>
      <c r="I767" s="2" t="s">
        <v>1864</v>
      </c>
      <c r="J767" s="2" t="s">
        <v>19</v>
      </c>
      <c r="K767" s="2" t="s">
        <v>648</v>
      </c>
      <c r="L767" s="7" t="str">
        <f t="shared" si="8"/>
        <v xml:space="preserve">http://slimages.macys.com/is/image/MCY/10787705 </v>
      </c>
    </row>
    <row r="768" spans="1:12" ht="24.75" x14ac:dyDescent="0.25">
      <c r="A768" s="4" t="s">
        <v>7655</v>
      </c>
      <c r="B768" s="2" t="s">
        <v>1892</v>
      </c>
      <c r="C768" s="3">
        <v>3</v>
      </c>
      <c r="D768" s="5">
        <v>20.99</v>
      </c>
      <c r="E768" s="3" t="s">
        <v>1901</v>
      </c>
      <c r="F768" s="2" t="s">
        <v>1296</v>
      </c>
      <c r="G768" s="6" t="s">
        <v>156</v>
      </c>
      <c r="H768" s="2" t="s">
        <v>1473</v>
      </c>
      <c r="I768" s="2" t="s">
        <v>1864</v>
      </c>
      <c r="J768" s="2" t="s">
        <v>19</v>
      </c>
      <c r="K768" s="2" t="s">
        <v>648</v>
      </c>
      <c r="L768" s="7" t="str">
        <f>HYPERLINK("http://slimages.macys.com/is/image/MCY/11689284 ")</f>
        <v xml:space="preserve">http://slimages.macys.com/is/image/MCY/11689284 </v>
      </c>
    </row>
    <row r="769" spans="1:12" ht="24.75" x14ac:dyDescent="0.25">
      <c r="A769" s="4" t="s">
        <v>8344</v>
      </c>
      <c r="B769" s="2" t="s">
        <v>1896</v>
      </c>
      <c r="C769" s="3">
        <v>1</v>
      </c>
      <c r="D769" s="5">
        <v>20.99</v>
      </c>
      <c r="E769" s="3" t="s">
        <v>1899</v>
      </c>
      <c r="F769" s="2" t="s">
        <v>70</v>
      </c>
      <c r="G769" s="6" t="s">
        <v>181</v>
      </c>
      <c r="H769" s="2" t="s">
        <v>1473</v>
      </c>
      <c r="I769" s="2" t="s">
        <v>1864</v>
      </c>
      <c r="J769" s="2" t="s">
        <v>19</v>
      </c>
      <c r="K769" s="2" t="s">
        <v>648</v>
      </c>
      <c r="L769" s="7" t="str">
        <f>HYPERLINK("http://slimages.macys.com/is/image/MCY/10787705 ")</f>
        <v xml:space="preserve">http://slimages.macys.com/is/image/MCY/10787705 </v>
      </c>
    </row>
    <row r="770" spans="1:12" ht="24.75" x14ac:dyDescent="0.25">
      <c r="A770" s="4" t="s">
        <v>3068</v>
      </c>
      <c r="B770" s="2" t="s">
        <v>1896</v>
      </c>
      <c r="C770" s="3">
        <v>1</v>
      </c>
      <c r="D770" s="5">
        <v>20.99</v>
      </c>
      <c r="E770" s="3" t="s">
        <v>1899</v>
      </c>
      <c r="F770" s="2" t="s">
        <v>74</v>
      </c>
      <c r="G770" s="6" t="s">
        <v>181</v>
      </c>
      <c r="H770" s="2" t="s">
        <v>1473</v>
      </c>
      <c r="I770" s="2" t="s">
        <v>1864</v>
      </c>
      <c r="J770" s="2" t="s">
        <v>19</v>
      </c>
      <c r="K770" s="2" t="s">
        <v>648</v>
      </c>
      <c r="L770" s="7" t="str">
        <f>HYPERLINK("http://slimages.macys.com/is/image/MCY/10787705 ")</f>
        <v xml:space="preserve">http://slimages.macys.com/is/image/MCY/10787705 </v>
      </c>
    </row>
    <row r="771" spans="1:12" ht="24.75" x14ac:dyDescent="0.25">
      <c r="A771" s="4" t="s">
        <v>9775</v>
      </c>
      <c r="B771" s="2" t="s">
        <v>1892</v>
      </c>
      <c r="C771" s="3">
        <v>1</v>
      </c>
      <c r="D771" s="5">
        <v>20.99</v>
      </c>
      <c r="E771" s="3" t="s">
        <v>1901</v>
      </c>
      <c r="F771" s="2"/>
      <c r="G771" s="6" t="s">
        <v>181</v>
      </c>
      <c r="H771" s="2" t="s">
        <v>1473</v>
      </c>
      <c r="I771" s="2" t="s">
        <v>1864</v>
      </c>
      <c r="J771" s="2" t="s">
        <v>19</v>
      </c>
      <c r="K771" s="2" t="s">
        <v>648</v>
      </c>
      <c r="L771" s="7" t="str">
        <f t="shared" ref="L771:L777" si="9">HYPERLINK("http://slimages.macys.com/is/image/MCY/11689284 ")</f>
        <v xml:space="preserve">http://slimages.macys.com/is/image/MCY/11689284 </v>
      </c>
    </row>
    <row r="772" spans="1:12" ht="24.75" x14ac:dyDescent="0.25">
      <c r="A772" s="4" t="s">
        <v>8827</v>
      </c>
      <c r="B772" s="2" t="s">
        <v>1892</v>
      </c>
      <c r="C772" s="3">
        <v>1</v>
      </c>
      <c r="D772" s="5">
        <v>20.99</v>
      </c>
      <c r="E772" s="3" t="s">
        <v>1901</v>
      </c>
      <c r="F772" s="2" t="s">
        <v>1296</v>
      </c>
      <c r="G772" s="6" t="s">
        <v>181</v>
      </c>
      <c r="H772" s="2" t="s">
        <v>1473</v>
      </c>
      <c r="I772" s="2" t="s">
        <v>1864</v>
      </c>
      <c r="J772" s="2" t="s">
        <v>19</v>
      </c>
      <c r="K772" s="2" t="s">
        <v>648</v>
      </c>
      <c r="L772" s="7" t="str">
        <f t="shared" si="9"/>
        <v xml:space="preserve">http://slimages.macys.com/is/image/MCY/11689284 </v>
      </c>
    </row>
    <row r="773" spans="1:12" ht="24.75" x14ac:dyDescent="0.25">
      <c r="A773" s="4" t="s">
        <v>4153</v>
      </c>
      <c r="B773" s="2" t="s">
        <v>1892</v>
      </c>
      <c r="C773" s="3">
        <v>1</v>
      </c>
      <c r="D773" s="5">
        <v>20.99</v>
      </c>
      <c r="E773" s="3" t="s">
        <v>1901</v>
      </c>
      <c r="F773" s="2" t="s">
        <v>1788</v>
      </c>
      <c r="G773" s="6" t="s">
        <v>234</v>
      </c>
      <c r="H773" s="2" t="s">
        <v>1473</v>
      </c>
      <c r="I773" s="2" t="s">
        <v>1864</v>
      </c>
      <c r="J773" s="2" t="s">
        <v>19</v>
      </c>
      <c r="K773" s="2" t="s">
        <v>648</v>
      </c>
      <c r="L773" s="7" t="str">
        <f t="shared" si="9"/>
        <v xml:space="preserve">http://slimages.macys.com/is/image/MCY/11689284 </v>
      </c>
    </row>
    <row r="774" spans="1:12" ht="24.75" x14ac:dyDescent="0.25">
      <c r="A774" s="4" t="s">
        <v>3072</v>
      </c>
      <c r="B774" s="2" t="s">
        <v>1892</v>
      </c>
      <c r="C774" s="3">
        <v>1</v>
      </c>
      <c r="D774" s="5">
        <v>20.99</v>
      </c>
      <c r="E774" s="3" t="s">
        <v>1901</v>
      </c>
      <c r="F774" s="2" t="s">
        <v>1788</v>
      </c>
      <c r="G774" s="6" t="s">
        <v>181</v>
      </c>
      <c r="H774" s="2" t="s">
        <v>1473</v>
      </c>
      <c r="I774" s="2" t="s">
        <v>1864</v>
      </c>
      <c r="J774" s="2" t="s">
        <v>19</v>
      </c>
      <c r="K774" s="2" t="s">
        <v>648</v>
      </c>
      <c r="L774" s="7" t="str">
        <f t="shared" si="9"/>
        <v xml:space="preserve">http://slimages.macys.com/is/image/MCY/11689284 </v>
      </c>
    </row>
    <row r="775" spans="1:12" ht="24.75" x14ac:dyDescent="0.25">
      <c r="A775" s="4" t="s">
        <v>3057</v>
      </c>
      <c r="B775" s="2" t="s">
        <v>1892</v>
      </c>
      <c r="C775" s="3">
        <v>3</v>
      </c>
      <c r="D775" s="5">
        <v>20.99</v>
      </c>
      <c r="E775" s="3" t="s">
        <v>1901</v>
      </c>
      <c r="F775" s="2" t="s">
        <v>1788</v>
      </c>
      <c r="G775" s="6" t="s">
        <v>154</v>
      </c>
      <c r="H775" s="2" t="s">
        <v>1473</v>
      </c>
      <c r="I775" s="2" t="s">
        <v>1864</v>
      </c>
      <c r="J775" s="2" t="s">
        <v>19</v>
      </c>
      <c r="K775" s="2" t="s">
        <v>648</v>
      </c>
      <c r="L775" s="7" t="str">
        <f t="shared" si="9"/>
        <v xml:space="preserve">http://slimages.macys.com/is/image/MCY/11689284 </v>
      </c>
    </row>
    <row r="776" spans="1:12" ht="24.75" x14ac:dyDescent="0.25">
      <c r="A776" s="4" t="s">
        <v>8826</v>
      </c>
      <c r="B776" s="2" t="s">
        <v>1892</v>
      </c>
      <c r="C776" s="3">
        <v>2</v>
      </c>
      <c r="D776" s="5">
        <v>20.99</v>
      </c>
      <c r="E776" s="3" t="s">
        <v>1901</v>
      </c>
      <c r="F776" s="2" t="s">
        <v>252</v>
      </c>
      <c r="G776" s="6" t="s">
        <v>154</v>
      </c>
      <c r="H776" s="2" t="s">
        <v>1473</v>
      </c>
      <c r="I776" s="2" t="s">
        <v>1864</v>
      </c>
      <c r="J776" s="2" t="s">
        <v>19</v>
      </c>
      <c r="K776" s="2" t="s">
        <v>648</v>
      </c>
      <c r="L776" s="7" t="str">
        <f t="shared" si="9"/>
        <v xml:space="preserve">http://slimages.macys.com/is/image/MCY/11689284 </v>
      </c>
    </row>
    <row r="777" spans="1:12" ht="24.75" x14ac:dyDescent="0.25">
      <c r="A777" s="4" t="s">
        <v>3051</v>
      </c>
      <c r="B777" s="2" t="s">
        <v>1892</v>
      </c>
      <c r="C777" s="3">
        <v>1</v>
      </c>
      <c r="D777" s="5">
        <v>20.99</v>
      </c>
      <c r="E777" s="3" t="s">
        <v>1901</v>
      </c>
      <c r="F777" s="2" t="s">
        <v>998</v>
      </c>
      <c r="G777" s="6" t="s">
        <v>154</v>
      </c>
      <c r="H777" s="2" t="s">
        <v>1473</v>
      </c>
      <c r="I777" s="2" t="s">
        <v>1864</v>
      </c>
      <c r="J777" s="2" t="s">
        <v>19</v>
      </c>
      <c r="K777" s="2" t="s">
        <v>648</v>
      </c>
      <c r="L777" s="7" t="str">
        <f t="shared" si="9"/>
        <v xml:space="preserve">http://slimages.macys.com/is/image/MCY/11689284 </v>
      </c>
    </row>
    <row r="778" spans="1:12" ht="24.75" x14ac:dyDescent="0.25">
      <c r="A778" s="4" t="s">
        <v>1906</v>
      </c>
      <c r="B778" s="2" t="s">
        <v>1896</v>
      </c>
      <c r="C778" s="3">
        <v>3</v>
      </c>
      <c r="D778" s="5">
        <v>20.99</v>
      </c>
      <c r="E778" s="3" t="s">
        <v>1899</v>
      </c>
      <c r="F778" s="2" t="s">
        <v>998</v>
      </c>
      <c r="G778" s="6" t="s">
        <v>156</v>
      </c>
      <c r="H778" s="2" t="s">
        <v>1473</v>
      </c>
      <c r="I778" s="2" t="s">
        <v>1864</v>
      </c>
      <c r="J778" s="2" t="s">
        <v>19</v>
      </c>
      <c r="K778" s="2" t="s">
        <v>648</v>
      </c>
      <c r="L778" s="7" t="str">
        <f>HYPERLINK("http://slimages.macys.com/is/image/MCY/10787705 ")</f>
        <v xml:space="preserve">http://slimages.macys.com/is/image/MCY/10787705 </v>
      </c>
    </row>
    <row r="779" spans="1:12" ht="24.75" x14ac:dyDescent="0.25">
      <c r="A779" s="4" t="s">
        <v>3054</v>
      </c>
      <c r="B779" s="2" t="s">
        <v>1892</v>
      </c>
      <c r="C779" s="3">
        <v>3</v>
      </c>
      <c r="D779" s="5">
        <v>20.99</v>
      </c>
      <c r="E779" s="3" t="s">
        <v>1901</v>
      </c>
      <c r="F779" s="2" t="s">
        <v>252</v>
      </c>
      <c r="G779" s="6" t="s">
        <v>156</v>
      </c>
      <c r="H779" s="2" t="s">
        <v>1473</v>
      </c>
      <c r="I779" s="2" t="s">
        <v>1864</v>
      </c>
      <c r="J779" s="2" t="s">
        <v>19</v>
      </c>
      <c r="K779" s="2" t="s">
        <v>648</v>
      </c>
      <c r="L779" s="7" t="str">
        <f>HYPERLINK("http://slimages.macys.com/is/image/MCY/11689284 ")</f>
        <v xml:space="preserve">http://slimages.macys.com/is/image/MCY/11689284 </v>
      </c>
    </row>
    <row r="780" spans="1:12" ht="24.75" x14ac:dyDescent="0.25">
      <c r="A780" s="4" t="s">
        <v>1900</v>
      </c>
      <c r="B780" s="2" t="s">
        <v>1892</v>
      </c>
      <c r="C780" s="3">
        <v>2</v>
      </c>
      <c r="D780" s="5">
        <v>20.99</v>
      </c>
      <c r="E780" s="3" t="s">
        <v>1901</v>
      </c>
      <c r="F780" s="2" t="s">
        <v>998</v>
      </c>
      <c r="G780" s="6" t="s">
        <v>156</v>
      </c>
      <c r="H780" s="2" t="s">
        <v>1473</v>
      </c>
      <c r="I780" s="2" t="s">
        <v>1864</v>
      </c>
      <c r="J780" s="2" t="s">
        <v>19</v>
      </c>
      <c r="K780" s="2" t="s">
        <v>648</v>
      </c>
      <c r="L780" s="7" t="str">
        <f>HYPERLINK("http://slimages.macys.com/is/image/MCY/11689284 ")</f>
        <v xml:space="preserve">http://slimages.macys.com/is/image/MCY/11689284 </v>
      </c>
    </row>
    <row r="781" spans="1:12" ht="24.75" x14ac:dyDescent="0.25">
      <c r="A781" s="4" t="s">
        <v>1905</v>
      </c>
      <c r="B781" s="2" t="s">
        <v>1892</v>
      </c>
      <c r="C781" s="3">
        <v>2</v>
      </c>
      <c r="D781" s="5">
        <v>20.99</v>
      </c>
      <c r="E781" s="3" t="s">
        <v>1901</v>
      </c>
      <c r="F781" s="2" t="s">
        <v>1788</v>
      </c>
      <c r="G781" s="6" t="s">
        <v>156</v>
      </c>
      <c r="H781" s="2" t="s">
        <v>1473</v>
      </c>
      <c r="I781" s="2" t="s">
        <v>1864</v>
      </c>
      <c r="J781" s="2" t="s">
        <v>19</v>
      </c>
      <c r="K781" s="2" t="s">
        <v>648</v>
      </c>
      <c r="L781" s="7" t="str">
        <f>HYPERLINK("http://slimages.macys.com/is/image/MCY/11689284 ")</f>
        <v xml:space="preserve">http://slimages.macys.com/is/image/MCY/11689284 </v>
      </c>
    </row>
    <row r="782" spans="1:12" ht="24.75" x14ac:dyDescent="0.25">
      <c r="A782" s="4" t="s">
        <v>3070</v>
      </c>
      <c r="B782" s="2" t="s">
        <v>1892</v>
      </c>
      <c r="C782" s="3">
        <v>2</v>
      </c>
      <c r="D782" s="5">
        <v>20.99</v>
      </c>
      <c r="E782" s="3" t="s">
        <v>1901</v>
      </c>
      <c r="F782" s="2" t="s">
        <v>15</v>
      </c>
      <c r="G782" s="6" t="s">
        <v>156</v>
      </c>
      <c r="H782" s="2" t="s">
        <v>1473</v>
      </c>
      <c r="I782" s="2" t="s">
        <v>1864</v>
      </c>
      <c r="J782" s="2" t="s">
        <v>19</v>
      </c>
      <c r="K782" s="2" t="s">
        <v>648</v>
      </c>
      <c r="L782" s="7" t="str">
        <f>HYPERLINK("http://slimages.macys.com/is/image/MCY/11689284 ")</f>
        <v xml:space="preserve">http://slimages.macys.com/is/image/MCY/11689284 </v>
      </c>
    </row>
    <row r="783" spans="1:12" ht="24.75" x14ac:dyDescent="0.25">
      <c r="A783" s="4" t="s">
        <v>9776</v>
      </c>
      <c r="B783" s="2" t="s">
        <v>7659</v>
      </c>
      <c r="C783" s="3">
        <v>1</v>
      </c>
      <c r="D783" s="5">
        <v>17.989999999999998</v>
      </c>
      <c r="E783" s="3" t="s">
        <v>7660</v>
      </c>
      <c r="F783" s="2" t="s">
        <v>1322</v>
      </c>
      <c r="G783" s="6" t="s">
        <v>154</v>
      </c>
      <c r="H783" s="2" t="s">
        <v>1473</v>
      </c>
      <c r="I783" s="2" t="s">
        <v>1426</v>
      </c>
      <c r="J783" s="2" t="s">
        <v>19</v>
      </c>
      <c r="K783" s="2" t="s">
        <v>648</v>
      </c>
      <c r="L783" s="7" t="str">
        <f>HYPERLINK("http://slimages.macys.com/is/image/MCY/11882297 ")</f>
        <v xml:space="preserve">http://slimages.macys.com/is/image/MCY/11882297 </v>
      </c>
    </row>
    <row r="784" spans="1:12" ht="24.75" x14ac:dyDescent="0.25">
      <c r="A784" s="4" t="s">
        <v>9777</v>
      </c>
      <c r="B784" s="2" t="s">
        <v>6862</v>
      </c>
      <c r="C784" s="3">
        <v>1</v>
      </c>
      <c r="D784" s="5">
        <v>17.989999999999998</v>
      </c>
      <c r="E784" s="3" t="s">
        <v>9778</v>
      </c>
      <c r="F784" s="2" t="s">
        <v>331</v>
      </c>
      <c r="G784" s="6" t="s">
        <v>200</v>
      </c>
      <c r="H784" s="2" t="s">
        <v>1473</v>
      </c>
      <c r="I784" s="2" t="s">
        <v>1426</v>
      </c>
      <c r="J784" s="2" t="s">
        <v>19</v>
      </c>
      <c r="K784" s="2" t="s">
        <v>648</v>
      </c>
      <c r="L784" s="7" t="str">
        <f>HYPERLINK("http://slimages.macys.com/is/image/MCY/12756103 ")</f>
        <v xml:space="preserve">http://slimages.macys.com/is/image/MCY/12756103 </v>
      </c>
    </row>
    <row r="785" spans="1:12" ht="24.75" x14ac:dyDescent="0.25">
      <c r="A785" s="4" t="s">
        <v>9779</v>
      </c>
      <c r="B785" s="2" t="s">
        <v>3098</v>
      </c>
      <c r="C785" s="3">
        <v>1</v>
      </c>
      <c r="D785" s="5">
        <v>14.99</v>
      </c>
      <c r="E785" s="3" t="s">
        <v>3099</v>
      </c>
      <c r="F785" s="2" t="s">
        <v>94</v>
      </c>
      <c r="G785" s="6" t="s">
        <v>154</v>
      </c>
      <c r="H785" s="2" t="s">
        <v>1473</v>
      </c>
      <c r="I785" s="2" t="s">
        <v>1426</v>
      </c>
      <c r="J785" s="2" t="s">
        <v>19</v>
      </c>
      <c r="K785" s="2" t="s">
        <v>495</v>
      </c>
      <c r="L785" s="7" t="str">
        <f>HYPERLINK("http://slimages.macys.com/is/image/MCY/11417660 ")</f>
        <v xml:space="preserve">http://slimages.macys.com/is/image/MCY/11417660 </v>
      </c>
    </row>
    <row r="786" spans="1:12" ht="24.75" x14ac:dyDescent="0.25">
      <c r="A786" s="4" t="s">
        <v>9780</v>
      </c>
      <c r="B786" s="2" t="s">
        <v>1921</v>
      </c>
      <c r="C786" s="3">
        <v>1</v>
      </c>
      <c r="D786" s="5">
        <v>14.99</v>
      </c>
      <c r="E786" s="3">
        <v>100043899</v>
      </c>
      <c r="F786" s="2" t="s">
        <v>111</v>
      </c>
      <c r="G786" s="6" t="s">
        <v>154</v>
      </c>
      <c r="H786" s="2" t="s">
        <v>194</v>
      </c>
      <c r="I786" s="2" t="s">
        <v>1922</v>
      </c>
      <c r="J786" s="2" t="s">
        <v>19</v>
      </c>
      <c r="K786" s="2" t="s">
        <v>1108</v>
      </c>
      <c r="L786" s="7" t="str">
        <f>HYPERLINK("http://slimages.macys.com/is/image/MCY/11147951 ")</f>
        <v xml:space="preserve">http://slimages.macys.com/is/image/MCY/11147951 </v>
      </c>
    </row>
    <row r="787" spans="1:12" ht="24.75" x14ac:dyDescent="0.25">
      <c r="A787" s="4" t="s">
        <v>9211</v>
      </c>
      <c r="B787" s="2" t="s">
        <v>3101</v>
      </c>
      <c r="C787" s="3">
        <v>2</v>
      </c>
      <c r="D787" s="5">
        <v>14.99</v>
      </c>
      <c r="E787" s="3" t="s">
        <v>3102</v>
      </c>
      <c r="F787" s="2" t="s">
        <v>74</v>
      </c>
      <c r="G787" s="6"/>
      <c r="H787" s="2" t="s">
        <v>1425</v>
      </c>
      <c r="I787" s="2" t="s">
        <v>1426</v>
      </c>
      <c r="J787" s="2"/>
      <c r="K787" s="2"/>
      <c r="L787" s="7" t="str">
        <f>HYPERLINK("http://slimages.macys.com/is/image/MCY/9931748 ")</f>
        <v xml:space="preserve">http://slimages.macys.com/is/image/MCY/9931748 </v>
      </c>
    </row>
    <row r="788" spans="1:12" ht="24.75" x14ac:dyDescent="0.25">
      <c r="A788" s="4" t="s">
        <v>7662</v>
      </c>
      <c r="B788" s="2" t="s">
        <v>3101</v>
      </c>
      <c r="C788" s="3">
        <v>1</v>
      </c>
      <c r="D788" s="5">
        <v>14.99</v>
      </c>
      <c r="E788" s="3" t="s">
        <v>3102</v>
      </c>
      <c r="F788" s="2" t="s">
        <v>64</v>
      </c>
      <c r="G788" s="6"/>
      <c r="H788" s="2" t="s">
        <v>1425</v>
      </c>
      <c r="I788" s="2" t="s">
        <v>1426</v>
      </c>
      <c r="J788" s="2"/>
      <c r="K788" s="2"/>
      <c r="L788" s="7" t="str">
        <f>HYPERLINK("http://slimages.macys.com/is/image/MCY/9931748 ")</f>
        <v xml:space="preserve">http://slimages.macys.com/is/image/MCY/9931748 </v>
      </c>
    </row>
    <row r="789" spans="1:12" ht="24.75" x14ac:dyDescent="0.25">
      <c r="A789" s="4" t="s">
        <v>3109</v>
      </c>
      <c r="B789" s="2" t="s">
        <v>1927</v>
      </c>
      <c r="C789" s="3">
        <v>2</v>
      </c>
      <c r="D789" s="5">
        <v>17.989999999999998</v>
      </c>
      <c r="E789" s="3" t="s">
        <v>1928</v>
      </c>
      <c r="F789" s="2" t="s">
        <v>74</v>
      </c>
      <c r="G789" s="6" t="s">
        <v>154</v>
      </c>
      <c r="H789" s="2" t="s">
        <v>1473</v>
      </c>
      <c r="I789" s="2" t="s">
        <v>1426</v>
      </c>
      <c r="J789" s="2" t="s">
        <v>19</v>
      </c>
      <c r="K789" s="2" t="s">
        <v>803</v>
      </c>
      <c r="L789" s="7" t="str">
        <f>HYPERLINK("http://slimages.macys.com/is/image/MCY/11882200 ")</f>
        <v xml:space="preserve">http://slimages.macys.com/is/image/MCY/11882200 </v>
      </c>
    </row>
    <row r="790" spans="1:12" ht="24.75" x14ac:dyDescent="0.25">
      <c r="A790" s="4" t="s">
        <v>5185</v>
      </c>
      <c r="B790" s="2" t="s">
        <v>1927</v>
      </c>
      <c r="C790" s="3">
        <v>1</v>
      </c>
      <c r="D790" s="5">
        <v>17.989999999999998</v>
      </c>
      <c r="E790" s="3" t="s">
        <v>3105</v>
      </c>
      <c r="F790" s="2" t="s">
        <v>74</v>
      </c>
      <c r="G790" s="6" t="s">
        <v>187</v>
      </c>
      <c r="H790" s="2" t="s">
        <v>1425</v>
      </c>
      <c r="I790" s="2" t="s">
        <v>1426</v>
      </c>
      <c r="J790" s="2" t="s">
        <v>19</v>
      </c>
      <c r="K790" s="2" t="s">
        <v>803</v>
      </c>
      <c r="L790" s="7" t="str">
        <f>HYPERLINK("http://slimages.macys.com/is/image/MCY/11882201 ")</f>
        <v xml:space="preserve">http://slimages.macys.com/is/image/MCY/11882201 </v>
      </c>
    </row>
    <row r="791" spans="1:12" ht="24.75" x14ac:dyDescent="0.25">
      <c r="A791" s="4" t="s">
        <v>4178</v>
      </c>
      <c r="B791" s="2" t="s">
        <v>1927</v>
      </c>
      <c r="C791" s="3">
        <v>1</v>
      </c>
      <c r="D791" s="5">
        <v>17.989999999999998</v>
      </c>
      <c r="E791" s="3" t="s">
        <v>3105</v>
      </c>
      <c r="F791" s="2" t="s">
        <v>74</v>
      </c>
      <c r="G791" s="6"/>
      <c r="H791" s="2" t="s">
        <v>1425</v>
      </c>
      <c r="I791" s="2" t="s">
        <v>1426</v>
      </c>
      <c r="J791" s="2" t="s">
        <v>19</v>
      </c>
      <c r="K791" s="2" t="s">
        <v>803</v>
      </c>
      <c r="L791" s="7" t="str">
        <f>HYPERLINK("http://slimages.macys.com/is/image/MCY/11882201 ")</f>
        <v xml:space="preserve">http://slimages.macys.com/is/image/MCY/11882201 </v>
      </c>
    </row>
    <row r="792" spans="1:12" ht="24.75" x14ac:dyDescent="0.25">
      <c r="A792" s="4" t="s">
        <v>9781</v>
      </c>
      <c r="B792" s="2" t="s">
        <v>6149</v>
      </c>
      <c r="C792" s="3">
        <v>1</v>
      </c>
      <c r="D792" s="5">
        <v>14.99</v>
      </c>
      <c r="E792" s="3" t="s">
        <v>6150</v>
      </c>
      <c r="F792" s="2" t="s">
        <v>64</v>
      </c>
      <c r="G792" s="6" t="s">
        <v>154</v>
      </c>
      <c r="H792" s="2" t="s">
        <v>1522</v>
      </c>
      <c r="I792" s="2" t="s">
        <v>1469</v>
      </c>
      <c r="J792" s="2" t="s">
        <v>19</v>
      </c>
      <c r="K792" s="2" t="s">
        <v>495</v>
      </c>
      <c r="L792" s="7" t="str">
        <f>HYPERLINK("http://slimages.macys.com/is/image/MCY/12064178 ")</f>
        <v xml:space="preserve">http://slimages.macys.com/is/image/MCY/12064178 </v>
      </c>
    </row>
    <row r="793" spans="1:12" ht="24.75" x14ac:dyDescent="0.25">
      <c r="A793" s="4" t="s">
        <v>1930</v>
      </c>
      <c r="B793" s="2" t="s">
        <v>1927</v>
      </c>
      <c r="C793" s="3">
        <v>1</v>
      </c>
      <c r="D793" s="5">
        <v>17.989999999999998</v>
      </c>
      <c r="E793" s="3" t="s">
        <v>1928</v>
      </c>
      <c r="F793" s="2" t="s">
        <v>15</v>
      </c>
      <c r="G793" s="6" t="s">
        <v>156</v>
      </c>
      <c r="H793" s="2" t="s">
        <v>1473</v>
      </c>
      <c r="I793" s="2" t="s">
        <v>1426</v>
      </c>
      <c r="J793" s="2" t="s">
        <v>19</v>
      </c>
      <c r="K793" s="2" t="s">
        <v>803</v>
      </c>
      <c r="L793" s="7" t="str">
        <f>HYPERLINK("http://slimages.macys.com/is/image/MCY/11882200 ")</f>
        <v xml:space="preserve">http://slimages.macys.com/is/image/MCY/11882200 </v>
      </c>
    </row>
    <row r="794" spans="1:12" ht="24.75" x14ac:dyDescent="0.25">
      <c r="A794" s="4" t="s">
        <v>3107</v>
      </c>
      <c r="B794" s="2" t="s">
        <v>1927</v>
      </c>
      <c r="C794" s="3">
        <v>1</v>
      </c>
      <c r="D794" s="5">
        <v>17.989999999999998</v>
      </c>
      <c r="E794" s="3" t="s">
        <v>3105</v>
      </c>
      <c r="F794" s="2" t="s">
        <v>15</v>
      </c>
      <c r="G794" s="6"/>
      <c r="H794" s="2" t="s">
        <v>1425</v>
      </c>
      <c r="I794" s="2" t="s">
        <v>1426</v>
      </c>
      <c r="J794" s="2" t="s">
        <v>19</v>
      </c>
      <c r="K794" s="2" t="s">
        <v>803</v>
      </c>
      <c r="L794" s="7" t="str">
        <f>HYPERLINK("http://slimages.macys.com/is/image/MCY/11882201 ")</f>
        <v xml:space="preserve">http://slimages.macys.com/is/image/MCY/11882201 </v>
      </c>
    </row>
    <row r="795" spans="1:12" ht="24.75" x14ac:dyDescent="0.25">
      <c r="A795" s="4" t="s">
        <v>3114</v>
      </c>
      <c r="B795" s="2" t="s">
        <v>1932</v>
      </c>
      <c r="C795" s="3">
        <v>1</v>
      </c>
      <c r="D795" s="5">
        <v>16.989999999999998</v>
      </c>
      <c r="E795" s="3" t="s">
        <v>1933</v>
      </c>
      <c r="F795" s="2" t="s">
        <v>15</v>
      </c>
      <c r="G795" s="6" t="s">
        <v>245</v>
      </c>
      <c r="H795" s="2" t="s">
        <v>1473</v>
      </c>
      <c r="I795" s="2" t="s">
        <v>1864</v>
      </c>
      <c r="J795" s="2" t="s">
        <v>19</v>
      </c>
      <c r="K795" s="2" t="s">
        <v>648</v>
      </c>
      <c r="L795" s="7" t="str">
        <f>HYPERLINK("http://slimages.macys.com/is/image/MCY/11634794 ")</f>
        <v xml:space="preserve">http://slimages.macys.com/is/image/MCY/11634794 </v>
      </c>
    </row>
    <row r="796" spans="1:12" ht="24.75" x14ac:dyDescent="0.25">
      <c r="A796" s="4" t="s">
        <v>3116</v>
      </c>
      <c r="B796" s="2" t="s">
        <v>1932</v>
      </c>
      <c r="C796" s="3">
        <v>2</v>
      </c>
      <c r="D796" s="5">
        <v>16.989999999999998</v>
      </c>
      <c r="E796" s="3" t="s">
        <v>1933</v>
      </c>
      <c r="F796" s="2" t="s">
        <v>15</v>
      </c>
      <c r="G796" s="6" t="s">
        <v>154</v>
      </c>
      <c r="H796" s="2" t="s">
        <v>1473</v>
      </c>
      <c r="I796" s="2" t="s">
        <v>1864</v>
      </c>
      <c r="J796" s="2" t="s">
        <v>19</v>
      </c>
      <c r="K796" s="2" t="s">
        <v>648</v>
      </c>
      <c r="L796" s="7" t="str">
        <f>HYPERLINK("http://slimages.macys.com/is/image/MCY/11634794 ")</f>
        <v xml:space="preserve">http://slimages.macys.com/is/image/MCY/11634794 </v>
      </c>
    </row>
    <row r="797" spans="1:12" ht="24.75" x14ac:dyDescent="0.25">
      <c r="A797" s="4" t="s">
        <v>1934</v>
      </c>
      <c r="B797" s="2" t="s">
        <v>1932</v>
      </c>
      <c r="C797" s="3">
        <v>2</v>
      </c>
      <c r="D797" s="5">
        <v>16.989999999999998</v>
      </c>
      <c r="E797" s="3" t="s">
        <v>1933</v>
      </c>
      <c r="F797" s="2" t="s">
        <v>15</v>
      </c>
      <c r="G797" s="6" t="s">
        <v>156</v>
      </c>
      <c r="H797" s="2" t="s">
        <v>1473</v>
      </c>
      <c r="I797" s="2" t="s">
        <v>1864</v>
      </c>
      <c r="J797" s="2" t="s">
        <v>19</v>
      </c>
      <c r="K797" s="2" t="s">
        <v>648</v>
      </c>
      <c r="L797" s="7" t="str">
        <f>HYPERLINK("http://slimages.macys.com/is/image/MCY/11634794 ")</f>
        <v xml:space="preserve">http://slimages.macys.com/is/image/MCY/11634794 </v>
      </c>
    </row>
    <row r="798" spans="1:12" ht="24.75" x14ac:dyDescent="0.25">
      <c r="A798" s="4" t="s">
        <v>9782</v>
      </c>
      <c r="B798" s="2" t="s">
        <v>8353</v>
      </c>
      <c r="C798" s="3">
        <v>1</v>
      </c>
      <c r="D798" s="5">
        <v>21.99</v>
      </c>
      <c r="E798" s="3" t="s">
        <v>8354</v>
      </c>
      <c r="F798" s="2" t="s">
        <v>413</v>
      </c>
      <c r="G798" s="6" t="s">
        <v>154</v>
      </c>
      <c r="H798" s="2" t="s">
        <v>284</v>
      </c>
      <c r="I798" s="2" t="s">
        <v>285</v>
      </c>
      <c r="J798" s="2" t="s">
        <v>19</v>
      </c>
      <c r="K798" s="2" t="s">
        <v>247</v>
      </c>
      <c r="L798" s="7" t="str">
        <f>HYPERLINK("http://slimages.macys.com/is/image/MCY/12055713 ")</f>
        <v xml:space="preserve">http://slimages.macys.com/is/image/MCY/12055713 </v>
      </c>
    </row>
    <row r="799" spans="1:12" ht="24.75" x14ac:dyDescent="0.25">
      <c r="A799" s="4" t="s">
        <v>9783</v>
      </c>
      <c r="B799" s="2" t="s">
        <v>9745</v>
      </c>
      <c r="C799" s="3">
        <v>1</v>
      </c>
      <c r="D799" s="5">
        <v>21.99</v>
      </c>
      <c r="E799" s="3" t="s">
        <v>9784</v>
      </c>
      <c r="F799" s="2" t="s">
        <v>15</v>
      </c>
      <c r="G799" s="6" t="s">
        <v>154</v>
      </c>
      <c r="H799" s="2" t="s">
        <v>284</v>
      </c>
      <c r="I799" s="2" t="s">
        <v>285</v>
      </c>
      <c r="J799" s="2" t="s">
        <v>19</v>
      </c>
      <c r="K799" s="2" t="s">
        <v>247</v>
      </c>
      <c r="L799" s="7" t="str">
        <f>HYPERLINK("http://slimages.macys.com/is/image/MCY/12055713 ")</f>
        <v xml:space="preserve">http://slimages.macys.com/is/image/MCY/12055713 </v>
      </c>
    </row>
    <row r="800" spans="1:12" ht="24.75" x14ac:dyDescent="0.25">
      <c r="A800" s="4" t="s">
        <v>9785</v>
      </c>
      <c r="B800" s="2" t="s">
        <v>9745</v>
      </c>
      <c r="C800" s="3">
        <v>1</v>
      </c>
      <c r="D800" s="5">
        <v>21.99</v>
      </c>
      <c r="E800" s="3" t="s">
        <v>9784</v>
      </c>
      <c r="F800" s="2" t="s">
        <v>15</v>
      </c>
      <c r="G800" s="6" t="s">
        <v>234</v>
      </c>
      <c r="H800" s="2" t="s">
        <v>284</v>
      </c>
      <c r="I800" s="2" t="s">
        <v>285</v>
      </c>
      <c r="J800" s="2" t="s">
        <v>19</v>
      </c>
      <c r="K800" s="2" t="s">
        <v>247</v>
      </c>
      <c r="L800" s="7" t="str">
        <f>HYPERLINK("http://slimages.macys.com/is/image/MCY/12055713 ")</f>
        <v xml:space="preserve">http://slimages.macys.com/is/image/MCY/12055713 </v>
      </c>
    </row>
    <row r="801" spans="1:12" ht="24.75" x14ac:dyDescent="0.25">
      <c r="A801" s="4" t="s">
        <v>9786</v>
      </c>
      <c r="B801" s="2" t="s">
        <v>9787</v>
      </c>
      <c r="C801" s="3">
        <v>1</v>
      </c>
      <c r="D801" s="5">
        <v>21.99</v>
      </c>
      <c r="E801" s="3" t="s">
        <v>9788</v>
      </c>
      <c r="F801" s="2" t="s">
        <v>70</v>
      </c>
      <c r="G801" s="6" t="s">
        <v>200</v>
      </c>
      <c r="H801" s="2" t="s">
        <v>284</v>
      </c>
      <c r="I801" s="2" t="s">
        <v>285</v>
      </c>
      <c r="J801" s="2" t="s">
        <v>19</v>
      </c>
      <c r="K801" s="2" t="s">
        <v>247</v>
      </c>
      <c r="L801" s="7" t="str">
        <f>HYPERLINK("http://slimages.macys.com/is/image/MCY/12462157 ")</f>
        <v xml:space="preserve">http://slimages.macys.com/is/image/MCY/12462157 </v>
      </c>
    </row>
    <row r="802" spans="1:12" ht="24.75" x14ac:dyDescent="0.25">
      <c r="A802" s="4" t="s">
        <v>9789</v>
      </c>
      <c r="B802" s="2" t="s">
        <v>4181</v>
      </c>
      <c r="C802" s="3">
        <v>1</v>
      </c>
      <c r="D802" s="5">
        <v>17.989999999999998</v>
      </c>
      <c r="E802" s="3" t="s">
        <v>4182</v>
      </c>
      <c r="F802" s="2" t="s">
        <v>331</v>
      </c>
      <c r="G802" s="6" t="s">
        <v>200</v>
      </c>
      <c r="H802" s="2" t="s">
        <v>1473</v>
      </c>
      <c r="I802" s="2" t="s">
        <v>1426</v>
      </c>
      <c r="J802" s="2" t="s">
        <v>19</v>
      </c>
      <c r="K802" s="2" t="s">
        <v>990</v>
      </c>
      <c r="L802" s="7" t="str">
        <f>HYPERLINK("http://slimages.macys.com/is/image/MCY/12327134 ")</f>
        <v xml:space="preserve">http://slimages.macys.com/is/image/MCY/12327134 </v>
      </c>
    </row>
    <row r="803" spans="1:12" ht="24.75" x14ac:dyDescent="0.25">
      <c r="A803" s="4" t="s">
        <v>6153</v>
      </c>
      <c r="B803" s="2" t="s">
        <v>1942</v>
      </c>
      <c r="C803" s="3">
        <v>2</v>
      </c>
      <c r="D803" s="5">
        <v>17.989999999999998</v>
      </c>
      <c r="E803" s="3" t="s">
        <v>1943</v>
      </c>
      <c r="F803" s="2" t="s">
        <v>15</v>
      </c>
      <c r="G803" s="6" t="s">
        <v>154</v>
      </c>
      <c r="H803" s="2" t="s">
        <v>1522</v>
      </c>
      <c r="I803" s="2" t="s">
        <v>1469</v>
      </c>
      <c r="J803" s="2" t="s">
        <v>19</v>
      </c>
      <c r="K803" s="2" t="s">
        <v>353</v>
      </c>
      <c r="L803" s="7" t="str">
        <f>HYPERLINK("http://slimages.macys.com/is/image/MCY/10743541 ")</f>
        <v xml:space="preserve">http://slimages.macys.com/is/image/MCY/10743541 </v>
      </c>
    </row>
    <row r="804" spans="1:12" ht="24.75" x14ac:dyDescent="0.25">
      <c r="A804" s="4" t="s">
        <v>6876</v>
      </c>
      <c r="B804" s="2" t="s">
        <v>1942</v>
      </c>
      <c r="C804" s="3">
        <v>1</v>
      </c>
      <c r="D804" s="5">
        <v>17.989999999999998</v>
      </c>
      <c r="E804" s="3" t="s">
        <v>1943</v>
      </c>
      <c r="F804" s="2" t="s">
        <v>64</v>
      </c>
      <c r="G804" s="6" t="s">
        <v>154</v>
      </c>
      <c r="H804" s="2" t="s">
        <v>1522</v>
      </c>
      <c r="I804" s="2" t="s">
        <v>1469</v>
      </c>
      <c r="J804" s="2" t="s">
        <v>19</v>
      </c>
      <c r="K804" s="2" t="s">
        <v>353</v>
      </c>
      <c r="L804" s="7" t="str">
        <f>HYPERLINK("http://slimages.macys.com/is/image/MCY/10743541 ")</f>
        <v xml:space="preserve">http://slimages.macys.com/is/image/MCY/10743541 </v>
      </c>
    </row>
    <row r="805" spans="1:12" ht="24.75" x14ac:dyDescent="0.25">
      <c r="A805" s="4" t="s">
        <v>9790</v>
      </c>
      <c r="B805" s="2" t="s">
        <v>4188</v>
      </c>
      <c r="C805" s="3">
        <v>1</v>
      </c>
      <c r="D805" s="5">
        <v>17.989999999999998</v>
      </c>
      <c r="E805" s="3" t="s">
        <v>4189</v>
      </c>
      <c r="F805" s="2" t="s">
        <v>26</v>
      </c>
      <c r="G805" s="6" t="s">
        <v>156</v>
      </c>
      <c r="H805" s="2" t="s">
        <v>1473</v>
      </c>
      <c r="I805" s="2" t="s">
        <v>1426</v>
      </c>
      <c r="J805" s="2" t="s">
        <v>19</v>
      </c>
      <c r="K805" s="2" t="s">
        <v>990</v>
      </c>
      <c r="L805" s="7" t="str">
        <f>HYPERLINK("http://slimages.macys.com/is/image/MCY/12877743 ")</f>
        <v xml:space="preserve">http://slimages.macys.com/is/image/MCY/12877743 </v>
      </c>
    </row>
    <row r="806" spans="1:12" ht="24.75" x14ac:dyDescent="0.25">
      <c r="A806" s="4" t="s">
        <v>9791</v>
      </c>
      <c r="B806" s="2" t="s">
        <v>8850</v>
      </c>
      <c r="C806" s="3">
        <v>1</v>
      </c>
      <c r="D806" s="5">
        <v>17.989999999999998</v>
      </c>
      <c r="E806" s="3" t="s">
        <v>8851</v>
      </c>
      <c r="F806" s="2"/>
      <c r="G806" s="6" t="s">
        <v>154</v>
      </c>
      <c r="H806" s="2" t="s">
        <v>1473</v>
      </c>
      <c r="I806" s="2" t="s">
        <v>1426</v>
      </c>
      <c r="J806" s="2" t="s">
        <v>19</v>
      </c>
      <c r="K806" s="2" t="s">
        <v>990</v>
      </c>
      <c r="L806" s="7" t="str">
        <f>HYPERLINK("http://slimages.macys.com/is/image/MCY/12646601 ")</f>
        <v xml:space="preserve">http://slimages.macys.com/is/image/MCY/12646601 </v>
      </c>
    </row>
    <row r="807" spans="1:12" ht="24.75" x14ac:dyDescent="0.25">
      <c r="A807" s="4" t="s">
        <v>3147</v>
      </c>
      <c r="B807" s="2" t="s">
        <v>3140</v>
      </c>
      <c r="C807" s="3">
        <v>1</v>
      </c>
      <c r="D807" s="5">
        <v>14.99</v>
      </c>
      <c r="E807" s="3" t="s">
        <v>3141</v>
      </c>
      <c r="F807" s="2" t="s">
        <v>15</v>
      </c>
      <c r="G807" s="6" t="s">
        <v>181</v>
      </c>
      <c r="H807" s="2" t="s">
        <v>1473</v>
      </c>
      <c r="I807" s="2" t="s">
        <v>1426</v>
      </c>
      <c r="J807" s="2" t="s">
        <v>19</v>
      </c>
      <c r="K807" s="2" t="s">
        <v>495</v>
      </c>
      <c r="L807" s="7" t="str">
        <f>HYPERLINK("http://slimages.macys.com/is/image/MCY/11774199 ")</f>
        <v xml:space="preserve">http://slimages.macys.com/is/image/MCY/11774199 </v>
      </c>
    </row>
    <row r="808" spans="1:12" ht="24.75" x14ac:dyDescent="0.25">
      <c r="A808" s="4" t="s">
        <v>3148</v>
      </c>
      <c r="B808" s="2" t="s">
        <v>3128</v>
      </c>
      <c r="C808" s="3">
        <v>1</v>
      </c>
      <c r="D808" s="5">
        <v>14.99</v>
      </c>
      <c r="E808" s="3" t="s">
        <v>3149</v>
      </c>
      <c r="F808" s="2" t="s">
        <v>26</v>
      </c>
      <c r="G808" s="6" t="s">
        <v>154</v>
      </c>
      <c r="H808" s="2" t="s">
        <v>1473</v>
      </c>
      <c r="I808" s="2" t="s">
        <v>1426</v>
      </c>
      <c r="J808" s="2" t="s">
        <v>19</v>
      </c>
      <c r="K808" s="2" t="s">
        <v>495</v>
      </c>
      <c r="L808" s="7" t="str">
        <f>HYPERLINK("http://slimages.macys.com/is/image/MCY/12064003 ")</f>
        <v xml:space="preserve">http://slimages.macys.com/is/image/MCY/12064003 </v>
      </c>
    </row>
    <row r="809" spans="1:12" ht="24.75" x14ac:dyDescent="0.25">
      <c r="A809" s="4" t="s">
        <v>8858</v>
      </c>
      <c r="B809" s="2" t="s">
        <v>3128</v>
      </c>
      <c r="C809" s="3">
        <v>1</v>
      </c>
      <c r="D809" s="5">
        <v>14.99</v>
      </c>
      <c r="E809" s="3" t="s">
        <v>3129</v>
      </c>
      <c r="F809" s="2" t="s">
        <v>26</v>
      </c>
      <c r="G809" s="6"/>
      <c r="H809" s="2" t="s">
        <v>1425</v>
      </c>
      <c r="I809" s="2" t="s">
        <v>1426</v>
      </c>
      <c r="J809" s="2" t="s">
        <v>19</v>
      </c>
      <c r="K809" s="2" t="s">
        <v>495</v>
      </c>
      <c r="L809" s="7" t="str">
        <f>HYPERLINK("http://slimages.macys.com/is/image/MCY/12064003 ")</f>
        <v xml:space="preserve">http://slimages.macys.com/is/image/MCY/12064003 </v>
      </c>
    </row>
    <row r="810" spans="1:12" ht="24.75" x14ac:dyDescent="0.25">
      <c r="A810" s="4" t="s">
        <v>9792</v>
      </c>
      <c r="B810" s="2" t="s">
        <v>3143</v>
      </c>
      <c r="C810" s="3">
        <v>1</v>
      </c>
      <c r="D810" s="5">
        <v>14.99</v>
      </c>
      <c r="E810" s="3" t="s">
        <v>9793</v>
      </c>
      <c r="F810" s="2" t="s">
        <v>15</v>
      </c>
      <c r="G810" s="6" t="s">
        <v>219</v>
      </c>
      <c r="H810" s="2" t="s">
        <v>1425</v>
      </c>
      <c r="I810" s="2" t="s">
        <v>1426</v>
      </c>
      <c r="J810" s="2" t="s">
        <v>19</v>
      </c>
      <c r="K810" s="2" t="s">
        <v>495</v>
      </c>
      <c r="L810" s="7" t="str">
        <f>HYPERLINK("http://slimages.macys.com/is/image/MCY/12669290 ")</f>
        <v xml:space="preserve">http://slimages.macys.com/is/image/MCY/12669290 </v>
      </c>
    </row>
    <row r="811" spans="1:12" ht="24.75" x14ac:dyDescent="0.25">
      <c r="A811" s="4" t="s">
        <v>3167</v>
      </c>
      <c r="B811" s="2" t="s">
        <v>3128</v>
      </c>
      <c r="C811" s="3">
        <v>2</v>
      </c>
      <c r="D811" s="5">
        <v>14.99</v>
      </c>
      <c r="E811" s="3" t="s">
        <v>3129</v>
      </c>
      <c r="F811" s="2" t="s">
        <v>26</v>
      </c>
      <c r="G811" s="6" t="s">
        <v>219</v>
      </c>
      <c r="H811" s="2" t="s">
        <v>1425</v>
      </c>
      <c r="I811" s="2" t="s">
        <v>1426</v>
      </c>
      <c r="J811" s="2" t="s">
        <v>19</v>
      </c>
      <c r="K811" s="2" t="s">
        <v>495</v>
      </c>
      <c r="L811" s="7" t="str">
        <f>HYPERLINK("http://slimages.macys.com/is/image/MCY/12064003 ")</f>
        <v xml:space="preserve">http://slimages.macys.com/is/image/MCY/12064003 </v>
      </c>
    </row>
    <row r="812" spans="1:12" x14ac:dyDescent="0.25">
      <c r="A812" s="4" t="s">
        <v>9794</v>
      </c>
      <c r="B812" s="2" t="s">
        <v>3216</v>
      </c>
      <c r="C812" s="3">
        <v>1</v>
      </c>
      <c r="D812" s="5">
        <v>26.99</v>
      </c>
      <c r="E812" s="3" t="s">
        <v>5204</v>
      </c>
      <c r="F812" s="2" t="s">
        <v>1584</v>
      </c>
      <c r="G812" s="6" t="s">
        <v>434</v>
      </c>
      <c r="H812" s="2" t="s">
        <v>349</v>
      </c>
      <c r="I812" s="2" t="s">
        <v>285</v>
      </c>
      <c r="J812" s="2" t="s">
        <v>19</v>
      </c>
      <c r="K812" s="2" t="s">
        <v>247</v>
      </c>
      <c r="L812" s="7" t="str">
        <f>HYPERLINK("http://slimages.macys.com/is/image/MCY/13535011 ")</f>
        <v xml:space="preserve">http://slimages.macys.com/is/image/MCY/13535011 </v>
      </c>
    </row>
    <row r="813" spans="1:12" x14ac:dyDescent="0.25">
      <c r="A813" s="4" t="s">
        <v>9795</v>
      </c>
      <c r="B813" s="2" t="s">
        <v>3216</v>
      </c>
      <c r="C813" s="3">
        <v>1</v>
      </c>
      <c r="D813" s="5">
        <v>26.99</v>
      </c>
      <c r="E813" s="3" t="s">
        <v>5204</v>
      </c>
      <c r="F813" s="2" t="s">
        <v>1584</v>
      </c>
      <c r="G813" s="6" t="s">
        <v>2276</v>
      </c>
      <c r="H813" s="2" t="s">
        <v>349</v>
      </c>
      <c r="I813" s="2" t="s">
        <v>285</v>
      </c>
      <c r="J813" s="2" t="s">
        <v>19</v>
      </c>
      <c r="K813" s="2" t="s">
        <v>247</v>
      </c>
      <c r="L813" s="7" t="str">
        <f>HYPERLINK("http://slimages.macys.com/is/image/MCY/13535011 ")</f>
        <v xml:space="preserve">http://slimages.macys.com/is/image/MCY/13535011 </v>
      </c>
    </row>
    <row r="814" spans="1:12" x14ac:dyDescent="0.25">
      <c r="A814" s="4" t="s">
        <v>9796</v>
      </c>
      <c r="B814" s="2" t="s">
        <v>3216</v>
      </c>
      <c r="C814" s="3">
        <v>1</v>
      </c>
      <c r="D814" s="5">
        <v>26.99</v>
      </c>
      <c r="E814" s="3" t="s">
        <v>5204</v>
      </c>
      <c r="F814" s="2" t="s">
        <v>1584</v>
      </c>
      <c r="G814" s="6" t="s">
        <v>746</v>
      </c>
      <c r="H814" s="2" t="s">
        <v>349</v>
      </c>
      <c r="I814" s="2" t="s">
        <v>285</v>
      </c>
      <c r="J814" s="2" t="s">
        <v>19</v>
      </c>
      <c r="K814" s="2" t="s">
        <v>247</v>
      </c>
      <c r="L814" s="7" t="str">
        <f>HYPERLINK("http://slimages.macys.com/is/image/MCY/13535011 ")</f>
        <v xml:space="preserve">http://slimages.macys.com/is/image/MCY/13535011 </v>
      </c>
    </row>
    <row r="815" spans="1:12" ht="24.75" x14ac:dyDescent="0.25">
      <c r="A815" s="4" t="s">
        <v>9797</v>
      </c>
      <c r="B815" s="2" t="s">
        <v>1954</v>
      </c>
      <c r="C815" s="3">
        <v>1</v>
      </c>
      <c r="D815" s="5">
        <v>18.38</v>
      </c>
      <c r="E815" s="3" t="s">
        <v>8363</v>
      </c>
      <c r="F815" s="2" t="s">
        <v>64</v>
      </c>
      <c r="G815" s="6" t="s">
        <v>245</v>
      </c>
      <c r="H815" s="2" t="s">
        <v>194</v>
      </c>
      <c r="I815" s="2" t="s">
        <v>195</v>
      </c>
      <c r="J815" s="2" t="s">
        <v>19</v>
      </c>
      <c r="K815" s="2" t="s">
        <v>1108</v>
      </c>
      <c r="L815" s="7" t="str">
        <f>HYPERLINK("http://slimages.macys.com/is/image/MCY/13120664 ")</f>
        <v xml:space="preserve">http://slimages.macys.com/is/image/MCY/13120664 </v>
      </c>
    </row>
    <row r="816" spans="1:12" ht="24.75" x14ac:dyDescent="0.25">
      <c r="A816" s="4" t="s">
        <v>9798</v>
      </c>
      <c r="B816" s="2" t="s">
        <v>1954</v>
      </c>
      <c r="C816" s="3">
        <v>1</v>
      </c>
      <c r="D816" s="5">
        <v>18.38</v>
      </c>
      <c r="E816" s="3" t="s">
        <v>8363</v>
      </c>
      <c r="F816" s="2" t="s">
        <v>64</v>
      </c>
      <c r="G816" s="6" t="s">
        <v>181</v>
      </c>
      <c r="H816" s="2" t="s">
        <v>194</v>
      </c>
      <c r="I816" s="2" t="s">
        <v>195</v>
      </c>
      <c r="J816" s="2" t="s">
        <v>19</v>
      </c>
      <c r="K816" s="2" t="s">
        <v>1108</v>
      </c>
      <c r="L816" s="7" t="str">
        <f>HYPERLINK("http://slimages.macys.com/is/image/MCY/13120664 ")</f>
        <v xml:space="preserve">http://slimages.macys.com/is/image/MCY/13120664 </v>
      </c>
    </row>
    <row r="817" spans="1:12" ht="24.75" x14ac:dyDescent="0.25">
      <c r="A817" s="4" t="s">
        <v>9799</v>
      </c>
      <c r="B817" s="2" t="s">
        <v>1954</v>
      </c>
      <c r="C817" s="3">
        <v>1</v>
      </c>
      <c r="D817" s="5">
        <v>18.38</v>
      </c>
      <c r="E817" s="3" t="s">
        <v>5206</v>
      </c>
      <c r="F817" s="2" t="s">
        <v>79</v>
      </c>
      <c r="G817" s="6" t="s">
        <v>200</v>
      </c>
      <c r="H817" s="2" t="s">
        <v>194</v>
      </c>
      <c r="I817" s="2" t="s">
        <v>195</v>
      </c>
      <c r="J817" s="2" t="s">
        <v>19</v>
      </c>
      <c r="K817" s="2" t="s">
        <v>1108</v>
      </c>
      <c r="L817" s="7" t="str">
        <f>HYPERLINK("http://slimages.macys.com/is/image/MCY/13036261 ")</f>
        <v xml:space="preserve">http://slimages.macys.com/is/image/MCY/13036261 </v>
      </c>
    </row>
    <row r="818" spans="1:12" ht="24.75" x14ac:dyDescent="0.25">
      <c r="A818" s="4" t="s">
        <v>9800</v>
      </c>
      <c r="B818" s="2" t="s">
        <v>1954</v>
      </c>
      <c r="C818" s="3">
        <v>1</v>
      </c>
      <c r="D818" s="5">
        <v>18.38</v>
      </c>
      <c r="E818" s="3" t="s">
        <v>5206</v>
      </c>
      <c r="F818" s="2" t="s">
        <v>79</v>
      </c>
      <c r="G818" s="6" t="s">
        <v>245</v>
      </c>
      <c r="H818" s="2" t="s">
        <v>194</v>
      </c>
      <c r="I818" s="2" t="s">
        <v>195</v>
      </c>
      <c r="J818" s="2" t="s">
        <v>19</v>
      </c>
      <c r="K818" s="2" t="s">
        <v>1108</v>
      </c>
      <c r="L818" s="7" t="str">
        <f>HYPERLINK("http://slimages.macys.com/is/image/MCY/13036261 ")</f>
        <v xml:space="preserve">http://slimages.macys.com/is/image/MCY/13036261 </v>
      </c>
    </row>
    <row r="819" spans="1:12" ht="24.75" x14ac:dyDescent="0.25">
      <c r="A819" s="4" t="s">
        <v>4208</v>
      </c>
      <c r="B819" s="2" t="s">
        <v>1954</v>
      </c>
      <c r="C819" s="3">
        <v>1</v>
      </c>
      <c r="D819" s="5">
        <v>18.38</v>
      </c>
      <c r="E819" s="3" t="s">
        <v>1955</v>
      </c>
      <c r="F819" s="2" t="s">
        <v>74</v>
      </c>
      <c r="G819" s="6" t="s">
        <v>156</v>
      </c>
      <c r="H819" s="2" t="s">
        <v>194</v>
      </c>
      <c r="I819" s="2" t="s">
        <v>195</v>
      </c>
      <c r="J819" s="2" t="s">
        <v>19</v>
      </c>
      <c r="K819" s="2" t="s">
        <v>1108</v>
      </c>
      <c r="L819" s="7" t="str">
        <f>HYPERLINK("http://slimages.macys.com/is/image/MCY/13036276 ")</f>
        <v xml:space="preserve">http://slimages.macys.com/is/image/MCY/13036276 </v>
      </c>
    </row>
    <row r="820" spans="1:12" ht="24.75" x14ac:dyDescent="0.25">
      <c r="A820" s="4" t="s">
        <v>1956</v>
      </c>
      <c r="B820" s="2" t="s">
        <v>1954</v>
      </c>
      <c r="C820" s="3">
        <v>1</v>
      </c>
      <c r="D820" s="5">
        <v>18.38</v>
      </c>
      <c r="E820" s="3" t="s">
        <v>1957</v>
      </c>
      <c r="F820" s="2" t="s">
        <v>15</v>
      </c>
      <c r="G820" s="6" t="s">
        <v>156</v>
      </c>
      <c r="H820" s="2" t="s">
        <v>194</v>
      </c>
      <c r="I820" s="2" t="s">
        <v>195</v>
      </c>
      <c r="J820" s="2" t="s">
        <v>19</v>
      </c>
      <c r="K820" s="2" t="s">
        <v>1108</v>
      </c>
      <c r="L820" s="7" t="str">
        <f>HYPERLINK("http://slimages.macys.com/is/image/MCY/13120664 ")</f>
        <v xml:space="preserve">http://slimages.macys.com/is/image/MCY/13120664 </v>
      </c>
    </row>
    <row r="821" spans="1:12" ht="24.75" x14ac:dyDescent="0.25">
      <c r="A821" s="4" t="s">
        <v>9801</v>
      </c>
      <c r="B821" s="2" t="s">
        <v>1954</v>
      </c>
      <c r="C821" s="3">
        <v>1</v>
      </c>
      <c r="D821" s="5">
        <v>18.38</v>
      </c>
      <c r="E821" s="3" t="s">
        <v>5206</v>
      </c>
      <c r="F821" s="2" t="s">
        <v>79</v>
      </c>
      <c r="G821" s="6" t="s">
        <v>181</v>
      </c>
      <c r="H821" s="2" t="s">
        <v>194</v>
      </c>
      <c r="I821" s="2" t="s">
        <v>195</v>
      </c>
      <c r="J821" s="2" t="s">
        <v>19</v>
      </c>
      <c r="K821" s="2" t="s">
        <v>1108</v>
      </c>
      <c r="L821" s="7" t="str">
        <f>HYPERLINK("http://slimages.macys.com/is/image/MCY/13036261 ")</f>
        <v xml:space="preserve">http://slimages.macys.com/is/image/MCY/13036261 </v>
      </c>
    </row>
    <row r="822" spans="1:12" ht="24.75" x14ac:dyDescent="0.25">
      <c r="A822" s="4" t="s">
        <v>9802</v>
      </c>
      <c r="B822" s="2" t="s">
        <v>1954</v>
      </c>
      <c r="C822" s="3">
        <v>1</v>
      </c>
      <c r="D822" s="5">
        <v>18.38</v>
      </c>
      <c r="E822" s="3" t="s">
        <v>5206</v>
      </c>
      <c r="F822" s="2" t="s">
        <v>79</v>
      </c>
      <c r="G822" s="6" t="s">
        <v>156</v>
      </c>
      <c r="H822" s="2" t="s">
        <v>194</v>
      </c>
      <c r="I822" s="2" t="s">
        <v>195</v>
      </c>
      <c r="J822" s="2" t="s">
        <v>19</v>
      </c>
      <c r="K822" s="2" t="s">
        <v>1108</v>
      </c>
      <c r="L822" s="7" t="str">
        <f>HYPERLINK("http://slimages.macys.com/is/image/MCY/13036261 ")</f>
        <v xml:space="preserve">http://slimages.macys.com/is/image/MCY/13036261 </v>
      </c>
    </row>
    <row r="823" spans="1:12" ht="24.75" x14ac:dyDescent="0.25">
      <c r="A823" s="4" t="s">
        <v>3171</v>
      </c>
      <c r="B823" s="2" t="s">
        <v>1954</v>
      </c>
      <c r="C823" s="3">
        <v>1</v>
      </c>
      <c r="D823" s="5">
        <v>18.38</v>
      </c>
      <c r="E823" s="3" t="s">
        <v>1957</v>
      </c>
      <c r="F823" s="2" t="s">
        <v>15</v>
      </c>
      <c r="G823" s="6" t="s">
        <v>234</v>
      </c>
      <c r="H823" s="2" t="s">
        <v>194</v>
      </c>
      <c r="I823" s="2" t="s">
        <v>195</v>
      </c>
      <c r="J823" s="2" t="s">
        <v>19</v>
      </c>
      <c r="K823" s="2" t="s">
        <v>1108</v>
      </c>
      <c r="L823" s="7" t="str">
        <f>HYPERLINK("http://slimages.macys.com/is/image/MCY/13120664 ")</f>
        <v xml:space="preserve">http://slimages.macys.com/is/image/MCY/13120664 </v>
      </c>
    </row>
    <row r="824" spans="1:12" ht="24.75" x14ac:dyDescent="0.25">
      <c r="A824" s="4" t="s">
        <v>4215</v>
      </c>
      <c r="B824" s="2" t="s">
        <v>3026</v>
      </c>
      <c r="C824" s="3">
        <v>1</v>
      </c>
      <c r="D824" s="5">
        <v>21.99</v>
      </c>
      <c r="E824" s="3" t="s">
        <v>4216</v>
      </c>
      <c r="F824" s="2" t="s">
        <v>413</v>
      </c>
      <c r="G824" s="6" t="s">
        <v>154</v>
      </c>
      <c r="H824" s="2" t="s">
        <v>284</v>
      </c>
      <c r="I824" s="2" t="s">
        <v>285</v>
      </c>
      <c r="J824" s="2" t="s">
        <v>19</v>
      </c>
      <c r="K824" s="2" t="s">
        <v>247</v>
      </c>
      <c r="L824" s="7" t="str">
        <f>HYPERLINK("http://slimages.macys.com/is/image/MCY/9972026 ")</f>
        <v xml:space="preserve">http://slimages.macys.com/is/image/MCY/9972026 </v>
      </c>
    </row>
    <row r="825" spans="1:12" ht="24.75" x14ac:dyDescent="0.25">
      <c r="A825" s="4" t="s">
        <v>9803</v>
      </c>
      <c r="B825" s="2" t="s">
        <v>1970</v>
      </c>
      <c r="C825" s="3">
        <v>1</v>
      </c>
      <c r="D825" s="5">
        <v>14.99</v>
      </c>
      <c r="E825" s="3" t="s">
        <v>1971</v>
      </c>
      <c r="F825" s="2" t="s">
        <v>74</v>
      </c>
      <c r="G825" s="6" t="s">
        <v>154</v>
      </c>
      <c r="H825" s="2" t="s">
        <v>1522</v>
      </c>
      <c r="I825" s="2" t="s">
        <v>1469</v>
      </c>
      <c r="J825" s="2" t="s">
        <v>19</v>
      </c>
      <c r="K825" s="2" t="s">
        <v>353</v>
      </c>
      <c r="L825" s="7" t="str">
        <f>HYPERLINK("http://slimages.macys.com/is/image/MCY/13741861 ")</f>
        <v xml:space="preserve">http://slimages.macys.com/is/image/MCY/13741861 </v>
      </c>
    </row>
    <row r="826" spans="1:12" ht="24.75" x14ac:dyDescent="0.25">
      <c r="A826" s="4" t="s">
        <v>4219</v>
      </c>
      <c r="B826" s="2" t="s">
        <v>1970</v>
      </c>
      <c r="C826" s="3">
        <v>1</v>
      </c>
      <c r="D826" s="5">
        <v>14.99</v>
      </c>
      <c r="E826" s="3" t="s">
        <v>1971</v>
      </c>
      <c r="F826" s="2" t="s">
        <v>1945</v>
      </c>
      <c r="G826" s="6" t="s">
        <v>234</v>
      </c>
      <c r="H826" s="2" t="s">
        <v>1522</v>
      </c>
      <c r="I826" s="2" t="s">
        <v>1469</v>
      </c>
      <c r="J826" s="2" t="s">
        <v>19</v>
      </c>
      <c r="K826" s="2" t="s">
        <v>353</v>
      </c>
      <c r="L826" s="7" t="str">
        <f>HYPERLINK("http://slimages.macys.com/is/image/MCY/13741861 ")</f>
        <v xml:space="preserve">http://slimages.macys.com/is/image/MCY/13741861 </v>
      </c>
    </row>
    <row r="827" spans="1:12" ht="24.75" x14ac:dyDescent="0.25">
      <c r="A827" s="4" t="s">
        <v>4227</v>
      </c>
      <c r="B827" s="2" t="s">
        <v>1973</v>
      </c>
      <c r="C827" s="3">
        <v>1</v>
      </c>
      <c r="D827" s="5">
        <v>16.989999999999998</v>
      </c>
      <c r="E827" s="3" t="s">
        <v>1976</v>
      </c>
      <c r="F827" s="2" t="s">
        <v>74</v>
      </c>
      <c r="G827" s="6" t="s">
        <v>187</v>
      </c>
      <c r="H827" s="2" t="s">
        <v>1425</v>
      </c>
      <c r="I827" s="2" t="s">
        <v>1864</v>
      </c>
      <c r="J827" s="2" t="s">
        <v>19</v>
      </c>
      <c r="K827" s="2" t="s">
        <v>648</v>
      </c>
      <c r="L827" s="7" t="str">
        <f>HYPERLINK("http://slimages.macys.com/is/image/MCY/11634785 ")</f>
        <v xml:space="preserve">http://slimages.macys.com/is/image/MCY/11634785 </v>
      </c>
    </row>
    <row r="828" spans="1:12" ht="24.75" x14ac:dyDescent="0.25">
      <c r="A828" s="4" t="s">
        <v>1985</v>
      </c>
      <c r="B828" s="2" t="s">
        <v>1973</v>
      </c>
      <c r="C828" s="3">
        <v>2</v>
      </c>
      <c r="D828" s="5">
        <v>16.989999999999998</v>
      </c>
      <c r="E828" s="3" t="s">
        <v>1976</v>
      </c>
      <c r="F828" s="2" t="s">
        <v>15</v>
      </c>
      <c r="G828" s="6" t="s">
        <v>219</v>
      </c>
      <c r="H828" s="2" t="s">
        <v>1425</v>
      </c>
      <c r="I828" s="2" t="s">
        <v>1864</v>
      </c>
      <c r="J828" s="2" t="s">
        <v>19</v>
      </c>
      <c r="K828" s="2" t="s">
        <v>648</v>
      </c>
      <c r="L828" s="7" t="str">
        <f>HYPERLINK("http://slimages.macys.com/is/image/MCY/11634785 ")</f>
        <v xml:space="preserve">http://slimages.macys.com/is/image/MCY/11634785 </v>
      </c>
    </row>
    <row r="829" spans="1:12" ht="24.75" x14ac:dyDescent="0.25">
      <c r="A829" s="4" t="s">
        <v>4230</v>
      </c>
      <c r="B829" s="2" t="s">
        <v>1973</v>
      </c>
      <c r="C829" s="3">
        <v>1</v>
      </c>
      <c r="D829" s="5">
        <v>16.989999999999998</v>
      </c>
      <c r="E829" s="3" t="s">
        <v>1974</v>
      </c>
      <c r="F829" s="2" t="s">
        <v>15</v>
      </c>
      <c r="G829" s="6" t="s">
        <v>154</v>
      </c>
      <c r="H829" s="2" t="s">
        <v>1473</v>
      </c>
      <c r="I829" s="2" t="s">
        <v>1864</v>
      </c>
      <c r="J829" s="2" t="s">
        <v>19</v>
      </c>
      <c r="K829" s="2" t="s">
        <v>648</v>
      </c>
      <c r="L829" s="7" t="str">
        <f>HYPERLINK("http://slimages.macys.com/is/image/MCY/11634794 ")</f>
        <v xml:space="preserve">http://slimages.macys.com/is/image/MCY/11634794 </v>
      </c>
    </row>
    <row r="830" spans="1:12" ht="24.75" x14ac:dyDescent="0.25">
      <c r="A830" s="4" t="s">
        <v>3196</v>
      </c>
      <c r="B830" s="2" t="s">
        <v>1973</v>
      </c>
      <c r="C830" s="3">
        <v>1</v>
      </c>
      <c r="D830" s="5">
        <v>16.989999999999998</v>
      </c>
      <c r="E830" s="3" t="s">
        <v>1974</v>
      </c>
      <c r="F830" s="2" t="s">
        <v>15</v>
      </c>
      <c r="G830" s="6" t="s">
        <v>181</v>
      </c>
      <c r="H830" s="2" t="s">
        <v>1473</v>
      </c>
      <c r="I830" s="2" t="s">
        <v>1864</v>
      </c>
      <c r="J830" s="2" t="s">
        <v>19</v>
      </c>
      <c r="K830" s="2" t="s">
        <v>648</v>
      </c>
      <c r="L830" s="7" t="str">
        <f>HYPERLINK("http://slimages.macys.com/is/image/MCY/11634794 ")</f>
        <v xml:space="preserve">http://slimages.macys.com/is/image/MCY/11634794 </v>
      </c>
    </row>
    <row r="831" spans="1:12" ht="24.75" x14ac:dyDescent="0.25">
      <c r="A831" s="4" t="s">
        <v>5215</v>
      </c>
      <c r="B831" s="2" t="s">
        <v>1973</v>
      </c>
      <c r="C831" s="3">
        <v>2</v>
      </c>
      <c r="D831" s="5">
        <v>16.989999999999998</v>
      </c>
      <c r="E831" s="3" t="s">
        <v>1976</v>
      </c>
      <c r="F831" s="2" t="s">
        <v>70</v>
      </c>
      <c r="G831" s="6" t="s">
        <v>219</v>
      </c>
      <c r="H831" s="2" t="s">
        <v>1425</v>
      </c>
      <c r="I831" s="2" t="s">
        <v>1864</v>
      </c>
      <c r="J831" s="2" t="s">
        <v>19</v>
      </c>
      <c r="K831" s="2" t="s">
        <v>648</v>
      </c>
      <c r="L831" s="7" t="str">
        <f>HYPERLINK("http://slimages.macys.com/is/image/MCY/11634785 ")</f>
        <v xml:space="preserve">http://slimages.macys.com/is/image/MCY/11634785 </v>
      </c>
    </row>
    <row r="832" spans="1:12" ht="24.75" x14ac:dyDescent="0.25">
      <c r="A832" s="4" t="s">
        <v>3185</v>
      </c>
      <c r="B832" s="2" t="s">
        <v>1973</v>
      </c>
      <c r="C832" s="3">
        <v>1</v>
      </c>
      <c r="D832" s="5">
        <v>16.989999999999998</v>
      </c>
      <c r="E832" s="3" t="s">
        <v>1974</v>
      </c>
      <c r="F832" s="2" t="s">
        <v>998</v>
      </c>
      <c r="G832" s="6" t="s">
        <v>154</v>
      </c>
      <c r="H832" s="2" t="s">
        <v>1473</v>
      </c>
      <c r="I832" s="2" t="s">
        <v>1864</v>
      </c>
      <c r="J832" s="2" t="s">
        <v>19</v>
      </c>
      <c r="K832" s="2" t="s">
        <v>648</v>
      </c>
      <c r="L832" s="7" t="str">
        <f>HYPERLINK("http://slimages.macys.com/is/image/MCY/11634794 ")</f>
        <v xml:space="preserve">http://slimages.macys.com/is/image/MCY/11634794 </v>
      </c>
    </row>
    <row r="833" spans="1:12" ht="24.75" x14ac:dyDescent="0.25">
      <c r="A833" s="4" t="s">
        <v>3189</v>
      </c>
      <c r="B833" s="2" t="s">
        <v>1973</v>
      </c>
      <c r="C833" s="3">
        <v>1</v>
      </c>
      <c r="D833" s="5">
        <v>16.989999999999998</v>
      </c>
      <c r="E833" s="3" t="s">
        <v>1974</v>
      </c>
      <c r="F833" s="2" t="s">
        <v>74</v>
      </c>
      <c r="G833" s="6" t="s">
        <v>245</v>
      </c>
      <c r="H833" s="2" t="s">
        <v>1473</v>
      </c>
      <c r="I833" s="2" t="s">
        <v>1864</v>
      </c>
      <c r="J833" s="2" t="s">
        <v>19</v>
      </c>
      <c r="K833" s="2" t="s">
        <v>648</v>
      </c>
      <c r="L833" s="7" t="str">
        <f>HYPERLINK("http://slimages.macys.com/is/image/MCY/11634794 ")</f>
        <v xml:space="preserve">http://slimages.macys.com/is/image/MCY/11634794 </v>
      </c>
    </row>
    <row r="834" spans="1:12" ht="24.75" x14ac:dyDescent="0.25">
      <c r="A834" s="4" t="s">
        <v>1982</v>
      </c>
      <c r="B834" s="2" t="s">
        <v>1973</v>
      </c>
      <c r="C834" s="3">
        <v>2</v>
      </c>
      <c r="D834" s="5">
        <v>16.989999999999998</v>
      </c>
      <c r="E834" s="3" t="s">
        <v>1974</v>
      </c>
      <c r="F834" s="2" t="s">
        <v>74</v>
      </c>
      <c r="G834" s="6" t="s">
        <v>156</v>
      </c>
      <c r="H834" s="2" t="s">
        <v>1473</v>
      </c>
      <c r="I834" s="2" t="s">
        <v>1864</v>
      </c>
      <c r="J834" s="2" t="s">
        <v>19</v>
      </c>
      <c r="K834" s="2" t="s">
        <v>648</v>
      </c>
      <c r="L834" s="7" t="str">
        <f>HYPERLINK("http://slimages.macys.com/is/image/MCY/11634794 ")</f>
        <v xml:space="preserve">http://slimages.macys.com/is/image/MCY/11634794 </v>
      </c>
    </row>
    <row r="835" spans="1:12" ht="24.75" x14ac:dyDescent="0.25">
      <c r="A835" s="4" t="s">
        <v>4228</v>
      </c>
      <c r="B835" s="2" t="s">
        <v>1973</v>
      </c>
      <c r="C835" s="3">
        <v>1</v>
      </c>
      <c r="D835" s="5">
        <v>16.989999999999998</v>
      </c>
      <c r="E835" s="3" t="s">
        <v>1976</v>
      </c>
      <c r="F835" s="2" t="s">
        <v>70</v>
      </c>
      <c r="G835" s="6"/>
      <c r="H835" s="2" t="s">
        <v>1425</v>
      </c>
      <c r="I835" s="2" t="s">
        <v>1864</v>
      </c>
      <c r="J835" s="2" t="s">
        <v>19</v>
      </c>
      <c r="K835" s="2" t="s">
        <v>648</v>
      </c>
      <c r="L835" s="7" t="str">
        <f>HYPERLINK("http://slimages.macys.com/is/image/MCY/11634785 ")</f>
        <v xml:space="preserve">http://slimages.macys.com/is/image/MCY/11634785 </v>
      </c>
    </row>
    <row r="836" spans="1:12" ht="24.75" x14ac:dyDescent="0.25">
      <c r="A836" s="4" t="s">
        <v>1980</v>
      </c>
      <c r="B836" s="2" t="s">
        <v>1973</v>
      </c>
      <c r="C836" s="3">
        <v>1</v>
      </c>
      <c r="D836" s="5">
        <v>16.989999999999998</v>
      </c>
      <c r="E836" s="3" t="s">
        <v>1976</v>
      </c>
      <c r="F836" s="2" t="s">
        <v>15</v>
      </c>
      <c r="G836" s="6"/>
      <c r="H836" s="2" t="s">
        <v>1425</v>
      </c>
      <c r="I836" s="2" t="s">
        <v>1864</v>
      </c>
      <c r="J836" s="2" t="s">
        <v>19</v>
      </c>
      <c r="K836" s="2" t="s">
        <v>648</v>
      </c>
      <c r="L836" s="7" t="str">
        <f>HYPERLINK("http://slimages.macys.com/is/image/MCY/11634785 ")</f>
        <v xml:space="preserve">http://slimages.macys.com/is/image/MCY/11634785 </v>
      </c>
    </row>
    <row r="837" spans="1:12" ht="24.75" x14ac:dyDescent="0.25">
      <c r="A837" s="4" t="s">
        <v>9804</v>
      </c>
      <c r="B837" s="2" t="s">
        <v>1973</v>
      </c>
      <c r="C837" s="3">
        <v>1</v>
      </c>
      <c r="D837" s="5">
        <v>16.989999999999998</v>
      </c>
      <c r="E837" s="3" t="s">
        <v>1976</v>
      </c>
      <c r="F837" s="2" t="s">
        <v>1296</v>
      </c>
      <c r="G837" s="6" t="s">
        <v>219</v>
      </c>
      <c r="H837" s="2" t="s">
        <v>1425</v>
      </c>
      <c r="I837" s="2" t="s">
        <v>1864</v>
      </c>
      <c r="J837" s="2" t="s">
        <v>19</v>
      </c>
      <c r="K837" s="2" t="s">
        <v>648</v>
      </c>
      <c r="L837" s="7" t="str">
        <f>HYPERLINK("http://slimages.macys.com/is/image/MCY/11634785 ")</f>
        <v xml:space="preserve">http://slimages.macys.com/is/image/MCY/11634785 </v>
      </c>
    </row>
    <row r="838" spans="1:12" ht="24.75" x14ac:dyDescent="0.25">
      <c r="A838" s="4" t="s">
        <v>3190</v>
      </c>
      <c r="B838" s="2" t="s">
        <v>1973</v>
      </c>
      <c r="C838" s="3">
        <v>1</v>
      </c>
      <c r="D838" s="5">
        <v>16.989999999999998</v>
      </c>
      <c r="E838" s="3" t="s">
        <v>1976</v>
      </c>
      <c r="F838" s="2" t="s">
        <v>998</v>
      </c>
      <c r="G838" s="6"/>
      <c r="H838" s="2" t="s">
        <v>1425</v>
      </c>
      <c r="I838" s="2" t="s">
        <v>1864</v>
      </c>
      <c r="J838" s="2" t="s">
        <v>19</v>
      </c>
      <c r="K838" s="2" t="s">
        <v>648</v>
      </c>
      <c r="L838" s="7" t="str">
        <f>HYPERLINK("http://slimages.macys.com/is/image/MCY/11634785 ")</f>
        <v xml:space="preserve">http://slimages.macys.com/is/image/MCY/11634785 </v>
      </c>
    </row>
    <row r="839" spans="1:12" ht="24.75" x14ac:dyDescent="0.25">
      <c r="A839" s="4" t="s">
        <v>3188</v>
      </c>
      <c r="B839" s="2" t="s">
        <v>1973</v>
      </c>
      <c r="C839" s="3">
        <v>4</v>
      </c>
      <c r="D839" s="5">
        <v>16.989999999999998</v>
      </c>
      <c r="E839" s="3" t="s">
        <v>1976</v>
      </c>
      <c r="F839" s="2" t="s">
        <v>70</v>
      </c>
      <c r="G839" s="6"/>
      <c r="H839" s="2" t="s">
        <v>1425</v>
      </c>
      <c r="I839" s="2" t="s">
        <v>1864</v>
      </c>
      <c r="J839" s="2" t="s">
        <v>19</v>
      </c>
      <c r="K839" s="2" t="s">
        <v>648</v>
      </c>
      <c r="L839" s="7" t="str">
        <f>HYPERLINK("http://slimages.macys.com/is/image/MCY/11634785 ")</f>
        <v xml:space="preserve">http://slimages.macys.com/is/image/MCY/11634785 </v>
      </c>
    </row>
    <row r="840" spans="1:12" ht="24.75" x14ac:dyDescent="0.25">
      <c r="A840" s="4" t="s">
        <v>3209</v>
      </c>
      <c r="B840" s="2" t="s">
        <v>1988</v>
      </c>
      <c r="C840" s="3">
        <v>1</v>
      </c>
      <c r="D840" s="5">
        <v>14.99</v>
      </c>
      <c r="E840" s="3" t="s">
        <v>1989</v>
      </c>
      <c r="F840" s="2" t="s">
        <v>26</v>
      </c>
      <c r="G840" s="6"/>
      <c r="H840" s="2" t="s">
        <v>1425</v>
      </c>
      <c r="I840" s="2" t="s">
        <v>1426</v>
      </c>
      <c r="J840" s="2" t="s">
        <v>19</v>
      </c>
      <c r="K840" s="2" t="s">
        <v>648</v>
      </c>
      <c r="L840" s="7" t="str">
        <f>HYPERLINK("http://slimages.macys.com/is/image/MCY/11678994 ")</f>
        <v xml:space="preserve">http://slimages.macys.com/is/image/MCY/11678994 </v>
      </c>
    </row>
    <row r="841" spans="1:12" ht="24.75" x14ac:dyDescent="0.25">
      <c r="A841" s="4" t="s">
        <v>4231</v>
      </c>
      <c r="B841" s="2" t="s">
        <v>1988</v>
      </c>
      <c r="C841" s="3">
        <v>1</v>
      </c>
      <c r="D841" s="5">
        <v>14.99</v>
      </c>
      <c r="E841" s="3" t="s">
        <v>1991</v>
      </c>
      <c r="F841" s="2" t="s">
        <v>33</v>
      </c>
      <c r="G841" s="6" t="s">
        <v>156</v>
      </c>
      <c r="H841" s="2" t="s">
        <v>1473</v>
      </c>
      <c r="I841" s="2" t="s">
        <v>1426</v>
      </c>
      <c r="J841" s="2" t="s">
        <v>19</v>
      </c>
      <c r="K841" s="2" t="s">
        <v>648</v>
      </c>
      <c r="L841" s="7" t="str">
        <f>HYPERLINK("http://slimages.macys.com/is/image/MCY/12767912 ")</f>
        <v xml:space="preserve">http://slimages.macys.com/is/image/MCY/12767912 </v>
      </c>
    </row>
    <row r="842" spans="1:12" ht="24.75" x14ac:dyDescent="0.25">
      <c r="A842" s="4" t="s">
        <v>6901</v>
      </c>
      <c r="B842" s="2" t="s">
        <v>1988</v>
      </c>
      <c r="C842" s="3">
        <v>1</v>
      </c>
      <c r="D842" s="5">
        <v>14.99</v>
      </c>
      <c r="E842" s="3" t="s">
        <v>1989</v>
      </c>
      <c r="F842" s="2" t="s">
        <v>413</v>
      </c>
      <c r="G842" s="6"/>
      <c r="H842" s="2" t="s">
        <v>1425</v>
      </c>
      <c r="I842" s="2" t="s">
        <v>1426</v>
      </c>
      <c r="J842" s="2" t="s">
        <v>19</v>
      </c>
      <c r="K842" s="2" t="s">
        <v>648</v>
      </c>
      <c r="L842" s="7" t="str">
        <f>HYPERLINK("http://slimages.macys.com/is/image/MCY/11678994 ")</f>
        <v xml:space="preserve">http://slimages.macys.com/is/image/MCY/11678994 </v>
      </c>
    </row>
    <row r="843" spans="1:12" ht="24.75" x14ac:dyDescent="0.25">
      <c r="A843" s="4" t="s">
        <v>8868</v>
      </c>
      <c r="B843" s="2" t="s">
        <v>1988</v>
      </c>
      <c r="C843" s="3">
        <v>1</v>
      </c>
      <c r="D843" s="5">
        <v>14.99</v>
      </c>
      <c r="E843" s="3" t="s">
        <v>1991</v>
      </c>
      <c r="F843" s="2" t="s">
        <v>33</v>
      </c>
      <c r="G843" s="6" t="s">
        <v>234</v>
      </c>
      <c r="H843" s="2" t="s">
        <v>1473</v>
      </c>
      <c r="I843" s="2" t="s">
        <v>1426</v>
      </c>
      <c r="J843" s="2" t="s">
        <v>19</v>
      </c>
      <c r="K843" s="2" t="s">
        <v>648</v>
      </c>
      <c r="L843" s="7" t="str">
        <f>HYPERLINK("http://slimages.macys.com/is/image/MCY/12767912 ")</f>
        <v xml:space="preserve">http://slimages.macys.com/is/image/MCY/12767912 </v>
      </c>
    </row>
    <row r="844" spans="1:12" ht="24.75" x14ac:dyDescent="0.25">
      <c r="A844" s="4" t="s">
        <v>3213</v>
      </c>
      <c r="B844" s="2" t="s">
        <v>1988</v>
      </c>
      <c r="C844" s="3">
        <v>3</v>
      </c>
      <c r="D844" s="5">
        <v>14.99</v>
      </c>
      <c r="E844" s="3" t="s">
        <v>1991</v>
      </c>
      <c r="F844" s="2" t="s">
        <v>26</v>
      </c>
      <c r="G844" s="6" t="s">
        <v>154</v>
      </c>
      <c r="H844" s="2" t="s">
        <v>1473</v>
      </c>
      <c r="I844" s="2" t="s">
        <v>1426</v>
      </c>
      <c r="J844" s="2" t="s">
        <v>19</v>
      </c>
      <c r="K844" s="2" t="s">
        <v>648</v>
      </c>
      <c r="L844" s="7" t="str">
        <f>HYPERLINK("http://slimages.macys.com/is/image/MCY/12767912 ")</f>
        <v xml:space="preserve">http://slimages.macys.com/is/image/MCY/12767912 </v>
      </c>
    </row>
    <row r="845" spans="1:12" ht="24.75" x14ac:dyDescent="0.25">
      <c r="A845" s="4" t="s">
        <v>3202</v>
      </c>
      <c r="B845" s="2" t="s">
        <v>1988</v>
      </c>
      <c r="C845" s="3">
        <v>1</v>
      </c>
      <c r="D845" s="5">
        <v>14.99</v>
      </c>
      <c r="E845" s="3" t="s">
        <v>1991</v>
      </c>
      <c r="F845" s="2" t="s">
        <v>70</v>
      </c>
      <c r="G845" s="6" t="s">
        <v>154</v>
      </c>
      <c r="H845" s="2" t="s">
        <v>1473</v>
      </c>
      <c r="I845" s="2" t="s">
        <v>1426</v>
      </c>
      <c r="J845" s="2" t="s">
        <v>19</v>
      </c>
      <c r="K845" s="2" t="s">
        <v>648</v>
      </c>
      <c r="L845" s="7" t="str">
        <f>HYPERLINK("http://slimages.macys.com/is/image/MCY/12767912 ")</f>
        <v xml:space="preserve">http://slimages.macys.com/is/image/MCY/12767912 </v>
      </c>
    </row>
    <row r="846" spans="1:12" ht="24.75" x14ac:dyDescent="0.25">
      <c r="A846" s="4" t="s">
        <v>9805</v>
      </c>
      <c r="B846" s="2" t="s">
        <v>3216</v>
      </c>
      <c r="C846" s="3">
        <v>1</v>
      </c>
      <c r="D846" s="5">
        <v>21.99</v>
      </c>
      <c r="E846" s="3" t="s">
        <v>3217</v>
      </c>
      <c r="F846" s="2" t="s">
        <v>413</v>
      </c>
      <c r="G846" s="6" t="s">
        <v>200</v>
      </c>
      <c r="H846" s="2" t="s">
        <v>284</v>
      </c>
      <c r="I846" s="2" t="s">
        <v>285</v>
      </c>
      <c r="J846" s="2"/>
      <c r="K846" s="2"/>
      <c r="L846" s="7" t="str">
        <f>HYPERLINK("http://slimages.macys.com/is/image/MCY/8549196 ")</f>
        <v xml:space="preserve">http://slimages.macys.com/is/image/MCY/8549196 </v>
      </c>
    </row>
    <row r="847" spans="1:12" ht="24.75" x14ac:dyDescent="0.25">
      <c r="A847" s="4" t="s">
        <v>9806</v>
      </c>
      <c r="B847" s="2" t="s">
        <v>4245</v>
      </c>
      <c r="C847" s="3">
        <v>1</v>
      </c>
      <c r="D847" s="5">
        <v>12.99</v>
      </c>
      <c r="E847" s="3" t="s">
        <v>4246</v>
      </c>
      <c r="F847" s="2" t="s">
        <v>111</v>
      </c>
      <c r="G847" s="6" t="s">
        <v>181</v>
      </c>
      <c r="H847" s="2" t="s">
        <v>194</v>
      </c>
      <c r="I847" s="2" t="s">
        <v>195</v>
      </c>
      <c r="J847" s="2" t="s">
        <v>19</v>
      </c>
      <c r="K847" s="2" t="s">
        <v>990</v>
      </c>
      <c r="L847" s="7" t="str">
        <f>HYPERLINK("http://slimages.macys.com/is/image/MCY/11337064 ")</f>
        <v xml:space="preserve">http://slimages.macys.com/is/image/MCY/11337064 </v>
      </c>
    </row>
    <row r="848" spans="1:12" ht="24.75" x14ac:dyDescent="0.25">
      <c r="A848" s="4" t="s">
        <v>5223</v>
      </c>
      <c r="B848" s="2" t="s">
        <v>2002</v>
      </c>
      <c r="C848" s="3">
        <v>1</v>
      </c>
      <c r="D848" s="5">
        <v>12.99</v>
      </c>
      <c r="E848" s="3" t="s">
        <v>4250</v>
      </c>
      <c r="F848" s="2" t="s">
        <v>579</v>
      </c>
      <c r="G848" s="6" t="s">
        <v>181</v>
      </c>
      <c r="H848" s="2" t="s">
        <v>194</v>
      </c>
      <c r="I848" s="2" t="s">
        <v>195</v>
      </c>
      <c r="J848" s="2" t="s">
        <v>19</v>
      </c>
      <c r="K848" s="2" t="s">
        <v>990</v>
      </c>
      <c r="L848" s="7" t="str">
        <f>HYPERLINK("http://slimages.macys.com/is/image/MCY/11764453 ")</f>
        <v xml:space="preserve">http://slimages.macys.com/is/image/MCY/11764453 </v>
      </c>
    </row>
    <row r="849" spans="1:12" ht="24.75" x14ac:dyDescent="0.25">
      <c r="A849" s="4" t="s">
        <v>9807</v>
      </c>
      <c r="B849" s="2" t="s">
        <v>2002</v>
      </c>
      <c r="C849" s="3">
        <v>1</v>
      </c>
      <c r="D849" s="5">
        <v>12.99</v>
      </c>
      <c r="E849" s="3" t="s">
        <v>4252</v>
      </c>
      <c r="F849" s="2" t="s">
        <v>417</v>
      </c>
      <c r="G849" s="6" t="s">
        <v>154</v>
      </c>
      <c r="H849" s="2" t="s">
        <v>194</v>
      </c>
      <c r="I849" s="2" t="s">
        <v>195</v>
      </c>
      <c r="J849" s="2" t="s">
        <v>19</v>
      </c>
      <c r="K849" s="2" t="s">
        <v>648</v>
      </c>
      <c r="L849" s="7" t="str">
        <f>HYPERLINK("http://slimages.macys.com/is/image/MCY/12734310 ")</f>
        <v xml:space="preserve">http://slimages.macys.com/is/image/MCY/12734310 </v>
      </c>
    </row>
    <row r="850" spans="1:12" ht="24.75" x14ac:dyDescent="0.25">
      <c r="A850" s="4" t="s">
        <v>6905</v>
      </c>
      <c r="B850" s="2" t="s">
        <v>2002</v>
      </c>
      <c r="C850" s="3">
        <v>1</v>
      </c>
      <c r="D850" s="5">
        <v>12.99</v>
      </c>
      <c r="E850" s="3" t="s">
        <v>2003</v>
      </c>
      <c r="F850" s="2" t="s">
        <v>33</v>
      </c>
      <c r="G850" s="6" t="s">
        <v>234</v>
      </c>
      <c r="H850" s="2" t="s">
        <v>194</v>
      </c>
      <c r="I850" s="2" t="s">
        <v>195</v>
      </c>
      <c r="J850" s="2" t="s">
        <v>19</v>
      </c>
      <c r="K850" s="2" t="s">
        <v>107</v>
      </c>
      <c r="L850" s="7" t="str">
        <f>HYPERLINK("http://slimages.macys.com/is/image/MCY/12063874 ")</f>
        <v xml:space="preserve">http://slimages.macys.com/is/image/MCY/12063874 </v>
      </c>
    </row>
    <row r="851" spans="1:12" ht="24.75" x14ac:dyDescent="0.25">
      <c r="A851" s="4" t="s">
        <v>9808</v>
      </c>
      <c r="B851" s="2" t="s">
        <v>2002</v>
      </c>
      <c r="C851" s="3">
        <v>1</v>
      </c>
      <c r="D851" s="5">
        <v>12.99</v>
      </c>
      <c r="E851" s="3" t="s">
        <v>2003</v>
      </c>
      <c r="F851" s="2" t="s">
        <v>33</v>
      </c>
      <c r="G851" s="6" t="s">
        <v>200</v>
      </c>
      <c r="H851" s="2" t="s">
        <v>194</v>
      </c>
      <c r="I851" s="2" t="s">
        <v>195</v>
      </c>
      <c r="J851" s="2" t="s">
        <v>19</v>
      </c>
      <c r="K851" s="2" t="s">
        <v>107</v>
      </c>
      <c r="L851" s="7" t="str">
        <f>HYPERLINK("http://slimages.macys.com/is/image/MCY/12063874 ")</f>
        <v xml:space="preserve">http://slimages.macys.com/is/image/MCY/12063874 </v>
      </c>
    </row>
    <row r="852" spans="1:12" ht="24.75" x14ac:dyDescent="0.25">
      <c r="A852" s="4" t="s">
        <v>9809</v>
      </c>
      <c r="B852" s="2" t="s">
        <v>2002</v>
      </c>
      <c r="C852" s="3">
        <v>1</v>
      </c>
      <c r="D852" s="5">
        <v>12.99</v>
      </c>
      <c r="E852" s="3" t="s">
        <v>4250</v>
      </c>
      <c r="F852" s="2" t="s">
        <v>579</v>
      </c>
      <c r="G852" s="6" t="s">
        <v>156</v>
      </c>
      <c r="H852" s="2" t="s">
        <v>194</v>
      </c>
      <c r="I852" s="2" t="s">
        <v>195</v>
      </c>
      <c r="J852" s="2" t="s">
        <v>19</v>
      </c>
      <c r="K852" s="2" t="s">
        <v>990</v>
      </c>
      <c r="L852" s="7" t="str">
        <f>HYPERLINK("http://slimages.macys.com/is/image/MCY/11764453 ")</f>
        <v xml:space="preserve">http://slimages.macys.com/is/image/MCY/11764453 </v>
      </c>
    </row>
    <row r="853" spans="1:12" ht="24.75" x14ac:dyDescent="0.25">
      <c r="A853" s="4" t="s">
        <v>9810</v>
      </c>
      <c r="B853" s="2" t="s">
        <v>2002</v>
      </c>
      <c r="C853" s="3">
        <v>1</v>
      </c>
      <c r="D853" s="5">
        <v>12.99</v>
      </c>
      <c r="E853" s="3" t="s">
        <v>6192</v>
      </c>
      <c r="F853" s="2" t="s">
        <v>33</v>
      </c>
      <c r="G853" s="6" t="s">
        <v>200</v>
      </c>
      <c r="H853" s="2" t="s">
        <v>194</v>
      </c>
      <c r="I853" s="2" t="s">
        <v>195</v>
      </c>
      <c r="J853" s="2" t="s">
        <v>19</v>
      </c>
      <c r="K853" s="2" t="s">
        <v>648</v>
      </c>
      <c r="L853" s="7" t="str">
        <f>HYPERLINK("http://slimages.macys.com/is/image/MCY/11935294 ")</f>
        <v xml:space="preserve">http://slimages.macys.com/is/image/MCY/11935294 </v>
      </c>
    </row>
    <row r="854" spans="1:12" ht="24.75" x14ac:dyDescent="0.25">
      <c r="A854" s="4" t="s">
        <v>6193</v>
      </c>
      <c r="B854" s="2" t="s">
        <v>2005</v>
      </c>
      <c r="C854" s="3">
        <v>1</v>
      </c>
      <c r="D854" s="5">
        <v>14.99</v>
      </c>
      <c r="E854" s="3" t="s">
        <v>2006</v>
      </c>
      <c r="F854" s="2" t="s">
        <v>26</v>
      </c>
      <c r="G854" s="6" t="s">
        <v>181</v>
      </c>
      <c r="H854" s="2" t="s">
        <v>1522</v>
      </c>
      <c r="I854" s="2" t="s">
        <v>1469</v>
      </c>
      <c r="J854" s="2" t="s">
        <v>19</v>
      </c>
      <c r="K854" s="2" t="s">
        <v>353</v>
      </c>
      <c r="L854" s="7" t="str">
        <f t="shared" ref="L854:L872" si="10">HYPERLINK("http://slimages.macys.com/is/image/MCY/10743611 ")</f>
        <v xml:space="preserve">http://slimages.macys.com/is/image/MCY/10743611 </v>
      </c>
    </row>
    <row r="855" spans="1:12" ht="24.75" x14ac:dyDescent="0.25">
      <c r="A855" s="4" t="s">
        <v>5229</v>
      </c>
      <c r="B855" s="2" t="s">
        <v>2005</v>
      </c>
      <c r="C855" s="3">
        <v>2</v>
      </c>
      <c r="D855" s="5">
        <v>14.99</v>
      </c>
      <c r="E855" s="3" t="s">
        <v>2006</v>
      </c>
      <c r="F855" s="2" t="s">
        <v>74</v>
      </c>
      <c r="G855" s="6" t="s">
        <v>200</v>
      </c>
      <c r="H855" s="2" t="s">
        <v>1522</v>
      </c>
      <c r="I855" s="2" t="s">
        <v>1469</v>
      </c>
      <c r="J855" s="2" t="s">
        <v>19</v>
      </c>
      <c r="K855" s="2" t="s">
        <v>353</v>
      </c>
      <c r="L855" s="7" t="str">
        <f t="shared" si="10"/>
        <v xml:space="preserve">http://slimages.macys.com/is/image/MCY/10743611 </v>
      </c>
    </row>
    <row r="856" spans="1:12" ht="24.75" x14ac:dyDescent="0.25">
      <c r="A856" s="4" t="s">
        <v>2012</v>
      </c>
      <c r="B856" s="2" t="s">
        <v>2005</v>
      </c>
      <c r="C856" s="3">
        <v>2</v>
      </c>
      <c r="D856" s="5">
        <v>14.99</v>
      </c>
      <c r="E856" s="3" t="s">
        <v>2006</v>
      </c>
      <c r="F856" s="2" t="s">
        <v>15</v>
      </c>
      <c r="G856" s="6" t="s">
        <v>156</v>
      </c>
      <c r="H856" s="2" t="s">
        <v>1522</v>
      </c>
      <c r="I856" s="2" t="s">
        <v>1469</v>
      </c>
      <c r="J856" s="2" t="s">
        <v>19</v>
      </c>
      <c r="K856" s="2" t="s">
        <v>353</v>
      </c>
      <c r="L856" s="7" t="str">
        <f t="shared" si="10"/>
        <v xml:space="preserve">http://slimages.macys.com/is/image/MCY/10743611 </v>
      </c>
    </row>
    <row r="857" spans="1:12" ht="24.75" x14ac:dyDescent="0.25">
      <c r="A857" s="4" t="s">
        <v>5232</v>
      </c>
      <c r="B857" s="2" t="s">
        <v>2005</v>
      </c>
      <c r="C857" s="3">
        <v>4</v>
      </c>
      <c r="D857" s="5">
        <v>14.99</v>
      </c>
      <c r="E857" s="3" t="s">
        <v>2006</v>
      </c>
      <c r="F857" s="2" t="s">
        <v>38</v>
      </c>
      <c r="G857" s="6" t="s">
        <v>154</v>
      </c>
      <c r="H857" s="2" t="s">
        <v>1522</v>
      </c>
      <c r="I857" s="2" t="s">
        <v>1469</v>
      </c>
      <c r="J857" s="2" t="s">
        <v>19</v>
      </c>
      <c r="K857" s="2" t="s">
        <v>353</v>
      </c>
      <c r="L857" s="7" t="str">
        <f t="shared" si="10"/>
        <v xml:space="preserve">http://slimages.macys.com/is/image/MCY/10743611 </v>
      </c>
    </row>
    <row r="858" spans="1:12" ht="24.75" x14ac:dyDescent="0.25">
      <c r="A858" s="4" t="s">
        <v>9811</v>
      </c>
      <c r="B858" s="2" t="s">
        <v>2005</v>
      </c>
      <c r="C858" s="3">
        <v>1</v>
      </c>
      <c r="D858" s="5">
        <v>14.99</v>
      </c>
      <c r="E858" s="3" t="s">
        <v>2006</v>
      </c>
      <c r="F858" s="2" t="s">
        <v>38</v>
      </c>
      <c r="G858" s="6" t="s">
        <v>245</v>
      </c>
      <c r="H858" s="2" t="s">
        <v>1522</v>
      </c>
      <c r="I858" s="2" t="s">
        <v>1469</v>
      </c>
      <c r="J858" s="2" t="s">
        <v>19</v>
      </c>
      <c r="K858" s="2" t="s">
        <v>353</v>
      </c>
      <c r="L858" s="7" t="str">
        <f t="shared" si="10"/>
        <v xml:space="preserve">http://slimages.macys.com/is/image/MCY/10743611 </v>
      </c>
    </row>
    <row r="859" spans="1:12" ht="24.75" x14ac:dyDescent="0.25">
      <c r="A859" s="4" t="s">
        <v>7707</v>
      </c>
      <c r="B859" s="2" t="s">
        <v>2005</v>
      </c>
      <c r="C859" s="3">
        <v>1</v>
      </c>
      <c r="D859" s="5">
        <v>14.99</v>
      </c>
      <c r="E859" s="3" t="s">
        <v>2006</v>
      </c>
      <c r="F859" s="2" t="s">
        <v>1945</v>
      </c>
      <c r="G859" s="6" t="s">
        <v>181</v>
      </c>
      <c r="H859" s="2" t="s">
        <v>1522</v>
      </c>
      <c r="I859" s="2" t="s">
        <v>1469</v>
      </c>
      <c r="J859" s="2" t="s">
        <v>19</v>
      </c>
      <c r="K859" s="2" t="s">
        <v>353</v>
      </c>
      <c r="L859" s="7" t="str">
        <f t="shared" si="10"/>
        <v xml:space="preserve">http://slimages.macys.com/is/image/MCY/10743611 </v>
      </c>
    </row>
    <row r="860" spans="1:12" ht="24.75" x14ac:dyDescent="0.25">
      <c r="A860" s="4" t="s">
        <v>2011</v>
      </c>
      <c r="B860" s="2" t="s">
        <v>2005</v>
      </c>
      <c r="C860" s="3">
        <v>1</v>
      </c>
      <c r="D860" s="5">
        <v>14.99</v>
      </c>
      <c r="E860" s="3" t="s">
        <v>2006</v>
      </c>
      <c r="F860" s="2" t="s">
        <v>15</v>
      </c>
      <c r="G860" s="6" t="s">
        <v>245</v>
      </c>
      <c r="H860" s="2" t="s">
        <v>1522</v>
      </c>
      <c r="I860" s="2" t="s">
        <v>1469</v>
      </c>
      <c r="J860" s="2" t="s">
        <v>19</v>
      </c>
      <c r="K860" s="2" t="s">
        <v>353</v>
      </c>
      <c r="L860" s="7" t="str">
        <f t="shared" si="10"/>
        <v xml:space="preserve">http://slimages.macys.com/is/image/MCY/10743611 </v>
      </c>
    </row>
    <row r="861" spans="1:12" ht="24.75" x14ac:dyDescent="0.25">
      <c r="A861" s="4" t="s">
        <v>2004</v>
      </c>
      <c r="B861" s="2" t="s">
        <v>2005</v>
      </c>
      <c r="C861" s="3">
        <v>1</v>
      </c>
      <c r="D861" s="5">
        <v>14.99</v>
      </c>
      <c r="E861" s="3" t="s">
        <v>2006</v>
      </c>
      <c r="F861" s="2" t="s">
        <v>1945</v>
      </c>
      <c r="G861" s="6" t="s">
        <v>156</v>
      </c>
      <c r="H861" s="2" t="s">
        <v>1522</v>
      </c>
      <c r="I861" s="2" t="s">
        <v>1469</v>
      </c>
      <c r="J861" s="2" t="s">
        <v>19</v>
      </c>
      <c r="K861" s="2" t="s">
        <v>353</v>
      </c>
      <c r="L861" s="7" t="str">
        <f t="shared" si="10"/>
        <v xml:space="preserve">http://slimages.macys.com/is/image/MCY/10743611 </v>
      </c>
    </row>
    <row r="862" spans="1:12" ht="24.75" x14ac:dyDescent="0.25">
      <c r="A862" s="4" t="s">
        <v>2014</v>
      </c>
      <c r="B862" s="2" t="s">
        <v>2005</v>
      </c>
      <c r="C862" s="3">
        <v>1</v>
      </c>
      <c r="D862" s="5">
        <v>14.99</v>
      </c>
      <c r="E862" s="3" t="s">
        <v>2006</v>
      </c>
      <c r="F862" s="2" t="s">
        <v>74</v>
      </c>
      <c r="G862" s="6" t="s">
        <v>245</v>
      </c>
      <c r="H862" s="2" t="s">
        <v>1522</v>
      </c>
      <c r="I862" s="2" t="s">
        <v>1469</v>
      </c>
      <c r="J862" s="2" t="s">
        <v>19</v>
      </c>
      <c r="K862" s="2" t="s">
        <v>353</v>
      </c>
      <c r="L862" s="7" t="str">
        <f t="shared" si="10"/>
        <v xml:space="preserve">http://slimages.macys.com/is/image/MCY/10743611 </v>
      </c>
    </row>
    <row r="863" spans="1:12" ht="24.75" x14ac:dyDescent="0.25">
      <c r="A863" s="4" t="s">
        <v>6911</v>
      </c>
      <c r="B863" s="2" t="s">
        <v>2005</v>
      </c>
      <c r="C863" s="3">
        <v>2</v>
      </c>
      <c r="D863" s="5">
        <v>14.99</v>
      </c>
      <c r="E863" s="3" t="s">
        <v>2006</v>
      </c>
      <c r="F863" s="2" t="s">
        <v>1945</v>
      </c>
      <c r="G863" s="6" t="s">
        <v>245</v>
      </c>
      <c r="H863" s="2" t="s">
        <v>1522</v>
      </c>
      <c r="I863" s="2" t="s">
        <v>1469</v>
      </c>
      <c r="J863" s="2" t="s">
        <v>19</v>
      </c>
      <c r="K863" s="2" t="s">
        <v>353</v>
      </c>
      <c r="L863" s="7" t="str">
        <f t="shared" si="10"/>
        <v xml:space="preserve">http://slimages.macys.com/is/image/MCY/10743611 </v>
      </c>
    </row>
    <row r="864" spans="1:12" ht="24.75" x14ac:dyDescent="0.25">
      <c r="A864" s="4" t="s">
        <v>2007</v>
      </c>
      <c r="B864" s="2" t="s">
        <v>2005</v>
      </c>
      <c r="C864" s="3">
        <v>3</v>
      </c>
      <c r="D864" s="5">
        <v>14.99</v>
      </c>
      <c r="E864" s="3" t="s">
        <v>2006</v>
      </c>
      <c r="F864" s="2" t="s">
        <v>64</v>
      </c>
      <c r="G864" s="6" t="s">
        <v>245</v>
      </c>
      <c r="H864" s="2" t="s">
        <v>1522</v>
      </c>
      <c r="I864" s="2" t="s">
        <v>1469</v>
      </c>
      <c r="J864" s="2" t="s">
        <v>19</v>
      </c>
      <c r="K864" s="2" t="s">
        <v>353</v>
      </c>
      <c r="L864" s="7" t="str">
        <f t="shared" si="10"/>
        <v xml:space="preserve">http://slimages.macys.com/is/image/MCY/10743611 </v>
      </c>
    </row>
    <row r="865" spans="1:12" ht="24.75" x14ac:dyDescent="0.25">
      <c r="A865" s="4" t="s">
        <v>7706</v>
      </c>
      <c r="B865" s="2" t="s">
        <v>2005</v>
      </c>
      <c r="C865" s="3">
        <v>1</v>
      </c>
      <c r="D865" s="5">
        <v>14.99</v>
      </c>
      <c r="E865" s="3" t="s">
        <v>2006</v>
      </c>
      <c r="F865" s="2" t="s">
        <v>74</v>
      </c>
      <c r="G865" s="6" t="s">
        <v>181</v>
      </c>
      <c r="H865" s="2" t="s">
        <v>1522</v>
      </c>
      <c r="I865" s="2" t="s">
        <v>1469</v>
      </c>
      <c r="J865" s="2" t="s">
        <v>19</v>
      </c>
      <c r="K865" s="2" t="s">
        <v>353</v>
      </c>
      <c r="L865" s="7" t="str">
        <f t="shared" si="10"/>
        <v xml:space="preserve">http://slimages.macys.com/is/image/MCY/10743611 </v>
      </c>
    </row>
    <row r="866" spans="1:12" ht="24.75" x14ac:dyDescent="0.25">
      <c r="A866" s="4" t="s">
        <v>6910</v>
      </c>
      <c r="B866" s="2" t="s">
        <v>2005</v>
      </c>
      <c r="C866" s="3">
        <v>1</v>
      </c>
      <c r="D866" s="5">
        <v>14.99</v>
      </c>
      <c r="E866" s="3" t="s">
        <v>2006</v>
      </c>
      <c r="F866" s="2" t="s">
        <v>15</v>
      </c>
      <c r="G866" s="6" t="s">
        <v>181</v>
      </c>
      <c r="H866" s="2" t="s">
        <v>1522</v>
      </c>
      <c r="I866" s="2" t="s">
        <v>1469</v>
      </c>
      <c r="J866" s="2" t="s">
        <v>19</v>
      </c>
      <c r="K866" s="2" t="s">
        <v>353</v>
      </c>
      <c r="L866" s="7" t="str">
        <f t="shared" si="10"/>
        <v xml:space="preserve">http://slimages.macys.com/is/image/MCY/10743611 </v>
      </c>
    </row>
    <row r="867" spans="1:12" ht="24.75" x14ac:dyDescent="0.25">
      <c r="A867" s="4" t="s">
        <v>6194</v>
      </c>
      <c r="B867" s="2" t="s">
        <v>2005</v>
      </c>
      <c r="C867" s="3">
        <v>2</v>
      </c>
      <c r="D867" s="5">
        <v>14.99</v>
      </c>
      <c r="E867" s="3" t="s">
        <v>2006</v>
      </c>
      <c r="F867" s="2" t="s">
        <v>38</v>
      </c>
      <c r="G867" s="6" t="s">
        <v>181</v>
      </c>
      <c r="H867" s="2" t="s">
        <v>1522</v>
      </c>
      <c r="I867" s="2" t="s">
        <v>1469</v>
      </c>
      <c r="J867" s="2" t="s">
        <v>19</v>
      </c>
      <c r="K867" s="2" t="s">
        <v>353</v>
      </c>
      <c r="L867" s="7" t="str">
        <f t="shared" si="10"/>
        <v xml:space="preserve">http://slimages.macys.com/is/image/MCY/10743611 </v>
      </c>
    </row>
    <row r="868" spans="1:12" ht="24.75" x14ac:dyDescent="0.25">
      <c r="A868" s="4" t="s">
        <v>5228</v>
      </c>
      <c r="B868" s="2" t="s">
        <v>2005</v>
      </c>
      <c r="C868" s="3">
        <v>2</v>
      </c>
      <c r="D868" s="5">
        <v>14.99</v>
      </c>
      <c r="E868" s="3" t="s">
        <v>2006</v>
      </c>
      <c r="F868" s="2" t="s">
        <v>74</v>
      </c>
      <c r="G868" s="6" t="s">
        <v>154</v>
      </c>
      <c r="H868" s="2" t="s">
        <v>1522</v>
      </c>
      <c r="I868" s="2" t="s">
        <v>1469</v>
      </c>
      <c r="J868" s="2" t="s">
        <v>19</v>
      </c>
      <c r="K868" s="2" t="s">
        <v>353</v>
      </c>
      <c r="L868" s="7" t="str">
        <f t="shared" si="10"/>
        <v xml:space="preserve">http://slimages.macys.com/is/image/MCY/10743611 </v>
      </c>
    </row>
    <row r="869" spans="1:12" ht="24.75" x14ac:dyDescent="0.25">
      <c r="A869" s="4" t="s">
        <v>4254</v>
      </c>
      <c r="B869" s="2" t="s">
        <v>2005</v>
      </c>
      <c r="C869" s="3">
        <v>2</v>
      </c>
      <c r="D869" s="5">
        <v>14.99</v>
      </c>
      <c r="E869" s="3" t="s">
        <v>2006</v>
      </c>
      <c r="F869" s="2" t="s">
        <v>38</v>
      </c>
      <c r="G869" s="6" t="s">
        <v>234</v>
      </c>
      <c r="H869" s="2" t="s">
        <v>1522</v>
      </c>
      <c r="I869" s="2" t="s">
        <v>1469</v>
      </c>
      <c r="J869" s="2" t="s">
        <v>19</v>
      </c>
      <c r="K869" s="2" t="s">
        <v>353</v>
      </c>
      <c r="L869" s="7" t="str">
        <f t="shared" si="10"/>
        <v xml:space="preserve">http://slimages.macys.com/is/image/MCY/10743611 </v>
      </c>
    </row>
    <row r="870" spans="1:12" ht="24.75" x14ac:dyDescent="0.25">
      <c r="A870" s="4" t="s">
        <v>2008</v>
      </c>
      <c r="B870" s="2" t="s">
        <v>2005</v>
      </c>
      <c r="C870" s="3">
        <v>1</v>
      </c>
      <c r="D870" s="5">
        <v>14.99</v>
      </c>
      <c r="E870" s="3" t="s">
        <v>2006</v>
      </c>
      <c r="F870" s="2" t="s">
        <v>74</v>
      </c>
      <c r="G870" s="6" t="s">
        <v>156</v>
      </c>
      <c r="H870" s="2" t="s">
        <v>1522</v>
      </c>
      <c r="I870" s="2" t="s">
        <v>1469</v>
      </c>
      <c r="J870" s="2" t="s">
        <v>19</v>
      </c>
      <c r="K870" s="2" t="s">
        <v>353</v>
      </c>
      <c r="L870" s="7" t="str">
        <f t="shared" si="10"/>
        <v xml:space="preserve">http://slimages.macys.com/is/image/MCY/10743611 </v>
      </c>
    </row>
    <row r="871" spans="1:12" ht="24.75" x14ac:dyDescent="0.25">
      <c r="A871" s="4" t="s">
        <v>6908</v>
      </c>
      <c r="B871" s="2" t="s">
        <v>2005</v>
      </c>
      <c r="C871" s="3">
        <v>2</v>
      </c>
      <c r="D871" s="5">
        <v>14.99</v>
      </c>
      <c r="E871" s="3" t="s">
        <v>2006</v>
      </c>
      <c r="F871" s="2" t="s">
        <v>26</v>
      </c>
      <c r="G871" s="6" t="s">
        <v>154</v>
      </c>
      <c r="H871" s="2" t="s">
        <v>1522</v>
      </c>
      <c r="I871" s="2" t="s">
        <v>1469</v>
      </c>
      <c r="J871" s="2" t="s">
        <v>19</v>
      </c>
      <c r="K871" s="2" t="s">
        <v>353</v>
      </c>
      <c r="L871" s="7" t="str">
        <f t="shared" si="10"/>
        <v xml:space="preserve">http://slimages.macys.com/is/image/MCY/10743611 </v>
      </c>
    </row>
    <row r="872" spans="1:12" ht="24.75" x14ac:dyDescent="0.25">
      <c r="A872" s="4" t="s">
        <v>5230</v>
      </c>
      <c r="B872" s="2" t="s">
        <v>2005</v>
      </c>
      <c r="C872" s="3">
        <v>3</v>
      </c>
      <c r="D872" s="5">
        <v>14.99</v>
      </c>
      <c r="E872" s="3" t="s">
        <v>2006</v>
      </c>
      <c r="F872" s="2" t="s">
        <v>26</v>
      </c>
      <c r="G872" s="6" t="s">
        <v>200</v>
      </c>
      <c r="H872" s="2" t="s">
        <v>1522</v>
      </c>
      <c r="I872" s="2" t="s">
        <v>1469</v>
      </c>
      <c r="J872" s="2" t="s">
        <v>19</v>
      </c>
      <c r="K872" s="2" t="s">
        <v>353</v>
      </c>
      <c r="L872" s="7" t="str">
        <f t="shared" si="10"/>
        <v xml:space="preserve">http://slimages.macys.com/is/image/MCY/10743611 </v>
      </c>
    </row>
    <row r="873" spans="1:12" ht="24.75" x14ac:dyDescent="0.25">
      <c r="A873" s="4" t="s">
        <v>9229</v>
      </c>
      <c r="B873" s="2" t="s">
        <v>6196</v>
      </c>
      <c r="C873" s="3">
        <v>1</v>
      </c>
      <c r="D873" s="5">
        <v>14.99</v>
      </c>
      <c r="E873" s="3" t="s">
        <v>6197</v>
      </c>
      <c r="F873" s="2" t="s">
        <v>15</v>
      </c>
      <c r="G873" s="6"/>
      <c r="H873" s="2" t="s">
        <v>1425</v>
      </c>
      <c r="I873" s="2" t="s">
        <v>1469</v>
      </c>
      <c r="J873" s="2" t="s">
        <v>19</v>
      </c>
      <c r="K873" s="2" t="s">
        <v>353</v>
      </c>
      <c r="L873" s="7" t="str">
        <f>HYPERLINK("http://slimages.macys.com/is/image/MCY/10743620 ")</f>
        <v xml:space="preserve">http://slimages.macys.com/is/image/MCY/10743620 </v>
      </c>
    </row>
    <row r="874" spans="1:12" ht="24.75" x14ac:dyDescent="0.25">
      <c r="A874" s="4" t="s">
        <v>6204</v>
      </c>
      <c r="B874" s="2" t="s">
        <v>6196</v>
      </c>
      <c r="C874" s="3">
        <v>1</v>
      </c>
      <c r="D874" s="5">
        <v>14.99</v>
      </c>
      <c r="E874" s="3" t="s">
        <v>6197</v>
      </c>
      <c r="F874" s="2" t="s">
        <v>74</v>
      </c>
      <c r="G874" s="6"/>
      <c r="H874" s="2" t="s">
        <v>1425</v>
      </c>
      <c r="I874" s="2" t="s">
        <v>1469</v>
      </c>
      <c r="J874" s="2" t="s">
        <v>19</v>
      </c>
      <c r="K874" s="2" t="s">
        <v>353</v>
      </c>
      <c r="L874" s="7" t="str">
        <f>HYPERLINK("http://slimages.macys.com/is/image/MCY/10743620 ")</f>
        <v xml:space="preserve">http://slimages.macys.com/is/image/MCY/10743620 </v>
      </c>
    </row>
    <row r="875" spans="1:12" ht="24.75" x14ac:dyDescent="0.25">
      <c r="A875" s="4" t="s">
        <v>9812</v>
      </c>
      <c r="B875" s="2" t="s">
        <v>7705</v>
      </c>
      <c r="C875" s="3">
        <v>1</v>
      </c>
      <c r="D875" s="5">
        <v>14.99</v>
      </c>
      <c r="E875" s="3" t="s">
        <v>6197</v>
      </c>
      <c r="F875" s="2" t="s">
        <v>70</v>
      </c>
      <c r="G875" s="6"/>
      <c r="H875" s="2" t="s">
        <v>1425</v>
      </c>
      <c r="I875" s="2" t="s">
        <v>1469</v>
      </c>
      <c r="J875" s="2" t="s">
        <v>19</v>
      </c>
      <c r="K875" s="2" t="s">
        <v>353</v>
      </c>
      <c r="L875" s="7" t="str">
        <f>HYPERLINK("http://slimages.macys.com/is/image/MCY/10743620 ")</f>
        <v xml:space="preserve">http://slimages.macys.com/is/image/MCY/10743620 </v>
      </c>
    </row>
    <row r="876" spans="1:12" ht="24.75" x14ac:dyDescent="0.25">
      <c r="A876" s="4" t="s">
        <v>9813</v>
      </c>
      <c r="B876" s="2" t="s">
        <v>6196</v>
      </c>
      <c r="C876" s="3">
        <v>1</v>
      </c>
      <c r="D876" s="5">
        <v>14.99</v>
      </c>
      <c r="E876" s="3" t="s">
        <v>6197</v>
      </c>
      <c r="F876" s="2" t="s">
        <v>15</v>
      </c>
      <c r="G876" s="6"/>
      <c r="H876" s="2" t="s">
        <v>1425</v>
      </c>
      <c r="I876" s="2" t="s">
        <v>1469</v>
      </c>
      <c r="J876" s="2" t="s">
        <v>19</v>
      </c>
      <c r="K876" s="2" t="s">
        <v>353</v>
      </c>
      <c r="L876" s="7" t="str">
        <f>HYPERLINK("http://slimages.macys.com/is/image/MCY/10743620 ")</f>
        <v xml:space="preserve">http://slimages.macys.com/is/image/MCY/10743620 </v>
      </c>
    </row>
    <row r="877" spans="1:12" ht="24.75" x14ac:dyDescent="0.25">
      <c r="A877" s="4" t="s">
        <v>2009</v>
      </c>
      <c r="B877" s="2" t="s">
        <v>2005</v>
      </c>
      <c r="C877" s="3">
        <v>2</v>
      </c>
      <c r="D877" s="5">
        <v>14.99</v>
      </c>
      <c r="E877" s="3" t="s">
        <v>2006</v>
      </c>
      <c r="F877" s="2" t="s">
        <v>26</v>
      </c>
      <c r="G877" s="6" t="s">
        <v>156</v>
      </c>
      <c r="H877" s="2" t="s">
        <v>1522</v>
      </c>
      <c r="I877" s="2" t="s">
        <v>1469</v>
      </c>
      <c r="J877" s="2" t="s">
        <v>19</v>
      </c>
      <c r="K877" s="2" t="s">
        <v>353</v>
      </c>
      <c r="L877" s="7" t="str">
        <f>HYPERLINK("http://slimages.macys.com/is/image/MCY/10743611 ")</f>
        <v xml:space="preserve">http://slimages.macys.com/is/image/MCY/10743611 </v>
      </c>
    </row>
    <row r="878" spans="1:12" ht="24.75" x14ac:dyDescent="0.25">
      <c r="A878" s="4" t="s">
        <v>4256</v>
      </c>
      <c r="B878" s="2" t="s">
        <v>2005</v>
      </c>
      <c r="C878" s="3">
        <v>2</v>
      </c>
      <c r="D878" s="5">
        <v>14.99</v>
      </c>
      <c r="E878" s="3" t="s">
        <v>2006</v>
      </c>
      <c r="F878" s="2" t="s">
        <v>64</v>
      </c>
      <c r="G878" s="6" t="s">
        <v>181</v>
      </c>
      <c r="H878" s="2" t="s">
        <v>1522</v>
      </c>
      <c r="I878" s="2" t="s">
        <v>1469</v>
      </c>
      <c r="J878" s="2" t="s">
        <v>19</v>
      </c>
      <c r="K878" s="2" t="s">
        <v>353</v>
      </c>
      <c r="L878" s="7" t="str">
        <f>HYPERLINK("http://slimages.macys.com/is/image/MCY/10743611 ")</f>
        <v xml:space="preserve">http://slimages.macys.com/is/image/MCY/10743611 </v>
      </c>
    </row>
    <row r="879" spans="1:12" ht="24.75" x14ac:dyDescent="0.25">
      <c r="A879" s="4" t="s">
        <v>9814</v>
      </c>
      <c r="B879" s="2" t="s">
        <v>3226</v>
      </c>
      <c r="C879" s="3">
        <v>1</v>
      </c>
      <c r="D879" s="5">
        <v>12.99</v>
      </c>
      <c r="E879" s="3" t="s">
        <v>3227</v>
      </c>
      <c r="F879" s="2" t="s">
        <v>579</v>
      </c>
      <c r="G879" s="6"/>
      <c r="H879" s="2" t="s">
        <v>312</v>
      </c>
      <c r="I879" s="2" t="s">
        <v>195</v>
      </c>
      <c r="J879" s="2" t="s">
        <v>19</v>
      </c>
      <c r="K879" s="2" t="s">
        <v>648</v>
      </c>
      <c r="L879" s="7" t="str">
        <f>HYPERLINK("http://slimages.macys.com/is/image/MCY/12063878 ")</f>
        <v xml:space="preserve">http://slimages.macys.com/is/image/MCY/12063878 </v>
      </c>
    </row>
    <row r="880" spans="1:12" ht="24.75" x14ac:dyDescent="0.25">
      <c r="A880" s="4" t="s">
        <v>4263</v>
      </c>
      <c r="B880" s="2" t="s">
        <v>3226</v>
      </c>
      <c r="C880" s="3">
        <v>1</v>
      </c>
      <c r="D880" s="5">
        <v>12.99</v>
      </c>
      <c r="E880" s="3" t="s">
        <v>4259</v>
      </c>
      <c r="F880" s="2" t="s">
        <v>752</v>
      </c>
      <c r="G880" s="6"/>
      <c r="H880" s="2" t="s">
        <v>312</v>
      </c>
      <c r="I880" s="2" t="s">
        <v>195</v>
      </c>
      <c r="J880" s="2" t="s">
        <v>19</v>
      </c>
      <c r="K880" s="2" t="s">
        <v>648</v>
      </c>
      <c r="L880" s="7" t="str">
        <f>HYPERLINK("http://slimages.macys.com/is/image/MCY/11764447 ")</f>
        <v xml:space="preserve">http://slimages.macys.com/is/image/MCY/11764447 </v>
      </c>
    </row>
    <row r="881" spans="1:12" ht="24.75" x14ac:dyDescent="0.25">
      <c r="A881" s="4" t="s">
        <v>9815</v>
      </c>
      <c r="B881" s="2" t="s">
        <v>9816</v>
      </c>
      <c r="C881" s="3">
        <v>1</v>
      </c>
      <c r="D881" s="5">
        <v>11.98</v>
      </c>
      <c r="E881" s="3" t="s">
        <v>9817</v>
      </c>
      <c r="F881" s="2" t="s">
        <v>26</v>
      </c>
      <c r="G881" s="6" t="s">
        <v>245</v>
      </c>
      <c r="H881" s="2" t="s">
        <v>2029</v>
      </c>
      <c r="I881" s="2" t="s">
        <v>9818</v>
      </c>
      <c r="J881" s="2"/>
      <c r="K881" s="2"/>
      <c r="L881" s="7" t="str">
        <f>HYPERLINK("http://slimages.macys.com/is/image/MCY/8941043 ")</f>
        <v xml:space="preserve">http://slimages.macys.com/is/image/MCY/8941043 </v>
      </c>
    </row>
    <row r="882" spans="1:12" ht="24.75" x14ac:dyDescent="0.25">
      <c r="A882" s="4" t="s">
        <v>2019</v>
      </c>
      <c r="B882" s="2" t="s">
        <v>2016</v>
      </c>
      <c r="C882" s="3">
        <v>1</v>
      </c>
      <c r="D882" s="5">
        <v>12.99</v>
      </c>
      <c r="E882" s="3" t="s">
        <v>2017</v>
      </c>
      <c r="F882" s="2" t="s">
        <v>566</v>
      </c>
      <c r="G882" s="6" t="s">
        <v>234</v>
      </c>
      <c r="H882" s="2" t="s">
        <v>194</v>
      </c>
      <c r="I882" s="2" t="s">
        <v>195</v>
      </c>
      <c r="J882" s="2" t="s">
        <v>19</v>
      </c>
      <c r="K882" s="2" t="s">
        <v>648</v>
      </c>
      <c r="L882" s="7" t="str">
        <f>HYPERLINK("http://slimages.macys.com/is/image/MCY/14887463 ")</f>
        <v xml:space="preserve">http://slimages.macys.com/is/image/MCY/14887463 </v>
      </c>
    </row>
    <row r="883" spans="1:12" ht="24.75" x14ac:dyDescent="0.25">
      <c r="A883" s="4" t="s">
        <v>4274</v>
      </c>
      <c r="B883" s="2" t="s">
        <v>2021</v>
      </c>
      <c r="C883" s="3">
        <v>2</v>
      </c>
      <c r="D883" s="5">
        <v>18.38</v>
      </c>
      <c r="E883" s="3">
        <v>100018061</v>
      </c>
      <c r="F883" s="2" t="s">
        <v>15</v>
      </c>
      <c r="G883" s="6" t="s">
        <v>234</v>
      </c>
      <c r="H883" s="2" t="s">
        <v>194</v>
      </c>
      <c r="I883" s="2" t="s">
        <v>195</v>
      </c>
      <c r="J883" s="2" t="s">
        <v>19</v>
      </c>
      <c r="K883" s="2" t="s">
        <v>495</v>
      </c>
      <c r="L883" s="7" t="str">
        <f>HYPERLINK("http://slimages.macys.com/is/image/MCY/12950402 ")</f>
        <v xml:space="preserve">http://slimages.macys.com/is/image/MCY/12950402 </v>
      </c>
    </row>
    <row r="884" spans="1:12" ht="24.75" x14ac:dyDescent="0.25">
      <c r="A884" s="4" t="s">
        <v>5243</v>
      </c>
      <c r="B884" s="2" t="s">
        <v>2021</v>
      </c>
      <c r="C884" s="3">
        <v>1</v>
      </c>
      <c r="D884" s="5">
        <v>18.38</v>
      </c>
      <c r="E884" s="3">
        <v>100018061</v>
      </c>
      <c r="F884" s="2" t="s">
        <v>15</v>
      </c>
      <c r="G884" s="6" t="s">
        <v>181</v>
      </c>
      <c r="H884" s="2" t="s">
        <v>194</v>
      </c>
      <c r="I884" s="2" t="s">
        <v>195</v>
      </c>
      <c r="J884" s="2" t="s">
        <v>19</v>
      </c>
      <c r="K884" s="2" t="s">
        <v>495</v>
      </c>
      <c r="L884" s="7" t="str">
        <f>HYPERLINK("http://slimages.macys.com/is/image/MCY/12950402 ")</f>
        <v xml:space="preserve">http://slimages.macys.com/is/image/MCY/12950402 </v>
      </c>
    </row>
    <row r="885" spans="1:12" ht="24.75" x14ac:dyDescent="0.25">
      <c r="A885" s="4" t="s">
        <v>9819</v>
      </c>
      <c r="B885" s="2" t="s">
        <v>4277</v>
      </c>
      <c r="C885" s="3">
        <v>1</v>
      </c>
      <c r="D885" s="5">
        <v>12.99</v>
      </c>
      <c r="E885" s="3" t="s">
        <v>4278</v>
      </c>
      <c r="F885" s="2" t="s">
        <v>199</v>
      </c>
      <c r="G885" s="6" t="s">
        <v>156</v>
      </c>
      <c r="H885" s="2" t="s">
        <v>1473</v>
      </c>
      <c r="I885" s="2" t="s">
        <v>1426</v>
      </c>
      <c r="J885" s="2" t="s">
        <v>19</v>
      </c>
      <c r="K885" s="2" t="s">
        <v>648</v>
      </c>
      <c r="L885" s="7" t="str">
        <f>HYPERLINK("http://slimages.macys.com/is/image/MCY/9770425 ")</f>
        <v xml:space="preserve">http://slimages.macys.com/is/image/MCY/9770425 </v>
      </c>
    </row>
    <row r="886" spans="1:12" ht="24.75" x14ac:dyDescent="0.25">
      <c r="A886" s="4" t="s">
        <v>9820</v>
      </c>
      <c r="B886" s="2" t="s">
        <v>3237</v>
      </c>
      <c r="C886" s="3">
        <v>1</v>
      </c>
      <c r="D886" s="5">
        <v>9.99</v>
      </c>
      <c r="E886" s="3" t="s">
        <v>3238</v>
      </c>
      <c r="F886" s="2" t="s">
        <v>887</v>
      </c>
      <c r="G886" s="6" t="s">
        <v>181</v>
      </c>
      <c r="H886" s="2" t="s">
        <v>194</v>
      </c>
      <c r="I886" s="2" t="s">
        <v>195</v>
      </c>
      <c r="J886" s="2" t="s">
        <v>19</v>
      </c>
      <c r="K886" s="2" t="s">
        <v>247</v>
      </c>
      <c r="L886" s="7" t="str">
        <f>HYPERLINK("http://slimages.macys.com/is/image/MCY/15522855 ")</f>
        <v xml:space="preserve">http://slimages.macys.com/is/image/MCY/15522855 </v>
      </c>
    </row>
    <row r="887" spans="1:12" ht="24.75" x14ac:dyDescent="0.25">
      <c r="A887" s="4" t="s">
        <v>9821</v>
      </c>
      <c r="B887" s="2" t="s">
        <v>3237</v>
      </c>
      <c r="C887" s="3">
        <v>1</v>
      </c>
      <c r="D887" s="5">
        <v>9.99</v>
      </c>
      <c r="E887" s="3" t="s">
        <v>3238</v>
      </c>
      <c r="F887" s="2" t="s">
        <v>887</v>
      </c>
      <c r="G887" s="6" t="s">
        <v>200</v>
      </c>
      <c r="H887" s="2" t="s">
        <v>194</v>
      </c>
      <c r="I887" s="2" t="s">
        <v>195</v>
      </c>
      <c r="J887" s="2" t="s">
        <v>19</v>
      </c>
      <c r="K887" s="2" t="s">
        <v>247</v>
      </c>
      <c r="L887" s="7" t="str">
        <f>HYPERLINK("http://slimages.macys.com/is/image/MCY/15522855 ")</f>
        <v xml:space="preserve">http://slimages.macys.com/is/image/MCY/15522855 </v>
      </c>
    </row>
    <row r="888" spans="1:12" ht="24.75" x14ac:dyDescent="0.25">
      <c r="A888" s="4" t="s">
        <v>4290</v>
      </c>
      <c r="B888" s="2" t="s">
        <v>3237</v>
      </c>
      <c r="C888" s="3">
        <v>1</v>
      </c>
      <c r="D888" s="5">
        <v>9.99</v>
      </c>
      <c r="E888" s="3" t="s">
        <v>3238</v>
      </c>
      <c r="F888" s="2" t="s">
        <v>956</v>
      </c>
      <c r="G888" s="6" t="s">
        <v>181</v>
      </c>
      <c r="H888" s="2" t="s">
        <v>194</v>
      </c>
      <c r="I888" s="2" t="s">
        <v>195</v>
      </c>
      <c r="J888" s="2" t="s">
        <v>19</v>
      </c>
      <c r="K888" s="2" t="s">
        <v>247</v>
      </c>
      <c r="L888" s="7" t="str">
        <f>HYPERLINK("http://slimages.macys.com/is/image/MCY/15522855 ")</f>
        <v xml:space="preserve">http://slimages.macys.com/is/image/MCY/15522855 </v>
      </c>
    </row>
    <row r="889" spans="1:12" ht="24.75" x14ac:dyDescent="0.25">
      <c r="A889" s="4" t="s">
        <v>4297</v>
      </c>
      <c r="B889" s="2" t="s">
        <v>2045</v>
      </c>
      <c r="C889" s="3">
        <v>1</v>
      </c>
      <c r="D889" s="5">
        <v>9.99</v>
      </c>
      <c r="E889" s="3" t="s">
        <v>2046</v>
      </c>
      <c r="F889" s="2" t="s">
        <v>94</v>
      </c>
      <c r="G889" s="6" t="s">
        <v>156</v>
      </c>
      <c r="H889" s="2" t="s">
        <v>1473</v>
      </c>
      <c r="I889" s="2" t="s">
        <v>1426</v>
      </c>
      <c r="J889" s="2" t="s">
        <v>19</v>
      </c>
      <c r="K889" s="2" t="s">
        <v>495</v>
      </c>
      <c r="L889" s="7" t="str">
        <f>HYPERLINK("http://slimages.macys.com/is/image/MCY/11533691 ")</f>
        <v xml:space="preserve">http://slimages.macys.com/is/image/MCY/11533691 </v>
      </c>
    </row>
    <row r="890" spans="1:12" ht="24.75" x14ac:dyDescent="0.25">
      <c r="A890" s="4" t="s">
        <v>9822</v>
      </c>
      <c r="B890" s="2" t="s">
        <v>4302</v>
      </c>
      <c r="C890" s="3">
        <v>1</v>
      </c>
      <c r="D890" s="5">
        <v>9.99</v>
      </c>
      <c r="E890" s="3" t="s">
        <v>4303</v>
      </c>
      <c r="F890" s="2" t="s">
        <v>1322</v>
      </c>
      <c r="G890" s="6"/>
      <c r="H890" s="2" t="s">
        <v>1425</v>
      </c>
      <c r="I890" s="2" t="s">
        <v>1426</v>
      </c>
      <c r="J890" s="2" t="s">
        <v>19</v>
      </c>
      <c r="K890" s="2" t="s">
        <v>495</v>
      </c>
      <c r="L890" s="7" t="str">
        <f>HYPERLINK("http://slimages.macys.com/is/image/MCY/12267126 ")</f>
        <v xml:space="preserve">http://slimages.macys.com/is/image/MCY/12267126 </v>
      </c>
    </row>
    <row r="891" spans="1:12" ht="24.75" x14ac:dyDescent="0.25">
      <c r="A891" s="4" t="s">
        <v>9823</v>
      </c>
      <c r="B891" s="2" t="s">
        <v>6934</v>
      </c>
      <c r="C891" s="3">
        <v>1</v>
      </c>
      <c r="D891" s="5">
        <v>9.99</v>
      </c>
      <c r="E891" s="3" t="s">
        <v>6935</v>
      </c>
      <c r="F891" s="2" t="s">
        <v>79</v>
      </c>
      <c r="G891" s="6"/>
      <c r="H891" s="2" t="s">
        <v>1425</v>
      </c>
      <c r="I891" s="2" t="s">
        <v>1426</v>
      </c>
      <c r="J891" s="2" t="s">
        <v>19</v>
      </c>
      <c r="K891" s="2" t="s">
        <v>495</v>
      </c>
      <c r="L891" s="7" t="str">
        <f>HYPERLINK("http://slimages.macys.com/is/image/MCY/12144730 ")</f>
        <v xml:space="preserve">http://slimages.macys.com/is/image/MCY/12144730 </v>
      </c>
    </row>
    <row r="892" spans="1:12" ht="24.75" x14ac:dyDescent="0.25">
      <c r="A892" s="4" t="s">
        <v>4305</v>
      </c>
      <c r="B892" s="2" t="s">
        <v>2061</v>
      </c>
      <c r="C892" s="3">
        <v>1</v>
      </c>
      <c r="D892" s="5">
        <v>9.99</v>
      </c>
      <c r="E892" s="3" t="s">
        <v>4306</v>
      </c>
      <c r="F892" s="2" t="s">
        <v>413</v>
      </c>
      <c r="G892" s="6" t="s">
        <v>234</v>
      </c>
      <c r="H892" s="2" t="s">
        <v>1473</v>
      </c>
      <c r="I892" s="2" t="s">
        <v>1426</v>
      </c>
      <c r="J892" s="2" t="s">
        <v>19</v>
      </c>
      <c r="K892" s="2" t="s">
        <v>495</v>
      </c>
      <c r="L892" s="7" t="str">
        <f>HYPERLINK("http://slimages.macys.com/is/image/MCY/11915620 ")</f>
        <v xml:space="preserve">http://slimages.macys.com/is/image/MCY/11915620 </v>
      </c>
    </row>
    <row r="893" spans="1:12" ht="24.75" x14ac:dyDescent="0.25">
      <c r="A893" s="4" t="s">
        <v>9824</v>
      </c>
      <c r="B893" s="2" t="s">
        <v>6937</v>
      </c>
      <c r="C893" s="3">
        <v>1</v>
      </c>
      <c r="D893" s="5">
        <v>9.99</v>
      </c>
      <c r="E893" s="3" t="s">
        <v>6938</v>
      </c>
      <c r="F893" s="2" t="s">
        <v>33</v>
      </c>
      <c r="G893" s="6" t="s">
        <v>234</v>
      </c>
      <c r="H893" s="2" t="s">
        <v>1473</v>
      </c>
      <c r="I893" s="2" t="s">
        <v>1426</v>
      </c>
      <c r="J893" s="2" t="s">
        <v>19</v>
      </c>
      <c r="K893" s="2" t="s">
        <v>495</v>
      </c>
      <c r="L893" s="7" t="str">
        <f>HYPERLINK("http://slimages.macys.com/is/image/MCY/11882118 ")</f>
        <v xml:space="preserve">http://slimages.macys.com/is/image/MCY/11882118 </v>
      </c>
    </row>
    <row r="894" spans="1:12" ht="24.75" x14ac:dyDescent="0.25">
      <c r="A894" s="4" t="s">
        <v>9825</v>
      </c>
      <c r="B894" s="2" t="s">
        <v>7731</v>
      </c>
      <c r="C894" s="3">
        <v>1</v>
      </c>
      <c r="D894" s="5">
        <v>9.99</v>
      </c>
      <c r="E894" s="3" t="s">
        <v>7732</v>
      </c>
      <c r="F894" s="2" t="s">
        <v>26</v>
      </c>
      <c r="G894" s="6" t="s">
        <v>181</v>
      </c>
      <c r="H894" s="2" t="s">
        <v>1473</v>
      </c>
      <c r="I894" s="2" t="s">
        <v>1426</v>
      </c>
      <c r="J894" s="2" t="s">
        <v>19</v>
      </c>
      <c r="K894" s="2" t="s">
        <v>495</v>
      </c>
      <c r="L894" s="7" t="str">
        <f>HYPERLINK("http://slimages.macys.com/is/image/MCY/12072278 ")</f>
        <v xml:space="preserve">http://slimages.macys.com/is/image/MCY/12072278 </v>
      </c>
    </row>
    <row r="895" spans="1:12" ht="24.75" x14ac:dyDescent="0.25">
      <c r="A895" s="4" t="s">
        <v>8390</v>
      </c>
      <c r="B895" s="2" t="s">
        <v>6930</v>
      </c>
      <c r="C895" s="3">
        <v>1</v>
      </c>
      <c r="D895" s="5">
        <v>9.99</v>
      </c>
      <c r="E895" s="3" t="s">
        <v>6931</v>
      </c>
      <c r="F895" s="2" t="s">
        <v>15</v>
      </c>
      <c r="G895" s="6" t="s">
        <v>156</v>
      </c>
      <c r="H895" s="2" t="s">
        <v>1473</v>
      </c>
      <c r="I895" s="2" t="s">
        <v>1426</v>
      </c>
      <c r="J895" s="2" t="s">
        <v>19</v>
      </c>
      <c r="K895" s="2" t="s">
        <v>495</v>
      </c>
      <c r="L895" s="7" t="str">
        <f>HYPERLINK("http://slimages.macys.com/is/image/MCY/11269936 ")</f>
        <v xml:space="preserve">http://slimages.macys.com/is/image/MCY/11269936 </v>
      </c>
    </row>
    <row r="896" spans="1:12" ht="24.75" x14ac:dyDescent="0.25">
      <c r="A896" s="4" t="s">
        <v>2053</v>
      </c>
      <c r="B896" s="2" t="s">
        <v>2051</v>
      </c>
      <c r="C896" s="3">
        <v>1</v>
      </c>
      <c r="D896" s="5">
        <v>9.99</v>
      </c>
      <c r="E896" s="3" t="s">
        <v>2052</v>
      </c>
      <c r="F896" s="2" t="s">
        <v>26</v>
      </c>
      <c r="G896" s="6" t="s">
        <v>156</v>
      </c>
      <c r="H896" s="2" t="s">
        <v>1473</v>
      </c>
      <c r="I896" s="2" t="s">
        <v>1426</v>
      </c>
      <c r="J896" s="2" t="s">
        <v>19</v>
      </c>
      <c r="K896" s="2" t="s">
        <v>495</v>
      </c>
      <c r="L896" s="7" t="str">
        <f>HYPERLINK("http://slimages.macys.com/is/image/MCY/12267126 ")</f>
        <v xml:space="preserve">http://slimages.macys.com/is/image/MCY/12267126 </v>
      </c>
    </row>
    <row r="897" spans="1:12" ht="24.75" x14ac:dyDescent="0.25">
      <c r="A897" s="4" t="s">
        <v>9826</v>
      </c>
      <c r="B897" s="2" t="s">
        <v>2036</v>
      </c>
      <c r="C897" s="3">
        <v>1</v>
      </c>
      <c r="D897" s="5">
        <v>12.99</v>
      </c>
      <c r="E897" s="3" t="s">
        <v>2037</v>
      </c>
      <c r="F897" s="2" t="s">
        <v>566</v>
      </c>
      <c r="G897" s="6" t="s">
        <v>234</v>
      </c>
      <c r="H897" s="2" t="s">
        <v>194</v>
      </c>
      <c r="I897" s="2" t="s">
        <v>195</v>
      </c>
      <c r="J897" s="2" t="s">
        <v>19</v>
      </c>
      <c r="K897" s="2" t="s">
        <v>495</v>
      </c>
      <c r="L897" s="7" t="str">
        <f>HYPERLINK("http://slimages.macys.com/is/image/MCY/9344781 ")</f>
        <v xml:space="preserve">http://slimages.macys.com/is/image/MCY/9344781 </v>
      </c>
    </row>
    <row r="898" spans="1:12" ht="24.75" x14ac:dyDescent="0.25">
      <c r="A898" s="4" t="s">
        <v>7734</v>
      </c>
      <c r="B898" s="2" t="s">
        <v>2064</v>
      </c>
      <c r="C898" s="3">
        <v>1</v>
      </c>
      <c r="D898" s="5">
        <v>9.99</v>
      </c>
      <c r="E898" s="3" t="s">
        <v>3279</v>
      </c>
      <c r="F898" s="2" t="s">
        <v>1914</v>
      </c>
      <c r="G898" s="6" t="s">
        <v>154</v>
      </c>
      <c r="H898" s="2" t="s">
        <v>1473</v>
      </c>
      <c r="I898" s="2" t="s">
        <v>1426</v>
      </c>
      <c r="J898" s="2" t="s">
        <v>19</v>
      </c>
      <c r="K898" s="2" t="s">
        <v>990</v>
      </c>
      <c r="L898" s="7" t="str">
        <f>HYPERLINK("http://slimages.macys.com/is/image/MCY/11130625 ")</f>
        <v xml:space="preserve">http://slimages.macys.com/is/image/MCY/11130625 </v>
      </c>
    </row>
    <row r="899" spans="1:12" ht="24.75" x14ac:dyDescent="0.25">
      <c r="A899" s="4" t="s">
        <v>9827</v>
      </c>
      <c r="B899" s="2" t="s">
        <v>9240</v>
      </c>
      <c r="C899" s="3">
        <v>1</v>
      </c>
      <c r="D899" s="5">
        <v>9.99</v>
      </c>
      <c r="E899" s="3" t="s">
        <v>9241</v>
      </c>
      <c r="F899" s="2" t="s">
        <v>79</v>
      </c>
      <c r="G899" s="6" t="s">
        <v>154</v>
      </c>
      <c r="H899" s="2" t="s">
        <v>1473</v>
      </c>
      <c r="I899" s="2" t="s">
        <v>1426</v>
      </c>
      <c r="J899" s="2" t="s">
        <v>19</v>
      </c>
      <c r="K899" s="2" t="s">
        <v>648</v>
      </c>
      <c r="L899" s="7" t="str">
        <f>HYPERLINK("http://slimages.macys.com/is/image/MCY/10918744 ")</f>
        <v xml:space="preserve">http://slimages.macys.com/is/image/MCY/10918744 </v>
      </c>
    </row>
    <row r="900" spans="1:12" ht="24.75" x14ac:dyDescent="0.25">
      <c r="A900" s="4" t="s">
        <v>4323</v>
      </c>
      <c r="B900" s="2" t="s">
        <v>4321</v>
      </c>
      <c r="C900" s="3">
        <v>1</v>
      </c>
      <c r="D900" s="5">
        <v>12.99</v>
      </c>
      <c r="E900" s="3" t="s">
        <v>4322</v>
      </c>
      <c r="F900" s="2" t="s">
        <v>887</v>
      </c>
      <c r="G900" s="6"/>
      <c r="H900" s="2" t="s">
        <v>312</v>
      </c>
      <c r="I900" s="2" t="s">
        <v>195</v>
      </c>
      <c r="J900" s="2" t="s">
        <v>19</v>
      </c>
      <c r="K900" s="2" t="s">
        <v>648</v>
      </c>
      <c r="L900" s="7" t="str">
        <f>HYPERLINK("http://slimages.macys.com/is/image/MCY/8157256 ")</f>
        <v xml:space="preserve">http://slimages.macys.com/is/image/MCY/8157256 </v>
      </c>
    </row>
    <row r="901" spans="1:12" ht="24.75" x14ac:dyDescent="0.25">
      <c r="A901" s="4" t="s">
        <v>9828</v>
      </c>
      <c r="B901" s="2" t="s">
        <v>4326</v>
      </c>
      <c r="C901" s="3">
        <v>1</v>
      </c>
      <c r="D901" s="5">
        <v>9.99</v>
      </c>
      <c r="E901" s="3" t="s">
        <v>8890</v>
      </c>
      <c r="F901" s="2" t="s">
        <v>26</v>
      </c>
      <c r="G901" s="6" t="s">
        <v>219</v>
      </c>
      <c r="H901" s="2" t="s">
        <v>1425</v>
      </c>
      <c r="I901" s="2" t="s">
        <v>1426</v>
      </c>
      <c r="J901" s="2" t="s">
        <v>19</v>
      </c>
      <c r="K901" s="2" t="s">
        <v>107</v>
      </c>
      <c r="L901" s="7" t="str">
        <f>HYPERLINK("http://slimages.macys.com/is/image/MCY/10742492 ")</f>
        <v xml:space="preserve">http://slimages.macys.com/is/image/MCY/10742492 </v>
      </c>
    </row>
    <row r="902" spans="1:12" ht="24.75" x14ac:dyDescent="0.25">
      <c r="A902" s="4" t="s">
        <v>6970</v>
      </c>
      <c r="B902" s="2" t="s">
        <v>2075</v>
      </c>
      <c r="C902" s="3">
        <v>1</v>
      </c>
      <c r="D902" s="5">
        <v>9.99</v>
      </c>
      <c r="E902" s="3" t="s">
        <v>2076</v>
      </c>
      <c r="F902" s="2" t="s">
        <v>331</v>
      </c>
      <c r="G902" s="6" t="s">
        <v>234</v>
      </c>
      <c r="H902" s="2" t="s">
        <v>1473</v>
      </c>
      <c r="I902" s="2" t="s">
        <v>1426</v>
      </c>
      <c r="J902" s="2" t="s">
        <v>19</v>
      </c>
      <c r="K902" s="2" t="s">
        <v>990</v>
      </c>
      <c r="L902" s="7" t="str">
        <f t="shared" ref="L902:L923" si="11">HYPERLINK("http://slimages.macys.com/is/image/MCY/15161436 ")</f>
        <v xml:space="preserve">http://slimages.macys.com/is/image/MCY/15161436 </v>
      </c>
    </row>
    <row r="903" spans="1:12" ht="24.75" x14ac:dyDescent="0.25">
      <c r="A903" s="4" t="s">
        <v>2077</v>
      </c>
      <c r="B903" s="2" t="s">
        <v>2075</v>
      </c>
      <c r="C903" s="3">
        <v>2</v>
      </c>
      <c r="D903" s="5">
        <v>9.99</v>
      </c>
      <c r="E903" s="3" t="s">
        <v>2076</v>
      </c>
      <c r="F903" s="2" t="s">
        <v>33</v>
      </c>
      <c r="G903" s="6" t="s">
        <v>234</v>
      </c>
      <c r="H903" s="2" t="s">
        <v>1473</v>
      </c>
      <c r="I903" s="2" t="s">
        <v>1426</v>
      </c>
      <c r="J903" s="2" t="s">
        <v>19</v>
      </c>
      <c r="K903" s="2" t="s">
        <v>990</v>
      </c>
      <c r="L903" s="7" t="str">
        <f t="shared" si="11"/>
        <v xml:space="preserve">http://slimages.macys.com/is/image/MCY/15161436 </v>
      </c>
    </row>
    <row r="904" spans="1:12" ht="24.75" x14ac:dyDescent="0.25">
      <c r="A904" s="4" t="s">
        <v>3247</v>
      </c>
      <c r="B904" s="2" t="s">
        <v>2075</v>
      </c>
      <c r="C904" s="3">
        <v>3</v>
      </c>
      <c r="D904" s="5">
        <v>9.99</v>
      </c>
      <c r="E904" s="3" t="s">
        <v>2076</v>
      </c>
      <c r="F904" s="2" t="s">
        <v>417</v>
      </c>
      <c r="G904" s="6" t="s">
        <v>154</v>
      </c>
      <c r="H904" s="2" t="s">
        <v>1473</v>
      </c>
      <c r="I904" s="2" t="s">
        <v>1426</v>
      </c>
      <c r="J904" s="2" t="s">
        <v>19</v>
      </c>
      <c r="K904" s="2" t="s">
        <v>990</v>
      </c>
      <c r="L904" s="7" t="str">
        <f t="shared" si="11"/>
        <v xml:space="preserve">http://slimages.macys.com/is/image/MCY/15161436 </v>
      </c>
    </row>
    <row r="905" spans="1:12" ht="24.75" x14ac:dyDescent="0.25">
      <c r="A905" s="4" t="s">
        <v>6971</v>
      </c>
      <c r="B905" s="2" t="s">
        <v>2075</v>
      </c>
      <c r="C905" s="3">
        <v>3</v>
      </c>
      <c r="D905" s="5">
        <v>9.99</v>
      </c>
      <c r="E905" s="3" t="s">
        <v>2076</v>
      </c>
      <c r="F905" s="2" t="s">
        <v>79</v>
      </c>
      <c r="G905" s="6" t="s">
        <v>156</v>
      </c>
      <c r="H905" s="2" t="s">
        <v>1473</v>
      </c>
      <c r="I905" s="2" t="s">
        <v>1426</v>
      </c>
      <c r="J905" s="2" t="s">
        <v>19</v>
      </c>
      <c r="K905" s="2" t="s">
        <v>990</v>
      </c>
      <c r="L905" s="7" t="str">
        <f t="shared" si="11"/>
        <v xml:space="preserve">http://slimages.macys.com/is/image/MCY/15161436 </v>
      </c>
    </row>
    <row r="906" spans="1:12" ht="24.75" x14ac:dyDescent="0.25">
      <c r="A906" s="4" t="s">
        <v>6969</v>
      </c>
      <c r="B906" s="2" t="s">
        <v>2075</v>
      </c>
      <c r="C906" s="3">
        <v>2</v>
      </c>
      <c r="D906" s="5">
        <v>9.99</v>
      </c>
      <c r="E906" s="3" t="s">
        <v>2076</v>
      </c>
      <c r="F906" s="2" t="s">
        <v>33</v>
      </c>
      <c r="G906" s="6" t="s">
        <v>181</v>
      </c>
      <c r="H906" s="2" t="s">
        <v>1473</v>
      </c>
      <c r="I906" s="2" t="s">
        <v>1426</v>
      </c>
      <c r="J906" s="2" t="s">
        <v>19</v>
      </c>
      <c r="K906" s="2" t="s">
        <v>990</v>
      </c>
      <c r="L906" s="7" t="str">
        <f t="shared" si="11"/>
        <v xml:space="preserve">http://slimages.macys.com/is/image/MCY/15161436 </v>
      </c>
    </row>
    <row r="907" spans="1:12" ht="24.75" x14ac:dyDescent="0.25">
      <c r="A907" s="4" t="s">
        <v>9829</v>
      </c>
      <c r="B907" s="2" t="s">
        <v>2075</v>
      </c>
      <c r="C907" s="3">
        <v>3</v>
      </c>
      <c r="D907" s="5">
        <v>9.99</v>
      </c>
      <c r="E907" s="3" t="s">
        <v>2076</v>
      </c>
      <c r="F907" s="2" t="s">
        <v>79</v>
      </c>
      <c r="G907" s="6" t="s">
        <v>234</v>
      </c>
      <c r="H907" s="2" t="s">
        <v>1473</v>
      </c>
      <c r="I907" s="2" t="s">
        <v>1426</v>
      </c>
      <c r="J907" s="2" t="s">
        <v>19</v>
      </c>
      <c r="K907" s="2" t="s">
        <v>990</v>
      </c>
      <c r="L907" s="7" t="str">
        <f t="shared" si="11"/>
        <v xml:space="preserve">http://slimages.macys.com/is/image/MCY/15161436 </v>
      </c>
    </row>
    <row r="908" spans="1:12" ht="24.75" x14ac:dyDescent="0.25">
      <c r="A908" s="4" t="s">
        <v>7741</v>
      </c>
      <c r="B908" s="2" t="s">
        <v>2075</v>
      </c>
      <c r="C908" s="3">
        <v>3</v>
      </c>
      <c r="D908" s="5">
        <v>9.99</v>
      </c>
      <c r="E908" s="3" t="s">
        <v>2076</v>
      </c>
      <c r="F908" s="2" t="s">
        <v>74</v>
      </c>
      <c r="G908" s="6" t="s">
        <v>154</v>
      </c>
      <c r="H908" s="2" t="s">
        <v>1473</v>
      </c>
      <c r="I908" s="2" t="s">
        <v>1426</v>
      </c>
      <c r="J908" s="2" t="s">
        <v>19</v>
      </c>
      <c r="K908" s="2" t="s">
        <v>990</v>
      </c>
      <c r="L908" s="7" t="str">
        <f t="shared" si="11"/>
        <v xml:space="preserve">http://slimages.macys.com/is/image/MCY/15161436 </v>
      </c>
    </row>
    <row r="909" spans="1:12" ht="24.75" x14ac:dyDescent="0.25">
      <c r="A909" s="4" t="s">
        <v>9830</v>
      </c>
      <c r="B909" s="2" t="s">
        <v>2075</v>
      </c>
      <c r="C909" s="3">
        <v>1</v>
      </c>
      <c r="D909" s="5">
        <v>9.99</v>
      </c>
      <c r="E909" s="3" t="s">
        <v>2076</v>
      </c>
      <c r="F909" s="2" t="s">
        <v>79</v>
      </c>
      <c r="G909" s="6" t="s">
        <v>181</v>
      </c>
      <c r="H909" s="2" t="s">
        <v>1473</v>
      </c>
      <c r="I909" s="2" t="s">
        <v>1426</v>
      </c>
      <c r="J909" s="2" t="s">
        <v>19</v>
      </c>
      <c r="K909" s="2" t="s">
        <v>990</v>
      </c>
      <c r="L909" s="7" t="str">
        <f t="shared" si="11"/>
        <v xml:space="preserve">http://slimages.macys.com/is/image/MCY/15161436 </v>
      </c>
    </row>
    <row r="910" spans="1:12" ht="24.75" x14ac:dyDescent="0.25">
      <c r="A910" s="4" t="s">
        <v>8399</v>
      </c>
      <c r="B910" s="2" t="s">
        <v>2075</v>
      </c>
      <c r="C910" s="3">
        <v>3</v>
      </c>
      <c r="D910" s="5">
        <v>9.99</v>
      </c>
      <c r="E910" s="3" t="s">
        <v>2076</v>
      </c>
      <c r="F910" s="2" t="s">
        <v>79</v>
      </c>
      <c r="G910" s="6" t="s">
        <v>154</v>
      </c>
      <c r="H910" s="2" t="s">
        <v>1473</v>
      </c>
      <c r="I910" s="2" t="s">
        <v>1426</v>
      </c>
      <c r="J910" s="2" t="s">
        <v>19</v>
      </c>
      <c r="K910" s="2" t="s">
        <v>990</v>
      </c>
      <c r="L910" s="7" t="str">
        <f t="shared" si="11"/>
        <v xml:space="preserve">http://slimages.macys.com/is/image/MCY/15161436 </v>
      </c>
    </row>
    <row r="911" spans="1:12" ht="24.75" x14ac:dyDescent="0.25">
      <c r="A911" s="4" t="s">
        <v>7742</v>
      </c>
      <c r="B911" s="2" t="s">
        <v>2075</v>
      </c>
      <c r="C911" s="3">
        <v>4</v>
      </c>
      <c r="D911" s="5">
        <v>9.99</v>
      </c>
      <c r="E911" s="3" t="s">
        <v>2076</v>
      </c>
      <c r="F911" s="2" t="s">
        <v>74</v>
      </c>
      <c r="G911" s="6" t="s">
        <v>181</v>
      </c>
      <c r="H911" s="2" t="s">
        <v>1473</v>
      </c>
      <c r="I911" s="2" t="s">
        <v>1426</v>
      </c>
      <c r="J911" s="2" t="s">
        <v>19</v>
      </c>
      <c r="K911" s="2" t="s">
        <v>990</v>
      </c>
      <c r="L911" s="7" t="str">
        <f t="shared" si="11"/>
        <v xml:space="preserve">http://slimages.macys.com/is/image/MCY/15161436 </v>
      </c>
    </row>
    <row r="912" spans="1:12" ht="24.75" x14ac:dyDescent="0.25">
      <c r="A912" s="4" t="s">
        <v>5296</v>
      </c>
      <c r="B912" s="2" t="s">
        <v>2075</v>
      </c>
      <c r="C912" s="3">
        <v>4</v>
      </c>
      <c r="D912" s="5">
        <v>9.99</v>
      </c>
      <c r="E912" s="3" t="s">
        <v>2076</v>
      </c>
      <c r="F912" s="2" t="s">
        <v>413</v>
      </c>
      <c r="G912" s="6" t="s">
        <v>156</v>
      </c>
      <c r="H912" s="2" t="s">
        <v>1473</v>
      </c>
      <c r="I912" s="2" t="s">
        <v>1426</v>
      </c>
      <c r="J912" s="2" t="s">
        <v>19</v>
      </c>
      <c r="K912" s="2" t="s">
        <v>990</v>
      </c>
      <c r="L912" s="7" t="str">
        <f t="shared" si="11"/>
        <v xml:space="preserve">http://slimages.macys.com/is/image/MCY/15161436 </v>
      </c>
    </row>
    <row r="913" spans="1:12" ht="24.75" x14ac:dyDescent="0.25">
      <c r="A913" s="4" t="s">
        <v>7736</v>
      </c>
      <c r="B913" s="2" t="s">
        <v>2075</v>
      </c>
      <c r="C913" s="3">
        <v>1</v>
      </c>
      <c r="D913" s="5">
        <v>9.99</v>
      </c>
      <c r="E913" s="3" t="s">
        <v>2076</v>
      </c>
      <c r="F913" s="2" t="s">
        <v>33</v>
      </c>
      <c r="G913" s="6" t="s">
        <v>154</v>
      </c>
      <c r="H913" s="2" t="s">
        <v>1473</v>
      </c>
      <c r="I913" s="2" t="s">
        <v>1426</v>
      </c>
      <c r="J913" s="2" t="s">
        <v>19</v>
      </c>
      <c r="K913" s="2" t="s">
        <v>990</v>
      </c>
      <c r="L913" s="7" t="str">
        <f t="shared" si="11"/>
        <v xml:space="preserve">http://slimages.macys.com/is/image/MCY/15161436 </v>
      </c>
    </row>
    <row r="914" spans="1:12" ht="24.75" x14ac:dyDescent="0.25">
      <c r="A914" s="4" t="s">
        <v>9831</v>
      </c>
      <c r="B914" s="2" t="s">
        <v>2075</v>
      </c>
      <c r="C914" s="3">
        <v>1</v>
      </c>
      <c r="D914" s="5">
        <v>9.99</v>
      </c>
      <c r="E914" s="3" t="s">
        <v>2076</v>
      </c>
      <c r="F914" s="2" t="s">
        <v>79</v>
      </c>
      <c r="G914" s="6" t="s">
        <v>200</v>
      </c>
      <c r="H914" s="2" t="s">
        <v>1473</v>
      </c>
      <c r="I914" s="2" t="s">
        <v>1426</v>
      </c>
      <c r="J914" s="2" t="s">
        <v>19</v>
      </c>
      <c r="K914" s="2" t="s">
        <v>990</v>
      </c>
      <c r="L914" s="7" t="str">
        <f t="shared" si="11"/>
        <v xml:space="preserve">http://slimages.macys.com/is/image/MCY/15161436 </v>
      </c>
    </row>
    <row r="915" spans="1:12" ht="24.75" x14ac:dyDescent="0.25">
      <c r="A915" s="4" t="s">
        <v>9832</v>
      </c>
      <c r="B915" s="2" t="s">
        <v>2075</v>
      </c>
      <c r="C915" s="3">
        <v>1</v>
      </c>
      <c r="D915" s="5">
        <v>9.99</v>
      </c>
      <c r="E915" s="3" t="s">
        <v>2076</v>
      </c>
      <c r="F915" s="2" t="s">
        <v>74</v>
      </c>
      <c r="G915" s="6" t="s">
        <v>156</v>
      </c>
      <c r="H915" s="2" t="s">
        <v>1473</v>
      </c>
      <c r="I915" s="2" t="s">
        <v>1426</v>
      </c>
      <c r="J915" s="2" t="s">
        <v>19</v>
      </c>
      <c r="K915" s="2" t="s">
        <v>990</v>
      </c>
      <c r="L915" s="7" t="str">
        <f t="shared" si="11"/>
        <v xml:space="preserve">http://slimages.macys.com/is/image/MCY/15161436 </v>
      </c>
    </row>
    <row r="916" spans="1:12" ht="24.75" x14ac:dyDescent="0.25">
      <c r="A916" s="4" t="s">
        <v>4333</v>
      </c>
      <c r="B916" s="2" t="s">
        <v>2075</v>
      </c>
      <c r="C916" s="3">
        <v>2</v>
      </c>
      <c r="D916" s="5">
        <v>9.99</v>
      </c>
      <c r="E916" s="3" t="s">
        <v>2076</v>
      </c>
      <c r="F916" s="2" t="s">
        <v>74</v>
      </c>
      <c r="G916" s="6" t="s">
        <v>234</v>
      </c>
      <c r="H916" s="2" t="s">
        <v>1473</v>
      </c>
      <c r="I916" s="2" t="s">
        <v>1426</v>
      </c>
      <c r="J916" s="2" t="s">
        <v>19</v>
      </c>
      <c r="K916" s="2" t="s">
        <v>990</v>
      </c>
      <c r="L916" s="7" t="str">
        <f t="shared" si="11"/>
        <v xml:space="preserve">http://slimages.macys.com/is/image/MCY/15161436 </v>
      </c>
    </row>
    <row r="917" spans="1:12" ht="24.75" x14ac:dyDescent="0.25">
      <c r="A917" s="4" t="s">
        <v>6237</v>
      </c>
      <c r="B917" s="2" t="s">
        <v>2075</v>
      </c>
      <c r="C917" s="3">
        <v>6</v>
      </c>
      <c r="D917" s="5">
        <v>9.99</v>
      </c>
      <c r="E917" s="3" t="s">
        <v>2076</v>
      </c>
      <c r="F917" s="2" t="s">
        <v>413</v>
      </c>
      <c r="G917" s="6" t="s">
        <v>234</v>
      </c>
      <c r="H917" s="2" t="s">
        <v>1473</v>
      </c>
      <c r="I917" s="2" t="s">
        <v>1426</v>
      </c>
      <c r="J917" s="2" t="s">
        <v>19</v>
      </c>
      <c r="K917" s="2" t="s">
        <v>990</v>
      </c>
      <c r="L917" s="7" t="str">
        <f t="shared" si="11"/>
        <v xml:space="preserve">http://slimages.macys.com/is/image/MCY/15161436 </v>
      </c>
    </row>
    <row r="918" spans="1:12" ht="24.75" x14ac:dyDescent="0.25">
      <c r="A918" s="4" t="s">
        <v>8395</v>
      </c>
      <c r="B918" s="2" t="s">
        <v>2075</v>
      </c>
      <c r="C918" s="3">
        <v>1</v>
      </c>
      <c r="D918" s="5">
        <v>9.99</v>
      </c>
      <c r="E918" s="3" t="s">
        <v>2076</v>
      </c>
      <c r="F918" s="2" t="s">
        <v>417</v>
      </c>
      <c r="G918" s="6" t="s">
        <v>234</v>
      </c>
      <c r="H918" s="2" t="s">
        <v>1473</v>
      </c>
      <c r="I918" s="2" t="s">
        <v>1426</v>
      </c>
      <c r="J918" s="2" t="s">
        <v>19</v>
      </c>
      <c r="K918" s="2" t="s">
        <v>990</v>
      </c>
      <c r="L918" s="7" t="str">
        <f t="shared" si="11"/>
        <v xml:space="preserve">http://slimages.macys.com/is/image/MCY/15161436 </v>
      </c>
    </row>
    <row r="919" spans="1:12" ht="24.75" x14ac:dyDescent="0.25">
      <c r="A919" s="4" t="s">
        <v>9833</v>
      </c>
      <c r="B919" s="2" t="s">
        <v>2075</v>
      </c>
      <c r="C919" s="3">
        <v>1</v>
      </c>
      <c r="D919" s="5">
        <v>9.99</v>
      </c>
      <c r="E919" s="3" t="s">
        <v>2076</v>
      </c>
      <c r="F919" s="2" t="s">
        <v>3267</v>
      </c>
      <c r="G919" s="6" t="s">
        <v>234</v>
      </c>
      <c r="H919" s="2" t="s">
        <v>1473</v>
      </c>
      <c r="I919" s="2" t="s">
        <v>1426</v>
      </c>
      <c r="J919" s="2" t="s">
        <v>19</v>
      </c>
      <c r="K919" s="2" t="s">
        <v>990</v>
      </c>
      <c r="L919" s="7" t="str">
        <f t="shared" si="11"/>
        <v xml:space="preserve">http://slimages.macys.com/is/image/MCY/15161436 </v>
      </c>
    </row>
    <row r="920" spans="1:12" ht="24.75" x14ac:dyDescent="0.25">
      <c r="A920" s="4" t="s">
        <v>9834</v>
      </c>
      <c r="B920" s="2" t="s">
        <v>2075</v>
      </c>
      <c r="C920" s="3">
        <v>1</v>
      </c>
      <c r="D920" s="5">
        <v>9.99</v>
      </c>
      <c r="E920" s="3" t="s">
        <v>2076</v>
      </c>
      <c r="F920" s="2" t="s">
        <v>3267</v>
      </c>
      <c r="G920" s="6" t="s">
        <v>245</v>
      </c>
      <c r="H920" s="2" t="s">
        <v>1473</v>
      </c>
      <c r="I920" s="2" t="s">
        <v>1426</v>
      </c>
      <c r="J920" s="2" t="s">
        <v>19</v>
      </c>
      <c r="K920" s="2" t="s">
        <v>990</v>
      </c>
      <c r="L920" s="7" t="str">
        <f t="shared" si="11"/>
        <v xml:space="preserve">http://slimages.macys.com/is/image/MCY/15161436 </v>
      </c>
    </row>
    <row r="921" spans="1:12" ht="24.75" x14ac:dyDescent="0.25">
      <c r="A921" s="4" t="s">
        <v>8397</v>
      </c>
      <c r="B921" s="2" t="s">
        <v>2075</v>
      </c>
      <c r="C921" s="3">
        <v>1</v>
      </c>
      <c r="D921" s="5">
        <v>9.99</v>
      </c>
      <c r="E921" s="3" t="s">
        <v>2076</v>
      </c>
      <c r="F921" s="2" t="s">
        <v>74</v>
      </c>
      <c r="G921" s="6" t="s">
        <v>200</v>
      </c>
      <c r="H921" s="2" t="s">
        <v>1473</v>
      </c>
      <c r="I921" s="2" t="s">
        <v>1426</v>
      </c>
      <c r="J921" s="2" t="s">
        <v>19</v>
      </c>
      <c r="K921" s="2" t="s">
        <v>990</v>
      </c>
      <c r="L921" s="7" t="str">
        <f t="shared" si="11"/>
        <v xml:space="preserve">http://slimages.macys.com/is/image/MCY/15161436 </v>
      </c>
    </row>
    <row r="922" spans="1:12" ht="24.75" x14ac:dyDescent="0.25">
      <c r="A922" s="4" t="s">
        <v>9835</v>
      </c>
      <c r="B922" s="2" t="s">
        <v>2075</v>
      </c>
      <c r="C922" s="3">
        <v>1</v>
      </c>
      <c r="D922" s="5">
        <v>9.99</v>
      </c>
      <c r="E922" s="3" t="s">
        <v>2076</v>
      </c>
      <c r="F922" s="2" t="s">
        <v>417</v>
      </c>
      <c r="G922" s="6" t="s">
        <v>156</v>
      </c>
      <c r="H922" s="2" t="s">
        <v>1473</v>
      </c>
      <c r="I922" s="2" t="s">
        <v>1426</v>
      </c>
      <c r="J922" s="2" t="s">
        <v>19</v>
      </c>
      <c r="K922" s="2" t="s">
        <v>990</v>
      </c>
      <c r="L922" s="7" t="str">
        <f t="shared" si="11"/>
        <v xml:space="preserve">http://slimages.macys.com/is/image/MCY/15161436 </v>
      </c>
    </row>
    <row r="923" spans="1:12" ht="24.75" x14ac:dyDescent="0.25">
      <c r="A923" s="4" t="s">
        <v>7739</v>
      </c>
      <c r="B923" s="2" t="s">
        <v>2075</v>
      </c>
      <c r="C923" s="3">
        <v>4</v>
      </c>
      <c r="D923" s="5">
        <v>9.99</v>
      </c>
      <c r="E923" s="3" t="s">
        <v>2076</v>
      </c>
      <c r="F923" s="2" t="s">
        <v>417</v>
      </c>
      <c r="G923" s="6" t="s">
        <v>181</v>
      </c>
      <c r="H923" s="2" t="s">
        <v>1473</v>
      </c>
      <c r="I923" s="2" t="s">
        <v>1426</v>
      </c>
      <c r="J923" s="2" t="s">
        <v>19</v>
      </c>
      <c r="K923" s="2" t="s">
        <v>990</v>
      </c>
      <c r="L923" s="7" t="str">
        <f t="shared" si="11"/>
        <v xml:space="preserve">http://slimages.macys.com/is/image/MCY/15161436 </v>
      </c>
    </row>
    <row r="924" spans="1:12" ht="24.75" x14ac:dyDescent="0.25">
      <c r="A924" s="4" t="s">
        <v>9836</v>
      </c>
      <c r="B924" s="2" t="s">
        <v>2083</v>
      </c>
      <c r="C924" s="3">
        <v>1</v>
      </c>
      <c r="D924" s="5">
        <v>9.99</v>
      </c>
      <c r="E924" s="3" t="s">
        <v>3251</v>
      </c>
      <c r="F924" s="2" t="s">
        <v>413</v>
      </c>
      <c r="G924" s="6"/>
      <c r="H924" s="2" t="s">
        <v>1425</v>
      </c>
      <c r="I924" s="2" t="s">
        <v>1426</v>
      </c>
      <c r="J924" s="2" t="s">
        <v>19</v>
      </c>
      <c r="K924" s="2" t="s">
        <v>648</v>
      </c>
      <c r="L924" s="7" t="str">
        <f>HYPERLINK("http://slimages.macys.com/is/image/MCY/12315459 ")</f>
        <v xml:space="preserve">http://slimages.macys.com/is/image/MCY/12315459 </v>
      </c>
    </row>
    <row r="925" spans="1:12" ht="24.75" x14ac:dyDescent="0.25">
      <c r="A925" s="4" t="s">
        <v>9837</v>
      </c>
      <c r="B925" s="2" t="s">
        <v>2087</v>
      </c>
      <c r="C925" s="3">
        <v>1</v>
      </c>
      <c r="D925" s="5">
        <v>9.99</v>
      </c>
      <c r="E925" s="3" t="s">
        <v>2088</v>
      </c>
      <c r="F925" s="2" t="s">
        <v>15</v>
      </c>
      <c r="G925" s="6" t="s">
        <v>234</v>
      </c>
      <c r="H925" s="2" t="s">
        <v>1473</v>
      </c>
      <c r="I925" s="2" t="s">
        <v>1426</v>
      </c>
      <c r="J925" s="2" t="s">
        <v>19</v>
      </c>
      <c r="K925" s="2" t="s">
        <v>648</v>
      </c>
      <c r="L925" s="7" t="str">
        <f>HYPERLINK("http://slimages.macys.com/is/image/MCY/3559834 ")</f>
        <v xml:space="preserve">http://slimages.macys.com/is/image/MCY/3559834 </v>
      </c>
    </row>
    <row r="926" spans="1:12" ht="24.75" x14ac:dyDescent="0.25">
      <c r="A926" s="4" t="s">
        <v>9838</v>
      </c>
      <c r="B926" s="2" t="s">
        <v>4347</v>
      </c>
      <c r="C926" s="3">
        <v>1</v>
      </c>
      <c r="D926" s="5">
        <v>9.98</v>
      </c>
      <c r="E926" s="3" t="s">
        <v>4348</v>
      </c>
      <c r="F926" s="2" t="s">
        <v>64</v>
      </c>
      <c r="G926" s="6" t="s">
        <v>245</v>
      </c>
      <c r="H926" s="2" t="s">
        <v>1473</v>
      </c>
      <c r="I926" s="2" t="s">
        <v>1426</v>
      </c>
      <c r="J926" s="2" t="s">
        <v>19</v>
      </c>
      <c r="K926" s="2" t="s">
        <v>648</v>
      </c>
      <c r="L926" s="7" t="str">
        <f>HYPERLINK("http://slimages.macys.com/is/image/MCY/3559834 ")</f>
        <v xml:space="preserve">http://slimages.macys.com/is/image/MCY/3559834 </v>
      </c>
    </row>
    <row r="927" spans="1:12" ht="24.75" x14ac:dyDescent="0.25">
      <c r="A927" s="4" t="s">
        <v>9839</v>
      </c>
      <c r="B927" s="2" t="s">
        <v>9840</v>
      </c>
      <c r="C927" s="3">
        <v>1</v>
      </c>
      <c r="D927" s="5">
        <v>9.99</v>
      </c>
      <c r="E927" s="3" t="s">
        <v>9841</v>
      </c>
      <c r="F927" s="2" t="s">
        <v>74</v>
      </c>
      <c r="G927" s="6"/>
      <c r="H927" s="2" t="s">
        <v>1425</v>
      </c>
      <c r="I927" s="2" t="s">
        <v>1426</v>
      </c>
      <c r="J927" s="2" t="s">
        <v>19</v>
      </c>
      <c r="K927" s="2" t="s">
        <v>495</v>
      </c>
      <c r="L927" s="7" t="str">
        <f>HYPERLINK("http://slimages.macys.com/is/image/MCY/11633098 ")</f>
        <v xml:space="preserve">http://slimages.macys.com/is/image/MCY/11633098 </v>
      </c>
    </row>
    <row r="928" spans="1:12" ht="24.75" x14ac:dyDescent="0.25">
      <c r="A928" s="4" t="s">
        <v>9842</v>
      </c>
      <c r="B928" s="2" t="s">
        <v>6986</v>
      </c>
      <c r="C928" s="3">
        <v>1</v>
      </c>
      <c r="D928" s="5">
        <v>9.99</v>
      </c>
      <c r="E928" s="3" t="s">
        <v>6987</v>
      </c>
      <c r="F928" s="2" t="s">
        <v>331</v>
      </c>
      <c r="G928" s="6" t="s">
        <v>234</v>
      </c>
      <c r="H928" s="2" t="s">
        <v>1473</v>
      </c>
      <c r="I928" s="2" t="s">
        <v>1426</v>
      </c>
      <c r="J928" s="2" t="s">
        <v>19</v>
      </c>
      <c r="K928" s="2" t="s">
        <v>495</v>
      </c>
      <c r="L928" s="7" t="str">
        <f>HYPERLINK("http://slimages.macys.com/is/image/MCY/12327069 ")</f>
        <v xml:space="preserve">http://slimages.macys.com/is/image/MCY/12327069 </v>
      </c>
    </row>
    <row r="929" spans="1:12" ht="24.75" x14ac:dyDescent="0.25">
      <c r="A929" s="4" t="s">
        <v>6250</v>
      </c>
      <c r="B929" s="2" t="s">
        <v>2090</v>
      </c>
      <c r="C929" s="3">
        <v>1</v>
      </c>
      <c r="D929" s="5">
        <v>9.99</v>
      </c>
      <c r="E929" s="3" t="s">
        <v>2091</v>
      </c>
      <c r="F929" s="2" t="s">
        <v>94</v>
      </c>
      <c r="G929" s="6" t="s">
        <v>181</v>
      </c>
      <c r="H929" s="2" t="s">
        <v>1473</v>
      </c>
      <c r="I929" s="2" t="s">
        <v>1426</v>
      </c>
      <c r="J929" s="2" t="s">
        <v>19</v>
      </c>
      <c r="K929" s="2" t="s">
        <v>495</v>
      </c>
      <c r="L929" s="7" t="str">
        <f>HYPERLINK("http://slimages.macys.com/is/image/MCY/11531541 ")</f>
        <v xml:space="preserve">http://slimages.macys.com/is/image/MCY/11531541 </v>
      </c>
    </row>
    <row r="930" spans="1:12" ht="24.75" x14ac:dyDescent="0.25">
      <c r="A930" s="4" t="s">
        <v>9843</v>
      </c>
      <c r="B930" s="2" t="s">
        <v>6248</v>
      </c>
      <c r="C930" s="3">
        <v>1</v>
      </c>
      <c r="D930" s="5">
        <v>9.99</v>
      </c>
      <c r="E930" s="3" t="s">
        <v>6249</v>
      </c>
      <c r="F930" s="2" t="s">
        <v>417</v>
      </c>
      <c r="G930" s="6" t="s">
        <v>181</v>
      </c>
      <c r="H930" s="2" t="s">
        <v>1473</v>
      </c>
      <c r="I930" s="2" t="s">
        <v>1426</v>
      </c>
      <c r="J930" s="2" t="s">
        <v>19</v>
      </c>
      <c r="K930" s="2" t="s">
        <v>495</v>
      </c>
      <c r="L930" s="7" t="str">
        <f>HYPERLINK("http://slimages.macys.com/is/image/MCY/11517436 ")</f>
        <v xml:space="preserve">http://slimages.macys.com/is/image/MCY/11517436 </v>
      </c>
    </row>
    <row r="931" spans="1:12" ht="24.75" x14ac:dyDescent="0.25">
      <c r="A931" s="4" t="s">
        <v>5309</v>
      </c>
      <c r="B931" s="2" t="s">
        <v>2090</v>
      </c>
      <c r="C931" s="3">
        <v>3</v>
      </c>
      <c r="D931" s="5">
        <v>9.99</v>
      </c>
      <c r="E931" s="3" t="s">
        <v>2091</v>
      </c>
      <c r="F931" s="2" t="s">
        <v>94</v>
      </c>
      <c r="G931" s="6" t="s">
        <v>156</v>
      </c>
      <c r="H931" s="2" t="s">
        <v>1473</v>
      </c>
      <c r="I931" s="2" t="s">
        <v>1426</v>
      </c>
      <c r="J931" s="2" t="s">
        <v>19</v>
      </c>
      <c r="K931" s="2" t="s">
        <v>495</v>
      </c>
      <c r="L931" s="7" t="str">
        <f>HYPERLINK("http://slimages.macys.com/is/image/MCY/11531541 ")</f>
        <v xml:space="preserve">http://slimages.macys.com/is/image/MCY/11531541 </v>
      </c>
    </row>
    <row r="932" spans="1:12" ht="24.75" x14ac:dyDescent="0.25">
      <c r="A932" s="4" t="s">
        <v>8403</v>
      </c>
      <c r="B932" s="2" t="s">
        <v>8404</v>
      </c>
      <c r="C932" s="3">
        <v>2</v>
      </c>
      <c r="D932" s="5">
        <v>9.99</v>
      </c>
      <c r="E932" s="3" t="s">
        <v>8405</v>
      </c>
      <c r="F932" s="2" t="s">
        <v>26</v>
      </c>
      <c r="G932" s="6" t="s">
        <v>156</v>
      </c>
      <c r="H932" s="2" t="s">
        <v>1473</v>
      </c>
      <c r="I932" s="2" t="s">
        <v>1426</v>
      </c>
      <c r="J932" s="2" t="s">
        <v>19</v>
      </c>
      <c r="K932" s="2" t="s">
        <v>495</v>
      </c>
      <c r="L932" s="7" t="str">
        <f>HYPERLINK("http://slimages.macys.com/is/image/MCY/11884631 ")</f>
        <v xml:space="preserve">http://slimages.macys.com/is/image/MCY/11884631 </v>
      </c>
    </row>
    <row r="933" spans="1:12" ht="24.75" x14ac:dyDescent="0.25">
      <c r="A933" s="4" t="s">
        <v>9844</v>
      </c>
      <c r="B933" s="2" t="s">
        <v>8404</v>
      </c>
      <c r="C933" s="3">
        <v>1</v>
      </c>
      <c r="D933" s="5">
        <v>9.99</v>
      </c>
      <c r="E933" s="3" t="s">
        <v>8405</v>
      </c>
      <c r="F933" s="2" t="s">
        <v>26</v>
      </c>
      <c r="G933" s="6" t="s">
        <v>234</v>
      </c>
      <c r="H933" s="2" t="s">
        <v>1473</v>
      </c>
      <c r="I933" s="2" t="s">
        <v>1426</v>
      </c>
      <c r="J933" s="2" t="s">
        <v>19</v>
      </c>
      <c r="K933" s="2" t="s">
        <v>495</v>
      </c>
      <c r="L933" s="7" t="str">
        <f>HYPERLINK("http://slimages.macys.com/is/image/MCY/11884631 ")</f>
        <v xml:space="preserve">http://slimages.macys.com/is/image/MCY/11884631 </v>
      </c>
    </row>
    <row r="934" spans="1:12" ht="24.75" x14ac:dyDescent="0.25">
      <c r="A934" s="4" t="s">
        <v>9845</v>
      </c>
      <c r="B934" s="2" t="s">
        <v>6993</v>
      </c>
      <c r="C934" s="3">
        <v>1</v>
      </c>
      <c r="D934" s="5">
        <v>9.99</v>
      </c>
      <c r="E934" s="3" t="s">
        <v>6994</v>
      </c>
      <c r="F934" s="2" t="s">
        <v>1322</v>
      </c>
      <c r="G934" s="6" t="s">
        <v>234</v>
      </c>
      <c r="H934" s="2" t="s">
        <v>1473</v>
      </c>
      <c r="I934" s="2" t="s">
        <v>1426</v>
      </c>
      <c r="J934" s="2" t="s">
        <v>19</v>
      </c>
      <c r="K934" s="2" t="s">
        <v>495</v>
      </c>
      <c r="L934" s="7" t="str">
        <f>HYPERLINK("http://slimages.macys.com/is/image/MCY/12269253 ")</f>
        <v xml:space="preserve">http://slimages.macys.com/is/image/MCY/12269253 </v>
      </c>
    </row>
    <row r="935" spans="1:12" ht="24.75" x14ac:dyDescent="0.25">
      <c r="A935" s="4" t="s">
        <v>5308</v>
      </c>
      <c r="B935" s="2" t="s">
        <v>5305</v>
      </c>
      <c r="C935" s="3">
        <v>1</v>
      </c>
      <c r="D935" s="5">
        <v>9.99</v>
      </c>
      <c r="E935" s="3" t="s">
        <v>5306</v>
      </c>
      <c r="F935" s="2" t="s">
        <v>15</v>
      </c>
      <c r="G935" s="6" t="s">
        <v>156</v>
      </c>
      <c r="H935" s="2" t="s">
        <v>1473</v>
      </c>
      <c r="I935" s="2" t="s">
        <v>1426</v>
      </c>
      <c r="J935" s="2" t="s">
        <v>19</v>
      </c>
      <c r="K935" s="2" t="s">
        <v>495</v>
      </c>
      <c r="L935" s="7" t="str">
        <f>HYPERLINK("http://slimages.macys.com/is/image/MCY/12326968 ")</f>
        <v xml:space="preserve">http://slimages.macys.com/is/image/MCY/12326968 </v>
      </c>
    </row>
    <row r="936" spans="1:12" ht="24.75" x14ac:dyDescent="0.25">
      <c r="A936" s="4" t="s">
        <v>5310</v>
      </c>
      <c r="B936" s="2" t="s">
        <v>2083</v>
      </c>
      <c r="C936" s="3">
        <v>1</v>
      </c>
      <c r="D936" s="5">
        <v>9.99</v>
      </c>
      <c r="E936" s="3" t="s">
        <v>3251</v>
      </c>
      <c r="F936" s="2" t="s">
        <v>74</v>
      </c>
      <c r="G936" s="6"/>
      <c r="H936" s="2" t="s">
        <v>1425</v>
      </c>
      <c r="I936" s="2" t="s">
        <v>1426</v>
      </c>
      <c r="J936" s="2" t="s">
        <v>19</v>
      </c>
      <c r="K936" s="2" t="s">
        <v>648</v>
      </c>
      <c r="L936" s="7" t="str">
        <f>HYPERLINK("http://slimages.macys.com/is/image/MCY/12315459 ")</f>
        <v xml:space="preserve">http://slimages.macys.com/is/image/MCY/12315459 </v>
      </c>
    </row>
    <row r="937" spans="1:12" ht="24.75" x14ac:dyDescent="0.25">
      <c r="A937" s="4" t="s">
        <v>9846</v>
      </c>
      <c r="B937" s="2" t="s">
        <v>2103</v>
      </c>
      <c r="C937" s="3">
        <v>1</v>
      </c>
      <c r="D937" s="5">
        <v>9.99</v>
      </c>
      <c r="E937" s="3" t="s">
        <v>2104</v>
      </c>
      <c r="F937" s="2" t="s">
        <v>38</v>
      </c>
      <c r="G937" s="6" t="s">
        <v>234</v>
      </c>
      <c r="H937" s="2" t="s">
        <v>1473</v>
      </c>
      <c r="I937" s="2" t="s">
        <v>1426</v>
      </c>
      <c r="J937" s="2" t="s">
        <v>19</v>
      </c>
      <c r="K937" s="2" t="s">
        <v>495</v>
      </c>
      <c r="L937" s="7" t="str">
        <f>HYPERLINK("http://slimages.macys.com/is/image/MCY/10746425 ")</f>
        <v xml:space="preserve">http://slimages.macys.com/is/image/MCY/10746425 </v>
      </c>
    </row>
    <row r="938" spans="1:12" ht="24.75" x14ac:dyDescent="0.25">
      <c r="A938" s="4" t="s">
        <v>5326</v>
      </c>
      <c r="B938" s="2" t="s">
        <v>3265</v>
      </c>
      <c r="C938" s="3">
        <v>1</v>
      </c>
      <c r="D938" s="5">
        <v>9.99</v>
      </c>
      <c r="E938" s="3" t="s">
        <v>3266</v>
      </c>
      <c r="F938" s="2" t="s">
        <v>3267</v>
      </c>
      <c r="G938" s="6" t="s">
        <v>181</v>
      </c>
      <c r="H938" s="2" t="s">
        <v>1473</v>
      </c>
      <c r="I938" s="2" t="s">
        <v>1426</v>
      </c>
      <c r="J938" s="2" t="s">
        <v>19</v>
      </c>
      <c r="K938" s="2" t="s">
        <v>495</v>
      </c>
      <c r="L938" s="7" t="str">
        <f>HYPERLINK("http://slimages.macys.com/is/image/MCY/11532809 ")</f>
        <v xml:space="preserve">http://slimages.macys.com/is/image/MCY/11532809 </v>
      </c>
    </row>
    <row r="939" spans="1:12" ht="24.75" x14ac:dyDescent="0.25">
      <c r="A939" s="4" t="s">
        <v>9847</v>
      </c>
      <c r="B939" s="2" t="s">
        <v>9848</v>
      </c>
      <c r="C939" s="3">
        <v>1</v>
      </c>
      <c r="D939" s="5">
        <v>9.99</v>
      </c>
      <c r="E939" s="3" t="s">
        <v>9849</v>
      </c>
      <c r="F939" s="2" t="s">
        <v>26</v>
      </c>
      <c r="G939" s="6" t="s">
        <v>219</v>
      </c>
      <c r="H939" s="2" t="s">
        <v>1425</v>
      </c>
      <c r="I939" s="2" t="s">
        <v>1426</v>
      </c>
      <c r="J939" s="2" t="s">
        <v>19</v>
      </c>
      <c r="K939" s="2" t="s">
        <v>495</v>
      </c>
      <c r="L939" s="7" t="str">
        <f>HYPERLINK("http://slimages.macys.com/is/image/MCY/12269153 ")</f>
        <v xml:space="preserve">http://slimages.macys.com/is/image/MCY/12269153 </v>
      </c>
    </row>
    <row r="940" spans="1:12" ht="24.75" x14ac:dyDescent="0.25">
      <c r="A940" s="4" t="s">
        <v>6255</v>
      </c>
      <c r="B940" s="2" t="s">
        <v>2093</v>
      </c>
      <c r="C940" s="3">
        <v>1</v>
      </c>
      <c r="D940" s="5">
        <v>9.99</v>
      </c>
      <c r="E940" s="3" t="s">
        <v>2094</v>
      </c>
      <c r="F940" s="2" t="s">
        <v>136</v>
      </c>
      <c r="G940" s="6" t="s">
        <v>181</v>
      </c>
      <c r="H940" s="2" t="s">
        <v>1473</v>
      </c>
      <c r="I940" s="2" t="s">
        <v>1426</v>
      </c>
      <c r="J940" s="2" t="s">
        <v>19</v>
      </c>
      <c r="K940" s="2" t="s">
        <v>495</v>
      </c>
      <c r="L940" s="7" t="str">
        <f>HYPERLINK("http://slimages.macys.com/is/image/MCY/10464865 ")</f>
        <v xml:space="preserve">http://slimages.macys.com/is/image/MCY/10464865 </v>
      </c>
    </row>
    <row r="941" spans="1:12" ht="24.75" x14ac:dyDescent="0.25">
      <c r="A941" s="4" t="s">
        <v>9850</v>
      </c>
      <c r="B941" s="2" t="s">
        <v>5312</v>
      </c>
      <c r="C941" s="3">
        <v>1</v>
      </c>
      <c r="D941" s="5">
        <v>9.99</v>
      </c>
      <c r="E941" s="3" t="s">
        <v>5313</v>
      </c>
      <c r="F941" s="2" t="s">
        <v>136</v>
      </c>
      <c r="G941" s="6" t="s">
        <v>181</v>
      </c>
      <c r="H941" s="2" t="s">
        <v>1473</v>
      </c>
      <c r="I941" s="2" t="s">
        <v>1426</v>
      </c>
      <c r="J941" s="2" t="s">
        <v>19</v>
      </c>
      <c r="K941" s="2" t="s">
        <v>495</v>
      </c>
      <c r="L941" s="7" t="str">
        <f>HYPERLINK("http://slimages.macys.com/is/image/MCY/11774945 ")</f>
        <v xml:space="preserve">http://slimages.macys.com/is/image/MCY/11774945 </v>
      </c>
    </row>
    <row r="942" spans="1:12" ht="24.75" x14ac:dyDescent="0.25">
      <c r="A942" s="4" t="s">
        <v>9851</v>
      </c>
      <c r="B942" s="2" t="s">
        <v>2103</v>
      </c>
      <c r="C942" s="3">
        <v>1</v>
      </c>
      <c r="D942" s="5">
        <v>9.99</v>
      </c>
      <c r="E942" s="3" t="s">
        <v>2104</v>
      </c>
      <c r="F942" s="2" t="s">
        <v>38</v>
      </c>
      <c r="G942" s="6" t="s">
        <v>156</v>
      </c>
      <c r="H942" s="2" t="s">
        <v>1473</v>
      </c>
      <c r="I942" s="2" t="s">
        <v>1426</v>
      </c>
      <c r="J942" s="2" t="s">
        <v>19</v>
      </c>
      <c r="K942" s="2" t="s">
        <v>495</v>
      </c>
      <c r="L942" s="7" t="str">
        <f>HYPERLINK("http://slimages.macys.com/is/image/MCY/10746425 ")</f>
        <v xml:space="preserve">http://slimages.macys.com/is/image/MCY/10746425 </v>
      </c>
    </row>
    <row r="943" spans="1:12" ht="24.75" x14ac:dyDescent="0.25">
      <c r="A943" s="4" t="s">
        <v>2099</v>
      </c>
      <c r="B943" s="2" t="s">
        <v>2100</v>
      </c>
      <c r="C943" s="3">
        <v>2</v>
      </c>
      <c r="D943" s="5">
        <v>9.99</v>
      </c>
      <c r="E943" s="3" t="s">
        <v>2101</v>
      </c>
      <c r="F943" s="2" t="s">
        <v>26</v>
      </c>
      <c r="G943" s="6" t="s">
        <v>234</v>
      </c>
      <c r="H943" s="2" t="s">
        <v>1473</v>
      </c>
      <c r="I943" s="2" t="s">
        <v>1426</v>
      </c>
      <c r="J943" s="2" t="s">
        <v>19</v>
      </c>
      <c r="K943" s="2" t="s">
        <v>495</v>
      </c>
      <c r="L943" s="7" t="str">
        <f>HYPERLINK("http://slimages.macys.com/is/image/MCY/11774903 ")</f>
        <v xml:space="preserve">http://slimages.macys.com/is/image/MCY/11774903 </v>
      </c>
    </row>
    <row r="944" spans="1:12" ht="24.75" x14ac:dyDescent="0.25">
      <c r="A944" s="4" t="s">
        <v>6256</v>
      </c>
      <c r="B944" s="2" t="s">
        <v>2093</v>
      </c>
      <c r="C944" s="3">
        <v>1</v>
      </c>
      <c r="D944" s="5">
        <v>9.99</v>
      </c>
      <c r="E944" s="3" t="s">
        <v>2094</v>
      </c>
      <c r="F944" s="2" t="s">
        <v>136</v>
      </c>
      <c r="G944" s="6" t="s">
        <v>234</v>
      </c>
      <c r="H944" s="2" t="s">
        <v>1473</v>
      </c>
      <c r="I944" s="2" t="s">
        <v>1426</v>
      </c>
      <c r="J944" s="2" t="s">
        <v>19</v>
      </c>
      <c r="K944" s="2" t="s">
        <v>495</v>
      </c>
      <c r="L944" s="7" t="str">
        <f>HYPERLINK("http://slimages.macys.com/is/image/MCY/10464865 ")</f>
        <v xml:space="preserve">http://slimages.macys.com/is/image/MCY/10464865 </v>
      </c>
    </row>
    <row r="945" spans="1:12" ht="24.75" x14ac:dyDescent="0.25">
      <c r="A945" s="4" t="s">
        <v>9852</v>
      </c>
      <c r="B945" s="2" t="s">
        <v>5312</v>
      </c>
      <c r="C945" s="3">
        <v>1</v>
      </c>
      <c r="D945" s="5">
        <v>9.99</v>
      </c>
      <c r="E945" s="3" t="s">
        <v>5313</v>
      </c>
      <c r="F945" s="2" t="s">
        <v>136</v>
      </c>
      <c r="G945" s="6" t="s">
        <v>234</v>
      </c>
      <c r="H945" s="2" t="s">
        <v>1473</v>
      </c>
      <c r="I945" s="2" t="s">
        <v>1426</v>
      </c>
      <c r="J945" s="2" t="s">
        <v>19</v>
      </c>
      <c r="K945" s="2" t="s">
        <v>495</v>
      </c>
      <c r="L945" s="7" t="str">
        <f>HYPERLINK("http://slimages.macys.com/is/image/MCY/11774945 ")</f>
        <v xml:space="preserve">http://slimages.macys.com/is/image/MCY/11774945 </v>
      </c>
    </row>
    <row r="946" spans="1:12" ht="24.75" x14ac:dyDescent="0.25">
      <c r="A946" s="4" t="s">
        <v>9853</v>
      </c>
      <c r="B946" s="2" t="s">
        <v>9854</v>
      </c>
      <c r="C946" s="3">
        <v>1</v>
      </c>
      <c r="D946" s="5">
        <v>9.99</v>
      </c>
      <c r="E946" s="3" t="s">
        <v>9855</v>
      </c>
      <c r="F946" s="2" t="s">
        <v>26</v>
      </c>
      <c r="G946" s="6"/>
      <c r="H946" s="2" t="s">
        <v>1425</v>
      </c>
      <c r="I946" s="2" t="s">
        <v>1426</v>
      </c>
      <c r="J946" s="2" t="s">
        <v>19</v>
      </c>
      <c r="K946" s="2" t="s">
        <v>495</v>
      </c>
      <c r="L946" s="7" t="str">
        <f>HYPERLINK("http://slimages.macys.com/is/image/MCY/12064396 ")</f>
        <v xml:space="preserve">http://slimages.macys.com/is/image/MCY/12064396 </v>
      </c>
    </row>
    <row r="947" spans="1:12" ht="24.75" x14ac:dyDescent="0.25">
      <c r="A947" s="4" t="s">
        <v>9856</v>
      </c>
      <c r="B947" s="2" t="s">
        <v>9854</v>
      </c>
      <c r="C947" s="3">
        <v>1</v>
      </c>
      <c r="D947" s="5">
        <v>9.99</v>
      </c>
      <c r="E947" s="3" t="s">
        <v>9855</v>
      </c>
      <c r="F947" s="2" t="s">
        <v>26</v>
      </c>
      <c r="G947" s="6" t="s">
        <v>219</v>
      </c>
      <c r="H947" s="2" t="s">
        <v>1425</v>
      </c>
      <c r="I947" s="2" t="s">
        <v>1426</v>
      </c>
      <c r="J947" s="2" t="s">
        <v>19</v>
      </c>
      <c r="K947" s="2" t="s">
        <v>495</v>
      </c>
      <c r="L947" s="7" t="str">
        <f>HYPERLINK("http://slimages.macys.com/is/image/MCY/12064396 ")</f>
        <v xml:space="preserve">http://slimages.macys.com/is/image/MCY/12064396 </v>
      </c>
    </row>
    <row r="948" spans="1:12" ht="24.75" x14ac:dyDescent="0.25">
      <c r="A948" s="4" t="s">
        <v>5320</v>
      </c>
      <c r="B948" s="2" t="s">
        <v>4356</v>
      </c>
      <c r="C948" s="3">
        <v>1</v>
      </c>
      <c r="D948" s="5">
        <v>9.99</v>
      </c>
      <c r="E948" s="3" t="s">
        <v>4357</v>
      </c>
      <c r="F948" s="2" t="s">
        <v>15</v>
      </c>
      <c r="G948" s="6" t="s">
        <v>234</v>
      </c>
      <c r="H948" s="2" t="s">
        <v>1473</v>
      </c>
      <c r="I948" s="2" t="s">
        <v>1426</v>
      </c>
      <c r="J948" s="2" t="s">
        <v>19</v>
      </c>
      <c r="K948" s="2" t="s">
        <v>495</v>
      </c>
      <c r="L948" s="7" t="str">
        <f>HYPERLINK("http://slimages.macys.com/is/image/MCY/12269182 ")</f>
        <v xml:space="preserve">http://slimages.macys.com/is/image/MCY/12269182 </v>
      </c>
    </row>
    <row r="949" spans="1:12" ht="24.75" x14ac:dyDescent="0.25">
      <c r="A949" s="4" t="s">
        <v>5323</v>
      </c>
      <c r="B949" s="2" t="s">
        <v>5312</v>
      </c>
      <c r="C949" s="3">
        <v>1</v>
      </c>
      <c r="D949" s="5">
        <v>9.99</v>
      </c>
      <c r="E949" s="3" t="s">
        <v>5313</v>
      </c>
      <c r="F949" s="2" t="s">
        <v>417</v>
      </c>
      <c r="G949" s="6" t="s">
        <v>234</v>
      </c>
      <c r="H949" s="2" t="s">
        <v>1473</v>
      </c>
      <c r="I949" s="2" t="s">
        <v>1426</v>
      </c>
      <c r="J949" s="2" t="s">
        <v>19</v>
      </c>
      <c r="K949" s="2" t="s">
        <v>495</v>
      </c>
      <c r="L949" s="7" t="str">
        <f>HYPERLINK("http://slimages.macys.com/is/image/MCY/11774945 ")</f>
        <v xml:space="preserve">http://slimages.macys.com/is/image/MCY/11774945 </v>
      </c>
    </row>
    <row r="950" spans="1:12" ht="24.75" x14ac:dyDescent="0.25">
      <c r="A950" s="4" t="s">
        <v>5311</v>
      </c>
      <c r="B950" s="2" t="s">
        <v>5312</v>
      </c>
      <c r="C950" s="3">
        <v>2</v>
      </c>
      <c r="D950" s="5">
        <v>9.99</v>
      </c>
      <c r="E950" s="3" t="s">
        <v>5313</v>
      </c>
      <c r="F950" s="2" t="s">
        <v>417</v>
      </c>
      <c r="G950" s="6" t="s">
        <v>156</v>
      </c>
      <c r="H950" s="2" t="s">
        <v>1473</v>
      </c>
      <c r="I950" s="2" t="s">
        <v>1426</v>
      </c>
      <c r="J950" s="2" t="s">
        <v>19</v>
      </c>
      <c r="K950" s="2" t="s">
        <v>495</v>
      </c>
      <c r="L950" s="7" t="str">
        <f>HYPERLINK("http://slimages.macys.com/is/image/MCY/11774945 ")</f>
        <v xml:space="preserve">http://slimages.macys.com/is/image/MCY/11774945 </v>
      </c>
    </row>
    <row r="951" spans="1:12" ht="24.75" x14ac:dyDescent="0.25">
      <c r="A951" s="4" t="s">
        <v>8422</v>
      </c>
      <c r="B951" s="2" t="s">
        <v>2072</v>
      </c>
      <c r="C951" s="3">
        <v>1</v>
      </c>
      <c r="D951" s="5">
        <v>9.99</v>
      </c>
      <c r="E951" s="3" t="s">
        <v>6956</v>
      </c>
      <c r="F951" s="2" t="s">
        <v>413</v>
      </c>
      <c r="G951" s="6" t="s">
        <v>234</v>
      </c>
      <c r="H951" s="2" t="s">
        <v>1473</v>
      </c>
      <c r="I951" s="2" t="s">
        <v>1426</v>
      </c>
      <c r="J951" s="2" t="s">
        <v>19</v>
      </c>
      <c r="K951" s="2" t="s">
        <v>648</v>
      </c>
      <c r="L951" s="7" t="str">
        <f>HYPERLINK("http://slimages.macys.com/is/image/MCY/10741447 ")</f>
        <v xml:space="preserve">http://slimages.macys.com/is/image/MCY/10741447 </v>
      </c>
    </row>
    <row r="952" spans="1:12" ht="24.75" x14ac:dyDescent="0.25">
      <c r="A952" s="4" t="s">
        <v>8898</v>
      </c>
      <c r="B952" s="2" t="s">
        <v>2072</v>
      </c>
      <c r="C952" s="3">
        <v>1</v>
      </c>
      <c r="D952" s="5">
        <v>9.99</v>
      </c>
      <c r="E952" s="3" t="s">
        <v>6956</v>
      </c>
      <c r="F952" s="2" t="s">
        <v>413</v>
      </c>
      <c r="G952" s="6" t="s">
        <v>245</v>
      </c>
      <c r="H952" s="2" t="s">
        <v>1473</v>
      </c>
      <c r="I952" s="2" t="s">
        <v>1426</v>
      </c>
      <c r="J952" s="2" t="s">
        <v>19</v>
      </c>
      <c r="K952" s="2" t="s">
        <v>648</v>
      </c>
      <c r="L952" s="7" t="str">
        <f>HYPERLINK("http://slimages.macys.com/is/image/MCY/10741447 ")</f>
        <v xml:space="preserve">http://slimages.macys.com/is/image/MCY/10741447 </v>
      </c>
    </row>
    <row r="953" spans="1:12" ht="24.75" x14ac:dyDescent="0.25">
      <c r="A953" s="4" t="s">
        <v>9857</v>
      </c>
      <c r="B953" s="2" t="s">
        <v>2072</v>
      </c>
      <c r="C953" s="3">
        <v>1</v>
      </c>
      <c r="D953" s="5">
        <v>9.99</v>
      </c>
      <c r="E953" s="3" t="s">
        <v>2073</v>
      </c>
      <c r="F953" s="2" t="s">
        <v>74</v>
      </c>
      <c r="G953" s="6" t="s">
        <v>219</v>
      </c>
      <c r="H953" s="2" t="s">
        <v>1425</v>
      </c>
      <c r="I953" s="2" t="s">
        <v>1426</v>
      </c>
      <c r="J953" s="2" t="s">
        <v>19</v>
      </c>
      <c r="K953" s="2" t="s">
        <v>990</v>
      </c>
      <c r="L953" s="7" t="str">
        <f>HYPERLINK("http://slimages.macys.com/is/image/MCY/10741444 ")</f>
        <v xml:space="preserve">http://slimages.macys.com/is/image/MCY/10741444 </v>
      </c>
    </row>
    <row r="954" spans="1:12" ht="24.75" x14ac:dyDescent="0.25">
      <c r="A954" s="4" t="s">
        <v>9858</v>
      </c>
      <c r="B954" s="2" t="s">
        <v>2113</v>
      </c>
      <c r="C954" s="3">
        <v>1</v>
      </c>
      <c r="D954" s="5">
        <v>9.99</v>
      </c>
      <c r="E954" s="3" t="s">
        <v>9859</v>
      </c>
      <c r="F954" s="2" t="s">
        <v>94</v>
      </c>
      <c r="G954" s="6" t="s">
        <v>245</v>
      </c>
      <c r="H954" s="2" t="s">
        <v>1473</v>
      </c>
      <c r="I954" s="2" t="s">
        <v>1426</v>
      </c>
      <c r="J954" s="2" t="s">
        <v>19</v>
      </c>
      <c r="K954" s="2" t="s">
        <v>648</v>
      </c>
      <c r="L954" s="7" t="str">
        <f>HYPERLINK("http://slimages.macys.com/is/image/MCY/16543317 ")</f>
        <v xml:space="preserve">http://slimages.macys.com/is/image/MCY/16543317 </v>
      </c>
    </row>
    <row r="955" spans="1:12" ht="24.75" x14ac:dyDescent="0.25">
      <c r="A955" s="4" t="s">
        <v>5327</v>
      </c>
      <c r="B955" s="2" t="s">
        <v>2113</v>
      </c>
      <c r="C955" s="3">
        <v>1</v>
      </c>
      <c r="D955" s="5">
        <v>9.99</v>
      </c>
      <c r="E955" s="3" t="s">
        <v>2114</v>
      </c>
      <c r="F955" s="2" t="s">
        <v>26</v>
      </c>
      <c r="G955" s="6"/>
      <c r="H955" s="2" t="s">
        <v>1425</v>
      </c>
      <c r="I955" s="2" t="s">
        <v>1426</v>
      </c>
      <c r="J955" s="2" t="s">
        <v>19</v>
      </c>
      <c r="K955" s="2" t="s">
        <v>648</v>
      </c>
      <c r="L955" s="7" t="str">
        <f>HYPERLINK("http://slimages.macys.com/is/image/MCY/10703601 ")</f>
        <v xml:space="preserve">http://slimages.macys.com/is/image/MCY/10703601 </v>
      </c>
    </row>
    <row r="956" spans="1:12" ht="24.75" x14ac:dyDescent="0.25">
      <c r="A956" s="4" t="s">
        <v>5329</v>
      </c>
      <c r="B956" s="2" t="s">
        <v>2113</v>
      </c>
      <c r="C956" s="3">
        <v>1</v>
      </c>
      <c r="D956" s="5">
        <v>9.99</v>
      </c>
      <c r="E956" s="3" t="s">
        <v>2114</v>
      </c>
      <c r="F956" s="2" t="s">
        <v>33</v>
      </c>
      <c r="G956" s="6"/>
      <c r="H956" s="2" t="s">
        <v>1425</v>
      </c>
      <c r="I956" s="2" t="s">
        <v>1426</v>
      </c>
      <c r="J956" s="2" t="s">
        <v>19</v>
      </c>
      <c r="K956" s="2" t="s">
        <v>648</v>
      </c>
      <c r="L956" s="7" t="str">
        <f>HYPERLINK("http://slimages.macys.com/is/image/MCY/10703601 ")</f>
        <v xml:space="preserve">http://slimages.macys.com/is/image/MCY/10703601 </v>
      </c>
    </row>
    <row r="957" spans="1:12" ht="24.75" x14ac:dyDescent="0.25">
      <c r="A957" s="4" t="s">
        <v>3249</v>
      </c>
      <c r="B957" s="2" t="s">
        <v>2083</v>
      </c>
      <c r="C957" s="3">
        <v>2</v>
      </c>
      <c r="D957" s="5">
        <v>9.99</v>
      </c>
      <c r="E957" s="3" t="s">
        <v>2084</v>
      </c>
      <c r="F957" s="2" t="s">
        <v>417</v>
      </c>
      <c r="G957" s="6" t="s">
        <v>154</v>
      </c>
      <c r="H957" s="2" t="s">
        <v>1473</v>
      </c>
      <c r="I957" s="2" t="s">
        <v>1426</v>
      </c>
      <c r="J957" s="2" t="s">
        <v>19</v>
      </c>
      <c r="K957" s="2" t="s">
        <v>648</v>
      </c>
      <c r="L957" s="7" t="str">
        <f>HYPERLINK("http://slimages.macys.com/is/image/MCY/10703349 ")</f>
        <v xml:space="preserve">http://slimages.macys.com/is/image/MCY/10703349 </v>
      </c>
    </row>
    <row r="958" spans="1:12" ht="24.75" x14ac:dyDescent="0.25">
      <c r="A958" s="4" t="s">
        <v>9860</v>
      </c>
      <c r="B958" s="2" t="s">
        <v>2083</v>
      </c>
      <c r="C958" s="3">
        <v>1</v>
      </c>
      <c r="D958" s="5">
        <v>9.99</v>
      </c>
      <c r="E958" s="3" t="s">
        <v>2084</v>
      </c>
      <c r="F958" s="2" t="s">
        <v>33</v>
      </c>
      <c r="G958" s="6" t="s">
        <v>181</v>
      </c>
      <c r="H958" s="2" t="s">
        <v>1473</v>
      </c>
      <c r="I958" s="2" t="s">
        <v>1426</v>
      </c>
      <c r="J958" s="2" t="s">
        <v>19</v>
      </c>
      <c r="K958" s="2" t="s">
        <v>648</v>
      </c>
      <c r="L958" s="7" t="str">
        <f>HYPERLINK("http://slimages.macys.com/is/image/MCY/10703349 ")</f>
        <v xml:space="preserve">http://slimages.macys.com/is/image/MCY/10703349 </v>
      </c>
    </row>
    <row r="959" spans="1:12" ht="24.75" x14ac:dyDescent="0.25">
      <c r="A959" s="4" t="s">
        <v>9861</v>
      </c>
      <c r="B959" s="2" t="s">
        <v>9862</v>
      </c>
      <c r="C959" s="3">
        <v>1</v>
      </c>
      <c r="D959" s="5">
        <v>129</v>
      </c>
      <c r="E959" s="3" t="s">
        <v>9863</v>
      </c>
      <c r="F959" s="2" t="s">
        <v>252</v>
      </c>
      <c r="G959" s="6" t="s">
        <v>141</v>
      </c>
      <c r="H959" s="2" t="s">
        <v>1086</v>
      </c>
      <c r="I959" s="2" t="s">
        <v>9864</v>
      </c>
      <c r="J959" s="2"/>
      <c r="K959" s="2"/>
      <c r="L959" s="7"/>
    </row>
    <row r="960" spans="1:12" ht="24.75" x14ac:dyDescent="0.25">
      <c r="A960" s="4" t="s">
        <v>9865</v>
      </c>
      <c r="B960" s="2" t="s">
        <v>6267</v>
      </c>
      <c r="C960" s="3">
        <v>1</v>
      </c>
      <c r="D960" s="5">
        <v>17.989999999999998</v>
      </c>
      <c r="E960" s="3" t="s">
        <v>6268</v>
      </c>
      <c r="F960" s="2" t="s">
        <v>413</v>
      </c>
      <c r="G960" s="6" t="s">
        <v>181</v>
      </c>
      <c r="H960" s="2" t="s">
        <v>1522</v>
      </c>
      <c r="I960" s="2" t="s">
        <v>1469</v>
      </c>
      <c r="J960" s="2"/>
      <c r="K960" s="2"/>
      <c r="L960" s="7"/>
    </row>
    <row r="961" spans="1:12" ht="24.75" x14ac:dyDescent="0.25">
      <c r="A961" s="4" t="s">
        <v>9866</v>
      </c>
      <c r="B961" s="2" t="s">
        <v>9867</v>
      </c>
      <c r="C961" s="3">
        <v>1</v>
      </c>
      <c r="D961" s="5">
        <v>16.989999999999998</v>
      </c>
      <c r="E961" s="3" t="s">
        <v>9868</v>
      </c>
      <c r="F961" s="2" t="s">
        <v>74</v>
      </c>
      <c r="G961" s="6" t="s">
        <v>9869</v>
      </c>
      <c r="H961" s="2" t="s">
        <v>9870</v>
      </c>
      <c r="I961" s="2" t="s">
        <v>9871</v>
      </c>
      <c r="J961" s="2"/>
      <c r="K961" s="2"/>
      <c r="L961" s="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0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8554687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9872</v>
      </c>
      <c r="B2" s="2" t="s">
        <v>9873</v>
      </c>
      <c r="C2" s="3">
        <v>1</v>
      </c>
      <c r="D2" s="5">
        <v>159</v>
      </c>
      <c r="E2" s="3" t="s">
        <v>9874</v>
      </c>
      <c r="F2" s="2"/>
      <c r="G2" s="6" t="s">
        <v>27</v>
      </c>
      <c r="H2" s="2" t="s">
        <v>17</v>
      </c>
      <c r="I2" s="2" t="s">
        <v>28</v>
      </c>
      <c r="J2" s="2" t="s">
        <v>19</v>
      </c>
      <c r="K2" s="2" t="s">
        <v>75</v>
      </c>
      <c r="L2" s="7" t="str">
        <f>HYPERLINK("http://slimages.macys.com/is/image/MCY/12827614 ")</f>
        <v xml:space="preserve">http://slimages.macys.com/is/image/MCY/12827614 </v>
      </c>
    </row>
    <row r="3" spans="1:12" ht="24.75" x14ac:dyDescent="0.25">
      <c r="A3" s="4" t="s">
        <v>9875</v>
      </c>
      <c r="B3" s="2" t="s">
        <v>9873</v>
      </c>
      <c r="C3" s="3">
        <v>1</v>
      </c>
      <c r="D3" s="5">
        <v>159</v>
      </c>
      <c r="E3" s="3" t="s">
        <v>9874</v>
      </c>
      <c r="F3" s="2"/>
      <c r="G3" s="6" t="s">
        <v>16</v>
      </c>
      <c r="H3" s="2" t="s">
        <v>17</v>
      </c>
      <c r="I3" s="2" t="s">
        <v>28</v>
      </c>
      <c r="J3" s="2" t="s">
        <v>19</v>
      </c>
      <c r="K3" s="2" t="s">
        <v>75</v>
      </c>
      <c r="L3" s="7" t="str">
        <f>HYPERLINK("http://slimages.macys.com/is/image/MCY/12827614 ")</f>
        <v xml:space="preserve">http://slimages.macys.com/is/image/MCY/12827614 </v>
      </c>
    </row>
    <row r="4" spans="1:12" ht="36.75" x14ac:dyDescent="0.25">
      <c r="A4" s="4" t="s">
        <v>9876</v>
      </c>
      <c r="B4" s="2" t="s">
        <v>9877</v>
      </c>
      <c r="C4" s="3">
        <v>1</v>
      </c>
      <c r="D4" s="5">
        <v>168</v>
      </c>
      <c r="E4" s="3" t="s">
        <v>9878</v>
      </c>
      <c r="F4" s="2" t="s">
        <v>464</v>
      </c>
      <c r="G4" s="6" t="s">
        <v>22</v>
      </c>
      <c r="H4" s="2" t="s">
        <v>17</v>
      </c>
      <c r="I4" s="2" t="s">
        <v>18</v>
      </c>
      <c r="J4" s="2" t="s">
        <v>19</v>
      </c>
      <c r="K4" s="2" t="s">
        <v>49</v>
      </c>
      <c r="L4" s="7" t="str">
        <f>HYPERLINK("http://slimages.macys.com/is/image/MCY/12877373 ")</f>
        <v xml:space="preserve">http://slimages.macys.com/is/image/MCY/12877373 </v>
      </c>
    </row>
    <row r="5" spans="1:12" ht="36.75" x14ac:dyDescent="0.25">
      <c r="A5" s="4" t="s">
        <v>9879</v>
      </c>
      <c r="B5" s="2" t="s">
        <v>46</v>
      </c>
      <c r="C5" s="3">
        <v>1</v>
      </c>
      <c r="D5" s="5">
        <v>158</v>
      </c>
      <c r="E5" s="3" t="s">
        <v>47</v>
      </c>
      <c r="F5" s="2" t="s">
        <v>48</v>
      </c>
      <c r="G5" s="6" t="s">
        <v>65</v>
      </c>
      <c r="H5" s="2" t="s">
        <v>17</v>
      </c>
      <c r="I5" s="2" t="s">
        <v>40</v>
      </c>
      <c r="J5" s="2" t="s">
        <v>19</v>
      </c>
      <c r="K5" s="2" t="s">
        <v>49</v>
      </c>
      <c r="L5" s="7" t="str">
        <f>HYPERLINK("http://slimages.macys.com/is/image/MCY/11948396 ")</f>
        <v xml:space="preserve">http://slimages.macys.com/is/image/MCY/11948396 </v>
      </c>
    </row>
    <row r="6" spans="1:12" ht="36.75" x14ac:dyDescent="0.25">
      <c r="A6" s="4" t="s">
        <v>9880</v>
      </c>
      <c r="B6" s="2" t="s">
        <v>9881</v>
      </c>
      <c r="C6" s="3">
        <v>1</v>
      </c>
      <c r="D6" s="5">
        <v>119</v>
      </c>
      <c r="E6" s="3" t="s">
        <v>9882</v>
      </c>
      <c r="F6" s="2" t="s">
        <v>15</v>
      </c>
      <c r="G6" s="6" t="s">
        <v>147</v>
      </c>
      <c r="H6" s="2" t="s">
        <v>17</v>
      </c>
      <c r="I6" s="2" t="s">
        <v>117</v>
      </c>
      <c r="J6" s="2" t="s">
        <v>19</v>
      </c>
      <c r="K6" s="2" t="s">
        <v>2419</v>
      </c>
      <c r="L6" s="7" t="str">
        <f>HYPERLINK("http://slimages.macys.com/is/image/MCY/9803016 ")</f>
        <v xml:space="preserve">http://slimages.macys.com/is/image/MCY/9803016 </v>
      </c>
    </row>
    <row r="7" spans="1:12" ht="36.75" x14ac:dyDescent="0.25">
      <c r="A7" s="4" t="s">
        <v>9883</v>
      </c>
      <c r="B7" s="2" t="s">
        <v>9881</v>
      </c>
      <c r="C7" s="3">
        <v>1</v>
      </c>
      <c r="D7" s="5">
        <v>119</v>
      </c>
      <c r="E7" s="3" t="s">
        <v>9882</v>
      </c>
      <c r="F7" s="2" t="s">
        <v>15</v>
      </c>
      <c r="G7" s="6" t="s">
        <v>3309</v>
      </c>
      <c r="H7" s="2" t="s">
        <v>17</v>
      </c>
      <c r="I7" s="2" t="s">
        <v>117</v>
      </c>
      <c r="J7" s="2" t="s">
        <v>19</v>
      </c>
      <c r="K7" s="2" t="s">
        <v>2419</v>
      </c>
      <c r="L7" s="7" t="str">
        <f>HYPERLINK("http://slimages.macys.com/is/image/MCY/9803016 ")</f>
        <v xml:space="preserve">http://slimages.macys.com/is/image/MCY/9803016 </v>
      </c>
    </row>
    <row r="8" spans="1:12" ht="36.75" x14ac:dyDescent="0.25">
      <c r="A8" s="4" t="s">
        <v>9884</v>
      </c>
      <c r="B8" s="2" t="s">
        <v>9885</v>
      </c>
      <c r="C8" s="3">
        <v>1</v>
      </c>
      <c r="D8" s="5">
        <v>128</v>
      </c>
      <c r="E8" s="3" t="s">
        <v>9886</v>
      </c>
      <c r="F8" s="2" t="s">
        <v>26</v>
      </c>
      <c r="G8" s="6" t="s">
        <v>16</v>
      </c>
      <c r="H8" s="2" t="s">
        <v>17</v>
      </c>
      <c r="I8" s="2" t="s">
        <v>18</v>
      </c>
      <c r="J8" s="2" t="s">
        <v>19</v>
      </c>
      <c r="K8" s="2" t="s">
        <v>2419</v>
      </c>
      <c r="L8" s="7" t="str">
        <f>HYPERLINK("http://slimages.macys.com/is/image/MCY/12889994 ")</f>
        <v xml:space="preserve">http://slimages.macys.com/is/image/MCY/12889994 </v>
      </c>
    </row>
    <row r="9" spans="1:12" ht="36.75" x14ac:dyDescent="0.25">
      <c r="A9" s="4" t="s">
        <v>9887</v>
      </c>
      <c r="B9" s="2" t="s">
        <v>9888</v>
      </c>
      <c r="C9" s="3">
        <v>1</v>
      </c>
      <c r="D9" s="5">
        <v>128</v>
      </c>
      <c r="E9" s="3" t="s">
        <v>9889</v>
      </c>
      <c r="F9" s="2" t="s">
        <v>26</v>
      </c>
      <c r="G9" s="6" t="s">
        <v>141</v>
      </c>
      <c r="H9" s="2" t="s">
        <v>17</v>
      </c>
      <c r="I9" s="2" t="s">
        <v>18</v>
      </c>
      <c r="J9" s="2" t="s">
        <v>19</v>
      </c>
      <c r="K9" s="2" t="s">
        <v>2419</v>
      </c>
      <c r="L9" s="7" t="str">
        <f>HYPERLINK("http://slimages.macys.com/is/image/MCY/12877338 ")</f>
        <v xml:space="preserve">http://slimages.macys.com/is/image/MCY/12877338 </v>
      </c>
    </row>
    <row r="10" spans="1:12" ht="24.75" x14ac:dyDescent="0.25">
      <c r="A10" s="4" t="s">
        <v>7779</v>
      </c>
      <c r="B10" s="2" t="s">
        <v>77</v>
      </c>
      <c r="C10" s="3">
        <v>1</v>
      </c>
      <c r="D10" s="5">
        <v>128</v>
      </c>
      <c r="E10" s="3" t="s">
        <v>78</v>
      </c>
      <c r="F10" s="2" t="s">
        <v>79</v>
      </c>
      <c r="G10" s="6" t="s">
        <v>141</v>
      </c>
      <c r="H10" s="2" t="s">
        <v>17</v>
      </c>
      <c r="I10" s="2" t="s">
        <v>18</v>
      </c>
      <c r="J10" s="2" t="s">
        <v>19</v>
      </c>
      <c r="K10" s="2" t="s">
        <v>75</v>
      </c>
      <c r="L10" s="7" t="str">
        <f>HYPERLINK("http://slimages.macys.com/is/image/MCY/13061199 ")</f>
        <v xml:space="preserve">http://slimages.macys.com/is/image/MCY/13061199 </v>
      </c>
    </row>
    <row r="11" spans="1:12" ht="24.75" x14ac:dyDescent="0.25">
      <c r="A11" s="4" t="s">
        <v>9890</v>
      </c>
      <c r="B11" s="2" t="s">
        <v>83</v>
      </c>
      <c r="C11" s="3">
        <v>1</v>
      </c>
      <c r="D11" s="5">
        <v>128</v>
      </c>
      <c r="E11" s="3" t="s">
        <v>84</v>
      </c>
      <c r="F11" s="2" t="s">
        <v>85</v>
      </c>
      <c r="G11" s="6" t="s">
        <v>16</v>
      </c>
      <c r="H11" s="2" t="s">
        <v>17</v>
      </c>
      <c r="I11" s="2" t="s">
        <v>18</v>
      </c>
      <c r="J11" s="2" t="s">
        <v>19</v>
      </c>
      <c r="K11" s="2" t="s">
        <v>34</v>
      </c>
      <c r="L11" s="7" t="str">
        <f>HYPERLINK("http://slimages.macys.com/is/image/MCY/12649145 ")</f>
        <v xml:space="preserve">http://slimages.macys.com/is/image/MCY/12649145 </v>
      </c>
    </row>
    <row r="12" spans="1:12" ht="36.75" x14ac:dyDescent="0.25">
      <c r="A12" s="4" t="s">
        <v>9891</v>
      </c>
      <c r="B12" s="2" t="s">
        <v>9892</v>
      </c>
      <c r="C12" s="3">
        <v>1</v>
      </c>
      <c r="D12" s="5">
        <v>118</v>
      </c>
      <c r="E12" s="3" t="s">
        <v>9893</v>
      </c>
      <c r="F12" s="2" t="s">
        <v>79</v>
      </c>
      <c r="G12" s="6" t="s">
        <v>65</v>
      </c>
      <c r="H12" s="2" t="s">
        <v>17</v>
      </c>
      <c r="I12" s="2" t="s">
        <v>18</v>
      </c>
      <c r="J12" s="2" t="s">
        <v>19</v>
      </c>
      <c r="K12" s="2" t="s">
        <v>2419</v>
      </c>
      <c r="L12" s="7" t="str">
        <f>HYPERLINK("http://slimages.macys.com/is/image/MCY/9581598 ")</f>
        <v xml:space="preserve">http://slimages.macys.com/is/image/MCY/9581598 </v>
      </c>
    </row>
    <row r="13" spans="1:12" ht="24.75" x14ac:dyDescent="0.25">
      <c r="A13" s="4" t="s">
        <v>5358</v>
      </c>
      <c r="B13" s="2" t="s">
        <v>5359</v>
      </c>
      <c r="C13" s="3">
        <v>1</v>
      </c>
      <c r="D13" s="5">
        <v>128</v>
      </c>
      <c r="E13" s="3" t="s">
        <v>5360</v>
      </c>
      <c r="F13" s="2" t="s">
        <v>64</v>
      </c>
      <c r="G13" s="6" t="s">
        <v>5361</v>
      </c>
      <c r="H13" s="2" t="s">
        <v>17</v>
      </c>
      <c r="I13" s="2" t="s">
        <v>5356</v>
      </c>
      <c r="J13" s="2" t="s">
        <v>19</v>
      </c>
      <c r="K13" s="2" t="s">
        <v>5362</v>
      </c>
      <c r="L13" s="7" t="str">
        <f>HYPERLINK("http://slimages.macys.com/is/image/MCY/11723889 ")</f>
        <v xml:space="preserve">http://slimages.macys.com/is/image/MCY/11723889 </v>
      </c>
    </row>
    <row r="14" spans="1:12" ht="24.75" x14ac:dyDescent="0.25">
      <c r="A14" s="4" t="s">
        <v>9894</v>
      </c>
      <c r="B14" s="2" t="s">
        <v>9895</v>
      </c>
      <c r="C14" s="3">
        <v>1</v>
      </c>
      <c r="D14" s="5">
        <v>89</v>
      </c>
      <c r="E14" s="3">
        <v>10717708</v>
      </c>
      <c r="F14" s="2" t="s">
        <v>376</v>
      </c>
      <c r="G14" s="6" t="s">
        <v>156</v>
      </c>
      <c r="H14" s="2" t="s">
        <v>2154</v>
      </c>
      <c r="I14" s="2" t="s">
        <v>2155</v>
      </c>
      <c r="J14" s="2" t="s">
        <v>19</v>
      </c>
      <c r="K14" s="2" t="s">
        <v>34</v>
      </c>
      <c r="L14" s="7" t="str">
        <f>HYPERLINK("http://slimages.macys.com/is/image/MCY/12147524 ")</f>
        <v xml:space="preserve">http://slimages.macys.com/is/image/MCY/12147524 </v>
      </c>
    </row>
    <row r="15" spans="1:12" ht="24.75" x14ac:dyDescent="0.25">
      <c r="A15" s="4" t="s">
        <v>9896</v>
      </c>
      <c r="B15" s="2" t="s">
        <v>9895</v>
      </c>
      <c r="C15" s="3">
        <v>1</v>
      </c>
      <c r="D15" s="5">
        <v>89</v>
      </c>
      <c r="E15" s="3">
        <v>10717708</v>
      </c>
      <c r="F15" s="2" t="s">
        <v>376</v>
      </c>
      <c r="G15" s="6" t="s">
        <v>234</v>
      </c>
      <c r="H15" s="2" t="s">
        <v>2154</v>
      </c>
      <c r="I15" s="2" t="s">
        <v>2155</v>
      </c>
      <c r="J15" s="2" t="s">
        <v>19</v>
      </c>
      <c r="K15" s="2" t="s">
        <v>34</v>
      </c>
      <c r="L15" s="7" t="str">
        <f>HYPERLINK("http://slimages.macys.com/is/image/MCY/12147524 ")</f>
        <v xml:space="preserve">http://slimages.macys.com/is/image/MCY/12147524 </v>
      </c>
    </row>
    <row r="16" spans="1:12" ht="24.75" x14ac:dyDescent="0.25">
      <c r="A16" s="4" t="s">
        <v>9897</v>
      </c>
      <c r="B16" s="2" t="s">
        <v>9895</v>
      </c>
      <c r="C16" s="3">
        <v>1</v>
      </c>
      <c r="D16" s="5">
        <v>89</v>
      </c>
      <c r="E16" s="3">
        <v>10717708</v>
      </c>
      <c r="F16" s="2" t="s">
        <v>376</v>
      </c>
      <c r="G16" s="6" t="s">
        <v>154</v>
      </c>
      <c r="H16" s="2" t="s">
        <v>2154</v>
      </c>
      <c r="I16" s="2" t="s">
        <v>2155</v>
      </c>
      <c r="J16" s="2" t="s">
        <v>19</v>
      </c>
      <c r="K16" s="2" t="s">
        <v>34</v>
      </c>
      <c r="L16" s="7" t="str">
        <f>HYPERLINK("http://slimages.macys.com/is/image/MCY/12147524 ")</f>
        <v xml:space="preserve">http://slimages.macys.com/is/image/MCY/12147524 </v>
      </c>
    </row>
    <row r="17" spans="1:12" ht="24.75" x14ac:dyDescent="0.25">
      <c r="A17" s="4" t="s">
        <v>9898</v>
      </c>
      <c r="B17" s="2" t="s">
        <v>9895</v>
      </c>
      <c r="C17" s="3">
        <v>2</v>
      </c>
      <c r="D17" s="5">
        <v>89</v>
      </c>
      <c r="E17" s="3">
        <v>10717708</v>
      </c>
      <c r="F17" s="2" t="s">
        <v>376</v>
      </c>
      <c r="G17" s="6" t="s">
        <v>181</v>
      </c>
      <c r="H17" s="2" t="s">
        <v>2154</v>
      </c>
      <c r="I17" s="2" t="s">
        <v>2155</v>
      </c>
      <c r="J17" s="2" t="s">
        <v>19</v>
      </c>
      <c r="K17" s="2" t="s">
        <v>34</v>
      </c>
      <c r="L17" s="7" t="str">
        <f>HYPERLINK("http://slimages.macys.com/is/image/MCY/12147524 ")</f>
        <v xml:space="preserve">http://slimages.macys.com/is/image/MCY/12147524 </v>
      </c>
    </row>
    <row r="18" spans="1:12" ht="24.75" x14ac:dyDescent="0.25">
      <c r="A18" s="4" t="s">
        <v>9899</v>
      </c>
      <c r="B18" s="2" t="s">
        <v>9900</v>
      </c>
      <c r="C18" s="3">
        <v>1</v>
      </c>
      <c r="D18" s="5">
        <v>89.5</v>
      </c>
      <c r="E18" s="3">
        <v>10723392</v>
      </c>
      <c r="F18" s="2" t="s">
        <v>887</v>
      </c>
      <c r="G18" s="6" t="s">
        <v>106</v>
      </c>
      <c r="H18" s="2" t="s">
        <v>17</v>
      </c>
      <c r="I18" s="2" t="s">
        <v>121</v>
      </c>
      <c r="J18" s="2" t="s">
        <v>19</v>
      </c>
      <c r="K18" s="2" t="s">
        <v>118</v>
      </c>
      <c r="L18" s="7" t="str">
        <f>HYPERLINK("http://slimages.macys.com/is/image/MCY/12645651 ")</f>
        <v xml:space="preserve">http://slimages.macys.com/is/image/MCY/12645651 </v>
      </c>
    </row>
    <row r="19" spans="1:12" ht="24.75" x14ac:dyDescent="0.25">
      <c r="A19" s="4" t="s">
        <v>9901</v>
      </c>
      <c r="B19" s="2" t="s">
        <v>9900</v>
      </c>
      <c r="C19" s="3">
        <v>1</v>
      </c>
      <c r="D19" s="5">
        <v>89.5</v>
      </c>
      <c r="E19" s="3">
        <v>10723392</v>
      </c>
      <c r="F19" s="2" t="s">
        <v>887</v>
      </c>
      <c r="G19" s="6" t="s">
        <v>16</v>
      </c>
      <c r="H19" s="2" t="s">
        <v>17</v>
      </c>
      <c r="I19" s="2" t="s">
        <v>121</v>
      </c>
      <c r="J19" s="2" t="s">
        <v>19</v>
      </c>
      <c r="K19" s="2" t="s">
        <v>118</v>
      </c>
      <c r="L19" s="7" t="str">
        <f>HYPERLINK("http://slimages.macys.com/is/image/MCY/12645651 ")</f>
        <v xml:space="preserve">http://slimages.macys.com/is/image/MCY/12645651 </v>
      </c>
    </row>
    <row r="20" spans="1:12" ht="36.75" x14ac:dyDescent="0.25">
      <c r="A20" s="4" t="s">
        <v>9902</v>
      </c>
      <c r="B20" s="2" t="s">
        <v>9903</v>
      </c>
      <c r="C20" s="3">
        <v>1</v>
      </c>
      <c r="D20" s="5">
        <v>89</v>
      </c>
      <c r="E20" s="3" t="s">
        <v>9904</v>
      </c>
      <c r="F20" s="2" t="s">
        <v>15</v>
      </c>
      <c r="G20" s="6" t="s">
        <v>65</v>
      </c>
      <c r="H20" s="2" t="s">
        <v>95</v>
      </c>
      <c r="I20" s="2" t="s">
        <v>96</v>
      </c>
      <c r="J20" s="2" t="s">
        <v>19</v>
      </c>
      <c r="K20" s="2" t="s">
        <v>9905</v>
      </c>
      <c r="L20" s="7" t="str">
        <f>HYPERLINK("http://slimages.macys.com/is/image/MCY/12228298 ")</f>
        <v xml:space="preserve">http://slimages.macys.com/is/image/MCY/12228298 </v>
      </c>
    </row>
    <row r="21" spans="1:12" ht="24.75" x14ac:dyDescent="0.25">
      <c r="A21" s="4" t="s">
        <v>9906</v>
      </c>
      <c r="B21" s="2" t="s">
        <v>6292</v>
      </c>
      <c r="C21" s="3">
        <v>1</v>
      </c>
      <c r="D21" s="5">
        <v>89</v>
      </c>
      <c r="E21" s="3" t="s">
        <v>6293</v>
      </c>
      <c r="F21" s="2" t="s">
        <v>15</v>
      </c>
      <c r="G21" s="6" t="s">
        <v>16</v>
      </c>
      <c r="H21" s="2" t="s">
        <v>95</v>
      </c>
      <c r="I21" s="2" t="s">
        <v>96</v>
      </c>
      <c r="J21" s="2" t="s">
        <v>19</v>
      </c>
      <c r="K21" s="2" t="s">
        <v>607</v>
      </c>
      <c r="L21" s="7" t="str">
        <f>HYPERLINK("http://slimages.macys.com/is/image/MCY/12228319 ")</f>
        <v xml:space="preserve">http://slimages.macys.com/is/image/MCY/12228319 </v>
      </c>
    </row>
    <row r="22" spans="1:12" ht="36.75" x14ac:dyDescent="0.25">
      <c r="A22" s="4" t="s">
        <v>9907</v>
      </c>
      <c r="B22" s="2" t="s">
        <v>2141</v>
      </c>
      <c r="C22" s="3">
        <v>1</v>
      </c>
      <c r="D22" s="5">
        <v>89</v>
      </c>
      <c r="E22" s="3" t="s">
        <v>2142</v>
      </c>
      <c r="F22" s="2" t="s">
        <v>26</v>
      </c>
      <c r="G22" s="6" t="s">
        <v>22</v>
      </c>
      <c r="H22" s="2" t="s">
        <v>95</v>
      </c>
      <c r="I22" s="2" t="s">
        <v>96</v>
      </c>
      <c r="J22" s="2" t="s">
        <v>19</v>
      </c>
      <c r="K22" s="2" t="s">
        <v>2143</v>
      </c>
      <c r="L22" s="7" t="str">
        <f>HYPERLINK("http://slimages.macys.com/is/image/MCY/12746950 ")</f>
        <v xml:space="preserve">http://slimages.macys.com/is/image/MCY/12746950 </v>
      </c>
    </row>
    <row r="23" spans="1:12" ht="24.75" x14ac:dyDescent="0.25">
      <c r="A23" s="4" t="s">
        <v>8443</v>
      </c>
      <c r="B23" s="2" t="s">
        <v>2153</v>
      </c>
      <c r="C23" s="3">
        <v>1</v>
      </c>
      <c r="D23" s="5">
        <v>79</v>
      </c>
      <c r="E23" s="3">
        <v>10717696</v>
      </c>
      <c r="F23" s="2" t="s">
        <v>15</v>
      </c>
      <c r="G23" s="6" t="s">
        <v>39</v>
      </c>
      <c r="H23" s="2" t="s">
        <v>2154</v>
      </c>
      <c r="I23" s="2" t="s">
        <v>2155</v>
      </c>
      <c r="J23" s="2" t="s">
        <v>19</v>
      </c>
      <c r="K23" s="2" t="s">
        <v>2156</v>
      </c>
      <c r="L23" s="7" t="str">
        <f t="shared" ref="L23:L28" si="0">HYPERLINK("http://slimages.macys.com/is/image/MCY/12147560 ")</f>
        <v xml:space="preserve">http://slimages.macys.com/is/image/MCY/12147560 </v>
      </c>
    </row>
    <row r="24" spans="1:12" ht="24.75" x14ac:dyDescent="0.25">
      <c r="A24" s="4" t="s">
        <v>9908</v>
      </c>
      <c r="B24" s="2" t="s">
        <v>2153</v>
      </c>
      <c r="C24" s="3">
        <v>1</v>
      </c>
      <c r="D24" s="5">
        <v>79</v>
      </c>
      <c r="E24" s="3">
        <v>10717696</v>
      </c>
      <c r="F24" s="2" t="s">
        <v>15</v>
      </c>
      <c r="G24" s="6" t="s">
        <v>27</v>
      </c>
      <c r="H24" s="2" t="s">
        <v>2154</v>
      </c>
      <c r="I24" s="2" t="s">
        <v>2155</v>
      </c>
      <c r="J24" s="2" t="s">
        <v>19</v>
      </c>
      <c r="K24" s="2" t="s">
        <v>2156</v>
      </c>
      <c r="L24" s="7" t="str">
        <f t="shared" si="0"/>
        <v xml:space="preserve">http://slimages.macys.com/is/image/MCY/12147560 </v>
      </c>
    </row>
    <row r="25" spans="1:12" ht="24.75" x14ac:dyDescent="0.25">
      <c r="A25" s="4" t="s">
        <v>9909</v>
      </c>
      <c r="B25" s="2" t="s">
        <v>2153</v>
      </c>
      <c r="C25" s="3">
        <v>1</v>
      </c>
      <c r="D25" s="5">
        <v>79</v>
      </c>
      <c r="E25" s="3">
        <v>10717696</v>
      </c>
      <c r="F25" s="2" t="s">
        <v>15</v>
      </c>
      <c r="G25" s="6" t="s">
        <v>65</v>
      </c>
      <c r="H25" s="2" t="s">
        <v>2154</v>
      </c>
      <c r="I25" s="2" t="s">
        <v>2155</v>
      </c>
      <c r="J25" s="2" t="s">
        <v>19</v>
      </c>
      <c r="K25" s="2" t="s">
        <v>2156</v>
      </c>
      <c r="L25" s="7" t="str">
        <f t="shared" si="0"/>
        <v xml:space="preserve">http://slimages.macys.com/is/image/MCY/12147560 </v>
      </c>
    </row>
    <row r="26" spans="1:12" ht="24.75" x14ac:dyDescent="0.25">
      <c r="A26" s="4" t="s">
        <v>3314</v>
      </c>
      <c r="B26" s="2" t="s">
        <v>2153</v>
      </c>
      <c r="C26" s="3">
        <v>2</v>
      </c>
      <c r="D26" s="5">
        <v>79</v>
      </c>
      <c r="E26" s="3">
        <v>10717696</v>
      </c>
      <c r="F26" s="2" t="s">
        <v>15</v>
      </c>
      <c r="G26" s="6" t="s">
        <v>141</v>
      </c>
      <c r="H26" s="2" t="s">
        <v>2154</v>
      </c>
      <c r="I26" s="2" t="s">
        <v>2155</v>
      </c>
      <c r="J26" s="2" t="s">
        <v>19</v>
      </c>
      <c r="K26" s="2" t="s">
        <v>2156</v>
      </c>
      <c r="L26" s="7" t="str">
        <f t="shared" si="0"/>
        <v xml:space="preserve">http://slimages.macys.com/is/image/MCY/12147560 </v>
      </c>
    </row>
    <row r="27" spans="1:12" ht="24.75" x14ac:dyDescent="0.25">
      <c r="A27" s="4" t="s">
        <v>9910</v>
      </c>
      <c r="B27" s="2" t="s">
        <v>2153</v>
      </c>
      <c r="C27" s="3">
        <v>2</v>
      </c>
      <c r="D27" s="5">
        <v>79</v>
      </c>
      <c r="E27" s="3">
        <v>10717696</v>
      </c>
      <c r="F27" s="2" t="s">
        <v>15</v>
      </c>
      <c r="G27" s="6" t="s">
        <v>106</v>
      </c>
      <c r="H27" s="2" t="s">
        <v>2154</v>
      </c>
      <c r="I27" s="2" t="s">
        <v>2155</v>
      </c>
      <c r="J27" s="2" t="s">
        <v>19</v>
      </c>
      <c r="K27" s="2" t="s">
        <v>2156</v>
      </c>
      <c r="L27" s="7" t="str">
        <f t="shared" si="0"/>
        <v xml:space="preserve">http://slimages.macys.com/is/image/MCY/12147560 </v>
      </c>
    </row>
    <row r="28" spans="1:12" ht="24.75" x14ac:dyDescent="0.25">
      <c r="A28" s="4" t="s">
        <v>9911</v>
      </c>
      <c r="B28" s="2" t="s">
        <v>2153</v>
      </c>
      <c r="C28" s="3">
        <v>2</v>
      </c>
      <c r="D28" s="5">
        <v>79</v>
      </c>
      <c r="E28" s="3">
        <v>10717696</v>
      </c>
      <c r="F28" s="2" t="s">
        <v>15</v>
      </c>
      <c r="G28" s="6" t="s">
        <v>58</v>
      </c>
      <c r="H28" s="2" t="s">
        <v>2154</v>
      </c>
      <c r="I28" s="2" t="s">
        <v>2155</v>
      </c>
      <c r="J28" s="2" t="s">
        <v>19</v>
      </c>
      <c r="K28" s="2" t="s">
        <v>2156</v>
      </c>
      <c r="L28" s="7" t="str">
        <f t="shared" si="0"/>
        <v xml:space="preserve">http://slimages.macys.com/is/image/MCY/12147560 </v>
      </c>
    </row>
    <row r="29" spans="1:12" ht="24.75" x14ac:dyDescent="0.25">
      <c r="A29" s="4" t="s">
        <v>9912</v>
      </c>
      <c r="B29" s="2" t="s">
        <v>9913</v>
      </c>
      <c r="C29" s="3">
        <v>1</v>
      </c>
      <c r="D29" s="5">
        <v>73.5</v>
      </c>
      <c r="E29" s="3" t="s">
        <v>9914</v>
      </c>
      <c r="F29" s="2" t="s">
        <v>64</v>
      </c>
      <c r="G29" s="6" t="s">
        <v>234</v>
      </c>
      <c r="H29" s="2" t="s">
        <v>246</v>
      </c>
      <c r="I29" s="2" t="s">
        <v>189</v>
      </c>
      <c r="J29" s="2" t="s">
        <v>19</v>
      </c>
      <c r="K29" s="2" t="s">
        <v>34</v>
      </c>
      <c r="L29" s="7" t="str">
        <f>HYPERLINK("http://slimages.macys.com/is/image/MCY/10892064 ")</f>
        <v xml:space="preserve">http://slimages.macys.com/is/image/MCY/10892064 </v>
      </c>
    </row>
    <row r="30" spans="1:12" x14ac:dyDescent="0.25">
      <c r="A30" s="4" t="s">
        <v>9915</v>
      </c>
      <c r="B30" s="2" t="s">
        <v>6300</v>
      </c>
      <c r="C30" s="3">
        <v>1</v>
      </c>
      <c r="D30" s="5">
        <v>79.5</v>
      </c>
      <c r="E30" s="3" t="s">
        <v>6301</v>
      </c>
      <c r="F30" s="2" t="s">
        <v>74</v>
      </c>
      <c r="G30" s="6" t="s">
        <v>336</v>
      </c>
      <c r="H30" s="2" t="s">
        <v>206</v>
      </c>
      <c r="I30" s="2" t="s">
        <v>1010</v>
      </c>
      <c r="J30" s="2" t="s">
        <v>19</v>
      </c>
      <c r="K30" s="2" t="s">
        <v>3423</v>
      </c>
      <c r="L30" s="7" t="str">
        <f>HYPERLINK("http://slimages.macys.com/is/image/MCY/10121611 ")</f>
        <v xml:space="preserve">http://slimages.macys.com/is/image/MCY/10121611 </v>
      </c>
    </row>
    <row r="31" spans="1:12" x14ac:dyDescent="0.25">
      <c r="A31" s="4" t="s">
        <v>6302</v>
      </c>
      <c r="B31" s="2" t="s">
        <v>6300</v>
      </c>
      <c r="C31" s="3">
        <v>1</v>
      </c>
      <c r="D31" s="5">
        <v>79.5</v>
      </c>
      <c r="E31" s="3" t="s">
        <v>6301</v>
      </c>
      <c r="F31" s="2" t="s">
        <v>74</v>
      </c>
      <c r="G31" s="6" t="s">
        <v>165</v>
      </c>
      <c r="H31" s="2" t="s">
        <v>206</v>
      </c>
      <c r="I31" s="2" t="s">
        <v>1010</v>
      </c>
      <c r="J31" s="2" t="s">
        <v>19</v>
      </c>
      <c r="K31" s="2" t="s">
        <v>3423</v>
      </c>
      <c r="L31" s="7" t="str">
        <f>HYPERLINK("http://slimages.macys.com/is/image/MCY/10121611 ")</f>
        <v xml:space="preserve">http://slimages.macys.com/is/image/MCY/10121611 </v>
      </c>
    </row>
    <row r="32" spans="1:12" x14ac:dyDescent="0.25">
      <c r="A32" s="4" t="s">
        <v>9916</v>
      </c>
      <c r="B32" s="2" t="s">
        <v>6300</v>
      </c>
      <c r="C32" s="3">
        <v>2</v>
      </c>
      <c r="D32" s="5">
        <v>79.5</v>
      </c>
      <c r="E32" s="3" t="s">
        <v>6301</v>
      </c>
      <c r="F32" s="2" t="s">
        <v>74</v>
      </c>
      <c r="G32" s="6" t="s">
        <v>363</v>
      </c>
      <c r="H32" s="2" t="s">
        <v>206</v>
      </c>
      <c r="I32" s="2" t="s">
        <v>1010</v>
      </c>
      <c r="J32" s="2" t="s">
        <v>19</v>
      </c>
      <c r="K32" s="2" t="s">
        <v>3423</v>
      </c>
      <c r="L32" s="7" t="str">
        <f>HYPERLINK("http://slimages.macys.com/is/image/MCY/10121611 ")</f>
        <v xml:space="preserve">http://slimages.macys.com/is/image/MCY/10121611 </v>
      </c>
    </row>
    <row r="33" spans="1:12" ht="24.75" x14ac:dyDescent="0.25">
      <c r="A33" s="4" t="s">
        <v>9917</v>
      </c>
      <c r="B33" s="2" t="s">
        <v>8915</v>
      </c>
      <c r="C33" s="3">
        <v>1</v>
      </c>
      <c r="D33" s="5">
        <v>59.63</v>
      </c>
      <c r="E33" s="3" t="s">
        <v>8916</v>
      </c>
      <c r="F33" s="2" t="s">
        <v>26</v>
      </c>
      <c r="G33" s="6" t="s">
        <v>2276</v>
      </c>
      <c r="H33" s="2" t="s">
        <v>349</v>
      </c>
      <c r="I33" s="2" t="s">
        <v>8917</v>
      </c>
      <c r="J33" s="2" t="s">
        <v>19</v>
      </c>
      <c r="K33" s="2" t="s">
        <v>1480</v>
      </c>
      <c r="L33" s="7" t="str">
        <f>HYPERLINK("http://slimages.macys.com/is/image/MCY/11712555 ")</f>
        <v xml:space="preserve">http://slimages.macys.com/is/image/MCY/11712555 </v>
      </c>
    </row>
    <row r="34" spans="1:12" ht="24.75" x14ac:dyDescent="0.25">
      <c r="A34" s="4" t="s">
        <v>9918</v>
      </c>
      <c r="B34" s="2" t="s">
        <v>8452</v>
      </c>
      <c r="C34" s="3">
        <v>1</v>
      </c>
      <c r="D34" s="5">
        <v>79.5</v>
      </c>
      <c r="E34" s="3">
        <v>100062618</v>
      </c>
      <c r="F34" s="2" t="s">
        <v>64</v>
      </c>
      <c r="G34" s="6" t="s">
        <v>2208</v>
      </c>
      <c r="H34" s="2" t="s">
        <v>386</v>
      </c>
      <c r="I34" s="2" t="s">
        <v>337</v>
      </c>
      <c r="J34" s="2" t="s">
        <v>19</v>
      </c>
      <c r="K34" s="2" t="s">
        <v>929</v>
      </c>
      <c r="L34" s="7" t="str">
        <f>HYPERLINK("http://slimages.macys.com/is/image/MCY/12231398 ")</f>
        <v xml:space="preserve">http://slimages.macys.com/is/image/MCY/12231398 </v>
      </c>
    </row>
    <row r="35" spans="1:12" x14ac:dyDescent="0.25">
      <c r="A35" s="4" t="s">
        <v>9919</v>
      </c>
      <c r="B35" s="2" t="s">
        <v>9920</v>
      </c>
      <c r="C35" s="3">
        <v>1</v>
      </c>
      <c r="D35" s="5">
        <v>89.5</v>
      </c>
      <c r="E35" s="3" t="s">
        <v>9921</v>
      </c>
      <c r="F35" s="2" t="s">
        <v>70</v>
      </c>
      <c r="G35" s="6" t="s">
        <v>219</v>
      </c>
      <c r="H35" s="2" t="s">
        <v>206</v>
      </c>
      <c r="I35" s="2" t="s">
        <v>207</v>
      </c>
      <c r="J35" s="2" t="s">
        <v>19</v>
      </c>
      <c r="K35" s="2" t="s">
        <v>422</v>
      </c>
      <c r="L35" s="7" t="str">
        <f>HYPERLINK("http://slimages.macys.com/is/image/MCY/11539500 ")</f>
        <v xml:space="preserve">http://slimages.macys.com/is/image/MCY/11539500 </v>
      </c>
    </row>
    <row r="36" spans="1:12" ht="24.75" x14ac:dyDescent="0.25">
      <c r="A36" s="4" t="s">
        <v>9922</v>
      </c>
      <c r="B36" s="2" t="s">
        <v>250</v>
      </c>
      <c r="C36" s="3">
        <v>2</v>
      </c>
      <c r="D36" s="5">
        <v>52.13</v>
      </c>
      <c r="E36" s="3" t="s">
        <v>9923</v>
      </c>
      <c r="F36" s="2" t="s">
        <v>252</v>
      </c>
      <c r="G36" s="6" t="s">
        <v>126</v>
      </c>
      <c r="H36" s="2" t="s">
        <v>188</v>
      </c>
      <c r="I36" s="2" t="s">
        <v>214</v>
      </c>
      <c r="J36" s="2" t="s">
        <v>19</v>
      </c>
      <c r="K36" s="2" t="s">
        <v>253</v>
      </c>
      <c r="L36" s="7" t="str">
        <f t="shared" ref="L36:L42" si="1">HYPERLINK("http://slimages.macys.com/is/image/MCY/11939812 ")</f>
        <v xml:space="preserve">http://slimages.macys.com/is/image/MCY/11939812 </v>
      </c>
    </row>
    <row r="37" spans="1:12" ht="24.75" x14ac:dyDescent="0.25">
      <c r="A37" s="4" t="s">
        <v>9924</v>
      </c>
      <c r="B37" s="2" t="s">
        <v>250</v>
      </c>
      <c r="C37" s="3">
        <v>1</v>
      </c>
      <c r="D37" s="5">
        <v>52.13</v>
      </c>
      <c r="E37" s="3" t="s">
        <v>9923</v>
      </c>
      <c r="F37" s="2" t="s">
        <v>252</v>
      </c>
      <c r="G37" s="6" t="s">
        <v>363</v>
      </c>
      <c r="H37" s="2" t="s">
        <v>188</v>
      </c>
      <c r="I37" s="2" t="s">
        <v>214</v>
      </c>
      <c r="J37" s="2" t="s">
        <v>19</v>
      </c>
      <c r="K37" s="2" t="s">
        <v>253</v>
      </c>
      <c r="L37" s="7" t="str">
        <f t="shared" si="1"/>
        <v xml:space="preserve">http://slimages.macys.com/is/image/MCY/11939812 </v>
      </c>
    </row>
    <row r="38" spans="1:12" ht="24.75" x14ac:dyDescent="0.25">
      <c r="A38" s="4" t="s">
        <v>9925</v>
      </c>
      <c r="B38" s="2" t="s">
        <v>250</v>
      </c>
      <c r="C38" s="3">
        <v>2</v>
      </c>
      <c r="D38" s="5">
        <v>52.13</v>
      </c>
      <c r="E38" s="3" t="s">
        <v>9923</v>
      </c>
      <c r="F38" s="2" t="s">
        <v>252</v>
      </c>
      <c r="G38" s="6" t="s">
        <v>205</v>
      </c>
      <c r="H38" s="2" t="s">
        <v>188</v>
      </c>
      <c r="I38" s="2" t="s">
        <v>214</v>
      </c>
      <c r="J38" s="2" t="s">
        <v>19</v>
      </c>
      <c r="K38" s="2" t="s">
        <v>253</v>
      </c>
      <c r="L38" s="7" t="str">
        <f t="shared" si="1"/>
        <v xml:space="preserve">http://slimages.macys.com/is/image/MCY/11939812 </v>
      </c>
    </row>
    <row r="39" spans="1:12" ht="24.75" x14ac:dyDescent="0.25">
      <c r="A39" s="4" t="s">
        <v>9926</v>
      </c>
      <c r="B39" s="2" t="s">
        <v>250</v>
      </c>
      <c r="C39" s="3">
        <v>1</v>
      </c>
      <c r="D39" s="5">
        <v>52.13</v>
      </c>
      <c r="E39" s="3" t="s">
        <v>9923</v>
      </c>
      <c r="F39" s="2" t="s">
        <v>252</v>
      </c>
      <c r="G39" s="6" t="s">
        <v>165</v>
      </c>
      <c r="H39" s="2" t="s">
        <v>188</v>
      </c>
      <c r="I39" s="2" t="s">
        <v>214</v>
      </c>
      <c r="J39" s="2" t="s">
        <v>19</v>
      </c>
      <c r="K39" s="2" t="s">
        <v>253</v>
      </c>
      <c r="L39" s="7" t="str">
        <f t="shared" si="1"/>
        <v xml:space="preserve">http://slimages.macys.com/is/image/MCY/11939812 </v>
      </c>
    </row>
    <row r="40" spans="1:12" ht="24.75" x14ac:dyDescent="0.25">
      <c r="A40" s="4" t="s">
        <v>9927</v>
      </c>
      <c r="B40" s="2" t="s">
        <v>250</v>
      </c>
      <c r="C40" s="3">
        <v>1</v>
      </c>
      <c r="D40" s="5">
        <v>52.13</v>
      </c>
      <c r="E40" s="3" t="s">
        <v>9923</v>
      </c>
      <c r="F40" s="2" t="s">
        <v>252</v>
      </c>
      <c r="G40" s="6" t="s">
        <v>336</v>
      </c>
      <c r="H40" s="2" t="s">
        <v>188</v>
      </c>
      <c r="I40" s="2" t="s">
        <v>214</v>
      </c>
      <c r="J40" s="2" t="s">
        <v>19</v>
      </c>
      <c r="K40" s="2" t="s">
        <v>253</v>
      </c>
      <c r="L40" s="7" t="str">
        <f t="shared" si="1"/>
        <v xml:space="preserve">http://slimages.macys.com/is/image/MCY/11939812 </v>
      </c>
    </row>
    <row r="41" spans="1:12" ht="24.75" x14ac:dyDescent="0.25">
      <c r="A41" s="4" t="s">
        <v>9928</v>
      </c>
      <c r="B41" s="2" t="s">
        <v>250</v>
      </c>
      <c r="C41" s="3">
        <v>2</v>
      </c>
      <c r="D41" s="5">
        <v>52.13</v>
      </c>
      <c r="E41" s="3" t="s">
        <v>9923</v>
      </c>
      <c r="F41" s="2" t="s">
        <v>252</v>
      </c>
      <c r="G41" s="6" t="s">
        <v>934</v>
      </c>
      <c r="H41" s="2" t="s">
        <v>188</v>
      </c>
      <c r="I41" s="2" t="s">
        <v>214</v>
      </c>
      <c r="J41" s="2" t="s">
        <v>19</v>
      </c>
      <c r="K41" s="2" t="s">
        <v>253</v>
      </c>
      <c r="L41" s="7" t="str">
        <f t="shared" si="1"/>
        <v xml:space="preserve">http://slimages.macys.com/is/image/MCY/11939812 </v>
      </c>
    </row>
    <row r="42" spans="1:12" ht="24.75" x14ac:dyDescent="0.25">
      <c r="A42" s="4" t="s">
        <v>9929</v>
      </c>
      <c r="B42" s="2" t="s">
        <v>250</v>
      </c>
      <c r="C42" s="3">
        <v>1</v>
      </c>
      <c r="D42" s="5">
        <v>52.13</v>
      </c>
      <c r="E42" s="3" t="s">
        <v>9923</v>
      </c>
      <c r="F42" s="2" t="s">
        <v>252</v>
      </c>
      <c r="G42" s="6" t="s">
        <v>238</v>
      </c>
      <c r="H42" s="2" t="s">
        <v>188</v>
      </c>
      <c r="I42" s="2" t="s">
        <v>214</v>
      </c>
      <c r="J42" s="2" t="s">
        <v>19</v>
      </c>
      <c r="K42" s="2" t="s">
        <v>253</v>
      </c>
      <c r="L42" s="7" t="str">
        <f t="shared" si="1"/>
        <v xml:space="preserve">http://slimages.macys.com/is/image/MCY/11939812 </v>
      </c>
    </row>
    <row r="43" spans="1:12" ht="24.75" x14ac:dyDescent="0.25">
      <c r="A43" s="4" t="s">
        <v>9930</v>
      </c>
      <c r="B43" s="2" t="s">
        <v>3355</v>
      </c>
      <c r="C43" s="3">
        <v>1</v>
      </c>
      <c r="D43" s="5">
        <v>59.63</v>
      </c>
      <c r="E43" s="3" t="s">
        <v>9931</v>
      </c>
      <c r="F43" s="2" t="s">
        <v>64</v>
      </c>
      <c r="G43" s="6" t="s">
        <v>219</v>
      </c>
      <c r="H43" s="2" t="s">
        <v>188</v>
      </c>
      <c r="I43" s="2" t="s">
        <v>189</v>
      </c>
      <c r="J43" s="2" t="s">
        <v>19</v>
      </c>
      <c r="K43" s="2" t="s">
        <v>9932</v>
      </c>
      <c r="L43" s="7" t="str">
        <f>HYPERLINK("http://slimages.macys.com/is/image/MCY/11420502 ")</f>
        <v xml:space="preserve">http://slimages.macys.com/is/image/MCY/11420502 </v>
      </c>
    </row>
    <row r="44" spans="1:12" ht="24.75" x14ac:dyDescent="0.25">
      <c r="A44" s="4" t="s">
        <v>9933</v>
      </c>
      <c r="B44" s="2" t="s">
        <v>9934</v>
      </c>
      <c r="C44" s="3">
        <v>1</v>
      </c>
      <c r="D44" s="5">
        <v>74.5</v>
      </c>
      <c r="E44" s="3" t="s">
        <v>9935</v>
      </c>
      <c r="F44" s="2" t="s">
        <v>111</v>
      </c>
      <c r="G44" s="6" t="s">
        <v>187</v>
      </c>
      <c r="H44" s="2" t="s">
        <v>127</v>
      </c>
      <c r="I44" s="2" t="s">
        <v>128</v>
      </c>
      <c r="J44" s="2" t="s">
        <v>19</v>
      </c>
      <c r="K44" s="2" t="s">
        <v>160</v>
      </c>
      <c r="L44" s="7" t="str">
        <f>HYPERLINK("http://slimages.macys.com/is/image/MCY/13533071 ")</f>
        <v xml:space="preserve">http://slimages.macys.com/is/image/MCY/13533071 </v>
      </c>
    </row>
    <row r="45" spans="1:12" ht="24.75" x14ac:dyDescent="0.25">
      <c r="A45" s="4" t="s">
        <v>7078</v>
      </c>
      <c r="B45" s="2" t="s">
        <v>7079</v>
      </c>
      <c r="C45" s="3">
        <v>1</v>
      </c>
      <c r="D45" s="5">
        <v>52.13</v>
      </c>
      <c r="E45" s="3" t="s">
        <v>7080</v>
      </c>
      <c r="F45" s="2" t="s">
        <v>26</v>
      </c>
      <c r="G45" s="6" t="s">
        <v>181</v>
      </c>
      <c r="H45" s="2" t="s">
        <v>194</v>
      </c>
      <c r="I45" s="2" t="s">
        <v>580</v>
      </c>
      <c r="J45" s="2" t="s">
        <v>19</v>
      </c>
      <c r="K45" s="2" t="s">
        <v>1082</v>
      </c>
      <c r="L45" s="7" t="str">
        <f>HYPERLINK("http://slimages.macys.com/is/image/MCY/12404786 ")</f>
        <v xml:space="preserve">http://slimages.macys.com/is/image/MCY/12404786 </v>
      </c>
    </row>
    <row r="46" spans="1:12" ht="24.75" x14ac:dyDescent="0.25">
      <c r="A46" s="4" t="s">
        <v>3357</v>
      </c>
      <c r="B46" s="2" t="s">
        <v>3358</v>
      </c>
      <c r="C46" s="3">
        <v>1</v>
      </c>
      <c r="D46" s="5">
        <v>52.13</v>
      </c>
      <c r="E46" s="3" t="s">
        <v>3359</v>
      </c>
      <c r="F46" s="2" t="s">
        <v>26</v>
      </c>
      <c r="G46" s="6" t="s">
        <v>154</v>
      </c>
      <c r="H46" s="2" t="s">
        <v>246</v>
      </c>
      <c r="I46" s="2" t="s">
        <v>189</v>
      </c>
      <c r="J46" s="2" t="s">
        <v>19</v>
      </c>
      <c r="K46" s="2" t="s">
        <v>705</v>
      </c>
      <c r="L46" s="7" t="str">
        <f>HYPERLINK("http://slimages.macys.com/is/image/MCY/13300525 ")</f>
        <v xml:space="preserve">http://slimages.macys.com/is/image/MCY/13300525 </v>
      </c>
    </row>
    <row r="47" spans="1:12" ht="24.75" x14ac:dyDescent="0.25">
      <c r="A47" s="4" t="s">
        <v>9936</v>
      </c>
      <c r="B47" s="2" t="s">
        <v>3362</v>
      </c>
      <c r="C47" s="3">
        <v>1</v>
      </c>
      <c r="D47" s="5">
        <v>62.65</v>
      </c>
      <c r="E47" s="3" t="s">
        <v>277</v>
      </c>
      <c r="F47" s="2" t="s">
        <v>57</v>
      </c>
      <c r="G47" s="6" t="s">
        <v>245</v>
      </c>
      <c r="H47" s="2" t="s">
        <v>182</v>
      </c>
      <c r="I47" s="2" t="s">
        <v>183</v>
      </c>
      <c r="J47" s="2" t="s">
        <v>19</v>
      </c>
      <c r="K47" s="2" t="s">
        <v>208</v>
      </c>
      <c r="L47" s="7" t="str">
        <f>HYPERLINK("http://slimages.macys.com/is/image/MCY/12343023 ")</f>
        <v xml:space="preserve">http://slimages.macys.com/is/image/MCY/12343023 </v>
      </c>
    </row>
    <row r="48" spans="1:12" ht="24.75" x14ac:dyDescent="0.25">
      <c r="A48" s="4" t="s">
        <v>9937</v>
      </c>
      <c r="B48" s="2" t="s">
        <v>9938</v>
      </c>
      <c r="C48" s="3">
        <v>1</v>
      </c>
      <c r="D48" s="5">
        <v>69.5</v>
      </c>
      <c r="E48" s="3">
        <v>100041094</v>
      </c>
      <c r="F48" s="2" t="s">
        <v>572</v>
      </c>
      <c r="G48" s="6" t="s">
        <v>22</v>
      </c>
      <c r="H48" s="2" t="s">
        <v>386</v>
      </c>
      <c r="I48" s="2" t="s">
        <v>391</v>
      </c>
      <c r="J48" s="2" t="s">
        <v>19</v>
      </c>
      <c r="K48" s="2" t="s">
        <v>253</v>
      </c>
      <c r="L48" s="7" t="str">
        <f>HYPERLINK("http://slimages.macys.com/is/image/MCY/9973627 ")</f>
        <v xml:space="preserve">http://slimages.macys.com/is/image/MCY/9973627 </v>
      </c>
    </row>
    <row r="49" spans="1:12" ht="36.75" x14ac:dyDescent="0.25">
      <c r="A49" s="4" t="s">
        <v>6320</v>
      </c>
      <c r="B49" s="2" t="s">
        <v>2198</v>
      </c>
      <c r="C49" s="3">
        <v>1</v>
      </c>
      <c r="D49" s="5">
        <v>52.13</v>
      </c>
      <c r="E49" s="3">
        <v>100020408</v>
      </c>
      <c r="F49" s="2" t="s">
        <v>26</v>
      </c>
      <c r="G49" s="6" t="s">
        <v>200</v>
      </c>
      <c r="H49" s="2" t="s">
        <v>194</v>
      </c>
      <c r="I49" s="2" t="s">
        <v>195</v>
      </c>
      <c r="J49" s="2" t="s">
        <v>19</v>
      </c>
      <c r="K49" s="2" t="s">
        <v>2199</v>
      </c>
      <c r="L49" s="7" t="str">
        <f>HYPERLINK("http://slimages.macys.com/is/image/MCY/9504840 ")</f>
        <v xml:space="preserve">http://slimages.macys.com/is/image/MCY/9504840 </v>
      </c>
    </row>
    <row r="50" spans="1:12" ht="36.75" x14ac:dyDescent="0.25">
      <c r="A50" s="4" t="s">
        <v>9939</v>
      </c>
      <c r="B50" s="2" t="s">
        <v>9940</v>
      </c>
      <c r="C50" s="3">
        <v>1</v>
      </c>
      <c r="D50" s="5">
        <v>69.5</v>
      </c>
      <c r="E50" s="3" t="s">
        <v>9941</v>
      </c>
      <c r="F50" s="2" t="s">
        <v>26</v>
      </c>
      <c r="G50" s="6"/>
      <c r="H50" s="2" t="s">
        <v>127</v>
      </c>
      <c r="I50" s="2" t="s">
        <v>128</v>
      </c>
      <c r="J50" s="2" t="s">
        <v>19</v>
      </c>
      <c r="K50" s="2" t="s">
        <v>274</v>
      </c>
      <c r="L50" s="7" t="str">
        <f>HYPERLINK("http://slimages.macys.com/is/image/MCY/11947439 ")</f>
        <v xml:space="preserve">http://slimages.macys.com/is/image/MCY/11947439 </v>
      </c>
    </row>
    <row r="51" spans="1:12" ht="24.75" x14ac:dyDescent="0.25">
      <c r="A51" s="4" t="s">
        <v>9942</v>
      </c>
      <c r="B51" s="2" t="s">
        <v>297</v>
      </c>
      <c r="C51" s="3">
        <v>1</v>
      </c>
      <c r="D51" s="5">
        <v>59.63</v>
      </c>
      <c r="E51" s="3" t="s">
        <v>298</v>
      </c>
      <c r="F51" s="2" t="s">
        <v>48</v>
      </c>
      <c r="G51" s="6" t="s">
        <v>65</v>
      </c>
      <c r="H51" s="2" t="s">
        <v>246</v>
      </c>
      <c r="I51" s="2" t="s">
        <v>189</v>
      </c>
      <c r="J51" s="2" t="s">
        <v>19</v>
      </c>
      <c r="K51" s="2" t="s">
        <v>208</v>
      </c>
      <c r="L51" s="7" t="str">
        <f>HYPERLINK("http://slimages.macys.com/is/image/MCY/12158412 ")</f>
        <v xml:space="preserve">http://slimages.macys.com/is/image/MCY/12158412 </v>
      </c>
    </row>
    <row r="52" spans="1:12" ht="24.75" x14ac:dyDescent="0.25">
      <c r="A52" s="4" t="s">
        <v>9943</v>
      </c>
      <c r="B52" s="2" t="s">
        <v>297</v>
      </c>
      <c r="C52" s="3">
        <v>1</v>
      </c>
      <c r="D52" s="5">
        <v>59.63</v>
      </c>
      <c r="E52" s="3" t="s">
        <v>298</v>
      </c>
      <c r="F52" s="2" t="s">
        <v>74</v>
      </c>
      <c r="G52" s="6" t="s">
        <v>106</v>
      </c>
      <c r="H52" s="2" t="s">
        <v>246</v>
      </c>
      <c r="I52" s="2" t="s">
        <v>189</v>
      </c>
      <c r="J52" s="2" t="s">
        <v>19</v>
      </c>
      <c r="K52" s="2" t="s">
        <v>208</v>
      </c>
      <c r="L52" s="7" t="str">
        <f>HYPERLINK("http://slimages.macys.com/is/image/MCY/12158412 ")</f>
        <v xml:space="preserve">http://slimages.macys.com/is/image/MCY/12158412 </v>
      </c>
    </row>
    <row r="53" spans="1:12" ht="24.75" x14ac:dyDescent="0.25">
      <c r="A53" s="4" t="s">
        <v>8472</v>
      </c>
      <c r="B53" s="2" t="s">
        <v>8473</v>
      </c>
      <c r="C53" s="3">
        <v>1</v>
      </c>
      <c r="D53" s="5">
        <v>52.13</v>
      </c>
      <c r="E53" s="3" t="s">
        <v>8474</v>
      </c>
      <c r="F53" s="2" t="s">
        <v>5415</v>
      </c>
      <c r="G53" s="6" t="s">
        <v>154</v>
      </c>
      <c r="H53" s="2" t="s">
        <v>246</v>
      </c>
      <c r="I53" s="2" t="s">
        <v>189</v>
      </c>
      <c r="J53" s="2" t="s">
        <v>19</v>
      </c>
      <c r="K53" s="2" t="s">
        <v>263</v>
      </c>
      <c r="L53" s="7" t="str">
        <f t="shared" ref="L53:L59" si="2">HYPERLINK("http://slimages.macys.com/is/image/MCY/11972329 ")</f>
        <v xml:space="preserve">http://slimages.macys.com/is/image/MCY/11972329 </v>
      </c>
    </row>
    <row r="54" spans="1:12" ht="24.75" x14ac:dyDescent="0.25">
      <c r="A54" s="4" t="s">
        <v>9944</v>
      </c>
      <c r="B54" s="2" t="s">
        <v>8473</v>
      </c>
      <c r="C54" s="3">
        <v>2</v>
      </c>
      <c r="D54" s="5">
        <v>52.13</v>
      </c>
      <c r="E54" s="3" t="s">
        <v>8474</v>
      </c>
      <c r="F54" s="2" t="s">
        <v>5415</v>
      </c>
      <c r="G54" s="6" t="s">
        <v>181</v>
      </c>
      <c r="H54" s="2" t="s">
        <v>246</v>
      </c>
      <c r="I54" s="2" t="s">
        <v>189</v>
      </c>
      <c r="J54" s="2" t="s">
        <v>19</v>
      </c>
      <c r="K54" s="2" t="s">
        <v>263</v>
      </c>
      <c r="L54" s="7" t="str">
        <f t="shared" si="2"/>
        <v xml:space="preserve">http://slimages.macys.com/is/image/MCY/11972329 </v>
      </c>
    </row>
    <row r="55" spans="1:12" ht="24.75" x14ac:dyDescent="0.25">
      <c r="A55" s="4" t="s">
        <v>9945</v>
      </c>
      <c r="B55" s="2" t="s">
        <v>7087</v>
      </c>
      <c r="C55" s="3">
        <v>1</v>
      </c>
      <c r="D55" s="5">
        <v>52.13</v>
      </c>
      <c r="E55" s="3" t="s">
        <v>7088</v>
      </c>
      <c r="F55" s="2" t="s">
        <v>74</v>
      </c>
      <c r="G55" s="6" t="s">
        <v>200</v>
      </c>
      <c r="H55" s="2" t="s">
        <v>246</v>
      </c>
      <c r="I55" s="2" t="s">
        <v>189</v>
      </c>
      <c r="J55" s="2" t="s">
        <v>19</v>
      </c>
      <c r="K55" s="2" t="s">
        <v>263</v>
      </c>
      <c r="L55" s="7" t="str">
        <f t="shared" si="2"/>
        <v xml:space="preserve">http://slimages.macys.com/is/image/MCY/11972329 </v>
      </c>
    </row>
    <row r="56" spans="1:12" ht="24.75" x14ac:dyDescent="0.25">
      <c r="A56" s="4" t="s">
        <v>9327</v>
      </c>
      <c r="B56" s="2" t="s">
        <v>7087</v>
      </c>
      <c r="C56" s="3">
        <v>4</v>
      </c>
      <c r="D56" s="5">
        <v>52.13</v>
      </c>
      <c r="E56" s="3" t="s">
        <v>7088</v>
      </c>
      <c r="F56" s="2" t="s">
        <v>74</v>
      </c>
      <c r="G56" s="6" t="s">
        <v>154</v>
      </c>
      <c r="H56" s="2" t="s">
        <v>246</v>
      </c>
      <c r="I56" s="2" t="s">
        <v>189</v>
      </c>
      <c r="J56" s="2" t="s">
        <v>19</v>
      </c>
      <c r="K56" s="2" t="s">
        <v>263</v>
      </c>
      <c r="L56" s="7" t="str">
        <f t="shared" si="2"/>
        <v xml:space="preserve">http://slimages.macys.com/is/image/MCY/11972329 </v>
      </c>
    </row>
    <row r="57" spans="1:12" ht="24.75" x14ac:dyDescent="0.25">
      <c r="A57" s="4" t="s">
        <v>9946</v>
      </c>
      <c r="B57" s="2" t="s">
        <v>7087</v>
      </c>
      <c r="C57" s="3">
        <v>2</v>
      </c>
      <c r="D57" s="5">
        <v>52.13</v>
      </c>
      <c r="E57" s="3" t="s">
        <v>7088</v>
      </c>
      <c r="F57" s="2" t="s">
        <v>74</v>
      </c>
      <c r="G57" s="6" t="s">
        <v>234</v>
      </c>
      <c r="H57" s="2" t="s">
        <v>246</v>
      </c>
      <c r="I57" s="2" t="s">
        <v>189</v>
      </c>
      <c r="J57" s="2" t="s">
        <v>19</v>
      </c>
      <c r="K57" s="2" t="s">
        <v>263</v>
      </c>
      <c r="L57" s="7" t="str">
        <f t="shared" si="2"/>
        <v xml:space="preserve">http://slimages.macys.com/is/image/MCY/11972329 </v>
      </c>
    </row>
    <row r="58" spans="1:12" ht="24.75" x14ac:dyDescent="0.25">
      <c r="A58" s="4" t="s">
        <v>9947</v>
      </c>
      <c r="B58" s="2" t="s">
        <v>8473</v>
      </c>
      <c r="C58" s="3">
        <v>1</v>
      </c>
      <c r="D58" s="5">
        <v>52.13</v>
      </c>
      <c r="E58" s="3" t="s">
        <v>8474</v>
      </c>
      <c r="F58" s="2" t="s">
        <v>5415</v>
      </c>
      <c r="G58" s="6" t="s">
        <v>234</v>
      </c>
      <c r="H58" s="2" t="s">
        <v>246</v>
      </c>
      <c r="I58" s="2" t="s">
        <v>189</v>
      </c>
      <c r="J58" s="2" t="s">
        <v>19</v>
      </c>
      <c r="K58" s="2" t="s">
        <v>263</v>
      </c>
      <c r="L58" s="7" t="str">
        <f t="shared" si="2"/>
        <v xml:space="preserve">http://slimages.macys.com/is/image/MCY/11972329 </v>
      </c>
    </row>
    <row r="59" spans="1:12" ht="24.75" x14ac:dyDescent="0.25">
      <c r="A59" s="4" t="s">
        <v>9948</v>
      </c>
      <c r="B59" s="2" t="s">
        <v>7087</v>
      </c>
      <c r="C59" s="3">
        <v>2</v>
      </c>
      <c r="D59" s="5">
        <v>52.13</v>
      </c>
      <c r="E59" s="3" t="s">
        <v>7088</v>
      </c>
      <c r="F59" s="2" t="s">
        <v>74</v>
      </c>
      <c r="G59" s="6" t="s">
        <v>181</v>
      </c>
      <c r="H59" s="2" t="s">
        <v>246</v>
      </c>
      <c r="I59" s="2" t="s">
        <v>189</v>
      </c>
      <c r="J59" s="2" t="s">
        <v>19</v>
      </c>
      <c r="K59" s="2" t="s">
        <v>263</v>
      </c>
      <c r="L59" s="7" t="str">
        <f t="shared" si="2"/>
        <v xml:space="preserve">http://slimages.macys.com/is/image/MCY/11972329 </v>
      </c>
    </row>
    <row r="60" spans="1:12" ht="24.75" x14ac:dyDescent="0.25">
      <c r="A60" s="4" t="s">
        <v>6323</v>
      </c>
      <c r="B60" s="2" t="s">
        <v>4479</v>
      </c>
      <c r="C60" s="3">
        <v>1</v>
      </c>
      <c r="D60" s="5">
        <v>52.13</v>
      </c>
      <c r="E60" s="3" t="s">
        <v>4480</v>
      </c>
      <c r="F60" s="2" t="s">
        <v>26</v>
      </c>
      <c r="G60" s="6" t="s">
        <v>348</v>
      </c>
      <c r="H60" s="2" t="s">
        <v>349</v>
      </c>
      <c r="I60" s="2" t="s">
        <v>285</v>
      </c>
      <c r="J60" s="2" t="s">
        <v>19</v>
      </c>
      <c r="K60" s="2" t="s">
        <v>323</v>
      </c>
      <c r="L60" s="7" t="str">
        <f>HYPERLINK("http://slimages.macys.com/is/image/MCY/11708086 ")</f>
        <v xml:space="preserve">http://slimages.macys.com/is/image/MCY/11708086 </v>
      </c>
    </row>
    <row r="61" spans="1:12" ht="24.75" x14ac:dyDescent="0.25">
      <c r="A61" s="4" t="s">
        <v>9949</v>
      </c>
      <c r="B61" s="2" t="s">
        <v>9950</v>
      </c>
      <c r="C61" s="3">
        <v>1</v>
      </c>
      <c r="D61" s="5">
        <v>50.65</v>
      </c>
      <c r="E61" s="3" t="s">
        <v>270</v>
      </c>
      <c r="F61" s="2" t="s">
        <v>26</v>
      </c>
      <c r="G61" s="6" t="s">
        <v>156</v>
      </c>
      <c r="H61" s="2" t="s">
        <v>182</v>
      </c>
      <c r="I61" s="2" t="s">
        <v>183</v>
      </c>
      <c r="J61" s="2" t="s">
        <v>19</v>
      </c>
      <c r="K61" s="2" t="s">
        <v>208</v>
      </c>
      <c r="L61" s="7" t="str">
        <f>HYPERLINK("http://slimages.macys.com/is/image/MCY/12465154 ")</f>
        <v xml:space="preserve">http://slimages.macys.com/is/image/MCY/12465154 </v>
      </c>
    </row>
    <row r="62" spans="1:12" ht="24.75" x14ac:dyDescent="0.25">
      <c r="A62" s="4" t="s">
        <v>9951</v>
      </c>
      <c r="B62" s="2" t="s">
        <v>9952</v>
      </c>
      <c r="C62" s="3">
        <v>3</v>
      </c>
      <c r="D62" s="5">
        <v>89.5</v>
      </c>
      <c r="E62" s="3" t="s">
        <v>9953</v>
      </c>
      <c r="F62" s="2" t="s">
        <v>820</v>
      </c>
      <c r="G62" s="6"/>
      <c r="H62" s="2" t="s">
        <v>206</v>
      </c>
      <c r="I62" s="2" t="s">
        <v>207</v>
      </c>
      <c r="J62" s="2" t="s">
        <v>19</v>
      </c>
      <c r="K62" s="2" t="s">
        <v>9954</v>
      </c>
      <c r="L62" s="7" t="str">
        <f>HYPERLINK("http://slimages.macys.com/is/image/MCY/11711136 ")</f>
        <v xml:space="preserve">http://slimages.macys.com/is/image/MCY/11711136 </v>
      </c>
    </row>
    <row r="63" spans="1:12" ht="24.75" x14ac:dyDescent="0.25">
      <c r="A63" s="4" t="s">
        <v>9955</v>
      </c>
      <c r="B63" s="2" t="s">
        <v>9952</v>
      </c>
      <c r="C63" s="3">
        <v>1</v>
      </c>
      <c r="D63" s="5">
        <v>89.5</v>
      </c>
      <c r="E63" s="3" t="s">
        <v>9953</v>
      </c>
      <c r="F63" s="2" t="s">
        <v>820</v>
      </c>
      <c r="G63" s="6" t="s">
        <v>187</v>
      </c>
      <c r="H63" s="2" t="s">
        <v>206</v>
      </c>
      <c r="I63" s="2" t="s">
        <v>207</v>
      </c>
      <c r="J63" s="2" t="s">
        <v>19</v>
      </c>
      <c r="K63" s="2" t="s">
        <v>9954</v>
      </c>
      <c r="L63" s="7" t="str">
        <f>HYPERLINK("http://slimages.macys.com/is/image/MCY/11711136 ")</f>
        <v xml:space="preserve">http://slimages.macys.com/is/image/MCY/11711136 </v>
      </c>
    </row>
    <row r="64" spans="1:12" ht="24.75" x14ac:dyDescent="0.25">
      <c r="A64" s="4" t="s">
        <v>9956</v>
      </c>
      <c r="B64" s="2" t="s">
        <v>9952</v>
      </c>
      <c r="C64" s="3">
        <v>2</v>
      </c>
      <c r="D64" s="5">
        <v>89.5</v>
      </c>
      <c r="E64" s="3" t="s">
        <v>9953</v>
      </c>
      <c r="F64" s="2" t="s">
        <v>820</v>
      </c>
      <c r="G64" s="6" t="s">
        <v>219</v>
      </c>
      <c r="H64" s="2" t="s">
        <v>206</v>
      </c>
      <c r="I64" s="2" t="s">
        <v>207</v>
      </c>
      <c r="J64" s="2" t="s">
        <v>19</v>
      </c>
      <c r="K64" s="2" t="s">
        <v>9954</v>
      </c>
      <c r="L64" s="7" t="str">
        <f>HYPERLINK("http://slimages.macys.com/is/image/MCY/11711136 ")</f>
        <v xml:space="preserve">http://slimages.macys.com/is/image/MCY/11711136 </v>
      </c>
    </row>
    <row r="65" spans="1:12" ht="24.75" x14ac:dyDescent="0.25">
      <c r="A65" s="4" t="s">
        <v>9957</v>
      </c>
      <c r="B65" s="2" t="s">
        <v>9952</v>
      </c>
      <c r="C65" s="3">
        <v>2</v>
      </c>
      <c r="D65" s="5">
        <v>89.5</v>
      </c>
      <c r="E65" s="3" t="s">
        <v>9953</v>
      </c>
      <c r="F65" s="2" t="s">
        <v>820</v>
      </c>
      <c r="G65" s="6"/>
      <c r="H65" s="2" t="s">
        <v>206</v>
      </c>
      <c r="I65" s="2" t="s">
        <v>207</v>
      </c>
      <c r="J65" s="2" t="s">
        <v>19</v>
      </c>
      <c r="K65" s="2" t="s">
        <v>9954</v>
      </c>
      <c r="L65" s="7" t="str">
        <f>HYPERLINK("http://slimages.macys.com/is/image/MCY/11711136 ")</f>
        <v xml:space="preserve">http://slimages.macys.com/is/image/MCY/11711136 </v>
      </c>
    </row>
    <row r="66" spans="1:12" ht="24.75" x14ac:dyDescent="0.25">
      <c r="A66" s="4" t="s">
        <v>9958</v>
      </c>
      <c r="B66" s="2" t="s">
        <v>9952</v>
      </c>
      <c r="C66" s="3">
        <v>1</v>
      </c>
      <c r="D66" s="5">
        <v>89.5</v>
      </c>
      <c r="E66" s="3" t="s">
        <v>9953</v>
      </c>
      <c r="F66" s="2" t="s">
        <v>820</v>
      </c>
      <c r="G66" s="6"/>
      <c r="H66" s="2" t="s">
        <v>206</v>
      </c>
      <c r="I66" s="2" t="s">
        <v>207</v>
      </c>
      <c r="J66" s="2" t="s">
        <v>19</v>
      </c>
      <c r="K66" s="2" t="s">
        <v>9954</v>
      </c>
      <c r="L66" s="7" t="str">
        <f>HYPERLINK("http://slimages.macys.com/is/image/MCY/11711136 ")</f>
        <v xml:space="preserve">http://slimages.macys.com/is/image/MCY/11711136 </v>
      </c>
    </row>
    <row r="67" spans="1:12" ht="24.75" x14ac:dyDescent="0.25">
      <c r="A67" s="4" t="s">
        <v>9959</v>
      </c>
      <c r="B67" s="2" t="s">
        <v>7087</v>
      </c>
      <c r="C67" s="3">
        <v>1</v>
      </c>
      <c r="D67" s="5">
        <v>52.13</v>
      </c>
      <c r="E67" s="3" t="s">
        <v>7088</v>
      </c>
      <c r="F67" s="2" t="s">
        <v>413</v>
      </c>
      <c r="G67" s="6" t="s">
        <v>154</v>
      </c>
      <c r="H67" s="2" t="s">
        <v>246</v>
      </c>
      <c r="I67" s="2" t="s">
        <v>189</v>
      </c>
      <c r="J67" s="2" t="s">
        <v>19</v>
      </c>
      <c r="K67" s="2" t="s">
        <v>263</v>
      </c>
      <c r="L67" s="7" t="str">
        <f>HYPERLINK("http://slimages.macys.com/is/image/MCY/11972331 ")</f>
        <v xml:space="preserve">http://slimages.macys.com/is/image/MCY/11972331 </v>
      </c>
    </row>
    <row r="68" spans="1:12" ht="24.75" x14ac:dyDescent="0.25">
      <c r="A68" s="4" t="s">
        <v>9960</v>
      </c>
      <c r="B68" s="2" t="s">
        <v>9961</v>
      </c>
      <c r="C68" s="3">
        <v>1</v>
      </c>
      <c r="D68" s="5">
        <v>59.5</v>
      </c>
      <c r="E68" s="3" t="s">
        <v>9962</v>
      </c>
      <c r="F68" s="2" t="s">
        <v>566</v>
      </c>
      <c r="G68" s="6" t="s">
        <v>219</v>
      </c>
      <c r="H68" s="2" t="s">
        <v>206</v>
      </c>
      <c r="I68" s="2" t="s">
        <v>9963</v>
      </c>
      <c r="J68" s="2" t="s">
        <v>2474</v>
      </c>
      <c r="K68" s="2" t="s">
        <v>160</v>
      </c>
      <c r="L68" s="7" t="str">
        <f>HYPERLINK("http://slimages.macys.com/is/image/MCY/11861909 ")</f>
        <v xml:space="preserve">http://slimages.macys.com/is/image/MCY/11861909 </v>
      </c>
    </row>
    <row r="69" spans="1:12" ht="24.75" x14ac:dyDescent="0.25">
      <c r="A69" s="4" t="s">
        <v>9964</v>
      </c>
      <c r="B69" s="2" t="s">
        <v>9965</v>
      </c>
      <c r="C69" s="3">
        <v>1</v>
      </c>
      <c r="D69" s="5">
        <v>39.99</v>
      </c>
      <c r="E69" s="3" t="s">
        <v>9966</v>
      </c>
      <c r="F69" s="2" t="s">
        <v>15</v>
      </c>
      <c r="G69" s="6" t="s">
        <v>5361</v>
      </c>
      <c r="H69" s="2" t="s">
        <v>1086</v>
      </c>
      <c r="I69" s="2" t="s">
        <v>1087</v>
      </c>
      <c r="J69" s="2" t="s">
        <v>19</v>
      </c>
      <c r="K69" s="2" t="s">
        <v>9967</v>
      </c>
      <c r="L69" s="7" t="str">
        <f>HYPERLINK("http://slimages.macys.com/is/image/MCY/8645419 ")</f>
        <v xml:space="preserve">http://slimages.macys.com/is/image/MCY/8645419 </v>
      </c>
    </row>
    <row r="70" spans="1:12" ht="24.75" x14ac:dyDescent="0.25">
      <c r="A70" s="4" t="s">
        <v>2241</v>
      </c>
      <c r="B70" s="2" t="s">
        <v>355</v>
      </c>
      <c r="C70" s="3">
        <v>1</v>
      </c>
      <c r="D70" s="5">
        <v>48</v>
      </c>
      <c r="E70" s="3">
        <v>100053387</v>
      </c>
      <c r="F70" s="2" t="s">
        <v>111</v>
      </c>
      <c r="G70" s="6" t="s">
        <v>58</v>
      </c>
      <c r="H70" s="2" t="s">
        <v>228</v>
      </c>
      <c r="I70" s="2" t="s">
        <v>229</v>
      </c>
      <c r="J70" s="2" t="s">
        <v>19</v>
      </c>
      <c r="K70" s="2" t="s">
        <v>338</v>
      </c>
      <c r="L70" s="7" t="str">
        <f>HYPERLINK("http://slimages.macys.com/is/image/MCY/13829477 ")</f>
        <v xml:space="preserve">http://slimages.macys.com/is/image/MCY/13829477 </v>
      </c>
    </row>
    <row r="71" spans="1:12" ht="24.75" x14ac:dyDescent="0.25">
      <c r="A71" s="4" t="s">
        <v>354</v>
      </c>
      <c r="B71" s="2" t="s">
        <v>355</v>
      </c>
      <c r="C71" s="3">
        <v>1</v>
      </c>
      <c r="D71" s="5">
        <v>48</v>
      </c>
      <c r="E71" s="3">
        <v>100053387</v>
      </c>
      <c r="F71" s="2" t="s">
        <v>111</v>
      </c>
      <c r="G71" s="6" t="s">
        <v>27</v>
      </c>
      <c r="H71" s="2" t="s">
        <v>228</v>
      </c>
      <c r="I71" s="2" t="s">
        <v>229</v>
      </c>
      <c r="J71" s="2" t="s">
        <v>19</v>
      </c>
      <c r="K71" s="2" t="s">
        <v>338</v>
      </c>
      <c r="L71" s="7" t="str">
        <f>HYPERLINK("http://slimages.macys.com/is/image/MCY/13829477 ")</f>
        <v xml:space="preserve">http://slimages.macys.com/is/image/MCY/13829477 </v>
      </c>
    </row>
    <row r="72" spans="1:12" ht="24.75" x14ac:dyDescent="0.25">
      <c r="A72" s="4" t="s">
        <v>357</v>
      </c>
      <c r="B72" s="2" t="s">
        <v>355</v>
      </c>
      <c r="C72" s="3">
        <v>1</v>
      </c>
      <c r="D72" s="5">
        <v>48</v>
      </c>
      <c r="E72" s="3">
        <v>100053387</v>
      </c>
      <c r="F72" s="2" t="s">
        <v>111</v>
      </c>
      <c r="G72" s="6" t="s">
        <v>16</v>
      </c>
      <c r="H72" s="2" t="s">
        <v>228</v>
      </c>
      <c r="I72" s="2" t="s">
        <v>229</v>
      </c>
      <c r="J72" s="2" t="s">
        <v>19</v>
      </c>
      <c r="K72" s="2" t="s">
        <v>338</v>
      </c>
      <c r="L72" s="7" t="str">
        <f>HYPERLINK("http://slimages.macys.com/is/image/MCY/13829477 ")</f>
        <v xml:space="preserve">http://slimages.macys.com/is/image/MCY/13829477 </v>
      </c>
    </row>
    <row r="73" spans="1:12" ht="24.75" x14ac:dyDescent="0.25">
      <c r="A73" s="4" t="s">
        <v>358</v>
      </c>
      <c r="B73" s="2" t="s">
        <v>359</v>
      </c>
      <c r="C73" s="3">
        <v>1</v>
      </c>
      <c r="D73" s="5">
        <v>59.5</v>
      </c>
      <c r="E73" s="3" t="s">
        <v>360</v>
      </c>
      <c r="F73" s="2" t="s">
        <v>26</v>
      </c>
      <c r="G73" s="6" t="s">
        <v>205</v>
      </c>
      <c r="H73" s="2" t="s">
        <v>127</v>
      </c>
      <c r="I73" s="2" t="s">
        <v>128</v>
      </c>
      <c r="J73" s="2" t="s">
        <v>19</v>
      </c>
      <c r="K73" s="2" t="s">
        <v>361</v>
      </c>
      <c r="L73" s="7" t="str">
        <f>HYPERLINK("http://slimages.macys.com/is/image/MCY/10890960 ")</f>
        <v xml:space="preserve">http://slimages.macys.com/is/image/MCY/10890960 </v>
      </c>
    </row>
    <row r="74" spans="1:12" ht="24.75" x14ac:dyDescent="0.25">
      <c r="A74" s="4" t="s">
        <v>9968</v>
      </c>
      <c r="B74" s="2" t="s">
        <v>9969</v>
      </c>
      <c r="C74" s="3">
        <v>1</v>
      </c>
      <c r="D74" s="5">
        <v>49</v>
      </c>
      <c r="E74" s="3" t="s">
        <v>9970</v>
      </c>
      <c r="F74" s="2" t="s">
        <v>74</v>
      </c>
      <c r="G74" s="6" t="s">
        <v>234</v>
      </c>
      <c r="H74" s="2" t="s">
        <v>17</v>
      </c>
      <c r="I74" s="2" t="s">
        <v>5356</v>
      </c>
      <c r="J74" s="2"/>
      <c r="K74" s="2" t="s">
        <v>75</v>
      </c>
      <c r="L74" s="7" t="str">
        <f>HYPERLINK("http://slimages.macys.com/is/image/MCY/11396595 ")</f>
        <v xml:space="preserve">http://slimages.macys.com/is/image/MCY/11396595 </v>
      </c>
    </row>
    <row r="75" spans="1:12" ht="24.75" x14ac:dyDescent="0.25">
      <c r="A75" s="4" t="s">
        <v>7105</v>
      </c>
      <c r="B75" s="2" t="s">
        <v>7106</v>
      </c>
      <c r="C75" s="3">
        <v>1</v>
      </c>
      <c r="D75" s="5">
        <v>67.13</v>
      </c>
      <c r="E75" s="3" t="s">
        <v>7107</v>
      </c>
      <c r="F75" s="2" t="s">
        <v>64</v>
      </c>
      <c r="G75" s="6" t="s">
        <v>234</v>
      </c>
      <c r="H75" s="2" t="s">
        <v>246</v>
      </c>
      <c r="I75" s="2" t="s">
        <v>189</v>
      </c>
      <c r="J75" s="2" t="s">
        <v>19</v>
      </c>
      <c r="K75" s="2" t="s">
        <v>3423</v>
      </c>
      <c r="L75" s="7" t="str">
        <f>HYPERLINK("http://slimages.macys.com/is/image/MCY/12057972 ")</f>
        <v xml:space="preserve">http://slimages.macys.com/is/image/MCY/12057972 </v>
      </c>
    </row>
    <row r="76" spans="1:12" ht="24.75" x14ac:dyDescent="0.25">
      <c r="A76" s="4" t="s">
        <v>9971</v>
      </c>
      <c r="B76" s="2" t="s">
        <v>9972</v>
      </c>
      <c r="C76" s="3">
        <v>1</v>
      </c>
      <c r="D76" s="5">
        <v>67.13</v>
      </c>
      <c r="E76" s="3" t="s">
        <v>9973</v>
      </c>
      <c r="F76" s="2" t="s">
        <v>74</v>
      </c>
      <c r="G76" s="6" t="s">
        <v>234</v>
      </c>
      <c r="H76" s="2" t="s">
        <v>246</v>
      </c>
      <c r="I76" s="2" t="s">
        <v>189</v>
      </c>
      <c r="J76" s="2" t="s">
        <v>19</v>
      </c>
      <c r="K76" s="2" t="s">
        <v>160</v>
      </c>
      <c r="L76" s="7" t="str">
        <f>HYPERLINK("http://slimages.macys.com/is/image/MCY/12773675 ")</f>
        <v xml:space="preserve">http://slimages.macys.com/is/image/MCY/12773675 </v>
      </c>
    </row>
    <row r="77" spans="1:12" ht="24.75" x14ac:dyDescent="0.25">
      <c r="A77" s="4" t="s">
        <v>9974</v>
      </c>
      <c r="B77" s="2" t="s">
        <v>9975</v>
      </c>
      <c r="C77" s="3">
        <v>1</v>
      </c>
      <c r="D77" s="5">
        <v>44.63</v>
      </c>
      <c r="E77" s="3" t="s">
        <v>9976</v>
      </c>
      <c r="F77" s="2" t="s">
        <v>74</v>
      </c>
      <c r="G77" s="6" t="s">
        <v>234</v>
      </c>
      <c r="H77" s="2" t="s">
        <v>284</v>
      </c>
      <c r="I77" s="2" t="s">
        <v>285</v>
      </c>
      <c r="J77" s="2" t="s">
        <v>19</v>
      </c>
      <c r="K77" s="2" t="s">
        <v>9977</v>
      </c>
      <c r="L77" s="7" t="str">
        <f>HYPERLINK("http://slimages.macys.com/is/image/MCY/10179420 ")</f>
        <v xml:space="preserve">http://slimages.macys.com/is/image/MCY/10179420 </v>
      </c>
    </row>
    <row r="78" spans="1:12" ht="24.75" x14ac:dyDescent="0.25">
      <c r="A78" s="4" t="s">
        <v>9978</v>
      </c>
      <c r="B78" s="2" t="s">
        <v>5438</v>
      </c>
      <c r="C78" s="3">
        <v>1</v>
      </c>
      <c r="D78" s="5">
        <v>59.5</v>
      </c>
      <c r="E78" s="3">
        <v>100057756</v>
      </c>
      <c r="F78" s="2" t="s">
        <v>64</v>
      </c>
      <c r="G78" s="6" t="s">
        <v>106</v>
      </c>
      <c r="H78" s="2" t="s">
        <v>386</v>
      </c>
      <c r="I78" s="2" t="s">
        <v>207</v>
      </c>
      <c r="J78" s="2" t="s">
        <v>19</v>
      </c>
      <c r="K78" s="2" t="s">
        <v>338</v>
      </c>
      <c r="L78" s="7" t="str">
        <f>HYPERLINK("http://slimages.macys.com/is/image/MCY/11784178 ")</f>
        <v xml:space="preserve">http://slimages.macys.com/is/image/MCY/11784178 </v>
      </c>
    </row>
    <row r="79" spans="1:12" ht="24.75" x14ac:dyDescent="0.25">
      <c r="A79" s="4" t="s">
        <v>9979</v>
      </c>
      <c r="B79" s="2" t="s">
        <v>5440</v>
      </c>
      <c r="C79" s="3">
        <v>1</v>
      </c>
      <c r="D79" s="5">
        <v>59.63</v>
      </c>
      <c r="E79" s="3" t="s">
        <v>5441</v>
      </c>
      <c r="F79" s="2" t="s">
        <v>64</v>
      </c>
      <c r="G79" s="6" t="s">
        <v>200</v>
      </c>
      <c r="H79" s="2" t="s">
        <v>194</v>
      </c>
      <c r="I79" s="2" t="s">
        <v>195</v>
      </c>
      <c r="J79" s="2" t="s">
        <v>19</v>
      </c>
      <c r="K79" s="2" t="s">
        <v>5442</v>
      </c>
      <c r="L79" s="7" t="str">
        <f>HYPERLINK("http://slimages.macys.com/is/image/MCY/12034764 ")</f>
        <v xml:space="preserve">http://slimages.macys.com/is/image/MCY/12034764 </v>
      </c>
    </row>
    <row r="80" spans="1:12" ht="24.75" x14ac:dyDescent="0.25">
      <c r="A80" s="4" t="s">
        <v>9980</v>
      </c>
      <c r="B80" s="2" t="s">
        <v>9981</v>
      </c>
      <c r="C80" s="3">
        <v>1</v>
      </c>
      <c r="D80" s="5">
        <v>29.98</v>
      </c>
      <c r="E80" s="3">
        <v>8529</v>
      </c>
      <c r="F80" s="2" t="s">
        <v>15</v>
      </c>
      <c r="G80" s="6" t="s">
        <v>147</v>
      </c>
      <c r="H80" s="2" t="s">
        <v>3402</v>
      </c>
      <c r="I80" s="2" t="s">
        <v>3409</v>
      </c>
      <c r="J80" s="2" t="s">
        <v>19</v>
      </c>
      <c r="K80" s="2" t="s">
        <v>353</v>
      </c>
      <c r="L80" s="7" t="str">
        <f>HYPERLINK("http://slimages.macys.com/is/image/MCY/3210696 ")</f>
        <v xml:space="preserve">http://slimages.macys.com/is/image/MCY/3210696 </v>
      </c>
    </row>
    <row r="81" spans="1:12" x14ac:dyDescent="0.25">
      <c r="A81" s="4" t="s">
        <v>4532</v>
      </c>
      <c r="B81" s="2" t="s">
        <v>2265</v>
      </c>
      <c r="C81" s="3">
        <v>1</v>
      </c>
      <c r="D81" s="5">
        <v>79.5</v>
      </c>
      <c r="E81" s="3">
        <v>100060510</v>
      </c>
      <c r="F81" s="2" t="s">
        <v>74</v>
      </c>
      <c r="G81" s="6" t="s">
        <v>65</v>
      </c>
      <c r="H81" s="2" t="s">
        <v>386</v>
      </c>
      <c r="I81" s="2" t="s">
        <v>207</v>
      </c>
      <c r="J81" s="2" t="s">
        <v>19</v>
      </c>
      <c r="K81" s="2" t="s">
        <v>353</v>
      </c>
      <c r="L81" s="7" t="str">
        <f>HYPERLINK("http://slimages.macys.com/is/image/MCY/12792713 ")</f>
        <v xml:space="preserve">http://slimages.macys.com/is/image/MCY/12792713 </v>
      </c>
    </row>
    <row r="82" spans="1:12" ht="24.75" x14ac:dyDescent="0.25">
      <c r="A82" s="4" t="s">
        <v>9982</v>
      </c>
      <c r="B82" s="2" t="s">
        <v>381</v>
      </c>
      <c r="C82" s="3">
        <v>1</v>
      </c>
      <c r="D82" s="5">
        <v>48.38</v>
      </c>
      <c r="E82" s="3" t="s">
        <v>9983</v>
      </c>
      <c r="F82" s="2"/>
      <c r="G82" s="6" t="s">
        <v>16</v>
      </c>
      <c r="H82" s="2" t="s">
        <v>213</v>
      </c>
      <c r="I82" s="2" t="s">
        <v>214</v>
      </c>
      <c r="J82" s="2" t="s">
        <v>19</v>
      </c>
      <c r="K82" s="2" t="s">
        <v>338</v>
      </c>
      <c r="L82" s="7" t="str">
        <f>HYPERLINK("http://slimages.macys.com/is/image/MCY/11686786 ")</f>
        <v xml:space="preserve">http://slimages.macys.com/is/image/MCY/11686786 </v>
      </c>
    </row>
    <row r="83" spans="1:12" ht="24.75" x14ac:dyDescent="0.25">
      <c r="A83" s="4" t="s">
        <v>9984</v>
      </c>
      <c r="B83" s="2" t="s">
        <v>9985</v>
      </c>
      <c r="C83" s="3">
        <v>1</v>
      </c>
      <c r="D83" s="5">
        <v>48.38</v>
      </c>
      <c r="E83" s="3" t="s">
        <v>9986</v>
      </c>
      <c r="F83" s="2" t="s">
        <v>15</v>
      </c>
      <c r="G83" s="6" t="s">
        <v>27</v>
      </c>
      <c r="H83" s="2" t="s">
        <v>213</v>
      </c>
      <c r="I83" s="2" t="s">
        <v>214</v>
      </c>
      <c r="J83" s="2" t="s">
        <v>19</v>
      </c>
      <c r="K83" s="2" t="s">
        <v>387</v>
      </c>
      <c r="L83" s="7" t="str">
        <f>HYPERLINK("http://slimages.macys.com/is/image/MCY/10090652 ")</f>
        <v xml:space="preserve">http://slimages.macys.com/is/image/MCY/10090652 </v>
      </c>
    </row>
    <row r="84" spans="1:12" ht="24.75" x14ac:dyDescent="0.25">
      <c r="A84" s="4" t="s">
        <v>9987</v>
      </c>
      <c r="B84" s="2" t="s">
        <v>9985</v>
      </c>
      <c r="C84" s="3">
        <v>1</v>
      </c>
      <c r="D84" s="5">
        <v>48.38</v>
      </c>
      <c r="E84" s="3" t="s">
        <v>9986</v>
      </c>
      <c r="F84" s="2" t="s">
        <v>15</v>
      </c>
      <c r="G84" s="6" t="s">
        <v>16</v>
      </c>
      <c r="H84" s="2" t="s">
        <v>213</v>
      </c>
      <c r="I84" s="2" t="s">
        <v>214</v>
      </c>
      <c r="J84" s="2" t="s">
        <v>19</v>
      </c>
      <c r="K84" s="2" t="s">
        <v>387</v>
      </c>
      <c r="L84" s="7" t="str">
        <f>HYPERLINK("http://slimages.macys.com/is/image/MCY/10090652 ")</f>
        <v xml:space="preserve">http://slimages.macys.com/is/image/MCY/10090652 </v>
      </c>
    </row>
    <row r="85" spans="1:12" ht="24.75" x14ac:dyDescent="0.25">
      <c r="A85" s="4" t="s">
        <v>452</v>
      </c>
      <c r="B85" s="2" t="s">
        <v>453</v>
      </c>
      <c r="C85" s="3">
        <v>1</v>
      </c>
      <c r="D85" s="5">
        <v>44.63</v>
      </c>
      <c r="E85" s="3" t="s">
        <v>454</v>
      </c>
      <c r="F85" s="2" t="s">
        <v>74</v>
      </c>
      <c r="G85" s="6" t="s">
        <v>348</v>
      </c>
      <c r="H85" s="2" t="s">
        <v>349</v>
      </c>
      <c r="I85" s="2" t="s">
        <v>285</v>
      </c>
      <c r="J85" s="2" t="s">
        <v>19</v>
      </c>
      <c r="K85" s="2" t="s">
        <v>323</v>
      </c>
      <c r="L85" s="7" t="str">
        <f>HYPERLINK("http://slimages.macys.com/is/image/MCY/12343071 ")</f>
        <v xml:space="preserve">http://slimages.macys.com/is/image/MCY/12343071 </v>
      </c>
    </row>
    <row r="86" spans="1:12" ht="24.75" x14ac:dyDescent="0.25">
      <c r="A86" s="4" t="s">
        <v>9988</v>
      </c>
      <c r="B86" s="2" t="s">
        <v>9989</v>
      </c>
      <c r="C86" s="3">
        <v>1</v>
      </c>
      <c r="D86" s="5">
        <v>40.880000000000003</v>
      </c>
      <c r="E86" s="3" t="s">
        <v>9990</v>
      </c>
      <c r="F86" s="2" t="s">
        <v>74</v>
      </c>
      <c r="G86" s="6" t="s">
        <v>181</v>
      </c>
      <c r="H86" s="2" t="s">
        <v>284</v>
      </c>
      <c r="I86" s="2" t="s">
        <v>408</v>
      </c>
      <c r="J86" s="2" t="s">
        <v>19</v>
      </c>
      <c r="K86" s="2" t="s">
        <v>409</v>
      </c>
      <c r="L86" s="7" t="str">
        <f>HYPERLINK("http://slimages.macys.com/is/image/MCY/12342861 ")</f>
        <v xml:space="preserve">http://slimages.macys.com/is/image/MCY/12342861 </v>
      </c>
    </row>
    <row r="87" spans="1:12" ht="24.75" x14ac:dyDescent="0.25">
      <c r="A87" s="4" t="s">
        <v>9991</v>
      </c>
      <c r="B87" s="2" t="s">
        <v>9989</v>
      </c>
      <c r="C87" s="3">
        <v>2</v>
      </c>
      <c r="D87" s="5">
        <v>40.880000000000003</v>
      </c>
      <c r="E87" s="3" t="s">
        <v>9990</v>
      </c>
      <c r="F87" s="2" t="s">
        <v>74</v>
      </c>
      <c r="G87" s="6" t="s">
        <v>154</v>
      </c>
      <c r="H87" s="2" t="s">
        <v>284</v>
      </c>
      <c r="I87" s="2" t="s">
        <v>408</v>
      </c>
      <c r="J87" s="2" t="s">
        <v>19</v>
      </c>
      <c r="K87" s="2" t="s">
        <v>409</v>
      </c>
      <c r="L87" s="7" t="str">
        <f>HYPERLINK("http://slimages.macys.com/is/image/MCY/12342861 ")</f>
        <v xml:space="preserve">http://slimages.macys.com/is/image/MCY/12342861 </v>
      </c>
    </row>
    <row r="88" spans="1:12" ht="24.75" x14ac:dyDescent="0.25">
      <c r="A88" s="4" t="s">
        <v>9992</v>
      </c>
      <c r="B88" s="2" t="s">
        <v>9993</v>
      </c>
      <c r="C88" s="3">
        <v>1</v>
      </c>
      <c r="D88" s="5">
        <v>34.99</v>
      </c>
      <c r="E88" s="3" t="s">
        <v>9994</v>
      </c>
      <c r="F88" s="2" t="s">
        <v>111</v>
      </c>
      <c r="G88" s="6" t="s">
        <v>336</v>
      </c>
      <c r="H88" s="2" t="s">
        <v>9995</v>
      </c>
      <c r="I88" s="2" t="s">
        <v>1087</v>
      </c>
      <c r="J88" s="2" t="s">
        <v>19</v>
      </c>
      <c r="K88" s="2" t="s">
        <v>361</v>
      </c>
      <c r="L88" s="7" t="str">
        <f>HYPERLINK("http://slimages.macys.com/is/image/MCY/9302205 ")</f>
        <v xml:space="preserve">http://slimages.macys.com/is/image/MCY/9302205 </v>
      </c>
    </row>
    <row r="89" spans="1:12" ht="24.75" x14ac:dyDescent="0.25">
      <c r="A89" s="4" t="s">
        <v>9996</v>
      </c>
      <c r="B89" s="2" t="s">
        <v>9997</v>
      </c>
      <c r="C89" s="3">
        <v>1</v>
      </c>
      <c r="D89" s="5">
        <v>40.880000000000003</v>
      </c>
      <c r="E89" s="3">
        <v>100056368</v>
      </c>
      <c r="F89" s="2" t="s">
        <v>26</v>
      </c>
      <c r="G89" s="6" t="s">
        <v>106</v>
      </c>
      <c r="H89" s="2" t="s">
        <v>194</v>
      </c>
      <c r="I89" s="2" t="s">
        <v>195</v>
      </c>
      <c r="J89" s="2" t="s">
        <v>19</v>
      </c>
      <c r="K89" s="2" t="s">
        <v>353</v>
      </c>
      <c r="L89" s="7" t="str">
        <f>HYPERLINK("http://slimages.macys.com/is/image/MCY/11764410 ")</f>
        <v xml:space="preserve">http://slimages.macys.com/is/image/MCY/11764410 </v>
      </c>
    </row>
    <row r="90" spans="1:12" ht="24.75" x14ac:dyDescent="0.25">
      <c r="A90" s="4" t="s">
        <v>5483</v>
      </c>
      <c r="B90" s="2" t="s">
        <v>2290</v>
      </c>
      <c r="C90" s="3">
        <v>1</v>
      </c>
      <c r="D90" s="5">
        <v>44.63</v>
      </c>
      <c r="E90" s="3" t="s">
        <v>2291</v>
      </c>
      <c r="F90" s="2" t="s">
        <v>26</v>
      </c>
      <c r="G90" s="6" t="s">
        <v>234</v>
      </c>
      <c r="H90" s="2" t="s">
        <v>284</v>
      </c>
      <c r="I90" s="2" t="s">
        <v>285</v>
      </c>
      <c r="J90" s="2" t="s">
        <v>19</v>
      </c>
      <c r="K90" s="2" t="s">
        <v>160</v>
      </c>
      <c r="L90" s="7" t="str">
        <f>HYPERLINK("http://slimages.macys.com/is/image/MCY/12271124 ")</f>
        <v xml:space="preserve">http://slimages.macys.com/is/image/MCY/12271124 </v>
      </c>
    </row>
    <row r="91" spans="1:12" ht="24.75" x14ac:dyDescent="0.25">
      <c r="A91" s="4" t="s">
        <v>9998</v>
      </c>
      <c r="B91" s="2" t="s">
        <v>9999</v>
      </c>
      <c r="C91" s="3">
        <v>2</v>
      </c>
      <c r="D91" s="5">
        <v>48.38</v>
      </c>
      <c r="E91" s="3" t="s">
        <v>10000</v>
      </c>
      <c r="F91" s="2" t="s">
        <v>89</v>
      </c>
      <c r="G91" s="6" t="s">
        <v>363</v>
      </c>
      <c r="H91" s="2" t="s">
        <v>188</v>
      </c>
      <c r="I91" s="2" t="s">
        <v>214</v>
      </c>
      <c r="J91" s="2" t="s">
        <v>19</v>
      </c>
      <c r="K91" s="2" t="s">
        <v>353</v>
      </c>
      <c r="L91" s="7" t="str">
        <f>HYPERLINK("http://slimages.macys.com/is/image/MCY/11939853 ")</f>
        <v xml:space="preserve">http://slimages.macys.com/is/image/MCY/11939853 </v>
      </c>
    </row>
    <row r="92" spans="1:12" ht="24.75" x14ac:dyDescent="0.25">
      <c r="A92" s="4" t="s">
        <v>10001</v>
      </c>
      <c r="B92" s="2" t="s">
        <v>2290</v>
      </c>
      <c r="C92" s="3">
        <v>1</v>
      </c>
      <c r="D92" s="5">
        <v>44.63</v>
      </c>
      <c r="E92" s="3" t="s">
        <v>2291</v>
      </c>
      <c r="F92" s="2" t="s">
        <v>26</v>
      </c>
      <c r="G92" s="6" t="s">
        <v>200</v>
      </c>
      <c r="H92" s="2" t="s">
        <v>284</v>
      </c>
      <c r="I92" s="2" t="s">
        <v>285</v>
      </c>
      <c r="J92" s="2" t="s">
        <v>19</v>
      </c>
      <c r="K92" s="2" t="s">
        <v>160</v>
      </c>
      <c r="L92" s="7" t="str">
        <f>HYPERLINK("http://slimages.macys.com/is/image/MCY/12271124 ")</f>
        <v xml:space="preserve">http://slimages.macys.com/is/image/MCY/12271124 </v>
      </c>
    </row>
    <row r="93" spans="1:12" ht="24.75" x14ac:dyDescent="0.25">
      <c r="A93" s="4" t="s">
        <v>5482</v>
      </c>
      <c r="B93" s="2" t="s">
        <v>2290</v>
      </c>
      <c r="C93" s="3">
        <v>1</v>
      </c>
      <c r="D93" s="5">
        <v>44.63</v>
      </c>
      <c r="E93" s="3" t="s">
        <v>2291</v>
      </c>
      <c r="F93" s="2" t="s">
        <v>26</v>
      </c>
      <c r="G93" s="6" t="s">
        <v>154</v>
      </c>
      <c r="H93" s="2" t="s">
        <v>284</v>
      </c>
      <c r="I93" s="2" t="s">
        <v>285</v>
      </c>
      <c r="J93" s="2" t="s">
        <v>19</v>
      </c>
      <c r="K93" s="2" t="s">
        <v>160</v>
      </c>
      <c r="L93" s="7" t="str">
        <f>HYPERLINK("http://slimages.macys.com/is/image/MCY/12271124 ")</f>
        <v xml:space="preserve">http://slimages.macys.com/is/image/MCY/12271124 </v>
      </c>
    </row>
    <row r="94" spans="1:12" ht="24.75" x14ac:dyDescent="0.25">
      <c r="A94" s="4" t="s">
        <v>2289</v>
      </c>
      <c r="B94" s="2" t="s">
        <v>2290</v>
      </c>
      <c r="C94" s="3">
        <v>1</v>
      </c>
      <c r="D94" s="5">
        <v>44.63</v>
      </c>
      <c r="E94" s="3" t="s">
        <v>2291</v>
      </c>
      <c r="F94" s="2" t="s">
        <v>26</v>
      </c>
      <c r="G94" s="6" t="s">
        <v>181</v>
      </c>
      <c r="H94" s="2" t="s">
        <v>284</v>
      </c>
      <c r="I94" s="2" t="s">
        <v>285</v>
      </c>
      <c r="J94" s="2" t="s">
        <v>19</v>
      </c>
      <c r="K94" s="2" t="s">
        <v>160</v>
      </c>
      <c r="L94" s="7" t="str">
        <f>HYPERLINK("http://slimages.macys.com/is/image/MCY/12271124 ")</f>
        <v xml:space="preserve">http://slimages.macys.com/is/image/MCY/12271124 </v>
      </c>
    </row>
    <row r="95" spans="1:12" ht="24.75" x14ac:dyDescent="0.25">
      <c r="A95" s="4" t="s">
        <v>10002</v>
      </c>
      <c r="B95" s="2" t="s">
        <v>9999</v>
      </c>
      <c r="C95" s="3">
        <v>1</v>
      </c>
      <c r="D95" s="5">
        <v>48.38</v>
      </c>
      <c r="E95" s="3" t="s">
        <v>10000</v>
      </c>
      <c r="F95" s="2" t="s">
        <v>89</v>
      </c>
      <c r="G95" s="6" t="s">
        <v>238</v>
      </c>
      <c r="H95" s="2" t="s">
        <v>188</v>
      </c>
      <c r="I95" s="2" t="s">
        <v>214</v>
      </c>
      <c r="J95" s="2" t="s">
        <v>19</v>
      </c>
      <c r="K95" s="2" t="s">
        <v>353</v>
      </c>
      <c r="L95" s="7" t="str">
        <f>HYPERLINK("http://slimages.macys.com/is/image/MCY/11939853 ")</f>
        <v xml:space="preserve">http://slimages.macys.com/is/image/MCY/11939853 </v>
      </c>
    </row>
    <row r="96" spans="1:12" ht="36.75" x14ac:dyDescent="0.25">
      <c r="A96" s="4" t="s">
        <v>10003</v>
      </c>
      <c r="B96" s="2" t="s">
        <v>8501</v>
      </c>
      <c r="C96" s="3">
        <v>2</v>
      </c>
      <c r="D96" s="5">
        <v>37.130000000000003</v>
      </c>
      <c r="E96" s="3" t="s">
        <v>10004</v>
      </c>
      <c r="F96" s="2" t="s">
        <v>64</v>
      </c>
      <c r="G96" s="6" t="s">
        <v>154</v>
      </c>
      <c r="H96" s="2" t="s">
        <v>284</v>
      </c>
      <c r="I96" s="2" t="s">
        <v>408</v>
      </c>
      <c r="J96" s="2" t="s">
        <v>19</v>
      </c>
      <c r="K96" s="2" t="s">
        <v>10005</v>
      </c>
      <c r="L96" s="7" t="str">
        <f>HYPERLINK("http://slimages.macys.com/is/image/MCY/13043949 ")</f>
        <v xml:space="preserve">http://slimages.macys.com/is/image/MCY/13043949 </v>
      </c>
    </row>
    <row r="97" spans="1:12" ht="36.75" x14ac:dyDescent="0.25">
      <c r="A97" s="4" t="s">
        <v>10006</v>
      </c>
      <c r="B97" s="2" t="s">
        <v>8501</v>
      </c>
      <c r="C97" s="3">
        <v>1</v>
      </c>
      <c r="D97" s="5">
        <v>37.130000000000003</v>
      </c>
      <c r="E97" s="3" t="s">
        <v>10004</v>
      </c>
      <c r="F97" s="2" t="s">
        <v>64</v>
      </c>
      <c r="G97" s="6" t="s">
        <v>200</v>
      </c>
      <c r="H97" s="2" t="s">
        <v>284</v>
      </c>
      <c r="I97" s="2" t="s">
        <v>408</v>
      </c>
      <c r="J97" s="2" t="s">
        <v>19</v>
      </c>
      <c r="K97" s="2" t="s">
        <v>10005</v>
      </c>
      <c r="L97" s="7" t="str">
        <f>HYPERLINK("http://slimages.macys.com/is/image/MCY/13043949 ")</f>
        <v xml:space="preserve">http://slimages.macys.com/is/image/MCY/13043949 </v>
      </c>
    </row>
    <row r="98" spans="1:12" ht="36.75" x14ac:dyDescent="0.25">
      <c r="A98" s="4" t="s">
        <v>10007</v>
      </c>
      <c r="B98" s="2" t="s">
        <v>8501</v>
      </c>
      <c r="C98" s="3">
        <v>2</v>
      </c>
      <c r="D98" s="5">
        <v>37.130000000000003</v>
      </c>
      <c r="E98" s="3" t="s">
        <v>10004</v>
      </c>
      <c r="F98" s="2" t="s">
        <v>64</v>
      </c>
      <c r="G98" s="6" t="s">
        <v>234</v>
      </c>
      <c r="H98" s="2" t="s">
        <v>284</v>
      </c>
      <c r="I98" s="2" t="s">
        <v>408</v>
      </c>
      <c r="J98" s="2" t="s">
        <v>19</v>
      </c>
      <c r="K98" s="2" t="s">
        <v>10005</v>
      </c>
      <c r="L98" s="7" t="str">
        <f>HYPERLINK("http://slimages.macys.com/is/image/MCY/13043949 ")</f>
        <v xml:space="preserve">http://slimages.macys.com/is/image/MCY/13043949 </v>
      </c>
    </row>
    <row r="99" spans="1:12" ht="36.75" x14ac:dyDescent="0.25">
      <c r="A99" s="4" t="s">
        <v>10008</v>
      </c>
      <c r="B99" s="2" t="s">
        <v>8501</v>
      </c>
      <c r="C99" s="3">
        <v>1</v>
      </c>
      <c r="D99" s="5">
        <v>37.130000000000003</v>
      </c>
      <c r="E99" s="3" t="s">
        <v>10004</v>
      </c>
      <c r="F99" s="2" t="s">
        <v>64</v>
      </c>
      <c r="G99" s="6" t="s">
        <v>181</v>
      </c>
      <c r="H99" s="2" t="s">
        <v>284</v>
      </c>
      <c r="I99" s="2" t="s">
        <v>408</v>
      </c>
      <c r="J99" s="2" t="s">
        <v>19</v>
      </c>
      <c r="K99" s="2" t="s">
        <v>10005</v>
      </c>
      <c r="L99" s="7" t="str">
        <f>HYPERLINK("http://slimages.macys.com/is/image/MCY/13043949 ")</f>
        <v xml:space="preserve">http://slimages.macys.com/is/image/MCY/13043949 </v>
      </c>
    </row>
    <row r="100" spans="1:12" ht="24.75" x14ac:dyDescent="0.25">
      <c r="A100" s="4" t="s">
        <v>8504</v>
      </c>
      <c r="B100" s="2" t="s">
        <v>2295</v>
      </c>
      <c r="C100" s="3">
        <v>1</v>
      </c>
      <c r="D100" s="5">
        <v>40.880000000000003</v>
      </c>
      <c r="E100" s="3" t="s">
        <v>2296</v>
      </c>
      <c r="F100" s="2" t="s">
        <v>26</v>
      </c>
      <c r="G100" s="6" t="s">
        <v>181</v>
      </c>
      <c r="H100" s="2" t="s">
        <v>284</v>
      </c>
      <c r="I100" s="2" t="s">
        <v>408</v>
      </c>
      <c r="J100" s="2" t="s">
        <v>19</v>
      </c>
      <c r="K100" s="2" t="s">
        <v>409</v>
      </c>
      <c r="L100" s="7" t="str">
        <f>HYPERLINK("http://slimages.macys.com/is/image/MCY/12807933 ")</f>
        <v xml:space="preserve">http://slimages.macys.com/is/image/MCY/12807933 </v>
      </c>
    </row>
    <row r="101" spans="1:12" ht="36.75" x14ac:dyDescent="0.25">
      <c r="A101" s="4" t="s">
        <v>2293</v>
      </c>
      <c r="B101" s="2" t="s">
        <v>502</v>
      </c>
      <c r="C101" s="3">
        <v>1</v>
      </c>
      <c r="D101" s="5">
        <v>40.880000000000003</v>
      </c>
      <c r="E101" s="3">
        <v>100047671</v>
      </c>
      <c r="F101" s="2" t="s">
        <v>79</v>
      </c>
      <c r="G101" s="6" t="s">
        <v>22</v>
      </c>
      <c r="H101" s="2" t="s">
        <v>194</v>
      </c>
      <c r="I101" s="2" t="s">
        <v>503</v>
      </c>
      <c r="J101" s="2" t="s">
        <v>19</v>
      </c>
      <c r="K101" s="2" t="s">
        <v>504</v>
      </c>
      <c r="L101" s="7" t="str">
        <f>HYPERLINK("http://slimages.macys.com/is/image/MCY/11937756 ")</f>
        <v xml:space="preserve">http://slimages.macys.com/is/image/MCY/11937756 </v>
      </c>
    </row>
    <row r="102" spans="1:12" ht="24.75" x14ac:dyDescent="0.25">
      <c r="A102" s="4" t="s">
        <v>2294</v>
      </c>
      <c r="B102" s="2" t="s">
        <v>2295</v>
      </c>
      <c r="C102" s="3">
        <v>1</v>
      </c>
      <c r="D102" s="5">
        <v>40.880000000000003</v>
      </c>
      <c r="E102" s="3" t="s">
        <v>2296</v>
      </c>
      <c r="F102" s="2" t="s">
        <v>74</v>
      </c>
      <c r="G102" s="6" t="s">
        <v>234</v>
      </c>
      <c r="H102" s="2" t="s">
        <v>284</v>
      </c>
      <c r="I102" s="2" t="s">
        <v>408</v>
      </c>
      <c r="J102" s="2" t="s">
        <v>19</v>
      </c>
      <c r="K102" s="2" t="s">
        <v>409</v>
      </c>
      <c r="L102" s="7" t="str">
        <f>HYPERLINK("http://slimages.macys.com/is/image/MCY/12807933 ")</f>
        <v xml:space="preserve">http://slimages.macys.com/is/image/MCY/12807933 </v>
      </c>
    </row>
    <row r="103" spans="1:12" ht="24.75" x14ac:dyDescent="0.25">
      <c r="A103" s="4" t="s">
        <v>10009</v>
      </c>
      <c r="B103" s="2" t="s">
        <v>9371</v>
      </c>
      <c r="C103" s="3">
        <v>1</v>
      </c>
      <c r="D103" s="5">
        <v>51.5</v>
      </c>
      <c r="E103" s="3" t="s">
        <v>9372</v>
      </c>
      <c r="F103" s="2" t="s">
        <v>74</v>
      </c>
      <c r="G103" s="6" t="s">
        <v>219</v>
      </c>
      <c r="H103" s="2" t="s">
        <v>188</v>
      </c>
      <c r="I103" s="2" t="s">
        <v>189</v>
      </c>
      <c r="J103" s="2" t="s">
        <v>19</v>
      </c>
      <c r="K103" s="2" t="s">
        <v>3423</v>
      </c>
      <c r="L103" s="7" t="str">
        <f>HYPERLINK("http://slimages.macys.com/is/image/MCY/11517972 ")</f>
        <v xml:space="preserve">http://slimages.macys.com/is/image/MCY/11517972 </v>
      </c>
    </row>
    <row r="104" spans="1:12" ht="48.75" x14ac:dyDescent="0.25">
      <c r="A104" s="4" t="s">
        <v>10010</v>
      </c>
      <c r="B104" s="2" t="s">
        <v>10011</v>
      </c>
      <c r="C104" s="3">
        <v>1</v>
      </c>
      <c r="D104" s="5">
        <v>69.5</v>
      </c>
      <c r="E104" s="3" t="s">
        <v>10012</v>
      </c>
      <c r="F104" s="2" t="s">
        <v>136</v>
      </c>
      <c r="G104" s="6"/>
      <c r="H104" s="2" t="s">
        <v>206</v>
      </c>
      <c r="I104" s="2" t="s">
        <v>207</v>
      </c>
      <c r="J104" s="2" t="s">
        <v>19</v>
      </c>
      <c r="K104" s="2" t="s">
        <v>10013</v>
      </c>
      <c r="L104" s="7" t="str">
        <f>HYPERLINK("http://slimages.macys.com/is/image/MCY/11283305 ")</f>
        <v xml:space="preserve">http://slimages.macys.com/is/image/MCY/11283305 </v>
      </c>
    </row>
    <row r="105" spans="1:12" ht="36.75" x14ac:dyDescent="0.25">
      <c r="A105" s="4" t="s">
        <v>10014</v>
      </c>
      <c r="B105" s="2" t="s">
        <v>519</v>
      </c>
      <c r="C105" s="3">
        <v>1</v>
      </c>
      <c r="D105" s="5">
        <v>44.63</v>
      </c>
      <c r="E105" s="3" t="s">
        <v>520</v>
      </c>
      <c r="F105" s="2" t="s">
        <v>125</v>
      </c>
      <c r="G105" s="6" t="s">
        <v>234</v>
      </c>
      <c r="H105" s="2" t="s">
        <v>194</v>
      </c>
      <c r="I105" s="2" t="s">
        <v>195</v>
      </c>
      <c r="J105" s="2" t="s">
        <v>19</v>
      </c>
      <c r="K105" s="2" t="s">
        <v>521</v>
      </c>
      <c r="L105" s="7" t="str">
        <f>HYPERLINK("http://slimages.macys.com/is/image/MCY/12279320 ")</f>
        <v xml:space="preserve">http://slimages.macys.com/is/image/MCY/12279320 </v>
      </c>
    </row>
    <row r="106" spans="1:12" ht="24.75" x14ac:dyDescent="0.25">
      <c r="A106" s="4" t="s">
        <v>10015</v>
      </c>
      <c r="B106" s="2" t="s">
        <v>10016</v>
      </c>
      <c r="C106" s="3">
        <v>1</v>
      </c>
      <c r="D106" s="5">
        <v>47.5</v>
      </c>
      <c r="E106" s="3" t="s">
        <v>10017</v>
      </c>
      <c r="F106" s="2" t="s">
        <v>413</v>
      </c>
      <c r="G106" s="6"/>
      <c r="H106" s="2" t="s">
        <v>127</v>
      </c>
      <c r="I106" s="2" t="s">
        <v>128</v>
      </c>
      <c r="J106" s="2" t="s">
        <v>19</v>
      </c>
      <c r="K106" s="2" t="s">
        <v>160</v>
      </c>
      <c r="L106" s="7" t="str">
        <f>HYPERLINK("http://slimages.macys.com/is/image/MCY/9599934 ")</f>
        <v xml:space="preserve">http://slimages.macys.com/is/image/MCY/9599934 </v>
      </c>
    </row>
    <row r="107" spans="1:12" x14ac:dyDescent="0.25">
      <c r="A107" s="4" t="s">
        <v>10018</v>
      </c>
      <c r="B107" s="2" t="s">
        <v>10019</v>
      </c>
      <c r="C107" s="3">
        <v>1</v>
      </c>
      <c r="D107" s="5">
        <v>59.5</v>
      </c>
      <c r="E107" s="3">
        <v>100064247</v>
      </c>
      <c r="F107" s="2" t="s">
        <v>64</v>
      </c>
      <c r="G107" s="6" t="s">
        <v>27</v>
      </c>
      <c r="H107" s="2" t="s">
        <v>386</v>
      </c>
      <c r="I107" s="2" t="s">
        <v>207</v>
      </c>
      <c r="J107" s="2" t="s">
        <v>19</v>
      </c>
      <c r="K107" s="2" t="s">
        <v>353</v>
      </c>
      <c r="L107" s="7" t="str">
        <f>HYPERLINK("http://slimages.macys.com/is/image/MCY/13080473 ")</f>
        <v xml:space="preserve">http://slimages.macys.com/is/image/MCY/13080473 </v>
      </c>
    </row>
    <row r="108" spans="1:12" ht="24.75" x14ac:dyDescent="0.25">
      <c r="A108" s="4" t="s">
        <v>4580</v>
      </c>
      <c r="B108" s="2" t="s">
        <v>4581</v>
      </c>
      <c r="C108" s="3">
        <v>1</v>
      </c>
      <c r="D108" s="5">
        <v>49</v>
      </c>
      <c r="E108" s="3" t="s">
        <v>4582</v>
      </c>
      <c r="F108" s="2" t="s">
        <v>15</v>
      </c>
      <c r="G108" s="6" t="s">
        <v>181</v>
      </c>
      <c r="H108" s="2" t="s">
        <v>17</v>
      </c>
      <c r="I108" s="2" t="s">
        <v>145</v>
      </c>
      <c r="J108" s="2" t="s">
        <v>19</v>
      </c>
      <c r="K108" s="2" t="s">
        <v>442</v>
      </c>
      <c r="L108" s="7" t="str">
        <f>HYPERLINK("http://slimages.macys.com/is/image/MCY/11690489 ")</f>
        <v xml:space="preserve">http://slimages.macys.com/is/image/MCY/11690489 </v>
      </c>
    </row>
    <row r="109" spans="1:12" ht="24.75" x14ac:dyDescent="0.25">
      <c r="A109" s="4" t="s">
        <v>10020</v>
      </c>
      <c r="B109" s="2" t="s">
        <v>10021</v>
      </c>
      <c r="C109" s="3">
        <v>1</v>
      </c>
      <c r="D109" s="5">
        <v>44.63</v>
      </c>
      <c r="E109" s="3" t="s">
        <v>10022</v>
      </c>
      <c r="F109" s="2"/>
      <c r="G109" s="6"/>
      <c r="H109" s="2" t="s">
        <v>188</v>
      </c>
      <c r="I109" s="2" t="s">
        <v>189</v>
      </c>
      <c r="J109" s="2" t="s">
        <v>19</v>
      </c>
      <c r="K109" s="2" t="s">
        <v>546</v>
      </c>
      <c r="L109" s="7" t="str">
        <f>HYPERLINK("http://slimages.macys.com/is/image/MCY/11622277 ")</f>
        <v xml:space="preserve">http://slimages.macys.com/is/image/MCY/11622277 </v>
      </c>
    </row>
    <row r="110" spans="1:12" ht="24.75" x14ac:dyDescent="0.25">
      <c r="A110" s="4" t="s">
        <v>10023</v>
      </c>
      <c r="B110" s="2" t="s">
        <v>530</v>
      </c>
      <c r="C110" s="3">
        <v>1</v>
      </c>
      <c r="D110" s="5">
        <v>44.63</v>
      </c>
      <c r="E110" s="3" t="s">
        <v>531</v>
      </c>
      <c r="F110" s="2" t="s">
        <v>532</v>
      </c>
      <c r="G110" s="6" t="s">
        <v>245</v>
      </c>
      <c r="H110" s="2" t="s">
        <v>194</v>
      </c>
      <c r="I110" s="2" t="s">
        <v>195</v>
      </c>
      <c r="J110" s="2" t="s">
        <v>19</v>
      </c>
      <c r="K110" s="2" t="s">
        <v>533</v>
      </c>
      <c r="L110" s="7" t="str">
        <f>HYPERLINK("http://slimages.macys.com/is/image/MCY/12316730 ")</f>
        <v xml:space="preserve">http://slimages.macys.com/is/image/MCY/12316730 </v>
      </c>
    </row>
    <row r="111" spans="1:12" ht="48.75" x14ac:dyDescent="0.25">
      <c r="A111" s="4" t="s">
        <v>7916</v>
      </c>
      <c r="B111" s="2" t="s">
        <v>551</v>
      </c>
      <c r="C111" s="3">
        <v>1</v>
      </c>
      <c r="D111" s="5">
        <v>48</v>
      </c>
      <c r="E111" s="3">
        <v>100053418</v>
      </c>
      <c r="F111" s="2" t="s">
        <v>26</v>
      </c>
      <c r="G111" s="6" t="s">
        <v>200</v>
      </c>
      <c r="H111" s="2" t="s">
        <v>228</v>
      </c>
      <c r="I111" s="2" t="s">
        <v>229</v>
      </c>
      <c r="J111" s="2" t="s">
        <v>19</v>
      </c>
      <c r="K111" s="2" t="s">
        <v>552</v>
      </c>
      <c r="L111" s="7" t="str">
        <f>HYPERLINK("http://slimages.macys.com/is/image/MCY/12158587 ")</f>
        <v xml:space="preserve">http://slimages.macys.com/is/image/MCY/12158587 </v>
      </c>
    </row>
    <row r="112" spans="1:12" ht="48.75" x14ac:dyDescent="0.25">
      <c r="A112" s="4" t="s">
        <v>6380</v>
      </c>
      <c r="B112" s="2" t="s">
        <v>551</v>
      </c>
      <c r="C112" s="3">
        <v>2</v>
      </c>
      <c r="D112" s="5">
        <v>48</v>
      </c>
      <c r="E112" s="3">
        <v>100053418</v>
      </c>
      <c r="F112" s="2" t="s">
        <v>26</v>
      </c>
      <c r="G112" s="6" t="s">
        <v>181</v>
      </c>
      <c r="H112" s="2" t="s">
        <v>228</v>
      </c>
      <c r="I112" s="2" t="s">
        <v>229</v>
      </c>
      <c r="J112" s="2" t="s">
        <v>19</v>
      </c>
      <c r="K112" s="2" t="s">
        <v>552</v>
      </c>
      <c r="L112" s="7" t="str">
        <f>HYPERLINK("http://slimages.macys.com/is/image/MCY/12158587 ")</f>
        <v xml:space="preserve">http://slimages.macys.com/is/image/MCY/12158587 </v>
      </c>
    </row>
    <row r="113" spans="1:12" ht="24.75" x14ac:dyDescent="0.25">
      <c r="A113" s="4" t="s">
        <v>4594</v>
      </c>
      <c r="B113" s="2" t="s">
        <v>2334</v>
      </c>
      <c r="C113" s="3">
        <v>1</v>
      </c>
      <c r="D113" s="5">
        <v>59.5</v>
      </c>
      <c r="E113" s="3" t="s">
        <v>2335</v>
      </c>
      <c r="F113" s="2" t="s">
        <v>74</v>
      </c>
      <c r="G113" s="6" t="s">
        <v>219</v>
      </c>
      <c r="H113" s="2" t="s">
        <v>127</v>
      </c>
      <c r="I113" s="2" t="s">
        <v>128</v>
      </c>
      <c r="J113" s="2" t="s">
        <v>19</v>
      </c>
      <c r="K113" s="2" t="s">
        <v>160</v>
      </c>
      <c r="L113" s="7" t="str">
        <f>HYPERLINK("http://slimages.macys.com/is/image/MCY/9599934 ")</f>
        <v xml:space="preserve">http://slimages.macys.com/is/image/MCY/9599934 </v>
      </c>
    </row>
    <row r="114" spans="1:12" ht="24.75" x14ac:dyDescent="0.25">
      <c r="A114" s="4" t="s">
        <v>3459</v>
      </c>
      <c r="B114" s="2" t="s">
        <v>577</v>
      </c>
      <c r="C114" s="3">
        <v>1</v>
      </c>
      <c r="D114" s="5">
        <v>44.63</v>
      </c>
      <c r="E114" s="3" t="s">
        <v>578</v>
      </c>
      <c r="F114" s="2" t="s">
        <v>579</v>
      </c>
      <c r="G114" s="6" t="s">
        <v>245</v>
      </c>
      <c r="H114" s="2" t="s">
        <v>194</v>
      </c>
      <c r="I114" s="2" t="s">
        <v>580</v>
      </c>
      <c r="J114" s="2" t="s">
        <v>19</v>
      </c>
      <c r="K114" s="2" t="s">
        <v>247</v>
      </c>
      <c r="L114" s="7" t="str">
        <f t="shared" ref="L114:L122" si="3">HYPERLINK("http://slimages.macys.com/is/image/MCY/12743841 ")</f>
        <v xml:space="preserve">http://slimages.macys.com/is/image/MCY/12743841 </v>
      </c>
    </row>
    <row r="115" spans="1:12" ht="24.75" x14ac:dyDescent="0.25">
      <c r="A115" s="4" t="s">
        <v>583</v>
      </c>
      <c r="B115" s="2" t="s">
        <v>577</v>
      </c>
      <c r="C115" s="3">
        <v>1</v>
      </c>
      <c r="D115" s="5">
        <v>44.63</v>
      </c>
      <c r="E115" s="3" t="s">
        <v>578</v>
      </c>
      <c r="F115" s="2" t="s">
        <v>15</v>
      </c>
      <c r="G115" s="6" t="s">
        <v>154</v>
      </c>
      <c r="H115" s="2" t="s">
        <v>194</v>
      </c>
      <c r="I115" s="2" t="s">
        <v>580</v>
      </c>
      <c r="J115" s="2" t="s">
        <v>19</v>
      </c>
      <c r="K115" s="2" t="s">
        <v>247</v>
      </c>
      <c r="L115" s="7" t="str">
        <f t="shared" si="3"/>
        <v xml:space="preserve">http://slimages.macys.com/is/image/MCY/12743841 </v>
      </c>
    </row>
    <row r="116" spans="1:12" ht="24.75" x14ac:dyDescent="0.25">
      <c r="A116" s="4" t="s">
        <v>5509</v>
      </c>
      <c r="B116" s="2" t="s">
        <v>577</v>
      </c>
      <c r="C116" s="3">
        <v>1</v>
      </c>
      <c r="D116" s="5">
        <v>44.63</v>
      </c>
      <c r="E116" s="3" t="s">
        <v>578</v>
      </c>
      <c r="F116" s="2" t="s">
        <v>15</v>
      </c>
      <c r="G116" s="6" t="s">
        <v>245</v>
      </c>
      <c r="H116" s="2" t="s">
        <v>194</v>
      </c>
      <c r="I116" s="2" t="s">
        <v>580</v>
      </c>
      <c r="J116" s="2" t="s">
        <v>19</v>
      </c>
      <c r="K116" s="2" t="s">
        <v>247</v>
      </c>
      <c r="L116" s="7" t="str">
        <f t="shared" si="3"/>
        <v xml:space="preserve">http://slimages.macys.com/is/image/MCY/12743841 </v>
      </c>
    </row>
    <row r="117" spans="1:12" ht="24.75" x14ac:dyDescent="0.25">
      <c r="A117" s="4" t="s">
        <v>10024</v>
      </c>
      <c r="B117" s="2" t="s">
        <v>577</v>
      </c>
      <c r="C117" s="3">
        <v>1</v>
      </c>
      <c r="D117" s="5">
        <v>44.63</v>
      </c>
      <c r="E117" s="3" t="s">
        <v>578</v>
      </c>
      <c r="F117" s="2" t="s">
        <v>15</v>
      </c>
      <c r="G117" s="6" t="s">
        <v>234</v>
      </c>
      <c r="H117" s="2" t="s">
        <v>194</v>
      </c>
      <c r="I117" s="2" t="s">
        <v>580</v>
      </c>
      <c r="J117" s="2" t="s">
        <v>19</v>
      </c>
      <c r="K117" s="2" t="s">
        <v>247</v>
      </c>
      <c r="L117" s="7" t="str">
        <f t="shared" si="3"/>
        <v xml:space="preserve">http://slimages.macys.com/is/image/MCY/12743841 </v>
      </c>
    </row>
    <row r="118" spans="1:12" ht="24.75" x14ac:dyDescent="0.25">
      <c r="A118" s="4" t="s">
        <v>10025</v>
      </c>
      <c r="B118" s="2" t="s">
        <v>577</v>
      </c>
      <c r="C118" s="3">
        <v>2</v>
      </c>
      <c r="D118" s="5">
        <v>44.63</v>
      </c>
      <c r="E118" s="3" t="s">
        <v>578</v>
      </c>
      <c r="F118" s="2" t="s">
        <v>15</v>
      </c>
      <c r="G118" s="6" t="s">
        <v>181</v>
      </c>
      <c r="H118" s="2" t="s">
        <v>194</v>
      </c>
      <c r="I118" s="2" t="s">
        <v>580</v>
      </c>
      <c r="J118" s="2" t="s">
        <v>19</v>
      </c>
      <c r="K118" s="2" t="s">
        <v>247</v>
      </c>
      <c r="L118" s="7" t="str">
        <f t="shared" si="3"/>
        <v xml:space="preserve">http://slimages.macys.com/is/image/MCY/12743841 </v>
      </c>
    </row>
    <row r="119" spans="1:12" ht="24.75" x14ac:dyDescent="0.25">
      <c r="A119" s="4" t="s">
        <v>576</v>
      </c>
      <c r="B119" s="2" t="s">
        <v>577</v>
      </c>
      <c r="C119" s="3">
        <v>1</v>
      </c>
      <c r="D119" s="5">
        <v>44.63</v>
      </c>
      <c r="E119" s="3" t="s">
        <v>578</v>
      </c>
      <c r="F119" s="2" t="s">
        <v>579</v>
      </c>
      <c r="G119" s="6" t="s">
        <v>154</v>
      </c>
      <c r="H119" s="2" t="s">
        <v>194</v>
      </c>
      <c r="I119" s="2" t="s">
        <v>580</v>
      </c>
      <c r="J119" s="2" t="s">
        <v>19</v>
      </c>
      <c r="K119" s="2" t="s">
        <v>247</v>
      </c>
      <c r="L119" s="7" t="str">
        <f t="shared" si="3"/>
        <v xml:space="preserve">http://slimages.macys.com/is/image/MCY/12743841 </v>
      </c>
    </row>
    <row r="120" spans="1:12" ht="24.75" x14ac:dyDescent="0.25">
      <c r="A120" s="4" t="s">
        <v>581</v>
      </c>
      <c r="B120" s="2" t="s">
        <v>577</v>
      </c>
      <c r="C120" s="3">
        <v>2</v>
      </c>
      <c r="D120" s="5">
        <v>44.63</v>
      </c>
      <c r="E120" s="3" t="s">
        <v>578</v>
      </c>
      <c r="F120" s="2" t="s">
        <v>579</v>
      </c>
      <c r="G120" s="6" t="s">
        <v>181</v>
      </c>
      <c r="H120" s="2" t="s">
        <v>194</v>
      </c>
      <c r="I120" s="2" t="s">
        <v>580</v>
      </c>
      <c r="J120" s="2" t="s">
        <v>19</v>
      </c>
      <c r="K120" s="2" t="s">
        <v>247</v>
      </c>
      <c r="L120" s="7" t="str">
        <f t="shared" si="3"/>
        <v xml:space="preserve">http://slimages.macys.com/is/image/MCY/12743841 </v>
      </c>
    </row>
    <row r="121" spans="1:12" ht="24.75" x14ac:dyDescent="0.25">
      <c r="A121" s="4" t="s">
        <v>582</v>
      </c>
      <c r="B121" s="2" t="s">
        <v>577</v>
      </c>
      <c r="C121" s="3">
        <v>5</v>
      </c>
      <c r="D121" s="5">
        <v>44.63</v>
      </c>
      <c r="E121" s="3" t="s">
        <v>578</v>
      </c>
      <c r="F121" s="2" t="s">
        <v>579</v>
      </c>
      <c r="G121" s="6" t="s">
        <v>234</v>
      </c>
      <c r="H121" s="2" t="s">
        <v>194</v>
      </c>
      <c r="I121" s="2" t="s">
        <v>580</v>
      </c>
      <c r="J121" s="2" t="s">
        <v>19</v>
      </c>
      <c r="K121" s="2" t="s">
        <v>247</v>
      </c>
      <c r="L121" s="7" t="str">
        <f t="shared" si="3"/>
        <v xml:space="preserve">http://slimages.macys.com/is/image/MCY/12743841 </v>
      </c>
    </row>
    <row r="122" spans="1:12" ht="24.75" x14ac:dyDescent="0.25">
      <c r="A122" s="4" t="s">
        <v>10026</v>
      </c>
      <c r="B122" s="2" t="s">
        <v>577</v>
      </c>
      <c r="C122" s="3">
        <v>1</v>
      </c>
      <c r="D122" s="5">
        <v>44.63</v>
      </c>
      <c r="E122" s="3" t="s">
        <v>578</v>
      </c>
      <c r="F122" s="2" t="s">
        <v>15</v>
      </c>
      <c r="G122" s="6" t="s">
        <v>156</v>
      </c>
      <c r="H122" s="2" t="s">
        <v>194</v>
      </c>
      <c r="I122" s="2" t="s">
        <v>580</v>
      </c>
      <c r="J122" s="2" t="s">
        <v>19</v>
      </c>
      <c r="K122" s="2" t="s">
        <v>247</v>
      </c>
      <c r="L122" s="7" t="str">
        <f t="shared" si="3"/>
        <v xml:space="preserve">http://slimages.macys.com/is/image/MCY/12743841 </v>
      </c>
    </row>
    <row r="123" spans="1:12" ht="48.75" x14ac:dyDescent="0.25">
      <c r="A123" s="4" t="s">
        <v>603</v>
      </c>
      <c r="B123" s="2" t="s">
        <v>599</v>
      </c>
      <c r="C123" s="3">
        <v>1</v>
      </c>
      <c r="D123" s="5">
        <v>37.130000000000003</v>
      </c>
      <c r="E123" s="3" t="s">
        <v>600</v>
      </c>
      <c r="F123" s="2" t="s">
        <v>125</v>
      </c>
      <c r="G123" s="6" t="s">
        <v>154</v>
      </c>
      <c r="H123" s="2" t="s">
        <v>194</v>
      </c>
      <c r="I123" s="2" t="s">
        <v>195</v>
      </c>
      <c r="J123" s="2" t="s">
        <v>19</v>
      </c>
      <c r="K123" s="2" t="s">
        <v>601</v>
      </c>
      <c r="L123" s="7" t="str">
        <f>HYPERLINK("http://slimages.macys.com/is/image/MCY/12734338 ")</f>
        <v xml:space="preserve">http://slimages.macys.com/is/image/MCY/12734338 </v>
      </c>
    </row>
    <row r="124" spans="1:12" ht="24.75" x14ac:dyDescent="0.25">
      <c r="A124" s="4" t="s">
        <v>2344</v>
      </c>
      <c r="B124" s="2" t="s">
        <v>606</v>
      </c>
      <c r="C124" s="3">
        <v>1</v>
      </c>
      <c r="D124" s="5">
        <v>37.130000000000003</v>
      </c>
      <c r="E124" s="3">
        <v>100054430</v>
      </c>
      <c r="F124" s="2" t="s">
        <v>15</v>
      </c>
      <c r="G124" s="6" t="s">
        <v>27</v>
      </c>
      <c r="H124" s="2" t="s">
        <v>194</v>
      </c>
      <c r="I124" s="2" t="s">
        <v>503</v>
      </c>
      <c r="J124" s="2" t="s">
        <v>19</v>
      </c>
      <c r="K124" s="2" t="s">
        <v>607</v>
      </c>
      <c r="L124" s="7" t="str">
        <f>HYPERLINK("http://slimages.macys.com/is/image/MCY/12063680 ")</f>
        <v xml:space="preserve">http://slimages.macys.com/is/image/MCY/12063680 </v>
      </c>
    </row>
    <row r="125" spans="1:12" ht="24.75" x14ac:dyDescent="0.25">
      <c r="A125" s="4" t="s">
        <v>9391</v>
      </c>
      <c r="B125" s="2" t="s">
        <v>606</v>
      </c>
      <c r="C125" s="3">
        <v>1</v>
      </c>
      <c r="D125" s="5">
        <v>37.130000000000003</v>
      </c>
      <c r="E125" s="3">
        <v>100054430</v>
      </c>
      <c r="F125" s="2" t="s">
        <v>15</v>
      </c>
      <c r="G125" s="6" t="s">
        <v>106</v>
      </c>
      <c r="H125" s="2" t="s">
        <v>194</v>
      </c>
      <c r="I125" s="2" t="s">
        <v>503</v>
      </c>
      <c r="J125" s="2" t="s">
        <v>19</v>
      </c>
      <c r="K125" s="2" t="s">
        <v>607</v>
      </c>
      <c r="L125" s="7" t="str">
        <f>HYPERLINK("http://slimages.macys.com/is/image/MCY/12063680 ")</f>
        <v xml:space="preserve">http://slimages.macys.com/is/image/MCY/12063680 </v>
      </c>
    </row>
    <row r="126" spans="1:12" ht="24.75" x14ac:dyDescent="0.25">
      <c r="A126" s="4" t="s">
        <v>7181</v>
      </c>
      <c r="B126" s="2" t="s">
        <v>606</v>
      </c>
      <c r="C126" s="3">
        <v>1</v>
      </c>
      <c r="D126" s="5">
        <v>37.130000000000003</v>
      </c>
      <c r="E126" s="3">
        <v>100054430</v>
      </c>
      <c r="F126" s="2" t="s">
        <v>15</v>
      </c>
      <c r="G126" s="6" t="s">
        <v>141</v>
      </c>
      <c r="H126" s="2" t="s">
        <v>194</v>
      </c>
      <c r="I126" s="2" t="s">
        <v>503</v>
      </c>
      <c r="J126" s="2" t="s">
        <v>19</v>
      </c>
      <c r="K126" s="2" t="s">
        <v>607</v>
      </c>
      <c r="L126" s="7" t="str">
        <f>HYPERLINK("http://slimages.macys.com/is/image/MCY/12063680 ")</f>
        <v xml:space="preserve">http://slimages.macys.com/is/image/MCY/12063680 </v>
      </c>
    </row>
    <row r="127" spans="1:12" ht="24.75" x14ac:dyDescent="0.25">
      <c r="A127" s="4" t="s">
        <v>2343</v>
      </c>
      <c r="B127" s="2" t="s">
        <v>606</v>
      </c>
      <c r="C127" s="3">
        <v>2</v>
      </c>
      <c r="D127" s="5">
        <v>37.130000000000003</v>
      </c>
      <c r="E127" s="3">
        <v>100054430</v>
      </c>
      <c r="F127" s="2" t="s">
        <v>15</v>
      </c>
      <c r="G127" s="6" t="s">
        <v>58</v>
      </c>
      <c r="H127" s="2" t="s">
        <v>194</v>
      </c>
      <c r="I127" s="2" t="s">
        <v>503</v>
      </c>
      <c r="J127" s="2" t="s">
        <v>19</v>
      </c>
      <c r="K127" s="2" t="s">
        <v>607</v>
      </c>
      <c r="L127" s="7" t="str">
        <f>HYPERLINK("http://slimages.macys.com/is/image/MCY/12063680 ")</f>
        <v xml:space="preserve">http://slimages.macys.com/is/image/MCY/12063680 </v>
      </c>
    </row>
    <row r="128" spans="1:12" ht="24.75" x14ac:dyDescent="0.25">
      <c r="A128" s="4" t="s">
        <v>4600</v>
      </c>
      <c r="B128" s="2" t="s">
        <v>606</v>
      </c>
      <c r="C128" s="3">
        <v>1</v>
      </c>
      <c r="D128" s="5">
        <v>37.130000000000003</v>
      </c>
      <c r="E128" s="3">
        <v>100054430</v>
      </c>
      <c r="F128" s="2" t="s">
        <v>15</v>
      </c>
      <c r="G128" s="6" t="s">
        <v>16</v>
      </c>
      <c r="H128" s="2" t="s">
        <v>194</v>
      </c>
      <c r="I128" s="2" t="s">
        <v>503</v>
      </c>
      <c r="J128" s="2" t="s">
        <v>19</v>
      </c>
      <c r="K128" s="2" t="s">
        <v>607</v>
      </c>
      <c r="L128" s="7" t="str">
        <f>HYPERLINK("http://slimages.macys.com/is/image/MCY/12063680 ")</f>
        <v xml:space="preserve">http://slimages.macys.com/is/image/MCY/12063680 </v>
      </c>
    </row>
    <row r="129" spans="1:12" ht="24.75" x14ac:dyDescent="0.25">
      <c r="A129" s="4" t="s">
        <v>10027</v>
      </c>
      <c r="B129" s="2" t="s">
        <v>10028</v>
      </c>
      <c r="C129" s="3">
        <v>1</v>
      </c>
      <c r="D129" s="5">
        <v>51.5</v>
      </c>
      <c r="E129" s="3" t="s">
        <v>10029</v>
      </c>
      <c r="F129" s="2" t="s">
        <v>64</v>
      </c>
      <c r="G129" s="6" t="s">
        <v>154</v>
      </c>
      <c r="H129" s="2" t="s">
        <v>246</v>
      </c>
      <c r="I129" s="2" t="s">
        <v>3427</v>
      </c>
      <c r="J129" s="2" t="s">
        <v>19</v>
      </c>
      <c r="K129" s="2" t="s">
        <v>201</v>
      </c>
      <c r="L129" s="7" t="str">
        <f>HYPERLINK("http://slimages.macys.com/is/image/MCY/11680929 ")</f>
        <v xml:space="preserve">http://slimages.macys.com/is/image/MCY/11680929 </v>
      </c>
    </row>
    <row r="130" spans="1:12" x14ac:dyDescent="0.25">
      <c r="A130" s="4" t="s">
        <v>10030</v>
      </c>
      <c r="B130" s="2" t="s">
        <v>7936</v>
      </c>
      <c r="C130" s="3">
        <v>1</v>
      </c>
      <c r="D130" s="5">
        <v>69.5</v>
      </c>
      <c r="E130" s="3" t="s">
        <v>7937</v>
      </c>
      <c r="F130" s="2" t="s">
        <v>74</v>
      </c>
      <c r="G130" s="6"/>
      <c r="H130" s="2" t="s">
        <v>206</v>
      </c>
      <c r="I130" s="2" t="s">
        <v>207</v>
      </c>
      <c r="J130" s="2" t="s">
        <v>19</v>
      </c>
      <c r="K130" s="2" t="s">
        <v>7938</v>
      </c>
      <c r="L130" s="7" t="str">
        <f>HYPERLINK("http://slimages.macys.com/is/image/MCY/12319273 ")</f>
        <v xml:space="preserve">http://slimages.macys.com/is/image/MCY/12319273 </v>
      </c>
    </row>
    <row r="131" spans="1:12" ht="24.75" x14ac:dyDescent="0.25">
      <c r="A131" s="4" t="s">
        <v>10031</v>
      </c>
      <c r="B131" s="2" t="s">
        <v>10032</v>
      </c>
      <c r="C131" s="3">
        <v>1</v>
      </c>
      <c r="D131" s="5">
        <v>69.5</v>
      </c>
      <c r="E131" s="3" t="s">
        <v>10033</v>
      </c>
      <c r="F131" s="2" t="s">
        <v>74</v>
      </c>
      <c r="G131" s="6" t="s">
        <v>126</v>
      </c>
      <c r="H131" s="2" t="s">
        <v>206</v>
      </c>
      <c r="I131" s="2" t="s">
        <v>1010</v>
      </c>
      <c r="J131" s="2" t="s">
        <v>19</v>
      </c>
      <c r="K131" s="2" t="s">
        <v>338</v>
      </c>
      <c r="L131" s="7" t="str">
        <f>HYPERLINK("http://slimages.macys.com/is/image/MCY/11647069 ")</f>
        <v xml:space="preserve">http://slimages.macys.com/is/image/MCY/11647069 </v>
      </c>
    </row>
    <row r="132" spans="1:12" ht="24.75" x14ac:dyDescent="0.25">
      <c r="A132" s="4" t="s">
        <v>3498</v>
      </c>
      <c r="B132" s="2" t="s">
        <v>641</v>
      </c>
      <c r="C132" s="3">
        <v>1</v>
      </c>
      <c r="D132" s="5">
        <v>34.99</v>
      </c>
      <c r="E132" s="3" t="s">
        <v>642</v>
      </c>
      <c r="F132" s="2" t="s">
        <v>64</v>
      </c>
      <c r="G132" s="6" t="s">
        <v>746</v>
      </c>
      <c r="H132" s="2" t="s">
        <v>349</v>
      </c>
      <c r="I132" s="2" t="s">
        <v>408</v>
      </c>
      <c r="J132" s="2" t="s">
        <v>19</v>
      </c>
      <c r="K132" s="2" t="s">
        <v>409</v>
      </c>
      <c r="L132" s="7" t="str">
        <f>HYPERLINK("http://slimages.macys.com/is/image/MCY/9297288 ")</f>
        <v xml:space="preserve">http://slimages.macys.com/is/image/MCY/9297288 </v>
      </c>
    </row>
    <row r="133" spans="1:12" ht="24.75" x14ac:dyDescent="0.25">
      <c r="A133" s="4" t="s">
        <v>10034</v>
      </c>
      <c r="B133" s="2" t="s">
        <v>7942</v>
      </c>
      <c r="C133" s="3">
        <v>2</v>
      </c>
      <c r="D133" s="5">
        <v>69.5</v>
      </c>
      <c r="E133" s="3" t="s">
        <v>7943</v>
      </c>
      <c r="F133" s="2" t="s">
        <v>74</v>
      </c>
      <c r="G133" s="6" t="s">
        <v>363</v>
      </c>
      <c r="H133" s="2" t="s">
        <v>206</v>
      </c>
      <c r="I133" s="2" t="s">
        <v>207</v>
      </c>
      <c r="J133" s="2" t="s">
        <v>19</v>
      </c>
      <c r="K133" s="2" t="s">
        <v>338</v>
      </c>
      <c r="L133" s="7" t="str">
        <f>HYPERLINK("http://slimages.macys.com/is/image/MCY/11859005 ")</f>
        <v xml:space="preserve">http://slimages.macys.com/is/image/MCY/11859005 </v>
      </c>
    </row>
    <row r="134" spans="1:12" ht="24.75" x14ac:dyDescent="0.25">
      <c r="A134" s="4" t="s">
        <v>5551</v>
      </c>
      <c r="B134" s="2" t="s">
        <v>663</v>
      </c>
      <c r="C134" s="3">
        <v>1</v>
      </c>
      <c r="D134" s="5">
        <v>29.99</v>
      </c>
      <c r="E134" s="3" t="s">
        <v>664</v>
      </c>
      <c r="F134" s="2" t="s">
        <v>15</v>
      </c>
      <c r="G134" s="6" t="s">
        <v>234</v>
      </c>
      <c r="H134" s="2" t="s">
        <v>284</v>
      </c>
      <c r="I134" s="2" t="s">
        <v>408</v>
      </c>
      <c r="J134" s="2" t="s">
        <v>19</v>
      </c>
      <c r="K134" s="2" t="s">
        <v>409</v>
      </c>
      <c r="L134" s="7" t="str">
        <f>HYPERLINK("http://slimages.macys.com/is/image/MCY/13397153 ")</f>
        <v xml:space="preserve">http://slimages.macys.com/is/image/MCY/13397153 </v>
      </c>
    </row>
    <row r="135" spans="1:12" ht="24.75" x14ac:dyDescent="0.25">
      <c r="A135" s="4" t="s">
        <v>10035</v>
      </c>
      <c r="B135" s="2" t="s">
        <v>10036</v>
      </c>
      <c r="C135" s="3">
        <v>1</v>
      </c>
      <c r="D135" s="5">
        <v>44.63</v>
      </c>
      <c r="E135" s="3" t="s">
        <v>10037</v>
      </c>
      <c r="F135" s="2" t="s">
        <v>26</v>
      </c>
      <c r="G135" s="6" t="s">
        <v>27</v>
      </c>
      <c r="H135" s="2" t="s">
        <v>213</v>
      </c>
      <c r="I135" s="2" t="s">
        <v>214</v>
      </c>
      <c r="J135" s="2" t="s">
        <v>19</v>
      </c>
      <c r="K135" s="2" t="s">
        <v>215</v>
      </c>
      <c r="L135" s="7" t="str">
        <f>HYPERLINK("http://slimages.macys.com/is/image/MCY/10203259 ")</f>
        <v xml:space="preserve">http://slimages.macys.com/is/image/MCY/10203259 </v>
      </c>
    </row>
    <row r="136" spans="1:12" ht="24.75" x14ac:dyDescent="0.25">
      <c r="A136" s="4" t="s">
        <v>5552</v>
      </c>
      <c r="B136" s="2" t="s">
        <v>2376</v>
      </c>
      <c r="C136" s="3">
        <v>1</v>
      </c>
      <c r="D136" s="5">
        <v>40.880000000000003</v>
      </c>
      <c r="E136" s="3" t="s">
        <v>2377</v>
      </c>
      <c r="F136" s="2" t="s">
        <v>26</v>
      </c>
      <c r="G136" s="6" t="s">
        <v>234</v>
      </c>
      <c r="H136" s="2" t="s">
        <v>284</v>
      </c>
      <c r="I136" s="2" t="s">
        <v>285</v>
      </c>
      <c r="J136" s="2" t="s">
        <v>19</v>
      </c>
      <c r="K136" s="2" t="s">
        <v>34</v>
      </c>
      <c r="L136" s="7" t="str">
        <f>HYPERLINK("http://slimages.macys.com/is/image/MCY/12671730 ")</f>
        <v xml:space="preserve">http://slimages.macys.com/is/image/MCY/12671730 </v>
      </c>
    </row>
    <row r="137" spans="1:12" ht="24.75" x14ac:dyDescent="0.25">
      <c r="A137" s="4" t="s">
        <v>10038</v>
      </c>
      <c r="B137" s="2" t="s">
        <v>2331</v>
      </c>
      <c r="C137" s="3">
        <v>1</v>
      </c>
      <c r="D137" s="5">
        <v>51.5</v>
      </c>
      <c r="E137" s="3" t="s">
        <v>3456</v>
      </c>
      <c r="F137" s="2" t="s">
        <v>331</v>
      </c>
      <c r="G137" s="6" t="s">
        <v>245</v>
      </c>
      <c r="H137" s="2" t="s">
        <v>246</v>
      </c>
      <c r="I137" s="2" t="s">
        <v>189</v>
      </c>
      <c r="J137" s="2" t="s">
        <v>19</v>
      </c>
      <c r="K137" s="2" t="s">
        <v>1480</v>
      </c>
      <c r="L137" s="7" t="str">
        <f>HYPERLINK("http://slimages.macys.com/is/image/MCY/9910820 ")</f>
        <v xml:space="preserve">http://slimages.macys.com/is/image/MCY/9910820 </v>
      </c>
    </row>
    <row r="138" spans="1:12" ht="48.75" x14ac:dyDescent="0.25">
      <c r="A138" s="4" t="s">
        <v>4647</v>
      </c>
      <c r="B138" s="2" t="s">
        <v>432</v>
      </c>
      <c r="C138" s="3">
        <v>1</v>
      </c>
      <c r="D138" s="5">
        <v>37.130000000000003</v>
      </c>
      <c r="E138" s="3" t="s">
        <v>4646</v>
      </c>
      <c r="F138" s="2" t="s">
        <v>26</v>
      </c>
      <c r="G138" s="6" t="s">
        <v>154</v>
      </c>
      <c r="H138" s="2" t="s">
        <v>284</v>
      </c>
      <c r="I138" s="2" t="s">
        <v>408</v>
      </c>
      <c r="J138" s="2" t="s">
        <v>19</v>
      </c>
      <c r="K138" s="2" t="s">
        <v>775</v>
      </c>
      <c r="L138" s="7" t="str">
        <f>HYPERLINK("http://slimages.macys.com/is/image/MCY/12672509 ")</f>
        <v xml:space="preserve">http://slimages.macys.com/is/image/MCY/12672509 </v>
      </c>
    </row>
    <row r="139" spans="1:12" x14ac:dyDescent="0.25">
      <c r="A139" s="4" t="s">
        <v>10039</v>
      </c>
      <c r="B139" s="2" t="s">
        <v>696</v>
      </c>
      <c r="C139" s="3">
        <v>1</v>
      </c>
      <c r="D139" s="5">
        <v>59.5</v>
      </c>
      <c r="E139" s="3" t="s">
        <v>697</v>
      </c>
      <c r="F139" s="2" t="s">
        <v>74</v>
      </c>
      <c r="G139" s="6"/>
      <c r="H139" s="2" t="s">
        <v>206</v>
      </c>
      <c r="I139" s="2" t="s">
        <v>207</v>
      </c>
      <c r="J139" s="2" t="s">
        <v>19</v>
      </c>
      <c r="K139" s="2" t="s">
        <v>201</v>
      </c>
      <c r="L139" s="7" t="str">
        <f>HYPERLINK("http://slimages.macys.com/is/image/MCY/13387442 ")</f>
        <v xml:space="preserve">http://slimages.macys.com/is/image/MCY/13387442 </v>
      </c>
    </row>
    <row r="140" spans="1:12" ht="24.75" x14ac:dyDescent="0.25">
      <c r="A140" s="4" t="s">
        <v>10040</v>
      </c>
      <c r="B140" s="2" t="s">
        <v>10041</v>
      </c>
      <c r="C140" s="3">
        <v>1</v>
      </c>
      <c r="D140" s="5">
        <v>44.63</v>
      </c>
      <c r="E140" s="3" t="s">
        <v>10042</v>
      </c>
      <c r="F140" s="2" t="s">
        <v>74</v>
      </c>
      <c r="G140" s="6" t="s">
        <v>27</v>
      </c>
      <c r="H140" s="2" t="s">
        <v>246</v>
      </c>
      <c r="I140" s="2" t="s">
        <v>487</v>
      </c>
      <c r="J140" s="2" t="s">
        <v>19</v>
      </c>
      <c r="K140" s="2" t="s">
        <v>10043</v>
      </c>
      <c r="L140" s="7" t="str">
        <f>HYPERLINK("http://slimages.macys.com/is/image/MCY/9258175 ")</f>
        <v xml:space="preserve">http://slimages.macys.com/is/image/MCY/9258175 </v>
      </c>
    </row>
    <row r="141" spans="1:12" ht="24.75" x14ac:dyDescent="0.25">
      <c r="A141" s="4" t="s">
        <v>10044</v>
      </c>
      <c r="B141" s="2" t="s">
        <v>10041</v>
      </c>
      <c r="C141" s="3">
        <v>1</v>
      </c>
      <c r="D141" s="5">
        <v>44.63</v>
      </c>
      <c r="E141" s="3" t="s">
        <v>10042</v>
      </c>
      <c r="F141" s="2" t="s">
        <v>74</v>
      </c>
      <c r="G141" s="6" t="s">
        <v>16</v>
      </c>
      <c r="H141" s="2" t="s">
        <v>246</v>
      </c>
      <c r="I141" s="2" t="s">
        <v>487</v>
      </c>
      <c r="J141" s="2" t="s">
        <v>19</v>
      </c>
      <c r="K141" s="2" t="s">
        <v>10043</v>
      </c>
      <c r="L141" s="7" t="str">
        <f>HYPERLINK("http://slimages.macys.com/is/image/MCY/9258175 ")</f>
        <v xml:space="preserve">http://slimages.macys.com/is/image/MCY/9258175 </v>
      </c>
    </row>
    <row r="142" spans="1:12" ht="24.75" x14ac:dyDescent="0.25">
      <c r="A142" s="4" t="s">
        <v>10045</v>
      </c>
      <c r="B142" s="2" t="s">
        <v>10041</v>
      </c>
      <c r="C142" s="3">
        <v>1</v>
      </c>
      <c r="D142" s="5">
        <v>44.63</v>
      </c>
      <c r="E142" s="3" t="s">
        <v>10042</v>
      </c>
      <c r="F142" s="2" t="s">
        <v>74</v>
      </c>
      <c r="G142" s="6" t="s">
        <v>112</v>
      </c>
      <c r="H142" s="2" t="s">
        <v>246</v>
      </c>
      <c r="I142" s="2" t="s">
        <v>487</v>
      </c>
      <c r="J142" s="2" t="s">
        <v>19</v>
      </c>
      <c r="K142" s="2" t="s">
        <v>10043</v>
      </c>
      <c r="L142" s="7" t="str">
        <f>HYPERLINK("http://slimages.macys.com/is/image/MCY/9258175 ")</f>
        <v xml:space="preserve">http://slimages.macys.com/is/image/MCY/9258175 </v>
      </c>
    </row>
    <row r="143" spans="1:12" ht="24.75" x14ac:dyDescent="0.25">
      <c r="A143" s="4" t="s">
        <v>5566</v>
      </c>
      <c r="B143" s="2" t="s">
        <v>2385</v>
      </c>
      <c r="C143" s="3">
        <v>1</v>
      </c>
      <c r="D143" s="5">
        <v>39.5</v>
      </c>
      <c r="E143" s="3" t="s">
        <v>2386</v>
      </c>
      <c r="F143" s="2" t="s">
        <v>417</v>
      </c>
      <c r="G143" s="6" t="s">
        <v>234</v>
      </c>
      <c r="H143" s="2" t="s">
        <v>194</v>
      </c>
      <c r="I143" s="2" t="s">
        <v>195</v>
      </c>
      <c r="J143" s="2" t="s">
        <v>19</v>
      </c>
      <c r="K143" s="2" t="s">
        <v>201</v>
      </c>
      <c r="L143" s="7" t="str">
        <f>HYPERLINK("http://slimages.macys.com/is/image/MCY/12034726 ")</f>
        <v xml:space="preserve">http://slimages.macys.com/is/image/MCY/12034726 </v>
      </c>
    </row>
    <row r="144" spans="1:12" ht="24.75" x14ac:dyDescent="0.25">
      <c r="A144" s="4" t="s">
        <v>10046</v>
      </c>
      <c r="B144" s="2" t="s">
        <v>707</v>
      </c>
      <c r="C144" s="3">
        <v>1</v>
      </c>
      <c r="D144" s="5">
        <v>40.880000000000003</v>
      </c>
      <c r="E144" s="3">
        <v>100047657</v>
      </c>
      <c r="F144" s="2" t="s">
        <v>376</v>
      </c>
      <c r="G144" s="6" t="s">
        <v>112</v>
      </c>
      <c r="H144" s="2" t="s">
        <v>194</v>
      </c>
      <c r="I144" s="2" t="s">
        <v>195</v>
      </c>
      <c r="J144" s="2" t="s">
        <v>19</v>
      </c>
      <c r="K144" s="2" t="s">
        <v>546</v>
      </c>
      <c r="L144" s="7" t="str">
        <f>HYPERLINK("http://slimages.macys.com/is/image/MCY/12143636 ")</f>
        <v xml:space="preserve">http://slimages.macys.com/is/image/MCY/12143636 </v>
      </c>
    </row>
    <row r="145" spans="1:12" ht="24.75" x14ac:dyDescent="0.25">
      <c r="A145" s="4" t="s">
        <v>706</v>
      </c>
      <c r="B145" s="2" t="s">
        <v>707</v>
      </c>
      <c r="C145" s="3">
        <v>1</v>
      </c>
      <c r="D145" s="5">
        <v>40.880000000000003</v>
      </c>
      <c r="E145" s="3">
        <v>100047657</v>
      </c>
      <c r="F145" s="2" t="s">
        <v>376</v>
      </c>
      <c r="G145" s="6" t="s">
        <v>58</v>
      </c>
      <c r="H145" s="2" t="s">
        <v>194</v>
      </c>
      <c r="I145" s="2" t="s">
        <v>195</v>
      </c>
      <c r="J145" s="2" t="s">
        <v>19</v>
      </c>
      <c r="K145" s="2" t="s">
        <v>546</v>
      </c>
      <c r="L145" s="7" t="str">
        <f>HYPERLINK("http://slimages.macys.com/is/image/MCY/12143636 ")</f>
        <v xml:space="preserve">http://slimages.macys.com/is/image/MCY/12143636 </v>
      </c>
    </row>
    <row r="146" spans="1:12" ht="24.75" x14ac:dyDescent="0.25">
      <c r="A146" s="4" t="s">
        <v>10047</v>
      </c>
      <c r="B146" s="2" t="s">
        <v>2385</v>
      </c>
      <c r="C146" s="3">
        <v>1</v>
      </c>
      <c r="D146" s="5">
        <v>39.5</v>
      </c>
      <c r="E146" s="3" t="s">
        <v>10048</v>
      </c>
      <c r="F146" s="2" t="s">
        <v>15</v>
      </c>
      <c r="G146" s="6" t="s">
        <v>154</v>
      </c>
      <c r="H146" s="2" t="s">
        <v>194</v>
      </c>
      <c r="I146" s="2" t="s">
        <v>195</v>
      </c>
      <c r="J146" s="2" t="s">
        <v>19</v>
      </c>
      <c r="K146" s="2" t="s">
        <v>201</v>
      </c>
      <c r="L146" s="7" t="str">
        <f>HYPERLINK("http://slimages.macys.com/is/image/MCY/12668616 ")</f>
        <v xml:space="preserve">http://slimages.macys.com/is/image/MCY/12668616 </v>
      </c>
    </row>
    <row r="147" spans="1:12" ht="24.75" x14ac:dyDescent="0.25">
      <c r="A147" s="4" t="s">
        <v>708</v>
      </c>
      <c r="B147" s="2" t="s">
        <v>709</v>
      </c>
      <c r="C147" s="3">
        <v>1</v>
      </c>
      <c r="D147" s="5">
        <v>44.63</v>
      </c>
      <c r="E147" s="3" t="s">
        <v>710</v>
      </c>
      <c r="F147" s="2" t="s">
        <v>15</v>
      </c>
      <c r="G147" s="6" t="s">
        <v>200</v>
      </c>
      <c r="H147" s="2" t="s">
        <v>284</v>
      </c>
      <c r="I147" s="2" t="s">
        <v>285</v>
      </c>
      <c r="J147" s="2" t="s">
        <v>19</v>
      </c>
      <c r="K147" s="2" t="s">
        <v>711</v>
      </c>
      <c r="L147" s="7" t="str">
        <f>HYPERLINK("http://slimages.macys.com/is/image/MCY/12671663 ")</f>
        <v xml:space="preserve">http://slimages.macys.com/is/image/MCY/12671663 </v>
      </c>
    </row>
    <row r="148" spans="1:12" ht="36.75" x14ac:dyDescent="0.25">
      <c r="A148" s="4" t="s">
        <v>10049</v>
      </c>
      <c r="B148" s="2" t="s">
        <v>4653</v>
      </c>
      <c r="C148" s="3">
        <v>1</v>
      </c>
      <c r="D148" s="5">
        <v>37.130000000000003</v>
      </c>
      <c r="E148" s="3" t="s">
        <v>4654</v>
      </c>
      <c r="F148" s="2" t="s">
        <v>64</v>
      </c>
      <c r="G148" s="6" t="s">
        <v>154</v>
      </c>
      <c r="H148" s="2" t="s">
        <v>284</v>
      </c>
      <c r="I148" s="2" t="s">
        <v>408</v>
      </c>
      <c r="J148" s="2" t="s">
        <v>19</v>
      </c>
      <c r="K148" s="2" t="s">
        <v>500</v>
      </c>
      <c r="L148" s="7" t="str">
        <f>HYPERLINK("http://slimages.macys.com/is/image/MCY/12672239 ")</f>
        <v xml:space="preserve">http://slimages.macys.com/is/image/MCY/12672239 </v>
      </c>
    </row>
    <row r="149" spans="1:12" ht="24.75" x14ac:dyDescent="0.25">
      <c r="A149" s="4" t="s">
        <v>2398</v>
      </c>
      <c r="B149" s="2" t="s">
        <v>453</v>
      </c>
      <c r="C149" s="3">
        <v>1</v>
      </c>
      <c r="D149" s="5">
        <v>37.130000000000003</v>
      </c>
      <c r="E149" s="3" t="s">
        <v>721</v>
      </c>
      <c r="F149" s="2" t="s">
        <v>417</v>
      </c>
      <c r="G149" s="6" t="s">
        <v>181</v>
      </c>
      <c r="H149" s="2" t="s">
        <v>284</v>
      </c>
      <c r="I149" s="2" t="s">
        <v>285</v>
      </c>
      <c r="J149" s="2" t="s">
        <v>19</v>
      </c>
      <c r="K149" s="2" t="s">
        <v>323</v>
      </c>
      <c r="L149" s="7" t="str">
        <f>HYPERLINK("http://slimages.macys.com/is/image/MCY/9678668 ")</f>
        <v xml:space="preserve">http://slimages.macys.com/is/image/MCY/9678668 </v>
      </c>
    </row>
    <row r="150" spans="1:12" ht="24.75" x14ac:dyDescent="0.25">
      <c r="A150" s="4" t="s">
        <v>723</v>
      </c>
      <c r="B150" s="2" t="s">
        <v>453</v>
      </c>
      <c r="C150" s="3">
        <v>1</v>
      </c>
      <c r="D150" s="5">
        <v>37.130000000000003</v>
      </c>
      <c r="E150" s="3" t="s">
        <v>721</v>
      </c>
      <c r="F150" s="2" t="s">
        <v>417</v>
      </c>
      <c r="G150" s="6" t="s">
        <v>200</v>
      </c>
      <c r="H150" s="2" t="s">
        <v>284</v>
      </c>
      <c r="I150" s="2" t="s">
        <v>285</v>
      </c>
      <c r="J150" s="2" t="s">
        <v>19</v>
      </c>
      <c r="K150" s="2" t="s">
        <v>323</v>
      </c>
      <c r="L150" s="7" t="str">
        <f>HYPERLINK("http://slimages.macys.com/is/image/MCY/9678668 ")</f>
        <v xml:space="preserve">http://slimages.macys.com/is/image/MCY/9678668 </v>
      </c>
    </row>
    <row r="151" spans="1:12" ht="48.75" x14ac:dyDescent="0.25">
      <c r="A151" s="4" t="s">
        <v>3539</v>
      </c>
      <c r="B151" s="2" t="s">
        <v>3536</v>
      </c>
      <c r="C151" s="3">
        <v>1</v>
      </c>
      <c r="D151" s="5">
        <v>40.880000000000003</v>
      </c>
      <c r="E151" s="3" t="s">
        <v>3537</v>
      </c>
      <c r="F151" s="2" t="s">
        <v>74</v>
      </c>
      <c r="G151" s="6" t="s">
        <v>154</v>
      </c>
      <c r="H151" s="2" t="s">
        <v>284</v>
      </c>
      <c r="I151" s="2" t="s">
        <v>285</v>
      </c>
      <c r="J151" s="2" t="s">
        <v>19</v>
      </c>
      <c r="K151" s="2" t="s">
        <v>3542</v>
      </c>
      <c r="L151" s="7" t="str">
        <f>HYPERLINK("http://slimages.macys.com/is/image/MCY/11858366 ")</f>
        <v xml:space="preserve">http://slimages.macys.com/is/image/MCY/11858366 </v>
      </c>
    </row>
    <row r="152" spans="1:12" ht="36.75" x14ac:dyDescent="0.25">
      <c r="A152" s="4" t="s">
        <v>10050</v>
      </c>
      <c r="B152" s="2" t="s">
        <v>10051</v>
      </c>
      <c r="C152" s="3">
        <v>1</v>
      </c>
      <c r="D152" s="5">
        <v>37.130000000000003</v>
      </c>
      <c r="E152" s="3" t="s">
        <v>10052</v>
      </c>
      <c r="F152" s="2" t="s">
        <v>376</v>
      </c>
      <c r="G152" s="6" t="s">
        <v>154</v>
      </c>
      <c r="H152" s="2" t="s">
        <v>284</v>
      </c>
      <c r="I152" s="2" t="s">
        <v>285</v>
      </c>
      <c r="J152" s="2" t="s">
        <v>19</v>
      </c>
      <c r="K152" s="2" t="s">
        <v>514</v>
      </c>
      <c r="L152" s="7" t="str">
        <f>HYPERLINK("http://slimages.macys.com/is/image/MCY/11032180 ")</f>
        <v xml:space="preserve">http://slimages.macys.com/is/image/MCY/11032180 </v>
      </c>
    </row>
    <row r="153" spans="1:12" ht="48.75" x14ac:dyDescent="0.25">
      <c r="A153" s="4" t="s">
        <v>10053</v>
      </c>
      <c r="B153" s="2" t="s">
        <v>10054</v>
      </c>
      <c r="C153" s="3">
        <v>1</v>
      </c>
      <c r="D153" s="5">
        <v>40.880000000000003</v>
      </c>
      <c r="E153" s="3" t="s">
        <v>10055</v>
      </c>
      <c r="F153" s="2" t="s">
        <v>1584</v>
      </c>
      <c r="G153" s="6" t="s">
        <v>200</v>
      </c>
      <c r="H153" s="2" t="s">
        <v>284</v>
      </c>
      <c r="I153" s="2" t="s">
        <v>458</v>
      </c>
      <c r="J153" s="2" t="s">
        <v>19</v>
      </c>
      <c r="K153" s="2" t="s">
        <v>10056</v>
      </c>
      <c r="L153" s="7" t="str">
        <f>HYPERLINK("http://slimages.macys.com/is/image/MCY/15967214 ")</f>
        <v xml:space="preserve">http://slimages.macys.com/is/image/MCY/15967214 </v>
      </c>
    </row>
    <row r="154" spans="1:12" ht="48.75" x14ac:dyDescent="0.25">
      <c r="A154" s="4" t="s">
        <v>10057</v>
      </c>
      <c r="B154" s="2" t="s">
        <v>10054</v>
      </c>
      <c r="C154" s="3">
        <v>2</v>
      </c>
      <c r="D154" s="5">
        <v>40.880000000000003</v>
      </c>
      <c r="E154" s="3" t="s">
        <v>10055</v>
      </c>
      <c r="F154" s="2" t="s">
        <v>1584</v>
      </c>
      <c r="G154" s="6" t="s">
        <v>154</v>
      </c>
      <c r="H154" s="2" t="s">
        <v>284</v>
      </c>
      <c r="I154" s="2" t="s">
        <v>458</v>
      </c>
      <c r="J154" s="2" t="s">
        <v>19</v>
      </c>
      <c r="K154" s="2" t="s">
        <v>10056</v>
      </c>
      <c r="L154" s="7" t="str">
        <f>HYPERLINK("http://slimages.macys.com/is/image/MCY/15967214 ")</f>
        <v xml:space="preserve">http://slimages.macys.com/is/image/MCY/15967214 </v>
      </c>
    </row>
    <row r="155" spans="1:12" ht="24.75" x14ac:dyDescent="0.25">
      <c r="A155" s="4" t="s">
        <v>730</v>
      </c>
      <c r="B155" s="2" t="s">
        <v>456</v>
      </c>
      <c r="C155" s="3">
        <v>1</v>
      </c>
      <c r="D155" s="5">
        <v>37.130000000000003</v>
      </c>
      <c r="E155" s="3" t="s">
        <v>731</v>
      </c>
      <c r="F155" s="2" t="s">
        <v>331</v>
      </c>
      <c r="G155" s="6" t="s">
        <v>154</v>
      </c>
      <c r="H155" s="2" t="s">
        <v>284</v>
      </c>
      <c r="I155" s="2" t="s">
        <v>458</v>
      </c>
      <c r="J155" s="2" t="s">
        <v>19</v>
      </c>
      <c r="K155" s="2" t="s">
        <v>442</v>
      </c>
      <c r="L155" s="7" t="str">
        <f>HYPERLINK("http://slimages.macys.com/is/image/MCY/10242537 ")</f>
        <v xml:space="preserve">http://slimages.macys.com/is/image/MCY/10242537 </v>
      </c>
    </row>
    <row r="156" spans="1:12" ht="24.75" x14ac:dyDescent="0.25">
      <c r="A156" s="4" t="s">
        <v>10058</v>
      </c>
      <c r="B156" s="2" t="s">
        <v>10059</v>
      </c>
      <c r="C156" s="3">
        <v>1</v>
      </c>
      <c r="D156" s="5">
        <v>52.13</v>
      </c>
      <c r="E156" s="3" t="s">
        <v>10060</v>
      </c>
      <c r="F156" s="2" t="s">
        <v>74</v>
      </c>
      <c r="G156" s="6" t="s">
        <v>65</v>
      </c>
      <c r="H156" s="2" t="s">
        <v>246</v>
      </c>
      <c r="I156" s="2" t="s">
        <v>189</v>
      </c>
      <c r="J156" s="2" t="s">
        <v>19</v>
      </c>
      <c r="K156" s="2" t="s">
        <v>10061</v>
      </c>
      <c r="L156" s="7" t="str">
        <f>HYPERLINK("http://slimages.macys.com/is/image/MCY/11272146 ")</f>
        <v xml:space="preserve">http://slimages.macys.com/is/image/MCY/11272146 </v>
      </c>
    </row>
    <row r="157" spans="1:12" ht="24.75" x14ac:dyDescent="0.25">
      <c r="A157" s="4" t="s">
        <v>10062</v>
      </c>
      <c r="B157" s="2" t="s">
        <v>10063</v>
      </c>
      <c r="C157" s="3">
        <v>1</v>
      </c>
      <c r="D157" s="5">
        <v>59.5</v>
      </c>
      <c r="E157" s="3" t="s">
        <v>10064</v>
      </c>
      <c r="F157" s="2" t="s">
        <v>26</v>
      </c>
      <c r="G157" s="6" t="s">
        <v>3715</v>
      </c>
      <c r="H157" s="2" t="s">
        <v>206</v>
      </c>
      <c r="I157" s="2" t="s">
        <v>1010</v>
      </c>
      <c r="J157" s="2" t="s">
        <v>19</v>
      </c>
      <c r="K157" s="2" t="s">
        <v>409</v>
      </c>
      <c r="L157" s="7" t="str">
        <f>HYPERLINK("http://slimages.macys.com/is/image/MCY/9344347 ")</f>
        <v xml:space="preserve">http://slimages.macys.com/is/image/MCY/9344347 </v>
      </c>
    </row>
    <row r="158" spans="1:12" ht="24.75" x14ac:dyDescent="0.25">
      <c r="A158" s="4" t="s">
        <v>10065</v>
      </c>
      <c r="B158" s="2" t="s">
        <v>5595</v>
      </c>
      <c r="C158" s="3">
        <v>2</v>
      </c>
      <c r="D158" s="5">
        <v>34.880000000000003</v>
      </c>
      <c r="E158" s="3">
        <v>100038855</v>
      </c>
      <c r="F158" s="2" t="s">
        <v>376</v>
      </c>
      <c r="G158" s="6" t="s">
        <v>141</v>
      </c>
      <c r="H158" s="2" t="s">
        <v>194</v>
      </c>
      <c r="I158" s="2" t="s">
        <v>503</v>
      </c>
      <c r="J158" s="2" t="s">
        <v>19</v>
      </c>
      <c r="K158" s="2" t="s">
        <v>353</v>
      </c>
      <c r="L158" s="7" t="str">
        <f>HYPERLINK("http://slimages.macys.com/is/image/MCY/9325309 ")</f>
        <v xml:space="preserve">http://slimages.macys.com/is/image/MCY/9325309 </v>
      </c>
    </row>
    <row r="159" spans="1:12" ht="24.75" x14ac:dyDescent="0.25">
      <c r="A159" s="4" t="s">
        <v>7975</v>
      </c>
      <c r="B159" s="2" t="s">
        <v>768</v>
      </c>
      <c r="C159" s="3">
        <v>2</v>
      </c>
      <c r="D159" s="5">
        <v>34.880000000000003</v>
      </c>
      <c r="E159" s="3">
        <v>100054400</v>
      </c>
      <c r="F159" s="2" t="s">
        <v>64</v>
      </c>
      <c r="G159" s="6" t="s">
        <v>27</v>
      </c>
      <c r="H159" s="2" t="s">
        <v>194</v>
      </c>
      <c r="I159" s="2" t="s">
        <v>195</v>
      </c>
      <c r="J159" s="2" t="s">
        <v>19</v>
      </c>
      <c r="K159" s="2" t="s">
        <v>546</v>
      </c>
      <c r="L159" s="7" t="str">
        <f>HYPERLINK("http://slimages.macys.com/is/image/MCY/12850455 ")</f>
        <v xml:space="preserve">http://slimages.macys.com/is/image/MCY/12850455 </v>
      </c>
    </row>
    <row r="160" spans="1:12" ht="36.75" x14ac:dyDescent="0.25">
      <c r="A160" s="4" t="s">
        <v>2408</v>
      </c>
      <c r="B160" s="2" t="s">
        <v>764</v>
      </c>
      <c r="C160" s="3">
        <v>1</v>
      </c>
      <c r="D160" s="5">
        <v>37.130000000000003</v>
      </c>
      <c r="E160" s="3" t="s">
        <v>765</v>
      </c>
      <c r="F160" s="2" t="s">
        <v>566</v>
      </c>
      <c r="G160" s="6" t="s">
        <v>154</v>
      </c>
      <c r="H160" s="2" t="s">
        <v>284</v>
      </c>
      <c r="I160" s="2" t="s">
        <v>458</v>
      </c>
      <c r="J160" s="2" t="s">
        <v>19</v>
      </c>
      <c r="K160" s="2" t="s">
        <v>514</v>
      </c>
      <c r="L160" s="7" t="str">
        <f>HYPERLINK("http://slimages.macys.com/is/image/MCY/13804604 ")</f>
        <v xml:space="preserve">http://slimages.macys.com/is/image/MCY/13804604 </v>
      </c>
    </row>
    <row r="161" spans="1:12" ht="24.75" x14ac:dyDescent="0.25">
      <c r="A161" s="4" t="s">
        <v>10066</v>
      </c>
      <c r="B161" s="2" t="s">
        <v>10067</v>
      </c>
      <c r="C161" s="3">
        <v>1</v>
      </c>
      <c r="D161" s="5">
        <v>40.880000000000003</v>
      </c>
      <c r="E161" s="3" t="s">
        <v>10068</v>
      </c>
      <c r="F161" s="2" t="s">
        <v>15</v>
      </c>
      <c r="G161" s="6" t="s">
        <v>154</v>
      </c>
      <c r="H161" s="2" t="s">
        <v>194</v>
      </c>
      <c r="I161" s="2" t="s">
        <v>195</v>
      </c>
      <c r="J161" s="2" t="s">
        <v>19</v>
      </c>
      <c r="K161" s="2" t="s">
        <v>648</v>
      </c>
      <c r="L161" s="7" t="str">
        <f>HYPERLINK("http://slimages.macys.com/is/image/MCY/13120809 ")</f>
        <v xml:space="preserve">http://slimages.macys.com/is/image/MCY/13120809 </v>
      </c>
    </row>
    <row r="162" spans="1:12" x14ac:dyDescent="0.25">
      <c r="A162" s="4" t="s">
        <v>10069</v>
      </c>
      <c r="B162" s="2" t="s">
        <v>10070</v>
      </c>
      <c r="C162" s="3">
        <v>1</v>
      </c>
      <c r="D162" s="5">
        <v>69.5</v>
      </c>
      <c r="E162" s="3" t="s">
        <v>10071</v>
      </c>
      <c r="F162" s="2" t="s">
        <v>74</v>
      </c>
      <c r="G162" s="6" t="s">
        <v>219</v>
      </c>
      <c r="H162" s="2" t="s">
        <v>206</v>
      </c>
      <c r="I162" s="2" t="s">
        <v>207</v>
      </c>
      <c r="J162" s="2" t="s">
        <v>19</v>
      </c>
      <c r="K162" s="2" t="s">
        <v>160</v>
      </c>
      <c r="L162" s="7" t="str">
        <f>HYPERLINK("http://slimages.macys.com/is/image/MCY/11777929 ")</f>
        <v xml:space="preserve">http://slimages.macys.com/is/image/MCY/11777929 </v>
      </c>
    </row>
    <row r="163" spans="1:12" x14ac:dyDescent="0.25">
      <c r="A163" s="4" t="s">
        <v>10072</v>
      </c>
      <c r="B163" s="2" t="s">
        <v>10070</v>
      </c>
      <c r="C163" s="3">
        <v>1</v>
      </c>
      <c r="D163" s="5">
        <v>69.5</v>
      </c>
      <c r="E163" s="3" t="s">
        <v>10071</v>
      </c>
      <c r="F163" s="2" t="s">
        <v>74</v>
      </c>
      <c r="G163" s="6"/>
      <c r="H163" s="2" t="s">
        <v>206</v>
      </c>
      <c r="I163" s="2" t="s">
        <v>207</v>
      </c>
      <c r="J163" s="2" t="s">
        <v>19</v>
      </c>
      <c r="K163" s="2" t="s">
        <v>160</v>
      </c>
      <c r="L163" s="7" t="str">
        <f>HYPERLINK("http://slimages.macys.com/is/image/MCY/11777929 ")</f>
        <v xml:space="preserve">http://slimages.macys.com/is/image/MCY/11777929 </v>
      </c>
    </row>
    <row r="164" spans="1:12" ht="24.75" x14ac:dyDescent="0.25">
      <c r="A164" s="4" t="s">
        <v>6424</v>
      </c>
      <c r="B164" s="2" t="s">
        <v>777</v>
      </c>
      <c r="C164" s="3">
        <v>1</v>
      </c>
      <c r="D164" s="5">
        <v>34.880000000000003</v>
      </c>
      <c r="E164" s="3">
        <v>100042380</v>
      </c>
      <c r="F164" s="2" t="s">
        <v>1788</v>
      </c>
      <c r="G164" s="6" t="s">
        <v>181</v>
      </c>
      <c r="H164" s="2" t="s">
        <v>194</v>
      </c>
      <c r="I164" s="2" t="s">
        <v>503</v>
      </c>
      <c r="J164" s="2" t="s">
        <v>19</v>
      </c>
      <c r="K164" s="2" t="s">
        <v>353</v>
      </c>
      <c r="L164" s="7" t="str">
        <f>HYPERLINK("http://slimages.macys.com/is/image/MCY/11145974 ")</f>
        <v xml:space="preserve">http://slimages.macys.com/is/image/MCY/11145974 </v>
      </c>
    </row>
    <row r="165" spans="1:12" ht="24.75" x14ac:dyDescent="0.25">
      <c r="A165" s="4" t="s">
        <v>7232</v>
      </c>
      <c r="B165" s="2" t="s">
        <v>777</v>
      </c>
      <c r="C165" s="3">
        <v>2</v>
      </c>
      <c r="D165" s="5">
        <v>34.880000000000003</v>
      </c>
      <c r="E165" s="3">
        <v>100042380</v>
      </c>
      <c r="F165" s="2" t="s">
        <v>74</v>
      </c>
      <c r="G165" s="6" t="s">
        <v>245</v>
      </c>
      <c r="H165" s="2" t="s">
        <v>194</v>
      </c>
      <c r="I165" s="2" t="s">
        <v>503</v>
      </c>
      <c r="J165" s="2" t="s">
        <v>19</v>
      </c>
      <c r="K165" s="2" t="s">
        <v>353</v>
      </c>
      <c r="L165" s="7" t="str">
        <f>HYPERLINK("http://slimages.macys.com/is/image/MCY/11145974 ")</f>
        <v xml:space="preserve">http://slimages.macys.com/is/image/MCY/11145974 </v>
      </c>
    </row>
    <row r="166" spans="1:12" ht="24.75" x14ac:dyDescent="0.25">
      <c r="A166" s="4" t="s">
        <v>7977</v>
      </c>
      <c r="B166" s="2" t="s">
        <v>777</v>
      </c>
      <c r="C166" s="3">
        <v>1</v>
      </c>
      <c r="D166" s="5">
        <v>34.880000000000003</v>
      </c>
      <c r="E166" s="3" t="s">
        <v>778</v>
      </c>
      <c r="F166" s="2" t="s">
        <v>376</v>
      </c>
      <c r="G166" s="6"/>
      <c r="H166" s="2" t="s">
        <v>312</v>
      </c>
      <c r="I166" s="2" t="s">
        <v>503</v>
      </c>
      <c r="J166" s="2" t="s">
        <v>19</v>
      </c>
      <c r="K166" s="2" t="s">
        <v>353</v>
      </c>
      <c r="L166" s="7" t="str">
        <f>HYPERLINK("http://slimages.macys.com/is/image/MCY/11146051 ")</f>
        <v xml:space="preserve">http://slimages.macys.com/is/image/MCY/11146051 </v>
      </c>
    </row>
    <row r="167" spans="1:12" ht="24.75" x14ac:dyDescent="0.25">
      <c r="A167" s="4" t="s">
        <v>7978</v>
      </c>
      <c r="B167" s="2" t="s">
        <v>777</v>
      </c>
      <c r="C167" s="3">
        <v>1</v>
      </c>
      <c r="D167" s="5">
        <v>34.880000000000003</v>
      </c>
      <c r="E167" s="3">
        <v>100042380</v>
      </c>
      <c r="F167" s="2" t="s">
        <v>74</v>
      </c>
      <c r="G167" s="6" t="s">
        <v>154</v>
      </c>
      <c r="H167" s="2" t="s">
        <v>194</v>
      </c>
      <c r="I167" s="2" t="s">
        <v>503</v>
      </c>
      <c r="J167" s="2" t="s">
        <v>19</v>
      </c>
      <c r="K167" s="2" t="s">
        <v>353</v>
      </c>
      <c r="L167" s="7" t="str">
        <f>HYPERLINK("http://slimages.macys.com/is/image/MCY/11145974 ")</f>
        <v xml:space="preserve">http://slimages.macys.com/is/image/MCY/11145974 </v>
      </c>
    </row>
    <row r="168" spans="1:12" x14ac:dyDescent="0.25">
      <c r="A168" s="4" t="s">
        <v>10073</v>
      </c>
      <c r="B168" s="2" t="s">
        <v>10074</v>
      </c>
      <c r="C168" s="3">
        <v>1</v>
      </c>
      <c r="D168" s="5">
        <v>79.5</v>
      </c>
      <c r="E168" s="3" t="s">
        <v>10075</v>
      </c>
      <c r="F168" s="2" t="s">
        <v>252</v>
      </c>
      <c r="G168" s="6"/>
      <c r="H168" s="2" t="s">
        <v>206</v>
      </c>
      <c r="I168" s="2" t="s">
        <v>207</v>
      </c>
      <c r="J168" s="2" t="s">
        <v>19</v>
      </c>
      <c r="K168" s="2" t="s">
        <v>151</v>
      </c>
      <c r="L168" s="7" t="str">
        <f>HYPERLINK("http://slimages.macys.com/is/image/MCY/9796325 ")</f>
        <v xml:space="preserve">http://slimages.macys.com/is/image/MCY/9796325 </v>
      </c>
    </row>
    <row r="169" spans="1:12" ht="24.75" x14ac:dyDescent="0.25">
      <c r="A169" s="4" t="s">
        <v>10076</v>
      </c>
      <c r="B169" s="2" t="s">
        <v>10077</v>
      </c>
      <c r="C169" s="3">
        <v>1</v>
      </c>
      <c r="D169" s="5">
        <v>44.63</v>
      </c>
      <c r="E169" s="3" t="s">
        <v>10078</v>
      </c>
      <c r="F169" s="2" t="s">
        <v>64</v>
      </c>
      <c r="G169" s="6" t="s">
        <v>126</v>
      </c>
      <c r="H169" s="2" t="s">
        <v>188</v>
      </c>
      <c r="I169" s="2" t="s">
        <v>487</v>
      </c>
      <c r="J169" s="2" t="s">
        <v>19</v>
      </c>
      <c r="K169" s="2" t="s">
        <v>409</v>
      </c>
      <c r="L169" s="7" t="str">
        <f>HYPERLINK("http://slimages.macys.com/is/image/MCY/11806834 ")</f>
        <v xml:space="preserve">http://slimages.macys.com/is/image/MCY/11806834 </v>
      </c>
    </row>
    <row r="170" spans="1:12" ht="24.75" x14ac:dyDescent="0.25">
      <c r="A170" s="4" t="s">
        <v>10079</v>
      </c>
      <c r="B170" s="2" t="s">
        <v>10077</v>
      </c>
      <c r="C170" s="3">
        <v>1</v>
      </c>
      <c r="D170" s="5">
        <v>44.63</v>
      </c>
      <c r="E170" s="3" t="s">
        <v>10078</v>
      </c>
      <c r="F170" s="2" t="s">
        <v>64</v>
      </c>
      <c r="G170" s="6" t="s">
        <v>934</v>
      </c>
      <c r="H170" s="2" t="s">
        <v>188</v>
      </c>
      <c r="I170" s="2" t="s">
        <v>487</v>
      </c>
      <c r="J170" s="2" t="s">
        <v>19</v>
      </c>
      <c r="K170" s="2" t="s">
        <v>409</v>
      </c>
      <c r="L170" s="7" t="str">
        <f>HYPERLINK("http://slimages.macys.com/is/image/MCY/11806834 ")</f>
        <v xml:space="preserve">http://slimages.macys.com/is/image/MCY/11806834 </v>
      </c>
    </row>
    <row r="171" spans="1:12" ht="24.75" x14ac:dyDescent="0.25">
      <c r="A171" s="4" t="s">
        <v>10080</v>
      </c>
      <c r="B171" s="2" t="s">
        <v>10077</v>
      </c>
      <c r="C171" s="3">
        <v>1</v>
      </c>
      <c r="D171" s="5">
        <v>44.63</v>
      </c>
      <c r="E171" s="3" t="s">
        <v>10078</v>
      </c>
      <c r="F171" s="2" t="s">
        <v>64</v>
      </c>
      <c r="G171" s="6" t="s">
        <v>165</v>
      </c>
      <c r="H171" s="2" t="s">
        <v>188</v>
      </c>
      <c r="I171" s="2" t="s">
        <v>487</v>
      </c>
      <c r="J171" s="2" t="s">
        <v>19</v>
      </c>
      <c r="K171" s="2" t="s">
        <v>409</v>
      </c>
      <c r="L171" s="7" t="str">
        <f>HYPERLINK("http://slimages.macys.com/is/image/MCY/11806834 ")</f>
        <v xml:space="preserve">http://slimages.macys.com/is/image/MCY/11806834 </v>
      </c>
    </row>
    <row r="172" spans="1:12" ht="36.75" x14ac:dyDescent="0.25">
      <c r="A172" s="4" t="s">
        <v>10081</v>
      </c>
      <c r="B172" s="2" t="s">
        <v>895</v>
      </c>
      <c r="C172" s="3">
        <v>1</v>
      </c>
      <c r="D172" s="5">
        <v>44.99</v>
      </c>
      <c r="E172" s="3" t="s">
        <v>8040</v>
      </c>
      <c r="F172" s="2" t="s">
        <v>417</v>
      </c>
      <c r="G172" s="6" t="s">
        <v>3715</v>
      </c>
      <c r="H172" s="2" t="s">
        <v>127</v>
      </c>
      <c r="I172" s="2" t="s">
        <v>541</v>
      </c>
      <c r="J172" s="2" t="s">
        <v>19</v>
      </c>
      <c r="K172" s="2" t="s">
        <v>500</v>
      </c>
      <c r="L172" s="7" t="str">
        <f>HYPERLINK("http://slimages.macys.com/is/image/MCY/16583426 ")</f>
        <v xml:space="preserve">http://slimages.macys.com/is/image/MCY/16583426 </v>
      </c>
    </row>
    <row r="173" spans="1:12" ht="24.75" x14ac:dyDescent="0.25">
      <c r="A173" s="4" t="s">
        <v>10082</v>
      </c>
      <c r="B173" s="2" t="s">
        <v>10083</v>
      </c>
      <c r="C173" s="3">
        <v>1</v>
      </c>
      <c r="D173" s="5">
        <v>54.5</v>
      </c>
      <c r="E173" s="3" t="s">
        <v>10084</v>
      </c>
      <c r="F173" s="2" t="s">
        <v>70</v>
      </c>
      <c r="G173" s="6" t="s">
        <v>791</v>
      </c>
      <c r="H173" s="2" t="s">
        <v>447</v>
      </c>
      <c r="I173" s="2" t="s">
        <v>792</v>
      </c>
      <c r="J173" s="2" t="s">
        <v>19</v>
      </c>
      <c r="K173" s="2" t="s">
        <v>160</v>
      </c>
      <c r="L173" s="7" t="str">
        <f>HYPERLINK("http://slimages.macys.com/is/image/MCY/11381886 ")</f>
        <v xml:space="preserve">http://slimages.macys.com/is/image/MCY/11381886 </v>
      </c>
    </row>
    <row r="174" spans="1:12" ht="24.75" x14ac:dyDescent="0.25">
      <c r="A174" s="4" t="s">
        <v>10085</v>
      </c>
      <c r="B174" s="2" t="s">
        <v>7999</v>
      </c>
      <c r="C174" s="3">
        <v>1</v>
      </c>
      <c r="D174" s="5">
        <v>36.5</v>
      </c>
      <c r="E174" s="3" t="s">
        <v>8000</v>
      </c>
      <c r="F174" s="2" t="s">
        <v>15</v>
      </c>
      <c r="G174" s="6" t="s">
        <v>154</v>
      </c>
      <c r="H174" s="2" t="s">
        <v>194</v>
      </c>
      <c r="I174" s="2" t="s">
        <v>195</v>
      </c>
      <c r="J174" s="2" t="s">
        <v>19</v>
      </c>
      <c r="K174" s="2" t="s">
        <v>361</v>
      </c>
      <c r="L174" s="7" t="str">
        <f>HYPERLINK("http://slimages.macys.com/is/image/MCY/11937990 ")</f>
        <v xml:space="preserve">http://slimages.macys.com/is/image/MCY/11937990 </v>
      </c>
    </row>
    <row r="175" spans="1:12" ht="24.75" x14ac:dyDescent="0.25">
      <c r="A175" s="4" t="s">
        <v>10086</v>
      </c>
      <c r="B175" s="2" t="s">
        <v>3593</v>
      </c>
      <c r="C175" s="3">
        <v>1</v>
      </c>
      <c r="D175" s="5">
        <v>36.5</v>
      </c>
      <c r="E175" s="3" t="s">
        <v>3594</v>
      </c>
      <c r="F175" s="2" t="s">
        <v>15</v>
      </c>
      <c r="G175" s="6" t="s">
        <v>234</v>
      </c>
      <c r="H175" s="2" t="s">
        <v>194</v>
      </c>
      <c r="I175" s="2" t="s">
        <v>195</v>
      </c>
      <c r="J175" s="2" t="s">
        <v>19</v>
      </c>
      <c r="K175" s="2" t="s">
        <v>3598</v>
      </c>
      <c r="L175" s="7" t="str">
        <f>HYPERLINK("http://slimages.macys.com/is/image/MCY/11764603 ")</f>
        <v xml:space="preserve">http://slimages.macys.com/is/image/MCY/11764603 </v>
      </c>
    </row>
    <row r="176" spans="1:12" ht="24.75" x14ac:dyDescent="0.25">
      <c r="A176" s="4" t="s">
        <v>5621</v>
      </c>
      <c r="B176" s="2" t="s">
        <v>827</v>
      </c>
      <c r="C176" s="3">
        <v>1</v>
      </c>
      <c r="D176" s="5">
        <v>37.130000000000003</v>
      </c>
      <c r="E176" s="3">
        <v>100009535</v>
      </c>
      <c r="F176" s="2" t="s">
        <v>26</v>
      </c>
      <c r="G176" s="6" t="s">
        <v>22</v>
      </c>
      <c r="H176" s="2" t="s">
        <v>194</v>
      </c>
      <c r="I176" s="2" t="s">
        <v>503</v>
      </c>
      <c r="J176" s="2" t="s">
        <v>19</v>
      </c>
      <c r="K176" s="2" t="s">
        <v>353</v>
      </c>
      <c r="L176" s="7" t="str">
        <f>HYPERLINK("http://slimages.macys.com/is/image/MCY/9450411 ")</f>
        <v xml:space="preserve">http://slimages.macys.com/is/image/MCY/9450411 </v>
      </c>
    </row>
    <row r="177" spans="1:12" ht="24.75" x14ac:dyDescent="0.25">
      <c r="A177" s="4" t="s">
        <v>9014</v>
      </c>
      <c r="B177" s="2" t="s">
        <v>827</v>
      </c>
      <c r="C177" s="3">
        <v>1</v>
      </c>
      <c r="D177" s="5">
        <v>37.130000000000003</v>
      </c>
      <c r="E177" s="3">
        <v>100009535</v>
      </c>
      <c r="F177" s="2" t="s">
        <v>566</v>
      </c>
      <c r="G177" s="6" t="s">
        <v>58</v>
      </c>
      <c r="H177" s="2" t="s">
        <v>194</v>
      </c>
      <c r="I177" s="2" t="s">
        <v>503</v>
      </c>
      <c r="J177" s="2" t="s">
        <v>19</v>
      </c>
      <c r="K177" s="2" t="s">
        <v>353</v>
      </c>
      <c r="L177" s="7" t="str">
        <f>HYPERLINK("http://slimages.macys.com/is/image/MCY/9340634 ")</f>
        <v xml:space="preserve">http://slimages.macys.com/is/image/MCY/9340634 </v>
      </c>
    </row>
    <row r="178" spans="1:12" ht="24.75" x14ac:dyDescent="0.25">
      <c r="A178" s="4" t="s">
        <v>9016</v>
      </c>
      <c r="B178" s="2" t="s">
        <v>827</v>
      </c>
      <c r="C178" s="3">
        <v>1</v>
      </c>
      <c r="D178" s="5">
        <v>37.130000000000003</v>
      </c>
      <c r="E178" s="3">
        <v>100009535</v>
      </c>
      <c r="F178" s="2" t="s">
        <v>15</v>
      </c>
      <c r="G178" s="6" t="s">
        <v>58</v>
      </c>
      <c r="H178" s="2" t="s">
        <v>194</v>
      </c>
      <c r="I178" s="2" t="s">
        <v>503</v>
      </c>
      <c r="J178" s="2" t="s">
        <v>19</v>
      </c>
      <c r="K178" s="2" t="s">
        <v>353</v>
      </c>
      <c r="L178" s="7" t="str">
        <f>HYPERLINK("http://slimages.macys.com/is/image/MCY/9340634 ")</f>
        <v xml:space="preserve">http://slimages.macys.com/is/image/MCY/9340634 </v>
      </c>
    </row>
    <row r="179" spans="1:12" ht="24.75" x14ac:dyDescent="0.25">
      <c r="A179" s="4" t="s">
        <v>4712</v>
      </c>
      <c r="B179" s="2" t="s">
        <v>2439</v>
      </c>
      <c r="C179" s="3">
        <v>1</v>
      </c>
      <c r="D179" s="5">
        <v>44.63</v>
      </c>
      <c r="E179" s="3" t="s">
        <v>2440</v>
      </c>
      <c r="F179" s="2" t="s">
        <v>956</v>
      </c>
      <c r="G179" s="6" t="s">
        <v>234</v>
      </c>
      <c r="H179" s="2" t="s">
        <v>194</v>
      </c>
      <c r="I179" s="2" t="s">
        <v>195</v>
      </c>
      <c r="J179" s="2" t="s">
        <v>19</v>
      </c>
      <c r="K179" s="2" t="s">
        <v>34</v>
      </c>
      <c r="L179" s="7" t="str">
        <f>HYPERLINK("http://slimages.macys.com/is/image/MCY/11527019 ")</f>
        <v xml:space="preserve">http://slimages.macys.com/is/image/MCY/11527019 </v>
      </c>
    </row>
    <row r="180" spans="1:12" ht="24.75" x14ac:dyDescent="0.25">
      <c r="A180" s="4" t="s">
        <v>8584</v>
      </c>
      <c r="B180" s="2" t="s">
        <v>827</v>
      </c>
      <c r="C180" s="3">
        <v>1</v>
      </c>
      <c r="D180" s="5">
        <v>37.130000000000003</v>
      </c>
      <c r="E180" s="3">
        <v>100009535</v>
      </c>
      <c r="F180" s="2" t="s">
        <v>15</v>
      </c>
      <c r="G180" s="6" t="s">
        <v>106</v>
      </c>
      <c r="H180" s="2" t="s">
        <v>194</v>
      </c>
      <c r="I180" s="2" t="s">
        <v>503</v>
      </c>
      <c r="J180" s="2" t="s">
        <v>19</v>
      </c>
      <c r="K180" s="2" t="s">
        <v>353</v>
      </c>
      <c r="L180" s="7" t="str">
        <f>HYPERLINK("http://slimages.macys.com/is/image/MCY/9340634 ")</f>
        <v xml:space="preserve">http://slimages.macys.com/is/image/MCY/9340634 </v>
      </c>
    </row>
    <row r="181" spans="1:12" ht="24.75" x14ac:dyDescent="0.25">
      <c r="A181" s="4" t="s">
        <v>9476</v>
      </c>
      <c r="B181" s="2" t="s">
        <v>827</v>
      </c>
      <c r="C181" s="3">
        <v>2</v>
      </c>
      <c r="D181" s="5">
        <v>37.130000000000003</v>
      </c>
      <c r="E181" s="3">
        <v>100009535</v>
      </c>
      <c r="F181" s="2" t="s">
        <v>15</v>
      </c>
      <c r="G181" s="6" t="s">
        <v>112</v>
      </c>
      <c r="H181" s="2" t="s">
        <v>194</v>
      </c>
      <c r="I181" s="2" t="s">
        <v>503</v>
      </c>
      <c r="J181" s="2" t="s">
        <v>19</v>
      </c>
      <c r="K181" s="2" t="s">
        <v>353</v>
      </c>
      <c r="L181" s="7" t="str">
        <f>HYPERLINK("http://slimages.macys.com/is/image/MCY/9340634 ")</f>
        <v xml:space="preserve">http://slimages.macys.com/is/image/MCY/9340634 </v>
      </c>
    </row>
    <row r="182" spans="1:12" ht="24.75" x14ac:dyDescent="0.25">
      <c r="A182" s="4" t="s">
        <v>8588</v>
      </c>
      <c r="B182" s="2" t="s">
        <v>837</v>
      </c>
      <c r="C182" s="3">
        <v>1</v>
      </c>
      <c r="D182" s="5">
        <v>40.880000000000003</v>
      </c>
      <c r="E182" s="3" t="s">
        <v>838</v>
      </c>
      <c r="F182" s="2" t="s">
        <v>57</v>
      </c>
      <c r="G182" s="6" t="s">
        <v>205</v>
      </c>
      <c r="H182" s="2" t="s">
        <v>188</v>
      </c>
      <c r="I182" s="2" t="s">
        <v>189</v>
      </c>
      <c r="J182" s="2" t="s">
        <v>19</v>
      </c>
      <c r="K182" s="2" t="s">
        <v>839</v>
      </c>
      <c r="L182" s="7" t="str">
        <f>HYPERLINK("http://slimages.macys.com/is/image/MCY/11940229 ")</f>
        <v xml:space="preserve">http://slimages.macys.com/is/image/MCY/11940229 </v>
      </c>
    </row>
    <row r="183" spans="1:12" ht="24.75" x14ac:dyDescent="0.25">
      <c r="A183" s="4" t="s">
        <v>8016</v>
      </c>
      <c r="B183" s="2" t="s">
        <v>2460</v>
      </c>
      <c r="C183" s="3">
        <v>1</v>
      </c>
      <c r="D183" s="5">
        <v>34.880000000000003</v>
      </c>
      <c r="E183" s="3" t="s">
        <v>2461</v>
      </c>
      <c r="F183" s="2" t="s">
        <v>26</v>
      </c>
      <c r="G183" s="6" t="s">
        <v>802</v>
      </c>
      <c r="H183" s="2" t="s">
        <v>312</v>
      </c>
      <c r="I183" s="2" t="s">
        <v>503</v>
      </c>
      <c r="J183" s="2" t="s">
        <v>19</v>
      </c>
      <c r="K183" s="2" t="s">
        <v>353</v>
      </c>
      <c r="L183" s="7" t="str">
        <f>HYPERLINK("http://slimages.macys.com/is/image/MCY/9325305 ")</f>
        <v xml:space="preserve">http://slimages.macys.com/is/image/MCY/9325305 </v>
      </c>
    </row>
    <row r="184" spans="1:12" ht="48.75" x14ac:dyDescent="0.25">
      <c r="A184" s="4" t="s">
        <v>10087</v>
      </c>
      <c r="B184" s="2" t="s">
        <v>841</v>
      </c>
      <c r="C184" s="3">
        <v>1</v>
      </c>
      <c r="D184" s="5">
        <v>34.99</v>
      </c>
      <c r="E184" s="3" t="s">
        <v>842</v>
      </c>
      <c r="F184" s="2" t="s">
        <v>26</v>
      </c>
      <c r="G184" s="6"/>
      <c r="H184" s="2" t="s">
        <v>349</v>
      </c>
      <c r="I184" s="2" t="s">
        <v>408</v>
      </c>
      <c r="J184" s="2" t="s">
        <v>19</v>
      </c>
      <c r="K184" s="2" t="s">
        <v>787</v>
      </c>
      <c r="L184" s="7" t="str">
        <f>HYPERLINK("http://slimages.macys.com/is/image/MCY/3935281 ")</f>
        <v xml:space="preserve">http://slimages.macys.com/is/image/MCY/3935281 </v>
      </c>
    </row>
    <row r="185" spans="1:12" ht="24.75" x14ac:dyDescent="0.25">
      <c r="A185" s="4" t="s">
        <v>10088</v>
      </c>
      <c r="B185" s="2" t="s">
        <v>853</v>
      </c>
      <c r="C185" s="3">
        <v>1</v>
      </c>
      <c r="D185" s="5">
        <v>37.130000000000003</v>
      </c>
      <c r="E185" s="3" t="s">
        <v>854</v>
      </c>
      <c r="F185" s="2" t="s">
        <v>74</v>
      </c>
      <c r="G185" s="6" t="s">
        <v>27</v>
      </c>
      <c r="H185" s="2" t="s">
        <v>246</v>
      </c>
      <c r="I185" s="2" t="s">
        <v>214</v>
      </c>
      <c r="J185" s="2" t="s">
        <v>19</v>
      </c>
      <c r="K185" s="2" t="s">
        <v>353</v>
      </c>
      <c r="L185" s="7" t="str">
        <f>HYPERLINK("http://slimages.macys.com/is/image/MCY/10679381 ")</f>
        <v xml:space="preserve">http://slimages.macys.com/is/image/MCY/10679381 </v>
      </c>
    </row>
    <row r="186" spans="1:12" ht="24.75" x14ac:dyDescent="0.25">
      <c r="A186" s="4" t="s">
        <v>9024</v>
      </c>
      <c r="B186" s="2" t="s">
        <v>853</v>
      </c>
      <c r="C186" s="3">
        <v>1</v>
      </c>
      <c r="D186" s="5">
        <v>37.130000000000003</v>
      </c>
      <c r="E186" s="3" t="s">
        <v>854</v>
      </c>
      <c r="F186" s="2" t="s">
        <v>74</v>
      </c>
      <c r="G186" s="6" t="s">
        <v>22</v>
      </c>
      <c r="H186" s="2" t="s">
        <v>246</v>
      </c>
      <c r="I186" s="2" t="s">
        <v>214</v>
      </c>
      <c r="J186" s="2" t="s">
        <v>19</v>
      </c>
      <c r="K186" s="2" t="s">
        <v>353</v>
      </c>
      <c r="L186" s="7" t="str">
        <f>HYPERLINK("http://slimages.macys.com/is/image/MCY/10679381 ")</f>
        <v xml:space="preserve">http://slimages.macys.com/is/image/MCY/10679381 </v>
      </c>
    </row>
    <row r="187" spans="1:12" ht="24.75" x14ac:dyDescent="0.25">
      <c r="A187" s="4" t="s">
        <v>855</v>
      </c>
      <c r="B187" s="2" t="s">
        <v>856</v>
      </c>
      <c r="C187" s="3">
        <v>1</v>
      </c>
      <c r="D187" s="5">
        <v>48</v>
      </c>
      <c r="E187" s="3">
        <v>100013497</v>
      </c>
      <c r="F187" s="2" t="s">
        <v>252</v>
      </c>
      <c r="G187" s="6" t="s">
        <v>16</v>
      </c>
      <c r="H187" s="2" t="s">
        <v>228</v>
      </c>
      <c r="I187" s="2" t="s">
        <v>857</v>
      </c>
      <c r="J187" s="2" t="s">
        <v>19</v>
      </c>
      <c r="K187" s="2" t="s">
        <v>387</v>
      </c>
      <c r="L187" s="7" t="str">
        <f>HYPERLINK("http://slimages.macys.com/is/image/MCY/9478981 ")</f>
        <v xml:space="preserve">http://slimages.macys.com/is/image/MCY/9478981 </v>
      </c>
    </row>
    <row r="188" spans="1:12" ht="24.75" x14ac:dyDescent="0.25">
      <c r="A188" s="4" t="s">
        <v>10089</v>
      </c>
      <c r="B188" s="2" t="s">
        <v>853</v>
      </c>
      <c r="C188" s="3">
        <v>4</v>
      </c>
      <c r="D188" s="5">
        <v>37.130000000000003</v>
      </c>
      <c r="E188" s="3" t="s">
        <v>854</v>
      </c>
      <c r="F188" s="2" t="s">
        <v>74</v>
      </c>
      <c r="G188" s="6" t="s">
        <v>106</v>
      </c>
      <c r="H188" s="2" t="s">
        <v>246</v>
      </c>
      <c r="I188" s="2" t="s">
        <v>214</v>
      </c>
      <c r="J188" s="2" t="s">
        <v>19</v>
      </c>
      <c r="K188" s="2" t="s">
        <v>353</v>
      </c>
      <c r="L188" s="7" t="str">
        <f>HYPERLINK("http://slimages.macys.com/is/image/MCY/10679381 ")</f>
        <v xml:space="preserve">http://slimages.macys.com/is/image/MCY/10679381 </v>
      </c>
    </row>
    <row r="189" spans="1:12" ht="24.75" x14ac:dyDescent="0.25">
      <c r="A189" s="4" t="s">
        <v>9022</v>
      </c>
      <c r="B189" s="2" t="s">
        <v>853</v>
      </c>
      <c r="C189" s="3">
        <v>2</v>
      </c>
      <c r="D189" s="5">
        <v>37.130000000000003</v>
      </c>
      <c r="E189" s="3" t="s">
        <v>854</v>
      </c>
      <c r="F189" s="2" t="s">
        <v>74</v>
      </c>
      <c r="G189" s="6" t="s">
        <v>141</v>
      </c>
      <c r="H189" s="2" t="s">
        <v>246</v>
      </c>
      <c r="I189" s="2" t="s">
        <v>214</v>
      </c>
      <c r="J189" s="2" t="s">
        <v>19</v>
      </c>
      <c r="K189" s="2" t="s">
        <v>353</v>
      </c>
      <c r="L189" s="7" t="str">
        <f>HYPERLINK("http://slimages.macys.com/is/image/MCY/10679381 ")</f>
        <v xml:space="preserve">http://slimages.macys.com/is/image/MCY/10679381 </v>
      </c>
    </row>
    <row r="190" spans="1:12" ht="24.75" x14ac:dyDescent="0.25">
      <c r="A190" s="4" t="s">
        <v>10090</v>
      </c>
      <c r="B190" s="2" t="s">
        <v>853</v>
      </c>
      <c r="C190" s="3">
        <v>3</v>
      </c>
      <c r="D190" s="5">
        <v>37.130000000000003</v>
      </c>
      <c r="E190" s="3" t="s">
        <v>854</v>
      </c>
      <c r="F190" s="2" t="s">
        <v>74</v>
      </c>
      <c r="G190" s="6" t="s">
        <v>16</v>
      </c>
      <c r="H190" s="2" t="s">
        <v>246</v>
      </c>
      <c r="I190" s="2" t="s">
        <v>214</v>
      </c>
      <c r="J190" s="2" t="s">
        <v>19</v>
      </c>
      <c r="K190" s="2" t="s">
        <v>353</v>
      </c>
      <c r="L190" s="7" t="str">
        <f>HYPERLINK("http://slimages.macys.com/is/image/MCY/10679381 ")</f>
        <v xml:space="preserve">http://slimages.macys.com/is/image/MCY/10679381 </v>
      </c>
    </row>
    <row r="191" spans="1:12" ht="24.75" x14ac:dyDescent="0.25">
      <c r="A191" s="4" t="s">
        <v>7273</v>
      </c>
      <c r="B191" s="2" t="s">
        <v>853</v>
      </c>
      <c r="C191" s="3">
        <v>1</v>
      </c>
      <c r="D191" s="5">
        <v>37.130000000000003</v>
      </c>
      <c r="E191" s="3" t="s">
        <v>854</v>
      </c>
      <c r="F191" s="2" t="s">
        <v>74</v>
      </c>
      <c r="G191" s="6" t="s">
        <v>58</v>
      </c>
      <c r="H191" s="2" t="s">
        <v>246</v>
      </c>
      <c r="I191" s="2" t="s">
        <v>214</v>
      </c>
      <c r="J191" s="2" t="s">
        <v>19</v>
      </c>
      <c r="K191" s="2" t="s">
        <v>353</v>
      </c>
      <c r="L191" s="7" t="str">
        <f>HYPERLINK("http://slimages.macys.com/is/image/MCY/10679381 ")</f>
        <v xml:space="preserve">http://slimages.macys.com/is/image/MCY/10679381 </v>
      </c>
    </row>
    <row r="192" spans="1:12" ht="24.75" x14ac:dyDescent="0.25">
      <c r="A192" s="4" t="s">
        <v>852</v>
      </c>
      <c r="B192" s="2" t="s">
        <v>853</v>
      </c>
      <c r="C192" s="3">
        <v>1</v>
      </c>
      <c r="D192" s="5">
        <v>37.130000000000003</v>
      </c>
      <c r="E192" s="3" t="s">
        <v>854</v>
      </c>
      <c r="F192" s="2" t="s">
        <v>74</v>
      </c>
      <c r="G192" s="6" t="s">
        <v>65</v>
      </c>
      <c r="H192" s="2" t="s">
        <v>246</v>
      </c>
      <c r="I192" s="2" t="s">
        <v>214</v>
      </c>
      <c r="J192" s="2" t="s">
        <v>19</v>
      </c>
      <c r="K192" s="2" t="s">
        <v>353</v>
      </c>
      <c r="L192" s="7" t="str">
        <f>HYPERLINK("http://slimages.macys.com/is/image/MCY/10679381 ")</f>
        <v xml:space="preserve">http://slimages.macys.com/is/image/MCY/10679381 </v>
      </c>
    </row>
    <row r="193" spans="1:12" ht="24.75" x14ac:dyDescent="0.25">
      <c r="A193" s="4" t="s">
        <v>6462</v>
      </c>
      <c r="B193" s="2" t="s">
        <v>856</v>
      </c>
      <c r="C193" s="3">
        <v>1</v>
      </c>
      <c r="D193" s="5">
        <v>48</v>
      </c>
      <c r="E193" s="3">
        <v>100013497</v>
      </c>
      <c r="F193" s="2" t="s">
        <v>252</v>
      </c>
      <c r="G193" s="6" t="s">
        <v>65</v>
      </c>
      <c r="H193" s="2" t="s">
        <v>228</v>
      </c>
      <c r="I193" s="2" t="s">
        <v>857</v>
      </c>
      <c r="J193" s="2" t="s">
        <v>19</v>
      </c>
      <c r="K193" s="2" t="s">
        <v>387</v>
      </c>
      <c r="L193" s="7" t="str">
        <f>HYPERLINK("http://slimages.macys.com/is/image/MCY/9478981 ")</f>
        <v xml:space="preserve">http://slimages.macys.com/is/image/MCY/9478981 </v>
      </c>
    </row>
    <row r="194" spans="1:12" ht="24.75" x14ac:dyDescent="0.25">
      <c r="A194" s="4" t="s">
        <v>10091</v>
      </c>
      <c r="B194" s="2" t="s">
        <v>10092</v>
      </c>
      <c r="C194" s="3">
        <v>1</v>
      </c>
      <c r="D194" s="5">
        <v>49.5</v>
      </c>
      <c r="E194" s="3" t="s">
        <v>10093</v>
      </c>
      <c r="F194" s="2" t="s">
        <v>566</v>
      </c>
      <c r="G194" s="6" t="s">
        <v>187</v>
      </c>
      <c r="H194" s="2" t="s">
        <v>206</v>
      </c>
      <c r="I194" s="2" t="s">
        <v>207</v>
      </c>
      <c r="J194" s="2" t="s">
        <v>19</v>
      </c>
      <c r="K194" s="2" t="s">
        <v>10094</v>
      </c>
      <c r="L194" s="7" t="str">
        <f>HYPERLINK("http://slimages.macys.com/is/image/MCY/11283940 ")</f>
        <v xml:space="preserve">http://slimages.macys.com/is/image/MCY/11283940 </v>
      </c>
    </row>
    <row r="195" spans="1:12" ht="24.75" x14ac:dyDescent="0.25">
      <c r="A195" s="4" t="s">
        <v>10095</v>
      </c>
      <c r="B195" s="2" t="s">
        <v>10092</v>
      </c>
      <c r="C195" s="3">
        <v>2</v>
      </c>
      <c r="D195" s="5">
        <v>49.5</v>
      </c>
      <c r="E195" s="3" t="s">
        <v>10093</v>
      </c>
      <c r="F195" s="2" t="s">
        <v>74</v>
      </c>
      <c r="G195" s="6"/>
      <c r="H195" s="2" t="s">
        <v>206</v>
      </c>
      <c r="I195" s="2" t="s">
        <v>207</v>
      </c>
      <c r="J195" s="2" t="s">
        <v>19</v>
      </c>
      <c r="K195" s="2" t="s">
        <v>10094</v>
      </c>
      <c r="L195" s="7" t="str">
        <f>HYPERLINK("http://slimages.macys.com/is/image/MCY/11283940 ")</f>
        <v xml:space="preserve">http://slimages.macys.com/is/image/MCY/11283940 </v>
      </c>
    </row>
    <row r="196" spans="1:12" ht="24.75" x14ac:dyDescent="0.25">
      <c r="A196" s="4" t="s">
        <v>7279</v>
      </c>
      <c r="B196" s="2" t="s">
        <v>374</v>
      </c>
      <c r="C196" s="3">
        <v>1</v>
      </c>
      <c r="D196" s="5">
        <v>52.13</v>
      </c>
      <c r="E196" s="3" t="s">
        <v>375</v>
      </c>
      <c r="F196" s="2" t="s">
        <v>74</v>
      </c>
      <c r="G196" s="6" t="s">
        <v>58</v>
      </c>
      <c r="H196" s="2" t="s">
        <v>246</v>
      </c>
      <c r="I196" s="2" t="s">
        <v>189</v>
      </c>
      <c r="J196" s="2" t="s">
        <v>19</v>
      </c>
      <c r="K196" s="2" t="s">
        <v>361</v>
      </c>
      <c r="L196" s="7" t="str">
        <f t="shared" ref="L196:L201" si="4">HYPERLINK("http://slimages.macys.com/is/image/MCY/10676355 ")</f>
        <v xml:space="preserve">http://slimages.macys.com/is/image/MCY/10676355 </v>
      </c>
    </row>
    <row r="197" spans="1:12" ht="24.75" x14ac:dyDescent="0.25">
      <c r="A197" s="4" t="s">
        <v>10096</v>
      </c>
      <c r="B197" s="2" t="s">
        <v>374</v>
      </c>
      <c r="C197" s="3">
        <v>1</v>
      </c>
      <c r="D197" s="5">
        <v>52.13</v>
      </c>
      <c r="E197" s="3" t="s">
        <v>375</v>
      </c>
      <c r="F197" s="2" t="s">
        <v>74</v>
      </c>
      <c r="G197" s="6" t="s">
        <v>112</v>
      </c>
      <c r="H197" s="2" t="s">
        <v>246</v>
      </c>
      <c r="I197" s="2" t="s">
        <v>189</v>
      </c>
      <c r="J197" s="2" t="s">
        <v>19</v>
      </c>
      <c r="K197" s="2" t="s">
        <v>361</v>
      </c>
      <c r="L197" s="7" t="str">
        <f t="shared" si="4"/>
        <v xml:space="preserve">http://slimages.macys.com/is/image/MCY/10676355 </v>
      </c>
    </row>
    <row r="198" spans="1:12" ht="24.75" x14ac:dyDescent="0.25">
      <c r="A198" s="4" t="s">
        <v>398</v>
      </c>
      <c r="B198" s="2" t="s">
        <v>374</v>
      </c>
      <c r="C198" s="3">
        <v>1</v>
      </c>
      <c r="D198" s="5">
        <v>52.13</v>
      </c>
      <c r="E198" s="3" t="s">
        <v>375</v>
      </c>
      <c r="F198" s="2" t="s">
        <v>74</v>
      </c>
      <c r="G198" s="6" t="s">
        <v>106</v>
      </c>
      <c r="H198" s="2" t="s">
        <v>246</v>
      </c>
      <c r="I198" s="2" t="s">
        <v>189</v>
      </c>
      <c r="J198" s="2" t="s">
        <v>19</v>
      </c>
      <c r="K198" s="2" t="s">
        <v>361</v>
      </c>
      <c r="L198" s="7" t="str">
        <f t="shared" si="4"/>
        <v xml:space="preserve">http://slimages.macys.com/is/image/MCY/10676355 </v>
      </c>
    </row>
    <row r="199" spans="1:12" ht="24.75" x14ac:dyDescent="0.25">
      <c r="A199" s="4" t="s">
        <v>402</v>
      </c>
      <c r="B199" s="2" t="s">
        <v>374</v>
      </c>
      <c r="C199" s="3">
        <v>1</v>
      </c>
      <c r="D199" s="5">
        <v>52.13</v>
      </c>
      <c r="E199" s="3" t="s">
        <v>375</v>
      </c>
      <c r="F199" s="2" t="s">
        <v>74</v>
      </c>
      <c r="G199" s="6" t="s">
        <v>65</v>
      </c>
      <c r="H199" s="2" t="s">
        <v>246</v>
      </c>
      <c r="I199" s="2" t="s">
        <v>189</v>
      </c>
      <c r="J199" s="2" t="s">
        <v>19</v>
      </c>
      <c r="K199" s="2" t="s">
        <v>361</v>
      </c>
      <c r="L199" s="7" t="str">
        <f t="shared" si="4"/>
        <v xml:space="preserve">http://slimages.macys.com/is/image/MCY/10676355 </v>
      </c>
    </row>
    <row r="200" spans="1:12" ht="24.75" x14ac:dyDescent="0.25">
      <c r="A200" s="4" t="s">
        <v>400</v>
      </c>
      <c r="B200" s="2" t="s">
        <v>374</v>
      </c>
      <c r="C200" s="3">
        <v>2</v>
      </c>
      <c r="D200" s="5">
        <v>52.13</v>
      </c>
      <c r="E200" s="3" t="s">
        <v>375</v>
      </c>
      <c r="F200" s="2" t="s">
        <v>74</v>
      </c>
      <c r="G200" s="6" t="s">
        <v>27</v>
      </c>
      <c r="H200" s="2" t="s">
        <v>246</v>
      </c>
      <c r="I200" s="2" t="s">
        <v>189</v>
      </c>
      <c r="J200" s="2" t="s">
        <v>19</v>
      </c>
      <c r="K200" s="2" t="s">
        <v>361</v>
      </c>
      <c r="L200" s="7" t="str">
        <f t="shared" si="4"/>
        <v xml:space="preserve">http://slimages.macys.com/is/image/MCY/10676355 </v>
      </c>
    </row>
    <row r="201" spans="1:12" ht="24.75" x14ac:dyDescent="0.25">
      <c r="A201" s="4" t="s">
        <v>397</v>
      </c>
      <c r="B201" s="2" t="s">
        <v>374</v>
      </c>
      <c r="C201" s="3">
        <v>2</v>
      </c>
      <c r="D201" s="5">
        <v>52.13</v>
      </c>
      <c r="E201" s="3" t="s">
        <v>375</v>
      </c>
      <c r="F201" s="2" t="s">
        <v>74</v>
      </c>
      <c r="G201" s="6" t="s">
        <v>22</v>
      </c>
      <c r="H201" s="2" t="s">
        <v>246</v>
      </c>
      <c r="I201" s="2" t="s">
        <v>189</v>
      </c>
      <c r="J201" s="2" t="s">
        <v>19</v>
      </c>
      <c r="K201" s="2" t="s">
        <v>361</v>
      </c>
      <c r="L201" s="7" t="str">
        <f t="shared" si="4"/>
        <v xml:space="preserve">http://slimages.macys.com/is/image/MCY/10676355 </v>
      </c>
    </row>
    <row r="202" spans="1:12" ht="24.75" x14ac:dyDescent="0.25">
      <c r="A202" s="4" t="s">
        <v>10097</v>
      </c>
      <c r="B202" s="2" t="s">
        <v>10098</v>
      </c>
      <c r="C202" s="3">
        <v>1</v>
      </c>
      <c r="D202" s="5">
        <v>41.65</v>
      </c>
      <c r="E202" s="3" t="s">
        <v>10099</v>
      </c>
      <c r="F202" s="2" t="s">
        <v>180</v>
      </c>
      <c r="G202" s="6" t="s">
        <v>181</v>
      </c>
      <c r="H202" s="2" t="s">
        <v>182</v>
      </c>
      <c r="I202" s="2" t="s">
        <v>183</v>
      </c>
      <c r="J202" s="2" t="s">
        <v>19</v>
      </c>
      <c r="K202" s="2" t="s">
        <v>34</v>
      </c>
      <c r="L202" s="7" t="str">
        <f>HYPERLINK("http://slimages.macys.com/is/image/MCY/12050094 ")</f>
        <v xml:space="preserve">http://slimages.macys.com/is/image/MCY/12050094 </v>
      </c>
    </row>
    <row r="203" spans="1:12" ht="24.75" x14ac:dyDescent="0.25">
      <c r="A203" s="4" t="s">
        <v>8032</v>
      </c>
      <c r="B203" s="2" t="s">
        <v>880</v>
      </c>
      <c r="C203" s="3">
        <v>1</v>
      </c>
      <c r="D203" s="5">
        <v>34.5</v>
      </c>
      <c r="E203" s="3">
        <v>100040729</v>
      </c>
      <c r="F203" s="2" t="s">
        <v>252</v>
      </c>
      <c r="G203" s="6" t="s">
        <v>22</v>
      </c>
      <c r="H203" s="2" t="s">
        <v>228</v>
      </c>
      <c r="I203" s="2" t="s">
        <v>229</v>
      </c>
      <c r="J203" s="2" t="s">
        <v>19</v>
      </c>
      <c r="K203" s="2" t="s">
        <v>230</v>
      </c>
      <c r="L203" s="7" t="str">
        <f>HYPERLINK("http://slimages.macys.com/is/image/MCY/3650189 ")</f>
        <v xml:space="preserve">http://slimages.macys.com/is/image/MCY/3650189 </v>
      </c>
    </row>
    <row r="204" spans="1:12" ht="24.75" x14ac:dyDescent="0.25">
      <c r="A204" s="4" t="s">
        <v>7286</v>
      </c>
      <c r="B204" s="2" t="s">
        <v>811</v>
      </c>
      <c r="C204" s="3">
        <v>1</v>
      </c>
      <c r="D204" s="5">
        <v>36.5</v>
      </c>
      <c r="E204" s="3" t="s">
        <v>3628</v>
      </c>
      <c r="F204" s="2" t="s">
        <v>15</v>
      </c>
      <c r="G204" s="6" t="s">
        <v>181</v>
      </c>
      <c r="H204" s="2" t="s">
        <v>194</v>
      </c>
      <c r="I204" s="2" t="s">
        <v>195</v>
      </c>
      <c r="J204" s="2" t="s">
        <v>19</v>
      </c>
      <c r="K204" s="2" t="s">
        <v>160</v>
      </c>
      <c r="L204" s="7" t="str">
        <f>HYPERLINK("http://slimages.macys.com/is/image/MCY/11764562 ")</f>
        <v xml:space="preserve">http://slimages.macys.com/is/image/MCY/11764562 </v>
      </c>
    </row>
    <row r="205" spans="1:12" ht="24.75" x14ac:dyDescent="0.25">
      <c r="A205" s="4" t="s">
        <v>5640</v>
      </c>
      <c r="B205" s="2" t="s">
        <v>2483</v>
      </c>
      <c r="C205" s="3">
        <v>1</v>
      </c>
      <c r="D205" s="5">
        <v>34.880000000000003</v>
      </c>
      <c r="E205" s="3">
        <v>100058189</v>
      </c>
      <c r="F205" s="2" t="s">
        <v>15</v>
      </c>
      <c r="G205" s="6" t="s">
        <v>22</v>
      </c>
      <c r="H205" s="2" t="s">
        <v>194</v>
      </c>
      <c r="I205" s="2" t="s">
        <v>195</v>
      </c>
      <c r="J205" s="2" t="s">
        <v>19</v>
      </c>
      <c r="K205" s="2" t="s">
        <v>648</v>
      </c>
      <c r="L205" s="7" t="str">
        <f>HYPERLINK("http://slimages.macys.com/is/image/MCY/12802459 ")</f>
        <v xml:space="preserve">http://slimages.macys.com/is/image/MCY/12802459 </v>
      </c>
    </row>
    <row r="206" spans="1:12" ht="24.75" x14ac:dyDescent="0.25">
      <c r="A206" s="4" t="s">
        <v>2482</v>
      </c>
      <c r="B206" s="2" t="s">
        <v>2483</v>
      </c>
      <c r="C206" s="3">
        <v>1</v>
      </c>
      <c r="D206" s="5">
        <v>34.880000000000003</v>
      </c>
      <c r="E206" s="3">
        <v>100058189</v>
      </c>
      <c r="F206" s="2" t="s">
        <v>15</v>
      </c>
      <c r="G206" s="6" t="s">
        <v>27</v>
      </c>
      <c r="H206" s="2" t="s">
        <v>194</v>
      </c>
      <c r="I206" s="2" t="s">
        <v>195</v>
      </c>
      <c r="J206" s="2" t="s">
        <v>19</v>
      </c>
      <c r="K206" s="2" t="s">
        <v>648</v>
      </c>
      <c r="L206" s="7" t="str">
        <f>HYPERLINK("http://slimages.macys.com/is/image/MCY/12802459 ")</f>
        <v xml:space="preserve">http://slimages.macys.com/is/image/MCY/12802459 </v>
      </c>
    </row>
    <row r="207" spans="1:12" ht="36.75" x14ac:dyDescent="0.25">
      <c r="A207" s="4" t="s">
        <v>8039</v>
      </c>
      <c r="B207" s="2" t="s">
        <v>895</v>
      </c>
      <c r="C207" s="3">
        <v>2</v>
      </c>
      <c r="D207" s="5">
        <v>44.99</v>
      </c>
      <c r="E207" s="3" t="s">
        <v>8040</v>
      </c>
      <c r="F207" s="2" t="s">
        <v>417</v>
      </c>
      <c r="G207" s="6" t="s">
        <v>165</v>
      </c>
      <c r="H207" s="2" t="s">
        <v>127</v>
      </c>
      <c r="I207" s="2" t="s">
        <v>541</v>
      </c>
      <c r="J207" s="2" t="s">
        <v>19</v>
      </c>
      <c r="K207" s="2" t="s">
        <v>500</v>
      </c>
      <c r="L207" s="7" t="str">
        <f t="shared" ref="L207:L214" si="5">HYPERLINK("http://slimages.macys.com/is/image/MCY/16583426 ")</f>
        <v xml:space="preserve">http://slimages.macys.com/is/image/MCY/16583426 </v>
      </c>
    </row>
    <row r="208" spans="1:12" ht="36.75" x14ac:dyDescent="0.25">
      <c r="A208" s="4" t="s">
        <v>8051</v>
      </c>
      <c r="B208" s="2" t="s">
        <v>895</v>
      </c>
      <c r="C208" s="3">
        <v>2</v>
      </c>
      <c r="D208" s="5">
        <v>44.99</v>
      </c>
      <c r="E208" s="3" t="s">
        <v>8040</v>
      </c>
      <c r="F208" s="2" t="s">
        <v>417</v>
      </c>
      <c r="G208" s="6" t="s">
        <v>336</v>
      </c>
      <c r="H208" s="2" t="s">
        <v>127</v>
      </c>
      <c r="I208" s="2" t="s">
        <v>541</v>
      </c>
      <c r="J208" s="2" t="s">
        <v>19</v>
      </c>
      <c r="K208" s="2" t="s">
        <v>500</v>
      </c>
      <c r="L208" s="7" t="str">
        <f t="shared" si="5"/>
        <v xml:space="preserve">http://slimages.macys.com/is/image/MCY/16583426 </v>
      </c>
    </row>
    <row r="209" spans="1:12" ht="36.75" x14ac:dyDescent="0.25">
      <c r="A209" s="4" t="s">
        <v>8052</v>
      </c>
      <c r="B209" s="2" t="s">
        <v>895</v>
      </c>
      <c r="C209" s="3">
        <v>1</v>
      </c>
      <c r="D209" s="5">
        <v>44.99</v>
      </c>
      <c r="E209" s="3" t="s">
        <v>8040</v>
      </c>
      <c r="F209" s="2" t="s">
        <v>417</v>
      </c>
      <c r="G209" s="6" t="s">
        <v>126</v>
      </c>
      <c r="H209" s="2" t="s">
        <v>127</v>
      </c>
      <c r="I209" s="2" t="s">
        <v>541</v>
      </c>
      <c r="J209" s="2" t="s">
        <v>19</v>
      </c>
      <c r="K209" s="2" t="s">
        <v>500</v>
      </c>
      <c r="L209" s="7" t="str">
        <f t="shared" si="5"/>
        <v xml:space="preserve">http://slimages.macys.com/is/image/MCY/16583426 </v>
      </c>
    </row>
    <row r="210" spans="1:12" ht="36.75" x14ac:dyDescent="0.25">
      <c r="A210" s="4" t="s">
        <v>8043</v>
      </c>
      <c r="B210" s="2" t="s">
        <v>895</v>
      </c>
      <c r="C210" s="3">
        <v>2</v>
      </c>
      <c r="D210" s="5">
        <v>44.99</v>
      </c>
      <c r="E210" s="3" t="s">
        <v>8040</v>
      </c>
      <c r="F210" s="2" t="s">
        <v>417</v>
      </c>
      <c r="G210" s="6" t="s">
        <v>363</v>
      </c>
      <c r="H210" s="2" t="s">
        <v>127</v>
      </c>
      <c r="I210" s="2" t="s">
        <v>541</v>
      </c>
      <c r="J210" s="2" t="s">
        <v>19</v>
      </c>
      <c r="K210" s="2" t="s">
        <v>500</v>
      </c>
      <c r="L210" s="7" t="str">
        <f t="shared" si="5"/>
        <v xml:space="preserve">http://slimages.macys.com/is/image/MCY/16583426 </v>
      </c>
    </row>
    <row r="211" spans="1:12" ht="36.75" x14ac:dyDescent="0.25">
      <c r="A211" s="4" t="s">
        <v>8041</v>
      </c>
      <c r="B211" s="2" t="s">
        <v>895</v>
      </c>
      <c r="C211" s="3">
        <v>1</v>
      </c>
      <c r="D211" s="5">
        <v>44.99</v>
      </c>
      <c r="E211" s="3" t="s">
        <v>8040</v>
      </c>
      <c r="F211" s="2" t="s">
        <v>417</v>
      </c>
      <c r="G211" s="6" t="s">
        <v>802</v>
      </c>
      <c r="H211" s="2" t="s">
        <v>127</v>
      </c>
      <c r="I211" s="2" t="s">
        <v>541</v>
      </c>
      <c r="J211" s="2" t="s">
        <v>19</v>
      </c>
      <c r="K211" s="2" t="s">
        <v>500</v>
      </c>
      <c r="L211" s="7" t="str">
        <f t="shared" si="5"/>
        <v xml:space="preserve">http://slimages.macys.com/is/image/MCY/16583426 </v>
      </c>
    </row>
    <row r="212" spans="1:12" ht="36.75" x14ac:dyDescent="0.25">
      <c r="A212" s="4" t="s">
        <v>8045</v>
      </c>
      <c r="B212" s="2" t="s">
        <v>895</v>
      </c>
      <c r="C212" s="3">
        <v>2</v>
      </c>
      <c r="D212" s="5">
        <v>44.99</v>
      </c>
      <c r="E212" s="3" t="s">
        <v>8040</v>
      </c>
      <c r="F212" s="2" t="s">
        <v>417</v>
      </c>
      <c r="G212" s="6" t="s">
        <v>205</v>
      </c>
      <c r="H212" s="2" t="s">
        <v>127</v>
      </c>
      <c r="I212" s="2" t="s">
        <v>541</v>
      </c>
      <c r="J212" s="2" t="s">
        <v>19</v>
      </c>
      <c r="K212" s="2" t="s">
        <v>500</v>
      </c>
      <c r="L212" s="7" t="str">
        <f t="shared" si="5"/>
        <v xml:space="preserve">http://slimages.macys.com/is/image/MCY/16583426 </v>
      </c>
    </row>
    <row r="213" spans="1:12" ht="36.75" x14ac:dyDescent="0.25">
      <c r="A213" s="4" t="s">
        <v>10100</v>
      </c>
      <c r="B213" s="2" t="s">
        <v>895</v>
      </c>
      <c r="C213" s="3">
        <v>1</v>
      </c>
      <c r="D213" s="5">
        <v>44.99</v>
      </c>
      <c r="E213" s="3" t="s">
        <v>8040</v>
      </c>
      <c r="F213" s="2" t="s">
        <v>417</v>
      </c>
      <c r="G213" s="6" t="s">
        <v>238</v>
      </c>
      <c r="H213" s="2" t="s">
        <v>127</v>
      </c>
      <c r="I213" s="2" t="s">
        <v>541</v>
      </c>
      <c r="J213" s="2" t="s">
        <v>19</v>
      </c>
      <c r="K213" s="2" t="s">
        <v>500</v>
      </c>
      <c r="L213" s="7" t="str">
        <f t="shared" si="5"/>
        <v xml:space="preserve">http://slimages.macys.com/is/image/MCY/16583426 </v>
      </c>
    </row>
    <row r="214" spans="1:12" ht="36.75" x14ac:dyDescent="0.25">
      <c r="A214" s="4" t="s">
        <v>8042</v>
      </c>
      <c r="B214" s="2" t="s">
        <v>895</v>
      </c>
      <c r="C214" s="3">
        <v>2</v>
      </c>
      <c r="D214" s="5">
        <v>44.99</v>
      </c>
      <c r="E214" s="3" t="s">
        <v>8040</v>
      </c>
      <c r="F214" s="2" t="s">
        <v>417</v>
      </c>
      <c r="G214" s="6" t="s">
        <v>934</v>
      </c>
      <c r="H214" s="2" t="s">
        <v>127</v>
      </c>
      <c r="I214" s="2" t="s">
        <v>541</v>
      </c>
      <c r="J214" s="2" t="s">
        <v>19</v>
      </c>
      <c r="K214" s="2" t="s">
        <v>500</v>
      </c>
      <c r="L214" s="7" t="str">
        <f t="shared" si="5"/>
        <v xml:space="preserve">http://slimages.macys.com/is/image/MCY/16583426 </v>
      </c>
    </row>
    <row r="215" spans="1:12" ht="24.75" x14ac:dyDescent="0.25">
      <c r="A215" s="4" t="s">
        <v>899</v>
      </c>
      <c r="B215" s="2" t="s">
        <v>898</v>
      </c>
      <c r="C215" s="3">
        <v>1</v>
      </c>
      <c r="D215" s="5">
        <v>37.130000000000003</v>
      </c>
      <c r="E215" s="3">
        <v>100009193</v>
      </c>
      <c r="F215" s="2" t="s">
        <v>170</v>
      </c>
      <c r="G215" s="6" t="s">
        <v>16</v>
      </c>
      <c r="H215" s="2" t="s">
        <v>194</v>
      </c>
      <c r="I215" s="2" t="s">
        <v>503</v>
      </c>
      <c r="J215" s="2" t="s">
        <v>19</v>
      </c>
      <c r="K215" s="2" t="s">
        <v>353</v>
      </c>
      <c r="L215" s="7" t="str">
        <f>HYPERLINK("http://slimages.macys.com/is/image/MCY/11804644 ")</f>
        <v xml:space="preserve">http://slimages.macys.com/is/image/MCY/11804644 </v>
      </c>
    </row>
    <row r="216" spans="1:12" ht="24.75" x14ac:dyDescent="0.25">
      <c r="A216" s="4" t="s">
        <v>2489</v>
      </c>
      <c r="B216" s="2" t="s">
        <v>898</v>
      </c>
      <c r="C216" s="3">
        <v>1</v>
      </c>
      <c r="D216" s="5">
        <v>37.130000000000003</v>
      </c>
      <c r="E216" s="3">
        <v>100009193</v>
      </c>
      <c r="F216" s="2" t="s">
        <v>376</v>
      </c>
      <c r="G216" s="6" t="s">
        <v>22</v>
      </c>
      <c r="H216" s="2" t="s">
        <v>194</v>
      </c>
      <c r="I216" s="2" t="s">
        <v>503</v>
      </c>
      <c r="J216" s="2" t="s">
        <v>19</v>
      </c>
      <c r="K216" s="2" t="s">
        <v>353</v>
      </c>
      <c r="L216" s="7" t="str">
        <f>HYPERLINK("http://slimages.macys.com/is/image/MCY/11804644 ")</f>
        <v xml:space="preserve">http://slimages.macys.com/is/image/MCY/11804644 </v>
      </c>
    </row>
    <row r="217" spans="1:12" ht="24.75" x14ac:dyDescent="0.25">
      <c r="A217" s="4" t="s">
        <v>10101</v>
      </c>
      <c r="B217" s="2" t="s">
        <v>901</v>
      </c>
      <c r="C217" s="3">
        <v>1</v>
      </c>
      <c r="D217" s="5">
        <v>39.5</v>
      </c>
      <c r="E217" s="3" t="s">
        <v>902</v>
      </c>
      <c r="F217" s="2" t="s">
        <v>170</v>
      </c>
      <c r="G217" s="6" t="s">
        <v>154</v>
      </c>
      <c r="H217" s="2" t="s">
        <v>194</v>
      </c>
      <c r="I217" s="2" t="s">
        <v>195</v>
      </c>
      <c r="J217" s="2" t="s">
        <v>19</v>
      </c>
      <c r="K217" s="2" t="s">
        <v>438</v>
      </c>
      <c r="L217" s="7" t="str">
        <f>HYPERLINK("http://slimages.macys.com/is/image/MCY/12143757 ")</f>
        <v xml:space="preserve">http://slimages.macys.com/is/image/MCY/12143757 </v>
      </c>
    </row>
    <row r="218" spans="1:12" ht="24.75" x14ac:dyDescent="0.25">
      <c r="A218" s="4" t="s">
        <v>5646</v>
      </c>
      <c r="B218" s="2" t="s">
        <v>898</v>
      </c>
      <c r="C218" s="3">
        <v>1</v>
      </c>
      <c r="D218" s="5">
        <v>37.130000000000003</v>
      </c>
      <c r="E218" s="3">
        <v>100009193</v>
      </c>
      <c r="F218" s="2" t="s">
        <v>376</v>
      </c>
      <c r="G218" s="6" t="s">
        <v>58</v>
      </c>
      <c r="H218" s="2" t="s">
        <v>194</v>
      </c>
      <c r="I218" s="2" t="s">
        <v>503</v>
      </c>
      <c r="J218" s="2" t="s">
        <v>19</v>
      </c>
      <c r="K218" s="2" t="s">
        <v>353</v>
      </c>
      <c r="L218" s="7" t="str">
        <f>HYPERLINK("http://slimages.macys.com/is/image/MCY/11804644 ")</f>
        <v xml:space="preserve">http://slimages.macys.com/is/image/MCY/11804644 </v>
      </c>
    </row>
    <row r="219" spans="1:12" ht="24.75" x14ac:dyDescent="0.25">
      <c r="A219" s="4" t="s">
        <v>903</v>
      </c>
      <c r="B219" s="2" t="s">
        <v>904</v>
      </c>
      <c r="C219" s="3">
        <v>2</v>
      </c>
      <c r="D219" s="5">
        <v>34.5</v>
      </c>
      <c r="E219" s="3" t="s">
        <v>905</v>
      </c>
      <c r="F219" s="2" t="s">
        <v>74</v>
      </c>
      <c r="G219" s="6" t="s">
        <v>234</v>
      </c>
      <c r="H219" s="2" t="s">
        <v>228</v>
      </c>
      <c r="I219" s="2" t="s">
        <v>229</v>
      </c>
      <c r="J219" s="2" t="s">
        <v>19</v>
      </c>
      <c r="K219" s="2" t="s">
        <v>253</v>
      </c>
      <c r="L219" s="7" t="str">
        <f>HYPERLINK("http://slimages.macys.com/is/image/MCY/12794164 ")</f>
        <v xml:space="preserve">http://slimages.macys.com/is/image/MCY/12794164 </v>
      </c>
    </row>
    <row r="220" spans="1:12" ht="24.75" x14ac:dyDescent="0.25">
      <c r="A220" s="4" t="s">
        <v>3650</v>
      </c>
      <c r="B220" s="2" t="s">
        <v>2476</v>
      </c>
      <c r="C220" s="3">
        <v>1</v>
      </c>
      <c r="D220" s="5">
        <v>40.880000000000003</v>
      </c>
      <c r="E220" s="3" t="s">
        <v>3649</v>
      </c>
      <c r="F220" s="2" t="s">
        <v>1614</v>
      </c>
      <c r="G220" s="6"/>
      <c r="H220" s="2" t="s">
        <v>312</v>
      </c>
      <c r="I220" s="2" t="s">
        <v>195</v>
      </c>
      <c r="J220" s="2" t="s">
        <v>19</v>
      </c>
      <c r="K220" s="2" t="s">
        <v>34</v>
      </c>
      <c r="L220" s="7" t="str">
        <f>HYPERLINK("http://slimages.macys.com/is/image/MCY/11526932 ")</f>
        <v xml:space="preserve">http://slimages.macys.com/is/image/MCY/11526932 </v>
      </c>
    </row>
    <row r="221" spans="1:12" ht="24.75" x14ac:dyDescent="0.25">
      <c r="A221" s="4" t="s">
        <v>8059</v>
      </c>
      <c r="B221" s="2" t="s">
        <v>2476</v>
      </c>
      <c r="C221" s="3">
        <v>1</v>
      </c>
      <c r="D221" s="5">
        <v>40.880000000000003</v>
      </c>
      <c r="E221" s="3" t="s">
        <v>3649</v>
      </c>
      <c r="F221" s="2" t="s">
        <v>1614</v>
      </c>
      <c r="G221" s="6"/>
      <c r="H221" s="2" t="s">
        <v>312</v>
      </c>
      <c r="I221" s="2" t="s">
        <v>195</v>
      </c>
      <c r="J221" s="2" t="s">
        <v>19</v>
      </c>
      <c r="K221" s="2" t="s">
        <v>34</v>
      </c>
      <c r="L221" s="7" t="str">
        <f>HYPERLINK("http://slimages.macys.com/is/image/MCY/11526932 ")</f>
        <v xml:space="preserve">http://slimages.macys.com/is/image/MCY/11526932 </v>
      </c>
    </row>
    <row r="222" spans="1:12" ht="24.75" x14ac:dyDescent="0.25">
      <c r="A222" s="4" t="s">
        <v>10102</v>
      </c>
      <c r="B222" s="2" t="s">
        <v>10103</v>
      </c>
      <c r="C222" s="3">
        <v>2</v>
      </c>
      <c r="D222" s="5">
        <v>37.130000000000003</v>
      </c>
      <c r="E222" s="3" t="s">
        <v>10104</v>
      </c>
      <c r="F222" s="2" t="s">
        <v>26</v>
      </c>
      <c r="G222" s="6" t="s">
        <v>234</v>
      </c>
      <c r="H222" s="2" t="s">
        <v>194</v>
      </c>
      <c r="I222" s="2" t="s">
        <v>195</v>
      </c>
      <c r="J222" s="2" t="s">
        <v>19</v>
      </c>
      <c r="K222" s="2" t="s">
        <v>10105</v>
      </c>
      <c r="L222" s="7" t="str">
        <f>HYPERLINK("http://slimages.macys.com/is/image/MCY/11026375 ")</f>
        <v xml:space="preserve">http://slimages.macys.com/is/image/MCY/11026375 </v>
      </c>
    </row>
    <row r="223" spans="1:12" ht="24.75" x14ac:dyDescent="0.25">
      <c r="A223" s="4" t="s">
        <v>10106</v>
      </c>
      <c r="B223" s="2" t="s">
        <v>10103</v>
      </c>
      <c r="C223" s="3">
        <v>2</v>
      </c>
      <c r="D223" s="5">
        <v>37.130000000000003</v>
      </c>
      <c r="E223" s="3" t="s">
        <v>10104</v>
      </c>
      <c r="F223" s="2" t="s">
        <v>26</v>
      </c>
      <c r="G223" s="6" t="s">
        <v>200</v>
      </c>
      <c r="H223" s="2" t="s">
        <v>194</v>
      </c>
      <c r="I223" s="2" t="s">
        <v>195</v>
      </c>
      <c r="J223" s="2" t="s">
        <v>19</v>
      </c>
      <c r="K223" s="2" t="s">
        <v>10105</v>
      </c>
      <c r="L223" s="7" t="str">
        <f>HYPERLINK("http://slimages.macys.com/is/image/MCY/11026375 ")</f>
        <v xml:space="preserve">http://slimages.macys.com/is/image/MCY/11026375 </v>
      </c>
    </row>
    <row r="224" spans="1:12" ht="24.75" x14ac:dyDescent="0.25">
      <c r="A224" s="4" t="s">
        <v>10107</v>
      </c>
      <c r="B224" s="2" t="s">
        <v>10103</v>
      </c>
      <c r="C224" s="3">
        <v>1</v>
      </c>
      <c r="D224" s="5">
        <v>37.130000000000003</v>
      </c>
      <c r="E224" s="3" t="s">
        <v>10104</v>
      </c>
      <c r="F224" s="2" t="s">
        <v>26</v>
      </c>
      <c r="G224" s="6" t="s">
        <v>181</v>
      </c>
      <c r="H224" s="2" t="s">
        <v>194</v>
      </c>
      <c r="I224" s="2" t="s">
        <v>195</v>
      </c>
      <c r="J224" s="2" t="s">
        <v>19</v>
      </c>
      <c r="K224" s="2" t="s">
        <v>10105</v>
      </c>
      <c r="L224" s="7" t="str">
        <f>HYPERLINK("http://slimages.macys.com/is/image/MCY/11026375 ")</f>
        <v xml:space="preserve">http://slimages.macys.com/is/image/MCY/11026375 </v>
      </c>
    </row>
    <row r="225" spans="1:12" ht="24.75" x14ac:dyDescent="0.25">
      <c r="A225" s="4" t="s">
        <v>10108</v>
      </c>
      <c r="B225" s="2" t="s">
        <v>945</v>
      </c>
      <c r="C225" s="3">
        <v>1</v>
      </c>
      <c r="D225" s="5">
        <v>44.5</v>
      </c>
      <c r="E225" s="3">
        <v>72068</v>
      </c>
      <c r="F225" s="2" t="s">
        <v>74</v>
      </c>
      <c r="G225" s="6" t="s">
        <v>181</v>
      </c>
      <c r="H225" s="2" t="s">
        <v>194</v>
      </c>
      <c r="I225" s="2" t="s">
        <v>195</v>
      </c>
      <c r="J225" s="2" t="s">
        <v>19</v>
      </c>
      <c r="K225" s="2" t="s">
        <v>247</v>
      </c>
      <c r="L225" s="7" t="str">
        <f>HYPERLINK("http://slimages.macys.com/is/image/MCY/3937000 ")</f>
        <v xml:space="preserve">http://slimages.macys.com/is/image/MCY/3937000 </v>
      </c>
    </row>
    <row r="226" spans="1:12" ht="24.75" x14ac:dyDescent="0.25">
      <c r="A226" s="4" t="s">
        <v>10109</v>
      </c>
      <c r="B226" s="2" t="s">
        <v>5805</v>
      </c>
      <c r="C226" s="3">
        <v>1</v>
      </c>
      <c r="D226" s="5">
        <v>36.5</v>
      </c>
      <c r="E226" s="3">
        <v>100040989</v>
      </c>
      <c r="F226" s="2" t="s">
        <v>26</v>
      </c>
      <c r="G226" s="6" t="s">
        <v>154</v>
      </c>
      <c r="H226" s="2" t="s">
        <v>228</v>
      </c>
      <c r="I226" s="2" t="s">
        <v>863</v>
      </c>
      <c r="J226" s="2" t="s">
        <v>19</v>
      </c>
      <c r="K226" s="2" t="s">
        <v>10110</v>
      </c>
      <c r="L226" s="7" t="str">
        <f>HYPERLINK("http://slimages.macys.com/is/image/MCY/11338280 ")</f>
        <v xml:space="preserve">http://slimages.macys.com/is/image/MCY/11338280 </v>
      </c>
    </row>
    <row r="227" spans="1:12" ht="24.75" x14ac:dyDescent="0.25">
      <c r="A227" s="4" t="s">
        <v>10111</v>
      </c>
      <c r="B227" s="2" t="s">
        <v>2460</v>
      </c>
      <c r="C227" s="3">
        <v>1</v>
      </c>
      <c r="D227" s="5">
        <v>34.880000000000003</v>
      </c>
      <c r="E227" s="3">
        <v>100009313</v>
      </c>
      <c r="F227" s="2" t="s">
        <v>1234</v>
      </c>
      <c r="G227" s="6" t="s">
        <v>106</v>
      </c>
      <c r="H227" s="2" t="s">
        <v>194</v>
      </c>
      <c r="I227" s="2" t="s">
        <v>503</v>
      </c>
      <c r="J227" s="2" t="s">
        <v>19</v>
      </c>
      <c r="K227" s="2" t="s">
        <v>353</v>
      </c>
      <c r="L227" s="7" t="str">
        <f t="shared" ref="L227:L233" si="6">HYPERLINK("http://slimages.macys.com/is/image/MCY/9340611 ")</f>
        <v xml:space="preserve">http://slimages.macys.com/is/image/MCY/9340611 </v>
      </c>
    </row>
    <row r="228" spans="1:12" ht="24.75" x14ac:dyDescent="0.25">
      <c r="A228" s="4" t="s">
        <v>10112</v>
      </c>
      <c r="B228" s="2" t="s">
        <v>2460</v>
      </c>
      <c r="C228" s="3">
        <v>1</v>
      </c>
      <c r="D228" s="5">
        <v>34.880000000000003</v>
      </c>
      <c r="E228" s="3">
        <v>100009313</v>
      </c>
      <c r="F228" s="2" t="s">
        <v>26</v>
      </c>
      <c r="G228" s="6" t="s">
        <v>112</v>
      </c>
      <c r="H228" s="2" t="s">
        <v>194</v>
      </c>
      <c r="I228" s="2" t="s">
        <v>503</v>
      </c>
      <c r="J228" s="2" t="s">
        <v>19</v>
      </c>
      <c r="K228" s="2" t="s">
        <v>353</v>
      </c>
      <c r="L228" s="7" t="str">
        <f t="shared" si="6"/>
        <v xml:space="preserve">http://slimages.macys.com/is/image/MCY/9340611 </v>
      </c>
    </row>
    <row r="229" spans="1:12" ht="24.75" x14ac:dyDescent="0.25">
      <c r="A229" s="4" t="s">
        <v>6481</v>
      </c>
      <c r="B229" s="2" t="s">
        <v>2460</v>
      </c>
      <c r="C229" s="3">
        <v>1</v>
      </c>
      <c r="D229" s="5">
        <v>34.880000000000003</v>
      </c>
      <c r="E229" s="3">
        <v>100009313</v>
      </c>
      <c r="F229" s="2" t="s">
        <v>376</v>
      </c>
      <c r="G229" s="6" t="s">
        <v>106</v>
      </c>
      <c r="H229" s="2" t="s">
        <v>194</v>
      </c>
      <c r="I229" s="2" t="s">
        <v>503</v>
      </c>
      <c r="J229" s="2" t="s">
        <v>19</v>
      </c>
      <c r="K229" s="2" t="s">
        <v>353</v>
      </c>
      <c r="L229" s="7" t="str">
        <f t="shared" si="6"/>
        <v xml:space="preserve">http://slimages.macys.com/is/image/MCY/9340611 </v>
      </c>
    </row>
    <row r="230" spans="1:12" ht="24.75" x14ac:dyDescent="0.25">
      <c r="A230" s="4" t="s">
        <v>5659</v>
      </c>
      <c r="B230" s="2" t="s">
        <v>2460</v>
      </c>
      <c r="C230" s="3">
        <v>1</v>
      </c>
      <c r="D230" s="5">
        <v>34.880000000000003</v>
      </c>
      <c r="E230" s="3">
        <v>100009313</v>
      </c>
      <c r="F230" s="2" t="s">
        <v>376</v>
      </c>
      <c r="G230" s="6" t="s">
        <v>22</v>
      </c>
      <c r="H230" s="2" t="s">
        <v>194</v>
      </c>
      <c r="I230" s="2" t="s">
        <v>503</v>
      </c>
      <c r="J230" s="2" t="s">
        <v>19</v>
      </c>
      <c r="K230" s="2" t="s">
        <v>353</v>
      </c>
      <c r="L230" s="7" t="str">
        <f t="shared" si="6"/>
        <v xml:space="preserve">http://slimages.macys.com/is/image/MCY/9340611 </v>
      </c>
    </row>
    <row r="231" spans="1:12" ht="24.75" x14ac:dyDescent="0.25">
      <c r="A231" s="4" t="s">
        <v>5660</v>
      </c>
      <c r="B231" s="2" t="s">
        <v>2460</v>
      </c>
      <c r="C231" s="3">
        <v>2</v>
      </c>
      <c r="D231" s="5">
        <v>34.880000000000003</v>
      </c>
      <c r="E231" s="3">
        <v>100009313</v>
      </c>
      <c r="F231" s="2" t="s">
        <v>376</v>
      </c>
      <c r="G231" s="6" t="s">
        <v>112</v>
      </c>
      <c r="H231" s="2" t="s">
        <v>194</v>
      </c>
      <c r="I231" s="2" t="s">
        <v>503</v>
      </c>
      <c r="J231" s="2" t="s">
        <v>19</v>
      </c>
      <c r="K231" s="2" t="s">
        <v>353</v>
      </c>
      <c r="L231" s="7" t="str">
        <f t="shared" si="6"/>
        <v xml:space="preserve">http://slimages.macys.com/is/image/MCY/9340611 </v>
      </c>
    </row>
    <row r="232" spans="1:12" ht="24.75" x14ac:dyDescent="0.25">
      <c r="A232" s="4" t="s">
        <v>10113</v>
      </c>
      <c r="B232" s="2" t="s">
        <v>2460</v>
      </c>
      <c r="C232" s="3">
        <v>1</v>
      </c>
      <c r="D232" s="5">
        <v>34.880000000000003</v>
      </c>
      <c r="E232" s="3">
        <v>100009313</v>
      </c>
      <c r="F232" s="2" t="s">
        <v>1234</v>
      </c>
      <c r="G232" s="6" t="s">
        <v>16</v>
      </c>
      <c r="H232" s="2" t="s">
        <v>194</v>
      </c>
      <c r="I232" s="2" t="s">
        <v>503</v>
      </c>
      <c r="J232" s="2" t="s">
        <v>19</v>
      </c>
      <c r="K232" s="2" t="s">
        <v>353</v>
      </c>
      <c r="L232" s="7" t="str">
        <f t="shared" si="6"/>
        <v xml:space="preserve">http://slimages.macys.com/is/image/MCY/9340611 </v>
      </c>
    </row>
    <row r="233" spans="1:12" ht="24.75" x14ac:dyDescent="0.25">
      <c r="A233" s="4" t="s">
        <v>5658</v>
      </c>
      <c r="B233" s="2" t="s">
        <v>2460</v>
      </c>
      <c r="C233" s="3">
        <v>1</v>
      </c>
      <c r="D233" s="5">
        <v>34.880000000000003</v>
      </c>
      <c r="E233" s="3">
        <v>100009313</v>
      </c>
      <c r="F233" s="2" t="s">
        <v>376</v>
      </c>
      <c r="G233" s="6" t="s">
        <v>16</v>
      </c>
      <c r="H233" s="2" t="s">
        <v>194</v>
      </c>
      <c r="I233" s="2" t="s">
        <v>503</v>
      </c>
      <c r="J233" s="2" t="s">
        <v>19</v>
      </c>
      <c r="K233" s="2" t="s">
        <v>353</v>
      </c>
      <c r="L233" s="7" t="str">
        <f t="shared" si="6"/>
        <v xml:space="preserve">http://slimages.macys.com/is/image/MCY/9340611 </v>
      </c>
    </row>
    <row r="234" spans="1:12" ht="48.75" x14ac:dyDescent="0.25">
      <c r="A234" s="4" t="s">
        <v>10114</v>
      </c>
      <c r="B234" s="2" t="s">
        <v>10115</v>
      </c>
      <c r="C234" s="3">
        <v>1</v>
      </c>
      <c r="D234" s="5">
        <v>29.99</v>
      </c>
      <c r="E234" s="3" t="s">
        <v>10116</v>
      </c>
      <c r="F234" s="2" t="s">
        <v>74</v>
      </c>
      <c r="G234" s="6" t="s">
        <v>10117</v>
      </c>
      <c r="H234" s="2" t="s">
        <v>284</v>
      </c>
      <c r="I234" s="2" t="s">
        <v>408</v>
      </c>
      <c r="J234" s="2" t="s">
        <v>19</v>
      </c>
      <c r="K234" s="2" t="s">
        <v>787</v>
      </c>
      <c r="L234" s="7" t="str">
        <f>HYPERLINK("http://slimages.macys.com/is/image/MCY/3173200 ")</f>
        <v xml:space="preserve">http://slimages.macys.com/is/image/MCY/3173200 </v>
      </c>
    </row>
    <row r="235" spans="1:12" ht="24.75" x14ac:dyDescent="0.25">
      <c r="A235" s="4" t="s">
        <v>5673</v>
      </c>
      <c r="B235" s="2" t="s">
        <v>948</v>
      </c>
      <c r="C235" s="3">
        <v>1</v>
      </c>
      <c r="D235" s="5">
        <v>34.880000000000003</v>
      </c>
      <c r="E235" s="3">
        <v>100038962</v>
      </c>
      <c r="F235" s="2" t="s">
        <v>64</v>
      </c>
      <c r="G235" s="6" t="s">
        <v>22</v>
      </c>
      <c r="H235" s="2" t="s">
        <v>194</v>
      </c>
      <c r="I235" s="2" t="s">
        <v>195</v>
      </c>
      <c r="J235" s="2" t="s">
        <v>19</v>
      </c>
      <c r="K235" s="2" t="s">
        <v>353</v>
      </c>
      <c r="L235" s="7" t="str">
        <f>HYPERLINK("http://slimages.macys.com/is/image/MCY/11145019 ")</f>
        <v xml:space="preserve">http://slimages.macys.com/is/image/MCY/11145019 </v>
      </c>
    </row>
    <row r="236" spans="1:12" ht="24.75" x14ac:dyDescent="0.25">
      <c r="A236" s="4" t="s">
        <v>5675</v>
      </c>
      <c r="B236" s="2" t="s">
        <v>948</v>
      </c>
      <c r="C236" s="3">
        <v>2</v>
      </c>
      <c r="D236" s="5">
        <v>34.880000000000003</v>
      </c>
      <c r="E236" s="3">
        <v>100038962</v>
      </c>
      <c r="F236" s="2" t="s">
        <v>64</v>
      </c>
      <c r="G236" s="6" t="s">
        <v>16</v>
      </c>
      <c r="H236" s="2" t="s">
        <v>194</v>
      </c>
      <c r="I236" s="2" t="s">
        <v>195</v>
      </c>
      <c r="J236" s="2" t="s">
        <v>19</v>
      </c>
      <c r="K236" s="2" t="s">
        <v>353</v>
      </c>
      <c r="L236" s="7" t="str">
        <f>HYPERLINK("http://slimages.macys.com/is/image/MCY/11145019 ")</f>
        <v xml:space="preserve">http://slimages.macys.com/is/image/MCY/11145019 </v>
      </c>
    </row>
    <row r="237" spans="1:12" ht="36.75" x14ac:dyDescent="0.25">
      <c r="A237" s="4" t="s">
        <v>10118</v>
      </c>
      <c r="B237" s="2" t="s">
        <v>961</v>
      </c>
      <c r="C237" s="3">
        <v>1</v>
      </c>
      <c r="D237" s="5">
        <v>39.5</v>
      </c>
      <c r="E237" s="3">
        <v>100026212</v>
      </c>
      <c r="F237" s="2" t="s">
        <v>1914</v>
      </c>
      <c r="G237" s="6" t="s">
        <v>154</v>
      </c>
      <c r="H237" s="2" t="s">
        <v>194</v>
      </c>
      <c r="I237" s="2" t="s">
        <v>195</v>
      </c>
      <c r="J237" s="2" t="s">
        <v>19</v>
      </c>
      <c r="K237" s="2" t="s">
        <v>10119</v>
      </c>
      <c r="L237" s="7" t="str">
        <f>HYPERLINK("http://slimages.macys.com/is/image/MCY/11527289 ")</f>
        <v xml:space="preserve">http://slimages.macys.com/is/image/MCY/11527289 </v>
      </c>
    </row>
    <row r="238" spans="1:12" ht="24.75" x14ac:dyDescent="0.25">
      <c r="A238" s="4" t="s">
        <v>4750</v>
      </c>
      <c r="B238" s="2" t="s">
        <v>641</v>
      </c>
      <c r="C238" s="3">
        <v>2</v>
      </c>
      <c r="D238" s="5">
        <v>29.99</v>
      </c>
      <c r="E238" s="3" t="s">
        <v>2506</v>
      </c>
      <c r="F238" s="2" t="s">
        <v>26</v>
      </c>
      <c r="G238" s="6" t="s">
        <v>200</v>
      </c>
      <c r="H238" s="2" t="s">
        <v>284</v>
      </c>
      <c r="I238" s="2" t="s">
        <v>408</v>
      </c>
      <c r="J238" s="2" t="s">
        <v>19</v>
      </c>
      <c r="K238" s="2" t="s">
        <v>409</v>
      </c>
      <c r="L238" s="7" t="str">
        <f>HYPERLINK("http://slimages.macys.com/is/image/MCY/9387631 ")</f>
        <v xml:space="preserve">http://slimages.macys.com/is/image/MCY/9387631 </v>
      </c>
    </row>
    <row r="239" spans="1:12" ht="24.75" x14ac:dyDescent="0.25">
      <c r="A239" s="4" t="s">
        <v>3681</v>
      </c>
      <c r="B239" s="2" t="s">
        <v>641</v>
      </c>
      <c r="C239" s="3">
        <v>1</v>
      </c>
      <c r="D239" s="5">
        <v>29.99</v>
      </c>
      <c r="E239" s="3" t="s">
        <v>2506</v>
      </c>
      <c r="F239" s="2" t="s">
        <v>26</v>
      </c>
      <c r="G239" s="6" t="s">
        <v>181</v>
      </c>
      <c r="H239" s="2" t="s">
        <v>284</v>
      </c>
      <c r="I239" s="2" t="s">
        <v>408</v>
      </c>
      <c r="J239" s="2" t="s">
        <v>19</v>
      </c>
      <c r="K239" s="2" t="s">
        <v>409</v>
      </c>
      <c r="L239" s="7" t="str">
        <f>HYPERLINK("http://slimages.macys.com/is/image/MCY/9387631 ")</f>
        <v xml:space="preserve">http://slimages.macys.com/is/image/MCY/9387631 </v>
      </c>
    </row>
    <row r="240" spans="1:12" ht="24.75" x14ac:dyDescent="0.25">
      <c r="A240" s="4" t="s">
        <v>7322</v>
      </c>
      <c r="B240" s="2" t="s">
        <v>6494</v>
      </c>
      <c r="C240" s="3">
        <v>1</v>
      </c>
      <c r="D240" s="5">
        <v>34.99</v>
      </c>
      <c r="E240" s="3">
        <v>100022371</v>
      </c>
      <c r="F240" s="2" t="s">
        <v>132</v>
      </c>
      <c r="G240" s="6" t="s">
        <v>200</v>
      </c>
      <c r="H240" s="2" t="s">
        <v>284</v>
      </c>
      <c r="I240" s="2" t="s">
        <v>285</v>
      </c>
      <c r="J240" s="2" t="s">
        <v>19</v>
      </c>
      <c r="K240" s="2" t="s">
        <v>34</v>
      </c>
      <c r="L240" s="7" t="str">
        <f>HYPERLINK("http://slimages.macys.com/is/image/MCY/13980598 ")</f>
        <v xml:space="preserve">http://slimages.macys.com/is/image/MCY/13980598 </v>
      </c>
    </row>
    <row r="241" spans="1:12" ht="24.75" x14ac:dyDescent="0.25">
      <c r="A241" s="4" t="s">
        <v>10120</v>
      </c>
      <c r="B241" s="2" t="s">
        <v>2511</v>
      </c>
      <c r="C241" s="3">
        <v>2</v>
      </c>
      <c r="D241" s="5">
        <v>27.99</v>
      </c>
      <c r="E241" s="3" t="s">
        <v>7327</v>
      </c>
      <c r="F241" s="2" t="s">
        <v>15</v>
      </c>
      <c r="G241" s="6"/>
      <c r="H241" s="2" t="s">
        <v>1425</v>
      </c>
      <c r="I241" s="2" t="s">
        <v>1469</v>
      </c>
      <c r="J241" s="2" t="s">
        <v>19</v>
      </c>
      <c r="K241" s="2" t="s">
        <v>495</v>
      </c>
      <c r="L241" s="7" t="str">
        <f>HYPERLINK("http://slimages.macys.com/is/image/MCY/11882106 ")</f>
        <v xml:space="preserve">http://slimages.macys.com/is/image/MCY/11882106 </v>
      </c>
    </row>
    <row r="242" spans="1:12" ht="24.75" x14ac:dyDescent="0.25">
      <c r="A242" s="4" t="s">
        <v>10121</v>
      </c>
      <c r="B242" s="2" t="s">
        <v>10122</v>
      </c>
      <c r="C242" s="3">
        <v>1</v>
      </c>
      <c r="D242" s="5">
        <v>37.1</v>
      </c>
      <c r="E242" s="3">
        <v>100023018</v>
      </c>
      <c r="F242" s="2" t="s">
        <v>74</v>
      </c>
      <c r="G242" s="6" t="s">
        <v>181</v>
      </c>
      <c r="H242" s="2" t="s">
        <v>194</v>
      </c>
      <c r="I242" s="2" t="s">
        <v>1922</v>
      </c>
      <c r="J242" s="2" t="s">
        <v>19</v>
      </c>
      <c r="K242" s="2" t="s">
        <v>438</v>
      </c>
      <c r="L242" s="7" t="str">
        <f>HYPERLINK("http://slimages.macys.com/is/image/MCY/10888845 ")</f>
        <v xml:space="preserve">http://slimages.macys.com/is/image/MCY/10888845 </v>
      </c>
    </row>
    <row r="243" spans="1:12" ht="24.75" x14ac:dyDescent="0.25">
      <c r="A243" s="4" t="s">
        <v>3694</v>
      </c>
      <c r="B243" s="2" t="s">
        <v>964</v>
      </c>
      <c r="C243" s="3">
        <v>2</v>
      </c>
      <c r="D243" s="5">
        <v>36.5</v>
      </c>
      <c r="E243" s="3" t="s">
        <v>3695</v>
      </c>
      <c r="F243" s="2" t="s">
        <v>956</v>
      </c>
      <c r="G243" s="6"/>
      <c r="H243" s="2" t="s">
        <v>312</v>
      </c>
      <c r="I243" s="2" t="s">
        <v>195</v>
      </c>
      <c r="J243" s="2" t="s">
        <v>19</v>
      </c>
      <c r="K243" s="2" t="s">
        <v>3699</v>
      </c>
      <c r="L243" s="7" t="str">
        <f>HYPERLINK("http://slimages.macys.com/is/image/MCY/9711318 ")</f>
        <v xml:space="preserve">http://slimages.macys.com/is/image/MCY/9711318 </v>
      </c>
    </row>
    <row r="244" spans="1:12" ht="24.75" x14ac:dyDescent="0.25">
      <c r="A244" s="4" t="s">
        <v>7330</v>
      </c>
      <c r="B244" s="2" t="s">
        <v>964</v>
      </c>
      <c r="C244" s="3">
        <v>1</v>
      </c>
      <c r="D244" s="5">
        <v>36.5</v>
      </c>
      <c r="E244" s="3" t="s">
        <v>3695</v>
      </c>
      <c r="F244" s="2" t="s">
        <v>956</v>
      </c>
      <c r="G244" s="6"/>
      <c r="H244" s="2" t="s">
        <v>312</v>
      </c>
      <c r="I244" s="2" t="s">
        <v>195</v>
      </c>
      <c r="J244" s="2" t="s">
        <v>19</v>
      </c>
      <c r="K244" s="2" t="s">
        <v>3699</v>
      </c>
      <c r="L244" s="7" t="str">
        <f>HYPERLINK("http://slimages.macys.com/is/image/MCY/9711318 ")</f>
        <v xml:space="preserve">http://slimages.macys.com/is/image/MCY/9711318 </v>
      </c>
    </row>
    <row r="245" spans="1:12" ht="24.75" x14ac:dyDescent="0.25">
      <c r="A245" s="4" t="s">
        <v>10123</v>
      </c>
      <c r="B245" s="2" t="s">
        <v>992</v>
      </c>
      <c r="C245" s="3">
        <v>1</v>
      </c>
      <c r="D245" s="5">
        <v>34.5</v>
      </c>
      <c r="E245" s="3" t="s">
        <v>995</v>
      </c>
      <c r="F245" s="2" t="s">
        <v>26</v>
      </c>
      <c r="G245" s="6" t="s">
        <v>187</v>
      </c>
      <c r="H245" s="2" t="s">
        <v>426</v>
      </c>
      <c r="I245" s="2" t="s">
        <v>229</v>
      </c>
      <c r="J245" s="2" t="s">
        <v>19</v>
      </c>
      <c r="K245" s="2" t="s">
        <v>353</v>
      </c>
      <c r="L245" s="7" t="str">
        <f>HYPERLINK("http://slimages.macys.com/is/image/MCY/11934830 ")</f>
        <v xml:space="preserve">http://slimages.macys.com/is/image/MCY/11934830 </v>
      </c>
    </row>
    <row r="246" spans="1:12" ht="24.75" x14ac:dyDescent="0.25">
      <c r="A246" s="4" t="s">
        <v>10124</v>
      </c>
      <c r="B246" s="2" t="s">
        <v>992</v>
      </c>
      <c r="C246" s="3">
        <v>1</v>
      </c>
      <c r="D246" s="5">
        <v>34.5</v>
      </c>
      <c r="E246" s="3" t="s">
        <v>995</v>
      </c>
      <c r="F246" s="2" t="s">
        <v>26</v>
      </c>
      <c r="G246" s="6"/>
      <c r="H246" s="2" t="s">
        <v>426</v>
      </c>
      <c r="I246" s="2" t="s">
        <v>229</v>
      </c>
      <c r="J246" s="2" t="s">
        <v>19</v>
      </c>
      <c r="K246" s="2" t="s">
        <v>353</v>
      </c>
      <c r="L246" s="7" t="str">
        <f>HYPERLINK("http://slimages.macys.com/is/image/MCY/11934830 ")</f>
        <v xml:space="preserve">http://slimages.macys.com/is/image/MCY/11934830 </v>
      </c>
    </row>
    <row r="247" spans="1:12" ht="24.75" x14ac:dyDescent="0.25">
      <c r="A247" s="4" t="s">
        <v>10125</v>
      </c>
      <c r="B247" s="2" t="s">
        <v>744</v>
      </c>
      <c r="C247" s="3">
        <v>1</v>
      </c>
      <c r="D247" s="5">
        <v>34.99</v>
      </c>
      <c r="E247" s="3" t="s">
        <v>4781</v>
      </c>
      <c r="F247" s="2" t="s">
        <v>252</v>
      </c>
      <c r="G247" s="6" t="s">
        <v>234</v>
      </c>
      <c r="H247" s="2" t="s">
        <v>284</v>
      </c>
      <c r="I247" s="2" t="s">
        <v>285</v>
      </c>
      <c r="J247" s="2" t="s">
        <v>19</v>
      </c>
      <c r="K247" s="2" t="s">
        <v>34</v>
      </c>
      <c r="L247" s="7" t="str">
        <f>HYPERLINK("http://slimages.macys.com/is/image/MCY/9723880 ")</f>
        <v xml:space="preserve">http://slimages.macys.com/is/image/MCY/9723880 </v>
      </c>
    </row>
    <row r="248" spans="1:12" ht="24.75" x14ac:dyDescent="0.25">
      <c r="A248" s="4" t="s">
        <v>10126</v>
      </c>
      <c r="B248" s="2" t="s">
        <v>2521</v>
      </c>
      <c r="C248" s="3">
        <v>1</v>
      </c>
      <c r="D248" s="5">
        <v>34.5</v>
      </c>
      <c r="E248" s="3">
        <v>100045823</v>
      </c>
      <c r="F248" s="2" t="s">
        <v>26</v>
      </c>
      <c r="G248" s="6" t="s">
        <v>156</v>
      </c>
      <c r="H248" s="2" t="s">
        <v>228</v>
      </c>
      <c r="I248" s="2" t="s">
        <v>229</v>
      </c>
      <c r="J248" s="2" t="s">
        <v>19</v>
      </c>
      <c r="K248" s="2" t="s">
        <v>215</v>
      </c>
      <c r="L248" s="7" t="str">
        <f>HYPERLINK("http://slimages.macys.com/is/image/MCY/11804428 ")</f>
        <v xml:space="preserve">http://slimages.macys.com/is/image/MCY/11804428 </v>
      </c>
    </row>
    <row r="249" spans="1:12" ht="24.75" x14ac:dyDescent="0.25">
      <c r="A249" s="4" t="s">
        <v>10127</v>
      </c>
      <c r="B249" s="2" t="s">
        <v>10128</v>
      </c>
      <c r="C249" s="3">
        <v>1</v>
      </c>
      <c r="D249" s="5">
        <v>40.880000000000003</v>
      </c>
      <c r="E249" s="3" t="s">
        <v>10129</v>
      </c>
      <c r="F249" s="2" t="s">
        <v>74</v>
      </c>
      <c r="G249" s="6" t="s">
        <v>200</v>
      </c>
      <c r="H249" s="2" t="s">
        <v>284</v>
      </c>
      <c r="I249" s="2" t="s">
        <v>285</v>
      </c>
      <c r="J249" s="2" t="s">
        <v>19</v>
      </c>
      <c r="K249" s="2" t="s">
        <v>160</v>
      </c>
      <c r="L249" s="7" t="str">
        <f>HYPERLINK("http://slimages.macys.com/is/image/MCY/12285042 ")</f>
        <v xml:space="preserve">http://slimages.macys.com/is/image/MCY/12285042 </v>
      </c>
    </row>
    <row r="250" spans="1:12" ht="24.75" x14ac:dyDescent="0.25">
      <c r="A250" s="4" t="s">
        <v>3717</v>
      </c>
      <c r="B250" s="2" t="s">
        <v>1012</v>
      </c>
      <c r="C250" s="3">
        <v>4</v>
      </c>
      <c r="D250" s="5">
        <v>37.130000000000003</v>
      </c>
      <c r="E250" s="3" t="s">
        <v>1013</v>
      </c>
      <c r="F250" s="2" t="s">
        <v>64</v>
      </c>
      <c r="G250" s="6" t="s">
        <v>27</v>
      </c>
      <c r="H250" s="2" t="s">
        <v>246</v>
      </c>
      <c r="I250" s="2" t="s">
        <v>214</v>
      </c>
      <c r="J250" s="2" t="s">
        <v>19</v>
      </c>
      <c r="K250" s="2" t="s">
        <v>253</v>
      </c>
      <c r="L250" s="7" t="str">
        <f t="shared" ref="L250:L272" si="7">HYPERLINK("http://slimages.macys.com/is/image/MCY/10679372 ")</f>
        <v xml:space="preserve">http://slimages.macys.com/is/image/MCY/10679372 </v>
      </c>
    </row>
    <row r="251" spans="1:12" ht="24.75" x14ac:dyDescent="0.25">
      <c r="A251" s="4" t="s">
        <v>10130</v>
      </c>
      <c r="B251" s="2" t="s">
        <v>1012</v>
      </c>
      <c r="C251" s="3">
        <v>2</v>
      </c>
      <c r="D251" s="5">
        <v>37.130000000000003</v>
      </c>
      <c r="E251" s="3" t="s">
        <v>1013</v>
      </c>
      <c r="F251" s="2" t="s">
        <v>64</v>
      </c>
      <c r="G251" s="6" t="s">
        <v>112</v>
      </c>
      <c r="H251" s="2" t="s">
        <v>246</v>
      </c>
      <c r="I251" s="2" t="s">
        <v>214</v>
      </c>
      <c r="J251" s="2" t="s">
        <v>19</v>
      </c>
      <c r="K251" s="2" t="s">
        <v>253</v>
      </c>
      <c r="L251" s="7" t="str">
        <f t="shared" si="7"/>
        <v xml:space="preserve">http://slimages.macys.com/is/image/MCY/10679372 </v>
      </c>
    </row>
    <row r="252" spans="1:12" ht="24.75" x14ac:dyDescent="0.25">
      <c r="A252" s="4" t="s">
        <v>2526</v>
      </c>
      <c r="B252" s="2" t="s">
        <v>1012</v>
      </c>
      <c r="C252" s="3">
        <v>2</v>
      </c>
      <c r="D252" s="5">
        <v>37.130000000000003</v>
      </c>
      <c r="E252" s="3" t="s">
        <v>1013</v>
      </c>
      <c r="F252" s="2" t="s">
        <v>64</v>
      </c>
      <c r="G252" s="6" t="s">
        <v>65</v>
      </c>
      <c r="H252" s="2" t="s">
        <v>246</v>
      </c>
      <c r="I252" s="2" t="s">
        <v>214</v>
      </c>
      <c r="J252" s="2" t="s">
        <v>19</v>
      </c>
      <c r="K252" s="2" t="s">
        <v>253</v>
      </c>
      <c r="L252" s="7" t="str">
        <f t="shared" si="7"/>
        <v xml:space="preserve">http://slimages.macys.com/is/image/MCY/10679372 </v>
      </c>
    </row>
    <row r="253" spans="1:12" ht="24.75" x14ac:dyDescent="0.25">
      <c r="A253" s="4" t="s">
        <v>1017</v>
      </c>
      <c r="B253" s="2" t="s">
        <v>1012</v>
      </c>
      <c r="C253" s="3">
        <v>3</v>
      </c>
      <c r="D253" s="5">
        <v>37.130000000000003</v>
      </c>
      <c r="E253" s="3" t="s">
        <v>1013</v>
      </c>
      <c r="F253" s="2" t="s">
        <v>494</v>
      </c>
      <c r="G253" s="6" t="s">
        <v>106</v>
      </c>
      <c r="H253" s="2" t="s">
        <v>246</v>
      </c>
      <c r="I253" s="2" t="s">
        <v>214</v>
      </c>
      <c r="J253" s="2" t="s">
        <v>19</v>
      </c>
      <c r="K253" s="2" t="s">
        <v>253</v>
      </c>
      <c r="L253" s="7" t="str">
        <f t="shared" si="7"/>
        <v xml:space="preserve">http://slimages.macys.com/is/image/MCY/10679372 </v>
      </c>
    </row>
    <row r="254" spans="1:12" ht="24.75" x14ac:dyDescent="0.25">
      <c r="A254" s="4" t="s">
        <v>1021</v>
      </c>
      <c r="B254" s="2" t="s">
        <v>1012</v>
      </c>
      <c r="C254" s="3">
        <v>3</v>
      </c>
      <c r="D254" s="5">
        <v>37.130000000000003</v>
      </c>
      <c r="E254" s="3" t="s">
        <v>1013</v>
      </c>
      <c r="F254" s="2" t="s">
        <v>494</v>
      </c>
      <c r="G254" s="6" t="s">
        <v>16</v>
      </c>
      <c r="H254" s="2" t="s">
        <v>246</v>
      </c>
      <c r="I254" s="2" t="s">
        <v>214</v>
      </c>
      <c r="J254" s="2" t="s">
        <v>19</v>
      </c>
      <c r="K254" s="2" t="s">
        <v>253</v>
      </c>
      <c r="L254" s="7" t="str">
        <f t="shared" si="7"/>
        <v xml:space="preserve">http://slimages.macys.com/is/image/MCY/10679372 </v>
      </c>
    </row>
    <row r="255" spans="1:12" ht="24.75" x14ac:dyDescent="0.25">
      <c r="A255" s="4" t="s">
        <v>1020</v>
      </c>
      <c r="B255" s="2" t="s">
        <v>1012</v>
      </c>
      <c r="C255" s="3">
        <v>2</v>
      </c>
      <c r="D255" s="5">
        <v>37.130000000000003</v>
      </c>
      <c r="E255" s="3" t="s">
        <v>1013</v>
      </c>
      <c r="F255" s="2" t="s">
        <v>494</v>
      </c>
      <c r="G255" s="6" t="s">
        <v>22</v>
      </c>
      <c r="H255" s="2" t="s">
        <v>246</v>
      </c>
      <c r="I255" s="2" t="s">
        <v>214</v>
      </c>
      <c r="J255" s="2" t="s">
        <v>19</v>
      </c>
      <c r="K255" s="2" t="s">
        <v>253</v>
      </c>
      <c r="L255" s="7" t="str">
        <f t="shared" si="7"/>
        <v xml:space="preserve">http://slimages.macys.com/is/image/MCY/10679372 </v>
      </c>
    </row>
    <row r="256" spans="1:12" ht="24.75" x14ac:dyDescent="0.25">
      <c r="A256" s="4" t="s">
        <v>2528</v>
      </c>
      <c r="B256" s="2" t="s">
        <v>1012</v>
      </c>
      <c r="C256" s="3">
        <v>3</v>
      </c>
      <c r="D256" s="5">
        <v>37.130000000000003</v>
      </c>
      <c r="E256" s="3" t="s">
        <v>1013</v>
      </c>
      <c r="F256" s="2" t="s">
        <v>64</v>
      </c>
      <c r="G256" s="6" t="s">
        <v>16</v>
      </c>
      <c r="H256" s="2" t="s">
        <v>246</v>
      </c>
      <c r="I256" s="2" t="s">
        <v>214</v>
      </c>
      <c r="J256" s="2" t="s">
        <v>19</v>
      </c>
      <c r="K256" s="2" t="s">
        <v>253</v>
      </c>
      <c r="L256" s="7" t="str">
        <f t="shared" si="7"/>
        <v xml:space="preserve">http://slimages.macys.com/is/image/MCY/10679372 </v>
      </c>
    </row>
    <row r="257" spans="1:12" ht="24.75" x14ac:dyDescent="0.25">
      <c r="A257" s="4" t="s">
        <v>1014</v>
      </c>
      <c r="B257" s="2" t="s">
        <v>1012</v>
      </c>
      <c r="C257" s="3">
        <v>1</v>
      </c>
      <c r="D257" s="5">
        <v>37.130000000000003</v>
      </c>
      <c r="E257" s="3" t="s">
        <v>1013</v>
      </c>
      <c r="F257" s="2" t="s">
        <v>26</v>
      </c>
      <c r="G257" s="6" t="s">
        <v>112</v>
      </c>
      <c r="H257" s="2" t="s">
        <v>246</v>
      </c>
      <c r="I257" s="2" t="s">
        <v>214</v>
      </c>
      <c r="J257" s="2" t="s">
        <v>19</v>
      </c>
      <c r="K257" s="2" t="s">
        <v>253</v>
      </c>
      <c r="L257" s="7" t="str">
        <f t="shared" si="7"/>
        <v xml:space="preserve">http://slimages.macys.com/is/image/MCY/10679372 </v>
      </c>
    </row>
    <row r="258" spans="1:12" ht="24.75" x14ac:dyDescent="0.25">
      <c r="A258" s="4" t="s">
        <v>1023</v>
      </c>
      <c r="B258" s="2" t="s">
        <v>1012</v>
      </c>
      <c r="C258" s="3">
        <v>1</v>
      </c>
      <c r="D258" s="5">
        <v>37.130000000000003</v>
      </c>
      <c r="E258" s="3" t="s">
        <v>1013</v>
      </c>
      <c r="F258" s="2" t="s">
        <v>64</v>
      </c>
      <c r="G258" s="6" t="s">
        <v>58</v>
      </c>
      <c r="H258" s="2" t="s">
        <v>246</v>
      </c>
      <c r="I258" s="2" t="s">
        <v>214</v>
      </c>
      <c r="J258" s="2" t="s">
        <v>19</v>
      </c>
      <c r="K258" s="2" t="s">
        <v>253</v>
      </c>
      <c r="L258" s="7" t="str">
        <f t="shared" si="7"/>
        <v xml:space="preserve">http://slimages.macys.com/is/image/MCY/10679372 </v>
      </c>
    </row>
    <row r="259" spans="1:12" ht="24.75" x14ac:dyDescent="0.25">
      <c r="A259" s="4" t="s">
        <v>9049</v>
      </c>
      <c r="B259" s="2" t="s">
        <v>1012</v>
      </c>
      <c r="C259" s="3">
        <v>1</v>
      </c>
      <c r="D259" s="5">
        <v>37.130000000000003</v>
      </c>
      <c r="E259" s="3" t="s">
        <v>1013</v>
      </c>
      <c r="F259" s="2" t="s">
        <v>26</v>
      </c>
      <c r="G259" s="6" t="s">
        <v>141</v>
      </c>
      <c r="H259" s="2" t="s">
        <v>246</v>
      </c>
      <c r="I259" s="2" t="s">
        <v>214</v>
      </c>
      <c r="J259" s="2" t="s">
        <v>19</v>
      </c>
      <c r="K259" s="2" t="s">
        <v>253</v>
      </c>
      <c r="L259" s="7" t="str">
        <f t="shared" si="7"/>
        <v xml:space="preserve">http://slimages.macys.com/is/image/MCY/10679372 </v>
      </c>
    </row>
    <row r="260" spans="1:12" ht="24.75" x14ac:dyDescent="0.25">
      <c r="A260" s="4" t="s">
        <v>8099</v>
      </c>
      <c r="B260" s="2" t="s">
        <v>1012</v>
      </c>
      <c r="C260" s="3">
        <v>2</v>
      </c>
      <c r="D260" s="5">
        <v>37.130000000000003</v>
      </c>
      <c r="E260" s="3" t="s">
        <v>1013</v>
      </c>
      <c r="F260" s="2" t="s">
        <v>26</v>
      </c>
      <c r="G260" s="6" t="s">
        <v>27</v>
      </c>
      <c r="H260" s="2" t="s">
        <v>246</v>
      </c>
      <c r="I260" s="2" t="s">
        <v>214</v>
      </c>
      <c r="J260" s="2" t="s">
        <v>19</v>
      </c>
      <c r="K260" s="2" t="s">
        <v>253</v>
      </c>
      <c r="L260" s="7" t="str">
        <f t="shared" si="7"/>
        <v xml:space="preserve">http://slimages.macys.com/is/image/MCY/10679372 </v>
      </c>
    </row>
    <row r="261" spans="1:12" ht="24.75" x14ac:dyDescent="0.25">
      <c r="A261" s="4" t="s">
        <v>2522</v>
      </c>
      <c r="B261" s="2" t="s">
        <v>1012</v>
      </c>
      <c r="C261" s="3">
        <v>3</v>
      </c>
      <c r="D261" s="5">
        <v>37.130000000000003</v>
      </c>
      <c r="E261" s="3" t="s">
        <v>1013</v>
      </c>
      <c r="F261" s="2" t="s">
        <v>26</v>
      </c>
      <c r="G261" s="6" t="s">
        <v>16</v>
      </c>
      <c r="H261" s="2" t="s">
        <v>246</v>
      </c>
      <c r="I261" s="2" t="s">
        <v>214</v>
      </c>
      <c r="J261" s="2" t="s">
        <v>19</v>
      </c>
      <c r="K261" s="2" t="s">
        <v>253</v>
      </c>
      <c r="L261" s="7" t="str">
        <f t="shared" si="7"/>
        <v xml:space="preserve">http://slimages.macys.com/is/image/MCY/10679372 </v>
      </c>
    </row>
    <row r="262" spans="1:12" ht="24.75" x14ac:dyDescent="0.25">
      <c r="A262" s="4" t="s">
        <v>1016</v>
      </c>
      <c r="B262" s="2" t="s">
        <v>1012</v>
      </c>
      <c r="C262" s="3">
        <v>1</v>
      </c>
      <c r="D262" s="5">
        <v>37.130000000000003</v>
      </c>
      <c r="E262" s="3" t="s">
        <v>1013</v>
      </c>
      <c r="F262" s="2" t="s">
        <v>494</v>
      </c>
      <c r="G262" s="6" t="s">
        <v>58</v>
      </c>
      <c r="H262" s="2" t="s">
        <v>246</v>
      </c>
      <c r="I262" s="2" t="s">
        <v>214</v>
      </c>
      <c r="J262" s="2" t="s">
        <v>19</v>
      </c>
      <c r="K262" s="2" t="s">
        <v>253</v>
      </c>
      <c r="L262" s="7" t="str">
        <f t="shared" si="7"/>
        <v xml:space="preserve">http://slimages.macys.com/is/image/MCY/10679372 </v>
      </c>
    </row>
    <row r="263" spans="1:12" ht="24.75" x14ac:dyDescent="0.25">
      <c r="A263" s="4" t="s">
        <v>1022</v>
      </c>
      <c r="B263" s="2" t="s">
        <v>1012</v>
      </c>
      <c r="C263" s="3">
        <v>2</v>
      </c>
      <c r="D263" s="5">
        <v>37.130000000000003</v>
      </c>
      <c r="E263" s="3" t="s">
        <v>1013</v>
      </c>
      <c r="F263" s="2" t="s">
        <v>494</v>
      </c>
      <c r="G263" s="6" t="s">
        <v>65</v>
      </c>
      <c r="H263" s="2" t="s">
        <v>246</v>
      </c>
      <c r="I263" s="2" t="s">
        <v>214</v>
      </c>
      <c r="J263" s="2" t="s">
        <v>19</v>
      </c>
      <c r="K263" s="2" t="s">
        <v>253</v>
      </c>
      <c r="L263" s="7" t="str">
        <f t="shared" si="7"/>
        <v xml:space="preserve">http://slimages.macys.com/is/image/MCY/10679372 </v>
      </c>
    </row>
    <row r="264" spans="1:12" ht="24.75" x14ac:dyDescent="0.25">
      <c r="A264" s="4" t="s">
        <v>1018</v>
      </c>
      <c r="B264" s="2" t="s">
        <v>1012</v>
      </c>
      <c r="C264" s="3">
        <v>1</v>
      </c>
      <c r="D264" s="5">
        <v>37.130000000000003</v>
      </c>
      <c r="E264" s="3" t="s">
        <v>1013</v>
      </c>
      <c r="F264" s="2" t="s">
        <v>494</v>
      </c>
      <c r="G264" s="6" t="s">
        <v>27</v>
      </c>
      <c r="H264" s="2" t="s">
        <v>246</v>
      </c>
      <c r="I264" s="2" t="s">
        <v>214</v>
      </c>
      <c r="J264" s="2" t="s">
        <v>19</v>
      </c>
      <c r="K264" s="2" t="s">
        <v>253</v>
      </c>
      <c r="L264" s="7" t="str">
        <f t="shared" si="7"/>
        <v xml:space="preserve">http://slimages.macys.com/is/image/MCY/10679372 </v>
      </c>
    </row>
    <row r="265" spans="1:12" ht="24.75" x14ac:dyDescent="0.25">
      <c r="A265" s="4" t="s">
        <v>7351</v>
      </c>
      <c r="B265" s="2" t="s">
        <v>1012</v>
      </c>
      <c r="C265" s="3">
        <v>1</v>
      </c>
      <c r="D265" s="5">
        <v>37.130000000000003</v>
      </c>
      <c r="E265" s="3" t="s">
        <v>1013</v>
      </c>
      <c r="F265" s="2" t="s">
        <v>26</v>
      </c>
      <c r="G265" s="6" t="s">
        <v>65</v>
      </c>
      <c r="H265" s="2" t="s">
        <v>246</v>
      </c>
      <c r="I265" s="2" t="s">
        <v>214</v>
      </c>
      <c r="J265" s="2" t="s">
        <v>19</v>
      </c>
      <c r="K265" s="2" t="s">
        <v>253</v>
      </c>
      <c r="L265" s="7" t="str">
        <f t="shared" si="7"/>
        <v xml:space="preserve">http://slimages.macys.com/is/image/MCY/10679372 </v>
      </c>
    </row>
    <row r="266" spans="1:12" ht="24.75" x14ac:dyDescent="0.25">
      <c r="A266" s="4" t="s">
        <v>1015</v>
      </c>
      <c r="B266" s="2" t="s">
        <v>1012</v>
      </c>
      <c r="C266" s="3">
        <v>2</v>
      </c>
      <c r="D266" s="5">
        <v>37.130000000000003</v>
      </c>
      <c r="E266" s="3" t="s">
        <v>1013</v>
      </c>
      <c r="F266" s="2" t="s">
        <v>494</v>
      </c>
      <c r="G266" s="6" t="s">
        <v>141</v>
      </c>
      <c r="H266" s="2" t="s">
        <v>246</v>
      </c>
      <c r="I266" s="2" t="s">
        <v>214</v>
      </c>
      <c r="J266" s="2" t="s">
        <v>19</v>
      </c>
      <c r="K266" s="2" t="s">
        <v>253</v>
      </c>
      <c r="L266" s="7" t="str">
        <f t="shared" si="7"/>
        <v xml:space="preserve">http://slimages.macys.com/is/image/MCY/10679372 </v>
      </c>
    </row>
    <row r="267" spans="1:12" ht="24.75" x14ac:dyDescent="0.25">
      <c r="A267" s="4" t="s">
        <v>2527</v>
      </c>
      <c r="B267" s="2" t="s">
        <v>1012</v>
      </c>
      <c r="C267" s="3">
        <v>2</v>
      </c>
      <c r="D267" s="5">
        <v>37.130000000000003</v>
      </c>
      <c r="E267" s="3" t="s">
        <v>1013</v>
      </c>
      <c r="F267" s="2" t="s">
        <v>64</v>
      </c>
      <c r="G267" s="6" t="s">
        <v>22</v>
      </c>
      <c r="H267" s="2" t="s">
        <v>246</v>
      </c>
      <c r="I267" s="2" t="s">
        <v>214</v>
      </c>
      <c r="J267" s="2" t="s">
        <v>19</v>
      </c>
      <c r="K267" s="2" t="s">
        <v>253</v>
      </c>
      <c r="L267" s="7" t="str">
        <f t="shared" si="7"/>
        <v xml:space="preserve">http://slimages.macys.com/is/image/MCY/10679372 </v>
      </c>
    </row>
    <row r="268" spans="1:12" ht="24.75" x14ac:dyDescent="0.25">
      <c r="A268" s="4" t="s">
        <v>3716</v>
      </c>
      <c r="B268" s="2" t="s">
        <v>1012</v>
      </c>
      <c r="C268" s="3">
        <v>3</v>
      </c>
      <c r="D268" s="5">
        <v>37.130000000000003</v>
      </c>
      <c r="E268" s="3" t="s">
        <v>1013</v>
      </c>
      <c r="F268" s="2" t="s">
        <v>26</v>
      </c>
      <c r="G268" s="6" t="s">
        <v>58</v>
      </c>
      <c r="H268" s="2" t="s">
        <v>246</v>
      </c>
      <c r="I268" s="2" t="s">
        <v>214</v>
      </c>
      <c r="J268" s="2" t="s">
        <v>19</v>
      </c>
      <c r="K268" s="2" t="s">
        <v>253</v>
      </c>
      <c r="L268" s="7" t="str">
        <f t="shared" si="7"/>
        <v xml:space="preserve">http://slimages.macys.com/is/image/MCY/10679372 </v>
      </c>
    </row>
    <row r="269" spans="1:12" ht="24.75" x14ac:dyDescent="0.25">
      <c r="A269" s="4" t="s">
        <v>10131</v>
      </c>
      <c r="B269" s="2" t="s">
        <v>1012</v>
      </c>
      <c r="C269" s="3">
        <v>2</v>
      </c>
      <c r="D269" s="5">
        <v>37.130000000000003</v>
      </c>
      <c r="E269" s="3" t="s">
        <v>1013</v>
      </c>
      <c r="F269" s="2" t="s">
        <v>26</v>
      </c>
      <c r="G269" s="6" t="s">
        <v>22</v>
      </c>
      <c r="H269" s="2" t="s">
        <v>246</v>
      </c>
      <c r="I269" s="2" t="s">
        <v>214</v>
      </c>
      <c r="J269" s="2" t="s">
        <v>19</v>
      </c>
      <c r="K269" s="2" t="s">
        <v>253</v>
      </c>
      <c r="L269" s="7" t="str">
        <f t="shared" si="7"/>
        <v xml:space="preserve">http://slimages.macys.com/is/image/MCY/10679372 </v>
      </c>
    </row>
    <row r="270" spans="1:12" ht="24.75" x14ac:dyDescent="0.25">
      <c r="A270" s="4" t="s">
        <v>9050</v>
      </c>
      <c r="B270" s="2" t="s">
        <v>1012</v>
      </c>
      <c r="C270" s="3">
        <v>4</v>
      </c>
      <c r="D270" s="5">
        <v>37.130000000000003</v>
      </c>
      <c r="E270" s="3" t="s">
        <v>1013</v>
      </c>
      <c r="F270" s="2" t="s">
        <v>26</v>
      </c>
      <c r="G270" s="6" t="s">
        <v>106</v>
      </c>
      <c r="H270" s="2" t="s">
        <v>246</v>
      </c>
      <c r="I270" s="2" t="s">
        <v>214</v>
      </c>
      <c r="J270" s="2" t="s">
        <v>19</v>
      </c>
      <c r="K270" s="2" t="s">
        <v>253</v>
      </c>
      <c r="L270" s="7" t="str">
        <f t="shared" si="7"/>
        <v xml:space="preserve">http://slimages.macys.com/is/image/MCY/10679372 </v>
      </c>
    </row>
    <row r="271" spans="1:12" ht="24.75" x14ac:dyDescent="0.25">
      <c r="A271" s="4" t="s">
        <v>1011</v>
      </c>
      <c r="B271" s="2" t="s">
        <v>1012</v>
      </c>
      <c r="C271" s="3">
        <v>2</v>
      </c>
      <c r="D271" s="5">
        <v>37.130000000000003</v>
      </c>
      <c r="E271" s="3" t="s">
        <v>1013</v>
      </c>
      <c r="F271" s="2" t="s">
        <v>64</v>
      </c>
      <c r="G271" s="6" t="s">
        <v>106</v>
      </c>
      <c r="H271" s="2" t="s">
        <v>246</v>
      </c>
      <c r="I271" s="2" t="s">
        <v>214</v>
      </c>
      <c r="J271" s="2" t="s">
        <v>19</v>
      </c>
      <c r="K271" s="2" t="s">
        <v>253</v>
      </c>
      <c r="L271" s="7" t="str">
        <f t="shared" si="7"/>
        <v xml:space="preserve">http://slimages.macys.com/is/image/MCY/10679372 </v>
      </c>
    </row>
    <row r="272" spans="1:12" ht="24.75" x14ac:dyDescent="0.25">
      <c r="A272" s="4" t="s">
        <v>7345</v>
      </c>
      <c r="B272" s="2" t="s">
        <v>1012</v>
      </c>
      <c r="C272" s="3">
        <v>1</v>
      </c>
      <c r="D272" s="5">
        <v>37.130000000000003</v>
      </c>
      <c r="E272" s="3" t="s">
        <v>1013</v>
      </c>
      <c r="F272" s="2" t="s">
        <v>64</v>
      </c>
      <c r="G272" s="6" t="s">
        <v>141</v>
      </c>
      <c r="H272" s="2" t="s">
        <v>246</v>
      </c>
      <c r="I272" s="2" t="s">
        <v>214</v>
      </c>
      <c r="J272" s="2" t="s">
        <v>19</v>
      </c>
      <c r="K272" s="2" t="s">
        <v>253</v>
      </c>
      <c r="L272" s="7" t="str">
        <f t="shared" si="7"/>
        <v xml:space="preserve">http://slimages.macys.com/is/image/MCY/10679372 </v>
      </c>
    </row>
    <row r="273" spans="1:12" ht="24.75" x14ac:dyDescent="0.25">
      <c r="A273" s="4" t="s">
        <v>3719</v>
      </c>
      <c r="B273" s="2" t="s">
        <v>2530</v>
      </c>
      <c r="C273" s="3">
        <v>1</v>
      </c>
      <c r="D273" s="5">
        <v>34.5</v>
      </c>
      <c r="E273" s="3">
        <v>100054339</v>
      </c>
      <c r="F273" s="2" t="s">
        <v>26</v>
      </c>
      <c r="G273" s="6" t="s">
        <v>156</v>
      </c>
      <c r="H273" s="2" t="s">
        <v>228</v>
      </c>
      <c r="I273" s="2" t="s">
        <v>857</v>
      </c>
      <c r="J273" s="2" t="s">
        <v>19</v>
      </c>
      <c r="K273" s="2" t="s">
        <v>338</v>
      </c>
      <c r="L273" s="7" t="str">
        <f>HYPERLINK("http://slimages.macys.com/is/image/MCY/12144139 ")</f>
        <v xml:space="preserve">http://slimages.macys.com/is/image/MCY/12144139 </v>
      </c>
    </row>
    <row r="274" spans="1:12" ht="24.75" x14ac:dyDescent="0.25">
      <c r="A274" s="4" t="s">
        <v>10132</v>
      </c>
      <c r="B274" s="2" t="s">
        <v>10133</v>
      </c>
      <c r="C274" s="3">
        <v>1</v>
      </c>
      <c r="D274" s="5">
        <v>37.130000000000003</v>
      </c>
      <c r="E274" s="3" t="s">
        <v>10134</v>
      </c>
      <c r="F274" s="2" t="s">
        <v>170</v>
      </c>
      <c r="G274" s="6" t="s">
        <v>187</v>
      </c>
      <c r="H274" s="2" t="s">
        <v>188</v>
      </c>
      <c r="I274" s="2" t="s">
        <v>189</v>
      </c>
      <c r="J274" s="2" t="s">
        <v>19</v>
      </c>
      <c r="K274" s="2" t="s">
        <v>160</v>
      </c>
      <c r="L274" s="7" t="str">
        <f>HYPERLINK("http://slimages.macys.com/is/image/MCY/11831369 ")</f>
        <v xml:space="preserve">http://slimages.macys.com/is/image/MCY/11831369 </v>
      </c>
    </row>
    <row r="275" spans="1:12" ht="24.75" x14ac:dyDescent="0.25">
      <c r="A275" s="4" t="s">
        <v>6529</v>
      </c>
      <c r="B275" s="2" t="s">
        <v>1002</v>
      </c>
      <c r="C275" s="3">
        <v>1</v>
      </c>
      <c r="D275" s="5">
        <v>44.63</v>
      </c>
      <c r="E275" s="3">
        <v>100015592</v>
      </c>
      <c r="F275" s="2" t="s">
        <v>74</v>
      </c>
      <c r="G275" s="6" t="s">
        <v>181</v>
      </c>
      <c r="H275" s="2" t="s">
        <v>194</v>
      </c>
      <c r="I275" s="2" t="s">
        <v>195</v>
      </c>
      <c r="J275" s="2" t="s">
        <v>19</v>
      </c>
      <c r="K275" s="2" t="s">
        <v>137</v>
      </c>
      <c r="L275" s="7" t="str">
        <f>HYPERLINK("http://slimages.macys.com/is/image/MCY/9653304 ")</f>
        <v xml:space="preserve">http://slimages.macys.com/is/image/MCY/9653304 </v>
      </c>
    </row>
    <row r="276" spans="1:12" ht="24.75" x14ac:dyDescent="0.25">
      <c r="A276" s="4" t="s">
        <v>4792</v>
      </c>
      <c r="B276" s="2" t="s">
        <v>1028</v>
      </c>
      <c r="C276" s="3">
        <v>1</v>
      </c>
      <c r="D276" s="5">
        <v>37.130000000000003</v>
      </c>
      <c r="E276" s="3" t="s">
        <v>2532</v>
      </c>
      <c r="F276" s="2" t="s">
        <v>26</v>
      </c>
      <c r="G276" s="6"/>
      <c r="H276" s="2" t="s">
        <v>632</v>
      </c>
      <c r="I276" s="2" t="s">
        <v>408</v>
      </c>
      <c r="J276" s="2" t="s">
        <v>19</v>
      </c>
      <c r="K276" s="2" t="s">
        <v>409</v>
      </c>
      <c r="L276" s="7" t="str">
        <f>HYPERLINK("http://slimages.macys.com/is/image/MCY/8191312 ")</f>
        <v xml:space="preserve">http://slimages.macys.com/is/image/MCY/8191312 </v>
      </c>
    </row>
    <row r="277" spans="1:12" ht="24.75" x14ac:dyDescent="0.25">
      <c r="A277" s="4" t="s">
        <v>10135</v>
      </c>
      <c r="B277" s="2" t="s">
        <v>10136</v>
      </c>
      <c r="C277" s="3">
        <v>1</v>
      </c>
      <c r="D277" s="5">
        <v>34.880000000000003</v>
      </c>
      <c r="E277" s="3">
        <v>100052330</v>
      </c>
      <c r="F277" s="2" t="s">
        <v>15</v>
      </c>
      <c r="G277" s="6" t="s">
        <v>141</v>
      </c>
      <c r="H277" s="2" t="s">
        <v>194</v>
      </c>
      <c r="I277" s="2" t="s">
        <v>195</v>
      </c>
      <c r="J277" s="2" t="s">
        <v>19</v>
      </c>
      <c r="K277" s="2" t="s">
        <v>353</v>
      </c>
      <c r="L277" s="7" t="str">
        <f>HYPERLINK("http://slimages.macys.com/is/image/MCY/9325309 ")</f>
        <v xml:space="preserve">http://slimages.macys.com/is/image/MCY/9325309 </v>
      </c>
    </row>
    <row r="278" spans="1:12" ht="24.75" x14ac:dyDescent="0.25">
      <c r="A278" s="4" t="s">
        <v>4798</v>
      </c>
      <c r="B278" s="2" t="s">
        <v>1047</v>
      </c>
      <c r="C278" s="3">
        <v>2</v>
      </c>
      <c r="D278" s="5">
        <v>34.880000000000003</v>
      </c>
      <c r="E278" s="3">
        <v>100009312</v>
      </c>
      <c r="F278" s="2" t="s">
        <v>506</v>
      </c>
      <c r="G278" s="6" t="s">
        <v>181</v>
      </c>
      <c r="H278" s="2" t="s">
        <v>194</v>
      </c>
      <c r="I278" s="2" t="s">
        <v>195</v>
      </c>
      <c r="J278" s="2" t="s">
        <v>19</v>
      </c>
      <c r="K278" s="2" t="s">
        <v>353</v>
      </c>
      <c r="L278" s="7" t="str">
        <f>HYPERLINK("http://slimages.macys.com/is/image/MCY/9603701 ")</f>
        <v xml:space="preserve">http://slimages.macys.com/is/image/MCY/9603701 </v>
      </c>
    </row>
    <row r="279" spans="1:12" ht="24.75" x14ac:dyDescent="0.25">
      <c r="A279" s="4" t="s">
        <v>4799</v>
      </c>
      <c r="B279" s="2" t="s">
        <v>1047</v>
      </c>
      <c r="C279" s="3">
        <v>1</v>
      </c>
      <c r="D279" s="5">
        <v>34.880000000000003</v>
      </c>
      <c r="E279" s="3">
        <v>100009312</v>
      </c>
      <c r="F279" s="2" t="s">
        <v>506</v>
      </c>
      <c r="G279" s="6" t="s">
        <v>154</v>
      </c>
      <c r="H279" s="2" t="s">
        <v>194</v>
      </c>
      <c r="I279" s="2" t="s">
        <v>195</v>
      </c>
      <c r="J279" s="2" t="s">
        <v>19</v>
      </c>
      <c r="K279" s="2" t="s">
        <v>353</v>
      </c>
      <c r="L279" s="7" t="str">
        <f>HYPERLINK("http://slimages.macys.com/is/image/MCY/9603701 ")</f>
        <v xml:space="preserve">http://slimages.macys.com/is/image/MCY/9603701 </v>
      </c>
    </row>
    <row r="280" spans="1:12" ht="24.75" x14ac:dyDescent="0.25">
      <c r="A280" s="4" t="s">
        <v>2552</v>
      </c>
      <c r="B280" s="2" t="s">
        <v>2553</v>
      </c>
      <c r="C280" s="3">
        <v>2</v>
      </c>
      <c r="D280" s="5">
        <v>34.880000000000003</v>
      </c>
      <c r="E280" s="3">
        <v>100054401</v>
      </c>
      <c r="F280" s="2" t="s">
        <v>579</v>
      </c>
      <c r="G280" s="6" t="s">
        <v>16</v>
      </c>
      <c r="H280" s="2" t="s">
        <v>194</v>
      </c>
      <c r="I280" s="2" t="s">
        <v>195</v>
      </c>
      <c r="J280" s="2" t="s">
        <v>19</v>
      </c>
      <c r="K280" s="2" t="s">
        <v>353</v>
      </c>
      <c r="L280" s="7" t="str">
        <f>HYPERLINK("http://slimages.macys.com/is/image/MCY/12279828 ")</f>
        <v xml:space="preserve">http://slimages.macys.com/is/image/MCY/12279828 </v>
      </c>
    </row>
    <row r="281" spans="1:12" ht="24.75" x14ac:dyDescent="0.25">
      <c r="A281" s="4" t="s">
        <v>4813</v>
      </c>
      <c r="B281" s="2" t="s">
        <v>1069</v>
      </c>
      <c r="C281" s="3">
        <v>1</v>
      </c>
      <c r="D281" s="5">
        <v>34.5</v>
      </c>
      <c r="E281" s="3">
        <v>100050028</v>
      </c>
      <c r="F281" s="2" t="s">
        <v>180</v>
      </c>
      <c r="G281" s="6" t="s">
        <v>16</v>
      </c>
      <c r="H281" s="2" t="s">
        <v>228</v>
      </c>
      <c r="I281" s="2" t="s">
        <v>229</v>
      </c>
      <c r="J281" s="2" t="s">
        <v>19</v>
      </c>
      <c r="K281" s="2" t="s">
        <v>353</v>
      </c>
      <c r="L281" s="7" t="str">
        <f>HYPERLINK("http://slimages.macys.com/is/image/MCY/11527150 ")</f>
        <v xml:space="preserve">http://slimages.macys.com/is/image/MCY/11527150 </v>
      </c>
    </row>
    <row r="282" spans="1:12" ht="24.75" x14ac:dyDescent="0.25">
      <c r="A282" s="4" t="s">
        <v>7364</v>
      </c>
      <c r="B282" s="2" t="s">
        <v>898</v>
      </c>
      <c r="C282" s="3">
        <v>1</v>
      </c>
      <c r="D282" s="5">
        <v>37.130000000000003</v>
      </c>
      <c r="E282" s="3">
        <v>100009193</v>
      </c>
      <c r="F282" s="2" t="s">
        <v>26</v>
      </c>
      <c r="G282" s="6" t="s">
        <v>27</v>
      </c>
      <c r="H282" s="2" t="s">
        <v>194</v>
      </c>
      <c r="I282" s="2" t="s">
        <v>503</v>
      </c>
      <c r="J282" s="2" t="s">
        <v>19</v>
      </c>
      <c r="K282" s="2" t="s">
        <v>353</v>
      </c>
      <c r="L282" s="7" t="str">
        <f t="shared" ref="L282:L287" si="8">HYPERLINK("http://slimages.macys.com/is/image/MCY/11804644 ")</f>
        <v xml:space="preserve">http://slimages.macys.com/is/image/MCY/11804644 </v>
      </c>
    </row>
    <row r="283" spans="1:12" ht="24.75" x14ac:dyDescent="0.25">
      <c r="A283" s="4" t="s">
        <v>5744</v>
      </c>
      <c r="B283" s="2" t="s">
        <v>898</v>
      </c>
      <c r="C283" s="3">
        <v>2</v>
      </c>
      <c r="D283" s="5">
        <v>37.130000000000003</v>
      </c>
      <c r="E283" s="3">
        <v>100009193</v>
      </c>
      <c r="F283" s="2" t="s">
        <v>15</v>
      </c>
      <c r="G283" s="6" t="s">
        <v>22</v>
      </c>
      <c r="H283" s="2" t="s">
        <v>194</v>
      </c>
      <c r="I283" s="2" t="s">
        <v>503</v>
      </c>
      <c r="J283" s="2" t="s">
        <v>19</v>
      </c>
      <c r="K283" s="2" t="s">
        <v>353</v>
      </c>
      <c r="L283" s="7" t="str">
        <f t="shared" si="8"/>
        <v xml:space="preserve">http://slimages.macys.com/is/image/MCY/11804644 </v>
      </c>
    </row>
    <row r="284" spans="1:12" ht="24.75" x14ac:dyDescent="0.25">
      <c r="A284" s="4" t="s">
        <v>7365</v>
      </c>
      <c r="B284" s="2" t="s">
        <v>898</v>
      </c>
      <c r="C284" s="3">
        <v>2</v>
      </c>
      <c r="D284" s="5">
        <v>37.130000000000003</v>
      </c>
      <c r="E284" s="3">
        <v>100009193</v>
      </c>
      <c r="F284" s="2" t="s">
        <v>26</v>
      </c>
      <c r="G284" s="6" t="s">
        <v>16</v>
      </c>
      <c r="H284" s="2" t="s">
        <v>194</v>
      </c>
      <c r="I284" s="2" t="s">
        <v>503</v>
      </c>
      <c r="J284" s="2" t="s">
        <v>19</v>
      </c>
      <c r="K284" s="2" t="s">
        <v>353</v>
      </c>
      <c r="L284" s="7" t="str">
        <f t="shared" si="8"/>
        <v xml:space="preserve">http://slimages.macys.com/is/image/MCY/11804644 </v>
      </c>
    </row>
    <row r="285" spans="1:12" ht="24.75" x14ac:dyDescent="0.25">
      <c r="A285" s="4" t="s">
        <v>5739</v>
      </c>
      <c r="B285" s="2" t="s">
        <v>898</v>
      </c>
      <c r="C285" s="3">
        <v>1</v>
      </c>
      <c r="D285" s="5">
        <v>37.130000000000003</v>
      </c>
      <c r="E285" s="3">
        <v>100009193</v>
      </c>
      <c r="F285" s="2" t="s">
        <v>506</v>
      </c>
      <c r="G285" s="6" t="s">
        <v>65</v>
      </c>
      <c r="H285" s="2" t="s">
        <v>194</v>
      </c>
      <c r="I285" s="2" t="s">
        <v>503</v>
      </c>
      <c r="J285" s="2" t="s">
        <v>19</v>
      </c>
      <c r="K285" s="2" t="s">
        <v>353</v>
      </c>
      <c r="L285" s="7" t="str">
        <f t="shared" si="8"/>
        <v xml:space="preserve">http://slimages.macys.com/is/image/MCY/11804644 </v>
      </c>
    </row>
    <row r="286" spans="1:12" ht="24.75" x14ac:dyDescent="0.25">
      <c r="A286" s="4" t="s">
        <v>10137</v>
      </c>
      <c r="B286" s="2" t="s">
        <v>898</v>
      </c>
      <c r="C286" s="3">
        <v>1</v>
      </c>
      <c r="D286" s="5">
        <v>37.130000000000003</v>
      </c>
      <c r="E286" s="3">
        <v>100009193</v>
      </c>
      <c r="F286" s="2" t="s">
        <v>26</v>
      </c>
      <c r="G286" s="6" t="s">
        <v>106</v>
      </c>
      <c r="H286" s="2" t="s">
        <v>194</v>
      </c>
      <c r="I286" s="2" t="s">
        <v>503</v>
      </c>
      <c r="J286" s="2" t="s">
        <v>19</v>
      </c>
      <c r="K286" s="2" t="s">
        <v>353</v>
      </c>
      <c r="L286" s="7" t="str">
        <f t="shared" si="8"/>
        <v xml:space="preserve">http://slimages.macys.com/is/image/MCY/11804644 </v>
      </c>
    </row>
    <row r="287" spans="1:12" ht="24.75" x14ac:dyDescent="0.25">
      <c r="A287" s="4" t="s">
        <v>5740</v>
      </c>
      <c r="B287" s="2" t="s">
        <v>898</v>
      </c>
      <c r="C287" s="3">
        <v>1</v>
      </c>
      <c r="D287" s="5">
        <v>37.130000000000003</v>
      </c>
      <c r="E287" s="3">
        <v>100009193</v>
      </c>
      <c r="F287" s="2" t="s">
        <v>26</v>
      </c>
      <c r="G287" s="6" t="s">
        <v>112</v>
      </c>
      <c r="H287" s="2" t="s">
        <v>194</v>
      </c>
      <c r="I287" s="2" t="s">
        <v>503</v>
      </c>
      <c r="J287" s="2" t="s">
        <v>19</v>
      </c>
      <c r="K287" s="2" t="s">
        <v>353</v>
      </c>
      <c r="L287" s="7" t="str">
        <f t="shared" si="8"/>
        <v xml:space="preserve">http://slimages.macys.com/is/image/MCY/11804644 </v>
      </c>
    </row>
    <row r="288" spans="1:12" ht="24.75" x14ac:dyDescent="0.25">
      <c r="A288" s="4" t="s">
        <v>10138</v>
      </c>
      <c r="B288" s="2" t="s">
        <v>9059</v>
      </c>
      <c r="C288" s="3">
        <v>1</v>
      </c>
      <c r="D288" s="5">
        <v>54.5</v>
      </c>
      <c r="E288" s="3">
        <v>100056426</v>
      </c>
      <c r="F288" s="2" t="s">
        <v>64</v>
      </c>
      <c r="G288" s="6" t="s">
        <v>112</v>
      </c>
      <c r="H288" s="2" t="s">
        <v>386</v>
      </c>
      <c r="I288" s="2" t="s">
        <v>207</v>
      </c>
      <c r="J288" s="2" t="s">
        <v>19</v>
      </c>
      <c r="K288" s="2" t="s">
        <v>338</v>
      </c>
      <c r="L288" s="7" t="str">
        <f>HYPERLINK("http://slimages.macys.com/is/image/MCY/11950570 ")</f>
        <v xml:space="preserve">http://slimages.macys.com/is/image/MCY/11950570 </v>
      </c>
    </row>
    <row r="289" spans="1:12" ht="24.75" x14ac:dyDescent="0.25">
      <c r="A289" s="4" t="s">
        <v>10139</v>
      </c>
      <c r="B289" s="2" t="s">
        <v>2542</v>
      </c>
      <c r="C289" s="3">
        <v>1</v>
      </c>
      <c r="D289" s="5">
        <v>59.5</v>
      </c>
      <c r="E289" s="3">
        <v>100061924</v>
      </c>
      <c r="F289" s="2" t="s">
        <v>64</v>
      </c>
      <c r="G289" s="6" t="s">
        <v>106</v>
      </c>
      <c r="H289" s="2" t="s">
        <v>386</v>
      </c>
      <c r="I289" s="2" t="s">
        <v>207</v>
      </c>
      <c r="J289" s="2" t="s">
        <v>19</v>
      </c>
      <c r="K289" s="2" t="s">
        <v>1251</v>
      </c>
      <c r="L289" s="7" t="str">
        <f>HYPERLINK("http://slimages.macys.com/is/image/MCY/11963036 ")</f>
        <v xml:space="preserve">http://slimages.macys.com/is/image/MCY/11963036 </v>
      </c>
    </row>
    <row r="290" spans="1:12" ht="24.75" x14ac:dyDescent="0.25">
      <c r="A290" s="4" t="s">
        <v>10140</v>
      </c>
      <c r="B290" s="2" t="s">
        <v>3740</v>
      </c>
      <c r="C290" s="3">
        <v>1</v>
      </c>
      <c r="D290" s="5">
        <v>39.5</v>
      </c>
      <c r="E290" s="3" t="s">
        <v>3741</v>
      </c>
      <c r="F290" s="2" t="s">
        <v>111</v>
      </c>
      <c r="G290" s="6"/>
      <c r="H290" s="2" t="s">
        <v>312</v>
      </c>
      <c r="I290" s="2" t="s">
        <v>195</v>
      </c>
      <c r="J290" s="2" t="s">
        <v>19</v>
      </c>
      <c r="K290" s="2" t="s">
        <v>34</v>
      </c>
      <c r="L290" s="7" t="str">
        <f>HYPERLINK("http://slimages.macys.com/is/image/MCY/10483906 ")</f>
        <v xml:space="preserve">http://slimages.macys.com/is/image/MCY/10483906 </v>
      </c>
    </row>
    <row r="291" spans="1:12" x14ac:dyDescent="0.25">
      <c r="A291" s="4" t="s">
        <v>10141</v>
      </c>
      <c r="B291" s="2" t="s">
        <v>10142</v>
      </c>
      <c r="C291" s="3">
        <v>1</v>
      </c>
      <c r="D291" s="5">
        <v>49.5</v>
      </c>
      <c r="E291" s="3" t="s">
        <v>10143</v>
      </c>
      <c r="F291" s="2" t="s">
        <v>74</v>
      </c>
      <c r="G291" s="6"/>
      <c r="H291" s="2" t="s">
        <v>206</v>
      </c>
      <c r="I291" s="2" t="s">
        <v>207</v>
      </c>
      <c r="J291" s="2" t="s">
        <v>19</v>
      </c>
      <c r="K291" s="2" t="s">
        <v>160</v>
      </c>
      <c r="L291" s="7" t="str">
        <f>HYPERLINK("http://slimages.macys.com/is/image/MCY/14021868 ")</f>
        <v xml:space="preserve">http://slimages.macys.com/is/image/MCY/14021868 </v>
      </c>
    </row>
    <row r="292" spans="1:12" ht="24.75" x14ac:dyDescent="0.25">
      <c r="A292" s="4" t="s">
        <v>10144</v>
      </c>
      <c r="B292" s="2" t="s">
        <v>10145</v>
      </c>
      <c r="C292" s="3">
        <v>2</v>
      </c>
      <c r="D292" s="5">
        <v>37.130000000000003</v>
      </c>
      <c r="E292" s="3" t="s">
        <v>10146</v>
      </c>
      <c r="F292" s="2" t="s">
        <v>38</v>
      </c>
      <c r="G292" s="6" t="s">
        <v>234</v>
      </c>
      <c r="H292" s="2" t="s">
        <v>194</v>
      </c>
      <c r="I292" s="2" t="s">
        <v>195</v>
      </c>
      <c r="J292" s="2" t="s">
        <v>19</v>
      </c>
      <c r="K292" s="2" t="s">
        <v>10147</v>
      </c>
      <c r="L292" s="7" t="str">
        <f>HYPERLINK("http://slimages.macys.com/is/image/MCY/10484957 ")</f>
        <v xml:space="preserve">http://slimages.macys.com/is/image/MCY/10484957 </v>
      </c>
    </row>
    <row r="293" spans="1:12" x14ac:dyDescent="0.25">
      <c r="A293" s="4" t="s">
        <v>10148</v>
      </c>
      <c r="B293" s="2" t="s">
        <v>10142</v>
      </c>
      <c r="C293" s="3">
        <v>1</v>
      </c>
      <c r="D293" s="5">
        <v>49.5</v>
      </c>
      <c r="E293" s="3" t="s">
        <v>10143</v>
      </c>
      <c r="F293" s="2" t="s">
        <v>74</v>
      </c>
      <c r="G293" s="6"/>
      <c r="H293" s="2" t="s">
        <v>206</v>
      </c>
      <c r="I293" s="2" t="s">
        <v>207</v>
      </c>
      <c r="J293" s="2" t="s">
        <v>19</v>
      </c>
      <c r="K293" s="2" t="s">
        <v>160</v>
      </c>
      <c r="L293" s="7" t="str">
        <f>HYPERLINK("http://slimages.macys.com/is/image/MCY/14021868 ")</f>
        <v xml:space="preserve">http://slimages.macys.com/is/image/MCY/14021868 </v>
      </c>
    </row>
    <row r="294" spans="1:12" ht="24.75" x14ac:dyDescent="0.25">
      <c r="A294" s="4" t="s">
        <v>2573</v>
      </c>
      <c r="B294" s="2" t="s">
        <v>1106</v>
      </c>
      <c r="C294" s="3">
        <v>1</v>
      </c>
      <c r="D294" s="5">
        <v>32.5</v>
      </c>
      <c r="E294" s="3" t="s">
        <v>1107</v>
      </c>
      <c r="F294" s="2" t="s">
        <v>15</v>
      </c>
      <c r="G294" s="6" t="s">
        <v>234</v>
      </c>
      <c r="H294" s="2" t="s">
        <v>194</v>
      </c>
      <c r="I294" s="2" t="s">
        <v>195</v>
      </c>
      <c r="J294" s="2" t="s">
        <v>19</v>
      </c>
      <c r="K294" s="2" t="s">
        <v>1108</v>
      </c>
      <c r="L294" s="7" t="str">
        <f>HYPERLINK("http://slimages.macys.com/is/image/MCY/11764459 ")</f>
        <v xml:space="preserve">http://slimages.macys.com/is/image/MCY/11764459 </v>
      </c>
    </row>
    <row r="295" spans="1:12" ht="24.75" x14ac:dyDescent="0.25">
      <c r="A295" s="4" t="s">
        <v>2578</v>
      </c>
      <c r="B295" s="2" t="s">
        <v>1114</v>
      </c>
      <c r="C295" s="3">
        <v>1</v>
      </c>
      <c r="D295" s="5">
        <v>37.130000000000003</v>
      </c>
      <c r="E295" s="3">
        <v>100042369</v>
      </c>
      <c r="F295" s="2" t="s">
        <v>64</v>
      </c>
      <c r="G295" s="6" t="s">
        <v>58</v>
      </c>
      <c r="H295" s="2" t="s">
        <v>194</v>
      </c>
      <c r="I295" s="2" t="s">
        <v>195</v>
      </c>
      <c r="J295" s="2"/>
      <c r="K295" s="2"/>
      <c r="L295" s="7" t="str">
        <f>HYPERLINK("http://slimages.macys.com/is/image/MCY/11934939 ")</f>
        <v xml:space="preserve">http://slimages.macys.com/is/image/MCY/11934939 </v>
      </c>
    </row>
    <row r="296" spans="1:12" ht="24.75" x14ac:dyDescent="0.25">
      <c r="A296" s="4" t="s">
        <v>1120</v>
      </c>
      <c r="B296" s="2" t="s">
        <v>1118</v>
      </c>
      <c r="C296" s="3">
        <v>1</v>
      </c>
      <c r="D296" s="5">
        <v>37.130000000000003</v>
      </c>
      <c r="E296" s="3">
        <v>100070736</v>
      </c>
      <c r="F296" s="2" t="s">
        <v>376</v>
      </c>
      <c r="G296" s="6" t="s">
        <v>154</v>
      </c>
      <c r="H296" s="2" t="s">
        <v>194</v>
      </c>
      <c r="I296" s="2" t="s">
        <v>195</v>
      </c>
      <c r="J296" s="2" t="s">
        <v>19</v>
      </c>
      <c r="K296" s="2" t="s">
        <v>353</v>
      </c>
      <c r="L296" s="7" t="str">
        <f>HYPERLINK("http://slimages.macys.com/is/image/MCY/13120823 ")</f>
        <v xml:space="preserve">http://slimages.macys.com/is/image/MCY/13120823 </v>
      </c>
    </row>
    <row r="297" spans="1:12" ht="24.75" x14ac:dyDescent="0.25">
      <c r="A297" s="4" t="s">
        <v>1122</v>
      </c>
      <c r="B297" s="2" t="s">
        <v>1118</v>
      </c>
      <c r="C297" s="3">
        <v>1</v>
      </c>
      <c r="D297" s="5">
        <v>37.130000000000003</v>
      </c>
      <c r="E297" s="3">
        <v>100070736</v>
      </c>
      <c r="F297" s="2" t="s">
        <v>376</v>
      </c>
      <c r="G297" s="6" t="s">
        <v>181</v>
      </c>
      <c r="H297" s="2" t="s">
        <v>194</v>
      </c>
      <c r="I297" s="2" t="s">
        <v>195</v>
      </c>
      <c r="J297" s="2" t="s">
        <v>19</v>
      </c>
      <c r="K297" s="2" t="s">
        <v>353</v>
      </c>
      <c r="L297" s="7" t="str">
        <f>HYPERLINK("http://slimages.macys.com/is/image/MCY/13120823 ")</f>
        <v xml:space="preserve">http://slimages.macys.com/is/image/MCY/13120823 </v>
      </c>
    </row>
    <row r="298" spans="1:12" ht="24.75" x14ac:dyDescent="0.25">
      <c r="A298" s="4" t="s">
        <v>10149</v>
      </c>
      <c r="B298" s="2" t="s">
        <v>3793</v>
      </c>
      <c r="C298" s="3">
        <v>1</v>
      </c>
      <c r="D298" s="5">
        <v>65</v>
      </c>
      <c r="E298" s="3" t="s">
        <v>8643</v>
      </c>
      <c r="F298" s="2" t="s">
        <v>74</v>
      </c>
      <c r="G298" s="6"/>
      <c r="H298" s="2" t="s">
        <v>447</v>
      </c>
      <c r="I298" s="2" t="s">
        <v>792</v>
      </c>
      <c r="J298" s="2" t="s">
        <v>19</v>
      </c>
      <c r="K298" s="2" t="s">
        <v>160</v>
      </c>
      <c r="L298" s="7" t="str">
        <f>HYPERLINK("http://slimages.macys.com/is/image/MCY/14532449 ")</f>
        <v xml:space="preserve">http://slimages.macys.com/is/image/MCY/14532449 </v>
      </c>
    </row>
    <row r="299" spans="1:12" ht="24.75" x14ac:dyDescent="0.25">
      <c r="A299" s="4" t="s">
        <v>10150</v>
      </c>
      <c r="B299" s="2" t="s">
        <v>3793</v>
      </c>
      <c r="C299" s="3">
        <v>1</v>
      </c>
      <c r="D299" s="5">
        <v>65</v>
      </c>
      <c r="E299" s="3" t="s">
        <v>8643</v>
      </c>
      <c r="F299" s="2" t="s">
        <v>74</v>
      </c>
      <c r="G299" s="6" t="s">
        <v>794</v>
      </c>
      <c r="H299" s="2" t="s">
        <v>447</v>
      </c>
      <c r="I299" s="2" t="s">
        <v>792</v>
      </c>
      <c r="J299" s="2" t="s">
        <v>19</v>
      </c>
      <c r="K299" s="2" t="s">
        <v>160</v>
      </c>
      <c r="L299" s="7" t="str">
        <f>HYPERLINK("http://slimages.macys.com/is/image/MCY/14532449 ")</f>
        <v xml:space="preserve">http://slimages.macys.com/is/image/MCY/14532449 </v>
      </c>
    </row>
    <row r="300" spans="1:12" ht="24.75" x14ac:dyDescent="0.25">
      <c r="A300" s="4" t="s">
        <v>2583</v>
      </c>
      <c r="B300" s="2" t="s">
        <v>890</v>
      </c>
      <c r="C300" s="3">
        <v>1</v>
      </c>
      <c r="D300" s="5">
        <v>34.5</v>
      </c>
      <c r="E300" s="3" t="s">
        <v>1136</v>
      </c>
      <c r="F300" s="2" t="s">
        <v>252</v>
      </c>
      <c r="G300" s="6" t="s">
        <v>27</v>
      </c>
      <c r="H300" s="2" t="s">
        <v>228</v>
      </c>
      <c r="I300" s="2" t="s">
        <v>863</v>
      </c>
      <c r="J300" s="2" t="s">
        <v>19</v>
      </c>
      <c r="K300" s="2" t="s">
        <v>253</v>
      </c>
      <c r="L300" s="7" t="str">
        <f>HYPERLINK("http://slimages.macys.com/is/image/MCY/11804239 ")</f>
        <v xml:space="preserve">http://slimages.macys.com/is/image/MCY/11804239 </v>
      </c>
    </row>
    <row r="301" spans="1:12" ht="24.75" x14ac:dyDescent="0.25">
      <c r="A301" s="4" t="s">
        <v>3765</v>
      </c>
      <c r="B301" s="2" t="s">
        <v>1147</v>
      </c>
      <c r="C301" s="3">
        <v>1</v>
      </c>
      <c r="D301" s="5">
        <v>34.880000000000003</v>
      </c>
      <c r="E301" s="3">
        <v>100055540</v>
      </c>
      <c r="F301" s="2" t="s">
        <v>70</v>
      </c>
      <c r="G301" s="6" t="s">
        <v>106</v>
      </c>
      <c r="H301" s="2" t="s">
        <v>194</v>
      </c>
      <c r="I301" s="2" t="s">
        <v>195</v>
      </c>
      <c r="J301" s="2" t="s">
        <v>19</v>
      </c>
      <c r="K301" s="2" t="s">
        <v>353</v>
      </c>
      <c r="L301" s="7" t="str">
        <f>HYPERLINK("http://slimages.macys.com/is/image/MCY/12035336 ")</f>
        <v xml:space="preserve">http://slimages.macys.com/is/image/MCY/12035336 </v>
      </c>
    </row>
    <row r="302" spans="1:12" ht="24.75" x14ac:dyDescent="0.25">
      <c r="A302" s="4" t="s">
        <v>10151</v>
      </c>
      <c r="B302" s="2" t="s">
        <v>1147</v>
      </c>
      <c r="C302" s="3">
        <v>1</v>
      </c>
      <c r="D302" s="5">
        <v>34.880000000000003</v>
      </c>
      <c r="E302" s="3">
        <v>100055540</v>
      </c>
      <c r="F302" s="2" t="s">
        <v>70</v>
      </c>
      <c r="G302" s="6" t="s">
        <v>65</v>
      </c>
      <c r="H302" s="2" t="s">
        <v>194</v>
      </c>
      <c r="I302" s="2" t="s">
        <v>195</v>
      </c>
      <c r="J302" s="2" t="s">
        <v>19</v>
      </c>
      <c r="K302" s="2" t="s">
        <v>353</v>
      </c>
      <c r="L302" s="7" t="str">
        <f>HYPERLINK("http://slimages.macys.com/is/image/MCY/12035336 ")</f>
        <v xml:space="preserve">http://slimages.macys.com/is/image/MCY/12035336 </v>
      </c>
    </row>
    <row r="303" spans="1:12" ht="24.75" x14ac:dyDescent="0.25">
      <c r="A303" s="4" t="s">
        <v>3767</v>
      </c>
      <c r="B303" s="2" t="s">
        <v>1147</v>
      </c>
      <c r="C303" s="3">
        <v>1</v>
      </c>
      <c r="D303" s="5">
        <v>34.880000000000003</v>
      </c>
      <c r="E303" s="3">
        <v>100055540</v>
      </c>
      <c r="F303" s="2" t="s">
        <v>70</v>
      </c>
      <c r="G303" s="6" t="s">
        <v>22</v>
      </c>
      <c r="H303" s="2" t="s">
        <v>194</v>
      </c>
      <c r="I303" s="2" t="s">
        <v>195</v>
      </c>
      <c r="J303" s="2" t="s">
        <v>19</v>
      </c>
      <c r="K303" s="2" t="s">
        <v>353</v>
      </c>
      <c r="L303" s="7" t="str">
        <f>HYPERLINK("http://slimages.macys.com/is/image/MCY/12035336 ")</f>
        <v xml:space="preserve">http://slimages.macys.com/is/image/MCY/12035336 </v>
      </c>
    </row>
    <row r="304" spans="1:12" ht="24.75" x14ac:dyDescent="0.25">
      <c r="A304" s="4" t="s">
        <v>1159</v>
      </c>
      <c r="B304" s="2" t="s">
        <v>1160</v>
      </c>
      <c r="C304" s="3">
        <v>1</v>
      </c>
      <c r="D304" s="5">
        <v>69.5</v>
      </c>
      <c r="E304" s="3">
        <v>100055239</v>
      </c>
      <c r="F304" s="2" t="s">
        <v>74</v>
      </c>
      <c r="G304" s="6" t="s">
        <v>141</v>
      </c>
      <c r="H304" s="2" t="s">
        <v>386</v>
      </c>
      <c r="I304" s="2" t="s">
        <v>207</v>
      </c>
      <c r="J304" s="2" t="s">
        <v>19</v>
      </c>
      <c r="K304" s="2" t="s">
        <v>387</v>
      </c>
      <c r="L304" s="7" t="str">
        <f>HYPERLINK("http://slimages.macys.com/is/image/MCY/11535562 ")</f>
        <v xml:space="preserve">http://slimages.macys.com/is/image/MCY/11535562 </v>
      </c>
    </row>
    <row r="305" spans="1:12" ht="24.75" x14ac:dyDescent="0.25">
      <c r="A305" s="4" t="s">
        <v>9554</v>
      </c>
      <c r="B305" s="2" t="s">
        <v>1167</v>
      </c>
      <c r="C305" s="3">
        <v>1</v>
      </c>
      <c r="D305" s="5">
        <v>34.5</v>
      </c>
      <c r="E305" s="3" t="s">
        <v>6567</v>
      </c>
      <c r="F305" s="2" t="s">
        <v>417</v>
      </c>
      <c r="G305" s="6" t="s">
        <v>27</v>
      </c>
      <c r="H305" s="2" t="s">
        <v>228</v>
      </c>
      <c r="I305" s="2" t="s">
        <v>863</v>
      </c>
      <c r="J305" s="2" t="s">
        <v>19</v>
      </c>
      <c r="K305" s="2" t="s">
        <v>230</v>
      </c>
      <c r="L305" s="7" t="str">
        <f>HYPERLINK("http://slimages.macys.com/is/image/MCY/3623515 ")</f>
        <v xml:space="preserve">http://slimages.macys.com/is/image/MCY/3623515 </v>
      </c>
    </row>
    <row r="306" spans="1:12" ht="24.75" x14ac:dyDescent="0.25">
      <c r="A306" s="4" t="s">
        <v>5772</v>
      </c>
      <c r="B306" s="2" t="s">
        <v>1167</v>
      </c>
      <c r="C306" s="3">
        <v>1</v>
      </c>
      <c r="D306" s="5">
        <v>34.5</v>
      </c>
      <c r="E306" s="3" t="s">
        <v>1168</v>
      </c>
      <c r="F306" s="2" t="s">
        <v>74</v>
      </c>
      <c r="G306" s="6" t="s">
        <v>16</v>
      </c>
      <c r="H306" s="2" t="s">
        <v>228</v>
      </c>
      <c r="I306" s="2" t="s">
        <v>863</v>
      </c>
      <c r="J306" s="2" t="s">
        <v>19</v>
      </c>
      <c r="K306" s="2" t="s">
        <v>230</v>
      </c>
      <c r="L306" s="7" t="str">
        <f>HYPERLINK("http://slimages.macys.com/is/image/MCY/3623515 ")</f>
        <v xml:space="preserve">http://slimages.macys.com/is/image/MCY/3623515 </v>
      </c>
    </row>
    <row r="307" spans="1:12" ht="24.75" x14ac:dyDescent="0.25">
      <c r="A307" s="4" t="s">
        <v>2597</v>
      </c>
      <c r="B307" s="2" t="s">
        <v>1199</v>
      </c>
      <c r="C307" s="3">
        <v>1</v>
      </c>
      <c r="D307" s="5">
        <v>37.130000000000003</v>
      </c>
      <c r="E307" s="3">
        <v>100009324</v>
      </c>
      <c r="F307" s="2" t="s">
        <v>70</v>
      </c>
      <c r="G307" s="6" t="s">
        <v>27</v>
      </c>
      <c r="H307" s="2" t="s">
        <v>194</v>
      </c>
      <c r="I307" s="2" t="s">
        <v>195</v>
      </c>
      <c r="J307" s="2" t="s">
        <v>19</v>
      </c>
      <c r="K307" s="2" t="s">
        <v>353</v>
      </c>
      <c r="L307" s="7" t="str">
        <f>HYPERLINK("http://slimages.macys.com/is/image/MCY/9404224 ")</f>
        <v xml:space="preserve">http://slimages.macys.com/is/image/MCY/9404224 </v>
      </c>
    </row>
    <row r="308" spans="1:12" ht="24.75" x14ac:dyDescent="0.25">
      <c r="A308" s="4" t="s">
        <v>10152</v>
      </c>
      <c r="B308" s="2" t="s">
        <v>1199</v>
      </c>
      <c r="C308" s="3">
        <v>1</v>
      </c>
      <c r="D308" s="5">
        <v>37.130000000000003</v>
      </c>
      <c r="E308" s="3">
        <v>100009324</v>
      </c>
      <c r="F308" s="2" t="s">
        <v>33</v>
      </c>
      <c r="G308" s="6" t="s">
        <v>106</v>
      </c>
      <c r="H308" s="2" t="s">
        <v>194</v>
      </c>
      <c r="I308" s="2" t="s">
        <v>195</v>
      </c>
      <c r="J308" s="2" t="s">
        <v>19</v>
      </c>
      <c r="K308" s="2" t="s">
        <v>353</v>
      </c>
      <c r="L308" s="7" t="str">
        <f>HYPERLINK("http://slimages.macys.com/is/image/MCY/12316457 ")</f>
        <v xml:space="preserve">http://slimages.macys.com/is/image/MCY/12316457 </v>
      </c>
    </row>
    <row r="309" spans="1:12" ht="24.75" x14ac:dyDescent="0.25">
      <c r="A309" s="4" t="s">
        <v>8124</v>
      </c>
      <c r="B309" s="2" t="s">
        <v>1199</v>
      </c>
      <c r="C309" s="3">
        <v>1</v>
      </c>
      <c r="D309" s="5">
        <v>37.130000000000003</v>
      </c>
      <c r="E309" s="3">
        <v>100009324</v>
      </c>
      <c r="F309" s="2" t="s">
        <v>70</v>
      </c>
      <c r="G309" s="6" t="s">
        <v>58</v>
      </c>
      <c r="H309" s="2" t="s">
        <v>194</v>
      </c>
      <c r="I309" s="2" t="s">
        <v>195</v>
      </c>
      <c r="J309" s="2" t="s">
        <v>19</v>
      </c>
      <c r="K309" s="2" t="s">
        <v>353</v>
      </c>
      <c r="L309" s="7" t="str">
        <f>HYPERLINK("http://slimages.macys.com/is/image/MCY/9404224 ")</f>
        <v xml:space="preserve">http://slimages.macys.com/is/image/MCY/9404224 </v>
      </c>
    </row>
    <row r="310" spans="1:12" ht="24.75" x14ac:dyDescent="0.25">
      <c r="A310" s="4" t="s">
        <v>6572</v>
      </c>
      <c r="B310" s="2" t="s">
        <v>1199</v>
      </c>
      <c r="C310" s="3">
        <v>1</v>
      </c>
      <c r="D310" s="5">
        <v>37.130000000000003</v>
      </c>
      <c r="E310" s="3">
        <v>100009324</v>
      </c>
      <c r="F310" s="2" t="s">
        <v>33</v>
      </c>
      <c r="G310" s="6" t="s">
        <v>16</v>
      </c>
      <c r="H310" s="2" t="s">
        <v>194</v>
      </c>
      <c r="I310" s="2" t="s">
        <v>195</v>
      </c>
      <c r="J310" s="2" t="s">
        <v>19</v>
      </c>
      <c r="K310" s="2" t="s">
        <v>353</v>
      </c>
      <c r="L310" s="7" t="str">
        <f>HYPERLINK("http://slimages.macys.com/is/image/MCY/12316457 ")</f>
        <v xml:space="preserve">http://slimages.macys.com/is/image/MCY/12316457 </v>
      </c>
    </row>
    <row r="311" spans="1:12" ht="24.75" x14ac:dyDescent="0.25">
      <c r="A311" s="4" t="s">
        <v>8125</v>
      </c>
      <c r="B311" s="2" t="s">
        <v>1106</v>
      </c>
      <c r="C311" s="3">
        <v>1</v>
      </c>
      <c r="D311" s="5">
        <v>32.5</v>
      </c>
      <c r="E311" s="3" t="s">
        <v>2600</v>
      </c>
      <c r="F311" s="2" t="s">
        <v>15</v>
      </c>
      <c r="G311" s="6" t="s">
        <v>200</v>
      </c>
      <c r="H311" s="2" t="s">
        <v>194</v>
      </c>
      <c r="I311" s="2" t="s">
        <v>195</v>
      </c>
      <c r="J311" s="2" t="s">
        <v>19</v>
      </c>
      <c r="K311" s="2" t="s">
        <v>1108</v>
      </c>
      <c r="L311" s="7" t="str">
        <f>HYPERLINK("http://slimages.macys.com/is/image/MCY/11776301 ")</f>
        <v xml:space="preserve">http://slimages.macys.com/is/image/MCY/11776301 </v>
      </c>
    </row>
    <row r="312" spans="1:12" ht="24.75" x14ac:dyDescent="0.25">
      <c r="A312" s="4" t="s">
        <v>6574</v>
      </c>
      <c r="B312" s="2" t="s">
        <v>1106</v>
      </c>
      <c r="C312" s="3">
        <v>3</v>
      </c>
      <c r="D312" s="5">
        <v>32.5</v>
      </c>
      <c r="E312" s="3" t="s">
        <v>2600</v>
      </c>
      <c r="F312" s="2" t="s">
        <v>15</v>
      </c>
      <c r="G312" s="6" t="s">
        <v>156</v>
      </c>
      <c r="H312" s="2" t="s">
        <v>194</v>
      </c>
      <c r="I312" s="2" t="s">
        <v>195</v>
      </c>
      <c r="J312" s="2" t="s">
        <v>19</v>
      </c>
      <c r="K312" s="2" t="s">
        <v>1108</v>
      </c>
      <c r="L312" s="7" t="str">
        <f>HYPERLINK("http://slimages.macys.com/is/image/MCY/11776301 ")</f>
        <v xml:space="preserve">http://slimages.macys.com/is/image/MCY/11776301 </v>
      </c>
    </row>
    <row r="313" spans="1:12" ht="24.75" x14ac:dyDescent="0.25">
      <c r="A313" s="4" t="s">
        <v>10153</v>
      </c>
      <c r="B313" s="2" t="s">
        <v>1106</v>
      </c>
      <c r="C313" s="3">
        <v>3</v>
      </c>
      <c r="D313" s="5">
        <v>32.5</v>
      </c>
      <c r="E313" s="3" t="s">
        <v>2600</v>
      </c>
      <c r="F313" s="2" t="s">
        <v>15</v>
      </c>
      <c r="G313" s="6" t="s">
        <v>245</v>
      </c>
      <c r="H313" s="2" t="s">
        <v>194</v>
      </c>
      <c r="I313" s="2" t="s">
        <v>195</v>
      </c>
      <c r="J313" s="2" t="s">
        <v>19</v>
      </c>
      <c r="K313" s="2" t="s">
        <v>1108</v>
      </c>
      <c r="L313" s="7" t="str">
        <f>HYPERLINK("http://slimages.macys.com/is/image/MCY/11776301 ")</f>
        <v xml:space="preserve">http://slimages.macys.com/is/image/MCY/11776301 </v>
      </c>
    </row>
    <row r="314" spans="1:12" ht="24.75" x14ac:dyDescent="0.25">
      <c r="A314" s="4" t="s">
        <v>8649</v>
      </c>
      <c r="B314" s="2" t="s">
        <v>1106</v>
      </c>
      <c r="C314" s="3">
        <v>1</v>
      </c>
      <c r="D314" s="5">
        <v>32.5</v>
      </c>
      <c r="E314" s="3" t="s">
        <v>2600</v>
      </c>
      <c r="F314" s="2" t="s">
        <v>15</v>
      </c>
      <c r="G314" s="6" t="s">
        <v>234</v>
      </c>
      <c r="H314" s="2" t="s">
        <v>194</v>
      </c>
      <c r="I314" s="2" t="s">
        <v>195</v>
      </c>
      <c r="J314" s="2" t="s">
        <v>19</v>
      </c>
      <c r="K314" s="2" t="s">
        <v>1108</v>
      </c>
      <c r="L314" s="7" t="str">
        <f>HYPERLINK("http://slimages.macys.com/is/image/MCY/11776301 ")</f>
        <v xml:space="preserve">http://slimages.macys.com/is/image/MCY/11776301 </v>
      </c>
    </row>
    <row r="315" spans="1:12" ht="24.75" x14ac:dyDescent="0.25">
      <c r="A315" s="4" t="s">
        <v>7402</v>
      </c>
      <c r="B315" s="2" t="s">
        <v>1188</v>
      </c>
      <c r="C315" s="3">
        <v>1</v>
      </c>
      <c r="D315" s="5">
        <v>44.63</v>
      </c>
      <c r="E315" s="3" t="s">
        <v>1189</v>
      </c>
      <c r="F315" s="2" t="s">
        <v>38</v>
      </c>
      <c r="G315" s="6" t="s">
        <v>181</v>
      </c>
      <c r="H315" s="2" t="s">
        <v>194</v>
      </c>
      <c r="I315" s="2" t="s">
        <v>195</v>
      </c>
      <c r="J315" s="2" t="s">
        <v>19</v>
      </c>
      <c r="K315" s="2" t="s">
        <v>803</v>
      </c>
      <c r="L315" s="7" t="str">
        <f>HYPERLINK("http://slimages.macys.com/is/image/MCY/13683354 ")</f>
        <v xml:space="preserve">http://slimages.macys.com/is/image/MCY/13683354 </v>
      </c>
    </row>
    <row r="316" spans="1:12" ht="24.75" x14ac:dyDescent="0.25">
      <c r="A316" s="4" t="s">
        <v>9073</v>
      </c>
      <c r="B316" s="2" t="s">
        <v>1188</v>
      </c>
      <c r="C316" s="3">
        <v>3</v>
      </c>
      <c r="D316" s="5">
        <v>44.63</v>
      </c>
      <c r="E316" s="3" t="s">
        <v>1189</v>
      </c>
      <c r="F316" s="2" t="s">
        <v>64</v>
      </c>
      <c r="G316" s="6" t="s">
        <v>181</v>
      </c>
      <c r="H316" s="2" t="s">
        <v>194</v>
      </c>
      <c r="I316" s="2" t="s">
        <v>195</v>
      </c>
      <c r="J316" s="2" t="s">
        <v>19</v>
      </c>
      <c r="K316" s="2" t="s">
        <v>803</v>
      </c>
      <c r="L316" s="7" t="str">
        <f>HYPERLINK("http://slimages.macys.com/is/image/MCY/13683354 ")</f>
        <v xml:space="preserve">http://slimages.macys.com/is/image/MCY/13683354 </v>
      </c>
    </row>
    <row r="317" spans="1:12" ht="24.75" x14ac:dyDescent="0.25">
      <c r="A317" s="4" t="s">
        <v>1192</v>
      </c>
      <c r="B317" s="2" t="s">
        <v>1188</v>
      </c>
      <c r="C317" s="3">
        <v>2</v>
      </c>
      <c r="D317" s="5">
        <v>44.63</v>
      </c>
      <c r="E317" s="3" t="s">
        <v>1189</v>
      </c>
      <c r="F317" s="2" t="s">
        <v>64</v>
      </c>
      <c r="G317" s="6" t="s">
        <v>234</v>
      </c>
      <c r="H317" s="2" t="s">
        <v>194</v>
      </c>
      <c r="I317" s="2" t="s">
        <v>195</v>
      </c>
      <c r="J317" s="2" t="s">
        <v>19</v>
      </c>
      <c r="K317" s="2" t="s">
        <v>803</v>
      </c>
      <c r="L317" s="7" t="str">
        <f>HYPERLINK("http://slimages.macys.com/is/image/MCY/13683354 ")</f>
        <v xml:space="preserve">http://slimages.macys.com/is/image/MCY/13683354 </v>
      </c>
    </row>
    <row r="318" spans="1:12" ht="24.75" x14ac:dyDescent="0.25">
      <c r="A318" s="4" t="s">
        <v>1187</v>
      </c>
      <c r="B318" s="2" t="s">
        <v>1188</v>
      </c>
      <c r="C318" s="3">
        <v>2</v>
      </c>
      <c r="D318" s="5">
        <v>44.63</v>
      </c>
      <c r="E318" s="3" t="s">
        <v>1189</v>
      </c>
      <c r="F318" s="2" t="s">
        <v>38</v>
      </c>
      <c r="G318" s="6" t="s">
        <v>234</v>
      </c>
      <c r="H318" s="2" t="s">
        <v>194</v>
      </c>
      <c r="I318" s="2" t="s">
        <v>195</v>
      </c>
      <c r="J318" s="2" t="s">
        <v>19</v>
      </c>
      <c r="K318" s="2" t="s">
        <v>803</v>
      </c>
      <c r="L318" s="7" t="str">
        <f>HYPERLINK("http://slimages.macys.com/is/image/MCY/13683354 ")</f>
        <v xml:space="preserve">http://slimages.macys.com/is/image/MCY/13683354 </v>
      </c>
    </row>
    <row r="319" spans="1:12" ht="24.75" x14ac:dyDescent="0.25">
      <c r="A319" s="4" t="s">
        <v>1190</v>
      </c>
      <c r="B319" s="2" t="s">
        <v>1188</v>
      </c>
      <c r="C319" s="3">
        <v>2</v>
      </c>
      <c r="D319" s="5">
        <v>44.63</v>
      </c>
      <c r="E319" s="3" t="s">
        <v>1189</v>
      </c>
      <c r="F319" s="2" t="s">
        <v>38</v>
      </c>
      <c r="G319" s="6" t="s">
        <v>154</v>
      </c>
      <c r="H319" s="2" t="s">
        <v>194</v>
      </c>
      <c r="I319" s="2" t="s">
        <v>195</v>
      </c>
      <c r="J319" s="2" t="s">
        <v>19</v>
      </c>
      <c r="K319" s="2" t="s">
        <v>803</v>
      </c>
      <c r="L319" s="7" t="str">
        <f>HYPERLINK("http://slimages.macys.com/is/image/MCY/13683354 ")</f>
        <v xml:space="preserve">http://slimages.macys.com/is/image/MCY/13683354 </v>
      </c>
    </row>
    <row r="320" spans="1:12" ht="24.75" x14ac:dyDescent="0.25">
      <c r="A320" s="4" t="s">
        <v>1195</v>
      </c>
      <c r="B320" s="2" t="s">
        <v>1196</v>
      </c>
      <c r="C320" s="3">
        <v>1</v>
      </c>
      <c r="D320" s="5">
        <v>37.130000000000003</v>
      </c>
      <c r="E320" s="3">
        <v>100020406</v>
      </c>
      <c r="F320" s="2" t="s">
        <v>887</v>
      </c>
      <c r="G320" s="6" t="s">
        <v>154</v>
      </c>
      <c r="H320" s="2" t="s">
        <v>194</v>
      </c>
      <c r="I320" s="2" t="s">
        <v>195</v>
      </c>
      <c r="J320" s="2" t="s">
        <v>19</v>
      </c>
      <c r="K320" s="2" t="s">
        <v>648</v>
      </c>
      <c r="L320" s="7" t="str">
        <f>HYPERLINK("http://slimages.macys.com/is/image/MCY/9577038 ")</f>
        <v xml:space="preserve">http://slimages.macys.com/is/image/MCY/9577038 </v>
      </c>
    </row>
    <row r="321" spans="1:12" ht="24.75" x14ac:dyDescent="0.25">
      <c r="A321" s="4" t="s">
        <v>2607</v>
      </c>
      <c r="B321" s="2" t="s">
        <v>1188</v>
      </c>
      <c r="C321" s="3">
        <v>2</v>
      </c>
      <c r="D321" s="5">
        <v>44.63</v>
      </c>
      <c r="E321" s="3" t="s">
        <v>1189</v>
      </c>
      <c r="F321" s="2" t="s">
        <v>125</v>
      </c>
      <c r="G321" s="6" t="s">
        <v>154</v>
      </c>
      <c r="H321" s="2" t="s">
        <v>194</v>
      </c>
      <c r="I321" s="2" t="s">
        <v>195</v>
      </c>
      <c r="J321" s="2" t="s">
        <v>19</v>
      </c>
      <c r="K321" s="2" t="s">
        <v>803</v>
      </c>
      <c r="L321" s="7" t="str">
        <f>HYPERLINK("http://slimages.macys.com/is/image/MCY/13683354 ")</f>
        <v xml:space="preserve">http://slimages.macys.com/is/image/MCY/13683354 </v>
      </c>
    </row>
    <row r="322" spans="1:12" ht="24.75" x14ac:dyDescent="0.25">
      <c r="A322" s="4" t="s">
        <v>1193</v>
      </c>
      <c r="B322" s="2" t="s">
        <v>1188</v>
      </c>
      <c r="C322" s="3">
        <v>1</v>
      </c>
      <c r="D322" s="5">
        <v>44.63</v>
      </c>
      <c r="E322" s="3" t="s">
        <v>1189</v>
      </c>
      <c r="F322" s="2" t="s">
        <v>125</v>
      </c>
      <c r="G322" s="6" t="s">
        <v>200</v>
      </c>
      <c r="H322" s="2" t="s">
        <v>194</v>
      </c>
      <c r="I322" s="2" t="s">
        <v>195</v>
      </c>
      <c r="J322" s="2" t="s">
        <v>19</v>
      </c>
      <c r="K322" s="2" t="s">
        <v>803</v>
      </c>
      <c r="L322" s="7" t="str">
        <f>HYPERLINK("http://slimages.macys.com/is/image/MCY/13683354 ")</f>
        <v xml:space="preserve">http://slimages.macys.com/is/image/MCY/13683354 </v>
      </c>
    </row>
    <row r="323" spans="1:12" ht="24.75" x14ac:dyDescent="0.25">
      <c r="A323" s="4" t="s">
        <v>2621</v>
      </c>
      <c r="B323" s="2" t="s">
        <v>1208</v>
      </c>
      <c r="C323" s="3">
        <v>1</v>
      </c>
      <c r="D323" s="5">
        <v>37.130000000000003</v>
      </c>
      <c r="E323" s="3">
        <v>100013470</v>
      </c>
      <c r="F323" s="2" t="s">
        <v>15</v>
      </c>
      <c r="G323" s="6" t="s">
        <v>58</v>
      </c>
      <c r="H323" s="2" t="s">
        <v>194</v>
      </c>
      <c r="I323" s="2" t="s">
        <v>195</v>
      </c>
      <c r="J323" s="2" t="s">
        <v>19</v>
      </c>
      <c r="K323" s="2" t="s">
        <v>353</v>
      </c>
      <c r="L323" s="7" t="str">
        <f>HYPERLINK("http://slimages.macys.com/is/image/MCY/9426968 ")</f>
        <v xml:space="preserve">http://slimages.macys.com/is/image/MCY/9426968 </v>
      </c>
    </row>
    <row r="324" spans="1:12" ht="24.75" x14ac:dyDescent="0.25">
      <c r="A324" s="4" t="s">
        <v>10154</v>
      </c>
      <c r="B324" s="2" t="s">
        <v>1208</v>
      </c>
      <c r="C324" s="3">
        <v>1</v>
      </c>
      <c r="D324" s="5">
        <v>37.130000000000003</v>
      </c>
      <c r="E324" s="3">
        <v>100013470</v>
      </c>
      <c r="F324" s="2" t="s">
        <v>15</v>
      </c>
      <c r="G324" s="6" t="s">
        <v>16</v>
      </c>
      <c r="H324" s="2" t="s">
        <v>194</v>
      </c>
      <c r="I324" s="2" t="s">
        <v>195</v>
      </c>
      <c r="J324" s="2" t="s">
        <v>19</v>
      </c>
      <c r="K324" s="2" t="s">
        <v>353</v>
      </c>
      <c r="L324" s="7" t="str">
        <f>HYPERLINK("http://slimages.macys.com/is/image/MCY/9426968 ")</f>
        <v xml:space="preserve">http://slimages.macys.com/is/image/MCY/9426968 </v>
      </c>
    </row>
    <row r="325" spans="1:12" ht="24.75" x14ac:dyDescent="0.25">
      <c r="A325" s="4" t="s">
        <v>8653</v>
      </c>
      <c r="B325" s="2" t="s">
        <v>1208</v>
      </c>
      <c r="C325" s="3">
        <v>1</v>
      </c>
      <c r="D325" s="5">
        <v>37.130000000000003</v>
      </c>
      <c r="E325" s="3">
        <v>100013470</v>
      </c>
      <c r="F325" s="2" t="s">
        <v>15</v>
      </c>
      <c r="G325" s="6" t="s">
        <v>65</v>
      </c>
      <c r="H325" s="2" t="s">
        <v>194</v>
      </c>
      <c r="I325" s="2" t="s">
        <v>195</v>
      </c>
      <c r="J325" s="2" t="s">
        <v>19</v>
      </c>
      <c r="K325" s="2" t="s">
        <v>353</v>
      </c>
      <c r="L325" s="7" t="str">
        <f>HYPERLINK("http://slimages.macys.com/is/image/MCY/9426968 ")</f>
        <v xml:space="preserve">http://slimages.macys.com/is/image/MCY/9426968 </v>
      </c>
    </row>
    <row r="326" spans="1:12" ht="24.75" x14ac:dyDescent="0.25">
      <c r="A326" s="4" t="s">
        <v>5813</v>
      </c>
      <c r="B326" s="2" t="s">
        <v>1199</v>
      </c>
      <c r="C326" s="3">
        <v>1</v>
      </c>
      <c r="D326" s="5">
        <v>37.130000000000003</v>
      </c>
      <c r="E326" s="3">
        <v>100009324</v>
      </c>
      <c r="F326" s="2" t="s">
        <v>376</v>
      </c>
      <c r="G326" s="6" t="s">
        <v>58</v>
      </c>
      <c r="H326" s="2" t="s">
        <v>194</v>
      </c>
      <c r="I326" s="2" t="s">
        <v>195</v>
      </c>
      <c r="J326" s="2" t="s">
        <v>19</v>
      </c>
      <c r="K326" s="2" t="s">
        <v>353</v>
      </c>
      <c r="L326" s="7" t="str">
        <f>HYPERLINK("http://slimages.macys.com/is/image/MCY/9404224 ")</f>
        <v xml:space="preserve">http://slimages.macys.com/is/image/MCY/9404224 </v>
      </c>
    </row>
    <row r="327" spans="1:12" ht="24.75" x14ac:dyDescent="0.25">
      <c r="A327" s="4" t="s">
        <v>10155</v>
      </c>
      <c r="B327" s="2" t="s">
        <v>1199</v>
      </c>
      <c r="C327" s="3">
        <v>4</v>
      </c>
      <c r="D327" s="5">
        <v>37.130000000000003</v>
      </c>
      <c r="E327" s="3">
        <v>100009324</v>
      </c>
      <c r="F327" s="2" t="s">
        <v>506</v>
      </c>
      <c r="G327" s="6" t="s">
        <v>27</v>
      </c>
      <c r="H327" s="2" t="s">
        <v>194</v>
      </c>
      <c r="I327" s="2" t="s">
        <v>195</v>
      </c>
      <c r="J327" s="2" t="s">
        <v>19</v>
      </c>
      <c r="K327" s="2" t="s">
        <v>353</v>
      </c>
      <c r="L327" s="7" t="str">
        <f>HYPERLINK("http://slimages.macys.com/is/image/MCY/9404224 ")</f>
        <v xml:space="preserve">http://slimages.macys.com/is/image/MCY/9404224 </v>
      </c>
    </row>
    <row r="328" spans="1:12" ht="24.75" x14ac:dyDescent="0.25">
      <c r="A328" s="4" t="s">
        <v>9567</v>
      </c>
      <c r="B328" s="2" t="s">
        <v>1199</v>
      </c>
      <c r="C328" s="3">
        <v>1</v>
      </c>
      <c r="D328" s="5">
        <v>37.130000000000003</v>
      </c>
      <c r="E328" s="3">
        <v>100009324</v>
      </c>
      <c r="F328" s="2" t="s">
        <v>376</v>
      </c>
      <c r="G328" s="6" t="s">
        <v>22</v>
      </c>
      <c r="H328" s="2" t="s">
        <v>194</v>
      </c>
      <c r="I328" s="2" t="s">
        <v>195</v>
      </c>
      <c r="J328" s="2" t="s">
        <v>19</v>
      </c>
      <c r="K328" s="2" t="s">
        <v>353</v>
      </c>
      <c r="L328" s="7" t="str">
        <f>HYPERLINK("http://slimages.macys.com/is/image/MCY/9404224 ")</f>
        <v xml:space="preserve">http://slimages.macys.com/is/image/MCY/9404224 </v>
      </c>
    </row>
    <row r="329" spans="1:12" ht="24.75" x14ac:dyDescent="0.25">
      <c r="A329" s="4" t="s">
        <v>9079</v>
      </c>
      <c r="B329" s="2" t="s">
        <v>1199</v>
      </c>
      <c r="C329" s="3">
        <v>1</v>
      </c>
      <c r="D329" s="5">
        <v>37.130000000000003</v>
      </c>
      <c r="E329" s="3">
        <v>100009324</v>
      </c>
      <c r="F329" s="2" t="s">
        <v>74</v>
      </c>
      <c r="G329" s="6" t="s">
        <v>141</v>
      </c>
      <c r="H329" s="2" t="s">
        <v>194</v>
      </c>
      <c r="I329" s="2" t="s">
        <v>195</v>
      </c>
      <c r="J329" s="2" t="s">
        <v>19</v>
      </c>
      <c r="K329" s="2" t="s">
        <v>353</v>
      </c>
      <c r="L329" s="7" t="str">
        <f>HYPERLINK("http://slimages.macys.com/is/image/MCY/9404224 ")</f>
        <v xml:space="preserve">http://slimages.macys.com/is/image/MCY/9404224 </v>
      </c>
    </row>
    <row r="330" spans="1:12" ht="24.75" x14ac:dyDescent="0.25">
      <c r="A330" s="4" t="s">
        <v>10156</v>
      </c>
      <c r="B330" s="2" t="s">
        <v>1199</v>
      </c>
      <c r="C330" s="3">
        <v>1</v>
      </c>
      <c r="D330" s="5">
        <v>37.130000000000003</v>
      </c>
      <c r="E330" s="3">
        <v>100009324</v>
      </c>
      <c r="F330" s="2" t="s">
        <v>74</v>
      </c>
      <c r="G330" s="6" t="s">
        <v>22</v>
      </c>
      <c r="H330" s="2" t="s">
        <v>194</v>
      </c>
      <c r="I330" s="2" t="s">
        <v>195</v>
      </c>
      <c r="J330" s="2" t="s">
        <v>19</v>
      </c>
      <c r="K330" s="2" t="s">
        <v>353</v>
      </c>
      <c r="L330" s="7" t="str">
        <f>HYPERLINK("http://slimages.macys.com/is/image/MCY/9404224 ")</f>
        <v xml:space="preserve">http://slimages.macys.com/is/image/MCY/9404224 </v>
      </c>
    </row>
    <row r="331" spans="1:12" ht="24.75" x14ac:dyDescent="0.25">
      <c r="A331" s="4" t="s">
        <v>10157</v>
      </c>
      <c r="B331" s="2" t="s">
        <v>5935</v>
      </c>
      <c r="C331" s="3">
        <v>1</v>
      </c>
      <c r="D331" s="5">
        <v>33.380000000000003</v>
      </c>
      <c r="E331" s="3" t="s">
        <v>8133</v>
      </c>
      <c r="F331" s="2" t="s">
        <v>111</v>
      </c>
      <c r="G331" s="6" t="s">
        <v>348</v>
      </c>
      <c r="H331" s="2" t="s">
        <v>349</v>
      </c>
      <c r="I331" s="2" t="s">
        <v>285</v>
      </c>
      <c r="J331" s="2" t="s">
        <v>19</v>
      </c>
      <c r="K331" s="2" t="s">
        <v>247</v>
      </c>
      <c r="L331" s="7" t="str">
        <f>HYPERLINK("http://slimages.macys.com/is/image/MCY/12343059 ")</f>
        <v xml:space="preserve">http://slimages.macys.com/is/image/MCY/12343059 </v>
      </c>
    </row>
    <row r="332" spans="1:12" ht="24.75" x14ac:dyDescent="0.25">
      <c r="A332" s="4" t="s">
        <v>9568</v>
      </c>
      <c r="B332" s="2" t="s">
        <v>5935</v>
      </c>
      <c r="C332" s="3">
        <v>1</v>
      </c>
      <c r="D332" s="5">
        <v>33.380000000000003</v>
      </c>
      <c r="E332" s="3" t="s">
        <v>8133</v>
      </c>
      <c r="F332" s="2" t="s">
        <v>417</v>
      </c>
      <c r="G332" s="6" t="s">
        <v>2276</v>
      </c>
      <c r="H332" s="2" t="s">
        <v>349</v>
      </c>
      <c r="I332" s="2" t="s">
        <v>285</v>
      </c>
      <c r="J332" s="2" t="s">
        <v>19</v>
      </c>
      <c r="K332" s="2" t="s">
        <v>247</v>
      </c>
      <c r="L332" s="7" t="str">
        <f>HYPERLINK("http://slimages.macys.com/is/image/MCY/12343059 ")</f>
        <v xml:space="preserve">http://slimages.macys.com/is/image/MCY/12343059 </v>
      </c>
    </row>
    <row r="333" spans="1:12" ht="24.75" x14ac:dyDescent="0.25">
      <c r="A333" s="4" t="s">
        <v>10158</v>
      </c>
      <c r="B333" s="2" t="s">
        <v>1228</v>
      </c>
      <c r="C333" s="3">
        <v>1</v>
      </c>
      <c r="D333" s="5">
        <v>37.130000000000003</v>
      </c>
      <c r="E333" s="3" t="s">
        <v>1229</v>
      </c>
      <c r="F333" s="2" t="s">
        <v>331</v>
      </c>
      <c r="G333" s="6" t="s">
        <v>181</v>
      </c>
      <c r="H333" s="2" t="s">
        <v>246</v>
      </c>
      <c r="I333" s="2" t="s">
        <v>189</v>
      </c>
      <c r="J333" s="2" t="s">
        <v>19</v>
      </c>
      <c r="K333" s="2" t="s">
        <v>1230</v>
      </c>
      <c r="L333" s="7" t="str">
        <f>HYPERLINK("http://slimages.macys.com/is/image/MCY/12048293 ")</f>
        <v xml:space="preserve">http://slimages.macys.com/is/image/MCY/12048293 </v>
      </c>
    </row>
    <row r="334" spans="1:12" ht="24.75" x14ac:dyDescent="0.25">
      <c r="A334" s="4" t="s">
        <v>10159</v>
      </c>
      <c r="B334" s="2" t="s">
        <v>3801</v>
      </c>
      <c r="C334" s="3">
        <v>2</v>
      </c>
      <c r="D334" s="5">
        <v>27.99</v>
      </c>
      <c r="E334" s="3" t="s">
        <v>3802</v>
      </c>
      <c r="F334" s="2" t="s">
        <v>74</v>
      </c>
      <c r="G334" s="6" t="s">
        <v>234</v>
      </c>
      <c r="H334" s="2" t="s">
        <v>1522</v>
      </c>
      <c r="I334" s="2" t="s">
        <v>1469</v>
      </c>
      <c r="J334" s="2" t="s">
        <v>19</v>
      </c>
      <c r="K334" s="2" t="s">
        <v>353</v>
      </c>
      <c r="L334" s="7" t="str">
        <f>HYPERLINK("http://slimages.macys.com/is/image/MCY/11029726 ")</f>
        <v xml:space="preserve">http://slimages.macys.com/is/image/MCY/11029726 </v>
      </c>
    </row>
    <row r="335" spans="1:12" ht="24.75" x14ac:dyDescent="0.25">
      <c r="A335" s="4" t="s">
        <v>10160</v>
      </c>
      <c r="B335" s="2" t="s">
        <v>1259</v>
      </c>
      <c r="C335" s="3">
        <v>1</v>
      </c>
      <c r="D335" s="5">
        <v>34.5</v>
      </c>
      <c r="E335" s="3">
        <v>100046283</v>
      </c>
      <c r="F335" s="2" t="s">
        <v>26</v>
      </c>
      <c r="G335" s="6" t="s">
        <v>112</v>
      </c>
      <c r="H335" s="2" t="s">
        <v>228</v>
      </c>
      <c r="I335" s="2" t="s">
        <v>229</v>
      </c>
      <c r="J335" s="2" t="s">
        <v>19</v>
      </c>
      <c r="K335" s="2" t="s">
        <v>648</v>
      </c>
      <c r="L335" s="7" t="str">
        <f>HYPERLINK("http://slimages.macys.com/is/image/MCY/10340786 ")</f>
        <v xml:space="preserve">http://slimages.macys.com/is/image/MCY/10340786 </v>
      </c>
    </row>
    <row r="336" spans="1:12" ht="24.75" x14ac:dyDescent="0.25">
      <c r="A336" s="4" t="s">
        <v>10161</v>
      </c>
      <c r="B336" s="2" t="s">
        <v>10162</v>
      </c>
      <c r="C336" s="3">
        <v>1</v>
      </c>
      <c r="D336" s="5">
        <v>29.63</v>
      </c>
      <c r="E336" s="3">
        <v>100018072</v>
      </c>
      <c r="F336" s="2" t="s">
        <v>579</v>
      </c>
      <c r="G336" s="6" t="s">
        <v>245</v>
      </c>
      <c r="H336" s="2" t="s">
        <v>194</v>
      </c>
      <c r="I336" s="2" t="s">
        <v>195</v>
      </c>
      <c r="J336" s="2" t="s">
        <v>19</v>
      </c>
      <c r="K336" s="2" t="s">
        <v>1082</v>
      </c>
      <c r="L336" s="7" t="str">
        <f>HYPERLINK("http://slimages.macys.com/is/image/MCY/9838048 ")</f>
        <v xml:space="preserve">http://slimages.macys.com/is/image/MCY/9838048 </v>
      </c>
    </row>
    <row r="337" spans="1:12" ht="24.75" x14ac:dyDescent="0.25">
      <c r="A337" s="4" t="s">
        <v>2640</v>
      </c>
      <c r="B337" s="2" t="s">
        <v>1244</v>
      </c>
      <c r="C337" s="3">
        <v>1</v>
      </c>
      <c r="D337" s="5">
        <v>37.130000000000003</v>
      </c>
      <c r="E337" s="3">
        <v>100058183</v>
      </c>
      <c r="F337" s="2" t="s">
        <v>15</v>
      </c>
      <c r="G337" s="6" t="s">
        <v>16</v>
      </c>
      <c r="H337" s="2" t="s">
        <v>194</v>
      </c>
      <c r="I337" s="2" t="s">
        <v>195</v>
      </c>
      <c r="J337" s="2" t="s">
        <v>19</v>
      </c>
      <c r="K337" s="2" t="s">
        <v>353</v>
      </c>
      <c r="L337" s="7" t="str">
        <f>HYPERLINK("http://slimages.macys.com/is/image/MCY/12793647 ")</f>
        <v xml:space="preserve">http://slimages.macys.com/is/image/MCY/12793647 </v>
      </c>
    </row>
    <row r="338" spans="1:12" ht="24.75" x14ac:dyDescent="0.25">
      <c r="A338" s="4" t="s">
        <v>1245</v>
      </c>
      <c r="B338" s="2" t="s">
        <v>1232</v>
      </c>
      <c r="C338" s="3">
        <v>1</v>
      </c>
      <c r="D338" s="5">
        <v>34.880000000000003</v>
      </c>
      <c r="E338" s="3" t="s">
        <v>1246</v>
      </c>
      <c r="F338" s="2" t="s">
        <v>74</v>
      </c>
      <c r="G338" s="6" t="s">
        <v>802</v>
      </c>
      <c r="H338" s="2" t="s">
        <v>312</v>
      </c>
      <c r="I338" s="2" t="s">
        <v>195</v>
      </c>
      <c r="J338" s="2" t="s">
        <v>19</v>
      </c>
      <c r="K338" s="2" t="s">
        <v>353</v>
      </c>
      <c r="L338" s="7" t="str">
        <f>HYPERLINK("http://slimages.macys.com/is/image/MCY/8256708 ")</f>
        <v xml:space="preserve">http://slimages.macys.com/is/image/MCY/8256708 </v>
      </c>
    </row>
    <row r="339" spans="1:12" ht="24.75" x14ac:dyDescent="0.25">
      <c r="A339" s="4" t="s">
        <v>2650</v>
      </c>
      <c r="B339" s="2" t="s">
        <v>1232</v>
      </c>
      <c r="C339" s="3">
        <v>1</v>
      </c>
      <c r="D339" s="5">
        <v>34.880000000000003</v>
      </c>
      <c r="E339" s="3" t="s">
        <v>1246</v>
      </c>
      <c r="F339" s="2" t="s">
        <v>74</v>
      </c>
      <c r="G339" s="6" t="s">
        <v>126</v>
      </c>
      <c r="H339" s="2" t="s">
        <v>312</v>
      </c>
      <c r="I339" s="2" t="s">
        <v>195</v>
      </c>
      <c r="J339" s="2" t="s">
        <v>19</v>
      </c>
      <c r="K339" s="2" t="s">
        <v>353</v>
      </c>
      <c r="L339" s="7" t="str">
        <f>HYPERLINK("http://slimages.macys.com/is/image/MCY/8256708 ")</f>
        <v xml:space="preserve">http://slimages.macys.com/is/image/MCY/8256708 </v>
      </c>
    </row>
    <row r="340" spans="1:12" ht="24.75" x14ac:dyDescent="0.25">
      <c r="A340" s="4" t="s">
        <v>9589</v>
      </c>
      <c r="B340" s="2" t="s">
        <v>1232</v>
      </c>
      <c r="C340" s="3">
        <v>1</v>
      </c>
      <c r="D340" s="5">
        <v>34.880000000000003</v>
      </c>
      <c r="E340" s="3" t="s">
        <v>1246</v>
      </c>
      <c r="F340" s="2" t="s">
        <v>74</v>
      </c>
      <c r="G340" s="6" t="s">
        <v>165</v>
      </c>
      <c r="H340" s="2" t="s">
        <v>312</v>
      </c>
      <c r="I340" s="2" t="s">
        <v>195</v>
      </c>
      <c r="J340" s="2" t="s">
        <v>19</v>
      </c>
      <c r="K340" s="2" t="s">
        <v>353</v>
      </c>
      <c r="L340" s="7" t="str">
        <f>HYPERLINK("http://slimages.macys.com/is/image/MCY/8256708 ")</f>
        <v xml:space="preserve">http://slimages.macys.com/is/image/MCY/8256708 </v>
      </c>
    </row>
    <row r="341" spans="1:12" ht="24.75" x14ac:dyDescent="0.25">
      <c r="A341" s="4" t="s">
        <v>10163</v>
      </c>
      <c r="B341" s="2" t="s">
        <v>7452</v>
      </c>
      <c r="C341" s="3">
        <v>2</v>
      </c>
      <c r="D341" s="5">
        <v>27.99</v>
      </c>
      <c r="E341" s="3" t="s">
        <v>7453</v>
      </c>
      <c r="F341" s="2" t="s">
        <v>26</v>
      </c>
      <c r="G341" s="6" t="s">
        <v>181</v>
      </c>
      <c r="H341" s="2" t="s">
        <v>1522</v>
      </c>
      <c r="I341" s="2" t="s">
        <v>1469</v>
      </c>
      <c r="J341" s="2" t="s">
        <v>19</v>
      </c>
      <c r="K341" s="2" t="s">
        <v>353</v>
      </c>
      <c r="L341" s="7" t="str">
        <f>HYPERLINK("http://slimages.macys.com/is/image/MCY/11809180 ")</f>
        <v xml:space="preserve">http://slimages.macys.com/is/image/MCY/11809180 </v>
      </c>
    </row>
    <row r="342" spans="1:12" ht="24.75" x14ac:dyDescent="0.25">
      <c r="A342" s="4" t="s">
        <v>7455</v>
      </c>
      <c r="B342" s="2" t="s">
        <v>7452</v>
      </c>
      <c r="C342" s="3">
        <v>1</v>
      </c>
      <c r="D342" s="5">
        <v>27.99</v>
      </c>
      <c r="E342" s="3" t="s">
        <v>7453</v>
      </c>
      <c r="F342" s="2" t="s">
        <v>26</v>
      </c>
      <c r="G342" s="6" t="s">
        <v>154</v>
      </c>
      <c r="H342" s="2" t="s">
        <v>1522</v>
      </c>
      <c r="I342" s="2" t="s">
        <v>1469</v>
      </c>
      <c r="J342" s="2" t="s">
        <v>19</v>
      </c>
      <c r="K342" s="2" t="s">
        <v>353</v>
      </c>
      <c r="L342" s="7" t="str">
        <f>HYPERLINK("http://slimages.macys.com/is/image/MCY/11809180 ")</f>
        <v xml:space="preserve">http://slimages.macys.com/is/image/MCY/11809180 </v>
      </c>
    </row>
    <row r="343" spans="1:12" ht="24.75" x14ac:dyDescent="0.25">
      <c r="A343" s="4" t="s">
        <v>10164</v>
      </c>
      <c r="B343" s="2" t="s">
        <v>7452</v>
      </c>
      <c r="C343" s="3">
        <v>1</v>
      </c>
      <c r="D343" s="5">
        <v>27.99</v>
      </c>
      <c r="E343" s="3" t="s">
        <v>7453</v>
      </c>
      <c r="F343" s="2" t="s">
        <v>26</v>
      </c>
      <c r="G343" s="6" t="s">
        <v>245</v>
      </c>
      <c r="H343" s="2" t="s">
        <v>1522</v>
      </c>
      <c r="I343" s="2" t="s">
        <v>1469</v>
      </c>
      <c r="J343" s="2" t="s">
        <v>19</v>
      </c>
      <c r="K343" s="2" t="s">
        <v>353</v>
      </c>
      <c r="L343" s="7" t="str">
        <f>HYPERLINK("http://slimages.macys.com/is/image/MCY/11809180 ")</f>
        <v xml:space="preserve">http://slimages.macys.com/is/image/MCY/11809180 </v>
      </c>
    </row>
    <row r="344" spans="1:12" ht="24.75" x14ac:dyDescent="0.25">
      <c r="A344" s="4" t="s">
        <v>7454</v>
      </c>
      <c r="B344" s="2" t="s">
        <v>7452</v>
      </c>
      <c r="C344" s="3">
        <v>1</v>
      </c>
      <c r="D344" s="5">
        <v>27.99</v>
      </c>
      <c r="E344" s="3" t="s">
        <v>7453</v>
      </c>
      <c r="F344" s="2" t="s">
        <v>26</v>
      </c>
      <c r="G344" s="6" t="s">
        <v>234</v>
      </c>
      <c r="H344" s="2" t="s">
        <v>1522</v>
      </c>
      <c r="I344" s="2" t="s">
        <v>1469</v>
      </c>
      <c r="J344" s="2" t="s">
        <v>19</v>
      </c>
      <c r="K344" s="2" t="s">
        <v>353</v>
      </c>
      <c r="L344" s="7" t="str">
        <f>HYPERLINK("http://slimages.macys.com/is/image/MCY/11809180 ")</f>
        <v xml:space="preserve">http://slimages.macys.com/is/image/MCY/11809180 </v>
      </c>
    </row>
    <row r="345" spans="1:12" ht="24.75" x14ac:dyDescent="0.25">
      <c r="A345" s="4" t="s">
        <v>10165</v>
      </c>
      <c r="B345" s="2" t="s">
        <v>10166</v>
      </c>
      <c r="C345" s="3">
        <v>1</v>
      </c>
      <c r="D345" s="5">
        <v>33.380000000000003</v>
      </c>
      <c r="E345" s="3" t="s">
        <v>10167</v>
      </c>
      <c r="F345" s="2" t="s">
        <v>74</v>
      </c>
      <c r="G345" s="6" t="s">
        <v>245</v>
      </c>
      <c r="H345" s="2" t="s">
        <v>194</v>
      </c>
      <c r="I345" s="2" t="s">
        <v>195</v>
      </c>
      <c r="J345" s="2" t="s">
        <v>19</v>
      </c>
      <c r="K345" s="2" t="s">
        <v>247</v>
      </c>
      <c r="L345" s="7" t="str">
        <f>HYPERLINK("http://slimages.macys.com/is/image/MCY/12064090 ")</f>
        <v xml:space="preserve">http://slimages.macys.com/is/image/MCY/12064090 </v>
      </c>
    </row>
    <row r="346" spans="1:12" ht="24.75" x14ac:dyDescent="0.25">
      <c r="A346" s="4" t="s">
        <v>1303</v>
      </c>
      <c r="B346" s="2" t="s">
        <v>1279</v>
      </c>
      <c r="C346" s="3">
        <v>1</v>
      </c>
      <c r="D346" s="5">
        <v>27.99</v>
      </c>
      <c r="E346" s="3" t="s">
        <v>1286</v>
      </c>
      <c r="F346" s="2" t="s">
        <v>506</v>
      </c>
      <c r="G346" s="6" t="s">
        <v>234</v>
      </c>
      <c r="H346" s="2" t="s">
        <v>194</v>
      </c>
      <c r="I346" s="2" t="s">
        <v>919</v>
      </c>
      <c r="J346" s="2" t="s">
        <v>19</v>
      </c>
      <c r="K346" s="2" t="s">
        <v>409</v>
      </c>
      <c r="L346" s="7" t="str">
        <f>HYPERLINK("http://slimages.macys.com/is/image/MCY/8185331 ")</f>
        <v xml:space="preserve">http://slimages.macys.com/is/image/MCY/8185331 </v>
      </c>
    </row>
    <row r="347" spans="1:12" ht="24.75" x14ac:dyDescent="0.25">
      <c r="A347" s="4" t="s">
        <v>1289</v>
      </c>
      <c r="B347" s="2" t="s">
        <v>1279</v>
      </c>
      <c r="C347" s="3">
        <v>1</v>
      </c>
      <c r="D347" s="5">
        <v>27.99</v>
      </c>
      <c r="E347" s="3" t="s">
        <v>1280</v>
      </c>
      <c r="F347" s="2" t="s">
        <v>566</v>
      </c>
      <c r="G347" s="6"/>
      <c r="H347" s="2" t="s">
        <v>312</v>
      </c>
      <c r="I347" s="2" t="s">
        <v>1112</v>
      </c>
      <c r="J347" s="2" t="s">
        <v>19</v>
      </c>
      <c r="K347" s="2" t="s">
        <v>409</v>
      </c>
      <c r="L347" s="7" t="str">
        <f>HYPERLINK("http://slimages.macys.com/is/image/MCY/3832970 ")</f>
        <v xml:space="preserve">http://slimages.macys.com/is/image/MCY/3832970 </v>
      </c>
    </row>
    <row r="348" spans="1:12" ht="24.75" x14ac:dyDescent="0.25">
      <c r="A348" s="4" t="s">
        <v>1300</v>
      </c>
      <c r="B348" s="2" t="s">
        <v>1279</v>
      </c>
      <c r="C348" s="3">
        <v>4</v>
      </c>
      <c r="D348" s="5">
        <v>27.99</v>
      </c>
      <c r="E348" s="3" t="s">
        <v>1286</v>
      </c>
      <c r="F348" s="2" t="s">
        <v>506</v>
      </c>
      <c r="G348" s="6" t="s">
        <v>181</v>
      </c>
      <c r="H348" s="2" t="s">
        <v>194</v>
      </c>
      <c r="I348" s="2" t="s">
        <v>919</v>
      </c>
      <c r="J348" s="2" t="s">
        <v>19</v>
      </c>
      <c r="K348" s="2" t="s">
        <v>409</v>
      </c>
      <c r="L348" s="7" t="str">
        <f>HYPERLINK("http://slimages.macys.com/is/image/MCY/8185331 ")</f>
        <v xml:space="preserve">http://slimages.macys.com/is/image/MCY/8185331 </v>
      </c>
    </row>
    <row r="349" spans="1:12" ht="24.75" x14ac:dyDescent="0.25">
      <c r="A349" s="4" t="s">
        <v>10168</v>
      </c>
      <c r="B349" s="2" t="s">
        <v>8160</v>
      </c>
      <c r="C349" s="3">
        <v>1</v>
      </c>
      <c r="D349" s="5">
        <v>34.99</v>
      </c>
      <c r="E349" s="3" t="s">
        <v>8161</v>
      </c>
      <c r="F349" s="2" t="s">
        <v>111</v>
      </c>
      <c r="G349" s="6"/>
      <c r="H349" s="2" t="s">
        <v>312</v>
      </c>
      <c r="I349" s="2" t="s">
        <v>195</v>
      </c>
      <c r="J349" s="2" t="s">
        <v>19</v>
      </c>
      <c r="K349" s="2" t="s">
        <v>247</v>
      </c>
      <c r="L349" s="7" t="str">
        <f>HYPERLINK("http://slimages.macys.com/is/image/MCY/9108604 ")</f>
        <v xml:space="preserve">http://slimages.macys.com/is/image/MCY/9108604 </v>
      </c>
    </row>
    <row r="350" spans="1:12" ht="24.75" x14ac:dyDescent="0.25">
      <c r="A350" s="4" t="s">
        <v>5857</v>
      </c>
      <c r="B350" s="2" t="s">
        <v>1294</v>
      </c>
      <c r="C350" s="3">
        <v>1</v>
      </c>
      <c r="D350" s="5">
        <v>37.130000000000003</v>
      </c>
      <c r="E350" s="3">
        <v>100002345</v>
      </c>
      <c r="F350" s="2" t="s">
        <v>64</v>
      </c>
      <c r="G350" s="6" t="s">
        <v>181</v>
      </c>
      <c r="H350" s="2" t="s">
        <v>284</v>
      </c>
      <c r="I350" s="2" t="s">
        <v>285</v>
      </c>
      <c r="J350" s="2" t="s">
        <v>19</v>
      </c>
      <c r="K350" s="2" t="s">
        <v>2669</v>
      </c>
      <c r="L350" s="7" t="str">
        <f>HYPERLINK("http://slimages.macys.com/is/image/MCY/8660800 ")</f>
        <v xml:space="preserve">http://slimages.macys.com/is/image/MCY/8660800 </v>
      </c>
    </row>
    <row r="351" spans="1:12" ht="24.75" x14ac:dyDescent="0.25">
      <c r="A351" s="4" t="s">
        <v>1298</v>
      </c>
      <c r="B351" s="2" t="s">
        <v>1279</v>
      </c>
      <c r="C351" s="3">
        <v>1</v>
      </c>
      <c r="D351" s="5">
        <v>27.99</v>
      </c>
      <c r="E351" s="3" t="s">
        <v>1286</v>
      </c>
      <c r="F351" s="2" t="s">
        <v>506</v>
      </c>
      <c r="G351" s="6" t="s">
        <v>200</v>
      </c>
      <c r="H351" s="2" t="s">
        <v>194</v>
      </c>
      <c r="I351" s="2" t="s">
        <v>919</v>
      </c>
      <c r="J351" s="2" t="s">
        <v>19</v>
      </c>
      <c r="K351" s="2" t="s">
        <v>409</v>
      </c>
      <c r="L351" s="7" t="str">
        <f>HYPERLINK("http://slimages.macys.com/is/image/MCY/8185331 ")</f>
        <v xml:space="preserve">http://slimages.macys.com/is/image/MCY/8185331 </v>
      </c>
    </row>
    <row r="352" spans="1:12" ht="24.75" x14ac:dyDescent="0.25">
      <c r="A352" s="4" t="s">
        <v>1285</v>
      </c>
      <c r="B352" s="2" t="s">
        <v>1279</v>
      </c>
      <c r="C352" s="3">
        <v>4</v>
      </c>
      <c r="D352" s="5">
        <v>27.99</v>
      </c>
      <c r="E352" s="3" t="s">
        <v>1286</v>
      </c>
      <c r="F352" s="2" t="s">
        <v>506</v>
      </c>
      <c r="G352" s="6" t="s">
        <v>154</v>
      </c>
      <c r="H352" s="2" t="s">
        <v>194</v>
      </c>
      <c r="I352" s="2" t="s">
        <v>919</v>
      </c>
      <c r="J352" s="2" t="s">
        <v>19</v>
      </c>
      <c r="K352" s="2" t="s">
        <v>409</v>
      </c>
      <c r="L352" s="7" t="str">
        <f>HYPERLINK("http://slimages.macys.com/is/image/MCY/8185331 ")</f>
        <v xml:space="preserve">http://slimages.macys.com/is/image/MCY/8185331 </v>
      </c>
    </row>
    <row r="353" spans="1:12" ht="24.75" x14ac:dyDescent="0.25">
      <c r="A353" s="4" t="s">
        <v>5858</v>
      </c>
      <c r="B353" s="2" t="s">
        <v>1307</v>
      </c>
      <c r="C353" s="3">
        <v>1</v>
      </c>
      <c r="D353" s="5">
        <v>32.5</v>
      </c>
      <c r="E353" s="3" t="s">
        <v>1308</v>
      </c>
      <c r="F353" s="2" t="s">
        <v>193</v>
      </c>
      <c r="G353" s="6" t="s">
        <v>200</v>
      </c>
      <c r="H353" s="2" t="s">
        <v>194</v>
      </c>
      <c r="I353" s="2" t="s">
        <v>195</v>
      </c>
      <c r="J353" s="2" t="s">
        <v>19</v>
      </c>
      <c r="K353" s="2" t="s">
        <v>1108</v>
      </c>
      <c r="L353" s="7" t="str">
        <f>HYPERLINK("http://slimages.macys.com/is/image/MCY/12950211 ")</f>
        <v xml:space="preserve">http://slimages.macys.com/is/image/MCY/12950211 </v>
      </c>
    </row>
    <row r="354" spans="1:12" ht="24.75" x14ac:dyDescent="0.25">
      <c r="A354" s="4" t="s">
        <v>8692</v>
      </c>
      <c r="B354" s="2" t="s">
        <v>1314</v>
      </c>
      <c r="C354" s="3">
        <v>1</v>
      </c>
      <c r="D354" s="5">
        <v>24.99</v>
      </c>
      <c r="E354" s="3">
        <v>100010068</v>
      </c>
      <c r="F354" s="2" t="s">
        <v>998</v>
      </c>
      <c r="G354" s="6" t="s">
        <v>65</v>
      </c>
      <c r="H354" s="2" t="s">
        <v>228</v>
      </c>
      <c r="I354" s="2" t="s">
        <v>863</v>
      </c>
      <c r="J354" s="2" t="s">
        <v>19</v>
      </c>
      <c r="K354" s="2" t="s">
        <v>1315</v>
      </c>
      <c r="L354" s="7" t="str">
        <f>HYPERLINK("http://slimages.macys.com/is/image/MCY/9190991 ")</f>
        <v xml:space="preserve">http://slimages.macys.com/is/image/MCY/9190991 </v>
      </c>
    </row>
    <row r="355" spans="1:12" ht="24.75" x14ac:dyDescent="0.25">
      <c r="A355" s="4" t="s">
        <v>10169</v>
      </c>
      <c r="B355" s="2" t="s">
        <v>3845</v>
      </c>
      <c r="C355" s="3">
        <v>5</v>
      </c>
      <c r="D355" s="5">
        <v>24.99</v>
      </c>
      <c r="E355" s="3" t="s">
        <v>3846</v>
      </c>
      <c r="F355" s="2" t="s">
        <v>74</v>
      </c>
      <c r="G355" s="6" t="s">
        <v>234</v>
      </c>
      <c r="H355" s="2" t="s">
        <v>1522</v>
      </c>
      <c r="I355" s="2" t="s">
        <v>1469</v>
      </c>
      <c r="J355" s="2" t="s">
        <v>19</v>
      </c>
      <c r="K355" s="2" t="s">
        <v>3851</v>
      </c>
      <c r="L355" s="7" t="str">
        <f t="shared" ref="L355:L363" si="9">HYPERLINK("http://slimages.macys.com/is/image/MCY/10888246 ")</f>
        <v xml:space="preserve">http://slimages.macys.com/is/image/MCY/10888246 </v>
      </c>
    </row>
    <row r="356" spans="1:12" ht="24.75" x14ac:dyDescent="0.25">
      <c r="A356" s="4" t="s">
        <v>3847</v>
      </c>
      <c r="B356" s="2" t="s">
        <v>3845</v>
      </c>
      <c r="C356" s="3">
        <v>1</v>
      </c>
      <c r="D356" s="5">
        <v>24.99</v>
      </c>
      <c r="E356" s="3" t="s">
        <v>3846</v>
      </c>
      <c r="F356" s="2" t="s">
        <v>74</v>
      </c>
      <c r="G356" s="6" t="s">
        <v>156</v>
      </c>
      <c r="H356" s="2" t="s">
        <v>1522</v>
      </c>
      <c r="I356" s="2" t="s">
        <v>1469</v>
      </c>
      <c r="J356" s="2" t="s">
        <v>19</v>
      </c>
      <c r="K356" s="2" t="s">
        <v>3851</v>
      </c>
      <c r="L356" s="7" t="str">
        <f t="shared" si="9"/>
        <v xml:space="preserve">http://slimages.macys.com/is/image/MCY/10888246 </v>
      </c>
    </row>
    <row r="357" spans="1:12" ht="24.75" x14ac:dyDescent="0.25">
      <c r="A357" s="4" t="s">
        <v>3848</v>
      </c>
      <c r="B357" s="2" t="s">
        <v>3845</v>
      </c>
      <c r="C357" s="3">
        <v>1</v>
      </c>
      <c r="D357" s="5">
        <v>24.99</v>
      </c>
      <c r="E357" s="3" t="s">
        <v>3846</v>
      </c>
      <c r="F357" s="2" t="s">
        <v>74</v>
      </c>
      <c r="G357" s="6" t="s">
        <v>245</v>
      </c>
      <c r="H357" s="2" t="s">
        <v>1522</v>
      </c>
      <c r="I357" s="2" t="s">
        <v>1469</v>
      </c>
      <c r="J357" s="2" t="s">
        <v>19</v>
      </c>
      <c r="K357" s="2" t="s">
        <v>3851</v>
      </c>
      <c r="L357" s="7" t="str">
        <f t="shared" si="9"/>
        <v xml:space="preserve">http://slimages.macys.com/is/image/MCY/10888246 </v>
      </c>
    </row>
    <row r="358" spans="1:12" ht="24.75" x14ac:dyDescent="0.25">
      <c r="A358" s="4" t="s">
        <v>3844</v>
      </c>
      <c r="B358" s="2" t="s">
        <v>3845</v>
      </c>
      <c r="C358" s="3">
        <v>3</v>
      </c>
      <c r="D358" s="5">
        <v>24.99</v>
      </c>
      <c r="E358" s="3" t="s">
        <v>3846</v>
      </c>
      <c r="F358" s="2" t="s">
        <v>15</v>
      </c>
      <c r="G358" s="6" t="s">
        <v>181</v>
      </c>
      <c r="H358" s="2" t="s">
        <v>1522</v>
      </c>
      <c r="I358" s="2" t="s">
        <v>1469</v>
      </c>
      <c r="J358" s="2" t="s">
        <v>19</v>
      </c>
      <c r="K358" s="2" t="s">
        <v>3851</v>
      </c>
      <c r="L358" s="7" t="str">
        <f t="shared" si="9"/>
        <v xml:space="preserve">http://slimages.macys.com/is/image/MCY/10888246 </v>
      </c>
    </row>
    <row r="359" spans="1:12" ht="24.75" x14ac:dyDescent="0.25">
      <c r="A359" s="4" t="s">
        <v>3852</v>
      </c>
      <c r="B359" s="2" t="s">
        <v>3845</v>
      </c>
      <c r="C359" s="3">
        <v>2</v>
      </c>
      <c r="D359" s="5">
        <v>24.99</v>
      </c>
      <c r="E359" s="3" t="s">
        <v>3846</v>
      </c>
      <c r="F359" s="2" t="s">
        <v>74</v>
      </c>
      <c r="G359" s="6" t="s">
        <v>181</v>
      </c>
      <c r="H359" s="2" t="s">
        <v>1522</v>
      </c>
      <c r="I359" s="2" t="s">
        <v>1469</v>
      </c>
      <c r="J359" s="2" t="s">
        <v>19</v>
      </c>
      <c r="K359" s="2" t="s">
        <v>3851</v>
      </c>
      <c r="L359" s="7" t="str">
        <f t="shared" si="9"/>
        <v xml:space="preserve">http://slimages.macys.com/is/image/MCY/10888246 </v>
      </c>
    </row>
    <row r="360" spans="1:12" ht="24.75" x14ac:dyDescent="0.25">
      <c r="A360" s="4" t="s">
        <v>10170</v>
      </c>
      <c r="B360" s="2" t="s">
        <v>3845</v>
      </c>
      <c r="C360" s="3">
        <v>4</v>
      </c>
      <c r="D360" s="5">
        <v>24.99</v>
      </c>
      <c r="E360" s="3" t="s">
        <v>3846</v>
      </c>
      <c r="F360" s="2" t="s">
        <v>15</v>
      </c>
      <c r="G360" s="6" t="s">
        <v>156</v>
      </c>
      <c r="H360" s="2" t="s">
        <v>1522</v>
      </c>
      <c r="I360" s="2" t="s">
        <v>1469</v>
      </c>
      <c r="J360" s="2" t="s">
        <v>19</v>
      </c>
      <c r="K360" s="2" t="s">
        <v>3851</v>
      </c>
      <c r="L360" s="7" t="str">
        <f t="shared" si="9"/>
        <v xml:space="preserve">http://slimages.macys.com/is/image/MCY/10888246 </v>
      </c>
    </row>
    <row r="361" spans="1:12" ht="24.75" x14ac:dyDescent="0.25">
      <c r="A361" s="4" t="s">
        <v>10171</v>
      </c>
      <c r="B361" s="2" t="s">
        <v>3845</v>
      </c>
      <c r="C361" s="3">
        <v>5</v>
      </c>
      <c r="D361" s="5">
        <v>24.99</v>
      </c>
      <c r="E361" s="3" t="s">
        <v>3846</v>
      </c>
      <c r="F361" s="2" t="s">
        <v>15</v>
      </c>
      <c r="G361" s="6" t="s">
        <v>154</v>
      </c>
      <c r="H361" s="2" t="s">
        <v>1522</v>
      </c>
      <c r="I361" s="2" t="s">
        <v>1469</v>
      </c>
      <c r="J361" s="2" t="s">
        <v>19</v>
      </c>
      <c r="K361" s="2" t="s">
        <v>3851</v>
      </c>
      <c r="L361" s="7" t="str">
        <f t="shared" si="9"/>
        <v xml:space="preserve">http://slimages.macys.com/is/image/MCY/10888246 </v>
      </c>
    </row>
    <row r="362" spans="1:12" ht="24.75" x14ac:dyDescent="0.25">
      <c r="A362" s="4" t="s">
        <v>10172</v>
      </c>
      <c r="B362" s="2" t="s">
        <v>3845</v>
      </c>
      <c r="C362" s="3">
        <v>2</v>
      </c>
      <c r="D362" s="5">
        <v>24.99</v>
      </c>
      <c r="E362" s="3" t="s">
        <v>3846</v>
      </c>
      <c r="F362" s="2" t="s">
        <v>15</v>
      </c>
      <c r="G362" s="6" t="s">
        <v>245</v>
      </c>
      <c r="H362" s="2" t="s">
        <v>1522</v>
      </c>
      <c r="I362" s="2" t="s">
        <v>1469</v>
      </c>
      <c r="J362" s="2" t="s">
        <v>19</v>
      </c>
      <c r="K362" s="2" t="s">
        <v>3851</v>
      </c>
      <c r="L362" s="7" t="str">
        <f t="shared" si="9"/>
        <v xml:space="preserve">http://slimages.macys.com/is/image/MCY/10888246 </v>
      </c>
    </row>
    <row r="363" spans="1:12" ht="24.75" x14ac:dyDescent="0.25">
      <c r="A363" s="4" t="s">
        <v>3850</v>
      </c>
      <c r="B363" s="2" t="s">
        <v>3845</v>
      </c>
      <c r="C363" s="3">
        <v>4</v>
      </c>
      <c r="D363" s="5">
        <v>24.99</v>
      </c>
      <c r="E363" s="3" t="s">
        <v>3846</v>
      </c>
      <c r="F363" s="2" t="s">
        <v>15</v>
      </c>
      <c r="G363" s="6" t="s">
        <v>234</v>
      </c>
      <c r="H363" s="2" t="s">
        <v>1522</v>
      </c>
      <c r="I363" s="2" t="s">
        <v>1469</v>
      </c>
      <c r="J363" s="2" t="s">
        <v>19</v>
      </c>
      <c r="K363" s="2" t="s">
        <v>3851</v>
      </c>
      <c r="L363" s="7" t="str">
        <f t="shared" si="9"/>
        <v xml:space="preserve">http://slimages.macys.com/is/image/MCY/10888246 </v>
      </c>
    </row>
    <row r="364" spans="1:12" ht="24.75" x14ac:dyDescent="0.25">
      <c r="A364" s="4" t="s">
        <v>8170</v>
      </c>
      <c r="B364" s="2" t="s">
        <v>2678</v>
      </c>
      <c r="C364" s="3">
        <v>1</v>
      </c>
      <c r="D364" s="5">
        <v>24.99</v>
      </c>
      <c r="E364" s="3" t="s">
        <v>6619</v>
      </c>
      <c r="F364" s="2" t="s">
        <v>878</v>
      </c>
      <c r="G364" s="6" t="s">
        <v>7472</v>
      </c>
      <c r="H364" s="2" t="s">
        <v>228</v>
      </c>
      <c r="I364" s="2" t="s">
        <v>863</v>
      </c>
      <c r="J364" s="2" t="s">
        <v>19</v>
      </c>
      <c r="K364" s="2" t="s">
        <v>253</v>
      </c>
      <c r="L364" s="7" t="str">
        <f>HYPERLINK("http://slimages.macys.com/is/image/MCY/11804521 ")</f>
        <v xml:space="preserve">http://slimages.macys.com/is/image/MCY/11804521 </v>
      </c>
    </row>
    <row r="365" spans="1:12" ht="24.75" x14ac:dyDescent="0.25">
      <c r="A365" s="4" t="s">
        <v>6618</v>
      </c>
      <c r="B365" s="2" t="s">
        <v>2678</v>
      </c>
      <c r="C365" s="3">
        <v>1</v>
      </c>
      <c r="D365" s="5">
        <v>24.99</v>
      </c>
      <c r="E365" s="3" t="s">
        <v>6619</v>
      </c>
      <c r="F365" s="2" t="s">
        <v>878</v>
      </c>
      <c r="G365" s="6" t="s">
        <v>16</v>
      </c>
      <c r="H365" s="2" t="s">
        <v>228</v>
      </c>
      <c r="I365" s="2" t="s">
        <v>863</v>
      </c>
      <c r="J365" s="2" t="s">
        <v>19</v>
      </c>
      <c r="K365" s="2" t="s">
        <v>253</v>
      </c>
      <c r="L365" s="7" t="str">
        <f>HYPERLINK("http://slimages.macys.com/is/image/MCY/11804521 ")</f>
        <v xml:space="preserve">http://slimages.macys.com/is/image/MCY/11804521 </v>
      </c>
    </row>
    <row r="366" spans="1:12" ht="48.75" x14ac:dyDescent="0.25">
      <c r="A366" s="4" t="s">
        <v>10173</v>
      </c>
      <c r="B366" s="2" t="s">
        <v>984</v>
      </c>
      <c r="C366" s="3">
        <v>1</v>
      </c>
      <c r="D366" s="5">
        <v>44.63</v>
      </c>
      <c r="E366" s="3" t="s">
        <v>985</v>
      </c>
      <c r="F366" s="2" t="s">
        <v>74</v>
      </c>
      <c r="G366" s="6" t="s">
        <v>58</v>
      </c>
      <c r="H366" s="2" t="s">
        <v>246</v>
      </c>
      <c r="I366" s="2" t="s">
        <v>487</v>
      </c>
      <c r="J366" s="2" t="s">
        <v>19</v>
      </c>
      <c r="K366" s="2" t="s">
        <v>787</v>
      </c>
      <c r="L366" s="7" t="str">
        <f>HYPERLINK("http://slimages.macys.com/is/image/MCY/9213839 ")</f>
        <v xml:space="preserve">http://slimages.macys.com/is/image/MCY/9213839 </v>
      </c>
    </row>
    <row r="367" spans="1:12" ht="24.75" x14ac:dyDescent="0.25">
      <c r="A367" s="4" t="s">
        <v>10174</v>
      </c>
      <c r="B367" s="2" t="s">
        <v>1356</v>
      </c>
      <c r="C367" s="3">
        <v>1</v>
      </c>
      <c r="D367" s="5">
        <v>29.99</v>
      </c>
      <c r="E367" s="3">
        <v>100045815</v>
      </c>
      <c r="F367" s="2" t="s">
        <v>26</v>
      </c>
      <c r="G367" s="6" t="s">
        <v>65</v>
      </c>
      <c r="H367" s="2" t="s">
        <v>228</v>
      </c>
      <c r="I367" s="2" t="s">
        <v>229</v>
      </c>
      <c r="J367" s="2" t="s">
        <v>19</v>
      </c>
      <c r="K367" s="2" t="s">
        <v>353</v>
      </c>
      <c r="L367" s="7" t="str">
        <f>HYPERLINK("http://slimages.macys.com/is/image/MCY/11936020 ")</f>
        <v xml:space="preserve">http://slimages.macys.com/is/image/MCY/11936020 </v>
      </c>
    </row>
    <row r="368" spans="1:12" ht="24.75" x14ac:dyDescent="0.25">
      <c r="A368" s="4" t="s">
        <v>5883</v>
      </c>
      <c r="B368" s="2" t="s">
        <v>1318</v>
      </c>
      <c r="C368" s="3">
        <v>1</v>
      </c>
      <c r="D368" s="5">
        <v>24.99</v>
      </c>
      <c r="E368" s="3" t="s">
        <v>1321</v>
      </c>
      <c r="F368" s="2" t="s">
        <v>506</v>
      </c>
      <c r="G368" s="6" t="s">
        <v>22</v>
      </c>
      <c r="H368" s="2" t="s">
        <v>228</v>
      </c>
      <c r="I368" s="2" t="s">
        <v>229</v>
      </c>
      <c r="J368" s="2" t="s">
        <v>19</v>
      </c>
      <c r="K368" s="2" t="s">
        <v>253</v>
      </c>
      <c r="L368" s="7" t="str">
        <f>HYPERLINK("http://slimages.macys.com/is/image/MCY/8296032 ")</f>
        <v xml:space="preserve">http://slimages.macys.com/is/image/MCY/8296032 </v>
      </c>
    </row>
    <row r="369" spans="1:12" ht="24.75" x14ac:dyDescent="0.25">
      <c r="A369" s="4" t="s">
        <v>2697</v>
      </c>
      <c r="B369" s="2" t="s">
        <v>1356</v>
      </c>
      <c r="C369" s="3">
        <v>1</v>
      </c>
      <c r="D369" s="5">
        <v>29.99</v>
      </c>
      <c r="E369" s="3">
        <v>100045815</v>
      </c>
      <c r="F369" s="2" t="s">
        <v>26</v>
      </c>
      <c r="G369" s="6" t="s">
        <v>22</v>
      </c>
      <c r="H369" s="2" t="s">
        <v>228</v>
      </c>
      <c r="I369" s="2" t="s">
        <v>229</v>
      </c>
      <c r="J369" s="2" t="s">
        <v>19</v>
      </c>
      <c r="K369" s="2" t="s">
        <v>353</v>
      </c>
      <c r="L369" s="7" t="str">
        <f>HYPERLINK("http://slimages.macys.com/is/image/MCY/11936020 ")</f>
        <v xml:space="preserve">http://slimages.macys.com/is/image/MCY/11936020 </v>
      </c>
    </row>
    <row r="370" spans="1:12" ht="24.75" x14ac:dyDescent="0.25">
      <c r="A370" s="4" t="s">
        <v>6641</v>
      </c>
      <c r="B370" s="2" t="s">
        <v>1318</v>
      </c>
      <c r="C370" s="3">
        <v>1</v>
      </c>
      <c r="D370" s="5">
        <v>24.99</v>
      </c>
      <c r="E370" s="3" t="s">
        <v>1321</v>
      </c>
      <c r="F370" s="2" t="s">
        <v>376</v>
      </c>
      <c r="G370" s="6" t="s">
        <v>16</v>
      </c>
      <c r="H370" s="2" t="s">
        <v>228</v>
      </c>
      <c r="I370" s="2" t="s">
        <v>229</v>
      </c>
      <c r="J370" s="2" t="s">
        <v>19</v>
      </c>
      <c r="K370" s="2" t="s">
        <v>253</v>
      </c>
      <c r="L370" s="7" t="str">
        <f>HYPERLINK("http://slimages.macys.com/is/image/MCY/9029356 ")</f>
        <v xml:space="preserve">http://slimages.macys.com/is/image/MCY/9029356 </v>
      </c>
    </row>
    <row r="371" spans="1:12" ht="24.75" x14ac:dyDescent="0.25">
      <c r="A371" s="4" t="s">
        <v>2705</v>
      </c>
      <c r="B371" s="2" t="s">
        <v>1318</v>
      </c>
      <c r="C371" s="3">
        <v>3</v>
      </c>
      <c r="D371" s="5">
        <v>24.99</v>
      </c>
      <c r="E371" s="3" t="s">
        <v>1321</v>
      </c>
      <c r="F371" s="2" t="s">
        <v>506</v>
      </c>
      <c r="G371" s="6" t="s">
        <v>106</v>
      </c>
      <c r="H371" s="2" t="s">
        <v>228</v>
      </c>
      <c r="I371" s="2" t="s">
        <v>229</v>
      </c>
      <c r="J371" s="2" t="s">
        <v>19</v>
      </c>
      <c r="K371" s="2" t="s">
        <v>253</v>
      </c>
      <c r="L371" s="7" t="str">
        <f>HYPERLINK("http://slimages.macys.com/is/image/MCY/8296032 ")</f>
        <v xml:space="preserve">http://slimages.macys.com/is/image/MCY/8296032 </v>
      </c>
    </row>
    <row r="372" spans="1:12" ht="24.75" x14ac:dyDescent="0.25">
      <c r="A372" s="4" t="s">
        <v>1350</v>
      </c>
      <c r="B372" s="2" t="s">
        <v>1318</v>
      </c>
      <c r="C372" s="3">
        <v>1</v>
      </c>
      <c r="D372" s="5">
        <v>24.99</v>
      </c>
      <c r="E372" s="3" t="s">
        <v>1321</v>
      </c>
      <c r="F372" s="2" t="s">
        <v>506</v>
      </c>
      <c r="G372" s="6" t="s">
        <v>58</v>
      </c>
      <c r="H372" s="2" t="s">
        <v>228</v>
      </c>
      <c r="I372" s="2" t="s">
        <v>229</v>
      </c>
      <c r="J372" s="2" t="s">
        <v>19</v>
      </c>
      <c r="K372" s="2" t="s">
        <v>253</v>
      </c>
      <c r="L372" s="7" t="str">
        <f>HYPERLINK("http://slimages.macys.com/is/image/MCY/8296032 ")</f>
        <v xml:space="preserve">http://slimages.macys.com/is/image/MCY/8296032 </v>
      </c>
    </row>
    <row r="373" spans="1:12" ht="24.75" x14ac:dyDescent="0.25">
      <c r="A373" s="4" t="s">
        <v>3884</v>
      </c>
      <c r="B373" s="2" t="s">
        <v>1253</v>
      </c>
      <c r="C373" s="3">
        <v>1</v>
      </c>
      <c r="D373" s="5">
        <v>24.99</v>
      </c>
      <c r="E373" s="3" t="s">
        <v>2688</v>
      </c>
      <c r="F373" s="2" t="s">
        <v>506</v>
      </c>
      <c r="G373" s="6" t="s">
        <v>934</v>
      </c>
      <c r="H373" s="2" t="s">
        <v>426</v>
      </c>
      <c r="I373" s="2" t="s">
        <v>863</v>
      </c>
      <c r="J373" s="2" t="s">
        <v>19</v>
      </c>
      <c r="K373" s="2" t="s">
        <v>253</v>
      </c>
      <c r="L373" s="7" t="str">
        <f>HYPERLINK("http://slimages.macys.com/is/image/MCY/9029356 ")</f>
        <v xml:space="preserve">http://slimages.macys.com/is/image/MCY/9029356 </v>
      </c>
    </row>
    <row r="374" spans="1:12" ht="24.75" x14ac:dyDescent="0.25">
      <c r="A374" s="4" t="s">
        <v>2691</v>
      </c>
      <c r="B374" s="2" t="s">
        <v>1318</v>
      </c>
      <c r="C374" s="3">
        <v>1</v>
      </c>
      <c r="D374" s="5">
        <v>24.99</v>
      </c>
      <c r="E374" s="3" t="s">
        <v>1321</v>
      </c>
      <c r="F374" s="2" t="s">
        <v>506</v>
      </c>
      <c r="G374" s="6" t="s">
        <v>16</v>
      </c>
      <c r="H374" s="2" t="s">
        <v>228</v>
      </c>
      <c r="I374" s="2" t="s">
        <v>229</v>
      </c>
      <c r="J374" s="2" t="s">
        <v>19</v>
      </c>
      <c r="K374" s="2" t="s">
        <v>253</v>
      </c>
      <c r="L374" s="7" t="str">
        <f>HYPERLINK("http://slimages.macys.com/is/image/MCY/8296032 ")</f>
        <v xml:space="preserve">http://slimages.macys.com/is/image/MCY/8296032 </v>
      </c>
    </row>
    <row r="375" spans="1:12" ht="24.75" x14ac:dyDescent="0.25">
      <c r="A375" s="4" t="s">
        <v>10175</v>
      </c>
      <c r="B375" s="2" t="s">
        <v>1356</v>
      </c>
      <c r="C375" s="3">
        <v>1</v>
      </c>
      <c r="D375" s="5">
        <v>34.5</v>
      </c>
      <c r="E375" s="3" t="s">
        <v>1357</v>
      </c>
      <c r="F375" s="2" t="s">
        <v>26</v>
      </c>
      <c r="G375" s="6" t="s">
        <v>205</v>
      </c>
      <c r="H375" s="2" t="s">
        <v>426</v>
      </c>
      <c r="I375" s="2" t="s">
        <v>229</v>
      </c>
      <c r="J375" s="2" t="s">
        <v>19</v>
      </c>
      <c r="K375" s="2" t="s">
        <v>107</v>
      </c>
      <c r="L375" s="7" t="str">
        <f>HYPERLINK("http://slimages.macys.com/is/image/MCY/16355207 ")</f>
        <v xml:space="preserve">http://slimages.macys.com/is/image/MCY/16355207 </v>
      </c>
    </row>
    <row r="376" spans="1:12" ht="24.75" x14ac:dyDescent="0.25">
      <c r="A376" s="4" t="s">
        <v>3888</v>
      </c>
      <c r="B376" s="2" t="s">
        <v>1365</v>
      </c>
      <c r="C376" s="3">
        <v>1</v>
      </c>
      <c r="D376" s="5">
        <v>37.130000000000003</v>
      </c>
      <c r="E376" s="3">
        <v>100065803</v>
      </c>
      <c r="F376" s="2" t="s">
        <v>74</v>
      </c>
      <c r="G376" s="6" t="s">
        <v>154</v>
      </c>
      <c r="H376" s="2" t="s">
        <v>194</v>
      </c>
      <c r="I376" s="2" t="s">
        <v>195</v>
      </c>
      <c r="J376" s="2" t="s">
        <v>19</v>
      </c>
      <c r="K376" s="2" t="s">
        <v>353</v>
      </c>
      <c r="L376" s="7" t="str">
        <f>HYPERLINK("http://slimages.macys.com/is/image/MCY/12850008 ")</f>
        <v xml:space="preserve">http://slimages.macys.com/is/image/MCY/12850008 </v>
      </c>
    </row>
    <row r="377" spans="1:12" ht="24.75" x14ac:dyDescent="0.25">
      <c r="A377" s="4" t="s">
        <v>6648</v>
      </c>
      <c r="B377" s="2" t="s">
        <v>1365</v>
      </c>
      <c r="C377" s="3">
        <v>1</v>
      </c>
      <c r="D377" s="5">
        <v>37.130000000000003</v>
      </c>
      <c r="E377" s="3">
        <v>100065803</v>
      </c>
      <c r="F377" s="2" t="s">
        <v>74</v>
      </c>
      <c r="G377" s="6" t="s">
        <v>181</v>
      </c>
      <c r="H377" s="2" t="s">
        <v>194</v>
      </c>
      <c r="I377" s="2" t="s">
        <v>195</v>
      </c>
      <c r="J377" s="2" t="s">
        <v>19</v>
      </c>
      <c r="K377" s="2" t="s">
        <v>353</v>
      </c>
      <c r="L377" s="7" t="str">
        <f>HYPERLINK("http://slimages.macys.com/is/image/MCY/12850008 ")</f>
        <v xml:space="preserve">http://slimages.macys.com/is/image/MCY/12850008 </v>
      </c>
    </row>
    <row r="378" spans="1:12" ht="24.75" x14ac:dyDescent="0.25">
      <c r="A378" s="4" t="s">
        <v>1366</v>
      </c>
      <c r="B378" s="2" t="s">
        <v>1365</v>
      </c>
      <c r="C378" s="3">
        <v>1</v>
      </c>
      <c r="D378" s="5">
        <v>37.130000000000003</v>
      </c>
      <c r="E378" s="3">
        <v>100065803</v>
      </c>
      <c r="F378" s="2" t="s">
        <v>74</v>
      </c>
      <c r="G378" s="6" t="s">
        <v>200</v>
      </c>
      <c r="H378" s="2" t="s">
        <v>194</v>
      </c>
      <c r="I378" s="2" t="s">
        <v>195</v>
      </c>
      <c r="J378" s="2" t="s">
        <v>19</v>
      </c>
      <c r="K378" s="2" t="s">
        <v>353</v>
      </c>
      <c r="L378" s="7" t="str">
        <f>HYPERLINK("http://slimages.macys.com/is/image/MCY/12850008 ")</f>
        <v xml:space="preserve">http://slimages.macys.com/is/image/MCY/12850008 </v>
      </c>
    </row>
    <row r="379" spans="1:12" ht="24.75" x14ac:dyDescent="0.25">
      <c r="A379" s="4" t="s">
        <v>1368</v>
      </c>
      <c r="B379" s="2" t="s">
        <v>1365</v>
      </c>
      <c r="C379" s="3">
        <v>1</v>
      </c>
      <c r="D379" s="5">
        <v>37.130000000000003</v>
      </c>
      <c r="E379" s="3">
        <v>100065803</v>
      </c>
      <c r="F379" s="2" t="s">
        <v>15</v>
      </c>
      <c r="G379" s="6" t="s">
        <v>156</v>
      </c>
      <c r="H379" s="2" t="s">
        <v>194</v>
      </c>
      <c r="I379" s="2" t="s">
        <v>195</v>
      </c>
      <c r="J379" s="2" t="s">
        <v>19</v>
      </c>
      <c r="K379" s="2" t="s">
        <v>353</v>
      </c>
      <c r="L379" s="7" t="str">
        <f>HYPERLINK("http://slimages.macys.com/is/image/MCY/12850008 ")</f>
        <v xml:space="preserve">http://slimages.macys.com/is/image/MCY/12850008 </v>
      </c>
    </row>
    <row r="380" spans="1:12" ht="24.75" x14ac:dyDescent="0.25">
      <c r="A380" s="4" t="s">
        <v>3887</v>
      </c>
      <c r="B380" s="2" t="s">
        <v>1365</v>
      </c>
      <c r="C380" s="3">
        <v>1</v>
      </c>
      <c r="D380" s="5">
        <v>37.130000000000003</v>
      </c>
      <c r="E380" s="3">
        <v>100065803</v>
      </c>
      <c r="F380" s="2" t="s">
        <v>74</v>
      </c>
      <c r="G380" s="6" t="s">
        <v>234</v>
      </c>
      <c r="H380" s="2" t="s">
        <v>194</v>
      </c>
      <c r="I380" s="2" t="s">
        <v>195</v>
      </c>
      <c r="J380" s="2" t="s">
        <v>19</v>
      </c>
      <c r="K380" s="2" t="s">
        <v>353</v>
      </c>
      <c r="L380" s="7" t="str">
        <f>HYPERLINK("http://slimages.macys.com/is/image/MCY/12850008 ")</f>
        <v xml:space="preserve">http://slimages.macys.com/is/image/MCY/12850008 </v>
      </c>
    </row>
    <row r="381" spans="1:12" ht="24.75" x14ac:dyDescent="0.25">
      <c r="A381" s="4" t="s">
        <v>2710</v>
      </c>
      <c r="B381" s="2" t="s">
        <v>1330</v>
      </c>
      <c r="C381" s="3">
        <v>1</v>
      </c>
      <c r="D381" s="5">
        <v>37.130000000000003</v>
      </c>
      <c r="E381" s="3" t="s">
        <v>1331</v>
      </c>
      <c r="F381" s="2" t="s">
        <v>125</v>
      </c>
      <c r="G381" s="6" t="s">
        <v>234</v>
      </c>
      <c r="H381" s="2" t="s">
        <v>194</v>
      </c>
      <c r="I381" s="2" t="s">
        <v>195</v>
      </c>
      <c r="J381" s="2" t="s">
        <v>19</v>
      </c>
      <c r="K381" s="2" t="s">
        <v>247</v>
      </c>
      <c r="L381" s="7" t="str">
        <f>HYPERLINK("http://slimages.macys.com/is/image/MCY/10889638 ")</f>
        <v xml:space="preserve">http://slimages.macys.com/is/image/MCY/10889638 </v>
      </c>
    </row>
    <row r="382" spans="1:12" ht="24.75" x14ac:dyDescent="0.25">
      <c r="A382" s="4" t="s">
        <v>10176</v>
      </c>
      <c r="B382" s="2" t="s">
        <v>10177</v>
      </c>
      <c r="C382" s="3">
        <v>1</v>
      </c>
      <c r="D382" s="5">
        <v>33.5</v>
      </c>
      <c r="E382" s="3" t="s">
        <v>10178</v>
      </c>
      <c r="F382" s="2" t="s">
        <v>413</v>
      </c>
      <c r="G382" s="6"/>
      <c r="H382" s="2" t="s">
        <v>312</v>
      </c>
      <c r="I382" s="2" t="s">
        <v>195</v>
      </c>
      <c r="J382" s="2" t="s">
        <v>19</v>
      </c>
      <c r="K382" s="2" t="s">
        <v>247</v>
      </c>
      <c r="L382" s="7" t="str">
        <f>HYPERLINK("http://slimages.macys.com/is/image/MCY/11337269 ")</f>
        <v xml:space="preserve">http://slimages.macys.com/is/image/MCY/11337269 </v>
      </c>
    </row>
    <row r="383" spans="1:12" ht="24.75" x14ac:dyDescent="0.25">
      <c r="A383" s="4" t="s">
        <v>10179</v>
      </c>
      <c r="B383" s="2" t="s">
        <v>10180</v>
      </c>
      <c r="C383" s="3">
        <v>1</v>
      </c>
      <c r="D383" s="5">
        <v>33.5</v>
      </c>
      <c r="E383" s="3" t="s">
        <v>10181</v>
      </c>
      <c r="F383" s="2" t="s">
        <v>676</v>
      </c>
      <c r="G383" s="6"/>
      <c r="H383" s="2" t="s">
        <v>312</v>
      </c>
      <c r="I383" s="2" t="s">
        <v>195</v>
      </c>
      <c r="J383" s="2" t="s">
        <v>19</v>
      </c>
      <c r="K383" s="2" t="s">
        <v>247</v>
      </c>
      <c r="L383" s="7" t="str">
        <f>HYPERLINK("http://slimages.macys.com/is/image/MCY/11337237 ")</f>
        <v xml:space="preserve">http://slimages.macys.com/is/image/MCY/11337237 </v>
      </c>
    </row>
    <row r="384" spans="1:12" ht="24.75" x14ac:dyDescent="0.25">
      <c r="A384" s="4" t="s">
        <v>10182</v>
      </c>
      <c r="B384" s="2" t="s">
        <v>10183</v>
      </c>
      <c r="C384" s="3">
        <v>1</v>
      </c>
      <c r="D384" s="5">
        <v>24.99</v>
      </c>
      <c r="E384" s="3" t="s">
        <v>10184</v>
      </c>
      <c r="F384" s="2" t="s">
        <v>74</v>
      </c>
      <c r="G384" s="6" t="s">
        <v>245</v>
      </c>
      <c r="H384" s="2" t="s">
        <v>1522</v>
      </c>
      <c r="I384" s="2" t="s">
        <v>1469</v>
      </c>
      <c r="J384" s="2" t="s">
        <v>19</v>
      </c>
      <c r="K384" s="2" t="s">
        <v>495</v>
      </c>
      <c r="L384" s="7" t="str">
        <f>HYPERLINK("http://slimages.macys.com/is/image/MCY/11831235 ")</f>
        <v xml:space="preserve">http://slimages.macys.com/is/image/MCY/11831235 </v>
      </c>
    </row>
    <row r="385" spans="1:12" ht="24.75" x14ac:dyDescent="0.25">
      <c r="A385" s="4" t="s">
        <v>10185</v>
      </c>
      <c r="B385" s="2" t="s">
        <v>1271</v>
      </c>
      <c r="C385" s="3">
        <v>1</v>
      </c>
      <c r="D385" s="5">
        <v>33.380000000000003</v>
      </c>
      <c r="E385" s="3" t="s">
        <v>1272</v>
      </c>
      <c r="F385" s="2" t="s">
        <v>74</v>
      </c>
      <c r="G385" s="6" t="s">
        <v>181</v>
      </c>
      <c r="H385" s="2" t="s">
        <v>246</v>
      </c>
      <c r="I385" s="2" t="s">
        <v>189</v>
      </c>
      <c r="J385" s="2" t="s">
        <v>19</v>
      </c>
      <c r="K385" s="2" t="s">
        <v>803</v>
      </c>
      <c r="L385" s="7" t="str">
        <f>HYPERLINK("http://slimages.macys.com/is/image/MCY/11940179 ")</f>
        <v xml:space="preserve">http://slimages.macys.com/is/image/MCY/11940179 </v>
      </c>
    </row>
    <row r="386" spans="1:12" ht="24.75" x14ac:dyDescent="0.25">
      <c r="A386" s="4" t="s">
        <v>10186</v>
      </c>
      <c r="B386" s="2" t="s">
        <v>4968</v>
      </c>
      <c r="C386" s="3">
        <v>1</v>
      </c>
      <c r="D386" s="5">
        <v>37.130000000000003</v>
      </c>
      <c r="E386" s="3" t="s">
        <v>4969</v>
      </c>
      <c r="F386" s="2" t="s">
        <v>57</v>
      </c>
      <c r="G386" s="6" t="s">
        <v>154</v>
      </c>
      <c r="H386" s="2" t="s">
        <v>246</v>
      </c>
      <c r="I386" s="2" t="s">
        <v>189</v>
      </c>
      <c r="J386" s="2" t="s">
        <v>19</v>
      </c>
      <c r="K386" s="2" t="s">
        <v>4970</v>
      </c>
      <c r="L386" s="7" t="str">
        <f>HYPERLINK("http://slimages.macys.com/is/image/MCY/11996174 ")</f>
        <v xml:space="preserve">http://slimages.macys.com/is/image/MCY/11996174 </v>
      </c>
    </row>
    <row r="387" spans="1:12" ht="24.75" x14ac:dyDescent="0.25">
      <c r="A387" s="4" t="s">
        <v>10187</v>
      </c>
      <c r="B387" s="2" t="s">
        <v>8196</v>
      </c>
      <c r="C387" s="3">
        <v>1</v>
      </c>
      <c r="D387" s="5">
        <v>37.130000000000003</v>
      </c>
      <c r="E387" s="3" t="s">
        <v>8197</v>
      </c>
      <c r="F387" s="2" t="s">
        <v>417</v>
      </c>
      <c r="G387" s="6"/>
      <c r="H387" s="2" t="s">
        <v>312</v>
      </c>
      <c r="I387" s="2" t="s">
        <v>195</v>
      </c>
      <c r="J387" s="2" t="s">
        <v>19</v>
      </c>
      <c r="K387" s="2" t="s">
        <v>247</v>
      </c>
      <c r="L387" s="7" t="str">
        <f>HYPERLINK("http://slimages.macys.com/is/image/MCY/12668586 ")</f>
        <v xml:space="preserve">http://slimages.macys.com/is/image/MCY/12668586 </v>
      </c>
    </row>
    <row r="388" spans="1:12" ht="24.75" x14ac:dyDescent="0.25">
      <c r="A388" s="4" t="s">
        <v>3905</v>
      </c>
      <c r="B388" s="2" t="s">
        <v>2718</v>
      </c>
      <c r="C388" s="3">
        <v>1</v>
      </c>
      <c r="D388" s="5">
        <v>34.880000000000003</v>
      </c>
      <c r="E388" s="3">
        <v>100054890</v>
      </c>
      <c r="F388" s="2" t="s">
        <v>26</v>
      </c>
      <c r="G388" s="6" t="s">
        <v>27</v>
      </c>
      <c r="H388" s="2" t="s">
        <v>194</v>
      </c>
      <c r="I388" s="2" t="s">
        <v>195</v>
      </c>
      <c r="J388" s="2" t="s">
        <v>19</v>
      </c>
      <c r="K388" s="2" t="s">
        <v>353</v>
      </c>
      <c r="L388" s="7" t="str">
        <f>HYPERLINK("http://slimages.macys.com/is/image/MCY/12331068 ")</f>
        <v xml:space="preserve">http://slimages.macys.com/is/image/MCY/12331068 </v>
      </c>
    </row>
    <row r="389" spans="1:12" ht="24.75" x14ac:dyDescent="0.25">
      <c r="A389" s="4" t="s">
        <v>8716</v>
      </c>
      <c r="B389" s="2" t="s">
        <v>1397</v>
      </c>
      <c r="C389" s="3">
        <v>1</v>
      </c>
      <c r="D389" s="5">
        <v>29.63</v>
      </c>
      <c r="E389" s="3" t="s">
        <v>4974</v>
      </c>
      <c r="F389" s="2" t="s">
        <v>15</v>
      </c>
      <c r="G389" s="6"/>
      <c r="H389" s="2" t="s">
        <v>312</v>
      </c>
      <c r="I389" s="2" t="s">
        <v>1398</v>
      </c>
      <c r="J389" s="2"/>
      <c r="K389" s="2"/>
      <c r="L389" s="7" t="str">
        <f>HYPERLINK("http://slimages.macys.com/is/image/MCY/9504703 ")</f>
        <v xml:space="preserve">http://slimages.macys.com/is/image/MCY/9504703 </v>
      </c>
    </row>
    <row r="390" spans="1:12" ht="24.75" x14ac:dyDescent="0.25">
      <c r="A390" s="4" t="s">
        <v>7493</v>
      </c>
      <c r="B390" s="2" t="s">
        <v>1397</v>
      </c>
      <c r="C390" s="3">
        <v>1</v>
      </c>
      <c r="D390" s="5">
        <v>29.63</v>
      </c>
      <c r="E390" s="3" t="s">
        <v>4974</v>
      </c>
      <c r="F390" s="2" t="s">
        <v>15</v>
      </c>
      <c r="G390" s="6"/>
      <c r="H390" s="2" t="s">
        <v>312</v>
      </c>
      <c r="I390" s="2" t="s">
        <v>1398</v>
      </c>
      <c r="J390" s="2"/>
      <c r="K390" s="2"/>
      <c r="L390" s="7" t="str">
        <f>HYPERLINK("http://slimages.macys.com/is/image/MCY/9504703 ")</f>
        <v xml:space="preserve">http://slimages.macys.com/is/image/MCY/9504703 </v>
      </c>
    </row>
    <row r="391" spans="1:12" ht="24.75" x14ac:dyDescent="0.25">
      <c r="A391" s="4" t="s">
        <v>2722</v>
      </c>
      <c r="B391" s="2" t="s">
        <v>1405</v>
      </c>
      <c r="C391" s="3">
        <v>2</v>
      </c>
      <c r="D391" s="5">
        <v>34.880000000000003</v>
      </c>
      <c r="E391" s="3">
        <v>100042372</v>
      </c>
      <c r="F391" s="2" t="s">
        <v>676</v>
      </c>
      <c r="G391" s="6" t="s">
        <v>58</v>
      </c>
      <c r="H391" s="2" t="s">
        <v>194</v>
      </c>
      <c r="I391" s="2" t="s">
        <v>195</v>
      </c>
      <c r="J391" s="2" t="s">
        <v>19</v>
      </c>
      <c r="K391" s="2" t="s">
        <v>353</v>
      </c>
      <c r="L391" s="7" t="str">
        <f>HYPERLINK("http://slimages.macys.com/is/image/MCY/11935225 ")</f>
        <v xml:space="preserve">http://slimages.macys.com/is/image/MCY/11935225 </v>
      </c>
    </row>
    <row r="392" spans="1:12" ht="36.75" x14ac:dyDescent="0.25">
      <c r="A392" s="4" t="s">
        <v>2727</v>
      </c>
      <c r="B392" s="2" t="s">
        <v>1409</v>
      </c>
      <c r="C392" s="3">
        <v>2</v>
      </c>
      <c r="D392" s="5">
        <v>36.5</v>
      </c>
      <c r="E392" s="3" t="s">
        <v>1410</v>
      </c>
      <c r="F392" s="2" t="s">
        <v>170</v>
      </c>
      <c r="G392" s="6" t="s">
        <v>181</v>
      </c>
      <c r="H392" s="2" t="s">
        <v>194</v>
      </c>
      <c r="I392" s="2" t="s">
        <v>195</v>
      </c>
      <c r="J392" s="2" t="s">
        <v>19</v>
      </c>
      <c r="K392" s="2" t="s">
        <v>1411</v>
      </c>
      <c r="L392" s="7" t="str">
        <f>HYPERLINK("http://slimages.macys.com/is/image/MCY/11702017 ")</f>
        <v xml:space="preserve">http://slimages.macys.com/is/image/MCY/11702017 </v>
      </c>
    </row>
    <row r="393" spans="1:12" ht="36.75" x14ac:dyDescent="0.25">
      <c r="A393" s="4" t="s">
        <v>1408</v>
      </c>
      <c r="B393" s="2" t="s">
        <v>1409</v>
      </c>
      <c r="C393" s="3">
        <v>1</v>
      </c>
      <c r="D393" s="5">
        <v>36.5</v>
      </c>
      <c r="E393" s="3" t="s">
        <v>1410</v>
      </c>
      <c r="F393" s="2" t="s">
        <v>170</v>
      </c>
      <c r="G393" s="6" t="s">
        <v>154</v>
      </c>
      <c r="H393" s="2" t="s">
        <v>194</v>
      </c>
      <c r="I393" s="2" t="s">
        <v>195</v>
      </c>
      <c r="J393" s="2" t="s">
        <v>19</v>
      </c>
      <c r="K393" s="2" t="s">
        <v>1411</v>
      </c>
      <c r="L393" s="7" t="str">
        <f>HYPERLINK("http://slimages.macys.com/is/image/MCY/11702017 ")</f>
        <v xml:space="preserve">http://slimages.macys.com/is/image/MCY/11702017 </v>
      </c>
    </row>
    <row r="394" spans="1:12" ht="24.75" x14ac:dyDescent="0.25">
      <c r="A394" s="4" t="s">
        <v>8206</v>
      </c>
      <c r="B394" s="2" t="s">
        <v>1416</v>
      </c>
      <c r="C394" s="3">
        <v>1</v>
      </c>
      <c r="D394" s="5">
        <v>21.99</v>
      </c>
      <c r="E394" s="3" t="s">
        <v>8207</v>
      </c>
      <c r="F394" s="2" t="s">
        <v>752</v>
      </c>
      <c r="G394" s="6" t="s">
        <v>16</v>
      </c>
      <c r="H394" s="2" t="s">
        <v>194</v>
      </c>
      <c r="I394" s="2" t="s">
        <v>195</v>
      </c>
      <c r="J394" s="2" t="s">
        <v>19</v>
      </c>
      <c r="K394" s="2" t="s">
        <v>353</v>
      </c>
      <c r="L394" s="7" t="str">
        <f>HYPERLINK("http://slimages.macys.com/is/image/MCY/8141463 ")</f>
        <v xml:space="preserve">http://slimages.macys.com/is/image/MCY/8141463 </v>
      </c>
    </row>
    <row r="395" spans="1:12" ht="24.75" x14ac:dyDescent="0.25">
      <c r="A395" s="4" t="s">
        <v>6675</v>
      </c>
      <c r="B395" s="2" t="s">
        <v>1444</v>
      </c>
      <c r="C395" s="3">
        <v>1</v>
      </c>
      <c r="D395" s="5">
        <v>34.880000000000003</v>
      </c>
      <c r="E395" s="3">
        <v>100042376</v>
      </c>
      <c r="F395" s="2" t="s">
        <v>136</v>
      </c>
      <c r="G395" s="6" t="s">
        <v>112</v>
      </c>
      <c r="H395" s="2" t="s">
        <v>194</v>
      </c>
      <c r="I395" s="2" t="s">
        <v>195</v>
      </c>
      <c r="J395" s="2" t="s">
        <v>19</v>
      </c>
      <c r="K395" s="2" t="s">
        <v>353</v>
      </c>
      <c r="L395" s="7" t="str">
        <f>HYPERLINK("http://slimages.macys.com/is/image/MCY/11764758 ")</f>
        <v xml:space="preserve">http://slimages.macys.com/is/image/MCY/11764758 </v>
      </c>
    </row>
    <row r="396" spans="1:12" ht="24.75" x14ac:dyDescent="0.25">
      <c r="A396" s="4" t="s">
        <v>7502</v>
      </c>
      <c r="B396" s="2" t="s">
        <v>1444</v>
      </c>
      <c r="C396" s="3">
        <v>1</v>
      </c>
      <c r="D396" s="5">
        <v>34.880000000000003</v>
      </c>
      <c r="E396" s="3">
        <v>100042376</v>
      </c>
      <c r="F396" s="2" t="s">
        <v>136</v>
      </c>
      <c r="G396" s="6" t="s">
        <v>65</v>
      </c>
      <c r="H396" s="2" t="s">
        <v>194</v>
      </c>
      <c r="I396" s="2" t="s">
        <v>195</v>
      </c>
      <c r="J396" s="2" t="s">
        <v>19</v>
      </c>
      <c r="K396" s="2" t="s">
        <v>353</v>
      </c>
      <c r="L396" s="7" t="str">
        <f>HYPERLINK("http://slimages.macys.com/is/image/MCY/11764758 ")</f>
        <v xml:space="preserve">http://slimages.macys.com/is/image/MCY/11764758 </v>
      </c>
    </row>
    <row r="397" spans="1:12" ht="36.75" x14ac:dyDescent="0.25">
      <c r="A397" s="4" t="s">
        <v>10188</v>
      </c>
      <c r="B397" s="2" t="s">
        <v>1447</v>
      </c>
      <c r="C397" s="3">
        <v>1</v>
      </c>
      <c r="D397" s="5">
        <v>37.130000000000003</v>
      </c>
      <c r="E397" s="3">
        <v>100024592</v>
      </c>
      <c r="F397" s="2" t="s">
        <v>74</v>
      </c>
      <c r="G397" s="6" t="s">
        <v>156</v>
      </c>
      <c r="H397" s="2" t="s">
        <v>194</v>
      </c>
      <c r="I397" s="2" t="s">
        <v>195</v>
      </c>
      <c r="J397" s="2" t="s">
        <v>19</v>
      </c>
      <c r="K397" s="2" t="s">
        <v>10189</v>
      </c>
      <c r="L397" s="7" t="str">
        <f>HYPERLINK("http://slimages.macys.com/is/image/MCY/10701315 ")</f>
        <v xml:space="preserve">http://slimages.macys.com/is/image/MCY/10701315 </v>
      </c>
    </row>
    <row r="398" spans="1:12" x14ac:dyDescent="0.25">
      <c r="A398" s="4" t="s">
        <v>10190</v>
      </c>
      <c r="B398" s="2" t="s">
        <v>1736</v>
      </c>
      <c r="C398" s="3">
        <v>1</v>
      </c>
      <c r="D398" s="5">
        <v>26.99</v>
      </c>
      <c r="E398" s="3" t="s">
        <v>10191</v>
      </c>
      <c r="F398" s="2" t="s">
        <v>74</v>
      </c>
      <c r="G398" s="6" t="s">
        <v>348</v>
      </c>
      <c r="H398" s="2" t="s">
        <v>349</v>
      </c>
      <c r="I398" s="2" t="s">
        <v>285</v>
      </c>
      <c r="J398" s="2" t="s">
        <v>19</v>
      </c>
      <c r="K398" s="2" t="s">
        <v>247</v>
      </c>
      <c r="L398" s="7" t="str">
        <f>HYPERLINK("http://slimages.macys.com/is/image/MCY/13936289 ")</f>
        <v xml:space="preserve">http://slimages.macys.com/is/image/MCY/13936289 </v>
      </c>
    </row>
    <row r="399" spans="1:12" ht="24.75" x14ac:dyDescent="0.25">
      <c r="A399" s="4" t="s">
        <v>10192</v>
      </c>
      <c r="B399" s="2" t="s">
        <v>1405</v>
      </c>
      <c r="C399" s="3">
        <v>1</v>
      </c>
      <c r="D399" s="5">
        <v>34.880000000000003</v>
      </c>
      <c r="E399" s="3">
        <v>100042372</v>
      </c>
      <c r="F399" s="2" t="s">
        <v>566</v>
      </c>
      <c r="G399" s="6" t="s">
        <v>112</v>
      </c>
      <c r="H399" s="2" t="s">
        <v>194</v>
      </c>
      <c r="I399" s="2" t="s">
        <v>195</v>
      </c>
      <c r="J399" s="2" t="s">
        <v>19</v>
      </c>
      <c r="K399" s="2" t="s">
        <v>353</v>
      </c>
      <c r="L399" s="7" t="str">
        <f>HYPERLINK("http://slimages.macys.com/is/image/MCY/11935225 ")</f>
        <v xml:space="preserve">http://slimages.macys.com/is/image/MCY/11935225 </v>
      </c>
    </row>
    <row r="400" spans="1:12" ht="24.75" x14ac:dyDescent="0.25">
      <c r="A400" s="4" t="s">
        <v>10193</v>
      </c>
      <c r="B400" s="2" t="s">
        <v>9635</v>
      </c>
      <c r="C400" s="3">
        <v>1</v>
      </c>
      <c r="D400" s="5">
        <v>24.99</v>
      </c>
      <c r="E400" s="3" t="s">
        <v>9636</v>
      </c>
      <c r="F400" s="2" t="s">
        <v>820</v>
      </c>
      <c r="G400" s="6" t="s">
        <v>187</v>
      </c>
      <c r="H400" s="2" t="s">
        <v>1425</v>
      </c>
      <c r="I400" s="2" t="s">
        <v>1426</v>
      </c>
      <c r="J400" s="2" t="s">
        <v>19</v>
      </c>
      <c r="K400" s="2" t="s">
        <v>1431</v>
      </c>
      <c r="L400" s="7" t="str">
        <f>HYPERLINK("http://slimages.macys.com/is/image/MCY/11417735 ")</f>
        <v xml:space="preserve">http://slimages.macys.com/is/image/MCY/11417735 </v>
      </c>
    </row>
    <row r="401" spans="1:12" ht="24.75" x14ac:dyDescent="0.25">
      <c r="A401" s="4" t="s">
        <v>10194</v>
      </c>
      <c r="B401" s="2" t="s">
        <v>5929</v>
      </c>
      <c r="C401" s="3">
        <v>4</v>
      </c>
      <c r="D401" s="5">
        <v>24.99</v>
      </c>
      <c r="E401" s="3" t="s">
        <v>5930</v>
      </c>
      <c r="F401" s="2" t="s">
        <v>74</v>
      </c>
      <c r="G401" s="6" t="s">
        <v>156</v>
      </c>
      <c r="H401" s="2" t="s">
        <v>1522</v>
      </c>
      <c r="I401" s="2" t="s">
        <v>1469</v>
      </c>
      <c r="J401" s="2" t="s">
        <v>19</v>
      </c>
      <c r="K401" s="2" t="s">
        <v>353</v>
      </c>
      <c r="L401" s="7" t="str">
        <f>HYPERLINK("http://slimages.macys.com/is/image/MCY/9127935 ")</f>
        <v xml:space="preserve">http://slimages.macys.com/is/image/MCY/9127935 </v>
      </c>
    </row>
    <row r="402" spans="1:12" ht="24.75" x14ac:dyDescent="0.25">
      <c r="A402" s="4" t="s">
        <v>5928</v>
      </c>
      <c r="B402" s="2" t="s">
        <v>5929</v>
      </c>
      <c r="C402" s="3">
        <v>1</v>
      </c>
      <c r="D402" s="5">
        <v>24.99</v>
      </c>
      <c r="E402" s="3" t="s">
        <v>5930</v>
      </c>
      <c r="F402" s="2" t="s">
        <v>74</v>
      </c>
      <c r="G402" s="6" t="s">
        <v>245</v>
      </c>
      <c r="H402" s="2" t="s">
        <v>1522</v>
      </c>
      <c r="I402" s="2" t="s">
        <v>1469</v>
      </c>
      <c r="J402" s="2" t="s">
        <v>19</v>
      </c>
      <c r="K402" s="2" t="s">
        <v>353</v>
      </c>
      <c r="L402" s="7" t="str">
        <f>HYPERLINK("http://slimages.macys.com/is/image/MCY/9127935 ")</f>
        <v xml:space="preserve">http://slimages.macys.com/is/image/MCY/9127935 </v>
      </c>
    </row>
    <row r="403" spans="1:12" ht="24.75" x14ac:dyDescent="0.25">
      <c r="A403" s="4" t="s">
        <v>10195</v>
      </c>
      <c r="B403" s="2" t="s">
        <v>2116</v>
      </c>
      <c r="C403" s="3">
        <v>1</v>
      </c>
      <c r="D403" s="5">
        <v>37.130000000000003</v>
      </c>
      <c r="E403" s="3" t="s">
        <v>2117</v>
      </c>
      <c r="F403" s="2" t="s">
        <v>26</v>
      </c>
      <c r="G403" s="6" t="s">
        <v>106</v>
      </c>
      <c r="H403" s="2" t="s">
        <v>246</v>
      </c>
      <c r="I403" s="2" t="s">
        <v>487</v>
      </c>
      <c r="J403" s="2"/>
      <c r="K403" s="2"/>
      <c r="L403" s="7" t="str">
        <f t="shared" ref="L403:L412" si="10">HYPERLINK("http://slimages.macys.com/is/image/MCY/12401697 ")</f>
        <v xml:space="preserve">http://slimages.macys.com/is/image/MCY/12401697 </v>
      </c>
    </row>
    <row r="404" spans="1:12" ht="24.75" x14ac:dyDescent="0.25">
      <c r="A404" s="4" t="s">
        <v>10196</v>
      </c>
      <c r="B404" s="2" t="s">
        <v>2116</v>
      </c>
      <c r="C404" s="3">
        <v>2</v>
      </c>
      <c r="D404" s="5">
        <v>37.130000000000003</v>
      </c>
      <c r="E404" s="3" t="s">
        <v>2117</v>
      </c>
      <c r="F404" s="2" t="s">
        <v>74</v>
      </c>
      <c r="G404" s="6" t="s">
        <v>106</v>
      </c>
      <c r="H404" s="2" t="s">
        <v>246</v>
      </c>
      <c r="I404" s="2" t="s">
        <v>487</v>
      </c>
      <c r="J404" s="2"/>
      <c r="K404" s="2"/>
      <c r="L404" s="7" t="str">
        <f t="shared" si="10"/>
        <v xml:space="preserve">http://slimages.macys.com/is/image/MCY/12401697 </v>
      </c>
    </row>
    <row r="405" spans="1:12" ht="24.75" x14ac:dyDescent="0.25">
      <c r="A405" s="4" t="s">
        <v>2543</v>
      </c>
      <c r="B405" s="2" t="s">
        <v>2116</v>
      </c>
      <c r="C405" s="3">
        <v>1</v>
      </c>
      <c r="D405" s="5">
        <v>37.130000000000003</v>
      </c>
      <c r="E405" s="3" t="s">
        <v>2117</v>
      </c>
      <c r="F405" s="2" t="s">
        <v>74</v>
      </c>
      <c r="G405" s="6" t="s">
        <v>58</v>
      </c>
      <c r="H405" s="2" t="s">
        <v>246</v>
      </c>
      <c r="I405" s="2" t="s">
        <v>487</v>
      </c>
      <c r="J405" s="2"/>
      <c r="K405" s="2"/>
      <c r="L405" s="7" t="str">
        <f t="shared" si="10"/>
        <v xml:space="preserve">http://slimages.macys.com/is/image/MCY/12401697 </v>
      </c>
    </row>
    <row r="406" spans="1:12" ht="24.75" x14ac:dyDescent="0.25">
      <c r="A406" s="4" t="s">
        <v>10197</v>
      </c>
      <c r="B406" s="2" t="s">
        <v>2116</v>
      </c>
      <c r="C406" s="3">
        <v>1</v>
      </c>
      <c r="D406" s="5">
        <v>37.130000000000003</v>
      </c>
      <c r="E406" s="3" t="s">
        <v>2117</v>
      </c>
      <c r="F406" s="2" t="s">
        <v>74</v>
      </c>
      <c r="G406" s="6" t="s">
        <v>16</v>
      </c>
      <c r="H406" s="2" t="s">
        <v>246</v>
      </c>
      <c r="I406" s="2" t="s">
        <v>487</v>
      </c>
      <c r="J406" s="2"/>
      <c r="K406" s="2"/>
      <c r="L406" s="7" t="str">
        <f t="shared" si="10"/>
        <v xml:space="preserve">http://slimages.macys.com/is/image/MCY/12401697 </v>
      </c>
    </row>
    <row r="407" spans="1:12" ht="24.75" x14ac:dyDescent="0.25">
      <c r="A407" s="4" t="s">
        <v>10198</v>
      </c>
      <c r="B407" s="2" t="s">
        <v>2116</v>
      </c>
      <c r="C407" s="3">
        <v>1</v>
      </c>
      <c r="D407" s="5">
        <v>37.130000000000003</v>
      </c>
      <c r="E407" s="3" t="s">
        <v>2117</v>
      </c>
      <c r="F407" s="2" t="s">
        <v>74</v>
      </c>
      <c r="G407" s="6" t="s">
        <v>65</v>
      </c>
      <c r="H407" s="2" t="s">
        <v>246</v>
      </c>
      <c r="I407" s="2" t="s">
        <v>487</v>
      </c>
      <c r="J407" s="2"/>
      <c r="K407" s="2"/>
      <c r="L407" s="7" t="str">
        <f t="shared" si="10"/>
        <v xml:space="preserve">http://slimages.macys.com/is/image/MCY/12401697 </v>
      </c>
    </row>
    <row r="408" spans="1:12" ht="24.75" x14ac:dyDescent="0.25">
      <c r="A408" s="4" t="s">
        <v>10199</v>
      </c>
      <c r="B408" s="2" t="s">
        <v>2116</v>
      </c>
      <c r="C408" s="3">
        <v>2</v>
      </c>
      <c r="D408" s="5">
        <v>37.130000000000003</v>
      </c>
      <c r="E408" s="3" t="s">
        <v>2117</v>
      </c>
      <c r="F408" s="2" t="s">
        <v>26</v>
      </c>
      <c r="G408" s="6" t="s">
        <v>22</v>
      </c>
      <c r="H408" s="2" t="s">
        <v>246</v>
      </c>
      <c r="I408" s="2" t="s">
        <v>487</v>
      </c>
      <c r="J408" s="2"/>
      <c r="K408" s="2"/>
      <c r="L408" s="7" t="str">
        <f t="shared" si="10"/>
        <v xml:space="preserve">http://slimages.macys.com/is/image/MCY/12401697 </v>
      </c>
    </row>
    <row r="409" spans="1:12" ht="24.75" x14ac:dyDescent="0.25">
      <c r="A409" s="4" t="s">
        <v>10200</v>
      </c>
      <c r="B409" s="2" t="s">
        <v>2116</v>
      </c>
      <c r="C409" s="3">
        <v>3</v>
      </c>
      <c r="D409" s="5">
        <v>37.130000000000003</v>
      </c>
      <c r="E409" s="3" t="s">
        <v>2117</v>
      </c>
      <c r="F409" s="2" t="s">
        <v>26</v>
      </c>
      <c r="G409" s="6" t="s">
        <v>27</v>
      </c>
      <c r="H409" s="2" t="s">
        <v>246</v>
      </c>
      <c r="I409" s="2" t="s">
        <v>487</v>
      </c>
      <c r="J409" s="2"/>
      <c r="K409" s="2"/>
      <c r="L409" s="7" t="str">
        <f t="shared" si="10"/>
        <v xml:space="preserve">http://slimages.macys.com/is/image/MCY/12401697 </v>
      </c>
    </row>
    <row r="410" spans="1:12" ht="24.75" x14ac:dyDescent="0.25">
      <c r="A410" s="4" t="s">
        <v>10201</v>
      </c>
      <c r="B410" s="2" t="s">
        <v>2116</v>
      </c>
      <c r="C410" s="3">
        <v>2</v>
      </c>
      <c r="D410" s="5">
        <v>37.130000000000003</v>
      </c>
      <c r="E410" s="3" t="s">
        <v>2117</v>
      </c>
      <c r="F410" s="2" t="s">
        <v>26</v>
      </c>
      <c r="G410" s="6" t="s">
        <v>58</v>
      </c>
      <c r="H410" s="2" t="s">
        <v>246</v>
      </c>
      <c r="I410" s="2" t="s">
        <v>487</v>
      </c>
      <c r="J410" s="2"/>
      <c r="K410" s="2"/>
      <c r="L410" s="7" t="str">
        <f t="shared" si="10"/>
        <v xml:space="preserve">http://slimages.macys.com/is/image/MCY/12401697 </v>
      </c>
    </row>
    <row r="411" spans="1:12" ht="24.75" x14ac:dyDescent="0.25">
      <c r="A411" s="4" t="s">
        <v>10202</v>
      </c>
      <c r="B411" s="2" t="s">
        <v>2116</v>
      </c>
      <c r="C411" s="3">
        <v>1</v>
      </c>
      <c r="D411" s="5">
        <v>37.130000000000003</v>
      </c>
      <c r="E411" s="3" t="s">
        <v>2117</v>
      </c>
      <c r="F411" s="2" t="s">
        <v>26</v>
      </c>
      <c r="G411" s="6" t="s">
        <v>112</v>
      </c>
      <c r="H411" s="2" t="s">
        <v>246</v>
      </c>
      <c r="I411" s="2" t="s">
        <v>487</v>
      </c>
      <c r="J411" s="2"/>
      <c r="K411" s="2"/>
      <c r="L411" s="7" t="str">
        <f t="shared" si="10"/>
        <v xml:space="preserve">http://slimages.macys.com/is/image/MCY/12401697 </v>
      </c>
    </row>
    <row r="412" spans="1:12" ht="24.75" x14ac:dyDescent="0.25">
      <c r="A412" s="4" t="s">
        <v>9123</v>
      </c>
      <c r="B412" s="2" t="s">
        <v>2116</v>
      </c>
      <c r="C412" s="3">
        <v>2</v>
      </c>
      <c r="D412" s="5">
        <v>37.130000000000003</v>
      </c>
      <c r="E412" s="3" t="s">
        <v>2117</v>
      </c>
      <c r="F412" s="2" t="s">
        <v>26</v>
      </c>
      <c r="G412" s="6" t="s">
        <v>141</v>
      </c>
      <c r="H412" s="2" t="s">
        <v>246</v>
      </c>
      <c r="I412" s="2" t="s">
        <v>487</v>
      </c>
      <c r="J412" s="2"/>
      <c r="K412" s="2"/>
      <c r="L412" s="7" t="str">
        <f t="shared" si="10"/>
        <v xml:space="preserve">http://slimages.macys.com/is/image/MCY/12401697 </v>
      </c>
    </row>
    <row r="413" spans="1:12" ht="24.75" x14ac:dyDescent="0.25">
      <c r="A413" s="4" t="s">
        <v>10203</v>
      </c>
      <c r="B413" s="2" t="s">
        <v>1405</v>
      </c>
      <c r="C413" s="3">
        <v>1</v>
      </c>
      <c r="D413" s="5">
        <v>34.880000000000003</v>
      </c>
      <c r="E413" s="3" t="s">
        <v>5938</v>
      </c>
      <c r="F413" s="2" t="s">
        <v>64</v>
      </c>
      <c r="G413" s="6" t="s">
        <v>205</v>
      </c>
      <c r="H413" s="2" t="s">
        <v>312</v>
      </c>
      <c r="I413" s="2" t="s">
        <v>195</v>
      </c>
      <c r="J413" s="2" t="s">
        <v>19</v>
      </c>
      <c r="K413" s="2" t="s">
        <v>353</v>
      </c>
      <c r="L413" s="7" t="str">
        <f>HYPERLINK("http://slimages.macys.com/is/image/MCY/11465628 ")</f>
        <v xml:space="preserve">http://slimages.macys.com/is/image/MCY/11465628 </v>
      </c>
    </row>
    <row r="414" spans="1:12" ht="24.75" x14ac:dyDescent="0.25">
      <c r="A414" s="4" t="s">
        <v>7511</v>
      </c>
      <c r="B414" s="2" t="s">
        <v>1462</v>
      </c>
      <c r="C414" s="3">
        <v>1</v>
      </c>
      <c r="D414" s="5">
        <v>37.130000000000003</v>
      </c>
      <c r="E414" s="3" t="s">
        <v>1463</v>
      </c>
      <c r="F414" s="2" t="s">
        <v>15</v>
      </c>
      <c r="G414" s="6" t="s">
        <v>181</v>
      </c>
      <c r="H414" s="2" t="s">
        <v>194</v>
      </c>
      <c r="I414" s="2" t="s">
        <v>1112</v>
      </c>
      <c r="J414" s="2" t="s">
        <v>19</v>
      </c>
      <c r="K414" s="2" t="s">
        <v>409</v>
      </c>
      <c r="L414" s="7" t="str">
        <f>HYPERLINK("http://slimages.macys.com/is/image/MCY/8106050 ")</f>
        <v xml:space="preserve">http://slimages.macys.com/is/image/MCY/8106050 </v>
      </c>
    </row>
    <row r="415" spans="1:12" ht="24.75" x14ac:dyDescent="0.25">
      <c r="A415" s="4" t="s">
        <v>2756</v>
      </c>
      <c r="B415" s="2" t="s">
        <v>1465</v>
      </c>
      <c r="C415" s="3">
        <v>1</v>
      </c>
      <c r="D415" s="5">
        <v>34.880000000000003</v>
      </c>
      <c r="E415" s="3">
        <v>100054394</v>
      </c>
      <c r="F415" s="2" t="s">
        <v>26</v>
      </c>
      <c r="G415" s="6" t="s">
        <v>22</v>
      </c>
      <c r="H415" s="2" t="s">
        <v>194</v>
      </c>
      <c r="I415" s="2" t="s">
        <v>195</v>
      </c>
      <c r="J415" s="2" t="s">
        <v>19</v>
      </c>
      <c r="K415" s="2" t="s">
        <v>353</v>
      </c>
      <c r="L415" s="7" t="str">
        <f>HYPERLINK("http://slimages.macys.com/is/image/MCY/12404668 ")</f>
        <v xml:space="preserve">http://slimages.macys.com/is/image/MCY/12404668 </v>
      </c>
    </row>
    <row r="416" spans="1:12" ht="24.75" x14ac:dyDescent="0.25">
      <c r="A416" s="4" t="s">
        <v>8732</v>
      </c>
      <c r="B416" s="2" t="s">
        <v>5006</v>
      </c>
      <c r="C416" s="3">
        <v>1</v>
      </c>
      <c r="D416" s="5">
        <v>26.99</v>
      </c>
      <c r="E416" s="3" t="s">
        <v>5007</v>
      </c>
      <c r="F416" s="2" t="s">
        <v>15</v>
      </c>
      <c r="G416" s="6" t="s">
        <v>16</v>
      </c>
      <c r="H416" s="2" t="s">
        <v>1473</v>
      </c>
      <c r="I416" s="2" t="s">
        <v>1426</v>
      </c>
      <c r="J416" s="2" t="s">
        <v>19</v>
      </c>
      <c r="K416" s="2" t="s">
        <v>353</v>
      </c>
      <c r="L416" s="7" t="str">
        <f>HYPERLINK("http://slimages.macys.com/is/image/MCY/11027855 ")</f>
        <v xml:space="preserve">http://slimages.macys.com/is/image/MCY/11027855 </v>
      </c>
    </row>
    <row r="417" spans="1:12" ht="24.75" x14ac:dyDescent="0.25">
      <c r="A417" s="4" t="s">
        <v>2761</v>
      </c>
      <c r="B417" s="2" t="s">
        <v>1471</v>
      </c>
      <c r="C417" s="3">
        <v>1</v>
      </c>
      <c r="D417" s="5">
        <v>26.99</v>
      </c>
      <c r="E417" s="3" t="s">
        <v>1472</v>
      </c>
      <c r="F417" s="2" t="s">
        <v>74</v>
      </c>
      <c r="G417" s="6" t="s">
        <v>22</v>
      </c>
      <c r="H417" s="2" t="s">
        <v>1473</v>
      </c>
      <c r="I417" s="2" t="s">
        <v>1426</v>
      </c>
      <c r="J417" s="2" t="s">
        <v>19</v>
      </c>
      <c r="K417" s="2" t="s">
        <v>353</v>
      </c>
      <c r="L417" s="7" t="str">
        <f>HYPERLINK("http://slimages.macys.com/is/image/MCY/11989623 ")</f>
        <v xml:space="preserve">http://slimages.macys.com/is/image/MCY/11989623 </v>
      </c>
    </row>
    <row r="418" spans="1:12" ht="24.75" x14ac:dyDescent="0.25">
      <c r="A418" s="4" t="s">
        <v>5941</v>
      </c>
      <c r="B418" s="2" t="s">
        <v>1471</v>
      </c>
      <c r="C418" s="3">
        <v>2</v>
      </c>
      <c r="D418" s="5">
        <v>26.99</v>
      </c>
      <c r="E418" s="3" t="s">
        <v>1472</v>
      </c>
      <c r="F418" s="2" t="s">
        <v>15</v>
      </c>
      <c r="G418" s="6" t="s">
        <v>22</v>
      </c>
      <c r="H418" s="2" t="s">
        <v>1473</v>
      </c>
      <c r="I418" s="2" t="s">
        <v>1426</v>
      </c>
      <c r="J418" s="2" t="s">
        <v>19</v>
      </c>
      <c r="K418" s="2" t="s">
        <v>353</v>
      </c>
      <c r="L418" s="7" t="str">
        <f>HYPERLINK("http://slimages.macys.com/is/image/MCY/11989623 ")</f>
        <v xml:space="preserve">http://slimages.macys.com/is/image/MCY/11989623 </v>
      </c>
    </row>
    <row r="419" spans="1:12" ht="24.75" x14ac:dyDescent="0.25">
      <c r="A419" s="4" t="s">
        <v>5004</v>
      </c>
      <c r="B419" s="2" t="s">
        <v>1471</v>
      </c>
      <c r="C419" s="3">
        <v>2</v>
      </c>
      <c r="D419" s="5">
        <v>26.99</v>
      </c>
      <c r="E419" s="3" t="s">
        <v>1472</v>
      </c>
      <c r="F419" s="2" t="s">
        <v>15</v>
      </c>
      <c r="G419" s="6" t="s">
        <v>27</v>
      </c>
      <c r="H419" s="2" t="s">
        <v>1473</v>
      </c>
      <c r="I419" s="2" t="s">
        <v>1426</v>
      </c>
      <c r="J419" s="2" t="s">
        <v>19</v>
      </c>
      <c r="K419" s="2" t="s">
        <v>353</v>
      </c>
      <c r="L419" s="7" t="str">
        <f>HYPERLINK("http://slimages.macys.com/is/image/MCY/11989623 ")</f>
        <v xml:space="preserve">http://slimages.macys.com/is/image/MCY/11989623 </v>
      </c>
    </row>
    <row r="420" spans="1:12" ht="24.75" x14ac:dyDescent="0.25">
      <c r="A420" s="4" t="s">
        <v>10204</v>
      </c>
      <c r="B420" s="2" t="s">
        <v>5948</v>
      </c>
      <c r="C420" s="3">
        <v>1</v>
      </c>
      <c r="D420" s="5">
        <v>24.99</v>
      </c>
      <c r="E420" s="3" t="s">
        <v>7526</v>
      </c>
      <c r="F420" s="2" t="s">
        <v>74</v>
      </c>
      <c r="G420" s="6" t="s">
        <v>165</v>
      </c>
      <c r="H420" s="2" t="s">
        <v>1425</v>
      </c>
      <c r="I420" s="2" t="s">
        <v>1426</v>
      </c>
      <c r="J420" s="2" t="s">
        <v>19</v>
      </c>
      <c r="K420" s="2" t="s">
        <v>353</v>
      </c>
      <c r="L420" s="7" t="str">
        <f>HYPERLINK("http://slimages.macys.com/is/image/MCY/11134801 ")</f>
        <v xml:space="preserve">http://slimages.macys.com/is/image/MCY/11134801 </v>
      </c>
    </row>
    <row r="421" spans="1:12" ht="24.75" x14ac:dyDescent="0.25">
      <c r="A421" s="4" t="s">
        <v>10205</v>
      </c>
      <c r="B421" s="2" t="s">
        <v>5948</v>
      </c>
      <c r="C421" s="3">
        <v>1</v>
      </c>
      <c r="D421" s="5">
        <v>24.99</v>
      </c>
      <c r="E421" s="3" t="s">
        <v>5949</v>
      </c>
      <c r="F421" s="2" t="s">
        <v>26</v>
      </c>
      <c r="G421" s="6" t="s">
        <v>112</v>
      </c>
      <c r="H421" s="2" t="s">
        <v>1473</v>
      </c>
      <c r="I421" s="2" t="s">
        <v>1426</v>
      </c>
      <c r="J421" s="2" t="s">
        <v>19</v>
      </c>
      <c r="K421" s="2" t="s">
        <v>353</v>
      </c>
      <c r="L421" s="7" t="str">
        <f>HYPERLINK("http://slimages.macys.com/is/image/MCY/11134801 ")</f>
        <v xml:space="preserve">http://slimages.macys.com/is/image/MCY/11134801 </v>
      </c>
    </row>
    <row r="422" spans="1:12" ht="24.75" x14ac:dyDescent="0.25">
      <c r="A422" s="4" t="s">
        <v>10206</v>
      </c>
      <c r="B422" s="2" t="s">
        <v>2763</v>
      </c>
      <c r="C422" s="3">
        <v>1</v>
      </c>
      <c r="D422" s="5">
        <v>24.99</v>
      </c>
      <c r="E422" s="3" t="s">
        <v>2764</v>
      </c>
      <c r="F422" s="2" t="s">
        <v>413</v>
      </c>
      <c r="G422" s="6"/>
      <c r="H422" s="2" t="s">
        <v>1425</v>
      </c>
      <c r="I422" s="2" t="s">
        <v>1469</v>
      </c>
      <c r="J422" s="2" t="s">
        <v>19</v>
      </c>
      <c r="K422" s="2" t="s">
        <v>495</v>
      </c>
      <c r="L422" s="7" t="str">
        <f>HYPERLINK("http://slimages.macys.com/is/image/MCY/12144707 ")</f>
        <v xml:space="preserve">http://slimages.macys.com/is/image/MCY/12144707 </v>
      </c>
    </row>
    <row r="423" spans="1:12" ht="24.75" x14ac:dyDescent="0.25">
      <c r="A423" s="4" t="s">
        <v>10207</v>
      </c>
      <c r="B423" s="2" t="s">
        <v>10208</v>
      </c>
      <c r="C423" s="3">
        <v>1</v>
      </c>
      <c r="D423" s="5">
        <v>37.130000000000003</v>
      </c>
      <c r="E423" s="3" t="s">
        <v>10209</v>
      </c>
      <c r="F423" s="2" t="s">
        <v>15</v>
      </c>
      <c r="G423" s="6" t="s">
        <v>181</v>
      </c>
      <c r="H423" s="2" t="s">
        <v>284</v>
      </c>
      <c r="I423" s="2" t="s">
        <v>285</v>
      </c>
      <c r="J423" s="2" t="s">
        <v>19</v>
      </c>
      <c r="K423" s="2" t="s">
        <v>160</v>
      </c>
      <c r="L423" s="7" t="str">
        <f>HYPERLINK("http://slimages.macys.com/is/image/MCY/12672453 ")</f>
        <v xml:space="preserve">http://slimages.macys.com/is/image/MCY/12672453 </v>
      </c>
    </row>
    <row r="424" spans="1:12" ht="24.75" x14ac:dyDescent="0.25">
      <c r="A424" s="4" t="s">
        <v>10210</v>
      </c>
      <c r="B424" s="2" t="s">
        <v>10208</v>
      </c>
      <c r="C424" s="3">
        <v>2</v>
      </c>
      <c r="D424" s="5">
        <v>37.130000000000003</v>
      </c>
      <c r="E424" s="3" t="s">
        <v>10209</v>
      </c>
      <c r="F424" s="2" t="s">
        <v>15</v>
      </c>
      <c r="G424" s="6" t="s">
        <v>154</v>
      </c>
      <c r="H424" s="2" t="s">
        <v>284</v>
      </c>
      <c r="I424" s="2" t="s">
        <v>285</v>
      </c>
      <c r="J424" s="2" t="s">
        <v>19</v>
      </c>
      <c r="K424" s="2" t="s">
        <v>160</v>
      </c>
      <c r="L424" s="7" t="str">
        <f>HYPERLINK("http://slimages.macys.com/is/image/MCY/12672453 ")</f>
        <v xml:space="preserve">http://slimages.macys.com/is/image/MCY/12672453 </v>
      </c>
    </row>
    <row r="425" spans="1:12" ht="24.75" x14ac:dyDescent="0.25">
      <c r="A425" s="4" t="s">
        <v>10211</v>
      </c>
      <c r="B425" s="2" t="s">
        <v>10208</v>
      </c>
      <c r="C425" s="3">
        <v>1</v>
      </c>
      <c r="D425" s="5">
        <v>37.130000000000003</v>
      </c>
      <c r="E425" s="3" t="s">
        <v>10209</v>
      </c>
      <c r="F425" s="2" t="s">
        <v>15</v>
      </c>
      <c r="G425" s="6" t="s">
        <v>234</v>
      </c>
      <c r="H425" s="2" t="s">
        <v>284</v>
      </c>
      <c r="I425" s="2" t="s">
        <v>285</v>
      </c>
      <c r="J425" s="2" t="s">
        <v>19</v>
      </c>
      <c r="K425" s="2" t="s">
        <v>160</v>
      </c>
      <c r="L425" s="7" t="str">
        <f>HYPERLINK("http://slimages.macys.com/is/image/MCY/12672453 ")</f>
        <v xml:space="preserve">http://slimages.macys.com/is/image/MCY/12672453 </v>
      </c>
    </row>
    <row r="426" spans="1:12" ht="24.75" x14ac:dyDescent="0.25">
      <c r="A426" s="4" t="s">
        <v>3928</v>
      </c>
      <c r="B426" s="2" t="s">
        <v>3929</v>
      </c>
      <c r="C426" s="3">
        <v>1</v>
      </c>
      <c r="D426" s="5">
        <v>37.130000000000003</v>
      </c>
      <c r="E426" s="3" t="s">
        <v>3930</v>
      </c>
      <c r="F426" s="2" t="s">
        <v>15</v>
      </c>
      <c r="G426" s="6" t="s">
        <v>154</v>
      </c>
      <c r="H426" s="2" t="s">
        <v>284</v>
      </c>
      <c r="I426" s="2" t="s">
        <v>285</v>
      </c>
      <c r="J426" s="2" t="s">
        <v>19</v>
      </c>
      <c r="K426" s="2" t="s">
        <v>160</v>
      </c>
      <c r="L426" s="7" t="str">
        <f>HYPERLINK("http://slimages.macys.com/is/image/MCY/12672394 ")</f>
        <v xml:space="preserve">http://slimages.macys.com/is/image/MCY/12672394 </v>
      </c>
    </row>
    <row r="427" spans="1:12" ht="24.75" x14ac:dyDescent="0.25">
      <c r="A427" s="4" t="s">
        <v>5956</v>
      </c>
      <c r="B427" s="2" t="s">
        <v>3929</v>
      </c>
      <c r="C427" s="3">
        <v>1</v>
      </c>
      <c r="D427" s="5">
        <v>37.130000000000003</v>
      </c>
      <c r="E427" s="3" t="s">
        <v>3930</v>
      </c>
      <c r="F427" s="2" t="s">
        <v>15</v>
      </c>
      <c r="G427" s="6" t="s">
        <v>156</v>
      </c>
      <c r="H427" s="2" t="s">
        <v>284</v>
      </c>
      <c r="I427" s="2" t="s">
        <v>285</v>
      </c>
      <c r="J427" s="2" t="s">
        <v>19</v>
      </c>
      <c r="K427" s="2" t="s">
        <v>160</v>
      </c>
      <c r="L427" s="7" t="str">
        <f>HYPERLINK("http://slimages.macys.com/is/image/MCY/12672394 ")</f>
        <v xml:space="preserve">http://slimages.macys.com/is/image/MCY/12672394 </v>
      </c>
    </row>
    <row r="428" spans="1:12" ht="24.75" x14ac:dyDescent="0.25">
      <c r="A428" s="4" t="s">
        <v>5955</v>
      </c>
      <c r="B428" s="2" t="s">
        <v>3929</v>
      </c>
      <c r="C428" s="3">
        <v>2</v>
      </c>
      <c r="D428" s="5">
        <v>37.130000000000003</v>
      </c>
      <c r="E428" s="3" t="s">
        <v>3930</v>
      </c>
      <c r="F428" s="2" t="s">
        <v>15</v>
      </c>
      <c r="G428" s="6" t="s">
        <v>234</v>
      </c>
      <c r="H428" s="2" t="s">
        <v>284</v>
      </c>
      <c r="I428" s="2" t="s">
        <v>285</v>
      </c>
      <c r="J428" s="2" t="s">
        <v>19</v>
      </c>
      <c r="K428" s="2" t="s">
        <v>160</v>
      </c>
      <c r="L428" s="7" t="str">
        <f>HYPERLINK("http://slimages.macys.com/is/image/MCY/12672394 ")</f>
        <v xml:space="preserve">http://slimages.macys.com/is/image/MCY/12672394 </v>
      </c>
    </row>
    <row r="429" spans="1:12" ht="24.75" x14ac:dyDescent="0.25">
      <c r="A429" s="4" t="s">
        <v>5957</v>
      </c>
      <c r="B429" s="2" t="s">
        <v>3929</v>
      </c>
      <c r="C429" s="3">
        <v>1</v>
      </c>
      <c r="D429" s="5">
        <v>37.130000000000003</v>
      </c>
      <c r="E429" s="3" t="s">
        <v>3930</v>
      </c>
      <c r="F429" s="2" t="s">
        <v>15</v>
      </c>
      <c r="G429" s="6" t="s">
        <v>181</v>
      </c>
      <c r="H429" s="2" t="s">
        <v>284</v>
      </c>
      <c r="I429" s="2" t="s">
        <v>285</v>
      </c>
      <c r="J429" s="2" t="s">
        <v>19</v>
      </c>
      <c r="K429" s="2" t="s">
        <v>160</v>
      </c>
      <c r="L429" s="7" t="str">
        <f>HYPERLINK("http://slimages.macys.com/is/image/MCY/12672394 ")</f>
        <v xml:space="preserve">http://slimages.macys.com/is/image/MCY/12672394 </v>
      </c>
    </row>
    <row r="430" spans="1:12" ht="36.75" x14ac:dyDescent="0.25">
      <c r="A430" s="4" t="s">
        <v>10212</v>
      </c>
      <c r="B430" s="2" t="s">
        <v>1482</v>
      </c>
      <c r="C430" s="3">
        <v>1</v>
      </c>
      <c r="D430" s="5">
        <v>33.380000000000003</v>
      </c>
      <c r="E430" s="3" t="s">
        <v>10213</v>
      </c>
      <c r="F430" s="2" t="s">
        <v>417</v>
      </c>
      <c r="G430" s="6"/>
      <c r="H430" s="2" t="s">
        <v>312</v>
      </c>
      <c r="I430" s="2" t="s">
        <v>195</v>
      </c>
      <c r="J430" s="2" t="s">
        <v>19</v>
      </c>
      <c r="K430" s="2" t="s">
        <v>2767</v>
      </c>
      <c r="L430" s="7" t="str">
        <f>HYPERLINK("http://slimages.macys.com/is/image/MCY/12034201 ")</f>
        <v xml:space="preserve">http://slimages.macys.com/is/image/MCY/12034201 </v>
      </c>
    </row>
    <row r="431" spans="1:12" ht="24.75" x14ac:dyDescent="0.25">
      <c r="A431" s="4" t="s">
        <v>10214</v>
      </c>
      <c r="B431" s="2" t="s">
        <v>10215</v>
      </c>
      <c r="C431" s="3">
        <v>1</v>
      </c>
      <c r="D431" s="5">
        <v>37.130000000000003</v>
      </c>
      <c r="E431" s="3" t="s">
        <v>10216</v>
      </c>
      <c r="F431" s="2" t="s">
        <v>464</v>
      </c>
      <c r="G431" s="6" t="s">
        <v>156</v>
      </c>
      <c r="H431" s="2" t="s">
        <v>284</v>
      </c>
      <c r="I431" s="2" t="s">
        <v>285</v>
      </c>
      <c r="J431" s="2" t="s">
        <v>19</v>
      </c>
      <c r="K431" s="2" t="s">
        <v>160</v>
      </c>
      <c r="L431" s="7" t="str">
        <f>HYPERLINK("http://slimages.macys.com/is/image/MCY/11953933 ")</f>
        <v xml:space="preserve">http://slimages.macys.com/is/image/MCY/11953933 </v>
      </c>
    </row>
    <row r="432" spans="1:12" ht="24.75" x14ac:dyDescent="0.25">
      <c r="A432" s="4" t="s">
        <v>10217</v>
      </c>
      <c r="B432" s="2" t="s">
        <v>2775</v>
      </c>
      <c r="C432" s="3">
        <v>1</v>
      </c>
      <c r="D432" s="5">
        <v>34.5</v>
      </c>
      <c r="E432" s="3">
        <v>100053906</v>
      </c>
      <c r="F432" s="2" t="s">
        <v>89</v>
      </c>
      <c r="G432" s="6" t="s">
        <v>22</v>
      </c>
      <c r="H432" s="2" t="s">
        <v>228</v>
      </c>
      <c r="I432" s="2" t="s">
        <v>857</v>
      </c>
      <c r="J432" s="2" t="s">
        <v>19</v>
      </c>
      <c r="K432" s="2" t="s">
        <v>338</v>
      </c>
      <c r="L432" s="7" t="str">
        <f>HYPERLINK("http://slimages.macys.com/is/image/MCY/12143886 ")</f>
        <v xml:space="preserve">http://slimages.macys.com/is/image/MCY/12143886 </v>
      </c>
    </row>
    <row r="433" spans="1:12" ht="24.75" x14ac:dyDescent="0.25">
      <c r="A433" s="4" t="s">
        <v>8238</v>
      </c>
      <c r="B433" s="2" t="s">
        <v>1356</v>
      </c>
      <c r="C433" s="3">
        <v>1</v>
      </c>
      <c r="D433" s="5">
        <v>29.99</v>
      </c>
      <c r="E433" s="3">
        <v>100045814</v>
      </c>
      <c r="F433" s="2" t="s">
        <v>33</v>
      </c>
      <c r="G433" s="6" t="s">
        <v>65</v>
      </c>
      <c r="H433" s="2" t="s">
        <v>228</v>
      </c>
      <c r="I433" s="2" t="s">
        <v>229</v>
      </c>
      <c r="J433" s="2" t="s">
        <v>19</v>
      </c>
      <c r="K433" s="2" t="s">
        <v>353</v>
      </c>
      <c r="L433" s="7" t="str">
        <f>HYPERLINK("http://slimages.macys.com/is/image/MCY/11936020 ")</f>
        <v xml:space="preserve">http://slimages.macys.com/is/image/MCY/11936020 </v>
      </c>
    </row>
    <row r="434" spans="1:12" ht="24.75" x14ac:dyDescent="0.25">
      <c r="A434" s="4" t="s">
        <v>10218</v>
      </c>
      <c r="B434" s="2" t="s">
        <v>1529</v>
      </c>
      <c r="C434" s="3">
        <v>1</v>
      </c>
      <c r="D434" s="5">
        <v>37.130000000000003</v>
      </c>
      <c r="E434" s="3">
        <v>100015461</v>
      </c>
      <c r="F434" s="2" t="s">
        <v>566</v>
      </c>
      <c r="G434" s="6" t="s">
        <v>65</v>
      </c>
      <c r="H434" s="2" t="s">
        <v>194</v>
      </c>
      <c r="I434" s="2" t="s">
        <v>195</v>
      </c>
      <c r="J434" s="2" t="s">
        <v>19</v>
      </c>
      <c r="K434" s="2" t="s">
        <v>353</v>
      </c>
      <c r="L434" s="7" t="str">
        <f>HYPERLINK("http://slimages.macys.com/is/image/MCY/9504674 ")</f>
        <v xml:space="preserve">http://slimages.macys.com/is/image/MCY/9504674 </v>
      </c>
    </row>
    <row r="435" spans="1:12" ht="24.75" x14ac:dyDescent="0.25">
      <c r="A435" s="4" t="s">
        <v>3949</v>
      </c>
      <c r="B435" s="2" t="s">
        <v>1516</v>
      </c>
      <c r="C435" s="3">
        <v>2</v>
      </c>
      <c r="D435" s="5">
        <v>24.99</v>
      </c>
      <c r="E435" s="3" t="s">
        <v>1517</v>
      </c>
      <c r="F435" s="2" t="s">
        <v>998</v>
      </c>
      <c r="G435" s="6" t="s">
        <v>106</v>
      </c>
      <c r="H435" s="2" t="s">
        <v>1473</v>
      </c>
      <c r="I435" s="2" t="s">
        <v>1426</v>
      </c>
      <c r="J435" s="2" t="s">
        <v>19</v>
      </c>
      <c r="K435" s="2" t="s">
        <v>353</v>
      </c>
      <c r="L435" s="7" t="str">
        <f t="shared" ref="L435:L440" si="11">HYPERLINK("http://slimages.macys.com/is/image/MCY/11029826 ")</f>
        <v xml:space="preserve">http://slimages.macys.com/is/image/MCY/11029826 </v>
      </c>
    </row>
    <row r="436" spans="1:12" ht="24.75" x14ac:dyDescent="0.25">
      <c r="A436" s="4" t="s">
        <v>10219</v>
      </c>
      <c r="B436" s="2" t="s">
        <v>1516</v>
      </c>
      <c r="C436" s="3">
        <v>1</v>
      </c>
      <c r="D436" s="5">
        <v>24.99</v>
      </c>
      <c r="E436" s="3" t="s">
        <v>1517</v>
      </c>
      <c r="F436" s="2" t="s">
        <v>252</v>
      </c>
      <c r="G436" s="6" t="s">
        <v>16</v>
      </c>
      <c r="H436" s="2" t="s">
        <v>1473</v>
      </c>
      <c r="I436" s="2" t="s">
        <v>1426</v>
      </c>
      <c r="J436" s="2" t="s">
        <v>19</v>
      </c>
      <c r="K436" s="2" t="s">
        <v>353</v>
      </c>
      <c r="L436" s="7" t="str">
        <f t="shared" si="11"/>
        <v xml:space="preserve">http://slimages.macys.com/is/image/MCY/11029826 </v>
      </c>
    </row>
    <row r="437" spans="1:12" ht="24.75" x14ac:dyDescent="0.25">
      <c r="A437" s="4" t="s">
        <v>10220</v>
      </c>
      <c r="B437" s="2" t="s">
        <v>1516</v>
      </c>
      <c r="C437" s="3">
        <v>1</v>
      </c>
      <c r="D437" s="5">
        <v>24.99</v>
      </c>
      <c r="E437" s="3" t="s">
        <v>1517</v>
      </c>
      <c r="F437" s="2" t="s">
        <v>74</v>
      </c>
      <c r="G437" s="6" t="s">
        <v>16</v>
      </c>
      <c r="H437" s="2" t="s">
        <v>1473</v>
      </c>
      <c r="I437" s="2" t="s">
        <v>1426</v>
      </c>
      <c r="J437" s="2" t="s">
        <v>19</v>
      </c>
      <c r="K437" s="2" t="s">
        <v>353</v>
      </c>
      <c r="L437" s="7" t="str">
        <f t="shared" si="11"/>
        <v xml:space="preserve">http://slimages.macys.com/is/image/MCY/11029826 </v>
      </c>
    </row>
    <row r="438" spans="1:12" ht="24.75" x14ac:dyDescent="0.25">
      <c r="A438" s="4" t="s">
        <v>8249</v>
      </c>
      <c r="B438" s="2" t="s">
        <v>1516</v>
      </c>
      <c r="C438" s="3">
        <v>1</v>
      </c>
      <c r="D438" s="5">
        <v>24.99</v>
      </c>
      <c r="E438" s="3" t="s">
        <v>1517</v>
      </c>
      <c r="F438" s="2" t="s">
        <v>252</v>
      </c>
      <c r="G438" s="6" t="s">
        <v>22</v>
      </c>
      <c r="H438" s="2" t="s">
        <v>1473</v>
      </c>
      <c r="I438" s="2" t="s">
        <v>1426</v>
      </c>
      <c r="J438" s="2" t="s">
        <v>19</v>
      </c>
      <c r="K438" s="2" t="s">
        <v>353</v>
      </c>
      <c r="L438" s="7" t="str">
        <f t="shared" si="11"/>
        <v xml:space="preserve">http://slimages.macys.com/is/image/MCY/11029826 </v>
      </c>
    </row>
    <row r="439" spans="1:12" ht="24.75" x14ac:dyDescent="0.25">
      <c r="A439" s="4" t="s">
        <v>3944</v>
      </c>
      <c r="B439" s="2" t="s">
        <v>1516</v>
      </c>
      <c r="C439" s="3">
        <v>1</v>
      </c>
      <c r="D439" s="5">
        <v>24.99</v>
      </c>
      <c r="E439" s="3" t="s">
        <v>1517</v>
      </c>
      <c r="F439" s="2" t="s">
        <v>74</v>
      </c>
      <c r="G439" s="6" t="s">
        <v>27</v>
      </c>
      <c r="H439" s="2" t="s">
        <v>1473</v>
      </c>
      <c r="I439" s="2" t="s">
        <v>1426</v>
      </c>
      <c r="J439" s="2" t="s">
        <v>19</v>
      </c>
      <c r="K439" s="2" t="s">
        <v>353</v>
      </c>
      <c r="L439" s="7" t="str">
        <f t="shared" si="11"/>
        <v xml:space="preserve">http://slimages.macys.com/is/image/MCY/11029826 </v>
      </c>
    </row>
    <row r="440" spans="1:12" ht="24.75" x14ac:dyDescent="0.25">
      <c r="A440" s="4" t="s">
        <v>10221</v>
      </c>
      <c r="B440" s="2" t="s">
        <v>1516</v>
      </c>
      <c r="C440" s="3">
        <v>1</v>
      </c>
      <c r="D440" s="5">
        <v>24.99</v>
      </c>
      <c r="E440" s="3" t="s">
        <v>1517</v>
      </c>
      <c r="F440" s="2" t="s">
        <v>252</v>
      </c>
      <c r="G440" s="6" t="s">
        <v>106</v>
      </c>
      <c r="H440" s="2" t="s">
        <v>1473</v>
      </c>
      <c r="I440" s="2" t="s">
        <v>1426</v>
      </c>
      <c r="J440" s="2" t="s">
        <v>19</v>
      </c>
      <c r="K440" s="2" t="s">
        <v>353</v>
      </c>
      <c r="L440" s="7" t="str">
        <f t="shared" si="11"/>
        <v xml:space="preserve">http://slimages.macys.com/is/image/MCY/11029826 </v>
      </c>
    </row>
    <row r="441" spans="1:12" ht="24.75" x14ac:dyDescent="0.25">
      <c r="A441" s="4" t="s">
        <v>10222</v>
      </c>
      <c r="B441" s="2" t="s">
        <v>10223</v>
      </c>
      <c r="C441" s="3">
        <v>1</v>
      </c>
      <c r="D441" s="5">
        <v>44</v>
      </c>
      <c r="E441" s="3" t="s">
        <v>10224</v>
      </c>
      <c r="F441" s="2" t="s">
        <v>3293</v>
      </c>
      <c r="G441" s="6" t="s">
        <v>234</v>
      </c>
      <c r="H441" s="2" t="s">
        <v>10225</v>
      </c>
      <c r="I441" s="2" t="s">
        <v>10226</v>
      </c>
      <c r="J441" s="2" t="s">
        <v>19</v>
      </c>
      <c r="K441" s="2" t="s">
        <v>160</v>
      </c>
      <c r="L441" s="7" t="str">
        <f>HYPERLINK("http://slimages.macys.com/is/image/MCY/15644116 ")</f>
        <v xml:space="preserve">http://slimages.macys.com/is/image/MCY/15644116 </v>
      </c>
    </row>
    <row r="442" spans="1:12" ht="24.75" x14ac:dyDescent="0.25">
      <c r="A442" s="4" t="s">
        <v>10227</v>
      </c>
      <c r="B442" s="2" t="s">
        <v>10228</v>
      </c>
      <c r="C442" s="3">
        <v>1</v>
      </c>
      <c r="D442" s="5">
        <v>37.5</v>
      </c>
      <c r="E442" s="3" t="s">
        <v>10229</v>
      </c>
      <c r="F442" s="2" t="s">
        <v>74</v>
      </c>
      <c r="G442" s="6" t="s">
        <v>794</v>
      </c>
      <c r="H442" s="2" t="s">
        <v>447</v>
      </c>
      <c r="I442" s="2" t="s">
        <v>792</v>
      </c>
      <c r="J442" s="2" t="s">
        <v>2474</v>
      </c>
      <c r="K442" s="2" t="s">
        <v>160</v>
      </c>
      <c r="L442" s="7" t="str">
        <f>HYPERLINK("http://slimages.macys.com/is/image/MCY/12738160 ")</f>
        <v xml:space="preserve">http://slimages.macys.com/is/image/MCY/12738160 </v>
      </c>
    </row>
    <row r="443" spans="1:12" ht="24.75" x14ac:dyDescent="0.25">
      <c r="A443" s="4" t="s">
        <v>10230</v>
      </c>
      <c r="B443" s="2" t="s">
        <v>1512</v>
      </c>
      <c r="C443" s="3">
        <v>1</v>
      </c>
      <c r="D443" s="5">
        <v>24.99</v>
      </c>
      <c r="E443" s="3" t="s">
        <v>1513</v>
      </c>
      <c r="F443" s="2" t="s">
        <v>998</v>
      </c>
      <c r="G443" s="6" t="s">
        <v>205</v>
      </c>
      <c r="H443" s="2" t="s">
        <v>1425</v>
      </c>
      <c r="I443" s="2" t="s">
        <v>1426</v>
      </c>
      <c r="J443" s="2" t="s">
        <v>19</v>
      </c>
      <c r="K443" s="2" t="s">
        <v>353</v>
      </c>
      <c r="L443" s="7" t="str">
        <f>HYPERLINK("http://slimages.macys.com/is/image/MCY/11029820 ")</f>
        <v xml:space="preserve">http://slimages.macys.com/is/image/MCY/11029820 </v>
      </c>
    </row>
    <row r="444" spans="1:12" ht="24.75" x14ac:dyDescent="0.25">
      <c r="A444" s="4" t="s">
        <v>9673</v>
      </c>
      <c r="B444" s="2" t="s">
        <v>1516</v>
      </c>
      <c r="C444" s="3">
        <v>3</v>
      </c>
      <c r="D444" s="5">
        <v>24.99</v>
      </c>
      <c r="E444" s="3" t="s">
        <v>1517</v>
      </c>
      <c r="F444" s="2" t="s">
        <v>74</v>
      </c>
      <c r="G444" s="6" t="s">
        <v>106</v>
      </c>
      <c r="H444" s="2" t="s">
        <v>1473</v>
      </c>
      <c r="I444" s="2" t="s">
        <v>1426</v>
      </c>
      <c r="J444" s="2" t="s">
        <v>19</v>
      </c>
      <c r="K444" s="2" t="s">
        <v>353</v>
      </c>
      <c r="L444" s="7" t="str">
        <f t="shared" ref="L444:L449" si="12">HYPERLINK("http://slimages.macys.com/is/image/MCY/11029826 ")</f>
        <v xml:space="preserve">http://slimages.macys.com/is/image/MCY/11029826 </v>
      </c>
    </row>
    <row r="445" spans="1:12" ht="24.75" x14ac:dyDescent="0.25">
      <c r="A445" s="4" t="s">
        <v>2797</v>
      </c>
      <c r="B445" s="2" t="s">
        <v>1516</v>
      </c>
      <c r="C445" s="3">
        <v>4</v>
      </c>
      <c r="D445" s="5">
        <v>24.99</v>
      </c>
      <c r="E445" s="3" t="s">
        <v>1517</v>
      </c>
      <c r="F445" s="2" t="s">
        <v>74</v>
      </c>
      <c r="G445" s="6" t="s">
        <v>22</v>
      </c>
      <c r="H445" s="2" t="s">
        <v>1473</v>
      </c>
      <c r="I445" s="2" t="s">
        <v>1426</v>
      </c>
      <c r="J445" s="2" t="s">
        <v>19</v>
      </c>
      <c r="K445" s="2" t="s">
        <v>353</v>
      </c>
      <c r="L445" s="7" t="str">
        <f t="shared" si="12"/>
        <v xml:space="preserve">http://slimages.macys.com/is/image/MCY/11029826 </v>
      </c>
    </row>
    <row r="446" spans="1:12" ht="24.75" x14ac:dyDescent="0.25">
      <c r="A446" s="4" t="s">
        <v>2792</v>
      </c>
      <c r="B446" s="2" t="s">
        <v>1516</v>
      </c>
      <c r="C446" s="3">
        <v>4</v>
      </c>
      <c r="D446" s="5">
        <v>24.99</v>
      </c>
      <c r="E446" s="3" t="s">
        <v>1517</v>
      </c>
      <c r="F446" s="2" t="s">
        <v>15</v>
      </c>
      <c r="G446" s="6" t="s">
        <v>22</v>
      </c>
      <c r="H446" s="2" t="s">
        <v>1473</v>
      </c>
      <c r="I446" s="2" t="s">
        <v>1426</v>
      </c>
      <c r="J446" s="2" t="s">
        <v>19</v>
      </c>
      <c r="K446" s="2" t="s">
        <v>353</v>
      </c>
      <c r="L446" s="7" t="str">
        <f t="shared" si="12"/>
        <v xml:space="preserve">http://slimages.macys.com/is/image/MCY/11029826 </v>
      </c>
    </row>
    <row r="447" spans="1:12" ht="24.75" x14ac:dyDescent="0.25">
      <c r="A447" s="4" t="s">
        <v>3939</v>
      </c>
      <c r="B447" s="2" t="s">
        <v>1516</v>
      </c>
      <c r="C447" s="3">
        <v>1</v>
      </c>
      <c r="D447" s="5">
        <v>24.99</v>
      </c>
      <c r="E447" s="3" t="s">
        <v>1517</v>
      </c>
      <c r="F447" s="2" t="s">
        <v>998</v>
      </c>
      <c r="G447" s="6" t="s">
        <v>16</v>
      </c>
      <c r="H447" s="2" t="s">
        <v>1473</v>
      </c>
      <c r="I447" s="2" t="s">
        <v>1426</v>
      </c>
      <c r="J447" s="2" t="s">
        <v>19</v>
      </c>
      <c r="K447" s="2" t="s">
        <v>353</v>
      </c>
      <c r="L447" s="7" t="str">
        <f t="shared" si="12"/>
        <v xml:space="preserve">http://slimages.macys.com/is/image/MCY/11029826 </v>
      </c>
    </row>
    <row r="448" spans="1:12" ht="24.75" x14ac:dyDescent="0.25">
      <c r="A448" s="4" t="s">
        <v>1515</v>
      </c>
      <c r="B448" s="2" t="s">
        <v>1516</v>
      </c>
      <c r="C448" s="3">
        <v>2</v>
      </c>
      <c r="D448" s="5">
        <v>24.99</v>
      </c>
      <c r="E448" s="3" t="s">
        <v>1517</v>
      </c>
      <c r="F448" s="2" t="s">
        <v>998</v>
      </c>
      <c r="G448" s="6" t="s">
        <v>58</v>
      </c>
      <c r="H448" s="2" t="s">
        <v>1473</v>
      </c>
      <c r="I448" s="2" t="s">
        <v>1426</v>
      </c>
      <c r="J448" s="2" t="s">
        <v>19</v>
      </c>
      <c r="K448" s="2" t="s">
        <v>353</v>
      </c>
      <c r="L448" s="7" t="str">
        <f t="shared" si="12"/>
        <v xml:space="preserve">http://slimages.macys.com/is/image/MCY/11029826 </v>
      </c>
    </row>
    <row r="449" spans="1:12" ht="24.75" x14ac:dyDescent="0.25">
      <c r="A449" s="4" t="s">
        <v>3940</v>
      </c>
      <c r="B449" s="2" t="s">
        <v>1516</v>
      </c>
      <c r="C449" s="3">
        <v>8</v>
      </c>
      <c r="D449" s="5">
        <v>24.99</v>
      </c>
      <c r="E449" s="3" t="s">
        <v>1517</v>
      </c>
      <c r="F449" s="2" t="s">
        <v>74</v>
      </c>
      <c r="G449" s="6" t="s">
        <v>58</v>
      </c>
      <c r="H449" s="2" t="s">
        <v>1473</v>
      </c>
      <c r="I449" s="2" t="s">
        <v>1426</v>
      </c>
      <c r="J449" s="2" t="s">
        <v>19</v>
      </c>
      <c r="K449" s="2" t="s">
        <v>353</v>
      </c>
      <c r="L449" s="7" t="str">
        <f t="shared" si="12"/>
        <v xml:space="preserve">http://slimages.macys.com/is/image/MCY/11029826 </v>
      </c>
    </row>
    <row r="450" spans="1:12" ht="24.75" x14ac:dyDescent="0.25">
      <c r="A450" s="4" t="s">
        <v>3951</v>
      </c>
      <c r="B450" s="2" t="s">
        <v>2746</v>
      </c>
      <c r="C450" s="3">
        <v>3</v>
      </c>
      <c r="D450" s="5">
        <v>29.5</v>
      </c>
      <c r="E450" s="3" t="s">
        <v>2747</v>
      </c>
      <c r="F450" s="2" t="s">
        <v>15</v>
      </c>
      <c r="G450" s="6"/>
      <c r="H450" s="2" t="s">
        <v>312</v>
      </c>
      <c r="I450" s="2" t="s">
        <v>195</v>
      </c>
      <c r="J450" s="2" t="s">
        <v>19</v>
      </c>
      <c r="K450" s="2" t="s">
        <v>1629</v>
      </c>
      <c r="L450" s="7" t="str">
        <f>HYPERLINK("http://slimages.macys.com/is/image/MCY/8604512 ")</f>
        <v xml:space="preserve">http://slimages.macys.com/is/image/MCY/8604512 </v>
      </c>
    </row>
    <row r="451" spans="1:12" ht="24.75" x14ac:dyDescent="0.25">
      <c r="A451" s="4" t="s">
        <v>5039</v>
      </c>
      <c r="B451" s="2" t="s">
        <v>5040</v>
      </c>
      <c r="C451" s="3">
        <v>3</v>
      </c>
      <c r="D451" s="5">
        <v>29.63</v>
      </c>
      <c r="E451" s="3">
        <v>100018082</v>
      </c>
      <c r="F451" s="2" t="s">
        <v>15</v>
      </c>
      <c r="G451" s="6" t="s">
        <v>154</v>
      </c>
      <c r="H451" s="2" t="s">
        <v>194</v>
      </c>
      <c r="I451" s="2" t="s">
        <v>195</v>
      </c>
      <c r="J451" s="2" t="s">
        <v>19</v>
      </c>
      <c r="K451" s="2" t="s">
        <v>1082</v>
      </c>
      <c r="L451" s="7" t="str">
        <f>HYPERLINK("http://slimages.macys.com/is/image/MCY/13367475 ")</f>
        <v xml:space="preserve">http://slimages.macys.com/is/image/MCY/13367475 </v>
      </c>
    </row>
    <row r="452" spans="1:12" ht="24.75" x14ac:dyDescent="0.25">
      <c r="A452" s="4" t="s">
        <v>5042</v>
      </c>
      <c r="B452" s="2" t="s">
        <v>2812</v>
      </c>
      <c r="C452" s="3">
        <v>1</v>
      </c>
      <c r="D452" s="5">
        <v>34.5</v>
      </c>
      <c r="E452" s="3">
        <v>100019421</v>
      </c>
      <c r="F452" s="2" t="s">
        <v>417</v>
      </c>
      <c r="G452" s="6" t="s">
        <v>27</v>
      </c>
      <c r="H452" s="2" t="s">
        <v>228</v>
      </c>
      <c r="I452" s="2" t="s">
        <v>229</v>
      </c>
      <c r="J452" s="2" t="s">
        <v>19</v>
      </c>
      <c r="K452" s="2" t="s">
        <v>353</v>
      </c>
      <c r="L452" s="7" t="str">
        <f>HYPERLINK("http://slimages.macys.com/is/image/MCY/11936020 ")</f>
        <v xml:space="preserve">http://slimages.macys.com/is/image/MCY/11936020 </v>
      </c>
    </row>
    <row r="453" spans="1:12" ht="24.75" x14ac:dyDescent="0.25">
      <c r="A453" s="4" t="s">
        <v>2824</v>
      </c>
      <c r="B453" s="2" t="s">
        <v>1539</v>
      </c>
      <c r="C453" s="3">
        <v>1</v>
      </c>
      <c r="D453" s="5">
        <v>26.99</v>
      </c>
      <c r="E453" s="3" t="s">
        <v>1540</v>
      </c>
      <c r="F453" s="2" t="s">
        <v>1234</v>
      </c>
      <c r="G453" s="6" t="s">
        <v>27</v>
      </c>
      <c r="H453" s="2" t="s">
        <v>1473</v>
      </c>
      <c r="I453" s="2" t="s">
        <v>1426</v>
      </c>
      <c r="J453" s="2" t="s">
        <v>19</v>
      </c>
      <c r="K453" s="2" t="s">
        <v>353</v>
      </c>
      <c r="L453" s="7" t="str">
        <f t="shared" ref="L453:L464" si="13">HYPERLINK("http://slimages.macys.com/is/image/MCY/10786732 ")</f>
        <v xml:space="preserve">http://slimages.macys.com/is/image/MCY/10786732 </v>
      </c>
    </row>
    <row r="454" spans="1:12" ht="24.75" x14ac:dyDescent="0.25">
      <c r="A454" s="4" t="s">
        <v>2828</v>
      </c>
      <c r="B454" s="2" t="s">
        <v>1539</v>
      </c>
      <c r="C454" s="3">
        <v>1</v>
      </c>
      <c r="D454" s="5">
        <v>26.99</v>
      </c>
      <c r="E454" s="3" t="s">
        <v>1540</v>
      </c>
      <c r="F454" s="2" t="s">
        <v>74</v>
      </c>
      <c r="G454" s="6" t="s">
        <v>58</v>
      </c>
      <c r="H454" s="2" t="s">
        <v>1473</v>
      </c>
      <c r="I454" s="2" t="s">
        <v>1426</v>
      </c>
      <c r="J454" s="2" t="s">
        <v>19</v>
      </c>
      <c r="K454" s="2" t="s">
        <v>353</v>
      </c>
      <c r="L454" s="7" t="str">
        <f t="shared" si="13"/>
        <v xml:space="preserve">http://slimages.macys.com/is/image/MCY/10786732 </v>
      </c>
    </row>
    <row r="455" spans="1:12" ht="24.75" x14ac:dyDescent="0.25">
      <c r="A455" s="4" t="s">
        <v>2820</v>
      </c>
      <c r="B455" s="2" t="s">
        <v>1539</v>
      </c>
      <c r="C455" s="3">
        <v>9</v>
      </c>
      <c r="D455" s="5">
        <v>26.99</v>
      </c>
      <c r="E455" s="3" t="s">
        <v>1540</v>
      </c>
      <c r="F455" s="2" t="s">
        <v>998</v>
      </c>
      <c r="G455" s="6" t="s">
        <v>16</v>
      </c>
      <c r="H455" s="2" t="s">
        <v>1473</v>
      </c>
      <c r="I455" s="2" t="s">
        <v>1426</v>
      </c>
      <c r="J455" s="2" t="s">
        <v>19</v>
      </c>
      <c r="K455" s="2" t="s">
        <v>353</v>
      </c>
      <c r="L455" s="7" t="str">
        <f t="shared" si="13"/>
        <v xml:space="preserve">http://slimages.macys.com/is/image/MCY/10786732 </v>
      </c>
    </row>
    <row r="456" spans="1:12" ht="24.75" x14ac:dyDescent="0.25">
      <c r="A456" s="4" t="s">
        <v>2826</v>
      </c>
      <c r="B456" s="2" t="s">
        <v>1539</v>
      </c>
      <c r="C456" s="3">
        <v>8</v>
      </c>
      <c r="D456" s="5">
        <v>26.99</v>
      </c>
      <c r="E456" s="3" t="s">
        <v>1540</v>
      </c>
      <c r="F456" s="2" t="s">
        <v>998</v>
      </c>
      <c r="G456" s="6" t="s">
        <v>27</v>
      </c>
      <c r="H456" s="2" t="s">
        <v>1473</v>
      </c>
      <c r="I456" s="2" t="s">
        <v>1426</v>
      </c>
      <c r="J456" s="2" t="s">
        <v>19</v>
      </c>
      <c r="K456" s="2" t="s">
        <v>353</v>
      </c>
      <c r="L456" s="7" t="str">
        <f t="shared" si="13"/>
        <v xml:space="preserve">http://slimages.macys.com/is/image/MCY/10786732 </v>
      </c>
    </row>
    <row r="457" spans="1:12" ht="24.75" x14ac:dyDescent="0.25">
      <c r="A457" s="4" t="s">
        <v>2823</v>
      </c>
      <c r="B457" s="2" t="s">
        <v>1539</v>
      </c>
      <c r="C457" s="3">
        <v>5</v>
      </c>
      <c r="D457" s="5">
        <v>26.99</v>
      </c>
      <c r="E457" s="3" t="s">
        <v>1540</v>
      </c>
      <c r="F457" s="2" t="s">
        <v>998</v>
      </c>
      <c r="G457" s="6" t="s">
        <v>106</v>
      </c>
      <c r="H457" s="2" t="s">
        <v>1473</v>
      </c>
      <c r="I457" s="2" t="s">
        <v>1426</v>
      </c>
      <c r="J457" s="2" t="s">
        <v>19</v>
      </c>
      <c r="K457" s="2" t="s">
        <v>353</v>
      </c>
      <c r="L457" s="7" t="str">
        <f t="shared" si="13"/>
        <v xml:space="preserve">http://slimages.macys.com/is/image/MCY/10786732 </v>
      </c>
    </row>
    <row r="458" spans="1:12" ht="24.75" x14ac:dyDescent="0.25">
      <c r="A458" s="4" t="s">
        <v>1545</v>
      </c>
      <c r="B458" s="2" t="s">
        <v>1539</v>
      </c>
      <c r="C458" s="3">
        <v>6</v>
      </c>
      <c r="D458" s="5">
        <v>26.99</v>
      </c>
      <c r="E458" s="3" t="s">
        <v>1540</v>
      </c>
      <c r="F458" s="2" t="s">
        <v>998</v>
      </c>
      <c r="G458" s="6" t="s">
        <v>58</v>
      </c>
      <c r="H458" s="2" t="s">
        <v>1473</v>
      </c>
      <c r="I458" s="2" t="s">
        <v>1426</v>
      </c>
      <c r="J458" s="2" t="s">
        <v>19</v>
      </c>
      <c r="K458" s="2" t="s">
        <v>353</v>
      </c>
      <c r="L458" s="7" t="str">
        <f t="shared" si="13"/>
        <v xml:space="preserve">http://slimages.macys.com/is/image/MCY/10786732 </v>
      </c>
    </row>
    <row r="459" spans="1:12" ht="24.75" x14ac:dyDescent="0.25">
      <c r="A459" s="4" t="s">
        <v>1544</v>
      </c>
      <c r="B459" s="2" t="s">
        <v>1539</v>
      </c>
      <c r="C459" s="3">
        <v>1</v>
      </c>
      <c r="D459" s="5">
        <v>26.99</v>
      </c>
      <c r="E459" s="3" t="s">
        <v>1540</v>
      </c>
      <c r="F459" s="2" t="s">
        <v>252</v>
      </c>
      <c r="G459" s="6" t="s">
        <v>112</v>
      </c>
      <c r="H459" s="2" t="s">
        <v>1473</v>
      </c>
      <c r="I459" s="2" t="s">
        <v>1426</v>
      </c>
      <c r="J459" s="2" t="s">
        <v>19</v>
      </c>
      <c r="K459" s="2" t="s">
        <v>353</v>
      </c>
      <c r="L459" s="7" t="str">
        <f t="shared" si="13"/>
        <v xml:space="preserve">http://slimages.macys.com/is/image/MCY/10786732 </v>
      </c>
    </row>
    <row r="460" spans="1:12" ht="24.75" x14ac:dyDescent="0.25">
      <c r="A460" s="4" t="s">
        <v>2825</v>
      </c>
      <c r="B460" s="2" t="s">
        <v>1539</v>
      </c>
      <c r="C460" s="3">
        <v>2</v>
      </c>
      <c r="D460" s="5">
        <v>26.99</v>
      </c>
      <c r="E460" s="3" t="s">
        <v>1540</v>
      </c>
      <c r="F460" s="2" t="s">
        <v>252</v>
      </c>
      <c r="G460" s="6" t="s">
        <v>22</v>
      </c>
      <c r="H460" s="2" t="s">
        <v>1473</v>
      </c>
      <c r="I460" s="2" t="s">
        <v>1426</v>
      </c>
      <c r="J460" s="2" t="s">
        <v>19</v>
      </c>
      <c r="K460" s="2" t="s">
        <v>353</v>
      </c>
      <c r="L460" s="7" t="str">
        <f t="shared" si="13"/>
        <v xml:space="preserve">http://slimages.macys.com/is/image/MCY/10786732 </v>
      </c>
    </row>
    <row r="461" spans="1:12" ht="24.75" x14ac:dyDescent="0.25">
      <c r="A461" s="4" t="s">
        <v>8751</v>
      </c>
      <c r="B461" s="2" t="s">
        <v>1539</v>
      </c>
      <c r="C461" s="3">
        <v>1</v>
      </c>
      <c r="D461" s="5">
        <v>26.99</v>
      </c>
      <c r="E461" s="3" t="s">
        <v>1540</v>
      </c>
      <c r="F461" s="2" t="s">
        <v>998</v>
      </c>
      <c r="G461" s="6" t="s">
        <v>141</v>
      </c>
      <c r="H461" s="2" t="s">
        <v>1473</v>
      </c>
      <c r="I461" s="2" t="s">
        <v>1426</v>
      </c>
      <c r="J461" s="2" t="s">
        <v>19</v>
      </c>
      <c r="K461" s="2" t="s">
        <v>353</v>
      </c>
      <c r="L461" s="7" t="str">
        <f t="shared" si="13"/>
        <v xml:space="preserve">http://slimages.macys.com/is/image/MCY/10786732 </v>
      </c>
    </row>
    <row r="462" spans="1:12" ht="24.75" x14ac:dyDescent="0.25">
      <c r="A462" s="4" t="s">
        <v>5979</v>
      </c>
      <c r="B462" s="2" t="s">
        <v>1539</v>
      </c>
      <c r="C462" s="3">
        <v>1</v>
      </c>
      <c r="D462" s="5">
        <v>26.99</v>
      </c>
      <c r="E462" s="3" t="s">
        <v>1540</v>
      </c>
      <c r="F462" s="2" t="s">
        <v>74</v>
      </c>
      <c r="G462" s="6" t="s">
        <v>27</v>
      </c>
      <c r="H462" s="2" t="s">
        <v>1473</v>
      </c>
      <c r="I462" s="2" t="s">
        <v>1426</v>
      </c>
      <c r="J462" s="2" t="s">
        <v>19</v>
      </c>
      <c r="K462" s="2" t="s">
        <v>353</v>
      </c>
      <c r="L462" s="7" t="str">
        <f t="shared" si="13"/>
        <v xml:space="preserve">http://slimages.macys.com/is/image/MCY/10786732 </v>
      </c>
    </row>
    <row r="463" spans="1:12" ht="24.75" x14ac:dyDescent="0.25">
      <c r="A463" s="4" t="s">
        <v>2821</v>
      </c>
      <c r="B463" s="2" t="s">
        <v>1539</v>
      </c>
      <c r="C463" s="3">
        <v>3</v>
      </c>
      <c r="D463" s="5">
        <v>26.99</v>
      </c>
      <c r="E463" s="3" t="s">
        <v>1540</v>
      </c>
      <c r="F463" s="2" t="s">
        <v>998</v>
      </c>
      <c r="G463" s="6" t="s">
        <v>112</v>
      </c>
      <c r="H463" s="2" t="s">
        <v>1473</v>
      </c>
      <c r="I463" s="2" t="s">
        <v>1426</v>
      </c>
      <c r="J463" s="2" t="s">
        <v>19</v>
      </c>
      <c r="K463" s="2" t="s">
        <v>353</v>
      </c>
      <c r="L463" s="7" t="str">
        <f t="shared" si="13"/>
        <v xml:space="preserve">http://slimages.macys.com/is/image/MCY/10786732 </v>
      </c>
    </row>
    <row r="464" spans="1:12" ht="24.75" x14ac:dyDescent="0.25">
      <c r="A464" s="4" t="s">
        <v>9140</v>
      </c>
      <c r="B464" s="2" t="s">
        <v>1539</v>
      </c>
      <c r="C464" s="3">
        <v>1</v>
      </c>
      <c r="D464" s="5">
        <v>26.99</v>
      </c>
      <c r="E464" s="3" t="s">
        <v>1540</v>
      </c>
      <c r="F464" s="2" t="s">
        <v>1234</v>
      </c>
      <c r="G464" s="6" t="s">
        <v>141</v>
      </c>
      <c r="H464" s="2" t="s">
        <v>1473</v>
      </c>
      <c r="I464" s="2" t="s">
        <v>1426</v>
      </c>
      <c r="J464" s="2" t="s">
        <v>19</v>
      </c>
      <c r="K464" s="2" t="s">
        <v>353</v>
      </c>
      <c r="L464" s="7" t="str">
        <f t="shared" si="13"/>
        <v xml:space="preserve">http://slimages.macys.com/is/image/MCY/10786732 </v>
      </c>
    </row>
    <row r="465" spans="1:12" ht="24.75" x14ac:dyDescent="0.25">
      <c r="A465" s="4" t="s">
        <v>6725</v>
      </c>
      <c r="B465" s="2" t="s">
        <v>1539</v>
      </c>
      <c r="C465" s="3">
        <v>1</v>
      </c>
      <c r="D465" s="5">
        <v>26.99</v>
      </c>
      <c r="E465" s="3" t="s">
        <v>1548</v>
      </c>
      <c r="F465" s="2" t="s">
        <v>252</v>
      </c>
      <c r="G465" s="6" t="s">
        <v>238</v>
      </c>
      <c r="H465" s="2" t="s">
        <v>1425</v>
      </c>
      <c r="I465" s="2" t="s">
        <v>1426</v>
      </c>
      <c r="J465" s="2" t="s">
        <v>19</v>
      </c>
      <c r="K465" s="2" t="s">
        <v>353</v>
      </c>
      <c r="L465" s="7" t="str">
        <f>HYPERLINK("http://slimages.macys.com/is/image/MCY/11092539 ")</f>
        <v xml:space="preserve">http://slimages.macys.com/is/image/MCY/11092539 </v>
      </c>
    </row>
    <row r="466" spans="1:12" ht="24.75" x14ac:dyDescent="0.25">
      <c r="A466" s="4" t="s">
        <v>1547</v>
      </c>
      <c r="B466" s="2" t="s">
        <v>1539</v>
      </c>
      <c r="C466" s="3">
        <v>2</v>
      </c>
      <c r="D466" s="5">
        <v>26.99</v>
      </c>
      <c r="E466" s="3" t="s">
        <v>1548</v>
      </c>
      <c r="F466" s="2" t="s">
        <v>998</v>
      </c>
      <c r="G466" s="6" t="s">
        <v>934</v>
      </c>
      <c r="H466" s="2" t="s">
        <v>1425</v>
      </c>
      <c r="I466" s="2" t="s">
        <v>1426</v>
      </c>
      <c r="J466" s="2" t="s">
        <v>19</v>
      </c>
      <c r="K466" s="2" t="s">
        <v>353</v>
      </c>
      <c r="L466" s="7" t="str">
        <f>HYPERLINK("http://slimages.macys.com/is/image/MCY/11092539 ")</f>
        <v xml:space="preserve">http://slimages.macys.com/is/image/MCY/11092539 </v>
      </c>
    </row>
    <row r="467" spans="1:12" ht="24.75" x14ac:dyDescent="0.25">
      <c r="A467" s="4" t="s">
        <v>2813</v>
      </c>
      <c r="B467" s="2" t="s">
        <v>1539</v>
      </c>
      <c r="C467" s="3">
        <v>1</v>
      </c>
      <c r="D467" s="5">
        <v>26.99</v>
      </c>
      <c r="E467" s="3" t="s">
        <v>1548</v>
      </c>
      <c r="F467" s="2" t="s">
        <v>252</v>
      </c>
      <c r="G467" s="6" t="s">
        <v>802</v>
      </c>
      <c r="H467" s="2" t="s">
        <v>1425</v>
      </c>
      <c r="I467" s="2" t="s">
        <v>1426</v>
      </c>
      <c r="J467" s="2" t="s">
        <v>19</v>
      </c>
      <c r="K467" s="2" t="s">
        <v>353</v>
      </c>
      <c r="L467" s="7" t="str">
        <f>HYPERLINK("http://slimages.macys.com/is/image/MCY/11092539 ")</f>
        <v xml:space="preserve">http://slimages.macys.com/is/image/MCY/11092539 </v>
      </c>
    </row>
    <row r="468" spans="1:12" ht="24.75" x14ac:dyDescent="0.25">
      <c r="A468" s="4" t="s">
        <v>3960</v>
      </c>
      <c r="B468" s="2" t="s">
        <v>1539</v>
      </c>
      <c r="C468" s="3">
        <v>1</v>
      </c>
      <c r="D468" s="5">
        <v>26.99</v>
      </c>
      <c r="E468" s="3" t="s">
        <v>1540</v>
      </c>
      <c r="F468" s="2" t="s">
        <v>252</v>
      </c>
      <c r="G468" s="6" t="s">
        <v>106</v>
      </c>
      <c r="H468" s="2" t="s">
        <v>1473</v>
      </c>
      <c r="I468" s="2" t="s">
        <v>1426</v>
      </c>
      <c r="J468" s="2" t="s">
        <v>19</v>
      </c>
      <c r="K468" s="2" t="s">
        <v>353</v>
      </c>
      <c r="L468" s="7" t="str">
        <f t="shared" ref="L468:L486" si="14">HYPERLINK("http://slimages.macys.com/is/image/MCY/10786732 ")</f>
        <v xml:space="preserve">http://slimages.macys.com/is/image/MCY/10786732 </v>
      </c>
    </row>
    <row r="469" spans="1:12" ht="24.75" x14ac:dyDescent="0.25">
      <c r="A469" s="4" t="s">
        <v>1551</v>
      </c>
      <c r="B469" s="2" t="s">
        <v>1539</v>
      </c>
      <c r="C469" s="3">
        <v>1</v>
      </c>
      <c r="D469" s="5">
        <v>26.99</v>
      </c>
      <c r="E469" s="3" t="s">
        <v>1540</v>
      </c>
      <c r="F469" s="2" t="s">
        <v>74</v>
      </c>
      <c r="G469" s="6" t="s">
        <v>141</v>
      </c>
      <c r="H469" s="2" t="s">
        <v>1473</v>
      </c>
      <c r="I469" s="2" t="s">
        <v>1426</v>
      </c>
      <c r="J469" s="2" t="s">
        <v>19</v>
      </c>
      <c r="K469" s="2" t="s">
        <v>353</v>
      </c>
      <c r="L469" s="7" t="str">
        <f t="shared" si="14"/>
        <v xml:space="preserve">http://slimages.macys.com/is/image/MCY/10786732 </v>
      </c>
    </row>
    <row r="470" spans="1:12" ht="24.75" x14ac:dyDescent="0.25">
      <c r="A470" s="4" t="s">
        <v>3958</v>
      </c>
      <c r="B470" s="2" t="s">
        <v>1539</v>
      </c>
      <c r="C470" s="3">
        <v>2</v>
      </c>
      <c r="D470" s="5">
        <v>26.99</v>
      </c>
      <c r="E470" s="3" t="s">
        <v>1540</v>
      </c>
      <c r="F470" s="2" t="s">
        <v>252</v>
      </c>
      <c r="G470" s="6" t="s">
        <v>58</v>
      </c>
      <c r="H470" s="2" t="s">
        <v>1473</v>
      </c>
      <c r="I470" s="2" t="s">
        <v>1426</v>
      </c>
      <c r="J470" s="2" t="s">
        <v>19</v>
      </c>
      <c r="K470" s="2" t="s">
        <v>353</v>
      </c>
      <c r="L470" s="7" t="str">
        <f t="shared" si="14"/>
        <v xml:space="preserve">http://slimages.macys.com/is/image/MCY/10786732 </v>
      </c>
    </row>
    <row r="471" spans="1:12" ht="24.75" x14ac:dyDescent="0.25">
      <c r="A471" s="4" t="s">
        <v>3959</v>
      </c>
      <c r="B471" s="2" t="s">
        <v>1539</v>
      </c>
      <c r="C471" s="3">
        <v>2</v>
      </c>
      <c r="D471" s="5">
        <v>26.99</v>
      </c>
      <c r="E471" s="3" t="s">
        <v>1540</v>
      </c>
      <c r="F471" s="2" t="s">
        <v>252</v>
      </c>
      <c r="G471" s="6" t="s">
        <v>16</v>
      </c>
      <c r="H471" s="2" t="s">
        <v>1473</v>
      </c>
      <c r="I471" s="2" t="s">
        <v>1426</v>
      </c>
      <c r="J471" s="2" t="s">
        <v>19</v>
      </c>
      <c r="K471" s="2" t="s">
        <v>353</v>
      </c>
      <c r="L471" s="7" t="str">
        <f t="shared" si="14"/>
        <v xml:space="preserve">http://slimages.macys.com/is/image/MCY/10786732 </v>
      </c>
    </row>
    <row r="472" spans="1:12" ht="24.75" x14ac:dyDescent="0.25">
      <c r="A472" s="4" t="s">
        <v>2822</v>
      </c>
      <c r="B472" s="2" t="s">
        <v>1539</v>
      </c>
      <c r="C472" s="3">
        <v>2</v>
      </c>
      <c r="D472" s="5">
        <v>26.99</v>
      </c>
      <c r="E472" s="3" t="s">
        <v>1540</v>
      </c>
      <c r="F472" s="2" t="s">
        <v>252</v>
      </c>
      <c r="G472" s="6" t="s">
        <v>27</v>
      </c>
      <c r="H472" s="2" t="s">
        <v>1473</v>
      </c>
      <c r="I472" s="2" t="s">
        <v>1426</v>
      </c>
      <c r="J472" s="2" t="s">
        <v>19</v>
      </c>
      <c r="K472" s="2" t="s">
        <v>353</v>
      </c>
      <c r="L472" s="7" t="str">
        <f t="shared" si="14"/>
        <v xml:space="preserve">http://slimages.macys.com/is/image/MCY/10786732 </v>
      </c>
    </row>
    <row r="473" spans="1:12" ht="24.75" x14ac:dyDescent="0.25">
      <c r="A473" s="4" t="s">
        <v>8255</v>
      </c>
      <c r="B473" s="2" t="s">
        <v>1539</v>
      </c>
      <c r="C473" s="3">
        <v>1</v>
      </c>
      <c r="D473" s="5">
        <v>26.99</v>
      </c>
      <c r="E473" s="3" t="s">
        <v>1540</v>
      </c>
      <c r="F473" s="2" t="s">
        <v>1234</v>
      </c>
      <c r="G473" s="6" t="s">
        <v>16</v>
      </c>
      <c r="H473" s="2" t="s">
        <v>1473</v>
      </c>
      <c r="I473" s="2" t="s">
        <v>1426</v>
      </c>
      <c r="J473" s="2" t="s">
        <v>19</v>
      </c>
      <c r="K473" s="2" t="s">
        <v>353</v>
      </c>
      <c r="L473" s="7" t="str">
        <f t="shared" si="14"/>
        <v xml:space="preserve">http://slimages.macys.com/is/image/MCY/10786732 </v>
      </c>
    </row>
    <row r="474" spans="1:12" ht="24.75" x14ac:dyDescent="0.25">
      <c r="A474" s="4" t="s">
        <v>8753</v>
      </c>
      <c r="B474" s="2" t="s">
        <v>1539</v>
      </c>
      <c r="C474" s="3">
        <v>1</v>
      </c>
      <c r="D474" s="5">
        <v>26.99</v>
      </c>
      <c r="E474" s="3" t="s">
        <v>1540</v>
      </c>
      <c r="F474" s="2" t="s">
        <v>252</v>
      </c>
      <c r="G474" s="6" t="s">
        <v>141</v>
      </c>
      <c r="H474" s="2" t="s">
        <v>1473</v>
      </c>
      <c r="I474" s="2" t="s">
        <v>1426</v>
      </c>
      <c r="J474" s="2" t="s">
        <v>19</v>
      </c>
      <c r="K474" s="2" t="s">
        <v>353</v>
      </c>
      <c r="L474" s="7" t="str">
        <f t="shared" si="14"/>
        <v xml:space="preserve">http://slimages.macys.com/is/image/MCY/10786732 </v>
      </c>
    </row>
    <row r="475" spans="1:12" ht="24.75" x14ac:dyDescent="0.25">
      <c r="A475" s="4" t="s">
        <v>5043</v>
      </c>
      <c r="B475" s="2" t="s">
        <v>1539</v>
      </c>
      <c r="C475" s="3">
        <v>1</v>
      </c>
      <c r="D475" s="5">
        <v>26.99</v>
      </c>
      <c r="E475" s="3" t="s">
        <v>1540</v>
      </c>
      <c r="F475" s="2" t="s">
        <v>74</v>
      </c>
      <c r="G475" s="6" t="s">
        <v>106</v>
      </c>
      <c r="H475" s="2" t="s">
        <v>1473</v>
      </c>
      <c r="I475" s="2" t="s">
        <v>1426</v>
      </c>
      <c r="J475" s="2" t="s">
        <v>19</v>
      </c>
      <c r="K475" s="2" t="s">
        <v>353</v>
      </c>
      <c r="L475" s="7" t="str">
        <f t="shared" si="14"/>
        <v xml:space="preserve">http://slimages.macys.com/is/image/MCY/10786732 </v>
      </c>
    </row>
    <row r="476" spans="1:12" ht="24.75" x14ac:dyDescent="0.25">
      <c r="A476" s="4" t="s">
        <v>7551</v>
      </c>
      <c r="B476" s="2" t="s">
        <v>1539</v>
      </c>
      <c r="C476" s="3">
        <v>5</v>
      </c>
      <c r="D476" s="5">
        <v>26.99</v>
      </c>
      <c r="E476" s="3" t="s">
        <v>1540</v>
      </c>
      <c r="F476" s="2" t="s">
        <v>15</v>
      </c>
      <c r="G476" s="6" t="s">
        <v>58</v>
      </c>
      <c r="H476" s="2" t="s">
        <v>1473</v>
      </c>
      <c r="I476" s="2" t="s">
        <v>1426</v>
      </c>
      <c r="J476" s="2" t="s">
        <v>19</v>
      </c>
      <c r="K476" s="2" t="s">
        <v>353</v>
      </c>
      <c r="L476" s="7" t="str">
        <f t="shared" si="14"/>
        <v xml:space="preserve">http://slimages.macys.com/is/image/MCY/10786732 </v>
      </c>
    </row>
    <row r="477" spans="1:12" ht="24.75" x14ac:dyDescent="0.25">
      <c r="A477" s="4" t="s">
        <v>3956</v>
      </c>
      <c r="B477" s="2" t="s">
        <v>1539</v>
      </c>
      <c r="C477" s="3">
        <v>2</v>
      </c>
      <c r="D477" s="5">
        <v>26.99</v>
      </c>
      <c r="E477" s="3" t="s">
        <v>1540</v>
      </c>
      <c r="F477" s="2" t="s">
        <v>15</v>
      </c>
      <c r="G477" s="6" t="s">
        <v>27</v>
      </c>
      <c r="H477" s="2" t="s">
        <v>1473</v>
      </c>
      <c r="I477" s="2" t="s">
        <v>1426</v>
      </c>
      <c r="J477" s="2" t="s">
        <v>19</v>
      </c>
      <c r="K477" s="2" t="s">
        <v>353</v>
      </c>
      <c r="L477" s="7" t="str">
        <f t="shared" si="14"/>
        <v xml:space="preserve">http://slimages.macys.com/is/image/MCY/10786732 </v>
      </c>
    </row>
    <row r="478" spans="1:12" ht="24.75" x14ac:dyDescent="0.25">
      <c r="A478" s="4" t="s">
        <v>1538</v>
      </c>
      <c r="B478" s="2" t="s">
        <v>1539</v>
      </c>
      <c r="C478" s="3">
        <v>4</v>
      </c>
      <c r="D478" s="5">
        <v>26.99</v>
      </c>
      <c r="E478" s="3" t="s">
        <v>1540</v>
      </c>
      <c r="F478" s="2" t="s">
        <v>15</v>
      </c>
      <c r="G478" s="6" t="s">
        <v>22</v>
      </c>
      <c r="H478" s="2" t="s">
        <v>1473</v>
      </c>
      <c r="I478" s="2" t="s">
        <v>1426</v>
      </c>
      <c r="J478" s="2" t="s">
        <v>19</v>
      </c>
      <c r="K478" s="2" t="s">
        <v>353</v>
      </c>
      <c r="L478" s="7" t="str">
        <f t="shared" si="14"/>
        <v xml:space="preserve">http://slimages.macys.com/is/image/MCY/10786732 </v>
      </c>
    </row>
    <row r="479" spans="1:12" ht="24.75" x14ac:dyDescent="0.25">
      <c r="A479" s="4" t="s">
        <v>1542</v>
      </c>
      <c r="B479" s="2" t="s">
        <v>1539</v>
      </c>
      <c r="C479" s="3">
        <v>2</v>
      </c>
      <c r="D479" s="5">
        <v>26.99</v>
      </c>
      <c r="E479" s="3" t="s">
        <v>1540</v>
      </c>
      <c r="F479" s="2" t="s">
        <v>15</v>
      </c>
      <c r="G479" s="6" t="s">
        <v>141</v>
      </c>
      <c r="H479" s="2" t="s">
        <v>1473</v>
      </c>
      <c r="I479" s="2" t="s">
        <v>1426</v>
      </c>
      <c r="J479" s="2" t="s">
        <v>19</v>
      </c>
      <c r="K479" s="2" t="s">
        <v>353</v>
      </c>
      <c r="L479" s="7" t="str">
        <f t="shared" si="14"/>
        <v xml:space="preserve">http://slimages.macys.com/is/image/MCY/10786732 </v>
      </c>
    </row>
    <row r="480" spans="1:12" ht="24.75" x14ac:dyDescent="0.25">
      <c r="A480" s="4" t="s">
        <v>2829</v>
      </c>
      <c r="B480" s="2" t="s">
        <v>1539</v>
      </c>
      <c r="C480" s="3">
        <v>1</v>
      </c>
      <c r="D480" s="5">
        <v>26.99</v>
      </c>
      <c r="E480" s="3" t="s">
        <v>1540</v>
      </c>
      <c r="F480" s="2" t="s">
        <v>70</v>
      </c>
      <c r="G480" s="6" t="s">
        <v>112</v>
      </c>
      <c r="H480" s="2" t="s">
        <v>1473</v>
      </c>
      <c r="I480" s="2" t="s">
        <v>1426</v>
      </c>
      <c r="J480" s="2" t="s">
        <v>19</v>
      </c>
      <c r="K480" s="2" t="s">
        <v>353</v>
      </c>
      <c r="L480" s="7" t="str">
        <f t="shared" si="14"/>
        <v xml:space="preserve">http://slimages.macys.com/is/image/MCY/10786732 </v>
      </c>
    </row>
    <row r="481" spans="1:12" ht="24.75" x14ac:dyDescent="0.25">
      <c r="A481" s="4" t="s">
        <v>3961</v>
      </c>
      <c r="B481" s="2" t="s">
        <v>1539</v>
      </c>
      <c r="C481" s="3">
        <v>3</v>
      </c>
      <c r="D481" s="5">
        <v>26.99</v>
      </c>
      <c r="E481" s="3" t="s">
        <v>1540</v>
      </c>
      <c r="F481" s="2" t="s">
        <v>70</v>
      </c>
      <c r="G481" s="6" t="s">
        <v>58</v>
      </c>
      <c r="H481" s="2" t="s">
        <v>1473</v>
      </c>
      <c r="I481" s="2" t="s">
        <v>1426</v>
      </c>
      <c r="J481" s="2" t="s">
        <v>19</v>
      </c>
      <c r="K481" s="2" t="s">
        <v>353</v>
      </c>
      <c r="L481" s="7" t="str">
        <f t="shared" si="14"/>
        <v xml:space="preserve">http://slimages.macys.com/is/image/MCY/10786732 </v>
      </c>
    </row>
    <row r="482" spans="1:12" ht="24.75" x14ac:dyDescent="0.25">
      <c r="A482" s="4" t="s">
        <v>2816</v>
      </c>
      <c r="B482" s="2" t="s">
        <v>1539</v>
      </c>
      <c r="C482" s="3">
        <v>2</v>
      </c>
      <c r="D482" s="5">
        <v>26.99</v>
      </c>
      <c r="E482" s="3" t="s">
        <v>1540</v>
      </c>
      <c r="F482" s="2" t="s">
        <v>70</v>
      </c>
      <c r="G482" s="6" t="s">
        <v>106</v>
      </c>
      <c r="H482" s="2" t="s">
        <v>1473</v>
      </c>
      <c r="I482" s="2" t="s">
        <v>1426</v>
      </c>
      <c r="J482" s="2" t="s">
        <v>19</v>
      </c>
      <c r="K482" s="2" t="s">
        <v>353</v>
      </c>
      <c r="L482" s="7" t="str">
        <f t="shared" si="14"/>
        <v xml:space="preserve">http://slimages.macys.com/is/image/MCY/10786732 </v>
      </c>
    </row>
    <row r="483" spans="1:12" ht="24.75" x14ac:dyDescent="0.25">
      <c r="A483" s="4" t="s">
        <v>3955</v>
      </c>
      <c r="B483" s="2" t="s">
        <v>1539</v>
      </c>
      <c r="C483" s="3">
        <v>1</v>
      </c>
      <c r="D483" s="5">
        <v>26.99</v>
      </c>
      <c r="E483" s="3" t="s">
        <v>1540</v>
      </c>
      <c r="F483" s="2" t="s">
        <v>70</v>
      </c>
      <c r="G483" s="6" t="s">
        <v>27</v>
      </c>
      <c r="H483" s="2" t="s">
        <v>1473</v>
      </c>
      <c r="I483" s="2" t="s">
        <v>1426</v>
      </c>
      <c r="J483" s="2" t="s">
        <v>19</v>
      </c>
      <c r="K483" s="2" t="s">
        <v>353</v>
      </c>
      <c r="L483" s="7" t="str">
        <f t="shared" si="14"/>
        <v xml:space="preserve">http://slimages.macys.com/is/image/MCY/10786732 </v>
      </c>
    </row>
    <row r="484" spans="1:12" ht="24.75" x14ac:dyDescent="0.25">
      <c r="A484" s="4" t="s">
        <v>3957</v>
      </c>
      <c r="B484" s="2" t="s">
        <v>1539</v>
      </c>
      <c r="C484" s="3">
        <v>3</v>
      </c>
      <c r="D484" s="5">
        <v>26.99</v>
      </c>
      <c r="E484" s="3" t="s">
        <v>1540</v>
      </c>
      <c r="F484" s="2" t="s">
        <v>70</v>
      </c>
      <c r="G484" s="6" t="s">
        <v>16</v>
      </c>
      <c r="H484" s="2" t="s">
        <v>1473</v>
      </c>
      <c r="I484" s="2" t="s">
        <v>1426</v>
      </c>
      <c r="J484" s="2" t="s">
        <v>19</v>
      </c>
      <c r="K484" s="2" t="s">
        <v>353</v>
      </c>
      <c r="L484" s="7" t="str">
        <f t="shared" si="14"/>
        <v xml:space="preserve">http://slimages.macys.com/is/image/MCY/10786732 </v>
      </c>
    </row>
    <row r="485" spans="1:12" ht="24.75" x14ac:dyDescent="0.25">
      <c r="A485" s="4" t="s">
        <v>2818</v>
      </c>
      <c r="B485" s="2" t="s">
        <v>1539</v>
      </c>
      <c r="C485" s="3">
        <v>1</v>
      </c>
      <c r="D485" s="5">
        <v>26.99</v>
      </c>
      <c r="E485" s="3" t="s">
        <v>1540</v>
      </c>
      <c r="F485" s="2" t="s">
        <v>70</v>
      </c>
      <c r="G485" s="6" t="s">
        <v>22</v>
      </c>
      <c r="H485" s="2" t="s">
        <v>1473</v>
      </c>
      <c r="I485" s="2" t="s">
        <v>1426</v>
      </c>
      <c r="J485" s="2" t="s">
        <v>19</v>
      </c>
      <c r="K485" s="2" t="s">
        <v>353</v>
      </c>
      <c r="L485" s="7" t="str">
        <f t="shared" si="14"/>
        <v xml:space="preserve">http://slimages.macys.com/is/image/MCY/10786732 </v>
      </c>
    </row>
    <row r="486" spans="1:12" ht="24.75" x14ac:dyDescent="0.25">
      <c r="A486" s="4" t="s">
        <v>1552</v>
      </c>
      <c r="B486" s="2" t="s">
        <v>1539</v>
      </c>
      <c r="C486" s="3">
        <v>8</v>
      </c>
      <c r="D486" s="5">
        <v>26.99</v>
      </c>
      <c r="E486" s="3" t="s">
        <v>1540</v>
      </c>
      <c r="F486" s="2" t="s">
        <v>998</v>
      </c>
      <c r="G486" s="6" t="s">
        <v>22</v>
      </c>
      <c r="H486" s="2" t="s">
        <v>1473</v>
      </c>
      <c r="I486" s="2" t="s">
        <v>1426</v>
      </c>
      <c r="J486" s="2" t="s">
        <v>19</v>
      </c>
      <c r="K486" s="2" t="s">
        <v>353</v>
      </c>
      <c r="L486" s="7" t="str">
        <f t="shared" si="14"/>
        <v xml:space="preserve">http://slimages.macys.com/is/image/MCY/10786732 </v>
      </c>
    </row>
    <row r="487" spans="1:12" ht="24.75" x14ac:dyDescent="0.25">
      <c r="A487" s="4" t="s">
        <v>6732</v>
      </c>
      <c r="B487" s="2" t="s">
        <v>1559</v>
      </c>
      <c r="C487" s="3">
        <v>1</v>
      </c>
      <c r="D487" s="5">
        <v>24.99</v>
      </c>
      <c r="E487" s="3" t="s">
        <v>1564</v>
      </c>
      <c r="F487" s="2" t="s">
        <v>15</v>
      </c>
      <c r="G487" s="6"/>
      <c r="H487" s="2" t="s">
        <v>1425</v>
      </c>
      <c r="I487" s="2" t="s">
        <v>1469</v>
      </c>
      <c r="J487" s="2" t="s">
        <v>19</v>
      </c>
      <c r="K487" s="2" t="s">
        <v>353</v>
      </c>
      <c r="L487" s="7" t="str">
        <f>HYPERLINK("http://slimages.macys.com/is/image/MCY/11883694 ")</f>
        <v xml:space="preserve">http://slimages.macys.com/is/image/MCY/11883694 </v>
      </c>
    </row>
    <row r="488" spans="1:12" ht="36.75" x14ac:dyDescent="0.25">
      <c r="A488" s="4" t="s">
        <v>5050</v>
      </c>
      <c r="B488" s="2" t="s">
        <v>1575</v>
      </c>
      <c r="C488" s="3">
        <v>1</v>
      </c>
      <c r="D488" s="5">
        <v>33.380000000000003</v>
      </c>
      <c r="E488" s="3" t="s">
        <v>1576</v>
      </c>
      <c r="F488" s="2" t="s">
        <v>15</v>
      </c>
      <c r="G488" s="6" t="s">
        <v>156</v>
      </c>
      <c r="H488" s="2" t="s">
        <v>194</v>
      </c>
      <c r="I488" s="2" t="s">
        <v>195</v>
      </c>
      <c r="J488" s="2" t="s">
        <v>19</v>
      </c>
      <c r="K488" s="2" t="s">
        <v>1577</v>
      </c>
      <c r="L488" s="7" t="str">
        <f>HYPERLINK("http://slimages.macys.com/is/image/MCY/12734297 ")</f>
        <v xml:space="preserve">http://slimages.macys.com/is/image/MCY/12734297 </v>
      </c>
    </row>
    <row r="489" spans="1:12" ht="36.75" x14ac:dyDescent="0.25">
      <c r="A489" s="4" t="s">
        <v>10231</v>
      </c>
      <c r="B489" s="2" t="s">
        <v>10232</v>
      </c>
      <c r="C489" s="3">
        <v>1</v>
      </c>
      <c r="D489" s="5">
        <v>33.380000000000003</v>
      </c>
      <c r="E489" s="3" t="s">
        <v>10233</v>
      </c>
      <c r="F489" s="2" t="s">
        <v>26</v>
      </c>
      <c r="G489" s="6" t="s">
        <v>794</v>
      </c>
      <c r="H489" s="2" t="s">
        <v>632</v>
      </c>
      <c r="I489" s="2" t="s">
        <v>285</v>
      </c>
      <c r="J489" s="2" t="s">
        <v>19</v>
      </c>
      <c r="K489" s="2" t="s">
        <v>782</v>
      </c>
      <c r="L489" s="7" t="str">
        <f>HYPERLINK("http://slimages.macys.com/is/image/MCY/11510086 ")</f>
        <v xml:space="preserve">http://slimages.macys.com/is/image/MCY/11510086 </v>
      </c>
    </row>
    <row r="490" spans="1:12" ht="36.75" x14ac:dyDescent="0.25">
      <c r="A490" s="4" t="s">
        <v>10234</v>
      </c>
      <c r="B490" s="2" t="s">
        <v>10232</v>
      </c>
      <c r="C490" s="3">
        <v>1</v>
      </c>
      <c r="D490" s="5">
        <v>33.380000000000003</v>
      </c>
      <c r="E490" s="3" t="s">
        <v>10233</v>
      </c>
      <c r="F490" s="2" t="s">
        <v>26</v>
      </c>
      <c r="G490" s="6"/>
      <c r="H490" s="2" t="s">
        <v>632</v>
      </c>
      <c r="I490" s="2" t="s">
        <v>285</v>
      </c>
      <c r="J490" s="2" t="s">
        <v>19</v>
      </c>
      <c r="K490" s="2" t="s">
        <v>782</v>
      </c>
      <c r="L490" s="7" t="str">
        <f>HYPERLINK("http://slimages.macys.com/is/image/MCY/11510086 ")</f>
        <v xml:space="preserve">http://slimages.macys.com/is/image/MCY/11510086 </v>
      </c>
    </row>
    <row r="491" spans="1:12" ht="24.75" x14ac:dyDescent="0.25">
      <c r="A491" s="4" t="s">
        <v>10235</v>
      </c>
      <c r="B491" s="2" t="s">
        <v>1582</v>
      </c>
      <c r="C491" s="3">
        <v>2</v>
      </c>
      <c r="D491" s="5">
        <v>25.89</v>
      </c>
      <c r="E491" s="3" t="s">
        <v>1583</v>
      </c>
      <c r="F491" s="2" t="s">
        <v>1584</v>
      </c>
      <c r="G491" s="6" t="s">
        <v>154</v>
      </c>
      <c r="H491" s="2" t="s">
        <v>284</v>
      </c>
      <c r="I491" s="2" t="s">
        <v>285</v>
      </c>
      <c r="J491" s="2" t="s">
        <v>19</v>
      </c>
      <c r="K491" s="2" t="s">
        <v>247</v>
      </c>
      <c r="L491" s="7" t="str">
        <f>HYPERLINK("http://slimages.macys.com/is/image/MCY/13302247 ")</f>
        <v xml:space="preserve">http://slimages.macys.com/is/image/MCY/13302247 </v>
      </c>
    </row>
    <row r="492" spans="1:12" ht="24.75" x14ac:dyDescent="0.25">
      <c r="A492" s="4" t="s">
        <v>1603</v>
      </c>
      <c r="B492" s="2" t="s">
        <v>1586</v>
      </c>
      <c r="C492" s="3">
        <v>1</v>
      </c>
      <c r="D492" s="5">
        <v>21.99</v>
      </c>
      <c r="E492" s="3" t="s">
        <v>1587</v>
      </c>
      <c r="F492" s="2" t="s">
        <v>74</v>
      </c>
      <c r="G492" s="6"/>
      <c r="H492" s="2" t="s">
        <v>1425</v>
      </c>
      <c r="I492" s="2" t="s">
        <v>1426</v>
      </c>
      <c r="J492" s="2" t="s">
        <v>19</v>
      </c>
      <c r="K492" s="2" t="s">
        <v>34</v>
      </c>
      <c r="L492" s="7" t="str">
        <f>HYPERLINK("http://slimages.macys.com/is/image/MCY/11174709 ")</f>
        <v xml:space="preserve">http://slimages.macys.com/is/image/MCY/11174709 </v>
      </c>
    </row>
    <row r="493" spans="1:12" ht="24.75" x14ac:dyDescent="0.25">
      <c r="A493" s="4" t="s">
        <v>5052</v>
      </c>
      <c r="B493" s="2" t="s">
        <v>1600</v>
      </c>
      <c r="C493" s="3">
        <v>1</v>
      </c>
      <c r="D493" s="5">
        <v>21.99</v>
      </c>
      <c r="E493" s="3" t="s">
        <v>1601</v>
      </c>
      <c r="F493" s="2" t="s">
        <v>15</v>
      </c>
      <c r="G493" s="6"/>
      <c r="H493" s="2" t="s">
        <v>1425</v>
      </c>
      <c r="I493" s="2" t="s">
        <v>1426</v>
      </c>
      <c r="J493" s="2"/>
      <c r="K493" s="2"/>
      <c r="L493" s="7" t="str">
        <f>HYPERLINK("http://slimages.macys.com/is/image/MCY/10205122 ")</f>
        <v xml:space="preserve">http://slimages.macys.com/is/image/MCY/10205122 </v>
      </c>
    </row>
    <row r="494" spans="1:12" ht="24.75" x14ac:dyDescent="0.25">
      <c r="A494" s="4" t="s">
        <v>10236</v>
      </c>
      <c r="B494" s="2" t="s">
        <v>10237</v>
      </c>
      <c r="C494" s="3">
        <v>1</v>
      </c>
      <c r="D494" s="5">
        <v>24.5</v>
      </c>
      <c r="E494" s="3" t="s">
        <v>10238</v>
      </c>
      <c r="F494" s="2" t="s">
        <v>74</v>
      </c>
      <c r="G494" s="6" t="s">
        <v>181</v>
      </c>
      <c r="H494" s="2" t="s">
        <v>1522</v>
      </c>
      <c r="I494" s="2" t="s">
        <v>1469</v>
      </c>
      <c r="J494" s="2" t="s">
        <v>19</v>
      </c>
      <c r="K494" s="2" t="s">
        <v>353</v>
      </c>
      <c r="L494" s="7" t="str">
        <f>HYPERLINK("http://slimages.macys.com/is/image/MCY/11134831 ")</f>
        <v xml:space="preserve">http://slimages.macys.com/is/image/MCY/11134831 </v>
      </c>
    </row>
    <row r="495" spans="1:12" ht="24.75" x14ac:dyDescent="0.25">
      <c r="A495" s="4" t="s">
        <v>10239</v>
      </c>
      <c r="B495" s="2" t="s">
        <v>1600</v>
      </c>
      <c r="C495" s="3">
        <v>1</v>
      </c>
      <c r="D495" s="5">
        <v>21.99</v>
      </c>
      <c r="E495" s="3" t="s">
        <v>1601</v>
      </c>
      <c r="F495" s="2" t="s">
        <v>252</v>
      </c>
      <c r="G495" s="6"/>
      <c r="H495" s="2" t="s">
        <v>1425</v>
      </c>
      <c r="I495" s="2" t="s">
        <v>1426</v>
      </c>
      <c r="J495" s="2" t="s">
        <v>19</v>
      </c>
      <c r="K495" s="2" t="s">
        <v>34</v>
      </c>
      <c r="L495" s="7" t="str">
        <f>HYPERLINK("http://slimages.macys.com/is/image/MCY/11174709 ")</f>
        <v xml:space="preserve">http://slimages.macys.com/is/image/MCY/11174709 </v>
      </c>
    </row>
    <row r="496" spans="1:12" ht="24.75" x14ac:dyDescent="0.25">
      <c r="A496" s="4" t="s">
        <v>10240</v>
      </c>
      <c r="B496" s="2" t="s">
        <v>1600</v>
      </c>
      <c r="C496" s="3">
        <v>1</v>
      </c>
      <c r="D496" s="5">
        <v>21.99</v>
      </c>
      <c r="E496" s="3" t="s">
        <v>1601</v>
      </c>
      <c r="F496" s="2" t="s">
        <v>70</v>
      </c>
      <c r="G496" s="6"/>
      <c r="H496" s="2" t="s">
        <v>1425</v>
      </c>
      <c r="I496" s="2" t="s">
        <v>1426</v>
      </c>
      <c r="J496" s="2"/>
      <c r="K496" s="2"/>
      <c r="L496" s="7" t="str">
        <f>HYPERLINK("http://slimages.macys.com/is/image/MCY/10205118 ")</f>
        <v xml:space="preserve">http://slimages.macys.com/is/image/MCY/10205118 </v>
      </c>
    </row>
    <row r="497" spans="1:12" ht="24.75" x14ac:dyDescent="0.25">
      <c r="A497" s="4" t="s">
        <v>2849</v>
      </c>
      <c r="B497" s="2" t="s">
        <v>1600</v>
      </c>
      <c r="C497" s="3">
        <v>1</v>
      </c>
      <c r="D497" s="5">
        <v>21.99</v>
      </c>
      <c r="E497" s="3" t="s">
        <v>1601</v>
      </c>
      <c r="F497" s="2" t="s">
        <v>136</v>
      </c>
      <c r="G497" s="6"/>
      <c r="H497" s="2" t="s">
        <v>1425</v>
      </c>
      <c r="I497" s="2" t="s">
        <v>1426</v>
      </c>
      <c r="J497" s="2"/>
      <c r="K497" s="2"/>
      <c r="L497" s="7" t="str">
        <f>HYPERLINK("http://slimages.macys.com/is/image/MCY/10205122 ")</f>
        <v xml:space="preserve">http://slimages.macys.com/is/image/MCY/10205122 </v>
      </c>
    </row>
    <row r="498" spans="1:12" ht="24.75" x14ac:dyDescent="0.25">
      <c r="A498" s="4" t="s">
        <v>2853</v>
      </c>
      <c r="B498" s="2" t="s">
        <v>1586</v>
      </c>
      <c r="C498" s="3">
        <v>1</v>
      </c>
      <c r="D498" s="5">
        <v>21.99</v>
      </c>
      <c r="E498" s="3" t="s">
        <v>1587</v>
      </c>
      <c r="F498" s="2" t="s">
        <v>252</v>
      </c>
      <c r="G498" s="6"/>
      <c r="H498" s="2" t="s">
        <v>1425</v>
      </c>
      <c r="I498" s="2" t="s">
        <v>1426</v>
      </c>
      <c r="J498" s="2" t="s">
        <v>19</v>
      </c>
      <c r="K498" s="2" t="s">
        <v>34</v>
      </c>
      <c r="L498" s="7" t="str">
        <f>HYPERLINK("http://slimages.macys.com/is/image/MCY/11174709 ")</f>
        <v xml:space="preserve">http://slimages.macys.com/is/image/MCY/11174709 </v>
      </c>
    </row>
    <row r="499" spans="1:12" x14ac:dyDescent="0.25">
      <c r="A499" s="4" t="s">
        <v>10241</v>
      </c>
      <c r="B499" s="2" t="s">
        <v>10242</v>
      </c>
      <c r="C499" s="3">
        <v>1</v>
      </c>
      <c r="D499" s="5">
        <v>49.5</v>
      </c>
      <c r="E499" s="3" t="s">
        <v>10243</v>
      </c>
      <c r="F499" s="2" t="s">
        <v>70</v>
      </c>
      <c r="G499" s="6" t="s">
        <v>219</v>
      </c>
      <c r="H499" s="2" t="s">
        <v>206</v>
      </c>
      <c r="I499" s="2" t="s">
        <v>207</v>
      </c>
      <c r="J499" s="2" t="s">
        <v>19</v>
      </c>
      <c r="K499" s="2" t="s">
        <v>34</v>
      </c>
      <c r="L499" s="7" t="str">
        <f>HYPERLINK("http://slimages.macys.com/is/image/MCY/11524964 ")</f>
        <v xml:space="preserve">http://slimages.macys.com/is/image/MCY/11524964 </v>
      </c>
    </row>
    <row r="500" spans="1:12" ht="24.75" x14ac:dyDescent="0.25">
      <c r="A500" s="4" t="s">
        <v>10244</v>
      </c>
      <c r="B500" s="2" t="s">
        <v>10242</v>
      </c>
      <c r="C500" s="3">
        <v>1</v>
      </c>
      <c r="D500" s="5">
        <v>49.5</v>
      </c>
      <c r="E500" s="3" t="s">
        <v>10243</v>
      </c>
      <c r="F500" s="2" t="s">
        <v>1322</v>
      </c>
      <c r="G500" s="6" t="s">
        <v>187</v>
      </c>
      <c r="H500" s="2" t="s">
        <v>206</v>
      </c>
      <c r="I500" s="2" t="s">
        <v>207</v>
      </c>
      <c r="J500" s="2" t="s">
        <v>19</v>
      </c>
      <c r="K500" s="2" t="s">
        <v>34</v>
      </c>
      <c r="L500" s="7" t="str">
        <f>HYPERLINK("http://slimages.macys.com/is/image/MCY/11524964 ")</f>
        <v xml:space="preserve">http://slimages.macys.com/is/image/MCY/11524964 </v>
      </c>
    </row>
    <row r="501" spans="1:12" ht="24.75" x14ac:dyDescent="0.25">
      <c r="A501" s="4" t="s">
        <v>10245</v>
      </c>
      <c r="B501" s="2" t="s">
        <v>10246</v>
      </c>
      <c r="C501" s="3">
        <v>1</v>
      </c>
      <c r="D501" s="5">
        <v>24.99</v>
      </c>
      <c r="E501" s="3">
        <v>100012320</v>
      </c>
      <c r="F501" s="2" t="s">
        <v>85</v>
      </c>
      <c r="G501" s="6" t="s">
        <v>141</v>
      </c>
      <c r="H501" s="2" t="s">
        <v>228</v>
      </c>
      <c r="I501" s="2" t="s">
        <v>195</v>
      </c>
      <c r="J501" s="2"/>
      <c r="K501" s="2"/>
      <c r="L501" s="7" t="str">
        <f>HYPERLINK("http://slimages.macys.com/is/image/MCY/9426944 ")</f>
        <v xml:space="preserve">http://slimages.macys.com/is/image/MCY/9426944 </v>
      </c>
    </row>
    <row r="502" spans="1:12" ht="24.75" x14ac:dyDescent="0.25">
      <c r="A502" s="4" t="s">
        <v>1625</v>
      </c>
      <c r="B502" s="2" t="s">
        <v>1529</v>
      </c>
      <c r="C502" s="3">
        <v>1</v>
      </c>
      <c r="D502" s="5">
        <v>37.130000000000003</v>
      </c>
      <c r="E502" s="3" t="s">
        <v>1530</v>
      </c>
      <c r="F502" s="2" t="s">
        <v>998</v>
      </c>
      <c r="G502" s="6" t="s">
        <v>126</v>
      </c>
      <c r="H502" s="2" t="s">
        <v>312</v>
      </c>
      <c r="I502" s="2" t="s">
        <v>195</v>
      </c>
      <c r="J502" s="2" t="s">
        <v>19</v>
      </c>
      <c r="K502" s="2" t="s">
        <v>353</v>
      </c>
      <c r="L502" s="7" t="str">
        <f>HYPERLINK("http://slimages.macys.com/is/image/MCY/11938040 ")</f>
        <v xml:space="preserve">http://slimages.macys.com/is/image/MCY/11938040 </v>
      </c>
    </row>
    <row r="503" spans="1:12" ht="24.75" x14ac:dyDescent="0.25">
      <c r="A503" s="4" t="s">
        <v>3986</v>
      </c>
      <c r="B503" s="2" t="s">
        <v>1529</v>
      </c>
      <c r="C503" s="3">
        <v>1</v>
      </c>
      <c r="D503" s="5">
        <v>37.130000000000003</v>
      </c>
      <c r="E503" s="3" t="s">
        <v>1530</v>
      </c>
      <c r="F503" s="2" t="s">
        <v>998</v>
      </c>
      <c r="G503" s="6" t="s">
        <v>238</v>
      </c>
      <c r="H503" s="2" t="s">
        <v>312</v>
      </c>
      <c r="I503" s="2" t="s">
        <v>195</v>
      </c>
      <c r="J503" s="2" t="s">
        <v>19</v>
      </c>
      <c r="K503" s="2" t="s">
        <v>353</v>
      </c>
      <c r="L503" s="7" t="str">
        <f>HYPERLINK("http://slimages.macys.com/is/image/MCY/11938040 ")</f>
        <v xml:space="preserve">http://slimages.macys.com/is/image/MCY/11938040 </v>
      </c>
    </row>
    <row r="504" spans="1:12" ht="24.75" x14ac:dyDescent="0.25">
      <c r="A504" s="4" t="s">
        <v>6744</v>
      </c>
      <c r="B504" s="2" t="s">
        <v>1529</v>
      </c>
      <c r="C504" s="3">
        <v>1</v>
      </c>
      <c r="D504" s="5">
        <v>37.130000000000003</v>
      </c>
      <c r="E504" s="3" t="s">
        <v>1530</v>
      </c>
      <c r="F504" s="2" t="s">
        <v>74</v>
      </c>
      <c r="G504" s="6" t="s">
        <v>205</v>
      </c>
      <c r="H504" s="2" t="s">
        <v>312</v>
      </c>
      <c r="I504" s="2" t="s">
        <v>195</v>
      </c>
      <c r="J504" s="2" t="s">
        <v>19</v>
      </c>
      <c r="K504" s="2" t="s">
        <v>353</v>
      </c>
      <c r="L504" s="7" t="str">
        <f>HYPERLINK("http://slimages.macys.com/is/image/MCY/11938040 ")</f>
        <v xml:space="preserve">http://slimages.macys.com/is/image/MCY/11938040 </v>
      </c>
    </row>
    <row r="505" spans="1:12" ht="24.75" x14ac:dyDescent="0.25">
      <c r="A505" s="4" t="s">
        <v>10247</v>
      </c>
      <c r="B505" s="2" t="s">
        <v>10248</v>
      </c>
      <c r="C505" s="3">
        <v>6</v>
      </c>
      <c r="D505" s="5">
        <v>25.88</v>
      </c>
      <c r="E505" s="3">
        <v>100009482</v>
      </c>
      <c r="F505" s="2" t="s">
        <v>74</v>
      </c>
      <c r="G505" s="6" t="s">
        <v>181</v>
      </c>
      <c r="H505" s="2" t="s">
        <v>194</v>
      </c>
      <c r="I505" s="2" t="s">
        <v>195</v>
      </c>
      <c r="J505" s="2"/>
      <c r="K505" s="2"/>
      <c r="L505" s="7" t="str">
        <f>HYPERLINK("http://slimages.macys.com/is/image/MCY/9404186 ")</f>
        <v xml:space="preserve">http://slimages.macys.com/is/image/MCY/9404186 </v>
      </c>
    </row>
    <row r="506" spans="1:12" ht="24.75" x14ac:dyDescent="0.25">
      <c r="A506" s="4" t="s">
        <v>10249</v>
      </c>
      <c r="B506" s="2" t="s">
        <v>10248</v>
      </c>
      <c r="C506" s="3">
        <v>1</v>
      </c>
      <c r="D506" s="5">
        <v>25.88</v>
      </c>
      <c r="E506" s="3">
        <v>100009482</v>
      </c>
      <c r="F506" s="2" t="s">
        <v>74</v>
      </c>
      <c r="G506" s="6" t="s">
        <v>234</v>
      </c>
      <c r="H506" s="2" t="s">
        <v>194</v>
      </c>
      <c r="I506" s="2" t="s">
        <v>195</v>
      </c>
      <c r="J506" s="2"/>
      <c r="K506" s="2"/>
      <c r="L506" s="7" t="str">
        <f>HYPERLINK("http://slimages.macys.com/is/image/MCY/9404186 ")</f>
        <v xml:space="preserve">http://slimages.macys.com/is/image/MCY/9404186 </v>
      </c>
    </row>
    <row r="507" spans="1:12" ht="24.75" x14ac:dyDescent="0.25">
      <c r="A507" s="4" t="s">
        <v>10250</v>
      </c>
      <c r="B507" s="2" t="s">
        <v>10251</v>
      </c>
      <c r="C507" s="3">
        <v>1</v>
      </c>
      <c r="D507" s="5">
        <v>21.6</v>
      </c>
      <c r="E507" s="3" t="s">
        <v>10252</v>
      </c>
      <c r="F507" s="2" t="s">
        <v>887</v>
      </c>
      <c r="G507" s="6" t="s">
        <v>156</v>
      </c>
      <c r="H507" s="2" t="s">
        <v>10225</v>
      </c>
      <c r="I507" s="2" t="s">
        <v>792</v>
      </c>
      <c r="J507" s="2" t="s">
        <v>19</v>
      </c>
      <c r="K507" s="2" t="s">
        <v>803</v>
      </c>
      <c r="L507" s="7" t="str">
        <f>HYPERLINK("http://slimages.macys.com/is/image/MCY/10889884 ")</f>
        <v xml:space="preserve">http://slimages.macys.com/is/image/MCY/10889884 </v>
      </c>
    </row>
    <row r="508" spans="1:12" ht="24.75" x14ac:dyDescent="0.25">
      <c r="A508" s="4" t="s">
        <v>6748</v>
      </c>
      <c r="B508" s="2" t="s">
        <v>5066</v>
      </c>
      <c r="C508" s="3">
        <v>1</v>
      </c>
      <c r="D508" s="5">
        <v>21.99</v>
      </c>
      <c r="E508" s="3" t="s">
        <v>5067</v>
      </c>
      <c r="F508" s="2" t="s">
        <v>26</v>
      </c>
      <c r="G508" s="6" t="s">
        <v>234</v>
      </c>
      <c r="H508" s="2" t="s">
        <v>194</v>
      </c>
      <c r="I508" s="2" t="s">
        <v>503</v>
      </c>
      <c r="J508" s="2" t="s">
        <v>19</v>
      </c>
      <c r="K508" s="2" t="s">
        <v>353</v>
      </c>
      <c r="L508" s="7" t="str">
        <f>HYPERLINK("http://slimages.macys.com/is/image/MCY/9824930 ")</f>
        <v xml:space="preserve">http://slimages.macys.com/is/image/MCY/9824930 </v>
      </c>
    </row>
    <row r="509" spans="1:12" ht="24.75" x14ac:dyDescent="0.25">
      <c r="A509" s="4" t="s">
        <v>7565</v>
      </c>
      <c r="B509" s="2" t="s">
        <v>1635</v>
      </c>
      <c r="C509" s="3">
        <v>1</v>
      </c>
      <c r="D509" s="5">
        <v>25.88</v>
      </c>
      <c r="E509" s="3">
        <v>100011992</v>
      </c>
      <c r="F509" s="2" t="s">
        <v>33</v>
      </c>
      <c r="G509" s="6" t="s">
        <v>181</v>
      </c>
      <c r="H509" s="2" t="s">
        <v>194</v>
      </c>
      <c r="I509" s="2" t="s">
        <v>195</v>
      </c>
      <c r="J509" s="2" t="s">
        <v>19</v>
      </c>
      <c r="K509" s="2" t="s">
        <v>1617</v>
      </c>
      <c r="L509" s="7" t="str">
        <f>HYPERLINK("http://slimages.macys.com/is/image/MCY/13314771 ")</f>
        <v xml:space="preserve">http://slimages.macys.com/is/image/MCY/13314771 </v>
      </c>
    </row>
    <row r="510" spans="1:12" ht="24.75" x14ac:dyDescent="0.25">
      <c r="A510" s="4" t="s">
        <v>2870</v>
      </c>
      <c r="B510" s="2" t="s">
        <v>1635</v>
      </c>
      <c r="C510" s="3">
        <v>1</v>
      </c>
      <c r="D510" s="5">
        <v>25.88</v>
      </c>
      <c r="E510" s="3">
        <v>100011992</v>
      </c>
      <c r="F510" s="2" t="s">
        <v>64</v>
      </c>
      <c r="G510" s="6" t="s">
        <v>181</v>
      </c>
      <c r="H510" s="2" t="s">
        <v>194</v>
      </c>
      <c r="I510" s="2" t="s">
        <v>195</v>
      </c>
      <c r="J510" s="2" t="s">
        <v>19</v>
      </c>
      <c r="K510" s="2" t="s">
        <v>1617</v>
      </c>
      <c r="L510" s="7" t="str">
        <f>HYPERLINK("http://slimages.macys.com/is/image/MCY/13314771 ")</f>
        <v xml:space="preserve">http://slimages.macys.com/is/image/MCY/13314771 </v>
      </c>
    </row>
    <row r="511" spans="1:12" ht="24.75" x14ac:dyDescent="0.25">
      <c r="A511" s="4" t="s">
        <v>1661</v>
      </c>
      <c r="B511" s="2" t="s">
        <v>1645</v>
      </c>
      <c r="C511" s="3">
        <v>1</v>
      </c>
      <c r="D511" s="5">
        <v>19.989999999999998</v>
      </c>
      <c r="E511" s="3" t="s">
        <v>1646</v>
      </c>
      <c r="F511" s="2" t="s">
        <v>170</v>
      </c>
      <c r="G511" s="6" t="s">
        <v>154</v>
      </c>
      <c r="H511" s="2" t="s">
        <v>194</v>
      </c>
      <c r="I511" s="2" t="s">
        <v>195</v>
      </c>
      <c r="J511" s="2" t="s">
        <v>19</v>
      </c>
      <c r="K511" s="2" t="s">
        <v>1647</v>
      </c>
      <c r="L511" s="7" t="str">
        <f>HYPERLINK("http://slimages.macys.com/is/image/MCY/12405276 ")</f>
        <v xml:space="preserve">http://slimages.macys.com/is/image/MCY/12405276 </v>
      </c>
    </row>
    <row r="512" spans="1:12" ht="24.75" x14ac:dyDescent="0.25">
      <c r="A512" s="4" t="s">
        <v>3994</v>
      </c>
      <c r="B512" s="2" t="s">
        <v>3995</v>
      </c>
      <c r="C512" s="3">
        <v>1</v>
      </c>
      <c r="D512" s="5">
        <v>19.989999999999998</v>
      </c>
      <c r="E512" s="3" t="s">
        <v>3996</v>
      </c>
      <c r="F512" s="2" t="s">
        <v>170</v>
      </c>
      <c r="G512" s="6" t="s">
        <v>154</v>
      </c>
      <c r="H512" s="2" t="s">
        <v>194</v>
      </c>
      <c r="I512" s="2" t="s">
        <v>195</v>
      </c>
      <c r="J512" s="2" t="s">
        <v>19</v>
      </c>
      <c r="K512" s="2" t="s">
        <v>247</v>
      </c>
      <c r="L512" s="7" t="str">
        <f>HYPERLINK("http://slimages.macys.com/is/image/MCY/12143893 ")</f>
        <v xml:space="preserve">http://slimages.macys.com/is/image/MCY/12143893 </v>
      </c>
    </row>
    <row r="513" spans="1:12" ht="24.75" x14ac:dyDescent="0.25">
      <c r="A513" s="4" t="s">
        <v>10253</v>
      </c>
      <c r="B513" s="2" t="s">
        <v>2884</v>
      </c>
      <c r="C513" s="3">
        <v>1</v>
      </c>
      <c r="D513" s="5">
        <v>27.65</v>
      </c>
      <c r="E513" s="3" t="s">
        <v>2885</v>
      </c>
      <c r="F513" s="2" t="s">
        <v>257</v>
      </c>
      <c r="G513" s="6" t="s">
        <v>200</v>
      </c>
      <c r="H513" s="2" t="s">
        <v>182</v>
      </c>
      <c r="I513" s="2" t="s">
        <v>183</v>
      </c>
      <c r="J513" s="2" t="s">
        <v>19</v>
      </c>
      <c r="K513" s="2" t="s">
        <v>247</v>
      </c>
      <c r="L513" s="7" t="str">
        <f>HYPERLINK("http://slimages.macys.com/is/image/MCY/12851695 ")</f>
        <v xml:space="preserve">http://slimages.macys.com/is/image/MCY/12851695 </v>
      </c>
    </row>
    <row r="514" spans="1:12" ht="24.75" x14ac:dyDescent="0.25">
      <c r="A514" s="4" t="s">
        <v>2888</v>
      </c>
      <c r="B514" s="2" t="s">
        <v>1689</v>
      </c>
      <c r="C514" s="3">
        <v>1</v>
      </c>
      <c r="D514" s="5">
        <v>25.88</v>
      </c>
      <c r="E514" s="3" t="s">
        <v>1690</v>
      </c>
      <c r="F514" s="2" t="s">
        <v>1584</v>
      </c>
      <c r="G514" s="6" t="s">
        <v>154</v>
      </c>
      <c r="H514" s="2" t="s">
        <v>194</v>
      </c>
      <c r="I514" s="2" t="s">
        <v>195</v>
      </c>
      <c r="J514" s="2" t="s">
        <v>19</v>
      </c>
      <c r="K514" s="2" t="s">
        <v>648</v>
      </c>
      <c r="L514" s="7" t="str">
        <f>HYPERLINK("http://slimages.macys.com/is/image/MCY/3650047 ")</f>
        <v xml:space="preserve">http://slimages.macys.com/is/image/MCY/3650047 </v>
      </c>
    </row>
    <row r="515" spans="1:12" ht="24.75" x14ac:dyDescent="0.25">
      <c r="A515" s="4" t="s">
        <v>5996</v>
      </c>
      <c r="B515" s="2" t="s">
        <v>1689</v>
      </c>
      <c r="C515" s="3">
        <v>1</v>
      </c>
      <c r="D515" s="5">
        <v>25.88</v>
      </c>
      <c r="E515" s="3" t="s">
        <v>1690</v>
      </c>
      <c r="F515" s="2" t="s">
        <v>752</v>
      </c>
      <c r="G515" s="6" t="s">
        <v>234</v>
      </c>
      <c r="H515" s="2" t="s">
        <v>194</v>
      </c>
      <c r="I515" s="2" t="s">
        <v>195</v>
      </c>
      <c r="J515" s="2" t="s">
        <v>19</v>
      </c>
      <c r="K515" s="2" t="s">
        <v>648</v>
      </c>
      <c r="L515" s="7" t="str">
        <f>HYPERLINK("http://slimages.macys.com/is/image/MCY/3650047 ")</f>
        <v xml:space="preserve">http://slimages.macys.com/is/image/MCY/3650047 </v>
      </c>
    </row>
    <row r="516" spans="1:12" ht="24.75" x14ac:dyDescent="0.25">
      <c r="A516" s="4" t="s">
        <v>10254</v>
      </c>
      <c r="B516" s="2" t="s">
        <v>1692</v>
      </c>
      <c r="C516" s="3">
        <v>1</v>
      </c>
      <c r="D516" s="5">
        <v>24.37</v>
      </c>
      <c r="E516" s="3" t="s">
        <v>5076</v>
      </c>
      <c r="F516" s="2" t="s">
        <v>5077</v>
      </c>
      <c r="G516" s="6" t="s">
        <v>181</v>
      </c>
      <c r="H516" s="2" t="s">
        <v>194</v>
      </c>
      <c r="I516" s="2" t="s">
        <v>580</v>
      </c>
      <c r="J516" s="2" t="s">
        <v>19</v>
      </c>
      <c r="K516" s="2" t="s">
        <v>137</v>
      </c>
      <c r="L516" s="7" t="str">
        <f>HYPERLINK("http://slimages.macys.com/is/image/MCY/16404085 ")</f>
        <v xml:space="preserve">http://slimages.macys.com/is/image/MCY/16404085 </v>
      </c>
    </row>
    <row r="517" spans="1:12" ht="24.75" x14ac:dyDescent="0.25">
      <c r="A517" s="4" t="s">
        <v>10255</v>
      </c>
      <c r="B517" s="2" t="s">
        <v>1692</v>
      </c>
      <c r="C517" s="3">
        <v>1</v>
      </c>
      <c r="D517" s="5">
        <v>24.37</v>
      </c>
      <c r="E517" s="3" t="s">
        <v>10256</v>
      </c>
      <c r="F517" s="2" t="s">
        <v>417</v>
      </c>
      <c r="G517" s="6" t="s">
        <v>181</v>
      </c>
      <c r="H517" s="2" t="s">
        <v>194</v>
      </c>
      <c r="I517" s="2" t="s">
        <v>580</v>
      </c>
      <c r="J517" s="2" t="s">
        <v>19</v>
      </c>
      <c r="K517" s="2" t="s">
        <v>137</v>
      </c>
      <c r="L517" s="7" t="str">
        <f>HYPERLINK("http://slimages.macys.com/is/image/MCY/16404085 ")</f>
        <v xml:space="preserve">http://slimages.macys.com/is/image/MCY/16404085 </v>
      </c>
    </row>
    <row r="518" spans="1:12" ht="36.75" x14ac:dyDescent="0.25">
      <c r="A518" s="4" t="s">
        <v>1697</v>
      </c>
      <c r="B518" s="2" t="s">
        <v>1695</v>
      </c>
      <c r="C518" s="3">
        <v>1</v>
      </c>
      <c r="D518" s="5">
        <v>25.88</v>
      </c>
      <c r="E518" s="3">
        <v>100015718</v>
      </c>
      <c r="F518" s="2" t="s">
        <v>26</v>
      </c>
      <c r="G518" s="6" t="s">
        <v>154</v>
      </c>
      <c r="H518" s="2" t="s">
        <v>194</v>
      </c>
      <c r="I518" s="2" t="s">
        <v>195</v>
      </c>
      <c r="J518" s="2" t="s">
        <v>19</v>
      </c>
      <c r="K518" s="2" t="s">
        <v>1696</v>
      </c>
      <c r="L518" s="7" t="str">
        <f>HYPERLINK("http://slimages.macys.com/is/image/MCY/9504848 ")</f>
        <v xml:space="preserve">http://slimages.macys.com/is/image/MCY/9504848 </v>
      </c>
    </row>
    <row r="519" spans="1:12" ht="36.75" x14ac:dyDescent="0.25">
      <c r="A519" s="4" t="s">
        <v>8287</v>
      </c>
      <c r="B519" s="2" t="s">
        <v>1695</v>
      </c>
      <c r="C519" s="3">
        <v>1</v>
      </c>
      <c r="D519" s="5">
        <v>25.88</v>
      </c>
      <c r="E519" s="3">
        <v>100015718</v>
      </c>
      <c r="F519" s="2" t="s">
        <v>26</v>
      </c>
      <c r="G519" s="6" t="s">
        <v>156</v>
      </c>
      <c r="H519" s="2" t="s">
        <v>194</v>
      </c>
      <c r="I519" s="2" t="s">
        <v>195</v>
      </c>
      <c r="J519" s="2" t="s">
        <v>19</v>
      </c>
      <c r="K519" s="2" t="s">
        <v>1696</v>
      </c>
      <c r="L519" s="7" t="str">
        <f>HYPERLINK("http://slimages.macys.com/is/image/MCY/9504848 ")</f>
        <v xml:space="preserve">http://slimages.macys.com/is/image/MCY/9504848 </v>
      </c>
    </row>
    <row r="520" spans="1:12" ht="24.75" x14ac:dyDescent="0.25">
      <c r="A520" s="4" t="s">
        <v>10257</v>
      </c>
      <c r="B520" s="2" t="s">
        <v>9151</v>
      </c>
      <c r="C520" s="3">
        <v>2</v>
      </c>
      <c r="D520" s="5">
        <v>19.989999999999998</v>
      </c>
      <c r="E520" s="3" t="s">
        <v>9152</v>
      </c>
      <c r="F520" s="2" t="s">
        <v>64</v>
      </c>
      <c r="G520" s="6" t="s">
        <v>234</v>
      </c>
      <c r="H520" s="2" t="s">
        <v>246</v>
      </c>
      <c r="I520" s="2" t="s">
        <v>1939</v>
      </c>
      <c r="J520" s="2" t="s">
        <v>19</v>
      </c>
      <c r="K520" s="2" t="s">
        <v>9153</v>
      </c>
      <c r="L520" s="7" t="str">
        <f>HYPERLINK("http://slimages.macys.com/is/image/MCY/11420555 ")</f>
        <v xml:space="preserve">http://slimages.macys.com/is/image/MCY/11420555 </v>
      </c>
    </row>
    <row r="521" spans="1:12" ht="24.75" x14ac:dyDescent="0.25">
      <c r="A521" s="4" t="s">
        <v>10258</v>
      </c>
      <c r="B521" s="2" t="s">
        <v>10259</v>
      </c>
      <c r="C521" s="3">
        <v>1</v>
      </c>
      <c r="D521" s="5">
        <v>19.989999999999998</v>
      </c>
      <c r="E521" s="3" t="s">
        <v>10260</v>
      </c>
      <c r="F521" s="2" t="s">
        <v>64</v>
      </c>
      <c r="G521" s="6" t="s">
        <v>245</v>
      </c>
      <c r="H521" s="2" t="s">
        <v>246</v>
      </c>
      <c r="I521" s="2" t="s">
        <v>1939</v>
      </c>
      <c r="J521" s="2" t="s">
        <v>19</v>
      </c>
      <c r="K521" s="2" t="s">
        <v>8329</v>
      </c>
      <c r="L521" s="7" t="str">
        <f>HYPERLINK("http://slimages.macys.com/is/image/MCY/12266854 ")</f>
        <v xml:space="preserve">http://slimages.macys.com/is/image/MCY/12266854 </v>
      </c>
    </row>
    <row r="522" spans="1:12" ht="36.75" x14ac:dyDescent="0.25">
      <c r="A522" s="4" t="s">
        <v>5091</v>
      </c>
      <c r="B522" s="2" t="s">
        <v>2911</v>
      </c>
      <c r="C522" s="3">
        <v>1</v>
      </c>
      <c r="D522" s="5">
        <v>25.88</v>
      </c>
      <c r="E522" s="3">
        <v>100015718</v>
      </c>
      <c r="F522" s="2" t="s">
        <v>48</v>
      </c>
      <c r="G522" s="6" t="s">
        <v>156</v>
      </c>
      <c r="H522" s="2" t="s">
        <v>194</v>
      </c>
      <c r="I522" s="2" t="s">
        <v>195</v>
      </c>
      <c r="J522" s="2" t="s">
        <v>19</v>
      </c>
      <c r="K522" s="2" t="s">
        <v>1696</v>
      </c>
      <c r="L522" s="7" t="str">
        <f>HYPERLINK("http://slimages.macys.com/is/image/MCY/9504848 ")</f>
        <v xml:space="preserve">http://slimages.macys.com/is/image/MCY/9504848 </v>
      </c>
    </row>
    <row r="523" spans="1:12" ht="24.75" x14ac:dyDescent="0.25">
      <c r="A523" s="4" t="s">
        <v>10261</v>
      </c>
      <c r="B523" s="2" t="s">
        <v>9151</v>
      </c>
      <c r="C523" s="3">
        <v>1</v>
      </c>
      <c r="D523" s="5">
        <v>19.989999999999998</v>
      </c>
      <c r="E523" s="3" t="s">
        <v>9152</v>
      </c>
      <c r="F523" s="2" t="s">
        <v>64</v>
      </c>
      <c r="G523" s="6" t="s">
        <v>154</v>
      </c>
      <c r="H523" s="2" t="s">
        <v>246</v>
      </c>
      <c r="I523" s="2" t="s">
        <v>1939</v>
      </c>
      <c r="J523" s="2" t="s">
        <v>19</v>
      </c>
      <c r="K523" s="2" t="s">
        <v>9153</v>
      </c>
      <c r="L523" s="7" t="str">
        <f>HYPERLINK("http://slimages.macys.com/is/image/MCY/11420555 ")</f>
        <v xml:space="preserve">http://slimages.macys.com/is/image/MCY/11420555 </v>
      </c>
    </row>
    <row r="524" spans="1:12" ht="24.75" x14ac:dyDescent="0.25">
      <c r="A524" s="4" t="s">
        <v>9705</v>
      </c>
      <c r="B524" s="2" t="s">
        <v>9151</v>
      </c>
      <c r="C524" s="3">
        <v>1</v>
      </c>
      <c r="D524" s="5">
        <v>19.989999999999998</v>
      </c>
      <c r="E524" s="3" t="s">
        <v>9152</v>
      </c>
      <c r="F524" s="2" t="s">
        <v>64</v>
      </c>
      <c r="G524" s="6" t="s">
        <v>156</v>
      </c>
      <c r="H524" s="2" t="s">
        <v>246</v>
      </c>
      <c r="I524" s="2" t="s">
        <v>1939</v>
      </c>
      <c r="J524" s="2" t="s">
        <v>19</v>
      </c>
      <c r="K524" s="2" t="s">
        <v>9153</v>
      </c>
      <c r="L524" s="7" t="str">
        <f>HYPERLINK("http://slimages.macys.com/is/image/MCY/11420555 ")</f>
        <v xml:space="preserve">http://slimages.macys.com/is/image/MCY/11420555 </v>
      </c>
    </row>
    <row r="525" spans="1:12" ht="24.75" x14ac:dyDescent="0.25">
      <c r="A525" s="4" t="s">
        <v>10262</v>
      </c>
      <c r="B525" s="2" t="s">
        <v>9157</v>
      </c>
      <c r="C525" s="3">
        <v>1</v>
      </c>
      <c r="D525" s="5">
        <v>24.99</v>
      </c>
      <c r="E525" s="3" t="s">
        <v>9158</v>
      </c>
      <c r="F525" s="2" t="s">
        <v>53</v>
      </c>
      <c r="G525" s="6" t="s">
        <v>154</v>
      </c>
      <c r="H525" s="2" t="s">
        <v>1473</v>
      </c>
      <c r="I525" s="2" t="s">
        <v>1426</v>
      </c>
      <c r="J525" s="2" t="s">
        <v>19</v>
      </c>
      <c r="K525" s="2" t="s">
        <v>648</v>
      </c>
      <c r="L525" s="7" t="str">
        <f>HYPERLINK("http://slimages.macys.com/is/image/MCY/13398360 ")</f>
        <v xml:space="preserve">http://slimages.macys.com/is/image/MCY/13398360 </v>
      </c>
    </row>
    <row r="526" spans="1:12" ht="24.75" x14ac:dyDescent="0.25">
      <c r="A526" s="4" t="s">
        <v>9710</v>
      </c>
      <c r="B526" s="2" t="s">
        <v>2913</v>
      </c>
      <c r="C526" s="3">
        <v>1</v>
      </c>
      <c r="D526" s="5">
        <v>34.880000000000003</v>
      </c>
      <c r="E526" s="3">
        <v>100054399</v>
      </c>
      <c r="F526" s="2" t="s">
        <v>199</v>
      </c>
      <c r="G526" s="6" t="s">
        <v>181</v>
      </c>
      <c r="H526" s="2" t="s">
        <v>194</v>
      </c>
      <c r="I526" s="2" t="s">
        <v>195</v>
      </c>
      <c r="J526" s="2" t="s">
        <v>19</v>
      </c>
      <c r="K526" s="2" t="s">
        <v>607</v>
      </c>
      <c r="L526" s="7" t="str">
        <f>HYPERLINK("http://slimages.macys.com/is/image/MCY/12850736 ")</f>
        <v xml:space="preserve">http://slimages.macys.com/is/image/MCY/12850736 </v>
      </c>
    </row>
    <row r="527" spans="1:12" ht="24.75" x14ac:dyDescent="0.25">
      <c r="A527" s="4" t="s">
        <v>10263</v>
      </c>
      <c r="B527" s="2" t="s">
        <v>1729</v>
      </c>
      <c r="C527" s="3">
        <v>1</v>
      </c>
      <c r="D527" s="5">
        <v>37.130000000000003</v>
      </c>
      <c r="E527" s="3" t="s">
        <v>1730</v>
      </c>
      <c r="F527" s="2" t="s">
        <v>26</v>
      </c>
      <c r="G527" s="6" t="s">
        <v>156</v>
      </c>
      <c r="H527" s="2" t="s">
        <v>246</v>
      </c>
      <c r="I527" s="2" t="s">
        <v>189</v>
      </c>
      <c r="J527" s="2" t="s">
        <v>19</v>
      </c>
      <c r="K527" s="2" t="s">
        <v>990</v>
      </c>
      <c r="L527" s="7" t="str">
        <f>HYPERLINK("http://slimages.macys.com/is/image/MCY/11996044 ")</f>
        <v xml:space="preserve">http://slimages.macys.com/is/image/MCY/11996044 </v>
      </c>
    </row>
    <row r="528" spans="1:12" ht="24.75" x14ac:dyDescent="0.25">
      <c r="A528" s="4" t="s">
        <v>10264</v>
      </c>
      <c r="B528" s="2" t="s">
        <v>1742</v>
      </c>
      <c r="C528" s="3">
        <v>2</v>
      </c>
      <c r="D528" s="5">
        <v>29.63</v>
      </c>
      <c r="E528" s="3" t="s">
        <v>1743</v>
      </c>
      <c r="F528" s="2" t="s">
        <v>26</v>
      </c>
      <c r="G528" s="6" t="s">
        <v>245</v>
      </c>
      <c r="H528" s="2" t="s">
        <v>194</v>
      </c>
      <c r="I528" s="2" t="s">
        <v>195</v>
      </c>
      <c r="J528" s="2" t="s">
        <v>19</v>
      </c>
      <c r="K528" s="2" t="s">
        <v>247</v>
      </c>
      <c r="L528" s="7" t="str">
        <f>HYPERLINK("http://slimages.macys.com/is/image/MCY/12667158 ")</f>
        <v xml:space="preserve">http://slimages.macys.com/is/image/MCY/12667158 </v>
      </c>
    </row>
    <row r="529" spans="1:12" ht="24.75" x14ac:dyDescent="0.25">
      <c r="A529" s="4" t="s">
        <v>2945</v>
      </c>
      <c r="B529" s="2" t="s">
        <v>1747</v>
      </c>
      <c r="C529" s="3">
        <v>3</v>
      </c>
      <c r="D529" s="5">
        <v>17.989999999999998</v>
      </c>
      <c r="E529" s="3" t="s">
        <v>1748</v>
      </c>
      <c r="F529" s="2" t="s">
        <v>70</v>
      </c>
      <c r="G529" s="6" t="s">
        <v>22</v>
      </c>
      <c r="H529" s="2" t="s">
        <v>1473</v>
      </c>
      <c r="I529" s="2" t="s">
        <v>1426</v>
      </c>
      <c r="J529" s="2" t="s">
        <v>19</v>
      </c>
      <c r="K529" s="2" t="s">
        <v>353</v>
      </c>
      <c r="L529" s="7" t="str">
        <f>HYPERLINK("http://slimages.macys.com/is/image/MCY/12776597 ")</f>
        <v xml:space="preserve">http://slimages.macys.com/is/image/MCY/12776597 </v>
      </c>
    </row>
    <row r="530" spans="1:12" ht="24.75" x14ac:dyDescent="0.25">
      <c r="A530" s="4" t="s">
        <v>2954</v>
      </c>
      <c r="B530" s="2" t="s">
        <v>1747</v>
      </c>
      <c r="C530" s="3">
        <v>1</v>
      </c>
      <c r="D530" s="5">
        <v>17.989999999999998</v>
      </c>
      <c r="E530" s="3" t="s">
        <v>1748</v>
      </c>
      <c r="F530" s="2" t="s">
        <v>70</v>
      </c>
      <c r="G530" s="6" t="s">
        <v>141</v>
      </c>
      <c r="H530" s="2" t="s">
        <v>1473</v>
      </c>
      <c r="I530" s="2" t="s">
        <v>1426</v>
      </c>
      <c r="J530" s="2" t="s">
        <v>19</v>
      </c>
      <c r="K530" s="2" t="s">
        <v>353</v>
      </c>
      <c r="L530" s="7" t="str">
        <f>HYPERLINK("http://slimages.macys.com/is/image/MCY/12776597 ")</f>
        <v xml:space="preserve">http://slimages.macys.com/is/image/MCY/12776597 </v>
      </c>
    </row>
    <row r="531" spans="1:12" ht="24.75" x14ac:dyDescent="0.25">
      <c r="A531" s="4" t="s">
        <v>5111</v>
      </c>
      <c r="B531" s="2" t="s">
        <v>1747</v>
      </c>
      <c r="C531" s="3">
        <v>1</v>
      </c>
      <c r="D531" s="5">
        <v>17.989999999999998</v>
      </c>
      <c r="E531" s="3" t="s">
        <v>1748</v>
      </c>
      <c r="F531" s="2" t="s">
        <v>70</v>
      </c>
      <c r="G531" s="6" t="s">
        <v>112</v>
      </c>
      <c r="H531" s="2" t="s">
        <v>1473</v>
      </c>
      <c r="I531" s="2" t="s">
        <v>1426</v>
      </c>
      <c r="J531" s="2" t="s">
        <v>19</v>
      </c>
      <c r="K531" s="2" t="s">
        <v>353</v>
      </c>
      <c r="L531" s="7" t="str">
        <f>HYPERLINK("http://slimages.macys.com/is/image/MCY/12776597 ")</f>
        <v xml:space="preserve">http://slimages.macys.com/is/image/MCY/12776597 </v>
      </c>
    </row>
    <row r="532" spans="1:12" ht="24.75" x14ac:dyDescent="0.25">
      <c r="A532" s="4" t="s">
        <v>6780</v>
      </c>
      <c r="B532" s="2" t="s">
        <v>1747</v>
      </c>
      <c r="C532" s="3">
        <v>2</v>
      </c>
      <c r="D532" s="5">
        <v>17.989999999999998</v>
      </c>
      <c r="E532" s="3" t="s">
        <v>1748</v>
      </c>
      <c r="F532" s="2" t="s">
        <v>74</v>
      </c>
      <c r="G532" s="6" t="s">
        <v>22</v>
      </c>
      <c r="H532" s="2" t="s">
        <v>1473</v>
      </c>
      <c r="I532" s="2" t="s">
        <v>1426</v>
      </c>
      <c r="J532" s="2" t="s">
        <v>19</v>
      </c>
      <c r="K532" s="2" t="s">
        <v>353</v>
      </c>
      <c r="L532" s="7" t="str">
        <f>HYPERLINK("http://slimages.macys.com/is/image/MCY/12776597 ")</f>
        <v xml:space="preserve">http://slimages.macys.com/is/image/MCY/12776597 </v>
      </c>
    </row>
    <row r="533" spans="1:12" ht="24.75" x14ac:dyDescent="0.25">
      <c r="A533" s="4" t="s">
        <v>10265</v>
      </c>
      <c r="B533" s="2" t="s">
        <v>1747</v>
      </c>
      <c r="C533" s="3">
        <v>1</v>
      </c>
      <c r="D533" s="5">
        <v>17.989999999999998</v>
      </c>
      <c r="E533" s="3" t="s">
        <v>1750</v>
      </c>
      <c r="F533" s="2" t="s">
        <v>74</v>
      </c>
      <c r="G533" s="6" t="s">
        <v>205</v>
      </c>
      <c r="H533" s="2" t="s">
        <v>1425</v>
      </c>
      <c r="I533" s="2" t="s">
        <v>1426</v>
      </c>
      <c r="J533" s="2" t="s">
        <v>19</v>
      </c>
      <c r="K533" s="2" t="s">
        <v>353</v>
      </c>
      <c r="L533" s="7" t="str">
        <f>HYPERLINK("http://slimages.macys.com/is/image/MCY/12776609 ")</f>
        <v xml:space="preserve">http://slimages.macys.com/is/image/MCY/12776609 </v>
      </c>
    </row>
    <row r="534" spans="1:12" ht="24.75" x14ac:dyDescent="0.25">
      <c r="A534" s="4" t="s">
        <v>2944</v>
      </c>
      <c r="B534" s="2" t="s">
        <v>1747</v>
      </c>
      <c r="C534" s="3">
        <v>4</v>
      </c>
      <c r="D534" s="5">
        <v>17.989999999999998</v>
      </c>
      <c r="E534" s="3" t="s">
        <v>1748</v>
      </c>
      <c r="F534" s="2" t="s">
        <v>70</v>
      </c>
      <c r="G534" s="6" t="s">
        <v>16</v>
      </c>
      <c r="H534" s="2" t="s">
        <v>1473</v>
      </c>
      <c r="I534" s="2" t="s">
        <v>1426</v>
      </c>
      <c r="J534" s="2" t="s">
        <v>19</v>
      </c>
      <c r="K534" s="2" t="s">
        <v>353</v>
      </c>
      <c r="L534" s="7" t="str">
        <f>HYPERLINK("http://slimages.macys.com/is/image/MCY/12776597 ")</f>
        <v xml:space="preserve">http://slimages.macys.com/is/image/MCY/12776597 </v>
      </c>
    </row>
    <row r="535" spans="1:12" ht="24.75" x14ac:dyDescent="0.25">
      <c r="A535" s="4" t="s">
        <v>10266</v>
      </c>
      <c r="B535" s="2" t="s">
        <v>1747</v>
      </c>
      <c r="C535" s="3">
        <v>1</v>
      </c>
      <c r="D535" s="5">
        <v>17.989999999999998</v>
      </c>
      <c r="E535" s="3" t="s">
        <v>1748</v>
      </c>
      <c r="F535" s="2" t="s">
        <v>74</v>
      </c>
      <c r="G535" s="6" t="s">
        <v>106</v>
      </c>
      <c r="H535" s="2" t="s">
        <v>1473</v>
      </c>
      <c r="I535" s="2" t="s">
        <v>1426</v>
      </c>
      <c r="J535" s="2" t="s">
        <v>19</v>
      </c>
      <c r="K535" s="2" t="s">
        <v>353</v>
      </c>
      <c r="L535" s="7" t="str">
        <f>HYPERLINK("http://slimages.macys.com/is/image/MCY/12776597 ")</f>
        <v xml:space="preserve">http://slimages.macys.com/is/image/MCY/12776597 </v>
      </c>
    </row>
    <row r="536" spans="1:12" ht="24.75" x14ac:dyDescent="0.25">
      <c r="A536" s="4" t="s">
        <v>4066</v>
      </c>
      <c r="B536" s="2" t="s">
        <v>1747</v>
      </c>
      <c r="C536" s="3">
        <v>1</v>
      </c>
      <c r="D536" s="5">
        <v>17.989999999999998</v>
      </c>
      <c r="E536" s="3" t="s">
        <v>1748</v>
      </c>
      <c r="F536" s="2" t="s">
        <v>70</v>
      </c>
      <c r="G536" s="6" t="s">
        <v>106</v>
      </c>
      <c r="H536" s="2" t="s">
        <v>1473</v>
      </c>
      <c r="I536" s="2" t="s">
        <v>1426</v>
      </c>
      <c r="J536" s="2" t="s">
        <v>19</v>
      </c>
      <c r="K536" s="2" t="s">
        <v>353</v>
      </c>
      <c r="L536" s="7" t="str">
        <f>HYPERLINK("http://slimages.macys.com/is/image/MCY/12776597 ")</f>
        <v xml:space="preserve">http://slimages.macys.com/is/image/MCY/12776597 </v>
      </c>
    </row>
    <row r="537" spans="1:12" ht="24.75" x14ac:dyDescent="0.25">
      <c r="A537" s="4" t="s">
        <v>2943</v>
      </c>
      <c r="B537" s="2" t="s">
        <v>1747</v>
      </c>
      <c r="C537" s="3">
        <v>2</v>
      </c>
      <c r="D537" s="5">
        <v>17.989999999999998</v>
      </c>
      <c r="E537" s="3" t="s">
        <v>1748</v>
      </c>
      <c r="F537" s="2" t="s">
        <v>70</v>
      </c>
      <c r="G537" s="6" t="s">
        <v>27</v>
      </c>
      <c r="H537" s="2" t="s">
        <v>1473</v>
      </c>
      <c r="I537" s="2" t="s">
        <v>1426</v>
      </c>
      <c r="J537" s="2" t="s">
        <v>19</v>
      </c>
      <c r="K537" s="2" t="s">
        <v>353</v>
      </c>
      <c r="L537" s="7" t="str">
        <f>HYPERLINK("http://slimages.macys.com/is/image/MCY/12776597 ")</f>
        <v xml:space="preserve">http://slimages.macys.com/is/image/MCY/12776597 </v>
      </c>
    </row>
    <row r="538" spans="1:12" ht="24.75" x14ac:dyDescent="0.25">
      <c r="A538" s="4" t="s">
        <v>5110</v>
      </c>
      <c r="B538" s="2" t="s">
        <v>1747</v>
      </c>
      <c r="C538" s="3">
        <v>1</v>
      </c>
      <c r="D538" s="5">
        <v>17.989999999999998</v>
      </c>
      <c r="E538" s="3" t="s">
        <v>1748</v>
      </c>
      <c r="F538" s="2" t="s">
        <v>15</v>
      </c>
      <c r="G538" s="6" t="s">
        <v>22</v>
      </c>
      <c r="H538" s="2" t="s">
        <v>1473</v>
      </c>
      <c r="I538" s="2" t="s">
        <v>1426</v>
      </c>
      <c r="J538" s="2" t="s">
        <v>19</v>
      </c>
      <c r="K538" s="2" t="s">
        <v>353</v>
      </c>
      <c r="L538" s="7" t="str">
        <f>HYPERLINK("http://slimages.macys.com/is/image/MCY/12776597 ")</f>
        <v xml:space="preserve">http://slimages.macys.com/is/image/MCY/12776597 </v>
      </c>
    </row>
    <row r="539" spans="1:12" ht="24.75" x14ac:dyDescent="0.25">
      <c r="A539" s="4" t="s">
        <v>10267</v>
      </c>
      <c r="B539" s="2" t="s">
        <v>1764</v>
      </c>
      <c r="C539" s="3">
        <v>1</v>
      </c>
      <c r="D539" s="5">
        <v>22.13</v>
      </c>
      <c r="E539" s="3" t="s">
        <v>6051</v>
      </c>
      <c r="F539" s="2" t="s">
        <v>180</v>
      </c>
      <c r="G539" s="6" t="s">
        <v>181</v>
      </c>
      <c r="H539" s="2" t="s">
        <v>194</v>
      </c>
      <c r="I539" s="2" t="s">
        <v>1766</v>
      </c>
      <c r="J539" s="2" t="s">
        <v>19</v>
      </c>
      <c r="K539" s="2" t="s">
        <v>1082</v>
      </c>
      <c r="L539" s="7" t="str">
        <f>HYPERLINK("http://slimages.macys.com/is/image/MCY/12143914 ")</f>
        <v xml:space="preserve">http://slimages.macys.com/is/image/MCY/12143914 </v>
      </c>
    </row>
    <row r="540" spans="1:12" ht="24.75" x14ac:dyDescent="0.25">
      <c r="A540" s="4" t="s">
        <v>5124</v>
      </c>
      <c r="B540" s="2" t="s">
        <v>1808</v>
      </c>
      <c r="C540" s="3">
        <v>1</v>
      </c>
      <c r="D540" s="5">
        <v>22.13</v>
      </c>
      <c r="E540" s="3" t="s">
        <v>5125</v>
      </c>
      <c r="F540" s="2" t="s">
        <v>53</v>
      </c>
      <c r="G540" s="6" t="s">
        <v>181</v>
      </c>
      <c r="H540" s="2" t="s">
        <v>194</v>
      </c>
      <c r="I540" s="2" t="s">
        <v>580</v>
      </c>
      <c r="J540" s="2" t="s">
        <v>19</v>
      </c>
      <c r="K540" s="2" t="s">
        <v>1758</v>
      </c>
      <c r="L540" s="7" t="str">
        <f>HYPERLINK("http://slimages.macys.com/is/image/MCY/12734376 ")</f>
        <v xml:space="preserve">http://slimages.macys.com/is/image/MCY/12734376 </v>
      </c>
    </row>
    <row r="541" spans="1:12" ht="24.75" x14ac:dyDescent="0.25">
      <c r="A541" s="4" t="s">
        <v>2977</v>
      </c>
      <c r="B541" s="2" t="s">
        <v>1724</v>
      </c>
      <c r="C541" s="3">
        <v>1</v>
      </c>
      <c r="D541" s="5">
        <v>34.880000000000003</v>
      </c>
      <c r="E541" s="3">
        <v>100018041</v>
      </c>
      <c r="F541" s="2" t="s">
        <v>26</v>
      </c>
      <c r="G541" s="6" t="s">
        <v>16</v>
      </c>
      <c r="H541" s="2" t="s">
        <v>194</v>
      </c>
      <c r="I541" s="2" t="s">
        <v>195</v>
      </c>
      <c r="J541" s="2" t="s">
        <v>19</v>
      </c>
      <c r="K541" s="2" t="s">
        <v>353</v>
      </c>
      <c r="L541" s="7" t="str">
        <f>HYPERLINK("http://slimages.macys.com/is/image/MCY/12950342 ")</f>
        <v xml:space="preserve">http://slimages.macys.com/is/image/MCY/12950342 </v>
      </c>
    </row>
    <row r="542" spans="1:12" ht="24.75" x14ac:dyDescent="0.25">
      <c r="A542" s="4" t="s">
        <v>6085</v>
      </c>
      <c r="B542" s="2" t="s">
        <v>6083</v>
      </c>
      <c r="C542" s="3">
        <v>1</v>
      </c>
      <c r="D542" s="5">
        <v>19.989999999999998</v>
      </c>
      <c r="E542" s="3" t="s">
        <v>6084</v>
      </c>
      <c r="F542" s="2" t="s">
        <v>64</v>
      </c>
      <c r="G542" s="6"/>
      <c r="H542" s="2" t="s">
        <v>1425</v>
      </c>
      <c r="I542" s="2" t="s">
        <v>1426</v>
      </c>
      <c r="J542" s="2" t="s">
        <v>19</v>
      </c>
      <c r="K542" s="2" t="s">
        <v>107</v>
      </c>
      <c r="L542" s="7" t="str">
        <f>HYPERLINK("http://slimages.macys.com/is/image/MCY/11517680 ")</f>
        <v xml:space="preserve">http://slimages.macys.com/is/image/MCY/11517680 </v>
      </c>
    </row>
    <row r="543" spans="1:12" ht="24.75" x14ac:dyDescent="0.25">
      <c r="A543" s="4" t="s">
        <v>10268</v>
      </c>
      <c r="B543" s="2" t="s">
        <v>8789</v>
      </c>
      <c r="C543" s="3">
        <v>1</v>
      </c>
      <c r="D543" s="5">
        <v>19.98</v>
      </c>
      <c r="E543" s="3" t="s">
        <v>8790</v>
      </c>
      <c r="F543" s="2" t="s">
        <v>53</v>
      </c>
      <c r="G543" s="6" t="s">
        <v>181</v>
      </c>
      <c r="H543" s="2" t="s">
        <v>246</v>
      </c>
      <c r="I543" s="2" t="s">
        <v>189</v>
      </c>
      <c r="J543" s="2" t="s">
        <v>19</v>
      </c>
      <c r="K543" s="2" t="s">
        <v>648</v>
      </c>
      <c r="L543" s="7" t="str">
        <f>HYPERLINK("http://slimages.macys.com/is/image/MCY/9454315 ")</f>
        <v xml:space="preserve">http://slimages.macys.com/is/image/MCY/9454315 </v>
      </c>
    </row>
    <row r="544" spans="1:12" ht="24.75" x14ac:dyDescent="0.25">
      <c r="A544" s="4" t="s">
        <v>10269</v>
      </c>
      <c r="B544" s="2" t="s">
        <v>5138</v>
      </c>
      <c r="C544" s="3">
        <v>1</v>
      </c>
      <c r="D544" s="5">
        <v>19.989999999999998</v>
      </c>
      <c r="E544" s="3" t="s">
        <v>5139</v>
      </c>
      <c r="F544" s="2" t="s">
        <v>15</v>
      </c>
      <c r="G544" s="6" t="s">
        <v>234</v>
      </c>
      <c r="H544" s="2" t="s">
        <v>1473</v>
      </c>
      <c r="I544" s="2" t="s">
        <v>1426</v>
      </c>
      <c r="J544" s="2" t="s">
        <v>19</v>
      </c>
      <c r="K544" s="2" t="s">
        <v>648</v>
      </c>
      <c r="L544" s="7" t="str">
        <f>HYPERLINK("http://slimages.macys.com/is/image/MCY/12774735 ")</f>
        <v xml:space="preserve">http://slimages.macys.com/is/image/MCY/12774735 </v>
      </c>
    </row>
    <row r="545" spans="1:12" ht="24.75" x14ac:dyDescent="0.25">
      <c r="A545" s="4" t="s">
        <v>10270</v>
      </c>
      <c r="B545" s="2" t="s">
        <v>5138</v>
      </c>
      <c r="C545" s="3">
        <v>1</v>
      </c>
      <c r="D545" s="5">
        <v>19.989999999999998</v>
      </c>
      <c r="E545" s="3" t="s">
        <v>5139</v>
      </c>
      <c r="F545" s="2"/>
      <c r="G545" s="6" t="s">
        <v>234</v>
      </c>
      <c r="H545" s="2" t="s">
        <v>1473</v>
      </c>
      <c r="I545" s="2" t="s">
        <v>1426</v>
      </c>
      <c r="J545" s="2" t="s">
        <v>19</v>
      </c>
      <c r="K545" s="2" t="s">
        <v>648</v>
      </c>
      <c r="L545" s="7" t="str">
        <f>HYPERLINK("http://slimages.macys.com/is/image/MCY/12774735 ")</f>
        <v xml:space="preserve">http://slimages.macys.com/is/image/MCY/12774735 </v>
      </c>
    </row>
    <row r="546" spans="1:12" ht="24.75" x14ac:dyDescent="0.25">
      <c r="A546" s="4" t="s">
        <v>6810</v>
      </c>
      <c r="B546" s="2" t="s">
        <v>1817</v>
      </c>
      <c r="C546" s="3">
        <v>1</v>
      </c>
      <c r="D546" s="5">
        <v>17.989999999999998</v>
      </c>
      <c r="E546" s="3" t="s">
        <v>1818</v>
      </c>
      <c r="F546" s="2" t="s">
        <v>74</v>
      </c>
      <c r="G546" s="6" t="s">
        <v>16</v>
      </c>
      <c r="H546" s="2" t="s">
        <v>1473</v>
      </c>
      <c r="I546" s="2" t="s">
        <v>1426</v>
      </c>
      <c r="J546" s="2" t="s">
        <v>19</v>
      </c>
      <c r="K546" s="2" t="s">
        <v>353</v>
      </c>
      <c r="L546" s="7" t="str">
        <f t="shared" ref="L546:L551" si="15">HYPERLINK("http://slimages.macys.com/is/image/MCY/12070597 ")</f>
        <v xml:space="preserve">http://slimages.macys.com/is/image/MCY/12070597 </v>
      </c>
    </row>
    <row r="547" spans="1:12" ht="24.75" x14ac:dyDescent="0.25">
      <c r="A547" s="4" t="s">
        <v>2997</v>
      </c>
      <c r="B547" s="2" t="s">
        <v>1817</v>
      </c>
      <c r="C547" s="3">
        <v>2</v>
      </c>
      <c r="D547" s="5">
        <v>17.989999999999998</v>
      </c>
      <c r="E547" s="3" t="s">
        <v>1818</v>
      </c>
      <c r="F547" s="2" t="s">
        <v>15</v>
      </c>
      <c r="G547" s="6" t="s">
        <v>22</v>
      </c>
      <c r="H547" s="2" t="s">
        <v>1473</v>
      </c>
      <c r="I547" s="2" t="s">
        <v>1426</v>
      </c>
      <c r="J547" s="2" t="s">
        <v>19</v>
      </c>
      <c r="K547" s="2" t="s">
        <v>353</v>
      </c>
      <c r="L547" s="7" t="str">
        <f t="shared" si="15"/>
        <v xml:space="preserve">http://slimages.macys.com/is/image/MCY/12070597 </v>
      </c>
    </row>
    <row r="548" spans="1:12" ht="24.75" x14ac:dyDescent="0.25">
      <c r="A548" s="4" t="s">
        <v>2993</v>
      </c>
      <c r="B548" s="2" t="s">
        <v>1817</v>
      </c>
      <c r="C548" s="3">
        <v>1</v>
      </c>
      <c r="D548" s="5">
        <v>17.989999999999998</v>
      </c>
      <c r="E548" s="3" t="s">
        <v>1818</v>
      </c>
      <c r="F548" s="2" t="s">
        <v>15</v>
      </c>
      <c r="G548" s="6" t="s">
        <v>106</v>
      </c>
      <c r="H548" s="2" t="s">
        <v>1473</v>
      </c>
      <c r="I548" s="2" t="s">
        <v>1426</v>
      </c>
      <c r="J548" s="2" t="s">
        <v>19</v>
      </c>
      <c r="K548" s="2" t="s">
        <v>353</v>
      </c>
      <c r="L548" s="7" t="str">
        <f t="shared" si="15"/>
        <v xml:space="preserve">http://slimages.macys.com/is/image/MCY/12070597 </v>
      </c>
    </row>
    <row r="549" spans="1:12" ht="24.75" x14ac:dyDescent="0.25">
      <c r="A549" s="4" t="s">
        <v>7619</v>
      </c>
      <c r="B549" s="2" t="s">
        <v>1817</v>
      </c>
      <c r="C549" s="3">
        <v>1</v>
      </c>
      <c r="D549" s="5">
        <v>17.989999999999998</v>
      </c>
      <c r="E549" s="3" t="s">
        <v>1818</v>
      </c>
      <c r="F549" s="2" t="s">
        <v>998</v>
      </c>
      <c r="G549" s="6" t="s">
        <v>112</v>
      </c>
      <c r="H549" s="2" t="s">
        <v>1473</v>
      </c>
      <c r="I549" s="2" t="s">
        <v>1426</v>
      </c>
      <c r="J549" s="2" t="s">
        <v>19</v>
      </c>
      <c r="K549" s="2" t="s">
        <v>353</v>
      </c>
      <c r="L549" s="7" t="str">
        <f t="shared" si="15"/>
        <v xml:space="preserve">http://slimages.macys.com/is/image/MCY/12070597 </v>
      </c>
    </row>
    <row r="550" spans="1:12" ht="24.75" x14ac:dyDescent="0.25">
      <c r="A550" s="4" t="s">
        <v>10271</v>
      </c>
      <c r="B550" s="2" t="s">
        <v>1817</v>
      </c>
      <c r="C550" s="3">
        <v>1</v>
      </c>
      <c r="D550" s="5">
        <v>17.989999999999998</v>
      </c>
      <c r="E550" s="3" t="s">
        <v>1818</v>
      </c>
      <c r="F550" s="2" t="s">
        <v>998</v>
      </c>
      <c r="G550" s="6" t="s">
        <v>106</v>
      </c>
      <c r="H550" s="2" t="s">
        <v>1473</v>
      </c>
      <c r="I550" s="2" t="s">
        <v>1426</v>
      </c>
      <c r="J550" s="2" t="s">
        <v>19</v>
      </c>
      <c r="K550" s="2" t="s">
        <v>353</v>
      </c>
      <c r="L550" s="7" t="str">
        <f t="shared" si="15"/>
        <v xml:space="preserve">http://slimages.macys.com/is/image/MCY/12070597 </v>
      </c>
    </row>
    <row r="551" spans="1:12" ht="24.75" x14ac:dyDescent="0.25">
      <c r="A551" s="4" t="s">
        <v>1816</v>
      </c>
      <c r="B551" s="2" t="s">
        <v>1817</v>
      </c>
      <c r="C551" s="3">
        <v>1</v>
      </c>
      <c r="D551" s="5">
        <v>17.989999999999998</v>
      </c>
      <c r="E551" s="3" t="s">
        <v>1818</v>
      </c>
      <c r="F551" s="2" t="s">
        <v>74</v>
      </c>
      <c r="G551" s="6" t="s">
        <v>58</v>
      </c>
      <c r="H551" s="2" t="s">
        <v>1473</v>
      </c>
      <c r="I551" s="2" t="s">
        <v>1426</v>
      </c>
      <c r="J551" s="2" t="s">
        <v>19</v>
      </c>
      <c r="K551" s="2" t="s">
        <v>353</v>
      </c>
      <c r="L551" s="7" t="str">
        <f t="shared" si="15"/>
        <v xml:space="preserve">http://slimages.macys.com/is/image/MCY/12070597 </v>
      </c>
    </row>
    <row r="552" spans="1:12" ht="24.75" x14ac:dyDescent="0.25">
      <c r="A552" s="4" t="s">
        <v>3011</v>
      </c>
      <c r="B552" s="2" t="s">
        <v>3012</v>
      </c>
      <c r="C552" s="3">
        <v>1</v>
      </c>
      <c r="D552" s="5">
        <v>22.13</v>
      </c>
      <c r="E552" s="3" t="s">
        <v>3013</v>
      </c>
      <c r="F552" s="2" t="s">
        <v>752</v>
      </c>
      <c r="G552" s="6" t="s">
        <v>234</v>
      </c>
      <c r="H552" s="2" t="s">
        <v>194</v>
      </c>
      <c r="I552" s="2" t="s">
        <v>195</v>
      </c>
      <c r="J552" s="2" t="s">
        <v>19</v>
      </c>
      <c r="K552" s="2" t="s">
        <v>1082</v>
      </c>
      <c r="L552" s="7" t="str">
        <f>HYPERLINK("http://slimages.macys.com/is/image/MCY/12724768 ")</f>
        <v xml:space="preserve">http://slimages.macys.com/is/image/MCY/12724768 </v>
      </c>
    </row>
    <row r="553" spans="1:12" ht="24.75" x14ac:dyDescent="0.25">
      <c r="A553" s="4" t="s">
        <v>10272</v>
      </c>
      <c r="B553" s="2" t="s">
        <v>4128</v>
      </c>
      <c r="C553" s="3">
        <v>1</v>
      </c>
      <c r="D553" s="5">
        <v>19.989999999999998</v>
      </c>
      <c r="E553" s="3" t="s">
        <v>5153</v>
      </c>
      <c r="F553" s="2" t="s">
        <v>413</v>
      </c>
      <c r="G553" s="6" t="s">
        <v>154</v>
      </c>
      <c r="H553" s="2" t="s">
        <v>1473</v>
      </c>
      <c r="I553" s="2" t="s">
        <v>1426</v>
      </c>
      <c r="J553" s="2" t="s">
        <v>19</v>
      </c>
      <c r="K553" s="2" t="s">
        <v>1108</v>
      </c>
      <c r="L553" s="7" t="str">
        <f>HYPERLINK("http://slimages.macys.com/is/image/MCY/11831179 ")</f>
        <v xml:space="preserve">http://slimages.macys.com/is/image/MCY/11831179 </v>
      </c>
    </row>
    <row r="554" spans="1:12" ht="24.75" x14ac:dyDescent="0.25">
      <c r="A554" s="4" t="s">
        <v>10273</v>
      </c>
      <c r="B554" s="2" t="s">
        <v>8327</v>
      </c>
      <c r="C554" s="3">
        <v>1</v>
      </c>
      <c r="D554" s="5">
        <v>19.989999999999998</v>
      </c>
      <c r="E554" s="3" t="s">
        <v>8328</v>
      </c>
      <c r="F554" s="2" t="s">
        <v>64</v>
      </c>
      <c r="G554" s="6" t="s">
        <v>245</v>
      </c>
      <c r="H554" s="2" t="s">
        <v>246</v>
      </c>
      <c r="I554" s="2" t="s">
        <v>1939</v>
      </c>
      <c r="J554" s="2" t="s">
        <v>19</v>
      </c>
      <c r="K554" s="2" t="s">
        <v>8329</v>
      </c>
      <c r="L554" s="7" t="str">
        <f>HYPERLINK("http://slimages.macys.com/is/image/MCY/11940009 ")</f>
        <v xml:space="preserve">http://slimages.macys.com/is/image/MCY/11940009 </v>
      </c>
    </row>
    <row r="555" spans="1:12" ht="24.75" x14ac:dyDescent="0.25">
      <c r="A555" s="4" t="s">
        <v>10274</v>
      </c>
      <c r="B555" s="2" t="s">
        <v>3026</v>
      </c>
      <c r="C555" s="3">
        <v>1</v>
      </c>
      <c r="D555" s="5">
        <v>21.99</v>
      </c>
      <c r="E555" s="3" t="s">
        <v>8332</v>
      </c>
      <c r="F555" s="2" t="s">
        <v>64</v>
      </c>
      <c r="G555" s="6" t="s">
        <v>234</v>
      </c>
      <c r="H555" s="2" t="s">
        <v>284</v>
      </c>
      <c r="I555" s="2" t="s">
        <v>285</v>
      </c>
      <c r="J555" s="2" t="s">
        <v>19</v>
      </c>
      <c r="K555" s="2" t="s">
        <v>247</v>
      </c>
      <c r="L555" s="7" t="str">
        <f>HYPERLINK("http://slimages.macys.com/is/image/MCY/9972026 ")</f>
        <v xml:space="preserve">http://slimages.macys.com/is/image/MCY/9972026 </v>
      </c>
    </row>
    <row r="556" spans="1:12" ht="24.75" x14ac:dyDescent="0.25">
      <c r="A556" s="4" t="s">
        <v>4135</v>
      </c>
      <c r="B556" s="2" t="s">
        <v>1853</v>
      </c>
      <c r="C556" s="3">
        <v>1</v>
      </c>
      <c r="D556" s="5">
        <v>17.989999999999998</v>
      </c>
      <c r="E556" s="3" t="s">
        <v>1854</v>
      </c>
      <c r="F556" s="2" t="s">
        <v>26</v>
      </c>
      <c r="G556" s="6" t="s">
        <v>219</v>
      </c>
      <c r="H556" s="2" t="s">
        <v>1425</v>
      </c>
      <c r="I556" s="2" t="s">
        <v>1469</v>
      </c>
      <c r="J556" s="2" t="s">
        <v>19</v>
      </c>
      <c r="K556" s="2" t="s">
        <v>353</v>
      </c>
      <c r="L556" s="7" t="str">
        <f>HYPERLINK("http://slimages.macys.com/is/image/MCY/2880260 ")</f>
        <v xml:space="preserve">http://slimages.macys.com/is/image/MCY/2880260 </v>
      </c>
    </row>
    <row r="557" spans="1:12" ht="24.75" x14ac:dyDescent="0.25">
      <c r="A557" s="4" t="s">
        <v>4137</v>
      </c>
      <c r="B557" s="2" t="s">
        <v>1856</v>
      </c>
      <c r="C557" s="3">
        <v>1</v>
      </c>
      <c r="D557" s="5">
        <v>17.989999999999998</v>
      </c>
      <c r="E557" s="3" t="s">
        <v>1857</v>
      </c>
      <c r="F557" s="2" t="s">
        <v>26</v>
      </c>
      <c r="G557" s="6"/>
      <c r="H557" s="2" t="s">
        <v>1425</v>
      </c>
      <c r="I557" s="2" t="s">
        <v>1469</v>
      </c>
      <c r="J557" s="2" t="s">
        <v>19</v>
      </c>
      <c r="K557" s="2" t="s">
        <v>353</v>
      </c>
      <c r="L557" s="7" t="str">
        <f>HYPERLINK("http://slimages.macys.com/is/image/MCY/11522835 ")</f>
        <v xml:space="preserve">http://slimages.macys.com/is/image/MCY/11522835 </v>
      </c>
    </row>
    <row r="558" spans="1:12" ht="24.75" x14ac:dyDescent="0.25">
      <c r="A558" s="4" t="s">
        <v>6827</v>
      </c>
      <c r="B558" s="2" t="s">
        <v>1856</v>
      </c>
      <c r="C558" s="3">
        <v>2</v>
      </c>
      <c r="D558" s="5">
        <v>17.989999999999998</v>
      </c>
      <c r="E558" s="3" t="s">
        <v>1857</v>
      </c>
      <c r="F558" s="2" t="s">
        <v>38</v>
      </c>
      <c r="G558" s="6"/>
      <c r="H558" s="2" t="s">
        <v>1425</v>
      </c>
      <c r="I558" s="2" t="s">
        <v>1469</v>
      </c>
      <c r="J558" s="2"/>
      <c r="K558" s="2"/>
      <c r="L558" s="7" t="str">
        <f>HYPERLINK("http://slimages.macys.com/is/image/MCY/11522835 ")</f>
        <v xml:space="preserve">http://slimages.macys.com/is/image/MCY/11522835 </v>
      </c>
    </row>
    <row r="559" spans="1:12" ht="24.75" x14ac:dyDescent="0.25">
      <c r="A559" s="4" t="s">
        <v>6122</v>
      </c>
      <c r="B559" s="2" t="s">
        <v>1856</v>
      </c>
      <c r="C559" s="3">
        <v>1</v>
      </c>
      <c r="D559" s="5">
        <v>17.989999999999998</v>
      </c>
      <c r="E559" s="3" t="s">
        <v>1857</v>
      </c>
      <c r="F559" s="2" t="s">
        <v>38</v>
      </c>
      <c r="G559" s="6"/>
      <c r="H559" s="2" t="s">
        <v>1425</v>
      </c>
      <c r="I559" s="2" t="s">
        <v>1469</v>
      </c>
      <c r="J559" s="2"/>
      <c r="K559" s="2"/>
      <c r="L559" s="7" t="str">
        <f>HYPERLINK("http://slimages.macys.com/is/image/MCY/11522835 ")</f>
        <v xml:space="preserve">http://slimages.macys.com/is/image/MCY/11522835 </v>
      </c>
    </row>
    <row r="560" spans="1:12" ht="24.75" x14ac:dyDescent="0.25">
      <c r="A560" s="4" t="s">
        <v>8823</v>
      </c>
      <c r="B560" s="2" t="s">
        <v>1862</v>
      </c>
      <c r="C560" s="3">
        <v>2</v>
      </c>
      <c r="D560" s="5">
        <v>20.99</v>
      </c>
      <c r="E560" s="3" t="s">
        <v>1868</v>
      </c>
      <c r="F560" s="2" t="s">
        <v>70</v>
      </c>
      <c r="G560" s="6" t="s">
        <v>154</v>
      </c>
      <c r="H560" s="2" t="s">
        <v>1473</v>
      </c>
      <c r="I560" s="2" t="s">
        <v>1864</v>
      </c>
      <c r="J560" s="2" t="s">
        <v>19</v>
      </c>
      <c r="K560" s="2" t="s">
        <v>648</v>
      </c>
      <c r="L560" s="7" t="str">
        <f>HYPERLINK("http://slimages.macys.com/is/image/MCY/12267099 ")</f>
        <v xml:space="preserve">http://slimages.macys.com/is/image/MCY/12267099 </v>
      </c>
    </row>
    <row r="561" spans="1:12" ht="24.75" x14ac:dyDescent="0.25">
      <c r="A561" s="4" t="s">
        <v>10275</v>
      </c>
      <c r="B561" s="2" t="s">
        <v>1862</v>
      </c>
      <c r="C561" s="3">
        <v>1</v>
      </c>
      <c r="D561" s="5">
        <v>20.99</v>
      </c>
      <c r="E561" s="3" t="s">
        <v>1863</v>
      </c>
      <c r="F561" s="2" t="s">
        <v>998</v>
      </c>
      <c r="G561" s="6"/>
      <c r="H561" s="2" t="s">
        <v>1425</v>
      </c>
      <c r="I561" s="2" t="s">
        <v>1864</v>
      </c>
      <c r="J561" s="2" t="s">
        <v>19</v>
      </c>
      <c r="K561" s="2" t="s">
        <v>648</v>
      </c>
      <c r="L561" s="7" t="str">
        <f>HYPERLINK("http://slimages.macys.com/is/image/MCY/12267103 ")</f>
        <v xml:space="preserve">http://slimages.macys.com/is/image/MCY/12267103 </v>
      </c>
    </row>
    <row r="562" spans="1:12" ht="24.75" x14ac:dyDescent="0.25">
      <c r="A562" s="4" t="s">
        <v>3043</v>
      </c>
      <c r="B562" s="2" t="s">
        <v>1862</v>
      </c>
      <c r="C562" s="3">
        <v>1</v>
      </c>
      <c r="D562" s="5">
        <v>20.99</v>
      </c>
      <c r="E562" s="3" t="s">
        <v>1868</v>
      </c>
      <c r="F562" s="2" t="s">
        <v>70</v>
      </c>
      <c r="G562" s="6" t="s">
        <v>181</v>
      </c>
      <c r="H562" s="2" t="s">
        <v>1473</v>
      </c>
      <c r="I562" s="2" t="s">
        <v>1864</v>
      </c>
      <c r="J562" s="2" t="s">
        <v>19</v>
      </c>
      <c r="K562" s="2" t="s">
        <v>648</v>
      </c>
      <c r="L562" s="7" t="str">
        <f>HYPERLINK("http://slimages.macys.com/is/image/MCY/12267099 ")</f>
        <v xml:space="preserve">http://slimages.macys.com/is/image/MCY/12267099 </v>
      </c>
    </row>
    <row r="563" spans="1:12" ht="24.75" x14ac:dyDescent="0.25">
      <c r="A563" s="4" t="s">
        <v>3047</v>
      </c>
      <c r="B563" s="2" t="s">
        <v>1862</v>
      </c>
      <c r="C563" s="3">
        <v>1</v>
      </c>
      <c r="D563" s="5">
        <v>20.99</v>
      </c>
      <c r="E563" s="3" t="s">
        <v>1868</v>
      </c>
      <c r="F563" s="2" t="s">
        <v>15</v>
      </c>
      <c r="G563" s="6" t="s">
        <v>181</v>
      </c>
      <c r="H563" s="2" t="s">
        <v>1473</v>
      </c>
      <c r="I563" s="2" t="s">
        <v>1864</v>
      </c>
      <c r="J563" s="2" t="s">
        <v>19</v>
      </c>
      <c r="K563" s="2" t="s">
        <v>648</v>
      </c>
      <c r="L563" s="7" t="str">
        <f>HYPERLINK("http://slimages.macys.com/is/image/MCY/12267099 ")</f>
        <v xml:space="preserve">http://slimages.macys.com/is/image/MCY/12267099 </v>
      </c>
    </row>
    <row r="564" spans="1:12" ht="24.75" x14ac:dyDescent="0.25">
      <c r="A564" s="4" t="s">
        <v>3046</v>
      </c>
      <c r="B564" s="2" t="s">
        <v>1862</v>
      </c>
      <c r="C564" s="3">
        <v>1</v>
      </c>
      <c r="D564" s="5">
        <v>20.99</v>
      </c>
      <c r="E564" s="3" t="s">
        <v>1868</v>
      </c>
      <c r="F564" s="2" t="s">
        <v>998</v>
      </c>
      <c r="G564" s="6" t="s">
        <v>154</v>
      </c>
      <c r="H564" s="2" t="s">
        <v>1473</v>
      </c>
      <c r="I564" s="2" t="s">
        <v>1864</v>
      </c>
      <c r="J564" s="2" t="s">
        <v>19</v>
      </c>
      <c r="K564" s="2" t="s">
        <v>648</v>
      </c>
      <c r="L564" s="7" t="str">
        <f>HYPERLINK("http://slimages.macys.com/is/image/MCY/12267099 ")</f>
        <v xml:space="preserve">http://slimages.macys.com/is/image/MCY/12267099 </v>
      </c>
    </row>
    <row r="565" spans="1:12" ht="24.75" x14ac:dyDescent="0.25">
      <c r="A565" s="4" t="s">
        <v>3045</v>
      </c>
      <c r="B565" s="2" t="s">
        <v>1862</v>
      </c>
      <c r="C565" s="3">
        <v>2</v>
      </c>
      <c r="D565" s="5">
        <v>20.99</v>
      </c>
      <c r="E565" s="3" t="s">
        <v>1868</v>
      </c>
      <c r="F565" s="2" t="s">
        <v>998</v>
      </c>
      <c r="G565" s="6" t="s">
        <v>181</v>
      </c>
      <c r="H565" s="2" t="s">
        <v>1473</v>
      </c>
      <c r="I565" s="2" t="s">
        <v>1864</v>
      </c>
      <c r="J565" s="2" t="s">
        <v>19</v>
      </c>
      <c r="K565" s="2" t="s">
        <v>648</v>
      </c>
      <c r="L565" s="7" t="str">
        <f>HYPERLINK("http://slimages.macys.com/is/image/MCY/12267099 ")</f>
        <v xml:space="preserve">http://slimages.macys.com/is/image/MCY/12267099 </v>
      </c>
    </row>
    <row r="566" spans="1:12" ht="24.75" x14ac:dyDescent="0.25">
      <c r="A566" s="4" t="s">
        <v>10276</v>
      </c>
      <c r="B566" s="2" t="s">
        <v>1879</v>
      </c>
      <c r="C566" s="3">
        <v>1</v>
      </c>
      <c r="D566" s="5">
        <v>17.989999999999998</v>
      </c>
      <c r="E566" s="3" t="s">
        <v>6132</v>
      </c>
      <c r="F566" s="2" t="s">
        <v>64</v>
      </c>
      <c r="G566" s="6" t="s">
        <v>234</v>
      </c>
      <c r="H566" s="2" t="s">
        <v>194</v>
      </c>
      <c r="I566" s="2" t="s">
        <v>195</v>
      </c>
      <c r="J566" s="2" t="s">
        <v>19</v>
      </c>
      <c r="K566" s="2" t="s">
        <v>648</v>
      </c>
      <c r="L566" s="7" t="str">
        <f>HYPERLINK("http://slimages.macys.com/is/image/MCY/10482866 ")</f>
        <v xml:space="preserve">http://slimages.macys.com/is/image/MCY/10482866 </v>
      </c>
    </row>
    <row r="567" spans="1:12" ht="24.75" x14ac:dyDescent="0.25">
      <c r="A567" s="4" t="s">
        <v>3053</v>
      </c>
      <c r="B567" s="2" t="s">
        <v>1896</v>
      </c>
      <c r="C567" s="3">
        <v>1</v>
      </c>
      <c r="D567" s="5">
        <v>20.99</v>
      </c>
      <c r="E567" s="3" t="s">
        <v>1899</v>
      </c>
      <c r="F567" s="2" t="s">
        <v>15</v>
      </c>
      <c r="G567" s="6" t="s">
        <v>234</v>
      </c>
      <c r="H567" s="2" t="s">
        <v>1473</v>
      </c>
      <c r="I567" s="2" t="s">
        <v>1864</v>
      </c>
      <c r="J567" s="2" t="s">
        <v>19</v>
      </c>
      <c r="K567" s="2" t="s">
        <v>648</v>
      </c>
      <c r="L567" s="7" t="str">
        <f>HYPERLINK("http://slimages.macys.com/is/image/MCY/10787705 ")</f>
        <v xml:space="preserve">http://slimages.macys.com/is/image/MCY/10787705 </v>
      </c>
    </row>
    <row r="568" spans="1:12" ht="24.75" x14ac:dyDescent="0.25">
      <c r="A568" s="4" t="s">
        <v>3076</v>
      </c>
      <c r="B568" s="2" t="s">
        <v>1896</v>
      </c>
      <c r="C568" s="3">
        <v>1</v>
      </c>
      <c r="D568" s="5">
        <v>20.99</v>
      </c>
      <c r="E568" s="3" t="s">
        <v>1899</v>
      </c>
      <c r="F568" s="2" t="s">
        <v>70</v>
      </c>
      <c r="G568" s="6" t="s">
        <v>154</v>
      </c>
      <c r="H568" s="2" t="s">
        <v>1473</v>
      </c>
      <c r="I568" s="2" t="s">
        <v>1864</v>
      </c>
      <c r="J568" s="2" t="s">
        <v>19</v>
      </c>
      <c r="K568" s="2" t="s">
        <v>648</v>
      </c>
      <c r="L568" s="7" t="str">
        <f>HYPERLINK("http://slimages.macys.com/is/image/MCY/10787705 ")</f>
        <v xml:space="preserve">http://slimages.macys.com/is/image/MCY/10787705 </v>
      </c>
    </row>
    <row r="569" spans="1:12" ht="24.75" x14ac:dyDescent="0.25">
      <c r="A569" s="4" t="s">
        <v>3064</v>
      </c>
      <c r="B569" s="2" t="s">
        <v>1896</v>
      </c>
      <c r="C569" s="3">
        <v>1</v>
      </c>
      <c r="D569" s="5">
        <v>20.99</v>
      </c>
      <c r="E569" s="3" t="s">
        <v>1899</v>
      </c>
      <c r="F569" s="2" t="s">
        <v>252</v>
      </c>
      <c r="G569" s="6" t="s">
        <v>156</v>
      </c>
      <c r="H569" s="2" t="s">
        <v>1473</v>
      </c>
      <c r="I569" s="2" t="s">
        <v>1864</v>
      </c>
      <c r="J569" s="2" t="s">
        <v>19</v>
      </c>
      <c r="K569" s="2" t="s">
        <v>648</v>
      </c>
      <c r="L569" s="7" t="str">
        <f>HYPERLINK("http://slimages.macys.com/is/image/MCY/10787705 ")</f>
        <v xml:space="preserve">http://slimages.macys.com/is/image/MCY/10787705 </v>
      </c>
    </row>
    <row r="570" spans="1:12" ht="24.75" x14ac:dyDescent="0.25">
      <c r="A570" s="4" t="s">
        <v>10277</v>
      </c>
      <c r="B570" s="2" t="s">
        <v>1892</v>
      </c>
      <c r="C570" s="3">
        <v>1</v>
      </c>
      <c r="D570" s="5">
        <v>20.99</v>
      </c>
      <c r="E570" s="3" t="s">
        <v>1893</v>
      </c>
      <c r="F570" s="2" t="s">
        <v>252</v>
      </c>
      <c r="G570" s="6" t="s">
        <v>219</v>
      </c>
      <c r="H570" s="2" t="s">
        <v>1425</v>
      </c>
      <c r="I570" s="2" t="s">
        <v>1864</v>
      </c>
      <c r="J570" s="2" t="s">
        <v>19</v>
      </c>
      <c r="K570" s="2" t="s">
        <v>1894</v>
      </c>
      <c r="L570" s="7" t="str">
        <f>HYPERLINK("http://slimages.macys.com/is/image/MCY/11689288 ")</f>
        <v xml:space="preserve">http://slimages.macys.com/is/image/MCY/11689288 </v>
      </c>
    </row>
    <row r="571" spans="1:12" ht="24.75" x14ac:dyDescent="0.25">
      <c r="A571" s="4" t="s">
        <v>7650</v>
      </c>
      <c r="B571" s="2" t="s">
        <v>1896</v>
      </c>
      <c r="C571" s="3">
        <v>1</v>
      </c>
      <c r="D571" s="5">
        <v>20.99</v>
      </c>
      <c r="E571" s="3" t="s">
        <v>1899</v>
      </c>
      <c r="F571" s="2" t="s">
        <v>252</v>
      </c>
      <c r="G571" s="6" t="s">
        <v>181</v>
      </c>
      <c r="H571" s="2" t="s">
        <v>1473</v>
      </c>
      <c r="I571" s="2" t="s">
        <v>1864</v>
      </c>
      <c r="J571" s="2" t="s">
        <v>19</v>
      </c>
      <c r="K571" s="2" t="s">
        <v>648</v>
      </c>
      <c r="L571" s="7" t="str">
        <f>HYPERLINK("http://slimages.macys.com/is/image/MCY/10787705 ")</f>
        <v xml:space="preserve">http://slimages.macys.com/is/image/MCY/10787705 </v>
      </c>
    </row>
    <row r="572" spans="1:12" ht="24.75" x14ac:dyDescent="0.25">
      <c r="A572" s="4" t="s">
        <v>3067</v>
      </c>
      <c r="B572" s="2" t="s">
        <v>1896</v>
      </c>
      <c r="C572" s="3">
        <v>1</v>
      </c>
      <c r="D572" s="5">
        <v>20.99</v>
      </c>
      <c r="E572" s="3" t="s">
        <v>1899</v>
      </c>
      <c r="F572" s="2" t="s">
        <v>70</v>
      </c>
      <c r="G572" s="6" t="s">
        <v>234</v>
      </c>
      <c r="H572" s="2" t="s">
        <v>1473</v>
      </c>
      <c r="I572" s="2" t="s">
        <v>1864</v>
      </c>
      <c r="J572" s="2" t="s">
        <v>19</v>
      </c>
      <c r="K572" s="2" t="s">
        <v>648</v>
      </c>
      <c r="L572" s="7" t="str">
        <f>HYPERLINK("http://slimages.macys.com/is/image/MCY/10787705 ")</f>
        <v xml:space="preserve">http://slimages.macys.com/is/image/MCY/10787705 </v>
      </c>
    </row>
    <row r="573" spans="1:12" ht="24.75" x14ac:dyDescent="0.25">
      <c r="A573" s="4" t="s">
        <v>3059</v>
      </c>
      <c r="B573" s="2" t="s">
        <v>1896</v>
      </c>
      <c r="C573" s="3">
        <v>1</v>
      </c>
      <c r="D573" s="5">
        <v>20.99</v>
      </c>
      <c r="E573" s="3" t="s">
        <v>1899</v>
      </c>
      <c r="F573" s="2" t="s">
        <v>74</v>
      </c>
      <c r="G573" s="6" t="s">
        <v>234</v>
      </c>
      <c r="H573" s="2" t="s">
        <v>1473</v>
      </c>
      <c r="I573" s="2" t="s">
        <v>1864</v>
      </c>
      <c r="J573" s="2" t="s">
        <v>19</v>
      </c>
      <c r="K573" s="2" t="s">
        <v>648</v>
      </c>
      <c r="L573" s="7" t="str">
        <f>HYPERLINK("http://slimages.macys.com/is/image/MCY/10787705 ")</f>
        <v xml:space="preserve">http://slimages.macys.com/is/image/MCY/10787705 </v>
      </c>
    </row>
    <row r="574" spans="1:12" ht="24.75" x14ac:dyDescent="0.25">
      <c r="A574" s="4" t="s">
        <v>5177</v>
      </c>
      <c r="B574" s="2" t="s">
        <v>1892</v>
      </c>
      <c r="C574" s="3">
        <v>1</v>
      </c>
      <c r="D574" s="5">
        <v>20.99</v>
      </c>
      <c r="E574" s="3" t="s">
        <v>1901</v>
      </c>
      <c r="F574" s="2" t="s">
        <v>74</v>
      </c>
      <c r="G574" s="6" t="s">
        <v>234</v>
      </c>
      <c r="H574" s="2" t="s">
        <v>1473</v>
      </c>
      <c r="I574" s="2" t="s">
        <v>1864</v>
      </c>
      <c r="J574" s="2" t="s">
        <v>19</v>
      </c>
      <c r="K574" s="2" t="s">
        <v>648</v>
      </c>
      <c r="L574" s="7" t="str">
        <f>HYPERLINK("http://slimages.macys.com/is/image/MCY/11689284 ")</f>
        <v xml:space="preserve">http://slimages.macys.com/is/image/MCY/11689284 </v>
      </c>
    </row>
    <row r="575" spans="1:12" ht="24.75" x14ac:dyDescent="0.25">
      <c r="A575" s="4" t="s">
        <v>4154</v>
      </c>
      <c r="B575" s="2" t="s">
        <v>1892</v>
      </c>
      <c r="C575" s="3">
        <v>3</v>
      </c>
      <c r="D575" s="5">
        <v>20.99</v>
      </c>
      <c r="E575" s="3" t="s">
        <v>1901</v>
      </c>
      <c r="F575" s="2" t="s">
        <v>252</v>
      </c>
      <c r="G575" s="6" t="s">
        <v>181</v>
      </c>
      <c r="H575" s="2" t="s">
        <v>1473</v>
      </c>
      <c r="I575" s="2" t="s">
        <v>1864</v>
      </c>
      <c r="J575" s="2" t="s">
        <v>19</v>
      </c>
      <c r="K575" s="2" t="s">
        <v>648</v>
      </c>
      <c r="L575" s="7" t="str">
        <f>HYPERLINK("http://slimages.macys.com/is/image/MCY/11689284 ")</f>
        <v xml:space="preserve">http://slimages.macys.com/is/image/MCY/11689284 </v>
      </c>
    </row>
    <row r="576" spans="1:12" ht="24.75" x14ac:dyDescent="0.25">
      <c r="A576" s="4" t="s">
        <v>5176</v>
      </c>
      <c r="B576" s="2" t="s">
        <v>1896</v>
      </c>
      <c r="C576" s="3">
        <v>2</v>
      </c>
      <c r="D576" s="5">
        <v>20.99</v>
      </c>
      <c r="E576" s="3" t="s">
        <v>1899</v>
      </c>
      <c r="F576" s="2" t="s">
        <v>252</v>
      </c>
      <c r="G576" s="6" t="s">
        <v>154</v>
      </c>
      <c r="H576" s="2" t="s">
        <v>1473</v>
      </c>
      <c r="I576" s="2" t="s">
        <v>1864</v>
      </c>
      <c r="J576" s="2" t="s">
        <v>19</v>
      </c>
      <c r="K576" s="2" t="s">
        <v>648</v>
      </c>
      <c r="L576" s="7" t="str">
        <f>HYPERLINK("http://slimages.macys.com/is/image/MCY/10787705 ")</f>
        <v xml:space="preserve">http://slimages.macys.com/is/image/MCY/10787705 </v>
      </c>
    </row>
    <row r="577" spans="1:12" ht="24.75" x14ac:dyDescent="0.25">
      <c r="A577" s="4" t="s">
        <v>3054</v>
      </c>
      <c r="B577" s="2" t="s">
        <v>1892</v>
      </c>
      <c r="C577" s="3">
        <v>1</v>
      </c>
      <c r="D577" s="5">
        <v>20.99</v>
      </c>
      <c r="E577" s="3" t="s">
        <v>1901</v>
      </c>
      <c r="F577" s="2" t="s">
        <v>252</v>
      </c>
      <c r="G577" s="6" t="s">
        <v>156</v>
      </c>
      <c r="H577" s="2" t="s">
        <v>1473</v>
      </c>
      <c r="I577" s="2" t="s">
        <v>1864</v>
      </c>
      <c r="J577" s="2" t="s">
        <v>19</v>
      </c>
      <c r="K577" s="2" t="s">
        <v>648</v>
      </c>
      <c r="L577" s="7" t="str">
        <f>HYPERLINK("http://slimages.macys.com/is/image/MCY/11689284 ")</f>
        <v xml:space="preserve">http://slimages.macys.com/is/image/MCY/11689284 </v>
      </c>
    </row>
    <row r="578" spans="1:12" ht="24.75" x14ac:dyDescent="0.25">
      <c r="A578" s="4" t="s">
        <v>4157</v>
      </c>
      <c r="B578" s="2" t="s">
        <v>1892</v>
      </c>
      <c r="C578" s="3">
        <v>2</v>
      </c>
      <c r="D578" s="5">
        <v>20.99</v>
      </c>
      <c r="E578" s="3" t="s">
        <v>1901</v>
      </c>
      <c r="F578" s="2" t="s">
        <v>252</v>
      </c>
      <c r="G578" s="6" t="s">
        <v>234</v>
      </c>
      <c r="H578" s="2" t="s">
        <v>1473</v>
      </c>
      <c r="I578" s="2" t="s">
        <v>1864</v>
      </c>
      <c r="J578" s="2" t="s">
        <v>19</v>
      </c>
      <c r="K578" s="2" t="s">
        <v>648</v>
      </c>
      <c r="L578" s="7" t="str">
        <f>HYPERLINK("http://slimages.macys.com/is/image/MCY/11689284 ")</f>
        <v xml:space="preserve">http://slimages.macys.com/is/image/MCY/11689284 </v>
      </c>
    </row>
    <row r="579" spans="1:12" ht="24.75" x14ac:dyDescent="0.25">
      <c r="A579" s="4" t="s">
        <v>10278</v>
      </c>
      <c r="B579" s="2" t="s">
        <v>10279</v>
      </c>
      <c r="C579" s="3">
        <v>1</v>
      </c>
      <c r="D579" s="5">
        <v>19.989999999999998</v>
      </c>
      <c r="E579" s="3" t="s">
        <v>10280</v>
      </c>
      <c r="F579" s="2" t="s">
        <v>225</v>
      </c>
      <c r="G579" s="6" t="s">
        <v>154</v>
      </c>
      <c r="H579" s="2" t="s">
        <v>246</v>
      </c>
      <c r="I579" s="2" t="s">
        <v>1939</v>
      </c>
      <c r="J579" s="2" t="s">
        <v>19</v>
      </c>
      <c r="K579" s="2" t="s">
        <v>648</v>
      </c>
      <c r="L579" s="7" t="str">
        <f>HYPERLINK("http://slimages.macys.com/is/image/MCY/8123674 ")</f>
        <v xml:space="preserve">http://slimages.macys.com/is/image/MCY/8123674 </v>
      </c>
    </row>
    <row r="580" spans="1:12" ht="24.75" x14ac:dyDescent="0.25">
      <c r="A580" s="4" t="s">
        <v>10281</v>
      </c>
      <c r="B580" s="2" t="s">
        <v>10279</v>
      </c>
      <c r="C580" s="3">
        <v>4</v>
      </c>
      <c r="D580" s="5">
        <v>19.989999999999998</v>
      </c>
      <c r="E580" s="3" t="s">
        <v>10280</v>
      </c>
      <c r="F580" s="2" t="s">
        <v>225</v>
      </c>
      <c r="G580" s="6" t="s">
        <v>181</v>
      </c>
      <c r="H580" s="2" t="s">
        <v>246</v>
      </c>
      <c r="I580" s="2" t="s">
        <v>1939</v>
      </c>
      <c r="J580" s="2" t="s">
        <v>19</v>
      </c>
      <c r="K580" s="2" t="s">
        <v>648</v>
      </c>
      <c r="L580" s="7" t="str">
        <f>HYPERLINK("http://slimages.macys.com/is/image/MCY/8123674 ")</f>
        <v xml:space="preserve">http://slimages.macys.com/is/image/MCY/8123674 </v>
      </c>
    </row>
    <row r="581" spans="1:12" x14ac:dyDescent="0.25">
      <c r="A581" s="4" t="s">
        <v>10282</v>
      </c>
      <c r="B581" s="2" t="s">
        <v>4159</v>
      </c>
      <c r="C581" s="3">
        <v>1</v>
      </c>
      <c r="D581" s="5">
        <v>39.5</v>
      </c>
      <c r="E581" s="3" t="s">
        <v>4160</v>
      </c>
      <c r="F581" s="2" t="s">
        <v>820</v>
      </c>
      <c r="G581" s="6"/>
      <c r="H581" s="2" t="s">
        <v>206</v>
      </c>
      <c r="I581" s="2" t="s">
        <v>207</v>
      </c>
      <c r="J581" s="2" t="s">
        <v>19</v>
      </c>
      <c r="K581" s="2" t="s">
        <v>247</v>
      </c>
      <c r="L581" s="7" t="str">
        <f>HYPERLINK("http://slimages.macys.com/is/image/MCY/11634550 ")</f>
        <v xml:space="preserve">http://slimages.macys.com/is/image/MCY/11634550 </v>
      </c>
    </row>
    <row r="582" spans="1:12" ht="24.75" x14ac:dyDescent="0.25">
      <c r="A582" s="4" t="s">
        <v>10283</v>
      </c>
      <c r="B582" s="2" t="s">
        <v>10284</v>
      </c>
      <c r="C582" s="3">
        <v>1</v>
      </c>
      <c r="D582" s="5">
        <v>14.98</v>
      </c>
      <c r="E582" s="3" t="s">
        <v>10285</v>
      </c>
      <c r="F582" s="2" t="s">
        <v>132</v>
      </c>
      <c r="G582" s="6" t="s">
        <v>154</v>
      </c>
      <c r="H582" s="2" t="s">
        <v>2029</v>
      </c>
      <c r="I582" s="2" t="s">
        <v>2030</v>
      </c>
      <c r="J582" s="2" t="s">
        <v>19</v>
      </c>
      <c r="K582" s="2" t="s">
        <v>495</v>
      </c>
      <c r="L582" s="7" t="str">
        <f>HYPERLINK("http://slimages.macys.com/is/image/MCY/10021361 ")</f>
        <v xml:space="preserve">http://slimages.macys.com/is/image/MCY/10021361 </v>
      </c>
    </row>
    <row r="583" spans="1:12" ht="24.75" x14ac:dyDescent="0.25">
      <c r="A583" s="4" t="s">
        <v>4178</v>
      </c>
      <c r="B583" s="2" t="s">
        <v>1927</v>
      </c>
      <c r="C583" s="3">
        <v>1</v>
      </c>
      <c r="D583" s="5">
        <v>17.989999999999998</v>
      </c>
      <c r="E583" s="3" t="s">
        <v>3105</v>
      </c>
      <c r="F583" s="2" t="s">
        <v>74</v>
      </c>
      <c r="G583" s="6"/>
      <c r="H583" s="2" t="s">
        <v>1425</v>
      </c>
      <c r="I583" s="2" t="s">
        <v>1426</v>
      </c>
      <c r="J583" s="2" t="s">
        <v>19</v>
      </c>
      <c r="K583" s="2" t="s">
        <v>803</v>
      </c>
      <c r="L583" s="7" t="str">
        <f>HYPERLINK("http://slimages.macys.com/is/image/MCY/11882201 ")</f>
        <v xml:space="preserve">http://slimages.macys.com/is/image/MCY/11882201 </v>
      </c>
    </row>
    <row r="584" spans="1:12" ht="24.75" x14ac:dyDescent="0.25">
      <c r="A584" s="4" t="s">
        <v>3109</v>
      </c>
      <c r="B584" s="2" t="s">
        <v>1927</v>
      </c>
      <c r="C584" s="3">
        <v>1</v>
      </c>
      <c r="D584" s="5">
        <v>17.989999999999998</v>
      </c>
      <c r="E584" s="3" t="s">
        <v>1928</v>
      </c>
      <c r="F584" s="2" t="s">
        <v>74</v>
      </c>
      <c r="G584" s="6" t="s">
        <v>154</v>
      </c>
      <c r="H584" s="2" t="s">
        <v>1473</v>
      </c>
      <c r="I584" s="2" t="s">
        <v>1426</v>
      </c>
      <c r="J584" s="2" t="s">
        <v>19</v>
      </c>
      <c r="K584" s="2" t="s">
        <v>803</v>
      </c>
      <c r="L584" s="7" t="str">
        <f>HYPERLINK("http://slimages.macys.com/is/image/MCY/11882200 ")</f>
        <v xml:space="preserve">http://slimages.macys.com/is/image/MCY/11882200 </v>
      </c>
    </row>
    <row r="585" spans="1:12" ht="24.75" x14ac:dyDescent="0.25">
      <c r="A585" s="4" t="s">
        <v>4177</v>
      </c>
      <c r="B585" s="2" t="s">
        <v>1927</v>
      </c>
      <c r="C585" s="3">
        <v>1</v>
      </c>
      <c r="D585" s="5">
        <v>17.989999999999998</v>
      </c>
      <c r="E585" s="3" t="s">
        <v>3105</v>
      </c>
      <c r="F585" s="2" t="s">
        <v>15</v>
      </c>
      <c r="G585" s="6" t="s">
        <v>219</v>
      </c>
      <c r="H585" s="2" t="s">
        <v>1425</v>
      </c>
      <c r="I585" s="2" t="s">
        <v>1426</v>
      </c>
      <c r="J585" s="2" t="s">
        <v>19</v>
      </c>
      <c r="K585" s="2" t="s">
        <v>803</v>
      </c>
      <c r="L585" s="7" t="str">
        <f>HYPERLINK("http://slimages.macys.com/is/image/MCY/11882201 ")</f>
        <v xml:space="preserve">http://slimages.macys.com/is/image/MCY/11882201 </v>
      </c>
    </row>
    <row r="586" spans="1:12" ht="24.75" x14ac:dyDescent="0.25">
      <c r="A586" s="4" t="s">
        <v>5185</v>
      </c>
      <c r="B586" s="2" t="s">
        <v>1927</v>
      </c>
      <c r="C586" s="3">
        <v>1</v>
      </c>
      <c r="D586" s="5">
        <v>17.989999999999998</v>
      </c>
      <c r="E586" s="3" t="s">
        <v>3105</v>
      </c>
      <c r="F586" s="2" t="s">
        <v>74</v>
      </c>
      <c r="G586" s="6" t="s">
        <v>187</v>
      </c>
      <c r="H586" s="2" t="s">
        <v>1425</v>
      </c>
      <c r="I586" s="2" t="s">
        <v>1426</v>
      </c>
      <c r="J586" s="2" t="s">
        <v>19</v>
      </c>
      <c r="K586" s="2" t="s">
        <v>803</v>
      </c>
      <c r="L586" s="7" t="str">
        <f>HYPERLINK("http://slimages.macys.com/is/image/MCY/11882201 ")</f>
        <v xml:space="preserve">http://slimages.macys.com/is/image/MCY/11882201 </v>
      </c>
    </row>
    <row r="587" spans="1:12" ht="24.75" x14ac:dyDescent="0.25">
      <c r="A587" s="4" t="s">
        <v>3108</v>
      </c>
      <c r="B587" s="2" t="s">
        <v>1927</v>
      </c>
      <c r="C587" s="3">
        <v>2</v>
      </c>
      <c r="D587" s="5">
        <v>17.989999999999998</v>
      </c>
      <c r="E587" s="3" t="s">
        <v>3105</v>
      </c>
      <c r="F587" s="2" t="s">
        <v>15</v>
      </c>
      <c r="G587" s="6"/>
      <c r="H587" s="2" t="s">
        <v>1425</v>
      </c>
      <c r="I587" s="2" t="s">
        <v>1426</v>
      </c>
      <c r="J587" s="2" t="s">
        <v>19</v>
      </c>
      <c r="K587" s="2" t="s">
        <v>803</v>
      </c>
      <c r="L587" s="7" t="str">
        <f>HYPERLINK("http://slimages.macys.com/is/image/MCY/11882201 ")</f>
        <v xml:space="preserve">http://slimages.macys.com/is/image/MCY/11882201 </v>
      </c>
    </row>
    <row r="588" spans="1:12" ht="24.75" x14ac:dyDescent="0.25">
      <c r="A588" s="4" t="s">
        <v>1929</v>
      </c>
      <c r="B588" s="2" t="s">
        <v>1927</v>
      </c>
      <c r="C588" s="3">
        <v>2</v>
      </c>
      <c r="D588" s="5">
        <v>17.989999999999998</v>
      </c>
      <c r="E588" s="3" t="s">
        <v>1928</v>
      </c>
      <c r="F588" s="2" t="s">
        <v>74</v>
      </c>
      <c r="G588" s="6" t="s">
        <v>156</v>
      </c>
      <c r="H588" s="2" t="s">
        <v>1473</v>
      </c>
      <c r="I588" s="2" t="s">
        <v>1426</v>
      </c>
      <c r="J588" s="2" t="s">
        <v>19</v>
      </c>
      <c r="K588" s="2" t="s">
        <v>803</v>
      </c>
      <c r="L588" s="7" t="str">
        <f>HYPERLINK("http://slimages.macys.com/is/image/MCY/11882200 ")</f>
        <v xml:space="preserve">http://slimages.macys.com/is/image/MCY/11882200 </v>
      </c>
    </row>
    <row r="589" spans="1:12" ht="24.75" x14ac:dyDescent="0.25">
      <c r="A589" s="4" t="s">
        <v>1926</v>
      </c>
      <c r="B589" s="2" t="s">
        <v>1927</v>
      </c>
      <c r="C589" s="3">
        <v>1</v>
      </c>
      <c r="D589" s="5">
        <v>17.989999999999998</v>
      </c>
      <c r="E589" s="3" t="s">
        <v>1928</v>
      </c>
      <c r="F589" s="2" t="s">
        <v>15</v>
      </c>
      <c r="G589" s="6" t="s">
        <v>245</v>
      </c>
      <c r="H589" s="2" t="s">
        <v>1473</v>
      </c>
      <c r="I589" s="2" t="s">
        <v>1426</v>
      </c>
      <c r="J589" s="2" t="s">
        <v>19</v>
      </c>
      <c r="K589" s="2" t="s">
        <v>803</v>
      </c>
      <c r="L589" s="7" t="str">
        <f>HYPERLINK("http://slimages.macys.com/is/image/MCY/11882200 ")</f>
        <v xml:space="preserve">http://slimages.macys.com/is/image/MCY/11882200 </v>
      </c>
    </row>
    <row r="590" spans="1:12" ht="24.75" x14ac:dyDescent="0.25">
      <c r="A590" s="4" t="s">
        <v>3107</v>
      </c>
      <c r="B590" s="2" t="s">
        <v>1927</v>
      </c>
      <c r="C590" s="3">
        <v>1</v>
      </c>
      <c r="D590" s="5">
        <v>17.989999999999998</v>
      </c>
      <c r="E590" s="3" t="s">
        <v>3105</v>
      </c>
      <c r="F590" s="2" t="s">
        <v>15</v>
      </c>
      <c r="G590" s="6"/>
      <c r="H590" s="2" t="s">
        <v>1425</v>
      </c>
      <c r="I590" s="2" t="s">
        <v>1426</v>
      </c>
      <c r="J590" s="2" t="s">
        <v>19</v>
      </c>
      <c r="K590" s="2" t="s">
        <v>803</v>
      </c>
      <c r="L590" s="7" t="str">
        <f>HYPERLINK("http://slimages.macys.com/is/image/MCY/11882201 ")</f>
        <v xml:space="preserve">http://slimages.macys.com/is/image/MCY/11882201 </v>
      </c>
    </row>
    <row r="591" spans="1:12" ht="24.75" x14ac:dyDescent="0.25">
      <c r="A591" s="4" t="s">
        <v>1931</v>
      </c>
      <c r="B591" s="2" t="s">
        <v>1932</v>
      </c>
      <c r="C591" s="3">
        <v>1</v>
      </c>
      <c r="D591" s="5">
        <v>16.989999999999998</v>
      </c>
      <c r="E591" s="3" t="s">
        <v>1933</v>
      </c>
      <c r="F591" s="2" t="s">
        <v>15</v>
      </c>
      <c r="G591" s="6" t="s">
        <v>234</v>
      </c>
      <c r="H591" s="2" t="s">
        <v>1473</v>
      </c>
      <c r="I591" s="2" t="s">
        <v>1864</v>
      </c>
      <c r="J591" s="2" t="s">
        <v>19</v>
      </c>
      <c r="K591" s="2" t="s">
        <v>648</v>
      </c>
      <c r="L591" s="7" t="str">
        <f>HYPERLINK("http://slimages.macys.com/is/image/MCY/11634794 ")</f>
        <v xml:space="preserve">http://slimages.macys.com/is/image/MCY/11634794 </v>
      </c>
    </row>
    <row r="592" spans="1:12" ht="24.75" x14ac:dyDescent="0.25">
      <c r="A592" s="4" t="s">
        <v>10286</v>
      </c>
      <c r="B592" s="2" t="s">
        <v>1932</v>
      </c>
      <c r="C592" s="3">
        <v>1</v>
      </c>
      <c r="D592" s="5">
        <v>16.989999999999998</v>
      </c>
      <c r="E592" s="3" t="s">
        <v>3113</v>
      </c>
      <c r="F592" s="2" t="s">
        <v>15</v>
      </c>
      <c r="G592" s="6"/>
      <c r="H592" s="2" t="s">
        <v>1425</v>
      </c>
      <c r="I592" s="2" t="s">
        <v>1864</v>
      </c>
      <c r="J592" s="2" t="s">
        <v>19</v>
      </c>
      <c r="K592" s="2" t="s">
        <v>648</v>
      </c>
      <c r="L592" s="7" t="str">
        <f>HYPERLINK("http://slimages.macys.com/is/image/MCY/11634785 ")</f>
        <v xml:space="preserve">http://slimages.macys.com/is/image/MCY/11634785 </v>
      </c>
    </row>
    <row r="593" spans="1:12" ht="24.75" x14ac:dyDescent="0.25">
      <c r="A593" s="4" t="s">
        <v>1934</v>
      </c>
      <c r="B593" s="2" t="s">
        <v>1932</v>
      </c>
      <c r="C593" s="3">
        <v>1</v>
      </c>
      <c r="D593" s="5">
        <v>16.989999999999998</v>
      </c>
      <c r="E593" s="3" t="s">
        <v>1933</v>
      </c>
      <c r="F593" s="2" t="s">
        <v>15</v>
      </c>
      <c r="G593" s="6" t="s">
        <v>156</v>
      </c>
      <c r="H593" s="2" t="s">
        <v>1473</v>
      </c>
      <c r="I593" s="2" t="s">
        <v>1864</v>
      </c>
      <c r="J593" s="2" t="s">
        <v>19</v>
      </c>
      <c r="K593" s="2" t="s">
        <v>648</v>
      </c>
      <c r="L593" s="7" t="str">
        <f>HYPERLINK("http://slimages.macys.com/is/image/MCY/11634794 ")</f>
        <v xml:space="preserve">http://slimages.macys.com/is/image/MCY/11634794 </v>
      </c>
    </row>
    <row r="594" spans="1:12" ht="24.75" x14ac:dyDescent="0.25">
      <c r="A594" s="4" t="s">
        <v>3115</v>
      </c>
      <c r="B594" s="2" t="s">
        <v>1932</v>
      </c>
      <c r="C594" s="3">
        <v>3</v>
      </c>
      <c r="D594" s="5">
        <v>16.989999999999998</v>
      </c>
      <c r="E594" s="3" t="s">
        <v>1933</v>
      </c>
      <c r="F594" s="2" t="s">
        <v>15</v>
      </c>
      <c r="G594" s="6" t="s">
        <v>181</v>
      </c>
      <c r="H594" s="2" t="s">
        <v>1473</v>
      </c>
      <c r="I594" s="2" t="s">
        <v>1864</v>
      </c>
      <c r="J594" s="2" t="s">
        <v>19</v>
      </c>
      <c r="K594" s="2" t="s">
        <v>648</v>
      </c>
      <c r="L594" s="7" t="str">
        <f>HYPERLINK("http://slimages.macys.com/is/image/MCY/11634794 ")</f>
        <v xml:space="preserve">http://slimages.macys.com/is/image/MCY/11634794 </v>
      </c>
    </row>
    <row r="595" spans="1:12" ht="24.75" x14ac:dyDescent="0.25">
      <c r="A595" s="4" t="s">
        <v>9220</v>
      </c>
      <c r="B595" s="2" t="s">
        <v>1942</v>
      </c>
      <c r="C595" s="3">
        <v>1</v>
      </c>
      <c r="D595" s="5">
        <v>17.989999999999998</v>
      </c>
      <c r="E595" s="3" t="s">
        <v>1943</v>
      </c>
      <c r="F595" s="2" t="s">
        <v>38</v>
      </c>
      <c r="G595" s="6" t="s">
        <v>154</v>
      </c>
      <c r="H595" s="2" t="s">
        <v>1522</v>
      </c>
      <c r="I595" s="2" t="s">
        <v>1469</v>
      </c>
      <c r="J595" s="2" t="s">
        <v>19</v>
      </c>
      <c r="K595" s="2" t="s">
        <v>353</v>
      </c>
      <c r="L595" s="7" t="str">
        <f>HYPERLINK("http://slimages.macys.com/is/image/MCY/10743541 ")</f>
        <v xml:space="preserve">http://slimages.macys.com/is/image/MCY/10743541 </v>
      </c>
    </row>
    <row r="596" spans="1:12" ht="24.75" x14ac:dyDescent="0.25">
      <c r="A596" s="4" t="s">
        <v>6875</v>
      </c>
      <c r="B596" s="2" t="s">
        <v>1942</v>
      </c>
      <c r="C596" s="3">
        <v>1</v>
      </c>
      <c r="D596" s="5">
        <v>17.989999999999998</v>
      </c>
      <c r="E596" s="3" t="s">
        <v>1943</v>
      </c>
      <c r="F596" s="2" t="s">
        <v>15</v>
      </c>
      <c r="G596" s="6" t="s">
        <v>234</v>
      </c>
      <c r="H596" s="2" t="s">
        <v>1522</v>
      </c>
      <c r="I596" s="2" t="s">
        <v>1469</v>
      </c>
      <c r="J596" s="2" t="s">
        <v>19</v>
      </c>
      <c r="K596" s="2" t="s">
        <v>353</v>
      </c>
      <c r="L596" s="7" t="str">
        <f>HYPERLINK("http://slimages.macys.com/is/image/MCY/10743541 ")</f>
        <v xml:space="preserve">http://slimages.macys.com/is/image/MCY/10743541 </v>
      </c>
    </row>
    <row r="597" spans="1:12" ht="24.75" x14ac:dyDescent="0.25">
      <c r="A597" s="4" t="s">
        <v>7678</v>
      </c>
      <c r="B597" s="2" t="s">
        <v>4188</v>
      </c>
      <c r="C597" s="3">
        <v>1</v>
      </c>
      <c r="D597" s="5">
        <v>17.989999999999998</v>
      </c>
      <c r="E597" s="3" t="s">
        <v>4189</v>
      </c>
      <c r="F597" s="2" t="s">
        <v>38</v>
      </c>
      <c r="G597" s="6" t="s">
        <v>200</v>
      </c>
      <c r="H597" s="2" t="s">
        <v>1473</v>
      </c>
      <c r="I597" s="2" t="s">
        <v>1426</v>
      </c>
      <c r="J597" s="2" t="s">
        <v>19</v>
      </c>
      <c r="K597" s="2" t="s">
        <v>990</v>
      </c>
      <c r="L597" s="7" t="str">
        <f>HYPERLINK("http://slimages.macys.com/is/image/MCY/12877743 ")</f>
        <v xml:space="preserve">http://slimages.macys.com/is/image/MCY/12877743 </v>
      </c>
    </row>
    <row r="598" spans="1:12" ht="24.75" x14ac:dyDescent="0.25">
      <c r="A598" s="4" t="s">
        <v>8848</v>
      </c>
      <c r="B598" s="2" t="s">
        <v>1942</v>
      </c>
      <c r="C598" s="3">
        <v>1</v>
      </c>
      <c r="D598" s="5">
        <v>17.989999999999998</v>
      </c>
      <c r="E598" s="3" t="s">
        <v>1943</v>
      </c>
      <c r="F598" s="2" t="s">
        <v>26</v>
      </c>
      <c r="G598" s="6" t="s">
        <v>154</v>
      </c>
      <c r="H598" s="2" t="s">
        <v>1522</v>
      </c>
      <c r="I598" s="2" t="s">
        <v>1469</v>
      </c>
      <c r="J598" s="2" t="s">
        <v>19</v>
      </c>
      <c r="K598" s="2" t="s">
        <v>353</v>
      </c>
      <c r="L598" s="7" t="str">
        <f>HYPERLINK("http://slimages.macys.com/is/image/MCY/10743541 ")</f>
        <v xml:space="preserve">http://slimages.macys.com/is/image/MCY/10743541 </v>
      </c>
    </row>
    <row r="599" spans="1:12" ht="24.75" x14ac:dyDescent="0.25">
      <c r="A599" s="4" t="s">
        <v>10287</v>
      </c>
      <c r="B599" s="2" t="s">
        <v>3122</v>
      </c>
      <c r="C599" s="3">
        <v>1</v>
      </c>
      <c r="D599" s="5">
        <v>14.99</v>
      </c>
      <c r="E599" s="3" t="s">
        <v>3123</v>
      </c>
      <c r="F599" s="2" t="s">
        <v>79</v>
      </c>
      <c r="G599" s="6" t="s">
        <v>234</v>
      </c>
      <c r="H599" s="2" t="s">
        <v>1522</v>
      </c>
      <c r="I599" s="2" t="s">
        <v>1469</v>
      </c>
      <c r="J599" s="2" t="s">
        <v>19</v>
      </c>
      <c r="K599" s="2" t="s">
        <v>495</v>
      </c>
      <c r="L599" s="7" t="str">
        <f>HYPERLINK("http://slimages.macys.com/is/image/MCY/9957413 ")</f>
        <v xml:space="preserve">http://slimages.macys.com/is/image/MCY/9957413 </v>
      </c>
    </row>
    <row r="600" spans="1:12" ht="24.75" x14ac:dyDescent="0.25">
      <c r="A600" s="4" t="s">
        <v>10288</v>
      </c>
      <c r="B600" s="2" t="s">
        <v>3143</v>
      </c>
      <c r="C600" s="3">
        <v>1</v>
      </c>
      <c r="D600" s="5">
        <v>14.99</v>
      </c>
      <c r="E600" s="3" t="s">
        <v>9793</v>
      </c>
      <c r="F600" s="2" t="s">
        <v>413</v>
      </c>
      <c r="G600" s="6"/>
      <c r="H600" s="2" t="s">
        <v>1425</v>
      </c>
      <c r="I600" s="2" t="s">
        <v>1426</v>
      </c>
      <c r="J600" s="2" t="s">
        <v>19</v>
      </c>
      <c r="K600" s="2" t="s">
        <v>495</v>
      </c>
      <c r="L600" s="7" t="str">
        <f>HYPERLINK("http://slimages.macys.com/is/image/MCY/12669290 ")</f>
        <v xml:space="preserve">http://slimages.macys.com/is/image/MCY/12669290 </v>
      </c>
    </row>
    <row r="601" spans="1:12" ht="24.75" x14ac:dyDescent="0.25">
      <c r="A601" s="4" t="s">
        <v>10289</v>
      </c>
      <c r="B601" s="2" t="s">
        <v>3140</v>
      </c>
      <c r="C601" s="3">
        <v>1</v>
      </c>
      <c r="D601" s="5">
        <v>14.99</v>
      </c>
      <c r="E601" s="3" t="s">
        <v>4204</v>
      </c>
      <c r="F601" s="2" t="s">
        <v>15</v>
      </c>
      <c r="G601" s="6"/>
      <c r="H601" s="2" t="s">
        <v>1425</v>
      </c>
      <c r="I601" s="2" t="s">
        <v>1426</v>
      </c>
      <c r="J601" s="2" t="s">
        <v>19</v>
      </c>
      <c r="K601" s="2" t="s">
        <v>495</v>
      </c>
      <c r="L601" s="7" t="str">
        <f>HYPERLINK("http://slimages.macys.com/is/image/MCY/11774199 ")</f>
        <v xml:space="preserve">http://slimages.macys.com/is/image/MCY/11774199 </v>
      </c>
    </row>
    <row r="602" spans="1:12" ht="24.75" x14ac:dyDescent="0.25">
      <c r="A602" s="4" t="s">
        <v>10290</v>
      </c>
      <c r="B602" s="2" t="s">
        <v>3134</v>
      </c>
      <c r="C602" s="3">
        <v>1</v>
      </c>
      <c r="D602" s="5">
        <v>14.99</v>
      </c>
      <c r="E602" s="3" t="s">
        <v>3135</v>
      </c>
      <c r="F602" s="2" t="s">
        <v>331</v>
      </c>
      <c r="G602" s="6"/>
      <c r="H602" s="2" t="s">
        <v>1425</v>
      </c>
      <c r="I602" s="2" t="s">
        <v>1426</v>
      </c>
      <c r="J602" s="2" t="s">
        <v>19</v>
      </c>
      <c r="K602" s="2" t="s">
        <v>495</v>
      </c>
      <c r="L602" s="7" t="str">
        <f>HYPERLINK("http://slimages.macys.com/is/image/MCY/12144619 ")</f>
        <v xml:space="preserve">http://slimages.macys.com/is/image/MCY/12144619 </v>
      </c>
    </row>
    <row r="603" spans="1:12" ht="24.75" x14ac:dyDescent="0.25">
      <c r="A603" s="4" t="s">
        <v>10291</v>
      </c>
      <c r="B603" s="2" t="s">
        <v>3216</v>
      </c>
      <c r="C603" s="3">
        <v>2</v>
      </c>
      <c r="D603" s="5">
        <v>26.99</v>
      </c>
      <c r="E603" s="3" t="s">
        <v>10292</v>
      </c>
      <c r="F603" s="2" t="s">
        <v>676</v>
      </c>
      <c r="G603" s="6" t="s">
        <v>348</v>
      </c>
      <c r="H603" s="2" t="s">
        <v>349</v>
      </c>
      <c r="I603" s="2" t="s">
        <v>285</v>
      </c>
      <c r="J603" s="2" t="s">
        <v>19</v>
      </c>
      <c r="K603" s="2" t="s">
        <v>247</v>
      </c>
      <c r="L603" s="7" t="str">
        <f>HYPERLINK("http://slimages.macys.com/is/image/MCY/13934435 ")</f>
        <v xml:space="preserve">http://slimages.macys.com/is/image/MCY/13934435 </v>
      </c>
    </row>
    <row r="604" spans="1:12" ht="24.75" x14ac:dyDescent="0.25">
      <c r="A604" s="4" t="s">
        <v>10293</v>
      </c>
      <c r="B604" s="2" t="s">
        <v>1959</v>
      </c>
      <c r="C604" s="3">
        <v>1</v>
      </c>
      <c r="D604" s="5">
        <v>19.989999999999998</v>
      </c>
      <c r="E604" s="3" t="s">
        <v>10294</v>
      </c>
      <c r="F604" s="2" t="s">
        <v>74</v>
      </c>
      <c r="G604" s="6"/>
      <c r="H604" s="2" t="s">
        <v>632</v>
      </c>
      <c r="I604" s="2" t="s">
        <v>285</v>
      </c>
      <c r="J604" s="2" t="s">
        <v>19</v>
      </c>
      <c r="K604" s="2" t="s">
        <v>160</v>
      </c>
      <c r="L604" s="7" t="str">
        <f>HYPERLINK("http://slimages.macys.com/is/image/MCY/9669952 ")</f>
        <v xml:space="preserve">http://slimages.macys.com/is/image/MCY/9669952 </v>
      </c>
    </row>
    <row r="605" spans="1:12" ht="24.75" x14ac:dyDescent="0.25">
      <c r="A605" s="4" t="s">
        <v>10295</v>
      </c>
      <c r="B605" s="2" t="s">
        <v>1959</v>
      </c>
      <c r="C605" s="3">
        <v>1</v>
      </c>
      <c r="D605" s="5">
        <v>19.989999999999998</v>
      </c>
      <c r="E605" s="3" t="s">
        <v>10294</v>
      </c>
      <c r="F605" s="2" t="s">
        <v>74</v>
      </c>
      <c r="G605" s="6"/>
      <c r="H605" s="2" t="s">
        <v>632</v>
      </c>
      <c r="I605" s="2" t="s">
        <v>285</v>
      </c>
      <c r="J605" s="2" t="s">
        <v>19</v>
      </c>
      <c r="K605" s="2" t="s">
        <v>160</v>
      </c>
      <c r="L605" s="7" t="str">
        <f>HYPERLINK("http://slimages.macys.com/is/image/MCY/9669952 ")</f>
        <v xml:space="preserve">http://slimages.macys.com/is/image/MCY/9669952 </v>
      </c>
    </row>
    <row r="606" spans="1:12" ht="24.75" x14ac:dyDescent="0.25">
      <c r="A606" s="4" t="s">
        <v>10296</v>
      </c>
      <c r="B606" s="2" t="s">
        <v>8830</v>
      </c>
      <c r="C606" s="3">
        <v>1</v>
      </c>
      <c r="D606" s="5">
        <v>19.989999999999998</v>
      </c>
      <c r="E606" s="3" t="s">
        <v>10297</v>
      </c>
      <c r="F606" s="2" t="s">
        <v>74</v>
      </c>
      <c r="G606" s="6"/>
      <c r="H606" s="2" t="s">
        <v>632</v>
      </c>
      <c r="I606" s="2" t="s">
        <v>285</v>
      </c>
      <c r="J606" s="2" t="s">
        <v>19</v>
      </c>
      <c r="K606" s="2" t="s">
        <v>160</v>
      </c>
      <c r="L606" s="7" t="str">
        <f>HYPERLINK("http://slimages.macys.com/is/image/MCY/13289865 ")</f>
        <v xml:space="preserve">http://slimages.macys.com/is/image/MCY/13289865 </v>
      </c>
    </row>
    <row r="607" spans="1:12" ht="24.75" x14ac:dyDescent="0.25">
      <c r="A607" s="4" t="s">
        <v>10298</v>
      </c>
      <c r="B607" s="2" t="s">
        <v>3026</v>
      </c>
      <c r="C607" s="3">
        <v>1</v>
      </c>
      <c r="D607" s="5">
        <v>21.99</v>
      </c>
      <c r="E607" s="3" t="s">
        <v>10299</v>
      </c>
      <c r="F607" s="2" t="s">
        <v>413</v>
      </c>
      <c r="G607" s="6" t="s">
        <v>181</v>
      </c>
      <c r="H607" s="2" t="s">
        <v>284</v>
      </c>
      <c r="I607" s="2" t="s">
        <v>285</v>
      </c>
      <c r="J607" s="2"/>
      <c r="K607" s="2"/>
      <c r="L607" s="7" t="str">
        <f>HYPERLINK("http://slimages.macys.com/is/image/MCY/11640364 ")</f>
        <v xml:space="preserve">http://slimages.macys.com/is/image/MCY/11640364 </v>
      </c>
    </row>
    <row r="608" spans="1:12" ht="24.75" x14ac:dyDescent="0.25">
      <c r="A608" s="4" t="s">
        <v>10300</v>
      </c>
      <c r="B608" s="2" t="s">
        <v>3181</v>
      </c>
      <c r="C608" s="3">
        <v>2</v>
      </c>
      <c r="D608" s="5">
        <v>14.99</v>
      </c>
      <c r="E608" s="3" t="s">
        <v>3182</v>
      </c>
      <c r="F608" s="2" t="s">
        <v>26</v>
      </c>
      <c r="G608" s="6"/>
      <c r="H608" s="2" t="s">
        <v>1425</v>
      </c>
      <c r="I608" s="2" t="s">
        <v>1469</v>
      </c>
      <c r="J608" s="2" t="s">
        <v>19</v>
      </c>
      <c r="K608" s="2" t="s">
        <v>353</v>
      </c>
      <c r="L608" s="7" t="str">
        <f>HYPERLINK("http://slimages.macys.com/is/image/MCY/10743852 ")</f>
        <v xml:space="preserve">http://slimages.macys.com/is/image/MCY/10743852 </v>
      </c>
    </row>
    <row r="609" spans="1:12" ht="24.75" x14ac:dyDescent="0.25">
      <c r="A609" s="4" t="s">
        <v>10301</v>
      </c>
      <c r="B609" s="2" t="s">
        <v>3181</v>
      </c>
      <c r="C609" s="3">
        <v>1</v>
      </c>
      <c r="D609" s="5">
        <v>14.99</v>
      </c>
      <c r="E609" s="3" t="s">
        <v>3182</v>
      </c>
      <c r="F609" s="2" t="s">
        <v>64</v>
      </c>
      <c r="G609" s="6"/>
      <c r="H609" s="2" t="s">
        <v>1425</v>
      </c>
      <c r="I609" s="2" t="s">
        <v>1469</v>
      </c>
      <c r="J609" s="2" t="s">
        <v>19</v>
      </c>
      <c r="K609" s="2" t="s">
        <v>353</v>
      </c>
      <c r="L609" s="7" t="str">
        <f>HYPERLINK("http://slimages.macys.com/is/image/MCY/10743852 ")</f>
        <v xml:space="preserve">http://slimages.macys.com/is/image/MCY/10743852 </v>
      </c>
    </row>
    <row r="610" spans="1:12" ht="24.75" x14ac:dyDescent="0.25">
      <c r="A610" s="4" t="s">
        <v>10302</v>
      </c>
      <c r="B610" s="2" t="s">
        <v>3181</v>
      </c>
      <c r="C610" s="3">
        <v>1</v>
      </c>
      <c r="D610" s="5">
        <v>14.99</v>
      </c>
      <c r="E610" s="3" t="s">
        <v>3182</v>
      </c>
      <c r="F610" s="2" t="s">
        <v>26</v>
      </c>
      <c r="G610" s="6"/>
      <c r="H610" s="2" t="s">
        <v>1425</v>
      </c>
      <c r="I610" s="2" t="s">
        <v>1469</v>
      </c>
      <c r="J610" s="2" t="s">
        <v>19</v>
      </c>
      <c r="K610" s="2" t="s">
        <v>353</v>
      </c>
      <c r="L610" s="7" t="str">
        <f>HYPERLINK("http://slimages.macys.com/is/image/MCY/10743852 ")</f>
        <v xml:space="preserve">http://slimages.macys.com/is/image/MCY/10743852 </v>
      </c>
    </row>
    <row r="611" spans="1:12" ht="24.75" x14ac:dyDescent="0.25">
      <c r="A611" s="4" t="s">
        <v>3180</v>
      </c>
      <c r="B611" s="2" t="s">
        <v>3181</v>
      </c>
      <c r="C611" s="3">
        <v>1</v>
      </c>
      <c r="D611" s="5">
        <v>14.99</v>
      </c>
      <c r="E611" s="3" t="s">
        <v>3182</v>
      </c>
      <c r="F611" s="2" t="s">
        <v>64</v>
      </c>
      <c r="G611" s="6" t="s">
        <v>187</v>
      </c>
      <c r="H611" s="2" t="s">
        <v>1425</v>
      </c>
      <c r="I611" s="2" t="s">
        <v>1469</v>
      </c>
      <c r="J611" s="2" t="s">
        <v>19</v>
      </c>
      <c r="K611" s="2" t="s">
        <v>353</v>
      </c>
      <c r="L611" s="7" t="str">
        <f>HYPERLINK("http://slimages.macys.com/is/image/MCY/10743852 ")</f>
        <v xml:space="preserve">http://slimages.macys.com/is/image/MCY/10743852 </v>
      </c>
    </row>
    <row r="612" spans="1:12" ht="24.75" x14ac:dyDescent="0.25">
      <c r="A612" s="4" t="s">
        <v>5213</v>
      </c>
      <c r="B612" s="2" t="s">
        <v>3181</v>
      </c>
      <c r="C612" s="3">
        <v>1</v>
      </c>
      <c r="D612" s="5">
        <v>14.99</v>
      </c>
      <c r="E612" s="3" t="s">
        <v>3182</v>
      </c>
      <c r="F612" s="2" t="s">
        <v>74</v>
      </c>
      <c r="G612" s="6" t="s">
        <v>219</v>
      </c>
      <c r="H612" s="2" t="s">
        <v>1425</v>
      </c>
      <c r="I612" s="2" t="s">
        <v>1469</v>
      </c>
      <c r="J612" s="2" t="s">
        <v>19</v>
      </c>
      <c r="K612" s="2" t="s">
        <v>353</v>
      </c>
      <c r="L612" s="7" t="str">
        <f>HYPERLINK("http://slimages.macys.com/is/image/MCY/10743852 ")</f>
        <v xml:space="preserve">http://slimages.macys.com/is/image/MCY/10743852 </v>
      </c>
    </row>
    <row r="613" spans="1:12" ht="24.75" x14ac:dyDescent="0.25">
      <c r="A613" s="4" t="s">
        <v>1972</v>
      </c>
      <c r="B613" s="2" t="s">
        <v>1973</v>
      </c>
      <c r="C613" s="3">
        <v>1</v>
      </c>
      <c r="D613" s="5">
        <v>16.989999999999998</v>
      </c>
      <c r="E613" s="3" t="s">
        <v>1974</v>
      </c>
      <c r="F613" s="2" t="s">
        <v>15</v>
      </c>
      <c r="G613" s="6" t="s">
        <v>156</v>
      </c>
      <c r="H613" s="2" t="s">
        <v>1473</v>
      </c>
      <c r="I613" s="2" t="s">
        <v>1864</v>
      </c>
      <c r="J613" s="2" t="s">
        <v>19</v>
      </c>
      <c r="K613" s="2" t="s">
        <v>648</v>
      </c>
      <c r="L613" s="7" t="str">
        <f>HYPERLINK("http://slimages.macys.com/is/image/MCY/11634794 ")</f>
        <v xml:space="preserve">http://slimages.macys.com/is/image/MCY/11634794 </v>
      </c>
    </row>
    <row r="614" spans="1:12" ht="24.75" x14ac:dyDescent="0.25">
      <c r="A614" s="4" t="s">
        <v>1982</v>
      </c>
      <c r="B614" s="2" t="s">
        <v>1973</v>
      </c>
      <c r="C614" s="3">
        <v>2</v>
      </c>
      <c r="D614" s="5">
        <v>16.989999999999998</v>
      </c>
      <c r="E614" s="3" t="s">
        <v>1974</v>
      </c>
      <c r="F614" s="2" t="s">
        <v>74</v>
      </c>
      <c r="G614" s="6" t="s">
        <v>156</v>
      </c>
      <c r="H614" s="2" t="s">
        <v>1473</v>
      </c>
      <c r="I614" s="2" t="s">
        <v>1864</v>
      </c>
      <c r="J614" s="2" t="s">
        <v>19</v>
      </c>
      <c r="K614" s="2" t="s">
        <v>648</v>
      </c>
      <c r="L614" s="7" t="str">
        <f>HYPERLINK("http://slimages.macys.com/is/image/MCY/11634794 ")</f>
        <v xml:space="preserve">http://slimages.macys.com/is/image/MCY/11634794 </v>
      </c>
    </row>
    <row r="615" spans="1:12" ht="24.75" x14ac:dyDescent="0.25">
      <c r="A615" s="4" t="s">
        <v>3195</v>
      </c>
      <c r="B615" s="2" t="s">
        <v>1973</v>
      </c>
      <c r="C615" s="3">
        <v>2</v>
      </c>
      <c r="D615" s="5">
        <v>16.989999999999998</v>
      </c>
      <c r="E615" s="3" t="s">
        <v>1974</v>
      </c>
      <c r="F615" s="2" t="s">
        <v>74</v>
      </c>
      <c r="G615" s="6" t="s">
        <v>181</v>
      </c>
      <c r="H615" s="2" t="s">
        <v>1473</v>
      </c>
      <c r="I615" s="2" t="s">
        <v>1864</v>
      </c>
      <c r="J615" s="2" t="s">
        <v>19</v>
      </c>
      <c r="K615" s="2" t="s">
        <v>648</v>
      </c>
      <c r="L615" s="7" t="str">
        <f>HYPERLINK("http://slimages.macys.com/is/image/MCY/11634794 ")</f>
        <v xml:space="preserve">http://slimages.macys.com/is/image/MCY/11634794 </v>
      </c>
    </row>
    <row r="616" spans="1:12" ht="24.75" x14ac:dyDescent="0.25">
      <c r="A616" s="4" t="s">
        <v>3194</v>
      </c>
      <c r="B616" s="2" t="s">
        <v>1973</v>
      </c>
      <c r="C616" s="3">
        <v>3</v>
      </c>
      <c r="D616" s="5">
        <v>16.989999999999998</v>
      </c>
      <c r="E616" s="3" t="s">
        <v>1974</v>
      </c>
      <c r="F616" s="2" t="s">
        <v>74</v>
      </c>
      <c r="G616" s="6" t="s">
        <v>154</v>
      </c>
      <c r="H616" s="2" t="s">
        <v>1473</v>
      </c>
      <c r="I616" s="2" t="s">
        <v>1864</v>
      </c>
      <c r="J616" s="2" t="s">
        <v>19</v>
      </c>
      <c r="K616" s="2" t="s">
        <v>648</v>
      </c>
      <c r="L616" s="7" t="str">
        <f>HYPERLINK("http://slimages.macys.com/is/image/MCY/11634794 ")</f>
        <v xml:space="preserve">http://slimages.macys.com/is/image/MCY/11634794 </v>
      </c>
    </row>
    <row r="617" spans="1:12" ht="24.75" x14ac:dyDescent="0.25">
      <c r="A617" s="4" t="s">
        <v>3186</v>
      </c>
      <c r="B617" s="2" t="s">
        <v>1973</v>
      </c>
      <c r="C617" s="3">
        <v>1</v>
      </c>
      <c r="D617" s="5">
        <v>16.989999999999998</v>
      </c>
      <c r="E617" s="3" t="s">
        <v>1976</v>
      </c>
      <c r="F617" s="2" t="s">
        <v>15</v>
      </c>
      <c r="G617" s="6"/>
      <c r="H617" s="2" t="s">
        <v>1425</v>
      </c>
      <c r="I617" s="2" t="s">
        <v>1864</v>
      </c>
      <c r="J617" s="2" t="s">
        <v>19</v>
      </c>
      <c r="K617" s="2" t="s">
        <v>648</v>
      </c>
      <c r="L617" s="7" t="str">
        <f>HYPERLINK("http://slimages.macys.com/is/image/MCY/11634785 ")</f>
        <v xml:space="preserve">http://slimages.macys.com/is/image/MCY/11634785 </v>
      </c>
    </row>
    <row r="618" spans="1:12" ht="24.75" x14ac:dyDescent="0.25">
      <c r="A618" s="4" t="s">
        <v>3196</v>
      </c>
      <c r="B618" s="2" t="s">
        <v>1973</v>
      </c>
      <c r="C618" s="3">
        <v>1</v>
      </c>
      <c r="D618" s="5">
        <v>16.989999999999998</v>
      </c>
      <c r="E618" s="3" t="s">
        <v>1974</v>
      </c>
      <c r="F618" s="2" t="s">
        <v>15</v>
      </c>
      <c r="G618" s="6" t="s">
        <v>181</v>
      </c>
      <c r="H618" s="2" t="s">
        <v>1473</v>
      </c>
      <c r="I618" s="2" t="s">
        <v>1864</v>
      </c>
      <c r="J618" s="2" t="s">
        <v>19</v>
      </c>
      <c r="K618" s="2" t="s">
        <v>648</v>
      </c>
      <c r="L618" s="7" t="str">
        <f t="shared" ref="L618:L623" si="16">HYPERLINK("http://slimages.macys.com/is/image/MCY/11634794 ")</f>
        <v xml:space="preserve">http://slimages.macys.com/is/image/MCY/11634794 </v>
      </c>
    </row>
    <row r="619" spans="1:12" ht="24.75" x14ac:dyDescent="0.25">
      <c r="A619" s="4" t="s">
        <v>8368</v>
      </c>
      <c r="B619" s="2" t="s">
        <v>1973</v>
      </c>
      <c r="C619" s="3">
        <v>2</v>
      </c>
      <c r="D619" s="5">
        <v>16.989999999999998</v>
      </c>
      <c r="E619" s="3" t="s">
        <v>1974</v>
      </c>
      <c r="F619" s="2" t="s">
        <v>998</v>
      </c>
      <c r="G619" s="6" t="s">
        <v>234</v>
      </c>
      <c r="H619" s="2" t="s">
        <v>1473</v>
      </c>
      <c r="I619" s="2" t="s">
        <v>1864</v>
      </c>
      <c r="J619" s="2" t="s">
        <v>19</v>
      </c>
      <c r="K619" s="2" t="s">
        <v>648</v>
      </c>
      <c r="L619" s="7" t="str">
        <f t="shared" si="16"/>
        <v xml:space="preserve">http://slimages.macys.com/is/image/MCY/11634794 </v>
      </c>
    </row>
    <row r="620" spans="1:12" ht="24.75" x14ac:dyDescent="0.25">
      <c r="A620" s="4" t="s">
        <v>4226</v>
      </c>
      <c r="B620" s="2" t="s">
        <v>1973</v>
      </c>
      <c r="C620" s="3">
        <v>1</v>
      </c>
      <c r="D620" s="5">
        <v>16.989999999999998</v>
      </c>
      <c r="E620" s="3" t="s">
        <v>1974</v>
      </c>
      <c r="F620" s="2" t="s">
        <v>15</v>
      </c>
      <c r="G620" s="6" t="s">
        <v>234</v>
      </c>
      <c r="H620" s="2" t="s">
        <v>1473</v>
      </c>
      <c r="I620" s="2" t="s">
        <v>1864</v>
      </c>
      <c r="J620" s="2" t="s">
        <v>19</v>
      </c>
      <c r="K620" s="2" t="s">
        <v>648</v>
      </c>
      <c r="L620" s="7" t="str">
        <f t="shared" si="16"/>
        <v xml:space="preserve">http://slimages.macys.com/is/image/MCY/11634794 </v>
      </c>
    </row>
    <row r="621" spans="1:12" ht="24.75" x14ac:dyDescent="0.25">
      <c r="A621" s="4" t="s">
        <v>3185</v>
      </c>
      <c r="B621" s="2" t="s">
        <v>1973</v>
      </c>
      <c r="C621" s="3">
        <v>2</v>
      </c>
      <c r="D621" s="5">
        <v>16.989999999999998</v>
      </c>
      <c r="E621" s="3" t="s">
        <v>1974</v>
      </c>
      <c r="F621" s="2" t="s">
        <v>998</v>
      </c>
      <c r="G621" s="6" t="s">
        <v>154</v>
      </c>
      <c r="H621" s="2" t="s">
        <v>1473</v>
      </c>
      <c r="I621" s="2" t="s">
        <v>1864</v>
      </c>
      <c r="J621" s="2" t="s">
        <v>19</v>
      </c>
      <c r="K621" s="2" t="s">
        <v>648</v>
      </c>
      <c r="L621" s="7" t="str">
        <f t="shared" si="16"/>
        <v xml:space="preserve">http://slimages.macys.com/is/image/MCY/11634794 </v>
      </c>
    </row>
    <row r="622" spans="1:12" ht="24.75" x14ac:dyDescent="0.25">
      <c r="A622" s="4" t="s">
        <v>3197</v>
      </c>
      <c r="B622" s="2" t="s">
        <v>1973</v>
      </c>
      <c r="C622" s="3">
        <v>4</v>
      </c>
      <c r="D622" s="5">
        <v>16.989999999999998</v>
      </c>
      <c r="E622" s="3" t="s">
        <v>1974</v>
      </c>
      <c r="F622" s="2" t="s">
        <v>998</v>
      </c>
      <c r="G622" s="6" t="s">
        <v>181</v>
      </c>
      <c r="H622" s="2" t="s">
        <v>1473</v>
      </c>
      <c r="I622" s="2" t="s">
        <v>1864</v>
      </c>
      <c r="J622" s="2" t="s">
        <v>19</v>
      </c>
      <c r="K622" s="2" t="s">
        <v>648</v>
      </c>
      <c r="L622" s="7" t="str">
        <f t="shared" si="16"/>
        <v xml:space="preserve">http://slimages.macys.com/is/image/MCY/11634794 </v>
      </c>
    </row>
    <row r="623" spans="1:12" ht="24.75" x14ac:dyDescent="0.25">
      <c r="A623" s="4" t="s">
        <v>1983</v>
      </c>
      <c r="B623" s="2" t="s">
        <v>1973</v>
      </c>
      <c r="C623" s="3">
        <v>1</v>
      </c>
      <c r="D623" s="5">
        <v>16.989999999999998</v>
      </c>
      <c r="E623" s="3" t="s">
        <v>1974</v>
      </c>
      <c r="F623" s="2" t="s">
        <v>998</v>
      </c>
      <c r="G623" s="6" t="s">
        <v>156</v>
      </c>
      <c r="H623" s="2" t="s">
        <v>1473</v>
      </c>
      <c r="I623" s="2" t="s">
        <v>1864</v>
      </c>
      <c r="J623" s="2" t="s">
        <v>19</v>
      </c>
      <c r="K623" s="2" t="s">
        <v>648</v>
      </c>
      <c r="L623" s="7" t="str">
        <f t="shared" si="16"/>
        <v xml:space="preserve">http://slimages.macys.com/is/image/MCY/11634794 </v>
      </c>
    </row>
    <row r="624" spans="1:12" ht="24.75" x14ac:dyDescent="0.25">
      <c r="A624" s="4" t="s">
        <v>10303</v>
      </c>
      <c r="B624" s="2" t="s">
        <v>10304</v>
      </c>
      <c r="C624" s="3">
        <v>1</v>
      </c>
      <c r="D624" s="5">
        <v>21.99</v>
      </c>
      <c r="E624" s="3" t="s">
        <v>10305</v>
      </c>
      <c r="F624" s="2" t="s">
        <v>74</v>
      </c>
      <c r="G624" s="6"/>
      <c r="H624" s="2" t="s">
        <v>127</v>
      </c>
      <c r="I624" s="2" t="s">
        <v>128</v>
      </c>
      <c r="J624" s="2" t="s">
        <v>19</v>
      </c>
      <c r="K624" s="2" t="s">
        <v>3423</v>
      </c>
      <c r="L624" s="7" t="str">
        <f>HYPERLINK("http://slimages.macys.com/is/image/MCY/9624737 ")</f>
        <v xml:space="preserve">http://slimages.macys.com/is/image/MCY/9624737 </v>
      </c>
    </row>
    <row r="625" spans="1:12" ht="24.75" x14ac:dyDescent="0.25">
      <c r="A625" s="4" t="s">
        <v>3221</v>
      </c>
      <c r="B625" s="2" t="s">
        <v>3216</v>
      </c>
      <c r="C625" s="3">
        <v>1</v>
      </c>
      <c r="D625" s="5">
        <v>21.99</v>
      </c>
      <c r="E625" s="3" t="s">
        <v>3219</v>
      </c>
      <c r="F625" s="2" t="s">
        <v>566</v>
      </c>
      <c r="G625" s="6" t="s">
        <v>181</v>
      </c>
      <c r="H625" s="2" t="s">
        <v>284</v>
      </c>
      <c r="I625" s="2" t="s">
        <v>285</v>
      </c>
      <c r="J625" s="2" t="s">
        <v>19</v>
      </c>
      <c r="K625" s="2" t="s">
        <v>247</v>
      </c>
      <c r="L625" s="7" t="str">
        <f>HYPERLINK("http://slimages.macys.com/is/image/MCY/9462994 ")</f>
        <v xml:space="preserve">http://slimages.macys.com/is/image/MCY/9462994 </v>
      </c>
    </row>
    <row r="626" spans="1:12" ht="24.75" x14ac:dyDescent="0.25">
      <c r="A626" s="4" t="s">
        <v>10306</v>
      </c>
      <c r="B626" s="2" t="s">
        <v>3216</v>
      </c>
      <c r="C626" s="3">
        <v>1</v>
      </c>
      <c r="D626" s="5">
        <v>21.99</v>
      </c>
      <c r="E626" s="3" t="s">
        <v>3219</v>
      </c>
      <c r="F626" s="2" t="s">
        <v>566</v>
      </c>
      <c r="G626" s="6" t="s">
        <v>154</v>
      </c>
      <c r="H626" s="2" t="s">
        <v>284</v>
      </c>
      <c r="I626" s="2" t="s">
        <v>285</v>
      </c>
      <c r="J626" s="2" t="s">
        <v>19</v>
      </c>
      <c r="K626" s="2" t="s">
        <v>247</v>
      </c>
      <c r="L626" s="7" t="str">
        <f>HYPERLINK("http://slimages.macys.com/is/image/MCY/9462994 ")</f>
        <v xml:space="preserve">http://slimages.macys.com/is/image/MCY/9462994 </v>
      </c>
    </row>
    <row r="627" spans="1:12" ht="24.75" x14ac:dyDescent="0.25">
      <c r="A627" s="4" t="s">
        <v>10307</v>
      </c>
      <c r="B627" s="2" t="s">
        <v>5225</v>
      </c>
      <c r="C627" s="3">
        <v>1</v>
      </c>
      <c r="D627" s="5">
        <v>12.99</v>
      </c>
      <c r="E627" s="3" t="s">
        <v>10308</v>
      </c>
      <c r="F627" s="2" t="s">
        <v>74</v>
      </c>
      <c r="G627" s="6" t="s">
        <v>154</v>
      </c>
      <c r="H627" s="2" t="s">
        <v>194</v>
      </c>
      <c r="I627" s="2" t="s">
        <v>195</v>
      </c>
      <c r="J627" s="2" t="s">
        <v>19</v>
      </c>
      <c r="K627" s="2" t="s">
        <v>495</v>
      </c>
      <c r="L627" s="7" t="str">
        <f>HYPERLINK("http://slimages.macys.com/is/image/MCY/8523520 ")</f>
        <v xml:space="preserve">http://slimages.macys.com/is/image/MCY/8523520 </v>
      </c>
    </row>
    <row r="628" spans="1:12" ht="24.75" x14ac:dyDescent="0.25">
      <c r="A628" s="4" t="s">
        <v>10309</v>
      </c>
      <c r="B628" s="2" t="s">
        <v>5225</v>
      </c>
      <c r="C628" s="3">
        <v>1</v>
      </c>
      <c r="D628" s="5">
        <v>12.99</v>
      </c>
      <c r="E628" s="3" t="s">
        <v>5226</v>
      </c>
      <c r="F628" s="2" t="s">
        <v>48</v>
      </c>
      <c r="G628" s="6" t="s">
        <v>154</v>
      </c>
      <c r="H628" s="2" t="s">
        <v>194</v>
      </c>
      <c r="I628" s="2" t="s">
        <v>195</v>
      </c>
      <c r="J628" s="2" t="s">
        <v>19</v>
      </c>
      <c r="K628" s="2" t="s">
        <v>495</v>
      </c>
      <c r="L628" s="7" t="str">
        <f>HYPERLINK("http://slimages.macys.com/is/image/MCY/8523520 ")</f>
        <v xml:space="preserve">http://slimages.macys.com/is/image/MCY/8523520 </v>
      </c>
    </row>
    <row r="629" spans="1:12" ht="24.75" x14ac:dyDescent="0.25">
      <c r="A629" s="4" t="s">
        <v>6909</v>
      </c>
      <c r="B629" s="2" t="s">
        <v>2005</v>
      </c>
      <c r="C629" s="3">
        <v>2</v>
      </c>
      <c r="D629" s="5">
        <v>14.99</v>
      </c>
      <c r="E629" s="3" t="s">
        <v>2006</v>
      </c>
      <c r="F629" s="2" t="s">
        <v>26</v>
      </c>
      <c r="G629" s="6" t="s">
        <v>234</v>
      </c>
      <c r="H629" s="2" t="s">
        <v>1522</v>
      </c>
      <c r="I629" s="2" t="s">
        <v>1469</v>
      </c>
      <c r="J629" s="2" t="s">
        <v>19</v>
      </c>
      <c r="K629" s="2" t="s">
        <v>353</v>
      </c>
      <c r="L629" s="7" t="str">
        <f t="shared" ref="L629:L639" si="17">HYPERLINK("http://slimages.macys.com/is/image/MCY/10743611 ")</f>
        <v xml:space="preserve">http://slimages.macys.com/is/image/MCY/10743611 </v>
      </c>
    </row>
    <row r="630" spans="1:12" ht="24.75" x14ac:dyDescent="0.25">
      <c r="A630" s="4" t="s">
        <v>4253</v>
      </c>
      <c r="B630" s="2" t="s">
        <v>2005</v>
      </c>
      <c r="C630" s="3">
        <v>5</v>
      </c>
      <c r="D630" s="5">
        <v>14.99</v>
      </c>
      <c r="E630" s="3" t="s">
        <v>2006</v>
      </c>
      <c r="F630" s="2" t="s">
        <v>15</v>
      </c>
      <c r="G630" s="6" t="s">
        <v>234</v>
      </c>
      <c r="H630" s="2" t="s">
        <v>1522</v>
      </c>
      <c r="I630" s="2" t="s">
        <v>1469</v>
      </c>
      <c r="J630" s="2" t="s">
        <v>19</v>
      </c>
      <c r="K630" s="2" t="s">
        <v>353</v>
      </c>
      <c r="L630" s="7" t="str">
        <f t="shared" si="17"/>
        <v xml:space="preserve">http://slimages.macys.com/is/image/MCY/10743611 </v>
      </c>
    </row>
    <row r="631" spans="1:12" ht="24.75" x14ac:dyDescent="0.25">
      <c r="A631" s="4" t="s">
        <v>2010</v>
      </c>
      <c r="B631" s="2" t="s">
        <v>2005</v>
      </c>
      <c r="C631" s="3">
        <v>1</v>
      </c>
      <c r="D631" s="5">
        <v>14.99</v>
      </c>
      <c r="E631" s="3" t="s">
        <v>2006</v>
      </c>
      <c r="F631" s="2" t="s">
        <v>38</v>
      </c>
      <c r="G631" s="6" t="s">
        <v>156</v>
      </c>
      <c r="H631" s="2" t="s">
        <v>1522</v>
      </c>
      <c r="I631" s="2" t="s">
        <v>1469</v>
      </c>
      <c r="J631" s="2" t="s">
        <v>19</v>
      </c>
      <c r="K631" s="2" t="s">
        <v>353</v>
      </c>
      <c r="L631" s="7" t="str">
        <f t="shared" si="17"/>
        <v xml:space="preserve">http://slimages.macys.com/is/image/MCY/10743611 </v>
      </c>
    </row>
    <row r="632" spans="1:12" ht="24.75" x14ac:dyDescent="0.25">
      <c r="A632" s="4" t="s">
        <v>3222</v>
      </c>
      <c r="B632" s="2" t="s">
        <v>2005</v>
      </c>
      <c r="C632" s="3">
        <v>1</v>
      </c>
      <c r="D632" s="5">
        <v>14.99</v>
      </c>
      <c r="E632" s="3" t="s">
        <v>2006</v>
      </c>
      <c r="F632" s="2" t="s">
        <v>15</v>
      </c>
      <c r="G632" s="6" t="s">
        <v>154</v>
      </c>
      <c r="H632" s="2" t="s">
        <v>1522</v>
      </c>
      <c r="I632" s="2" t="s">
        <v>1469</v>
      </c>
      <c r="J632" s="2" t="s">
        <v>19</v>
      </c>
      <c r="K632" s="2" t="s">
        <v>353</v>
      </c>
      <c r="L632" s="7" t="str">
        <f t="shared" si="17"/>
        <v xml:space="preserve">http://slimages.macys.com/is/image/MCY/10743611 </v>
      </c>
    </row>
    <row r="633" spans="1:12" ht="24.75" x14ac:dyDescent="0.25">
      <c r="A633" s="4" t="s">
        <v>5228</v>
      </c>
      <c r="B633" s="2" t="s">
        <v>2005</v>
      </c>
      <c r="C633" s="3">
        <v>1</v>
      </c>
      <c r="D633" s="5">
        <v>14.99</v>
      </c>
      <c r="E633" s="3" t="s">
        <v>2006</v>
      </c>
      <c r="F633" s="2" t="s">
        <v>74</v>
      </c>
      <c r="G633" s="6" t="s">
        <v>154</v>
      </c>
      <c r="H633" s="2" t="s">
        <v>1522</v>
      </c>
      <c r="I633" s="2" t="s">
        <v>1469</v>
      </c>
      <c r="J633" s="2" t="s">
        <v>19</v>
      </c>
      <c r="K633" s="2" t="s">
        <v>353</v>
      </c>
      <c r="L633" s="7" t="str">
        <f t="shared" si="17"/>
        <v xml:space="preserve">http://slimages.macys.com/is/image/MCY/10743611 </v>
      </c>
    </row>
    <row r="634" spans="1:12" ht="24.75" x14ac:dyDescent="0.25">
      <c r="A634" s="4" t="s">
        <v>2014</v>
      </c>
      <c r="B634" s="2" t="s">
        <v>2005</v>
      </c>
      <c r="C634" s="3">
        <v>2</v>
      </c>
      <c r="D634" s="5">
        <v>14.99</v>
      </c>
      <c r="E634" s="3" t="s">
        <v>2006</v>
      </c>
      <c r="F634" s="2" t="s">
        <v>74</v>
      </c>
      <c r="G634" s="6" t="s">
        <v>245</v>
      </c>
      <c r="H634" s="2" t="s">
        <v>1522</v>
      </c>
      <c r="I634" s="2" t="s">
        <v>1469</v>
      </c>
      <c r="J634" s="2" t="s">
        <v>19</v>
      </c>
      <c r="K634" s="2" t="s">
        <v>353</v>
      </c>
      <c r="L634" s="7" t="str">
        <f t="shared" si="17"/>
        <v xml:space="preserve">http://slimages.macys.com/is/image/MCY/10743611 </v>
      </c>
    </row>
    <row r="635" spans="1:12" ht="24.75" x14ac:dyDescent="0.25">
      <c r="A635" s="4" t="s">
        <v>6912</v>
      </c>
      <c r="B635" s="2" t="s">
        <v>2005</v>
      </c>
      <c r="C635" s="3">
        <v>1</v>
      </c>
      <c r="D635" s="5">
        <v>14.99</v>
      </c>
      <c r="E635" s="3" t="s">
        <v>2006</v>
      </c>
      <c r="F635" s="2" t="s">
        <v>64</v>
      </c>
      <c r="G635" s="6" t="s">
        <v>234</v>
      </c>
      <c r="H635" s="2" t="s">
        <v>1522</v>
      </c>
      <c r="I635" s="2" t="s">
        <v>1469</v>
      </c>
      <c r="J635" s="2" t="s">
        <v>19</v>
      </c>
      <c r="K635" s="2" t="s">
        <v>353</v>
      </c>
      <c r="L635" s="7" t="str">
        <f t="shared" si="17"/>
        <v xml:space="preserve">http://slimages.macys.com/is/image/MCY/10743611 </v>
      </c>
    </row>
    <row r="636" spans="1:12" ht="24.75" x14ac:dyDescent="0.25">
      <c r="A636" s="4" t="s">
        <v>5231</v>
      </c>
      <c r="B636" s="2" t="s">
        <v>2005</v>
      </c>
      <c r="C636" s="3">
        <v>1</v>
      </c>
      <c r="D636" s="5">
        <v>14.99</v>
      </c>
      <c r="E636" s="3" t="s">
        <v>2006</v>
      </c>
      <c r="F636" s="2" t="s">
        <v>26</v>
      </c>
      <c r="G636" s="6" t="s">
        <v>245</v>
      </c>
      <c r="H636" s="2" t="s">
        <v>1522</v>
      </c>
      <c r="I636" s="2" t="s">
        <v>1469</v>
      </c>
      <c r="J636" s="2" t="s">
        <v>19</v>
      </c>
      <c r="K636" s="2" t="s">
        <v>353</v>
      </c>
      <c r="L636" s="7" t="str">
        <f t="shared" si="17"/>
        <v xml:space="preserve">http://slimages.macys.com/is/image/MCY/10743611 </v>
      </c>
    </row>
    <row r="637" spans="1:12" ht="24.75" x14ac:dyDescent="0.25">
      <c r="A637" s="4" t="s">
        <v>5230</v>
      </c>
      <c r="B637" s="2" t="s">
        <v>2005</v>
      </c>
      <c r="C637" s="3">
        <v>1</v>
      </c>
      <c r="D637" s="5">
        <v>14.99</v>
      </c>
      <c r="E637" s="3" t="s">
        <v>2006</v>
      </c>
      <c r="F637" s="2" t="s">
        <v>26</v>
      </c>
      <c r="G637" s="6" t="s">
        <v>200</v>
      </c>
      <c r="H637" s="2" t="s">
        <v>1522</v>
      </c>
      <c r="I637" s="2" t="s">
        <v>1469</v>
      </c>
      <c r="J637" s="2" t="s">
        <v>19</v>
      </c>
      <c r="K637" s="2" t="s">
        <v>353</v>
      </c>
      <c r="L637" s="7" t="str">
        <f t="shared" si="17"/>
        <v xml:space="preserve">http://slimages.macys.com/is/image/MCY/10743611 </v>
      </c>
    </row>
    <row r="638" spans="1:12" ht="24.75" x14ac:dyDescent="0.25">
      <c r="A638" s="4" t="s">
        <v>3224</v>
      </c>
      <c r="B638" s="2" t="s">
        <v>2005</v>
      </c>
      <c r="C638" s="3">
        <v>1</v>
      </c>
      <c r="D638" s="5">
        <v>14.99</v>
      </c>
      <c r="E638" s="3" t="s">
        <v>2006</v>
      </c>
      <c r="F638" s="2" t="s">
        <v>64</v>
      </c>
      <c r="G638" s="6" t="s">
        <v>154</v>
      </c>
      <c r="H638" s="2" t="s">
        <v>1522</v>
      </c>
      <c r="I638" s="2" t="s">
        <v>1469</v>
      </c>
      <c r="J638" s="2" t="s">
        <v>19</v>
      </c>
      <c r="K638" s="2" t="s">
        <v>353</v>
      </c>
      <c r="L638" s="7" t="str">
        <f t="shared" si="17"/>
        <v xml:space="preserve">http://slimages.macys.com/is/image/MCY/10743611 </v>
      </c>
    </row>
    <row r="639" spans="1:12" ht="24.75" x14ac:dyDescent="0.25">
      <c r="A639" s="4" t="s">
        <v>6910</v>
      </c>
      <c r="B639" s="2" t="s">
        <v>2005</v>
      </c>
      <c r="C639" s="3">
        <v>1</v>
      </c>
      <c r="D639" s="5">
        <v>14.99</v>
      </c>
      <c r="E639" s="3" t="s">
        <v>2006</v>
      </c>
      <c r="F639" s="2" t="s">
        <v>15</v>
      </c>
      <c r="G639" s="6" t="s">
        <v>181</v>
      </c>
      <c r="H639" s="2" t="s">
        <v>1522</v>
      </c>
      <c r="I639" s="2" t="s">
        <v>1469</v>
      </c>
      <c r="J639" s="2" t="s">
        <v>19</v>
      </c>
      <c r="K639" s="2" t="s">
        <v>353</v>
      </c>
      <c r="L639" s="7" t="str">
        <f t="shared" si="17"/>
        <v xml:space="preserve">http://slimages.macys.com/is/image/MCY/10743611 </v>
      </c>
    </row>
    <row r="640" spans="1:12" ht="24.75" x14ac:dyDescent="0.25">
      <c r="A640" s="4" t="s">
        <v>6204</v>
      </c>
      <c r="B640" s="2" t="s">
        <v>6196</v>
      </c>
      <c r="C640" s="3">
        <v>1</v>
      </c>
      <c r="D640" s="5">
        <v>14.99</v>
      </c>
      <c r="E640" s="3" t="s">
        <v>6197</v>
      </c>
      <c r="F640" s="2" t="s">
        <v>74</v>
      </c>
      <c r="G640" s="6"/>
      <c r="H640" s="2" t="s">
        <v>1425</v>
      </c>
      <c r="I640" s="2" t="s">
        <v>1469</v>
      </c>
      <c r="J640" s="2" t="s">
        <v>19</v>
      </c>
      <c r="K640" s="2" t="s">
        <v>353</v>
      </c>
      <c r="L640" s="7" t="str">
        <f>HYPERLINK("http://slimages.macys.com/is/image/MCY/10743620 ")</f>
        <v xml:space="preserve">http://slimages.macys.com/is/image/MCY/10743620 </v>
      </c>
    </row>
    <row r="641" spans="1:12" ht="24.75" x14ac:dyDescent="0.25">
      <c r="A641" s="4" t="s">
        <v>6202</v>
      </c>
      <c r="B641" s="2" t="s">
        <v>6196</v>
      </c>
      <c r="C641" s="3">
        <v>1</v>
      </c>
      <c r="D641" s="5">
        <v>14.99</v>
      </c>
      <c r="E641" s="3" t="s">
        <v>6197</v>
      </c>
      <c r="F641" s="2" t="s">
        <v>74</v>
      </c>
      <c r="G641" s="6"/>
      <c r="H641" s="2" t="s">
        <v>1425</v>
      </c>
      <c r="I641" s="2" t="s">
        <v>1469</v>
      </c>
      <c r="J641" s="2" t="s">
        <v>19</v>
      </c>
      <c r="K641" s="2" t="s">
        <v>353</v>
      </c>
      <c r="L641" s="7" t="str">
        <f>HYPERLINK("http://slimages.macys.com/is/image/MCY/10743620 ")</f>
        <v xml:space="preserve">http://slimages.macys.com/is/image/MCY/10743620 </v>
      </c>
    </row>
    <row r="642" spans="1:12" ht="24.75" x14ac:dyDescent="0.25">
      <c r="A642" s="4" t="s">
        <v>2008</v>
      </c>
      <c r="B642" s="2" t="s">
        <v>2005</v>
      </c>
      <c r="C642" s="3">
        <v>3</v>
      </c>
      <c r="D642" s="5">
        <v>14.99</v>
      </c>
      <c r="E642" s="3" t="s">
        <v>2006</v>
      </c>
      <c r="F642" s="2" t="s">
        <v>74</v>
      </c>
      <c r="G642" s="6" t="s">
        <v>156</v>
      </c>
      <c r="H642" s="2" t="s">
        <v>1522</v>
      </c>
      <c r="I642" s="2" t="s">
        <v>1469</v>
      </c>
      <c r="J642" s="2" t="s">
        <v>19</v>
      </c>
      <c r="K642" s="2" t="s">
        <v>353</v>
      </c>
      <c r="L642" s="7" t="str">
        <f>HYPERLINK("http://slimages.macys.com/is/image/MCY/10743611 ")</f>
        <v xml:space="preserve">http://slimages.macys.com/is/image/MCY/10743611 </v>
      </c>
    </row>
    <row r="643" spans="1:12" ht="24.75" x14ac:dyDescent="0.25">
      <c r="A643" s="4" t="s">
        <v>7706</v>
      </c>
      <c r="B643" s="2" t="s">
        <v>2005</v>
      </c>
      <c r="C643" s="3">
        <v>5</v>
      </c>
      <c r="D643" s="5">
        <v>14.99</v>
      </c>
      <c r="E643" s="3" t="s">
        <v>2006</v>
      </c>
      <c r="F643" s="2" t="s">
        <v>74</v>
      </c>
      <c r="G643" s="6" t="s">
        <v>181</v>
      </c>
      <c r="H643" s="2" t="s">
        <v>1522</v>
      </c>
      <c r="I643" s="2" t="s">
        <v>1469</v>
      </c>
      <c r="J643" s="2" t="s">
        <v>19</v>
      </c>
      <c r="K643" s="2" t="s">
        <v>353</v>
      </c>
      <c r="L643" s="7" t="str">
        <f>HYPERLINK("http://slimages.macys.com/is/image/MCY/10743611 ")</f>
        <v xml:space="preserve">http://slimages.macys.com/is/image/MCY/10743611 </v>
      </c>
    </row>
    <row r="644" spans="1:12" ht="24.75" x14ac:dyDescent="0.25">
      <c r="A644" s="4" t="s">
        <v>10310</v>
      </c>
      <c r="B644" s="2" t="s">
        <v>6196</v>
      </c>
      <c r="C644" s="3">
        <v>1</v>
      </c>
      <c r="D644" s="5">
        <v>14.99</v>
      </c>
      <c r="E644" s="3" t="s">
        <v>6197</v>
      </c>
      <c r="F644" s="2" t="s">
        <v>15</v>
      </c>
      <c r="G644" s="6"/>
      <c r="H644" s="2" t="s">
        <v>1425</v>
      </c>
      <c r="I644" s="2" t="s">
        <v>1469</v>
      </c>
      <c r="J644" s="2" t="s">
        <v>19</v>
      </c>
      <c r="K644" s="2" t="s">
        <v>353</v>
      </c>
      <c r="L644" s="7" t="str">
        <f>HYPERLINK("http://slimages.macys.com/is/image/MCY/10743620 ")</f>
        <v xml:space="preserve">http://slimages.macys.com/is/image/MCY/10743620 </v>
      </c>
    </row>
    <row r="645" spans="1:12" ht="24.75" x14ac:dyDescent="0.25">
      <c r="A645" s="4" t="s">
        <v>6908</v>
      </c>
      <c r="B645" s="2" t="s">
        <v>2005</v>
      </c>
      <c r="C645" s="3">
        <v>1</v>
      </c>
      <c r="D645" s="5">
        <v>14.99</v>
      </c>
      <c r="E645" s="3" t="s">
        <v>2006</v>
      </c>
      <c r="F645" s="2" t="s">
        <v>26</v>
      </c>
      <c r="G645" s="6" t="s">
        <v>154</v>
      </c>
      <c r="H645" s="2" t="s">
        <v>1522</v>
      </c>
      <c r="I645" s="2" t="s">
        <v>1469</v>
      </c>
      <c r="J645" s="2" t="s">
        <v>19</v>
      </c>
      <c r="K645" s="2" t="s">
        <v>353</v>
      </c>
      <c r="L645" s="7" t="str">
        <f>HYPERLINK("http://slimages.macys.com/is/image/MCY/10743611 ")</f>
        <v xml:space="preserve">http://slimages.macys.com/is/image/MCY/10743611 </v>
      </c>
    </row>
    <row r="646" spans="1:12" ht="24.75" x14ac:dyDescent="0.25">
      <c r="A646" s="4" t="s">
        <v>2012</v>
      </c>
      <c r="B646" s="2" t="s">
        <v>2005</v>
      </c>
      <c r="C646" s="3">
        <v>2</v>
      </c>
      <c r="D646" s="5">
        <v>14.99</v>
      </c>
      <c r="E646" s="3" t="s">
        <v>2006</v>
      </c>
      <c r="F646" s="2" t="s">
        <v>15</v>
      </c>
      <c r="G646" s="6" t="s">
        <v>156</v>
      </c>
      <c r="H646" s="2" t="s">
        <v>1522</v>
      </c>
      <c r="I646" s="2" t="s">
        <v>1469</v>
      </c>
      <c r="J646" s="2" t="s">
        <v>19</v>
      </c>
      <c r="K646" s="2" t="s">
        <v>353</v>
      </c>
      <c r="L646" s="7" t="str">
        <f>HYPERLINK("http://slimages.macys.com/is/image/MCY/10743611 ")</f>
        <v xml:space="preserve">http://slimages.macys.com/is/image/MCY/10743611 </v>
      </c>
    </row>
    <row r="647" spans="1:12" ht="24.75" x14ac:dyDescent="0.25">
      <c r="A647" s="4" t="s">
        <v>5232</v>
      </c>
      <c r="B647" s="2" t="s">
        <v>2005</v>
      </c>
      <c r="C647" s="3">
        <v>1</v>
      </c>
      <c r="D647" s="5">
        <v>14.99</v>
      </c>
      <c r="E647" s="3" t="s">
        <v>2006</v>
      </c>
      <c r="F647" s="2" t="s">
        <v>38</v>
      </c>
      <c r="G647" s="6" t="s">
        <v>154</v>
      </c>
      <c r="H647" s="2" t="s">
        <v>1522</v>
      </c>
      <c r="I647" s="2" t="s">
        <v>1469</v>
      </c>
      <c r="J647" s="2" t="s">
        <v>19</v>
      </c>
      <c r="K647" s="2" t="s">
        <v>353</v>
      </c>
      <c r="L647" s="7" t="str">
        <f>HYPERLINK("http://slimages.macys.com/is/image/MCY/10743611 ")</f>
        <v xml:space="preserve">http://slimages.macys.com/is/image/MCY/10743611 </v>
      </c>
    </row>
    <row r="648" spans="1:12" ht="24.75" x14ac:dyDescent="0.25">
      <c r="A648" s="4" t="s">
        <v>6193</v>
      </c>
      <c r="B648" s="2" t="s">
        <v>2005</v>
      </c>
      <c r="C648" s="3">
        <v>4</v>
      </c>
      <c r="D648" s="5">
        <v>14.99</v>
      </c>
      <c r="E648" s="3" t="s">
        <v>2006</v>
      </c>
      <c r="F648" s="2" t="s">
        <v>26</v>
      </c>
      <c r="G648" s="6" t="s">
        <v>181</v>
      </c>
      <c r="H648" s="2" t="s">
        <v>1522</v>
      </c>
      <c r="I648" s="2" t="s">
        <v>1469</v>
      </c>
      <c r="J648" s="2" t="s">
        <v>19</v>
      </c>
      <c r="K648" s="2" t="s">
        <v>353</v>
      </c>
      <c r="L648" s="7" t="str">
        <f>HYPERLINK("http://slimages.macys.com/is/image/MCY/10743611 ")</f>
        <v xml:space="preserve">http://slimages.macys.com/is/image/MCY/10743611 </v>
      </c>
    </row>
    <row r="649" spans="1:12" ht="24.75" x14ac:dyDescent="0.25">
      <c r="A649" s="4" t="s">
        <v>3223</v>
      </c>
      <c r="B649" s="2" t="s">
        <v>2005</v>
      </c>
      <c r="C649" s="3">
        <v>2</v>
      </c>
      <c r="D649" s="5">
        <v>14.99</v>
      </c>
      <c r="E649" s="3" t="s">
        <v>2006</v>
      </c>
      <c r="F649" s="2" t="s">
        <v>74</v>
      </c>
      <c r="G649" s="6" t="s">
        <v>234</v>
      </c>
      <c r="H649" s="2" t="s">
        <v>1522</v>
      </c>
      <c r="I649" s="2" t="s">
        <v>1469</v>
      </c>
      <c r="J649" s="2" t="s">
        <v>19</v>
      </c>
      <c r="K649" s="2" t="s">
        <v>353</v>
      </c>
      <c r="L649" s="7" t="str">
        <f>HYPERLINK("http://slimages.macys.com/is/image/MCY/10743611 ")</f>
        <v xml:space="preserve">http://slimages.macys.com/is/image/MCY/10743611 </v>
      </c>
    </row>
    <row r="650" spans="1:12" ht="24.75" x14ac:dyDescent="0.25">
      <c r="A650" s="4" t="s">
        <v>4258</v>
      </c>
      <c r="B650" s="2" t="s">
        <v>3226</v>
      </c>
      <c r="C650" s="3">
        <v>3</v>
      </c>
      <c r="D650" s="5">
        <v>12.99</v>
      </c>
      <c r="E650" s="3" t="s">
        <v>4259</v>
      </c>
      <c r="F650" s="2" t="s">
        <v>752</v>
      </c>
      <c r="G650" s="6"/>
      <c r="H650" s="2" t="s">
        <v>312</v>
      </c>
      <c r="I650" s="2" t="s">
        <v>195</v>
      </c>
      <c r="J650" s="2" t="s">
        <v>19</v>
      </c>
      <c r="K650" s="2" t="s">
        <v>648</v>
      </c>
      <c r="L650" s="7" t="str">
        <f>HYPERLINK("http://slimages.macys.com/is/image/MCY/11764447 ")</f>
        <v xml:space="preserve">http://slimages.macys.com/is/image/MCY/11764447 </v>
      </c>
    </row>
    <row r="651" spans="1:12" ht="24.75" x14ac:dyDescent="0.25">
      <c r="A651" s="4" t="s">
        <v>4266</v>
      </c>
      <c r="B651" s="2" t="s">
        <v>3226</v>
      </c>
      <c r="C651" s="3">
        <v>1</v>
      </c>
      <c r="D651" s="5">
        <v>12.99</v>
      </c>
      <c r="E651" s="3" t="s">
        <v>4259</v>
      </c>
      <c r="F651" s="2" t="s">
        <v>752</v>
      </c>
      <c r="G651" s="6"/>
      <c r="H651" s="2" t="s">
        <v>312</v>
      </c>
      <c r="I651" s="2" t="s">
        <v>195</v>
      </c>
      <c r="J651" s="2" t="s">
        <v>19</v>
      </c>
      <c r="K651" s="2" t="s">
        <v>648</v>
      </c>
      <c r="L651" s="7" t="str">
        <f>HYPERLINK("http://slimages.macys.com/is/image/MCY/11764447 ")</f>
        <v xml:space="preserve">http://slimages.macys.com/is/image/MCY/11764447 </v>
      </c>
    </row>
    <row r="652" spans="1:12" ht="24.75" x14ac:dyDescent="0.25">
      <c r="A652" s="4" t="s">
        <v>4264</v>
      </c>
      <c r="B652" s="2" t="s">
        <v>3226</v>
      </c>
      <c r="C652" s="3">
        <v>1</v>
      </c>
      <c r="D652" s="5">
        <v>12.99</v>
      </c>
      <c r="E652" s="3" t="s">
        <v>4259</v>
      </c>
      <c r="F652" s="2" t="s">
        <v>752</v>
      </c>
      <c r="G652" s="6"/>
      <c r="H652" s="2" t="s">
        <v>312</v>
      </c>
      <c r="I652" s="2" t="s">
        <v>195</v>
      </c>
      <c r="J652" s="2" t="s">
        <v>19</v>
      </c>
      <c r="K652" s="2" t="s">
        <v>648</v>
      </c>
      <c r="L652" s="7" t="str">
        <f>HYPERLINK("http://slimages.macys.com/is/image/MCY/11764447 ")</f>
        <v xml:space="preserve">http://slimages.macys.com/is/image/MCY/11764447 </v>
      </c>
    </row>
    <row r="653" spans="1:12" ht="24.75" x14ac:dyDescent="0.25">
      <c r="A653" s="4" t="s">
        <v>4263</v>
      </c>
      <c r="B653" s="2" t="s">
        <v>3226</v>
      </c>
      <c r="C653" s="3">
        <v>3</v>
      </c>
      <c r="D653" s="5">
        <v>12.99</v>
      </c>
      <c r="E653" s="3" t="s">
        <v>4259</v>
      </c>
      <c r="F653" s="2" t="s">
        <v>752</v>
      </c>
      <c r="G653" s="6"/>
      <c r="H653" s="2" t="s">
        <v>312</v>
      </c>
      <c r="I653" s="2" t="s">
        <v>195</v>
      </c>
      <c r="J653" s="2" t="s">
        <v>19</v>
      </c>
      <c r="K653" s="2" t="s">
        <v>648</v>
      </c>
      <c r="L653" s="7" t="str">
        <f>HYPERLINK("http://slimages.macys.com/is/image/MCY/11764447 ")</f>
        <v xml:space="preserve">http://slimages.macys.com/is/image/MCY/11764447 </v>
      </c>
    </row>
    <row r="654" spans="1:12" ht="24.75" x14ac:dyDescent="0.25">
      <c r="A654" s="4" t="s">
        <v>10311</v>
      </c>
      <c r="B654" s="2" t="s">
        <v>2016</v>
      </c>
      <c r="C654" s="3">
        <v>1</v>
      </c>
      <c r="D654" s="5">
        <v>12.99</v>
      </c>
      <c r="E654" s="3" t="s">
        <v>2017</v>
      </c>
      <c r="F654" s="2" t="s">
        <v>413</v>
      </c>
      <c r="G654" s="6" t="s">
        <v>154</v>
      </c>
      <c r="H654" s="2" t="s">
        <v>194</v>
      </c>
      <c r="I654" s="2" t="s">
        <v>195</v>
      </c>
      <c r="J654" s="2" t="s">
        <v>19</v>
      </c>
      <c r="K654" s="2" t="s">
        <v>648</v>
      </c>
      <c r="L654" s="7" t="str">
        <f>HYPERLINK("http://slimages.macys.com/is/image/MCY/14887463 ")</f>
        <v xml:space="preserve">http://slimages.macys.com/is/image/MCY/14887463 </v>
      </c>
    </row>
    <row r="655" spans="1:12" ht="24.75" x14ac:dyDescent="0.25">
      <c r="A655" s="4" t="s">
        <v>10312</v>
      </c>
      <c r="B655" s="2" t="s">
        <v>10313</v>
      </c>
      <c r="C655" s="3">
        <v>1</v>
      </c>
      <c r="D655" s="5">
        <v>19.989999999999998</v>
      </c>
      <c r="E655" s="3" t="s">
        <v>10314</v>
      </c>
      <c r="F655" s="2" t="s">
        <v>170</v>
      </c>
      <c r="G655" s="6" t="s">
        <v>234</v>
      </c>
      <c r="H655" s="2" t="s">
        <v>246</v>
      </c>
      <c r="I655" s="2" t="s">
        <v>189</v>
      </c>
      <c r="J655" s="2" t="s">
        <v>19</v>
      </c>
      <c r="K655" s="2" t="s">
        <v>648</v>
      </c>
      <c r="L655" s="7" t="str">
        <f>HYPERLINK("http://slimages.macys.com/is/image/MCY/8123674 ")</f>
        <v xml:space="preserve">http://slimages.macys.com/is/image/MCY/8123674 </v>
      </c>
    </row>
    <row r="656" spans="1:12" ht="24.75" x14ac:dyDescent="0.25">
      <c r="A656" s="4" t="s">
        <v>10315</v>
      </c>
      <c r="B656" s="2" t="s">
        <v>2016</v>
      </c>
      <c r="C656" s="3">
        <v>2</v>
      </c>
      <c r="D656" s="5">
        <v>12.99</v>
      </c>
      <c r="E656" s="3" t="s">
        <v>2017</v>
      </c>
      <c r="F656" s="2" t="s">
        <v>566</v>
      </c>
      <c r="G656" s="6" t="s">
        <v>245</v>
      </c>
      <c r="H656" s="2" t="s">
        <v>194</v>
      </c>
      <c r="I656" s="2" t="s">
        <v>195</v>
      </c>
      <c r="J656" s="2" t="s">
        <v>19</v>
      </c>
      <c r="K656" s="2" t="s">
        <v>648</v>
      </c>
      <c r="L656" s="7" t="str">
        <f>HYPERLINK("http://slimages.macys.com/is/image/MCY/14887463 ")</f>
        <v xml:space="preserve">http://slimages.macys.com/is/image/MCY/14887463 </v>
      </c>
    </row>
    <row r="657" spans="1:12" ht="24.75" x14ac:dyDescent="0.25">
      <c r="A657" s="4" t="s">
        <v>9231</v>
      </c>
      <c r="B657" s="2" t="s">
        <v>2021</v>
      </c>
      <c r="C657" s="3">
        <v>1</v>
      </c>
      <c r="D657" s="5">
        <v>18.38</v>
      </c>
      <c r="E657" s="3">
        <v>100018061</v>
      </c>
      <c r="F657" s="2" t="s">
        <v>64</v>
      </c>
      <c r="G657" s="6" t="s">
        <v>234</v>
      </c>
      <c r="H657" s="2" t="s">
        <v>194</v>
      </c>
      <c r="I657" s="2" t="s">
        <v>195</v>
      </c>
      <c r="J657" s="2" t="s">
        <v>19</v>
      </c>
      <c r="K657" s="2" t="s">
        <v>495</v>
      </c>
      <c r="L657" s="7" t="str">
        <f>HYPERLINK("http://slimages.macys.com/is/image/MCY/12950402 ")</f>
        <v xml:space="preserve">http://slimages.macys.com/is/image/MCY/12950402 </v>
      </c>
    </row>
    <row r="658" spans="1:12" ht="24.75" x14ac:dyDescent="0.25">
      <c r="A658" s="4" t="s">
        <v>8380</v>
      </c>
      <c r="B658" s="2" t="s">
        <v>2021</v>
      </c>
      <c r="C658" s="3">
        <v>1</v>
      </c>
      <c r="D658" s="5">
        <v>18.38</v>
      </c>
      <c r="E658" s="3">
        <v>100018061</v>
      </c>
      <c r="F658" s="2" t="s">
        <v>64</v>
      </c>
      <c r="G658" s="6" t="s">
        <v>200</v>
      </c>
      <c r="H658" s="2" t="s">
        <v>194</v>
      </c>
      <c r="I658" s="2" t="s">
        <v>195</v>
      </c>
      <c r="J658" s="2" t="s">
        <v>19</v>
      </c>
      <c r="K658" s="2" t="s">
        <v>495</v>
      </c>
      <c r="L658" s="7" t="str">
        <f>HYPERLINK("http://slimages.macys.com/is/image/MCY/12950402 ")</f>
        <v xml:space="preserve">http://slimages.macys.com/is/image/MCY/12950402 </v>
      </c>
    </row>
    <row r="659" spans="1:12" ht="24.75" x14ac:dyDescent="0.25">
      <c r="A659" s="4" t="s">
        <v>2023</v>
      </c>
      <c r="B659" s="2" t="s">
        <v>2021</v>
      </c>
      <c r="C659" s="3">
        <v>1</v>
      </c>
      <c r="D659" s="5">
        <v>18.38</v>
      </c>
      <c r="E659" s="3">
        <v>100018061</v>
      </c>
      <c r="F659" s="2" t="s">
        <v>15</v>
      </c>
      <c r="G659" s="6" t="s">
        <v>156</v>
      </c>
      <c r="H659" s="2" t="s">
        <v>194</v>
      </c>
      <c r="I659" s="2" t="s">
        <v>195</v>
      </c>
      <c r="J659" s="2" t="s">
        <v>19</v>
      </c>
      <c r="K659" s="2" t="s">
        <v>495</v>
      </c>
      <c r="L659" s="7" t="str">
        <f>HYPERLINK("http://slimages.macys.com/is/image/MCY/12950402 ")</f>
        <v xml:space="preserve">http://slimages.macys.com/is/image/MCY/12950402 </v>
      </c>
    </row>
    <row r="660" spans="1:12" ht="24.75" x14ac:dyDescent="0.25">
      <c r="A660" s="4" t="s">
        <v>10316</v>
      </c>
      <c r="B660" s="2" t="s">
        <v>10317</v>
      </c>
      <c r="C660" s="3">
        <v>1</v>
      </c>
      <c r="D660" s="5">
        <v>18.38</v>
      </c>
      <c r="E660" s="3" t="s">
        <v>10318</v>
      </c>
      <c r="F660" s="2" t="s">
        <v>26</v>
      </c>
      <c r="G660" s="6" t="s">
        <v>154</v>
      </c>
      <c r="H660" s="2" t="s">
        <v>246</v>
      </c>
      <c r="I660" s="2" t="s">
        <v>1939</v>
      </c>
      <c r="J660" s="2" t="s">
        <v>19</v>
      </c>
      <c r="K660" s="2" t="s">
        <v>3423</v>
      </c>
      <c r="L660" s="7" t="str">
        <f>HYPERLINK("http://slimages.macys.com/is/image/MCY/3427880 ")</f>
        <v xml:space="preserve">http://slimages.macys.com/is/image/MCY/3427880 </v>
      </c>
    </row>
    <row r="661" spans="1:12" ht="24.75" x14ac:dyDescent="0.25">
      <c r="A661" s="4" t="s">
        <v>10319</v>
      </c>
      <c r="B661" s="2" t="s">
        <v>6226</v>
      </c>
      <c r="C661" s="3">
        <v>1</v>
      </c>
      <c r="D661" s="5">
        <v>9.99</v>
      </c>
      <c r="E661" s="3" t="s">
        <v>6227</v>
      </c>
      <c r="F661" s="2" t="s">
        <v>1322</v>
      </c>
      <c r="G661" s="6" t="s">
        <v>181</v>
      </c>
      <c r="H661" s="2" t="s">
        <v>1473</v>
      </c>
      <c r="I661" s="2" t="s">
        <v>1426</v>
      </c>
      <c r="J661" s="2" t="s">
        <v>19</v>
      </c>
      <c r="K661" s="2" t="s">
        <v>495</v>
      </c>
      <c r="L661" s="7" t="str">
        <f>HYPERLINK("http://slimages.macys.com/is/image/MCY/11882171 ")</f>
        <v xml:space="preserve">http://slimages.macys.com/is/image/MCY/11882171 </v>
      </c>
    </row>
    <row r="662" spans="1:12" ht="24.75" x14ac:dyDescent="0.25">
      <c r="A662" s="4" t="s">
        <v>10320</v>
      </c>
      <c r="B662" s="2" t="s">
        <v>4283</v>
      </c>
      <c r="C662" s="3">
        <v>1</v>
      </c>
      <c r="D662" s="5">
        <v>9.99</v>
      </c>
      <c r="E662" s="3" t="s">
        <v>7714</v>
      </c>
      <c r="F662" s="2" t="s">
        <v>74</v>
      </c>
      <c r="G662" s="6"/>
      <c r="H662" s="2" t="s">
        <v>1425</v>
      </c>
      <c r="I662" s="2" t="s">
        <v>1426</v>
      </c>
      <c r="J662" s="2" t="s">
        <v>19</v>
      </c>
      <c r="K662" s="2" t="s">
        <v>495</v>
      </c>
      <c r="L662" s="7" t="str">
        <f>HYPERLINK("http://slimages.macys.com/is/image/MCY/10703455 ")</f>
        <v xml:space="preserve">http://slimages.macys.com/is/image/MCY/10703455 </v>
      </c>
    </row>
    <row r="663" spans="1:12" ht="24.75" x14ac:dyDescent="0.25">
      <c r="A663" s="4" t="s">
        <v>10321</v>
      </c>
      <c r="B663" s="2" t="s">
        <v>2033</v>
      </c>
      <c r="C663" s="3">
        <v>1</v>
      </c>
      <c r="D663" s="5">
        <v>9.99</v>
      </c>
      <c r="E663" s="3" t="s">
        <v>2034</v>
      </c>
      <c r="F663" s="2" t="s">
        <v>1322</v>
      </c>
      <c r="G663" s="6"/>
      <c r="H663" s="2" t="s">
        <v>1425</v>
      </c>
      <c r="I663" s="2" t="s">
        <v>1426</v>
      </c>
      <c r="J663" s="2" t="s">
        <v>19</v>
      </c>
      <c r="K663" s="2" t="s">
        <v>648</v>
      </c>
      <c r="L663" s="7" t="str">
        <f>HYPERLINK("http://slimages.macys.com/is/image/MCY/12738417 ")</f>
        <v xml:space="preserve">http://slimages.macys.com/is/image/MCY/12738417 </v>
      </c>
    </row>
    <row r="664" spans="1:12" ht="24.75" x14ac:dyDescent="0.25">
      <c r="A664" s="4" t="s">
        <v>10322</v>
      </c>
      <c r="B664" s="2" t="s">
        <v>2033</v>
      </c>
      <c r="C664" s="3">
        <v>1</v>
      </c>
      <c r="D664" s="5">
        <v>9.99</v>
      </c>
      <c r="E664" s="3" t="s">
        <v>2034</v>
      </c>
      <c r="F664" s="2" t="s">
        <v>820</v>
      </c>
      <c r="G664" s="6"/>
      <c r="H664" s="2" t="s">
        <v>1425</v>
      </c>
      <c r="I664" s="2" t="s">
        <v>1426</v>
      </c>
      <c r="J664" s="2" t="s">
        <v>19</v>
      </c>
      <c r="K664" s="2" t="s">
        <v>648</v>
      </c>
      <c r="L664" s="7" t="str">
        <f>HYPERLINK("http://slimages.macys.com/is/image/MCY/12738417 ")</f>
        <v xml:space="preserve">http://slimages.macys.com/is/image/MCY/12738417 </v>
      </c>
    </row>
    <row r="665" spans="1:12" ht="24.75" x14ac:dyDescent="0.25">
      <c r="A665" s="4" t="s">
        <v>10323</v>
      </c>
      <c r="B665" s="2" t="s">
        <v>2033</v>
      </c>
      <c r="C665" s="3">
        <v>1</v>
      </c>
      <c r="D665" s="5">
        <v>9.99</v>
      </c>
      <c r="E665" s="3" t="s">
        <v>2034</v>
      </c>
      <c r="F665" s="2" t="s">
        <v>413</v>
      </c>
      <c r="G665" s="6"/>
      <c r="H665" s="2" t="s">
        <v>1425</v>
      </c>
      <c r="I665" s="2" t="s">
        <v>1426</v>
      </c>
      <c r="J665" s="2" t="s">
        <v>19</v>
      </c>
      <c r="K665" s="2" t="s">
        <v>648</v>
      </c>
      <c r="L665" s="7" t="str">
        <f>HYPERLINK("http://slimages.macys.com/is/image/MCY/12738417 ")</f>
        <v xml:space="preserve">http://slimages.macys.com/is/image/MCY/12738417 </v>
      </c>
    </row>
    <row r="666" spans="1:12" ht="24.75" x14ac:dyDescent="0.25">
      <c r="A666" s="4" t="s">
        <v>10324</v>
      </c>
      <c r="B666" s="2" t="s">
        <v>2033</v>
      </c>
      <c r="C666" s="3">
        <v>1</v>
      </c>
      <c r="D666" s="5">
        <v>9.99</v>
      </c>
      <c r="E666" s="3" t="s">
        <v>2034</v>
      </c>
      <c r="F666" s="2" t="s">
        <v>79</v>
      </c>
      <c r="G666" s="6" t="s">
        <v>219</v>
      </c>
      <c r="H666" s="2" t="s">
        <v>1425</v>
      </c>
      <c r="I666" s="2" t="s">
        <v>1426</v>
      </c>
      <c r="J666" s="2" t="s">
        <v>19</v>
      </c>
      <c r="K666" s="2" t="s">
        <v>648</v>
      </c>
      <c r="L666" s="7" t="str">
        <f>HYPERLINK("http://slimages.macys.com/is/image/MCY/12738417 ")</f>
        <v xml:space="preserve">http://slimages.macys.com/is/image/MCY/12738417 </v>
      </c>
    </row>
    <row r="667" spans="1:12" ht="24.75" x14ac:dyDescent="0.25">
      <c r="A667" s="4" t="s">
        <v>10325</v>
      </c>
      <c r="B667" s="2" t="s">
        <v>10326</v>
      </c>
      <c r="C667" s="3">
        <v>1</v>
      </c>
      <c r="D667" s="5">
        <v>9.99</v>
      </c>
      <c r="E667" s="3" t="s">
        <v>10327</v>
      </c>
      <c r="F667" s="2" t="s">
        <v>331</v>
      </c>
      <c r="G667" s="6" t="s">
        <v>156</v>
      </c>
      <c r="H667" s="2" t="s">
        <v>1473</v>
      </c>
      <c r="I667" s="2" t="s">
        <v>1426</v>
      </c>
      <c r="J667" s="2" t="s">
        <v>19</v>
      </c>
      <c r="K667" s="2" t="s">
        <v>495</v>
      </c>
      <c r="L667" s="7" t="str">
        <f>HYPERLINK("http://slimages.macys.com/is/image/MCY/11774185 ")</f>
        <v xml:space="preserve">http://slimages.macys.com/is/image/MCY/11774185 </v>
      </c>
    </row>
    <row r="668" spans="1:12" ht="24.75" x14ac:dyDescent="0.25">
      <c r="A668" s="4" t="s">
        <v>10328</v>
      </c>
      <c r="B668" s="2" t="s">
        <v>2040</v>
      </c>
      <c r="C668" s="3">
        <v>3</v>
      </c>
      <c r="D668" s="5">
        <v>9.99</v>
      </c>
      <c r="E668" s="3" t="s">
        <v>2041</v>
      </c>
      <c r="F668" s="2" t="s">
        <v>26</v>
      </c>
      <c r="G668" s="6" t="s">
        <v>154</v>
      </c>
      <c r="H668" s="2" t="s">
        <v>1473</v>
      </c>
      <c r="I668" s="2" t="s">
        <v>1426</v>
      </c>
      <c r="J668" s="2" t="s">
        <v>19</v>
      </c>
      <c r="K668" s="2" t="s">
        <v>495</v>
      </c>
      <c r="L668" s="7" t="str">
        <f>HYPERLINK("http://slimages.macys.com/is/image/MCY/11515405 ")</f>
        <v xml:space="preserve">http://slimages.macys.com/is/image/MCY/11515405 </v>
      </c>
    </row>
    <row r="669" spans="1:12" ht="24.75" x14ac:dyDescent="0.25">
      <c r="A669" s="4" t="s">
        <v>10329</v>
      </c>
      <c r="B669" s="2" t="s">
        <v>10326</v>
      </c>
      <c r="C669" s="3">
        <v>3</v>
      </c>
      <c r="D669" s="5">
        <v>9.99</v>
      </c>
      <c r="E669" s="3" t="s">
        <v>10327</v>
      </c>
      <c r="F669" s="2" t="s">
        <v>331</v>
      </c>
      <c r="G669" s="6" t="s">
        <v>181</v>
      </c>
      <c r="H669" s="2" t="s">
        <v>1473</v>
      </c>
      <c r="I669" s="2" t="s">
        <v>1426</v>
      </c>
      <c r="J669" s="2" t="s">
        <v>19</v>
      </c>
      <c r="K669" s="2" t="s">
        <v>495</v>
      </c>
      <c r="L669" s="7" t="str">
        <f>HYPERLINK("http://slimages.macys.com/is/image/MCY/11774185 ")</f>
        <v xml:space="preserve">http://slimages.macys.com/is/image/MCY/11774185 </v>
      </c>
    </row>
    <row r="670" spans="1:12" ht="24.75" x14ac:dyDescent="0.25">
      <c r="A670" s="4" t="s">
        <v>8388</v>
      </c>
      <c r="B670" s="2" t="s">
        <v>2061</v>
      </c>
      <c r="C670" s="3">
        <v>1</v>
      </c>
      <c r="D670" s="5">
        <v>9.99</v>
      </c>
      <c r="E670" s="3" t="s">
        <v>4306</v>
      </c>
      <c r="F670" s="2" t="s">
        <v>413</v>
      </c>
      <c r="G670" s="6" t="s">
        <v>154</v>
      </c>
      <c r="H670" s="2" t="s">
        <v>1473</v>
      </c>
      <c r="I670" s="2" t="s">
        <v>1426</v>
      </c>
      <c r="J670" s="2" t="s">
        <v>19</v>
      </c>
      <c r="K670" s="2" t="s">
        <v>495</v>
      </c>
      <c r="L670" s="7" t="str">
        <f>HYPERLINK("http://slimages.macys.com/is/image/MCY/11915620 ")</f>
        <v xml:space="preserve">http://slimages.macys.com/is/image/MCY/11915620 </v>
      </c>
    </row>
    <row r="671" spans="1:12" ht="24.75" x14ac:dyDescent="0.25">
      <c r="A671" s="4" t="s">
        <v>2043</v>
      </c>
      <c r="B671" s="2" t="s">
        <v>2040</v>
      </c>
      <c r="C671" s="3">
        <v>4</v>
      </c>
      <c r="D671" s="5">
        <v>9.99</v>
      </c>
      <c r="E671" s="3" t="s">
        <v>2041</v>
      </c>
      <c r="F671" s="2" t="s">
        <v>26</v>
      </c>
      <c r="G671" s="6" t="s">
        <v>181</v>
      </c>
      <c r="H671" s="2" t="s">
        <v>1473</v>
      </c>
      <c r="I671" s="2" t="s">
        <v>1426</v>
      </c>
      <c r="J671" s="2" t="s">
        <v>19</v>
      </c>
      <c r="K671" s="2" t="s">
        <v>495</v>
      </c>
      <c r="L671" s="7" t="str">
        <f>HYPERLINK("http://slimages.macys.com/is/image/MCY/11515405 ")</f>
        <v xml:space="preserve">http://slimages.macys.com/is/image/MCY/11515405 </v>
      </c>
    </row>
    <row r="672" spans="1:12" ht="24.75" x14ac:dyDescent="0.25">
      <c r="A672" s="4" t="s">
        <v>9823</v>
      </c>
      <c r="B672" s="2" t="s">
        <v>6934</v>
      </c>
      <c r="C672" s="3">
        <v>1</v>
      </c>
      <c r="D672" s="5">
        <v>9.99</v>
      </c>
      <c r="E672" s="3" t="s">
        <v>6935</v>
      </c>
      <c r="F672" s="2" t="s">
        <v>79</v>
      </c>
      <c r="G672" s="6"/>
      <c r="H672" s="2" t="s">
        <v>1425</v>
      </c>
      <c r="I672" s="2" t="s">
        <v>1426</v>
      </c>
      <c r="J672" s="2" t="s">
        <v>19</v>
      </c>
      <c r="K672" s="2" t="s">
        <v>495</v>
      </c>
      <c r="L672" s="7" t="str">
        <f>HYPERLINK("http://slimages.macys.com/is/image/MCY/12144730 ")</f>
        <v xml:space="preserve">http://slimages.macys.com/is/image/MCY/12144730 </v>
      </c>
    </row>
    <row r="673" spans="1:12" ht="24.75" x14ac:dyDescent="0.25">
      <c r="A673" s="4" t="s">
        <v>10330</v>
      </c>
      <c r="B673" s="2" t="s">
        <v>8881</v>
      </c>
      <c r="C673" s="3">
        <v>1</v>
      </c>
      <c r="D673" s="5">
        <v>9.99</v>
      </c>
      <c r="E673" s="3" t="s">
        <v>8882</v>
      </c>
      <c r="F673" s="2" t="s">
        <v>15</v>
      </c>
      <c r="G673" s="6" t="s">
        <v>156</v>
      </c>
      <c r="H673" s="2" t="s">
        <v>1473</v>
      </c>
      <c r="I673" s="2" t="s">
        <v>1426</v>
      </c>
      <c r="J673" s="2" t="s">
        <v>19</v>
      </c>
      <c r="K673" s="2" t="s">
        <v>495</v>
      </c>
      <c r="L673" s="7" t="str">
        <f>HYPERLINK("http://slimages.macys.com/is/image/MCY/11029775 ")</f>
        <v xml:space="preserve">http://slimages.macys.com/is/image/MCY/11029775 </v>
      </c>
    </row>
    <row r="674" spans="1:12" ht="24.75" x14ac:dyDescent="0.25">
      <c r="A674" s="4" t="s">
        <v>10331</v>
      </c>
      <c r="B674" s="2" t="s">
        <v>8881</v>
      </c>
      <c r="C674" s="3">
        <v>1</v>
      </c>
      <c r="D674" s="5">
        <v>9.99</v>
      </c>
      <c r="E674" s="3" t="s">
        <v>8882</v>
      </c>
      <c r="F674" s="2" t="s">
        <v>15</v>
      </c>
      <c r="G674" s="6" t="s">
        <v>154</v>
      </c>
      <c r="H674" s="2" t="s">
        <v>1473</v>
      </c>
      <c r="I674" s="2" t="s">
        <v>1426</v>
      </c>
      <c r="J674" s="2" t="s">
        <v>19</v>
      </c>
      <c r="K674" s="2" t="s">
        <v>495</v>
      </c>
      <c r="L674" s="7" t="str">
        <f>HYPERLINK("http://slimages.macys.com/is/image/MCY/11029775 ")</f>
        <v xml:space="preserve">http://slimages.macys.com/is/image/MCY/11029775 </v>
      </c>
    </row>
    <row r="675" spans="1:12" ht="24.75" x14ac:dyDescent="0.25">
      <c r="A675" s="4" t="s">
        <v>6941</v>
      </c>
      <c r="B675" s="2" t="s">
        <v>6930</v>
      </c>
      <c r="C675" s="3">
        <v>1</v>
      </c>
      <c r="D675" s="5">
        <v>9.99</v>
      </c>
      <c r="E675" s="3" t="s">
        <v>6931</v>
      </c>
      <c r="F675" s="2" t="s">
        <v>15</v>
      </c>
      <c r="G675" s="6" t="s">
        <v>154</v>
      </c>
      <c r="H675" s="2" t="s">
        <v>1473</v>
      </c>
      <c r="I675" s="2" t="s">
        <v>1426</v>
      </c>
      <c r="J675" s="2" t="s">
        <v>19</v>
      </c>
      <c r="K675" s="2" t="s">
        <v>495</v>
      </c>
      <c r="L675" s="7" t="str">
        <f>HYPERLINK("http://slimages.macys.com/is/image/MCY/11269936 ")</f>
        <v xml:space="preserve">http://slimages.macys.com/is/image/MCY/11269936 </v>
      </c>
    </row>
    <row r="676" spans="1:12" ht="24.75" x14ac:dyDescent="0.25">
      <c r="A676" s="4" t="s">
        <v>10332</v>
      </c>
      <c r="B676" s="2" t="s">
        <v>2040</v>
      </c>
      <c r="C676" s="3">
        <v>1</v>
      </c>
      <c r="D676" s="5">
        <v>9.99</v>
      </c>
      <c r="E676" s="3" t="s">
        <v>2041</v>
      </c>
      <c r="F676" s="2" t="s">
        <v>26</v>
      </c>
      <c r="G676" s="6" t="s">
        <v>200</v>
      </c>
      <c r="H676" s="2" t="s">
        <v>1473</v>
      </c>
      <c r="I676" s="2" t="s">
        <v>1426</v>
      </c>
      <c r="J676" s="2" t="s">
        <v>19</v>
      </c>
      <c r="K676" s="2" t="s">
        <v>495</v>
      </c>
      <c r="L676" s="7" t="str">
        <f>HYPERLINK("http://slimages.macys.com/is/image/MCY/11515405 ")</f>
        <v xml:space="preserve">http://slimages.macys.com/is/image/MCY/11515405 </v>
      </c>
    </row>
    <row r="677" spans="1:12" ht="24.75" x14ac:dyDescent="0.25">
      <c r="A677" s="4" t="s">
        <v>5262</v>
      </c>
      <c r="B677" s="2" t="s">
        <v>4295</v>
      </c>
      <c r="C677" s="3">
        <v>2</v>
      </c>
      <c r="D677" s="5">
        <v>9.99</v>
      </c>
      <c r="E677" s="3" t="s">
        <v>4296</v>
      </c>
      <c r="F677" s="2" t="s">
        <v>94</v>
      </c>
      <c r="G677" s="6" t="s">
        <v>154</v>
      </c>
      <c r="H677" s="2" t="s">
        <v>1473</v>
      </c>
      <c r="I677" s="2" t="s">
        <v>1426</v>
      </c>
      <c r="J677" s="2" t="s">
        <v>19</v>
      </c>
      <c r="K677" s="2" t="s">
        <v>495</v>
      </c>
      <c r="L677" s="7" t="str">
        <f>HYPERLINK("http://slimages.macys.com/is/image/MCY/11533706 ")</f>
        <v xml:space="preserve">http://slimages.macys.com/is/image/MCY/11533706 </v>
      </c>
    </row>
    <row r="678" spans="1:12" ht="24.75" x14ac:dyDescent="0.25">
      <c r="A678" s="4" t="s">
        <v>10333</v>
      </c>
      <c r="B678" s="2" t="s">
        <v>6934</v>
      </c>
      <c r="C678" s="3">
        <v>1</v>
      </c>
      <c r="D678" s="5">
        <v>9.99</v>
      </c>
      <c r="E678" s="3" t="s">
        <v>6940</v>
      </c>
      <c r="F678" s="2" t="s">
        <v>79</v>
      </c>
      <c r="G678" s="6" t="s">
        <v>234</v>
      </c>
      <c r="H678" s="2" t="s">
        <v>1473</v>
      </c>
      <c r="I678" s="2" t="s">
        <v>1426</v>
      </c>
      <c r="J678" s="2" t="s">
        <v>19</v>
      </c>
      <c r="K678" s="2" t="s">
        <v>495</v>
      </c>
      <c r="L678" s="7" t="str">
        <f>HYPERLINK("http://slimages.macys.com/is/image/MCY/12144730 ")</f>
        <v xml:space="preserve">http://slimages.macys.com/is/image/MCY/12144730 </v>
      </c>
    </row>
    <row r="679" spans="1:12" ht="24.75" x14ac:dyDescent="0.25">
      <c r="A679" s="4" t="s">
        <v>10334</v>
      </c>
      <c r="B679" s="2" t="s">
        <v>10326</v>
      </c>
      <c r="C679" s="3">
        <v>3</v>
      </c>
      <c r="D679" s="5">
        <v>9.99</v>
      </c>
      <c r="E679" s="3" t="s">
        <v>10327</v>
      </c>
      <c r="F679" s="2" t="s">
        <v>331</v>
      </c>
      <c r="G679" s="6" t="s">
        <v>234</v>
      </c>
      <c r="H679" s="2" t="s">
        <v>1473</v>
      </c>
      <c r="I679" s="2" t="s">
        <v>1426</v>
      </c>
      <c r="J679" s="2" t="s">
        <v>19</v>
      </c>
      <c r="K679" s="2" t="s">
        <v>495</v>
      </c>
      <c r="L679" s="7" t="str">
        <f>HYPERLINK("http://slimages.macys.com/is/image/MCY/11774185 ")</f>
        <v xml:space="preserve">http://slimages.macys.com/is/image/MCY/11774185 </v>
      </c>
    </row>
    <row r="680" spans="1:12" ht="24.75" x14ac:dyDescent="0.25">
      <c r="A680" s="4" t="s">
        <v>10335</v>
      </c>
      <c r="B680" s="2" t="s">
        <v>7731</v>
      </c>
      <c r="C680" s="3">
        <v>1</v>
      </c>
      <c r="D680" s="5">
        <v>9.99</v>
      </c>
      <c r="E680" s="3" t="s">
        <v>7732</v>
      </c>
      <c r="F680" s="2" t="s">
        <v>26</v>
      </c>
      <c r="G680" s="6" t="s">
        <v>154</v>
      </c>
      <c r="H680" s="2" t="s">
        <v>1473</v>
      </c>
      <c r="I680" s="2" t="s">
        <v>1426</v>
      </c>
      <c r="J680" s="2" t="s">
        <v>19</v>
      </c>
      <c r="K680" s="2" t="s">
        <v>495</v>
      </c>
      <c r="L680" s="7" t="str">
        <f>HYPERLINK("http://slimages.macys.com/is/image/MCY/12072278 ")</f>
        <v xml:space="preserve">http://slimages.macys.com/is/image/MCY/12072278 </v>
      </c>
    </row>
    <row r="681" spans="1:12" ht="24.75" x14ac:dyDescent="0.25">
      <c r="A681" s="4" t="s">
        <v>2039</v>
      </c>
      <c r="B681" s="2" t="s">
        <v>2040</v>
      </c>
      <c r="C681" s="3">
        <v>2</v>
      </c>
      <c r="D681" s="5">
        <v>9.99</v>
      </c>
      <c r="E681" s="3" t="s">
        <v>2041</v>
      </c>
      <c r="F681" s="2" t="s">
        <v>26</v>
      </c>
      <c r="G681" s="6" t="s">
        <v>156</v>
      </c>
      <c r="H681" s="2" t="s">
        <v>1473</v>
      </c>
      <c r="I681" s="2" t="s">
        <v>1426</v>
      </c>
      <c r="J681" s="2" t="s">
        <v>19</v>
      </c>
      <c r="K681" s="2" t="s">
        <v>495</v>
      </c>
      <c r="L681" s="7" t="str">
        <f>HYPERLINK("http://slimages.macys.com/is/image/MCY/11515405 ")</f>
        <v xml:space="preserve">http://slimages.macys.com/is/image/MCY/11515405 </v>
      </c>
    </row>
    <row r="682" spans="1:12" ht="24.75" x14ac:dyDescent="0.25">
      <c r="A682" s="4" t="s">
        <v>10336</v>
      </c>
      <c r="B682" s="2" t="s">
        <v>4318</v>
      </c>
      <c r="C682" s="3">
        <v>1</v>
      </c>
      <c r="D682" s="5">
        <v>9.99</v>
      </c>
      <c r="E682" s="3" t="s">
        <v>4319</v>
      </c>
      <c r="F682" s="2" t="s">
        <v>79</v>
      </c>
      <c r="G682" s="6" t="s">
        <v>154</v>
      </c>
      <c r="H682" s="2" t="s">
        <v>1473</v>
      </c>
      <c r="I682" s="2" t="s">
        <v>1426</v>
      </c>
      <c r="J682" s="2" t="s">
        <v>19</v>
      </c>
      <c r="K682" s="2" t="s">
        <v>648</v>
      </c>
      <c r="L682" s="7" t="str">
        <f>HYPERLINK("http://slimages.macys.com/is/image/MCY/13301237 ")</f>
        <v xml:space="preserve">http://slimages.macys.com/is/image/MCY/13301237 </v>
      </c>
    </row>
    <row r="683" spans="1:12" ht="24.75" x14ac:dyDescent="0.25">
      <c r="A683" s="4" t="s">
        <v>10337</v>
      </c>
      <c r="B683" s="2" t="s">
        <v>4326</v>
      </c>
      <c r="C683" s="3">
        <v>1</v>
      </c>
      <c r="D683" s="5">
        <v>9.99</v>
      </c>
      <c r="E683" s="3" t="s">
        <v>8890</v>
      </c>
      <c r="F683" s="2" t="s">
        <v>74</v>
      </c>
      <c r="G683" s="6"/>
      <c r="H683" s="2" t="s">
        <v>1425</v>
      </c>
      <c r="I683" s="2" t="s">
        <v>1426</v>
      </c>
      <c r="J683" s="2" t="s">
        <v>19</v>
      </c>
      <c r="K683" s="2" t="s">
        <v>107</v>
      </c>
      <c r="L683" s="7" t="str">
        <f>HYPERLINK("http://slimages.macys.com/is/image/MCY/10742492 ")</f>
        <v xml:space="preserve">http://slimages.macys.com/is/image/MCY/10742492 </v>
      </c>
    </row>
    <row r="684" spans="1:12" ht="24.75" x14ac:dyDescent="0.25">
      <c r="A684" s="4" t="s">
        <v>10338</v>
      </c>
      <c r="B684" s="2" t="s">
        <v>2087</v>
      </c>
      <c r="C684" s="3">
        <v>1</v>
      </c>
      <c r="D684" s="5">
        <v>9.99</v>
      </c>
      <c r="E684" s="3" t="s">
        <v>2088</v>
      </c>
      <c r="F684" s="2" t="s">
        <v>33</v>
      </c>
      <c r="G684" s="6" t="s">
        <v>181</v>
      </c>
      <c r="H684" s="2" t="s">
        <v>1473</v>
      </c>
      <c r="I684" s="2" t="s">
        <v>1426</v>
      </c>
      <c r="J684" s="2" t="s">
        <v>19</v>
      </c>
      <c r="K684" s="2" t="s">
        <v>648</v>
      </c>
      <c r="L684" s="7" t="str">
        <f>HYPERLINK("http://slimages.macys.com/is/image/MCY/3559834 ")</f>
        <v xml:space="preserve">http://slimages.macys.com/is/image/MCY/3559834 </v>
      </c>
    </row>
    <row r="685" spans="1:12" ht="24.75" x14ac:dyDescent="0.25">
      <c r="A685" s="4" t="s">
        <v>8406</v>
      </c>
      <c r="B685" s="2" t="s">
        <v>6245</v>
      </c>
      <c r="C685" s="3">
        <v>1</v>
      </c>
      <c r="D685" s="5">
        <v>9.99</v>
      </c>
      <c r="E685" s="3" t="s">
        <v>6246</v>
      </c>
      <c r="F685" s="2" t="s">
        <v>413</v>
      </c>
      <c r="G685" s="6" t="s">
        <v>154</v>
      </c>
      <c r="H685" s="2" t="s">
        <v>1473</v>
      </c>
      <c r="I685" s="2" t="s">
        <v>1426</v>
      </c>
      <c r="J685" s="2" t="s">
        <v>19</v>
      </c>
      <c r="K685" s="2" t="s">
        <v>495</v>
      </c>
      <c r="L685" s="7" t="str">
        <f>HYPERLINK("http://slimages.macys.com/is/image/MCY/11831365 ")</f>
        <v xml:space="preserve">http://slimages.macys.com/is/image/MCY/11831365 </v>
      </c>
    </row>
    <row r="686" spans="1:12" ht="24.75" x14ac:dyDescent="0.25">
      <c r="A686" s="4" t="s">
        <v>10339</v>
      </c>
      <c r="B686" s="2" t="s">
        <v>2107</v>
      </c>
      <c r="C686" s="3">
        <v>1</v>
      </c>
      <c r="D686" s="5">
        <v>9.99</v>
      </c>
      <c r="E686" s="3" t="s">
        <v>2108</v>
      </c>
      <c r="F686" s="2" t="s">
        <v>1322</v>
      </c>
      <c r="G686" s="6" t="s">
        <v>156</v>
      </c>
      <c r="H686" s="2" t="s">
        <v>1473</v>
      </c>
      <c r="I686" s="2" t="s">
        <v>1426</v>
      </c>
      <c r="J686" s="2" t="s">
        <v>19</v>
      </c>
      <c r="K686" s="2" t="s">
        <v>495</v>
      </c>
      <c r="L686" s="7" t="str">
        <f>HYPERLINK("http://slimages.macys.com/is/image/MCY/10746269 ")</f>
        <v xml:space="preserve">http://slimages.macys.com/is/image/MCY/10746269 </v>
      </c>
    </row>
    <row r="687" spans="1:12" ht="24.75" x14ac:dyDescent="0.25">
      <c r="A687" s="4" t="s">
        <v>10340</v>
      </c>
      <c r="B687" s="2" t="s">
        <v>10341</v>
      </c>
      <c r="C687" s="3">
        <v>1</v>
      </c>
      <c r="D687" s="5">
        <v>9.99</v>
      </c>
      <c r="E687" s="3" t="s">
        <v>10342</v>
      </c>
      <c r="F687" s="2" t="s">
        <v>15</v>
      </c>
      <c r="G687" s="6" t="s">
        <v>154</v>
      </c>
      <c r="H687" s="2" t="s">
        <v>1473</v>
      </c>
      <c r="I687" s="2" t="s">
        <v>1426</v>
      </c>
      <c r="J687" s="2" t="s">
        <v>19</v>
      </c>
      <c r="K687" s="2" t="s">
        <v>495</v>
      </c>
      <c r="L687" s="7" t="str">
        <f>HYPERLINK("http://slimages.macys.com/is/image/MCY/10786772 ")</f>
        <v xml:space="preserve">http://slimages.macys.com/is/image/MCY/10786772 </v>
      </c>
    </row>
    <row r="688" spans="1:12" ht="24.75" x14ac:dyDescent="0.25">
      <c r="A688" s="4" t="s">
        <v>7001</v>
      </c>
      <c r="B688" s="2" t="s">
        <v>2103</v>
      </c>
      <c r="C688" s="3">
        <v>1</v>
      </c>
      <c r="D688" s="5">
        <v>9.99</v>
      </c>
      <c r="E688" s="3" t="s">
        <v>2104</v>
      </c>
      <c r="F688" s="2" t="s">
        <v>15</v>
      </c>
      <c r="G688" s="6" t="s">
        <v>156</v>
      </c>
      <c r="H688" s="2" t="s">
        <v>1473</v>
      </c>
      <c r="I688" s="2" t="s">
        <v>1426</v>
      </c>
      <c r="J688" s="2" t="s">
        <v>19</v>
      </c>
      <c r="K688" s="2" t="s">
        <v>495</v>
      </c>
      <c r="L688" s="7" t="str">
        <f>HYPERLINK("http://slimages.macys.com/is/image/MCY/10746425 ")</f>
        <v xml:space="preserve">http://slimages.macys.com/is/image/MCY/10746425 </v>
      </c>
    </row>
    <row r="689" spans="1:12" ht="24.75" x14ac:dyDescent="0.25">
      <c r="A689" s="4" t="s">
        <v>8414</v>
      </c>
      <c r="B689" s="2" t="s">
        <v>2100</v>
      </c>
      <c r="C689" s="3">
        <v>1</v>
      </c>
      <c r="D689" s="5">
        <v>9.99</v>
      </c>
      <c r="E689" s="3" t="s">
        <v>2101</v>
      </c>
      <c r="F689" s="2" t="s">
        <v>26</v>
      </c>
      <c r="G689" s="6" t="s">
        <v>245</v>
      </c>
      <c r="H689" s="2" t="s">
        <v>1473</v>
      </c>
      <c r="I689" s="2" t="s">
        <v>1426</v>
      </c>
      <c r="J689" s="2" t="s">
        <v>19</v>
      </c>
      <c r="K689" s="2" t="s">
        <v>495</v>
      </c>
      <c r="L689" s="7" t="str">
        <f>HYPERLINK("http://slimages.macys.com/is/image/MCY/11774903 ")</f>
        <v xml:space="preserve">http://slimages.macys.com/is/image/MCY/11774903 </v>
      </c>
    </row>
    <row r="690" spans="1:12" ht="24.75" x14ac:dyDescent="0.25">
      <c r="A690" s="4" t="s">
        <v>8413</v>
      </c>
      <c r="B690" s="2" t="s">
        <v>2100</v>
      </c>
      <c r="C690" s="3">
        <v>1</v>
      </c>
      <c r="D690" s="5">
        <v>9.99</v>
      </c>
      <c r="E690" s="3" t="s">
        <v>2101</v>
      </c>
      <c r="F690" s="2" t="s">
        <v>26</v>
      </c>
      <c r="G690" s="6" t="s">
        <v>156</v>
      </c>
      <c r="H690" s="2" t="s">
        <v>1473</v>
      </c>
      <c r="I690" s="2" t="s">
        <v>1426</v>
      </c>
      <c r="J690" s="2" t="s">
        <v>19</v>
      </c>
      <c r="K690" s="2" t="s">
        <v>495</v>
      </c>
      <c r="L690" s="7" t="str">
        <f>HYPERLINK("http://slimages.macys.com/is/image/MCY/11774903 ")</f>
        <v xml:space="preserve">http://slimages.macys.com/is/image/MCY/11774903 </v>
      </c>
    </row>
    <row r="691" spans="1:12" ht="24.75" x14ac:dyDescent="0.25">
      <c r="A691" s="4" t="s">
        <v>10343</v>
      </c>
      <c r="B691" s="2" t="s">
        <v>7764</v>
      </c>
      <c r="C691" s="3">
        <v>1</v>
      </c>
      <c r="D691" s="5">
        <v>12.99</v>
      </c>
      <c r="E691" s="3" t="s">
        <v>7765</v>
      </c>
      <c r="F691" s="2" t="s">
        <v>15</v>
      </c>
      <c r="G691" s="6" t="s">
        <v>245</v>
      </c>
      <c r="H691" s="2" t="s">
        <v>2029</v>
      </c>
      <c r="I691" s="2" t="s">
        <v>2030</v>
      </c>
      <c r="J691" s="2" t="s">
        <v>19</v>
      </c>
      <c r="K691" s="2" t="s">
        <v>495</v>
      </c>
      <c r="L691" s="7" t="str">
        <f>HYPERLINK("http://slimages.macys.com/is/image/MCY/11753159 ")</f>
        <v xml:space="preserve">http://slimages.macys.com/is/image/MCY/11753159 </v>
      </c>
    </row>
    <row r="692" spans="1:12" ht="24.75" x14ac:dyDescent="0.25">
      <c r="A692" s="4" t="s">
        <v>8423</v>
      </c>
      <c r="B692" s="2" t="s">
        <v>2113</v>
      </c>
      <c r="C692" s="3">
        <v>1</v>
      </c>
      <c r="D692" s="5">
        <v>9.99</v>
      </c>
      <c r="E692" s="3" t="s">
        <v>2114</v>
      </c>
      <c r="F692" s="2" t="s">
        <v>74</v>
      </c>
      <c r="G692" s="6"/>
      <c r="H692" s="2" t="s">
        <v>1425</v>
      </c>
      <c r="I692" s="2" t="s">
        <v>1426</v>
      </c>
      <c r="J692" s="2" t="s">
        <v>19</v>
      </c>
      <c r="K692" s="2" t="s">
        <v>648</v>
      </c>
      <c r="L692" s="7" t="str">
        <f>HYPERLINK("http://slimages.macys.com/is/image/MCY/10703601 ")</f>
        <v xml:space="preserve">http://slimages.macys.com/is/image/MCY/10703601 </v>
      </c>
    </row>
    <row r="693" spans="1:12" ht="24.75" x14ac:dyDescent="0.25">
      <c r="A693" s="4" t="s">
        <v>10344</v>
      </c>
      <c r="B693" s="2" t="s">
        <v>2113</v>
      </c>
      <c r="C693" s="3">
        <v>1</v>
      </c>
      <c r="D693" s="5">
        <v>9.99</v>
      </c>
      <c r="E693" s="3" t="s">
        <v>2114</v>
      </c>
      <c r="F693" s="2" t="s">
        <v>26</v>
      </c>
      <c r="G693" s="6"/>
      <c r="H693" s="2" t="s">
        <v>1425</v>
      </c>
      <c r="I693" s="2" t="s">
        <v>1426</v>
      </c>
      <c r="J693" s="2" t="s">
        <v>19</v>
      </c>
      <c r="K693" s="2" t="s">
        <v>648</v>
      </c>
      <c r="L693" s="7" t="str">
        <f>HYPERLINK("http://slimages.macys.com/is/image/MCY/10703601 ")</f>
        <v xml:space="preserve">http://slimages.macys.com/is/image/MCY/10703601 </v>
      </c>
    </row>
    <row r="694" spans="1:12" ht="24.75" x14ac:dyDescent="0.25">
      <c r="A694" s="4" t="s">
        <v>10345</v>
      </c>
      <c r="B694" s="2" t="s">
        <v>2083</v>
      </c>
      <c r="C694" s="3">
        <v>3</v>
      </c>
      <c r="D694" s="5">
        <v>9.99</v>
      </c>
      <c r="E694" s="3" t="s">
        <v>2084</v>
      </c>
      <c r="F694" s="2" t="s">
        <v>74</v>
      </c>
      <c r="G694" s="6" t="s">
        <v>181</v>
      </c>
      <c r="H694" s="2" t="s">
        <v>1473</v>
      </c>
      <c r="I694" s="2" t="s">
        <v>1426</v>
      </c>
      <c r="J694" s="2" t="s">
        <v>19</v>
      </c>
      <c r="K694" s="2" t="s">
        <v>648</v>
      </c>
      <c r="L694" s="7" t="str">
        <f>HYPERLINK("http://slimages.macys.com/is/image/MCY/10703349 ")</f>
        <v xml:space="preserve">http://slimages.macys.com/is/image/MCY/10703349 </v>
      </c>
    </row>
    <row r="695" spans="1:12" ht="24.75" x14ac:dyDescent="0.25">
      <c r="A695" s="4" t="s">
        <v>3249</v>
      </c>
      <c r="B695" s="2" t="s">
        <v>2083</v>
      </c>
      <c r="C695" s="3">
        <v>1</v>
      </c>
      <c r="D695" s="5">
        <v>9.99</v>
      </c>
      <c r="E695" s="3" t="s">
        <v>2084</v>
      </c>
      <c r="F695" s="2" t="s">
        <v>417</v>
      </c>
      <c r="G695" s="6" t="s">
        <v>154</v>
      </c>
      <c r="H695" s="2" t="s">
        <v>1473</v>
      </c>
      <c r="I695" s="2" t="s">
        <v>1426</v>
      </c>
      <c r="J695" s="2" t="s">
        <v>19</v>
      </c>
      <c r="K695" s="2" t="s">
        <v>648</v>
      </c>
      <c r="L695" s="7" t="str">
        <f>HYPERLINK("http://slimages.macys.com/is/image/MCY/10703349 ")</f>
        <v xml:space="preserve">http://slimages.macys.com/is/image/MCY/10703349 </v>
      </c>
    </row>
    <row r="696" spans="1:12" ht="24.75" x14ac:dyDescent="0.25">
      <c r="A696" s="4" t="s">
        <v>8424</v>
      </c>
      <c r="B696" s="2" t="s">
        <v>2083</v>
      </c>
      <c r="C696" s="3">
        <v>2</v>
      </c>
      <c r="D696" s="5">
        <v>9.99</v>
      </c>
      <c r="E696" s="3" t="s">
        <v>2084</v>
      </c>
      <c r="F696" s="2" t="s">
        <v>74</v>
      </c>
      <c r="G696" s="6" t="s">
        <v>245</v>
      </c>
      <c r="H696" s="2" t="s">
        <v>1473</v>
      </c>
      <c r="I696" s="2" t="s">
        <v>1426</v>
      </c>
      <c r="J696" s="2" t="s">
        <v>19</v>
      </c>
      <c r="K696" s="2" t="s">
        <v>648</v>
      </c>
      <c r="L696" s="7" t="str">
        <f>HYPERLINK("http://slimages.macys.com/is/image/MCY/10703349 ")</f>
        <v xml:space="preserve">http://slimages.macys.com/is/image/MCY/10703349 </v>
      </c>
    </row>
    <row r="697" spans="1:12" ht="24.75" x14ac:dyDescent="0.25">
      <c r="A697" s="4" t="s">
        <v>3252</v>
      </c>
      <c r="B697" s="2" t="s">
        <v>2083</v>
      </c>
      <c r="C697" s="3">
        <v>5</v>
      </c>
      <c r="D697" s="5">
        <v>9.99</v>
      </c>
      <c r="E697" s="3" t="s">
        <v>2084</v>
      </c>
      <c r="F697" s="2" t="s">
        <v>74</v>
      </c>
      <c r="G697" s="6" t="s">
        <v>234</v>
      </c>
      <c r="H697" s="2" t="s">
        <v>1473</v>
      </c>
      <c r="I697" s="2" t="s">
        <v>1426</v>
      </c>
      <c r="J697" s="2" t="s">
        <v>19</v>
      </c>
      <c r="K697" s="2" t="s">
        <v>648</v>
      </c>
      <c r="L697" s="7" t="str">
        <f>HYPERLINK("http://slimages.macys.com/is/image/MCY/10703349 ")</f>
        <v xml:space="preserve">http://slimages.macys.com/is/image/MCY/10703349 </v>
      </c>
    </row>
    <row r="698" spans="1:12" ht="24.75" x14ac:dyDescent="0.25">
      <c r="A698" s="4" t="s">
        <v>3256</v>
      </c>
      <c r="B698" s="2" t="s">
        <v>2083</v>
      </c>
      <c r="C698" s="3">
        <v>1</v>
      </c>
      <c r="D698" s="5">
        <v>9.99</v>
      </c>
      <c r="E698" s="3" t="s">
        <v>2084</v>
      </c>
      <c r="F698" s="2" t="s">
        <v>74</v>
      </c>
      <c r="G698" s="6" t="s">
        <v>156</v>
      </c>
      <c r="H698" s="2" t="s">
        <v>1473</v>
      </c>
      <c r="I698" s="2" t="s">
        <v>1426</v>
      </c>
      <c r="J698" s="2" t="s">
        <v>19</v>
      </c>
      <c r="K698" s="2" t="s">
        <v>648</v>
      </c>
      <c r="L698" s="7" t="str">
        <f>HYPERLINK("http://slimages.macys.com/is/image/MCY/10703349 ")</f>
        <v xml:space="preserve">http://slimages.macys.com/is/image/MCY/10703349 </v>
      </c>
    </row>
    <row r="699" spans="1:12" ht="24.75" x14ac:dyDescent="0.25">
      <c r="A699" s="4" t="s">
        <v>10346</v>
      </c>
      <c r="B699" s="2" t="s">
        <v>10347</v>
      </c>
      <c r="C699" s="3">
        <v>1</v>
      </c>
      <c r="D699" s="5">
        <v>59.63</v>
      </c>
      <c r="E699" s="3" t="s">
        <v>10348</v>
      </c>
      <c r="F699" s="2" t="s">
        <v>64</v>
      </c>
      <c r="G699" s="6" t="s">
        <v>234</v>
      </c>
      <c r="H699" s="2" t="s">
        <v>246</v>
      </c>
      <c r="I699" s="2" t="s">
        <v>189</v>
      </c>
      <c r="J699" s="2"/>
      <c r="K699" s="2"/>
      <c r="L699" s="7"/>
    </row>
    <row r="700" spans="1:12" ht="24.75" x14ac:dyDescent="0.25">
      <c r="A700" s="4" t="s">
        <v>10349</v>
      </c>
      <c r="B700" s="2" t="s">
        <v>10350</v>
      </c>
      <c r="C700" s="3">
        <v>1</v>
      </c>
      <c r="D700" s="5">
        <v>44.63</v>
      </c>
      <c r="E700" s="3" t="s">
        <v>10351</v>
      </c>
      <c r="F700" s="2" t="s">
        <v>33</v>
      </c>
      <c r="G700" s="6" t="s">
        <v>234</v>
      </c>
      <c r="H700" s="2" t="s">
        <v>194</v>
      </c>
      <c r="I700" s="2" t="s">
        <v>195</v>
      </c>
      <c r="J700" s="2"/>
      <c r="K700" s="2"/>
      <c r="L700" s="7"/>
    </row>
    <row r="701" spans="1:12" ht="24.75" x14ac:dyDescent="0.25">
      <c r="A701" s="4" t="s">
        <v>9265</v>
      </c>
      <c r="B701" s="2" t="s">
        <v>2120</v>
      </c>
      <c r="C701" s="3">
        <v>1</v>
      </c>
      <c r="D701" s="5">
        <v>40.5</v>
      </c>
      <c r="E701" s="3">
        <v>100067921</v>
      </c>
      <c r="F701" s="2" t="s">
        <v>74</v>
      </c>
      <c r="G701" s="6" t="s">
        <v>16</v>
      </c>
      <c r="H701" s="2" t="s">
        <v>228</v>
      </c>
      <c r="I701" s="2" t="s">
        <v>229</v>
      </c>
      <c r="J701" s="2"/>
      <c r="K701" s="2"/>
      <c r="L701" s="7"/>
    </row>
    <row r="702" spans="1:12" ht="24.75" x14ac:dyDescent="0.25">
      <c r="A702" s="4" t="s">
        <v>2118</v>
      </c>
      <c r="B702" s="2" t="s">
        <v>2116</v>
      </c>
      <c r="C702" s="3">
        <v>1</v>
      </c>
      <c r="D702" s="5">
        <v>37.130000000000003</v>
      </c>
      <c r="E702" s="3" t="s">
        <v>2117</v>
      </c>
      <c r="F702" s="2" t="s">
        <v>572</v>
      </c>
      <c r="G702" s="6" t="s">
        <v>65</v>
      </c>
      <c r="H702" s="2" t="s">
        <v>246</v>
      </c>
      <c r="I702" s="2" t="s">
        <v>487</v>
      </c>
      <c r="J702" s="2"/>
      <c r="K702" s="2"/>
      <c r="L702" s="7"/>
    </row>
    <row r="703" spans="1:12" ht="24.75" x14ac:dyDescent="0.25">
      <c r="A703" s="4" t="s">
        <v>7771</v>
      </c>
      <c r="B703" s="2" t="s">
        <v>2116</v>
      </c>
      <c r="C703" s="3">
        <v>1</v>
      </c>
      <c r="D703" s="5">
        <v>37.130000000000003</v>
      </c>
      <c r="E703" s="3" t="s">
        <v>2117</v>
      </c>
      <c r="F703" s="2" t="s">
        <v>572</v>
      </c>
      <c r="G703" s="6" t="s">
        <v>58</v>
      </c>
      <c r="H703" s="2" t="s">
        <v>246</v>
      </c>
      <c r="I703" s="2" t="s">
        <v>487</v>
      </c>
      <c r="J703" s="2"/>
      <c r="K703" s="2"/>
      <c r="L703" s="7"/>
    </row>
    <row r="704" spans="1:12" ht="24.75" x14ac:dyDescent="0.25">
      <c r="A704" s="4" t="s">
        <v>10352</v>
      </c>
      <c r="B704" s="2" t="s">
        <v>2116</v>
      </c>
      <c r="C704" s="3">
        <v>2</v>
      </c>
      <c r="D704" s="5">
        <v>37.130000000000003</v>
      </c>
      <c r="E704" s="3" t="s">
        <v>2117</v>
      </c>
      <c r="F704" s="2" t="s">
        <v>572</v>
      </c>
      <c r="G704" s="6" t="s">
        <v>27</v>
      </c>
      <c r="H704" s="2" t="s">
        <v>246</v>
      </c>
      <c r="I704" s="2" t="s">
        <v>487</v>
      </c>
      <c r="J704" s="2"/>
      <c r="K704" s="2"/>
      <c r="L704" s="7"/>
    </row>
    <row r="705" spans="1:12" ht="24.75" x14ac:dyDescent="0.25">
      <c r="A705" s="4" t="s">
        <v>3277</v>
      </c>
      <c r="B705" s="2" t="s">
        <v>2116</v>
      </c>
      <c r="C705" s="3">
        <v>1</v>
      </c>
      <c r="D705" s="5">
        <v>37.130000000000003</v>
      </c>
      <c r="E705" s="3" t="s">
        <v>2117</v>
      </c>
      <c r="F705" s="2" t="s">
        <v>572</v>
      </c>
      <c r="G705" s="6" t="s">
        <v>141</v>
      </c>
      <c r="H705" s="2" t="s">
        <v>246</v>
      </c>
      <c r="I705" s="2" t="s">
        <v>487</v>
      </c>
      <c r="J705" s="2"/>
      <c r="K705" s="2"/>
      <c r="L705" s="7"/>
    </row>
    <row r="706" spans="1:12" ht="24.75" x14ac:dyDescent="0.25">
      <c r="A706" s="4" t="s">
        <v>8429</v>
      </c>
      <c r="B706" s="2" t="s">
        <v>2116</v>
      </c>
      <c r="C706" s="3">
        <v>1</v>
      </c>
      <c r="D706" s="5">
        <v>37.130000000000003</v>
      </c>
      <c r="E706" s="3" t="s">
        <v>2117</v>
      </c>
      <c r="F706" s="2" t="s">
        <v>572</v>
      </c>
      <c r="G706" s="6" t="s">
        <v>22</v>
      </c>
      <c r="H706" s="2" t="s">
        <v>246</v>
      </c>
      <c r="I706" s="2" t="s">
        <v>487</v>
      </c>
      <c r="J706" s="2"/>
      <c r="K706" s="2"/>
      <c r="L706" s="7"/>
    </row>
    <row r="707" spans="1:12" ht="24.75" x14ac:dyDescent="0.25">
      <c r="A707" s="4" t="s">
        <v>10353</v>
      </c>
      <c r="B707" s="2" t="s">
        <v>2116</v>
      </c>
      <c r="C707" s="3">
        <v>2</v>
      </c>
      <c r="D707" s="5">
        <v>37.130000000000003</v>
      </c>
      <c r="E707" s="3" t="s">
        <v>2117</v>
      </c>
      <c r="F707" s="2" t="s">
        <v>572</v>
      </c>
      <c r="G707" s="6" t="s">
        <v>16</v>
      </c>
      <c r="H707" s="2" t="s">
        <v>246</v>
      </c>
      <c r="I707" s="2" t="s">
        <v>487</v>
      </c>
      <c r="J707" s="2"/>
      <c r="K707" s="2"/>
      <c r="L707" s="7"/>
    </row>
    <row r="708" spans="1:12" ht="24.75" x14ac:dyDescent="0.25">
      <c r="A708" s="4" t="s">
        <v>2115</v>
      </c>
      <c r="B708" s="2" t="s">
        <v>2116</v>
      </c>
      <c r="C708" s="3">
        <v>1</v>
      </c>
      <c r="D708" s="5">
        <v>37.130000000000003</v>
      </c>
      <c r="E708" s="3" t="s">
        <v>2117</v>
      </c>
      <c r="F708" s="2" t="s">
        <v>572</v>
      </c>
      <c r="G708" s="6" t="s">
        <v>112</v>
      </c>
      <c r="H708" s="2" t="s">
        <v>246</v>
      </c>
      <c r="I708" s="2" t="s">
        <v>487</v>
      </c>
      <c r="J708" s="2"/>
      <c r="K708" s="2"/>
      <c r="L708" s="7"/>
    </row>
    <row r="709" spans="1:12" ht="24.75" x14ac:dyDescent="0.25">
      <c r="A709" s="4" t="s">
        <v>5337</v>
      </c>
      <c r="B709" s="2" t="s">
        <v>5338</v>
      </c>
      <c r="C709" s="3">
        <v>1</v>
      </c>
      <c r="D709" s="5">
        <v>33.380000000000003</v>
      </c>
      <c r="E709" s="3" t="s">
        <v>5339</v>
      </c>
      <c r="F709" s="2" t="s">
        <v>26</v>
      </c>
      <c r="G709" s="6" t="s">
        <v>154</v>
      </c>
      <c r="H709" s="2" t="s">
        <v>246</v>
      </c>
      <c r="I709" s="2" t="s">
        <v>189</v>
      </c>
      <c r="J709" s="2"/>
      <c r="K709" s="2"/>
      <c r="L709" s="7"/>
    </row>
    <row r="710" spans="1:12" ht="24.75" x14ac:dyDescent="0.25">
      <c r="A710" s="4" t="s">
        <v>10354</v>
      </c>
      <c r="B710" s="2" t="s">
        <v>10355</v>
      </c>
      <c r="C710" s="3">
        <v>1</v>
      </c>
      <c r="D710" s="5">
        <v>36</v>
      </c>
      <c r="E710" s="3">
        <v>1103</v>
      </c>
      <c r="F710" s="2" t="s">
        <v>26</v>
      </c>
      <c r="G710" s="6" t="s">
        <v>112</v>
      </c>
      <c r="H710" s="2" t="s">
        <v>3402</v>
      </c>
      <c r="I710" s="2" t="s">
        <v>3409</v>
      </c>
      <c r="J710" s="2"/>
      <c r="K710" s="2"/>
      <c r="L710" s="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6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4.5703125" customWidth="1"/>
    <col min="3" max="4" width="15" customWidth="1"/>
    <col min="5" max="5" width="12.5703125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10356</v>
      </c>
      <c r="B2" s="2" t="s">
        <v>9873</v>
      </c>
      <c r="C2" s="3">
        <v>1</v>
      </c>
      <c r="D2" s="5">
        <v>159</v>
      </c>
      <c r="E2" s="3" t="s">
        <v>9874</v>
      </c>
      <c r="F2" s="2"/>
      <c r="G2" s="6" t="s">
        <v>65</v>
      </c>
      <c r="H2" s="2" t="s">
        <v>10357</v>
      </c>
      <c r="I2" s="2" t="s">
        <v>10358</v>
      </c>
      <c r="J2" s="2" t="s">
        <v>19</v>
      </c>
      <c r="K2" s="2" t="s">
        <v>75</v>
      </c>
      <c r="L2" s="7" t="str">
        <f>HYPERLINK("http://slimages.macys.com/is/image/MCY/12827614 ")</f>
        <v xml:space="preserve">http://slimages.macys.com/is/image/MCY/12827614 </v>
      </c>
    </row>
    <row r="3" spans="1:12" ht="36.75" x14ac:dyDescent="0.25">
      <c r="A3" s="4" t="s">
        <v>10359</v>
      </c>
      <c r="B3" s="2" t="s">
        <v>10360</v>
      </c>
      <c r="C3" s="3">
        <v>1</v>
      </c>
      <c r="D3" s="5">
        <v>159</v>
      </c>
      <c r="E3" s="3" t="s">
        <v>10361</v>
      </c>
      <c r="F3" s="2"/>
      <c r="G3" s="6" t="s">
        <v>65</v>
      </c>
      <c r="H3" s="2" t="s">
        <v>10357</v>
      </c>
      <c r="I3" s="2" t="s">
        <v>10358</v>
      </c>
      <c r="J3" s="2" t="s">
        <v>19</v>
      </c>
      <c r="K3" s="2" t="s">
        <v>49</v>
      </c>
      <c r="L3" s="7" t="str">
        <f>HYPERLINK("http://slimages.macys.com/is/image/MCY/11684862 ")</f>
        <v xml:space="preserve">http://slimages.macys.com/is/image/MCY/11684862 </v>
      </c>
    </row>
    <row r="4" spans="1:12" ht="24.75" x14ac:dyDescent="0.25">
      <c r="A4" s="4" t="s">
        <v>10362</v>
      </c>
      <c r="B4" s="2" t="s">
        <v>10363</v>
      </c>
      <c r="C4" s="3">
        <v>1</v>
      </c>
      <c r="D4" s="5">
        <v>148</v>
      </c>
      <c r="E4" s="3" t="s">
        <v>10364</v>
      </c>
      <c r="F4" s="2" t="s">
        <v>26</v>
      </c>
      <c r="G4" s="6" t="s">
        <v>39</v>
      </c>
      <c r="H4" s="2" t="s">
        <v>17</v>
      </c>
      <c r="I4" s="2" t="s">
        <v>18</v>
      </c>
      <c r="J4" s="2" t="s">
        <v>19</v>
      </c>
      <c r="K4" s="2" t="s">
        <v>258</v>
      </c>
      <c r="L4" s="7" t="str">
        <f>HYPERLINK("http://slimages.macys.com/is/image/MCY/12847546 ")</f>
        <v xml:space="preserve">http://slimages.macys.com/is/image/MCY/12847546 </v>
      </c>
    </row>
    <row r="5" spans="1:12" ht="36.75" x14ac:dyDescent="0.25">
      <c r="A5" s="4" t="s">
        <v>10365</v>
      </c>
      <c r="B5" s="2" t="s">
        <v>10366</v>
      </c>
      <c r="C5" s="3">
        <v>1</v>
      </c>
      <c r="D5" s="5">
        <v>138</v>
      </c>
      <c r="E5" s="3" t="s">
        <v>10367</v>
      </c>
      <c r="F5" s="2" t="s">
        <v>64</v>
      </c>
      <c r="G5" s="6" t="s">
        <v>22</v>
      </c>
      <c r="H5" s="2" t="s">
        <v>17</v>
      </c>
      <c r="I5" s="2" t="s">
        <v>18</v>
      </c>
      <c r="J5" s="2" t="s">
        <v>19</v>
      </c>
      <c r="K5" s="2" t="s">
        <v>2419</v>
      </c>
      <c r="L5" s="7" t="str">
        <f>HYPERLINK("http://slimages.macys.com/is/image/MCY/12874085 ")</f>
        <v xml:space="preserve">http://slimages.macys.com/is/image/MCY/12874085 </v>
      </c>
    </row>
    <row r="6" spans="1:12" ht="24.75" x14ac:dyDescent="0.25">
      <c r="A6" s="4" t="s">
        <v>80</v>
      </c>
      <c r="B6" s="2" t="s">
        <v>77</v>
      </c>
      <c r="C6" s="3">
        <v>1</v>
      </c>
      <c r="D6" s="5">
        <v>128</v>
      </c>
      <c r="E6" s="3" t="s">
        <v>78</v>
      </c>
      <c r="F6" s="2" t="s">
        <v>79</v>
      </c>
      <c r="G6" s="6" t="s">
        <v>58</v>
      </c>
      <c r="H6" s="2" t="s">
        <v>17</v>
      </c>
      <c r="I6" s="2" t="s">
        <v>18</v>
      </c>
      <c r="J6" s="2" t="s">
        <v>19</v>
      </c>
      <c r="K6" s="2" t="s">
        <v>75</v>
      </c>
      <c r="L6" s="7" t="str">
        <f>HYPERLINK("http://slimages.macys.com/is/image/MCY/13061199 ")</f>
        <v xml:space="preserve">http://slimages.macys.com/is/image/MCY/13061199 </v>
      </c>
    </row>
    <row r="7" spans="1:12" ht="24.75" x14ac:dyDescent="0.25">
      <c r="A7" s="4" t="s">
        <v>10368</v>
      </c>
      <c r="B7" s="2" t="s">
        <v>10369</v>
      </c>
      <c r="C7" s="3">
        <v>1</v>
      </c>
      <c r="D7" s="5">
        <v>128</v>
      </c>
      <c r="E7" s="3" t="s">
        <v>10370</v>
      </c>
      <c r="F7" s="2" t="s">
        <v>74</v>
      </c>
      <c r="G7" s="6" t="s">
        <v>58</v>
      </c>
      <c r="H7" s="2" t="s">
        <v>17</v>
      </c>
      <c r="I7" s="2" t="s">
        <v>18</v>
      </c>
      <c r="J7" s="2" t="s">
        <v>19</v>
      </c>
      <c r="K7" s="2" t="s">
        <v>118</v>
      </c>
      <c r="L7" s="7" t="str">
        <f>HYPERLINK("http://slimages.macys.com/is/image/MCY/10756373 ")</f>
        <v xml:space="preserve">http://slimages.macys.com/is/image/MCY/10756373 </v>
      </c>
    </row>
    <row r="8" spans="1:12" ht="24.75" x14ac:dyDescent="0.25">
      <c r="A8" s="4" t="s">
        <v>10371</v>
      </c>
      <c r="B8" s="2" t="s">
        <v>4382</v>
      </c>
      <c r="C8" s="3">
        <v>1</v>
      </c>
      <c r="D8" s="5">
        <v>128</v>
      </c>
      <c r="E8" s="3" t="s">
        <v>4383</v>
      </c>
      <c r="F8" s="2" t="s">
        <v>417</v>
      </c>
      <c r="G8" s="6" t="s">
        <v>65</v>
      </c>
      <c r="H8" s="2" t="s">
        <v>17</v>
      </c>
      <c r="I8" s="2" t="s">
        <v>18</v>
      </c>
      <c r="J8" s="2" t="s">
        <v>19</v>
      </c>
      <c r="K8" s="2" t="s">
        <v>75</v>
      </c>
      <c r="L8" s="7" t="str">
        <f>HYPERLINK("http://slimages.macys.com/is/image/MCY/12648545 ")</f>
        <v xml:space="preserve">http://slimages.macys.com/is/image/MCY/12648545 </v>
      </c>
    </row>
    <row r="9" spans="1:12" ht="24.75" x14ac:dyDescent="0.25">
      <c r="A9" s="4" t="s">
        <v>10372</v>
      </c>
      <c r="B9" s="2" t="s">
        <v>7030</v>
      </c>
      <c r="C9" s="3">
        <v>1</v>
      </c>
      <c r="D9" s="5">
        <v>128</v>
      </c>
      <c r="E9" s="3" t="s">
        <v>7031</v>
      </c>
      <c r="F9" s="2" t="s">
        <v>48</v>
      </c>
      <c r="G9" s="6" t="s">
        <v>16</v>
      </c>
      <c r="H9" s="2" t="s">
        <v>17</v>
      </c>
      <c r="I9" s="2" t="s">
        <v>18</v>
      </c>
      <c r="J9" s="2" t="s">
        <v>19</v>
      </c>
      <c r="K9" s="2" t="s">
        <v>75</v>
      </c>
      <c r="L9" s="7" t="str">
        <f>HYPERLINK("http://slimages.macys.com/is/image/MCY/12649026 ")</f>
        <v xml:space="preserve">http://slimages.macys.com/is/image/MCY/12649026 </v>
      </c>
    </row>
    <row r="10" spans="1:12" ht="24.75" x14ac:dyDescent="0.25">
      <c r="A10" s="4" t="s">
        <v>81</v>
      </c>
      <c r="B10" s="2" t="s">
        <v>77</v>
      </c>
      <c r="C10" s="3">
        <v>1</v>
      </c>
      <c r="D10" s="5">
        <v>128</v>
      </c>
      <c r="E10" s="3" t="s">
        <v>78</v>
      </c>
      <c r="F10" s="2" t="s">
        <v>79</v>
      </c>
      <c r="G10" s="6" t="s">
        <v>27</v>
      </c>
      <c r="H10" s="2" t="s">
        <v>17</v>
      </c>
      <c r="I10" s="2" t="s">
        <v>18</v>
      </c>
      <c r="J10" s="2" t="s">
        <v>19</v>
      </c>
      <c r="K10" s="2" t="s">
        <v>75</v>
      </c>
      <c r="L10" s="7" t="str">
        <f>HYPERLINK("http://slimages.macys.com/is/image/MCY/13061199 ")</f>
        <v xml:space="preserve">http://slimages.macys.com/is/image/MCY/13061199 </v>
      </c>
    </row>
    <row r="11" spans="1:12" ht="36.75" x14ac:dyDescent="0.25">
      <c r="A11" s="4" t="s">
        <v>10373</v>
      </c>
      <c r="B11" s="2" t="s">
        <v>10374</v>
      </c>
      <c r="C11" s="3">
        <v>1</v>
      </c>
      <c r="D11" s="5">
        <v>128</v>
      </c>
      <c r="E11" s="3" t="s">
        <v>10375</v>
      </c>
      <c r="F11" s="2" t="s">
        <v>33</v>
      </c>
      <c r="G11" s="6" t="s">
        <v>22</v>
      </c>
      <c r="H11" s="2" t="s">
        <v>17</v>
      </c>
      <c r="I11" s="2" t="s">
        <v>18</v>
      </c>
      <c r="J11" s="2" t="s">
        <v>19</v>
      </c>
      <c r="K11" s="2" t="s">
        <v>2419</v>
      </c>
      <c r="L11" s="7" t="str">
        <f>HYPERLINK("http://slimages.macys.com/is/image/MCY/12847654 ")</f>
        <v xml:space="preserve">http://slimages.macys.com/is/image/MCY/12847654 </v>
      </c>
    </row>
    <row r="12" spans="1:12" ht="24.75" x14ac:dyDescent="0.25">
      <c r="A12" s="4" t="s">
        <v>10376</v>
      </c>
      <c r="B12" s="2" t="s">
        <v>99</v>
      </c>
      <c r="C12" s="3">
        <v>1</v>
      </c>
      <c r="D12" s="5">
        <v>138</v>
      </c>
      <c r="E12" s="3" t="s">
        <v>100</v>
      </c>
      <c r="F12" s="2" t="s">
        <v>101</v>
      </c>
      <c r="G12" s="6" t="s">
        <v>58</v>
      </c>
      <c r="H12" s="2" t="s">
        <v>10357</v>
      </c>
      <c r="I12" s="2" t="s">
        <v>40</v>
      </c>
      <c r="J12" s="2" t="s">
        <v>19</v>
      </c>
      <c r="K12" s="2" t="s">
        <v>75</v>
      </c>
      <c r="L12" s="7" t="str">
        <f>HYPERLINK("http://slimages.macys.com/is/image/MCY/12645823 ")</f>
        <v xml:space="preserve">http://slimages.macys.com/is/image/MCY/12645823 </v>
      </c>
    </row>
    <row r="13" spans="1:12" ht="36.75" x14ac:dyDescent="0.25">
      <c r="A13" s="4" t="s">
        <v>10377</v>
      </c>
      <c r="B13" s="2" t="s">
        <v>10378</v>
      </c>
      <c r="C13" s="3">
        <v>1</v>
      </c>
      <c r="D13" s="5">
        <v>119</v>
      </c>
      <c r="E13" s="3" t="s">
        <v>9882</v>
      </c>
      <c r="F13" s="2" t="s">
        <v>417</v>
      </c>
      <c r="G13" s="6" t="s">
        <v>116</v>
      </c>
      <c r="H13" s="2" t="s">
        <v>17</v>
      </c>
      <c r="I13" s="2" t="s">
        <v>117</v>
      </c>
      <c r="J13" s="2" t="s">
        <v>19</v>
      </c>
      <c r="K13" s="2" t="s">
        <v>2419</v>
      </c>
      <c r="L13" s="7" t="str">
        <f>HYPERLINK("http://slimages.macys.com/is/image/MCY/9803016 ")</f>
        <v xml:space="preserve">http://slimages.macys.com/is/image/MCY/9803016 </v>
      </c>
    </row>
    <row r="14" spans="1:12" ht="24.75" x14ac:dyDescent="0.25">
      <c r="A14" s="4" t="s">
        <v>10379</v>
      </c>
      <c r="B14" s="2" t="s">
        <v>10380</v>
      </c>
      <c r="C14" s="3">
        <v>1</v>
      </c>
      <c r="D14" s="5">
        <v>109</v>
      </c>
      <c r="E14" s="3" t="s">
        <v>10381</v>
      </c>
      <c r="F14" s="2" t="s">
        <v>417</v>
      </c>
      <c r="G14" s="6" t="s">
        <v>3309</v>
      </c>
      <c r="H14" s="2" t="s">
        <v>17</v>
      </c>
      <c r="I14" s="2" t="s">
        <v>5356</v>
      </c>
      <c r="J14" s="2" t="s">
        <v>19</v>
      </c>
      <c r="K14" s="2" t="s">
        <v>66</v>
      </c>
      <c r="L14" s="7" t="str">
        <f>HYPERLINK("http://slimages.macys.com/is/image/MCY/12896969 ")</f>
        <v xml:space="preserve">http://slimages.macys.com/is/image/MCY/12896969 </v>
      </c>
    </row>
    <row r="15" spans="1:12" ht="24.75" x14ac:dyDescent="0.25">
      <c r="A15" s="4" t="s">
        <v>10382</v>
      </c>
      <c r="B15" s="2" t="s">
        <v>3300</v>
      </c>
      <c r="C15" s="3">
        <v>2</v>
      </c>
      <c r="D15" s="5">
        <v>108</v>
      </c>
      <c r="E15" s="3" t="s">
        <v>3301</v>
      </c>
      <c r="F15" s="2" t="s">
        <v>26</v>
      </c>
      <c r="G15" s="6" t="s">
        <v>58</v>
      </c>
      <c r="H15" s="2" t="s">
        <v>17</v>
      </c>
      <c r="I15" s="2" t="s">
        <v>18</v>
      </c>
      <c r="J15" s="2" t="s">
        <v>19</v>
      </c>
      <c r="K15" s="2" t="s">
        <v>75</v>
      </c>
      <c r="L15" s="7" t="str">
        <f>HYPERLINK("http://slimages.macys.com/is/image/MCY/13288538 ")</f>
        <v xml:space="preserve">http://slimages.macys.com/is/image/MCY/13288538 </v>
      </c>
    </row>
    <row r="16" spans="1:12" ht="24.75" x14ac:dyDescent="0.25">
      <c r="A16" s="4" t="s">
        <v>10383</v>
      </c>
      <c r="B16" s="2" t="s">
        <v>7040</v>
      </c>
      <c r="C16" s="3">
        <v>1</v>
      </c>
      <c r="D16" s="5">
        <v>119</v>
      </c>
      <c r="E16" s="3" t="s">
        <v>7041</v>
      </c>
      <c r="F16" s="2" t="s">
        <v>15</v>
      </c>
      <c r="G16" s="6" t="s">
        <v>116</v>
      </c>
      <c r="H16" s="2" t="s">
        <v>17</v>
      </c>
      <c r="I16" s="2" t="s">
        <v>145</v>
      </c>
      <c r="J16" s="2" t="s">
        <v>19</v>
      </c>
      <c r="K16" s="2" t="s">
        <v>5691</v>
      </c>
      <c r="L16" s="7" t="str">
        <f>HYPERLINK("http://slimages.macys.com/is/image/MCY/11690332 ")</f>
        <v xml:space="preserve">http://slimages.macys.com/is/image/MCY/11690332 </v>
      </c>
    </row>
    <row r="17" spans="1:12" ht="24.75" x14ac:dyDescent="0.25">
      <c r="A17" s="4" t="s">
        <v>10384</v>
      </c>
      <c r="B17" s="2" t="s">
        <v>10385</v>
      </c>
      <c r="C17" s="3">
        <v>1</v>
      </c>
      <c r="D17" s="5">
        <v>99</v>
      </c>
      <c r="E17" s="3" t="s">
        <v>10386</v>
      </c>
      <c r="F17" s="2" t="s">
        <v>53</v>
      </c>
      <c r="G17" s="6" t="s">
        <v>5361</v>
      </c>
      <c r="H17" s="2" t="s">
        <v>17</v>
      </c>
      <c r="I17" s="2" t="s">
        <v>117</v>
      </c>
      <c r="J17" s="2" t="s">
        <v>19</v>
      </c>
      <c r="K17" s="2" t="s">
        <v>160</v>
      </c>
      <c r="L17" s="7" t="str">
        <f>HYPERLINK("http://slimages.macys.com/is/image/MCY/12936498 ")</f>
        <v xml:space="preserve">http://slimages.macys.com/is/image/MCY/12936498 </v>
      </c>
    </row>
    <row r="18" spans="1:12" ht="24.75" x14ac:dyDescent="0.25">
      <c r="A18" s="4" t="s">
        <v>10387</v>
      </c>
      <c r="B18" s="2" t="s">
        <v>10388</v>
      </c>
      <c r="C18" s="3">
        <v>1</v>
      </c>
      <c r="D18" s="5">
        <v>99.5</v>
      </c>
      <c r="E18" s="3">
        <v>10722284</v>
      </c>
      <c r="F18" s="2" t="s">
        <v>15</v>
      </c>
      <c r="G18" s="6" t="s">
        <v>22</v>
      </c>
      <c r="H18" s="2" t="s">
        <v>17</v>
      </c>
      <c r="I18" s="2" t="s">
        <v>121</v>
      </c>
      <c r="J18" s="2" t="s">
        <v>19</v>
      </c>
      <c r="K18" s="2" t="s">
        <v>34</v>
      </c>
      <c r="L18" s="7" t="str">
        <f>HYPERLINK("http://slimages.macys.com/is/image/MCY/12338265 ")</f>
        <v xml:space="preserve">http://slimages.macys.com/is/image/MCY/12338265 </v>
      </c>
    </row>
    <row r="19" spans="1:12" ht="24.75" x14ac:dyDescent="0.25">
      <c r="A19" s="4" t="s">
        <v>10389</v>
      </c>
      <c r="B19" s="2" t="s">
        <v>10388</v>
      </c>
      <c r="C19" s="3">
        <v>1</v>
      </c>
      <c r="D19" s="5">
        <v>99.5</v>
      </c>
      <c r="E19" s="3">
        <v>10722284</v>
      </c>
      <c r="F19" s="2" t="s">
        <v>15</v>
      </c>
      <c r="G19" s="6" t="s">
        <v>106</v>
      </c>
      <c r="H19" s="2" t="s">
        <v>17</v>
      </c>
      <c r="I19" s="2" t="s">
        <v>121</v>
      </c>
      <c r="J19" s="2" t="s">
        <v>19</v>
      </c>
      <c r="K19" s="2" t="s">
        <v>34</v>
      </c>
      <c r="L19" s="7" t="str">
        <f>HYPERLINK("http://slimages.macys.com/is/image/MCY/12338265 ")</f>
        <v xml:space="preserve">http://slimages.macys.com/is/image/MCY/12338265 </v>
      </c>
    </row>
    <row r="20" spans="1:12" ht="24.75" x14ac:dyDescent="0.25">
      <c r="A20" s="4" t="s">
        <v>10390</v>
      </c>
      <c r="B20" s="2" t="s">
        <v>10388</v>
      </c>
      <c r="C20" s="3">
        <v>1</v>
      </c>
      <c r="D20" s="5">
        <v>99.5</v>
      </c>
      <c r="E20" s="3">
        <v>10722284</v>
      </c>
      <c r="F20" s="2" t="s">
        <v>15</v>
      </c>
      <c r="G20" s="6" t="s">
        <v>112</v>
      </c>
      <c r="H20" s="2" t="s">
        <v>17</v>
      </c>
      <c r="I20" s="2" t="s">
        <v>121</v>
      </c>
      <c r="J20" s="2" t="s">
        <v>19</v>
      </c>
      <c r="K20" s="2" t="s">
        <v>34</v>
      </c>
      <c r="L20" s="7" t="str">
        <f>HYPERLINK("http://slimages.macys.com/is/image/MCY/12338265 ")</f>
        <v xml:space="preserve">http://slimages.macys.com/is/image/MCY/12338265 </v>
      </c>
    </row>
    <row r="21" spans="1:12" ht="24.75" x14ac:dyDescent="0.25">
      <c r="A21" s="4" t="s">
        <v>10391</v>
      </c>
      <c r="B21" s="2" t="s">
        <v>10392</v>
      </c>
      <c r="C21" s="3">
        <v>1</v>
      </c>
      <c r="D21" s="5">
        <v>119</v>
      </c>
      <c r="E21" s="3" t="s">
        <v>10393</v>
      </c>
      <c r="F21" s="2" t="s">
        <v>887</v>
      </c>
      <c r="G21" s="6" t="s">
        <v>1085</v>
      </c>
      <c r="H21" s="2" t="s">
        <v>17</v>
      </c>
      <c r="I21" s="2" t="s">
        <v>145</v>
      </c>
      <c r="J21" s="2" t="s">
        <v>19</v>
      </c>
      <c r="K21" s="2" t="s">
        <v>208</v>
      </c>
      <c r="L21" s="7" t="str">
        <f>HYPERLINK("http://slimages.macys.com/is/image/MCY/13037039 ")</f>
        <v xml:space="preserve">http://slimages.macys.com/is/image/MCY/13037039 </v>
      </c>
    </row>
    <row r="22" spans="1:12" ht="24.75" x14ac:dyDescent="0.25">
      <c r="A22" s="4" t="s">
        <v>10394</v>
      </c>
      <c r="B22" s="2" t="s">
        <v>10395</v>
      </c>
      <c r="C22" s="3">
        <v>1</v>
      </c>
      <c r="D22" s="5">
        <v>89</v>
      </c>
      <c r="E22" s="3" t="s">
        <v>10396</v>
      </c>
      <c r="F22" s="2" t="s">
        <v>2680</v>
      </c>
      <c r="G22" s="6" t="s">
        <v>363</v>
      </c>
      <c r="H22" s="2" t="s">
        <v>9995</v>
      </c>
      <c r="I22" s="2" t="s">
        <v>10397</v>
      </c>
      <c r="J22" s="2" t="s">
        <v>19</v>
      </c>
      <c r="K22" s="2" t="s">
        <v>353</v>
      </c>
      <c r="L22" s="7" t="str">
        <f>HYPERLINK("http://slimages.macys.com/is/image/MCY/2020247 ")</f>
        <v xml:space="preserve">http://slimages.macys.com/is/image/MCY/2020247 </v>
      </c>
    </row>
    <row r="23" spans="1:12" ht="24.75" x14ac:dyDescent="0.25">
      <c r="A23" s="4" t="s">
        <v>10398</v>
      </c>
      <c r="B23" s="2" t="s">
        <v>10399</v>
      </c>
      <c r="C23" s="3">
        <v>1</v>
      </c>
      <c r="D23" s="5">
        <v>99</v>
      </c>
      <c r="E23" s="3" t="s">
        <v>10400</v>
      </c>
      <c r="F23" s="2" t="s">
        <v>887</v>
      </c>
      <c r="G23" s="6" t="s">
        <v>4401</v>
      </c>
      <c r="H23" s="2" t="s">
        <v>17</v>
      </c>
      <c r="I23" s="2" t="s">
        <v>145</v>
      </c>
      <c r="J23" s="2" t="s">
        <v>19</v>
      </c>
      <c r="K23" s="2" t="s">
        <v>75</v>
      </c>
      <c r="L23" s="7" t="str">
        <f>HYPERLINK("http://slimages.macys.com/is/image/MCY/11407685 ")</f>
        <v xml:space="preserve">http://slimages.macys.com/is/image/MCY/11407685 </v>
      </c>
    </row>
    <row r="24" spans="1:12" ht="24.75" x14ac:dyDescent="0.25">
      <c r="A24" s="4" t="s">
        <v>10401</v>
      </c>
      <c r="B24" s="2" t="s">
        <v>10402</v>
      </c>
      <c r="C24" s="3">
        <v>1</v>
      </c>
      <c r="D24" s="5">
        <v>98</v>
      </c>
      <c r="E24" s="3" t="s">
        <v>10403</v>
      </c>
      <c r="F24" s="2" t="s">
        <v>252</v>
      </c>
      <c r="G24" s="6" t="s">
        <v>746</v>
      </c>
      <c r="H24" s="2" t="s">
        <v>716</v>
      </c>
      <c r="I24" s="2" t="s">
        <v>10404</v>
      </c>
      <c r="J24" s="2" t="s">
        <v>19</v>
      </c>
      <c r="K24" s="2" t="s">
        <v>495</v>
      </c>
      <c r="L24" s="7" t="str">
        <f>HYPERLINK("http://slimages.macys.com/is/image/MCY/10889074 ")</f>
        <v xml:space="preserve">http://slimages.macys.com/is/image/MCY/10889074 </v>
      </c>
    </row>
    <row r="25" spans="1:12" ht="24.75" x14ac:dyDescent="0.25">
      <c r="A25" s="4" t="s">
        <v>10405</v>
      </c>
      <c r="B25" s="2" t="s">
        <v>10402</v>
      </c>
      <c r="C25" s="3">
        <v>1</v>
      </c>
      <c r="D25" s="5">
        <v>98</v>
      </c>
      <c r="E25" s="3" t="s">
        <v>10403</v>
      </c>
      <c r="F25" s="2" t="s">
        <v>252</v>
      </c>
      <c r="G25" s="6" t="s">
        <v>2276</v>
      </c>
      <c r="H25" s="2" t="s">
        <v>716</v>
      </c>
      <c r="I25" s="2" t="s">
        <v>10404</v>
      </c>
      <c r="J25" s="2" t="s">
        <v>19</v>
      </c>
      <c r="K25" s="2" t="s">
        <v>495</v>
      </c>
      <c r="L25" s="7" t="str">
        <f>HYPERLINK("http://slimages.macys.com/is/image/MCY/10889074 ")</f>
        <v xml:space="preserve">http://slimages.macys.com/is/image/MCY/10889074 </v>
      </c>
    </row>
    <row r="26" spans="1:12" ht="24.75" x14ac:dyDescent="0.25">
      <c r="A26" s="4" t="s">
        <v>3307</v>
      </c>
      <c r="B26" s="2" t="s">
        <v>143</v>
      </c>
      <c r="C26" s="3">
        <v>1</v>
      </c>
      <c r="D26" s="5">
        <v>99</v>
      </c>
      <c r="E26" s="3" t="s">
        <v>144</v>
      </c>
      <c r="F26" s="2" t="s">
        <v>26</v>
      </c>
      <c r="G26" s="6" t="s">
        <v>1085</v>
      </c>
      <c r="H26" s="2" t="s">
        <v>17</v>
      </c>
      <c r="I26" s="2" t="s">
        <v>145</v>
      </c>
      <c r="J26" s="2" t="s">
        <v>19</v>
      </c>
      <c r="K26" s="2" t="s">
        <v>75</v>
      </c>
      <c r="L26" s="7" t="str">
        <f>HYPERLINK("http://slimages.macys.com/is/image/MCY/12671553 ")</f>
        <v xml:space="preserve">http://slimages.macys.com/is/image/MCY/12671553 </v>
      </c>
    </row>
    <row r="27" spans="1:12" ht="24.75" x14ac:dyDescent="0.25">
      <c r="A27" s="4" t="s">
        <v>157</v>
      </c>
      <c r="B27" s="2" t="s">
        <v>158</v>
      </c>
      <c r="C27" s="3">
        <v>1</v>
      </c>
      <c r="D27" s="5">
        <v>99.5</v>
      </c>
      <c r="E27" s="3" t="s">
        <v>159</v>
      </c>
      <c r="F27" s="2"/>
      <c r="G27" s="6"/>
      <c r="H27" s="2" t="s">
        <v>127</v>
      </c>
      <c r="I27" s="2" t="s">
        <v>128</v>
      </c>
      <c r="J27" s="2" t="s">
        <v>19</v>
      </c>
      <c r="K27" s="2" t="s">
        <v>160</v>
      </c>
      <c r="L27" s="7" t="str">
        <f>HYPERLINK("http://slimages.macys.com/is/image/MCY/14607662 ")</f>
        <v xml:space="preserve">http://slimages.macys.com/is/image/MCY/14607662 </v>
      </c>
    </row>
    <row r="28" spans="1:12" x14ac:dyDescent="0.25">
      <c r="A28" s="4" t="s">
        <v>10406</v>
      </c>
      <c r="B28" s="2" t="s">
        <v>10407</v>
      </c>
      <c r="C28" s="3">
        <v>1</v>
      </c>
      <c r="D28" s="5">
        <v>99.5</v>
      </c>
      <c r="E28" s="3">
        <v>100064244</v>
      </c>
      <c r="F28" s="2" t="s">
        <v>252</v>
      </c>
      <c r="G28" s="6" t="s">
        <v>106</v>
      </c>
      <c r="H28" s="2" t="s">
        <v>386</v>
      </c>
      <c r="I28" s="2" t="s">
        <v>207</v>
      </c>
      <c r="J28" s="2" t="s">
        <v>19</v>
      </c>
      <c r="K28" s="2" t="s">
        <v>353</v>
      </c>
      <c r="L28" s="7" t="str">
        <f>HYPERLINK("http://slimages.macys.com/is/image/MCY/12282267 ")</f>
        <v xml:space="preserve">http://slimages.macys.com/is/image/MCY/12282267 </v>
      </c>
    </row>
    <row r="29" spans="1:12" ht="24.75" x14ac:dyDescent="0.25">
      <c r="A29" s="4" t="s">
        <v>10408</v>
      </c>
      <c r="B29" s="2" t="s">
        <v>10409</v>
      </c>
      <c r="C29" s="3">
        <v>1</v>
      </c>
      <c r="D29" s="5">
        <v>99.5</v>
      </c>
      <c r="E29" s="3">
        <v>100050164</v>
      </c>
      <c r="F29" s="2" t="s">
        <v>64</v>
      </c>
      <c r="G29" s="6" t="s">
        <v>58</v>
      </c>
      <c r="H29" s="2" t="s">
        <v>386</v>
      </c>
      <c r="I29" s="2" t="s">
        <v>337</v>
      </c>
      <c r="J29" s="2" t="s">
        <v>19</v>
      </c>
      <c r="K29" s="2" t="s">
        <v>338</v>
      </c>
      <c r="L29" s="7" t="str">
        <f>HYPERLINK("http://slimages.macys.com/is/image/MCY/12387580 ")</f>
        <v xml:space="preserve">http://slimages.macys.com/is/image/MCY/12387580 </v>
      </c>
    </row>
    <row r="30" spans="1:12" ht="24.75" x14ac:dyDescent="0.25">
      <c r="A30" s="4" t="s">
        <v>10410</v>
      </c>
      <c r="B30" s="2" t="s">
        <v>10411</v>
      </c>
      <c r="C30" s="3">
        <v>1</v>
      </c>
      <c r="D30" s="5">
        <v>74.5</v>
      </c>
      <c r="E30" s="3" t="s">
        <v>10412</v>
      </c>
      <c r="F30" s="2" t="s">
        <v>74</v>
      </c>
      <c r="G30" s="6" t="s">
        <v>219</v>
      </c>
      <c r="H30" s="2" t="s">
        <v>127</v>
      </c>
      <c r="I30" s="2" t="s">
        <v>128</v>
      </c>
      <c r="J30" s="2" t="s">
        <v>19</v>
      </c>
      <c r="K30" s="2" t="s">
        <v>353</v>
      </c>
      <c r="L30" s="7" t="str">
        <f>HYPERLINK("http://slimages.macys.com/is/image/MCY/13384308 ")</f>
        <v xml:space="preserve">http://slimages.macys.com/is/image/MCY/13384308 </v>
      </c>
    </row>
    <row r="31" spans="1:12" ht="24.75" x14ac:dyDescent="0.25">
      <c r="A31" s="4" t="s">
        <v>10413</v>
      </c>
      <c r="B31" s="2" t="s">
        <v>10414</v>
      </c>
      <c r="C31" s="3">
        <v>1</v>
      </c>
      <c r="D31" s="5">
        <v>89.5</v>
      </c>
      <c r="E31" s="3" t="s">
        <v>10415</v>
      </c>
      <c r="F31" s="2" t="s">
        <v>15</v>
      </c>
      <c r="G31" s="6" t="s">
        <v>187</v>
      </c>
      <c r="H31" s="2" t="s">
        <v>127</v>
      </c>
      <c r="I31" s="2" t="s">
        <v>128</v>
      </c>
      <c r="J31" s="2" t="s">
        <v>19</v>
      </c>
      <c r="K31" s="2" t="s">
        <v>160</v>
      </c>
      <c r="L31" s="7" t="str">
        <f>HYPERLINK("http://slimages.macys.com/is/image/MCY/12950587 ")</f>
        <v xml:space="preserve">http://slimages.macys.com/is/image/MCY/12950587 </v>
      </c>
    </row>
    <row r="32" spans="1:12" ht="24.75" x14ac:dyDescent="0.25">
      <c r="A32" s="4" t="s">
        <v>10416</v>
      </c>
      <c r="B32" s="2" t="s">
        <v>8922</v>
      </c>
      <c r="C32" s="3">
        <v>1</v>
      </c>
      <c r="D32" s="5">
        <v>74.5</v>
      </c>
      <c r="E32" s="3" t="s">
        <v>8923</v>
      </c>
      <c r="F32" s="2" t="s">
        <v>79</v>
      </c>
      <c r="G32" s="6" t="s">
        <v>126</v>
      </c>
      <c r="H32" s="2" t="s">
        <v>127</v>
      </c>
      <c r="I32" s="2" t="s">
        <v>128</v>
      </c>
      <c r="J32" s="2" t="s">
        <v>19</v>
      </c>
      <c r="K32" s="2" t="s">
        <v>34</v>
      </c>
      <c r="L32" s="7" t="str">
        <f>HYPERLINK("http://slimages.macys.com/is/image/MCY/11782919 ")</f>
        <v xml:space="preserve">http://slimages.macys.com/is/image/MCY/11782919 </v>
      </c>
    </row>
    <row r="33" spans="1:12" ht="24.75" x14ac:dyDescent="0.25">
      <c r="A33" s="4" t="s">
        <v>3342</v>
      </c>
      <c r="B33" s="2" t="s">
        <v>198</v>
      </c>
      <c r="C33" s="3">
        <v>1</v>
      </c>
      <c r="D33" s="5">
        <v>52.13</v>
      </c>
      <c r="E33" s="3">
        <v>100054438</v>
      </c>
      <c r="F33" s="2" t="s">
        <v>199</v>
      </c>
      <c r="G33" s="6" t="s">
        <v>181</v>
      </c>
      <c r="H33" s="2" t="s">
        <v>194</v>
      </c>
      <c r="I33" s="2" t="s">
        <v>195</v>
      </c>
      <c r="J33" s="2" t="s">
        <v>19</v>
      </c>
      <c r="K33" s="2" t="s">
        <v>201</v>
      </c>
      <c r="L33" s="7" t="str">
        <f>HYPERLINK("http://slimages.macys.com/is/image/MCY/12316594 ")</f>
        <v xml:space="preserve">http://slimages.macys.com/is/image/MCY/12316594 </v>
      </c>
    </row>
    <row r="34" spans="1:12" ht="24.75" x14ac:dyDescent="0.25">
      <c r="A34" s="4" t="s">
        <v>10417</v>
      </c>
      <c r="B34" s="2" t="s">
        <v>10418</v>
      </c>
      <c r="C34" s="3">
        <v>1</v>
      </c>
      <c r="D34" s="5">
        <v>65</v>
      </c>
      <c r="E34" s="3" t="s">
        <v>10419</v>
      </c>
      <c r="F34" s="2" t="s">
        <v>74</v>
      </c>
      <c r="G34" s="6" t="s">
        <v>156</v>
      </c>
      <c r="H34" s="2" t="s">
        <v>10225</v>
      </c>
      <c r="I34" s="2" t="s">
        <v>10420</v>
      </c>
      <c r="J34" s="2" t="s">
        <v>19</v>
      </c>
      <c r="K34" s="2" t="s">
        <v>160</v>
      </c>
      <c r="L34" s="7" t="str">
        <f>HYPERLINK("http://slimages.macys.com/is/image/MCY/12337659 ")</f>
        <v xml:space="preserve">http://slimages.macys.com/is/image/MCY/12337659 </v>
      </c>
    </row>
    <row r="35" spans="1:12" ht="24.75" x14ac:dyDescent="0.25">
      <c r="A35" s="4" t="s">
        <v>10421</v>
      </c>
      <c r="B35" s="2" t="s">
        <v>10422</v>
      </c>
      <c r="C35" s="3">
        <v>1</v>
      </c>
      <c r="D35" s="5">
        <v>69.5</v>
      </c>
      <c r="E35" s="3" t="s">
        <v>10423</v>
      </c>
      <c r="F35" s="2" t="s">
        <v>26</v>
      </c>
      <c r="G35" s="6"/>
      <c r="H35" s="2" t="s">
        <v>127</v>
      </c>
      <c r="I35" s="2" t="s">
        <v>128</v>
      </c>
      <c r="J35" s="2" t="s">
        <v>19</v>
      </c>
      <c r="K35" s="2" t="s">
        <v>160</v>
      </c>
      <c r="L35" s="7" t="str">
        <f>HYPERLINK("http://slimages.macys.com/is/image/MCY/13535373 ")</f>
        <v xml:space="preserve">http://slimages.macys.com/is/image/MCY/13535373 </v>
      </c>
    </row>
    <row r="36" spans="1:12" x14ac:dyDescent="0.25">
      <c r="A36" s="4" t="s">
        <v>10424</v>
      </c>
      <c r="B36" s="2" t="s">
        <v>10425</v>
      </c>
      <c r="C36" s="3">
        <v>1</v>
      </c>
      <c r="D36" s="5">
        <v>99.5</v>
      </c>
      <c r="E36" s="3">
        <v>100034686</v>
      </c>
      <c r="F36" s="2" t="s">
        <v>64</v>
      </c>
      <c r="G36" s="6" t="s">
        <v>141</v>
      </c>
      <c r="H36" s="2" t="s">
        <v>386</v>
      </c>
      <c r="I36" s="2" t="s">
        <v>337</v>
      </c>
      <c r="J36" s="2" t="s">
        <v>19</v>
      </c>
      <c r="K36" s="2" t="s">
        <v>353</v>
      </c>
      <c r="L36" s="7" t="str">
        <f>HYPERLINK("http://slimages.macys.com/is/image/MCY/9973588 ")</f>
        <v xml:space="preserve">http://slimages.macys.com/is/image/MCY/9973588 </v>
      </c>
    </row>
    <row r="37" spans="1:12" ht="24.75" x14ac:dyDescent="0.25">
      <c r="A37" s="4" t="s">
        <v>10426</v>
      </c>
      <c r="B37" s="2" t="s">
        <v>7069</v>
      </c>
      <c r="C37" s="3">
        <v>1</v>
      </c>
      <c r="D37" s="5">
        <v>52.13</v>
      </c>
      <c r="E37" s="3" t="s">
        <v>10427</v>
      </c>
      <c r="F37" s="2" t="s">
        <v>376</v>
      </c>
      <c r="G37" s="6" t="s">
        <v>245</v>
      </c>
      <c r="H37" s="2" t="s">
        <v>194</v>
      </c>
      <c r="I37" s="2" t="s">
        <v>195</v>
      </c>
      <c r="J37" s="2" t="s">
        <v>19</v>
      </c>
      <c r="K37" s="2" t="s">
        <v>160</v>
      </c>
      <c r="L37" s="7" t="str">
        <f>HYPERLINK("http://slimages.macys.com/is/image/MCY/12316659 ")</f>
        <v xml:space="preserve">http://slimages.macys.com/is/image/MCY/12316659 </v>
      </c>
    </row>
    <row r="38" spans="1:12" ht="24.75" x14ac:dyDescent="0.25">
      <c r="A38" s="4" t="s">
        <v>10428</v>
      </c>
      <c r="B38" s="2" t="s">
        <v>7069</v>
      </c>
      <c r="C38" s="3">
        <v>1</v>
      </c>
      <c r="D38" s="5">
        <v>52.13</v>
      </c>
      <c r="E38" s="3" t="s">
        <v>10427</v>
      </c>
      <c r="F38" s="2" t="s">
        <v>376</v>
      </c>
      <c r="G38" s="6" t="s">
        <v>181</v>
      </c>
      <c r="H38" s="2" t="s">
        <v>194</v>
      </c>
      <c r="I38" s="2" t="s">
        <v>195</v>
      </c>
      <c r="J38" s="2" t="s">
        <v>19</v>
      </c>
      <c r="K38" s="2" t="s">
        <v>160</v>
      </c>
      <c r="L38" s="7" t="str">
        <f>HYPERLINK("http://slimages.macys.com/is/image/MCY/12316659 ")</f>
        <v xml:space="preserve">http://slimages.macys.com/is/image/MCY/12316659 </v>
      </c>
    </row>
    <row r="39" spans="1:12" ht="24.75" x14ac:dyDescent="0.25">
      <c r="A39" s="4" t="s">
        <v>10429</v>
      </c>
      <c r="B39" s="2" t="s">
        <v>7069</v>
      </c>
      <c r="C39" s="3">
        <v>2</v>
      </c>
      <c r="D39" s="5">
        <v>52.13</v>
      </c>
      <c r="E39" s="3" t="s">
        <v>10427</v>
      </c>
      <c r="F39" s="2" t="s">
        <v>376</v>
      </c>
      <c r="G39" s="6" t="s">
        <v>154</v>
      </c>
      <c r="H39" s="2" t="s">
        <v>194</v>
      </c>
      <c r="I39" s="2" t="s">
        <v>195</v>
      </c>
      <c r="J39" s="2" t="s">
        <v>19</v>
      </c>
      <c r="K39" s="2" t="s">
        <v>160</v>
      </c>
      <c r="L39" s="7" t="str">
        <f>HYPERLINK("http://slimages.macys.com/is/image/MCY/12316659 ")</f>
        <v xml:space="preserve">http://slimages.macys.com/is/image/MCY/12316659 </v>
      </c>
    </row>
    <row r="40" spans="1:12" ht="24.75" x14ac:dyDescent="0.25">
      <c r="A40" s="4" t="s">
        <v>10430</v>
      </c>
      <c r="B40" s="2" t="s">
        <v>10431</v>
      </c>
      <c r="C40" s="3">
        <v>1</v>
      </c>
      <c r="D40" s="5">
        <v>67.13</v>
      </c>
      <c r="E40" s="3" t="s">
        <v>10432</v>
      </c>
      <c r="F40" s="2" t="s">
        <v>64</v>
      </c>
      <c r="G40" s="6" t="s">
        <v>200</v>
      </c>
      <c r="H40" s="2" t="s">
        <v>246</v>
      </c>
      <c r="I40" s="2" t="s">
        <v>189</v>
      </c>
      <c r="J40" s="2" t="s">
        <v>19</v>
      </c>
      <c r="K40" s="2" t="s">
        <v>247</v>
      </c>
      <c r="L40" s="7" t="str">
        <f>HYPERLINK("http://slimages.macys.com/is/image/MCY/11807730 ")</f>
        <v xml:space="preserve">http://slimages.macys.com/is/image/MCY/11807730 </v>
      </c>
    </row>
    <row r="41" spans="1:12" ht="24.75" x14ac:dyDescent="0.25">
      <c r="A41" s="4" t="s">
        <v>10433</v>
      </c>
      <c r="B41" s="2" t="s">
        <v>10434</v>
      </c>
      <c r="C41" s="3">
        <v>1</v>
      </c>
      <c r="D41" s="5">
        <v>62.65</v>
      </c>
      <c r="E41" s="3" t="s">
        <v>277</v>
      </c>
      <c r="F41" s="2"/>
      <c r="G41" s="6" t="s">
        <v>156</v>
      </c>
      <c r="H41" s="2" t="s">
        <v>182</v>
      </c>
      <c r="I41" s="2" t="s">
        <v>183</v>
      </c>
      <c r="J41" s="2" t="s">
        <v>19</v>
      </c>
      <c r="K41" s="2" t="s">
        <v>208</v>
      </c>
      <c r="L41" s="7" t="str">
        <f>HYPERLINK("http://slimages.macys.com/is/image/MCY/12935807 ")</f>
        <v xml:space="preserve">http://slimages.macys.com/is/image/MCY/12935807 </v>
      </c>
    </row>
    <row r="42" spans="1:12" ht="24.75" x14ac:dyDescent="0.25">
      <c r="A42" s="4" t="s">
        <v>10435</v>
      </c>
      <c r="B42" s="2" t="s">
        <v>10436</v>
      </c>
      <c r="C42" s="3">
        <v>1</v>
      </c>
      <c r="D42" s="5">
        <v>89.5</v>
      </c>
      <c r="E42" s="3">
        <v>100061837</v>
      </c>
      <c r="F42" s="2" t="s">
        <v>64</v>
      </c>
      <c r="G42" s="6" t="s">
        <v>58</v>
      </c>
      <c r="H42" s="2" t="s">
        <v>386</v>
      </c>
      <c r="I42" s="2" t="s">
        <v>337</v>
      </c>
      <c r="J42" s="2" t="s">
        <v>19</v>
      </c>
      <c r="K42" s="2" t="s">
        <v>929</v>
      </c>
      <c r="L42" s="7" t="str">
        <f>HYPERLINK("http://slimages.macys.com/is/image/MCY/12792763 ")</f>
        <v xml:space="preserve">http://slimages.macys.com/is/image/MCY/12792763 </v>
      </c>
    </row>
    <row r="43" spans="1:12" ht="24.75" x14ac:dyDescent="0.25">
      <c r="A43" s="4" t="s">
        <v>10437</v>
      </c>
      <c r="B43" s="2" t="s">
        <v>2176</v>
      </c>
      <c r="C43" s="3">
        <v>1</v>
      </c>
      <c r="D43" s="5">
        <v>51.75</v>
      </c>
      <c r="E43" s="3">
        <v>100053415</v>
      </c>
      <c r="F43" s="2" t="s">
        <v>15</v>
      </c>
      <c r="G43" s="6" t="s">
        <v>156</v>
      </c>
      <c r="H43" s="2" t="s">
        <v>228</v>
      </c>
      <c r="I43" s="2" t="s">
        <v>229</v>
      </c>
      <c r="J43" s="2" t="s">
        <v>19</v>
      </c>
      <c r="K43" s="2" t="s">
        <v>230</v>
      </c>
      <c r="L43" s="7" t="str">
        <f>HYPERLINK("http://slimages.macys.com/is/image/MCY/12317942 ")</f>
        <v xml:space="preserve">http://slimages.macys.com/is/image/MCY/12317942 </v>
      </c>
    </row>
    <row r="44" spans="1:12" ht="24.75" x14ac:dyDescent="0.25">
      <c r="A44" s="4" t="s">
        <v>8929</v>
      </c>
      <c r="B44" s="2" t="s">
        <v>5387</v>
      </c>
      <c r="C44" s="3">
        <v>1</v>
      </c>
      <c r="D44" s="5">
        <v>52.13</v>
      </c>
      <c r="E44" s="3" t="s">
        <v>5388</v>
      </c>
      <c r="F44" s="2" t="s">
        <v>26</v>
      </c>
      <c r="G44" s="6" t="s">
        <v>181</v>
      </c>
      <c r="H44" s="2" t="s">
        <v>246</v>
      </c>
      <c r="I44" s="2" t="s">
        <v>189</v>
      </c>
      <c r="J44" s="2" t="s">
        <v>19</v>
      </c>
      <c r="K44" s="2" t="s">
        <v>2180</v>
      </c>
      <c r="L44" s="7" t="str">
        <f>HYPERLINK("http://slimages.macys.com/is/image/MCY/11707408 ")</f>
        <v xml:space="preserve">http://slimages.macys.com/is/image/MCY/11707408 </v>
      </c>
    </row>
    <row r="45" spans="1:12" ht="24.75" x14ac:dyDescent="0.25">
      <c r="A45" s="4" t="s">
        <v>10438</v>
      </c>
      <c r="B45" s="2" t="s">
        <v>255</v>
      </c>
      <c r="C45" s="3">
        <v>1</v>
      </c>
      <c r="D45" s="5">
        <v>62.15</v>
      </c>
      <c r="E45" s="3" t="s">
        <v>256</v>
      </c>
      <c r="F45" s="2" t="s">
        <v>26</v>
      </c>
      <c r="G45" s="6" t="s">
        <v>245</v>
      </c>
      <c r="H45" s="2" t="s">
        <v>182</v>
      </c>
      <c r="I45" s="2" t="s">
        <v>183</v>
      </c>
      <c r="J45" s="2" t="s">
        <v>19</v>
      </c>
      <c r="K45" s="2" t="s">
        <v>258</v>
      </c>
      <c r="L45" s="7" t="str">
        <f>HYPERLINK("http://slimages.macys.com/is/image/MCY/12851794 ")</f>
        <v xml:space="preserve">http://slimages.macys.com/is/image/MCY/12851794 </v>
      </c>
    </row>
    <row r="46" spans="1:12" ht="36.75" x14ac:dyDescent="0.25">
      <c r="A46" s="4" t="s">
        <v>10439</v>
      </c>
      <c r="B46" s="2" t="s">
        <v>10440</v>
      </c>
      <c r="C46" s="3">
        <v>1</v>
      </c>
      <c r="D46" s="5">
        <v>99.5</v>
      </c>
      <c r="E46" s="3" t="s">
        <v>10441</v>
      </c>
      <c r="F46" s="2" t="s">
        <v>464</v>
      </c>
      <c r="G46" s="6"/>
      <c r="H46" s="2" t="s">
        <v>206</v>
      </c>
      <c r="I46" s="2" t="s">
        <v>207</v>
      </c>
      <c r="J46" s="2" t="s">
        <v>19</v>
      </c>
      <c r="K46" s="2" t="s">
        <v>10442</v>
      </c>
      <c r="L46" s="7" t="str">
        <f>HYPERLINK("http://slimages.macys.com/is/image/MCY/12792820 ")</f>
        <v xml:space="preserve">http://slimages.macys.com/is/image/MCY/12792820 </v>
      </c>
    </row>
    <row r="47" spans="1:12" ht="24.75" x14ac:dyDescent="0.25">
      <c r="A47" s="4" t="s">
        <v>10443</v>
      </c>
      <c r="B47" s="2" t="s">
        <v>4467</v>
      </c>
      <c r="C47" s="3">
        <v>1</v>
      </c>
      <c r="D47" s="5">
        <v>51.75</v>
      </c>
      <c r="E47" s="3" t="s">
        <v>10444</v>
      </c>
      <c r="F47" s="2" t="s">
        <v>225</v>
      </c>
      <c r="G47" s="6" t="s">
        <v>934</v>
      </c>
      <c r="H47" s="2" t="s">
        <v>426</v>
      </c>
      <c r="I47" s="2" t="s">
        <v>229</v>
      </c>
      <c r="J47" s="2" t="s">
        <v>19</v>
      </c>
      <c r="K47" s="2" t="s">
        <v>253</v>
      </c>
      <c r="L47" s="7" t="str">
        <f>HYPERLINK("http://slimages.macys.com/is/image/MCY/12316723 ")</f>
        <v xml:space="preserve">http://slimages.macys.com/is/image/MCY/12316723 </v>
      </c>
    </row>
    <row r="48" spans="1:12" ht="24.75" x14ac:dyDescent="0.25">
      <c r="A48" s="4" t="s">
        <v>10445</v>
      </c>
      <c r="B48" s="2" t="s">
        <v>10446</v>
      </c>
      <c r="C48" s="3">
        <v>1</v>
      </c>
      <c r="D48" s="5">
        <v>65</v>
      </c>
      <c r="E48" s="3" t="s">
        <v>10447</v>
      </c>
      <c r="F48" s="2" t="s">
        <v>15</v>
      </c>
      <c r="G48" s="6" t="s">
        <v>22</v>
      </c>
      <c r="H48" s="2" t="s">
        <v>716</v>
      </c>
      <c r="I48" s="2" t="s">
        <v>717</v>
      </c>
      <c r="J48" s="2" t="s">
        <v>19</v>
      </c>
      <c r="K48" s="2" t="s">
        <v>648</v>
      </c>
      <c r="L48" s="7" t="str">
        <f>HYPERLINK("http://slimages.macys.com/is/image/MCY/11531939 ")</f>
        <v xml:space="preserve">http://slimages.macys.com/is/image/MCY/11531939 </v>
      </c>
    </row>
    <row r="49" spans="1:12" ht="24.75" x14ac:dyDescent="0.25">
      <c r="A49" s="4" t="s">
        <v>10448</v>
      </c>
      <c r="B49" s="2" t="s">
        <v>325</v>
      </c>
      <c r="C49" s="3">
        <v>1</v>
      </c>
      <c r="D49" s="5">
        <v>52.13</v>
      </c>
      <c r="E49" s="3">
        <v>100022115</v>
      </c>
      <c r="F49" s="2" t="s">
        <v>74</v>
      </c>
      <c r="G49" s="6" t="s">
        <v>156</v>
      </c>
      <c r="H49" s="2" t="s">
        <v>194</v>
      </c>
      <c r="I49" s="2" t="s">
        <v>307</v>
      </c>
      <c r="J49" s="2" t="s">
        <v>19</v>
      </c>
      <c r="K49" s="2" t="s">
        <v>10449</v>
      </c>
      <c r="L49" s="7" t="str">
        <f>HYPERLINK("http://slimages.macys.com/is/image/MCY/9484121 ")</f>
        <v xml:space="preserve">http://slimages.macys.com/is/image/MCY/9484121 </v>
      </c>
    </row>
    <row r="50" spans="1:12" x14ac:dyDescent="0.25">
      <c r="A50" s="4" t="s">
        <v>10450</v>
      </c>
      <c r="B50" s="2" t="s">
        <v>10451</v>
      </c>
      <c r="C50" s="3">
        <v>1</v>
      </c>
      <c r="D50" s="5">
        <v>79.5</v>
      </c>
      <c r="E50" s="3">
        <v>100055622</v>
      </c>
      <c r="F50" s="2" t="s">
        <v>64</v>
      </c>
      <c r="G50" s="6" t="s">
        <v>27</v>
      </c>
      <c r="H50" s="2" t="s">
        <v>386</v>
      </c>
      <c r="I50" s="2" t="s">
        <v>337</v>
      </c>
      <c r="J50" s="2" t="s">
        <v>19</v>
      </c>
      <c r="K50" s="2" t="s">
        <v>353</v>
      </c>
      <c r="L50" s="7" t="str">
        <f>HYPERLINK("http://slimages.macys.com/is/image/MCY/12231358 ")</f>
        <v xml:space="preserve">http://slimages.macys.com/is/image/MCY/12231358 </v>
      </c>
    </row>
    <row r="51" spans="1:12" ht="24.75" x14ac:dyDescent="0.25">
      <c r="A51" s="4" t="s">
        <v>10452</v>
      </c>
      <c r="B51" s="2" t="s">
        <v>10453</v>
      </c>
      <c r="C51" s="3">
        <v>3</v>
      </c>
      <c r="D51" s="5">
        <v>52.13</v>
      </c>
      <c r="E51" s="3" t="s">
        <v>10454</v>
      </c>
      <c r="F51" s="2" t="s">
        <v>417</v>
      </c>
      <c r="G51" s="6" t="s">
        <v>154</v>
      </c>
      <c r="H51" s="2" t="s">
        <v>194</v>
      </c>
      <c r="I51" s="2" t="s">
        <v>195</v>
      </c>
      <c r="J51" s="2" t="s">
        <v>19</v>
      </c>
      <c r="K51" s="2" t="s">
        <v>438</v>
      </c>
      <c r="L51" s="7" t="str">
        <f>HYPERLINK("http://slimages.macys.com/is/image/MCY/12279959 ")</f>
        <v xml:space="preserve">http://slimages.macys.com/is/image/MCY/12279959 </v>
      </c>
    </row>
    <row r="52" spans="1:12" ht="24.75" x14ac:dyDescent="0.25">
      <c r="A52" s="4" t="s">
        <v>10455</v>
      </c>
      <c r="B52" s="2" t="s">
        <v>10456</v>
      </c>
      <c r="C52" s="3">
        <v>1</v>
      </c>
      <c r="D52" s="5">
        <v>52.13</v>
      </c>
      <c r="E52" s="3" t="s">
        <v>10457</v>
      </c>
      <c r="F52" s="2" t="s">
        <v>64</v>
      </c>
      <c r="G52" s="6" t="s">
        <v>154</v>
      </c>
      <c r="H52" s="2" t="s">
        <v>246</v>
      </c>
      <c r="I52" s="2" t="s">
        <v>189</v>
      </c>
      <c r="J52" s="2" t="s">
        <v>19</v>
      </c>
      <c r="K52" s="2" t="s">
        <v>263</v>
      </c>
      <c r="L52" s="7" t="str">
        <f>HYPERLINK("http://slimages.macys.com/is/image/MCY/12723440 ")</f>
        <v xml:space="preserve">http://slimages.macys.com/is/image/MCY/12723440 </v>
      </c>
    </row>
    <row r="53" spans="1:12" ht="24.75" x14ac:dyDescent="0.25">
      <c r="A53" s="4" t="s">
        <v>10458</v>
      </c>
      <c r="B53" s="2" t="s">
        <v>288</v>
      </c>
      <c r="C53" s="3">
        <v>1</v>
      </c>
      <c r="D53" s="5">
        <v>52.13</v>
      </c>
      <c r="E53" s="3" t="s">
        <v>10459</v>
      </c>
      <c r="F53" s="2" t="s">
        <v>64</v>
      </c>
      <c r="G53" s="6"/>
      <c r="H53" s="2" t="s">
        <v>312</v>
      </c>
      <c r="I53" s="2" t="s">
        <v>195</v>
      </c>
      <c r="J53" s="2" t="s">
        <v>19</v>
      </c>
      <c r="K53" s="2" t="s">
        <v>247</v>
      </c>
      <c r="L53" s="7" t="str">
        <f>HYPERLINK("http://slimages.macys.com/is/image/MCY/12849992 ")</f>
        <v xml:space="preserve">http://slimages.macys.com/is/image/MCY/12849992 </v>
      </c>
    </row>
    <row r="54" spans="1:12" ht="24.75" x14ac:dyDescent="0.25">
      <c r="A54" s="4" t="s">
        <v>10460</v>
      </c>
      <c r="B54" s="2" t="s">
        <v>288</v>
      </c>
      <c r="C54" s="3">
        <v>1</v>
      </c>
      <c r="D54" s="5">
        <v>52.13</v>
      </c>
      <c r="E54" s="3" t="s">
        <v>10459</v>
      </c>
      <c r="F54" s="2" t="s">
        <v>64</v>
      </c>
      <c r="G54" s="6"/>
      <c r="H54" s="2" t="s">
        <v>312</v>
      </c>
      <c r="I54" s="2" t="s">
        <v>195</v>
      </c>
      <c r="J54" s="2" t="s">
        <v>19</v>
      </c>
      <c r="K54" s="2" t="s">
        <v>247</v>
      </c>
      <c r="L54" s="7" t="str">
        <f>HYPERLINK("http://slimages.macys.com/is/image/MCY/12849992 ")</f>
        <v xml:space="preserve">http://slimages.macys.com/is/image/MCY/12849992 </v>
      </c>
    </row>
    <row r="55" spans="1:12" ht="24.75" x14ac:dyDescent="0.25">
      <c r="A55" s="4" t="s">
        <v>10461</v>
      </c>
      <c r="B55" s="2" t="s">
        <v>288</v>
      </c>
      <c r="C55" s="3">
        <v>1</v>
      </c>
      <c r="D55" s="5">
        <v>52.13</v>
      </c>
      <c r="E55" s="3" t="s">
        <v>10459</v>
      </c>
      <c r="F55" s="2" t="s">
        <v>64</v>
      </c>
      <c r="G55" s="6"/>
      <c r="H55" s="2" t="s">
        <v>312</v>
      </c>
      <c r="I55" s="2" t="s">
        <v>195</v>
      </c>
      <c r="J55" s="2" t="s">
        <v>19</v>
      </c>
      <c r="K55" s="2" t="s">
        <v>247</v>
      </c>
      <c r="L55" s="7" t="str">
        <f>HYPERLINK("http://slimages.macys.com/is/image/MCY/12849992 ")</f>
        <v xml:space="preserve">http://slimages.macys.com/is/image/MCY/12849992 </v>
      </c>
    </row>
    <row r="56" spans="1:12" ht="24.75" x14ac:dyDescent="0.25">
      <c r="A56" s="4" t="s">
        <v>299</v>
      </c>
      <c r="B56" s="2" t="s">
        <v>300</v>
      </c>
      <c r="C56" s="3">
        <v>1</v>
      </c>
      <c r="D56" s="5">
        <v>44.63</v>
      </c>
      <c r="E56" s="3">
        <v>100047682</v>
      </c>
      <c r="F56" s="2" t="s">
        <v>74</v>
      </c>
      <c r="G56" s="6" t="s">
        <v>181</v>
      </c>
      <c r="H56" s="2" t="s">
        <v>194</v>
      </c>
      <c r="I56" s="2" t="s">
        <v>195</v>
      </c>
      <c r="J56" s="2" t="s">
        <v>19</v>
      </c>
      <c r="K56" s="2" t="s">
        <v>301</v>
      </c>
      <c r="L56" s="7" t="str">
        <f>HYPERLINK("http://slimages.macys.com/is/image/MCY/12063734 ")</f>
        <v xml:space="preserve">http://slimages.macys.com/is/image/MCY/12063734 </v>
      </c>
    </row>
    <row r="57" spans="1:12" ht="24.75" x14ac:dyDescent="0.25">
      <c r="A57" s="4" t="s">
        <v>4477</v>
      </c>
      <c r="B57" s="2" t="s">
        <v>2202</v>
      </c>
      <c r="C57" s="3">
        <v>1</v>
      </c>
      <c r="D57" s="5">
        <v>48.38</v>
      </c>
      <c r="E57" s="3" t="s">
        <v>2203</v>
      </c>
      <c r="F57" s="2" t="s">
        <v>26</v>
      </c>
      <c r="G57" s="6" t="s">
        <v>2276</v>
      </c>
      <c r="H57" s="2" t="s">
        <v>349</v>
      </c>
      <c r="I57" s="2" t="s">
        <v>285</v>
      </c>
      <c r="J57" s="2" t="s">
        <v>19</v>
      </c>
      <c r="K57" s="2" t="s">
        <v>2204</v>
      </c>
      <c r="L57" s="7" t="str">
        <f>HYPERLINK("http://slimages.macys.com/is/image/MCY/11859318 ")</f>
        <v xml:space="preserve">http://slimages.macys.com/is/image/MCY/11859318 </v>
      </c>
    </row>
    <row r="58" spans="1:12" ht="24.75" x14ac:dyDescent="0.25">
      <c r="A58" s="4" t="s">
        <v>10462</v>
      </c>
      <c r="B58" s="2" t="s">
        <v>10463</v>
      </c>
      <c r="C58" s="3">
        <v>1</v>
      </c>
      <c r="D58" s="5">
        <v>48.38</v>
      </c>
      <c r="E58" s="3" t="s">
        <v>10464</v>
      </c>
      <c r="F58" s="2" t="s">
        <v>417</v>
      </c>
      <c r="G58" s="6" t="s">
        <v>112</v>
      </c>
      <c r="H58" s="2" t="s">
        <v>213</v>
      </c>
      <c r="I58" s="2" t="s">
        <v>214</v>
      </c>
      <c r="J58" s="2" t="s">
        <v>19</v>
      </c>
      <c r="K58" s="2" t="s">
        <v>2231</v>
      </c>
      <c r="L58" s="7" t="str">
        <f>HYPERLINK("http://slimages.macys.com/is/image/MCY/11939924 ")</f>
        <v xml:space="preserve">http://slimages.macys.com/is/image/MCY/11939924 </v>
      </c>
    </row>
    <row r="59" spans="1:12" ht="24.75" x14ac:dyDescent="0.25">
      <c r="A59" s="4" t="s">
        <v>10465</v>
      </c>
      <c r="B59" s="2" t="s">
        <v>10463</v>
      </c>
      <c r="C59" s="3">
        <v>1</v>
      </c>
      <c r="D59" s="5">
        <v>48.38</v>
      </c>
      <c r="E59" s="3" t="s">
        <v>10464</v>
      </c>
      <c r="F59" s="2" t="s">
        <v>417</v>
      </c>
      <c r="G59" s="6" t="s">
        <v>16</v>
      </c>
      <c r="H59" s="2" t="s">
        <v>213</v>
      </c>
      <c r="I59" s="2" t="s">
        <v>214</v>
      </c>
      <c r="J59" s="2" t="s">
        <v>19</v>
      </c>
      <c r="K59" s="2" t="s">
        <v>2231</v>
      </c>
      <c r="L59" s="7" t="str">
        <f>HYPERLINK("http://slimages.macys.com/is/image/MCY/11939924 ")</f>
        <v xml:space="preserve">http://slimages.macys.com/is/image/MCY/11939924 </v>
      </c>
    </row>
    <row r="60" spans="1:12" ht="24.75" x14ac:dyDescent="0.25">
      <c r="A60" s="4" t="s">
        <v>10466</v>
      </c>
      <c r="B60" s="2" t="s">
        <v>10463</v>
      </c>
      <c r="C60" s="3">
        <v>1</v>
      </c>
      <c r="D60" s="5">
        <v>48.38</v>
      </c>
      <c r="E60" s="3" t="s">
        <v>10464</v>
      </c>
      <c r="F60" s="2" t="s">
        <v>417</v>
      </c>
      <c r="G60" s="6" t="s">
        <v>65</v>
      </c>
      <c r="H60" s="2" t="s">
        <v>213</v>
      </c>
      <c r="I60" s="2" t="s">
        <v>214</v>
      </c>
      <c r="J60" s="2" t="s">
        <v>19</v>
      </c>
      <c r="K60" s="2" t="s">
        <v>2231</v>
      </c>
      <c r="L60" s="7" t="str">
        <f>HYPERLINK("http://slimages.macys.com/is/image/MCY/11939924 ")</f>
        <v xml:space="preserve">http://slimages.macys.com/is/image/MCY/11939924 </v>
      </c>
    </row>
    <row r="61" spans="1:12" ht="24.75" x14ac:dyDescent="0.25">
      <c r="A61" s="4" t="s">
        <v>10467</v>
      </c>
      <c r="B61" s="2" t="s">
        <v>10463</v>
      </c>
      <c r="C61" s="3">
        <v>1</v>
      </c>
      <c r="D61" s="5">
        <v>48.38</v>
      </c>
      <c r="E61" s="3" t="s">
        <v>10464</v>
      </c>
      <c r="F61" s="2" t="s">
        <v>417</v>
      </c>
      <c r="G61" s="6" t="s">
        <v>58</v>
      </c>
      <c r="H61" s="2" t="s">
        <v>213</v>
      </c>
      <c r="I61" s="2" t="s">
        <v>214</v>
      </c>
      <c r="J61" s="2" t="s">
        <v>19</v>
      </c>
      <c r="K61" s="2" t="s">
        <v>2231</v>
      </c>
      <c r="L61" s="7" t="str">
        <f>HYPERLINK("http://slimages.macys.com/is/image/MCY/11939924 ")</f>
        <v xml:space="preserve">http://slimages.macys.com/is/image/MCY/11939924 </v>
      </c>
    </row>
    <row r="62" spans="1:12" ht="24.75" x14ac:dyDescent="0.25">
      <c r="A62" s="4" t="s">
        <v>10468</v>
      </c>
      <c r="B62" s="2" t="s">
        <v>10469</v>
      </c>
      <c r="C62" s="3">
        <v>1</v>
      </c>
      <c r="D62" s="5">
        <v>69.5</v>
      </c>
      <c r="E62" s="3" t="s">
        <v>10470</v>
      </c>
      <c r="F62" s="2" t="s">
        <v>506</v>
      </c>
      <c r="G62" s="6" t="s">
        <v>802</v>
      </c>
      <c r="H62" s="2" t="s">
        <v>127</v>
      </c>
      <c r="I62" s="2" t="s">
        <v>128</v>
      </c>
      <c r="J62" s="2"/>
      <c r="K62" s="2"/>
      <c r="L62" s="7" t="str">
        <f>HYPERLINK("http://slimages.macys.com/is/image/MCY/8164682 ")</f>
        <v xml:space="preserve">http://slimages.macys.com/is/image/MCY/8164682 </v>
      </c>
    </row>
    <row r="63" spans="1:12" ht="24.75" x14ac:dyDescent="0.25">
      <c r="A63" s="4" t="s">
        <v>2214</v>
      </c>
      <c r="B63" s="2" t="s">
        <v>319</v>
      </c>
      <c r="C63" s="3">
        <v>1</v>
      </c>
      <c r="D63" s="5">
        <v>44.63</v>
      </c>
      <c r="E63" s="3" t="s">
        <v>320</v>
      </c>
      <c r="F63" s="2" t="s">
        <v>26</v>
      </c>
      <c r="G63" s="6" t="s">
        <v>154</v>
      </c>
      <c r="H63" s="2" t="s">
        <v>194</v>
      </c>
      <c r="I63" s="2" t="s">
        <v>195</v>
      </c>
      <c r="J63" s="2" t="s">
        <v>19</v>
      </c>
      <c r="K63" s="2" t="s">
        <v>107</v>
      </c>
      <c r="L63" s="7" t="str">
        <f>HYPERLINK("http://slimages.macys.com/is/image/MCY/12794080 ")</f>
        <v xml:space="preserve">http://slimages.macys.com/is/image/MCY/12794080 </v>
      </c>
    </row>
    <row r="64" spans="1:12" ht="24.75" x14ac:dyDescent="0.25">
      <c r="A64" s="4" t="s">
        <v>10471</v>
      </c>
      <c r="B64" s="2" t="s">
        <v>4483</v>
      </c>
      <c r="C64" s="3">
        <v>2</v>
      </c>
      <c r="D64" s="5">
        <v>52.13</v>
      </c>
      <c r="E64" s="3" t="s">
        <v>4484</v>
      </c>
      <c r="F64" s="2" t="s">
        <v>26</v>
      </c>
      <c r="G64" s="6" t="s">
        <v>22</v>
      </c>
      <c r="H64" s="2" t="s">
        <v>246</v>
      </c>
      <c r="I64" s="2" t="s">
        <v>189</v>
      </c>
      <c r="J64" s="2" t="s">
        <v>19</v>
      </c>
      <c r="K64" s="2" t="s">
        <v>353</v>
      </c>
      <c r="L64" s="7" t="str">
        <f>HYPERLINK("http://slimages.macys.com/is/image/MCY/11938675 ")</f>
        <v xml:space="preserve">http://slimages.macys.com/is/image/MCY/11938675 </v>
      </c>
    </row>
    <row r="65" spans="1:12" ht="24.75" x14ac:dyDescent="0.25">
      <c r="A65" s="4" t="s">
        <v>10472</v>
      </c>
      <c r="B65" s="2" t="s">
        <v>10473</v>
      </c>
      <c r="C65" s="3">
        <v>1</v>
      </c>
      <c r="D65" s="5">
        <v>69.5</v>
      </c>
      <c r="E65" s="3" t="s">
        <v>10474</v>
      </c>
      <c r="F65" s="2" t="s">
        <v>74</v>
      </c>
      <c r="G65" s="6" t="s">
        <v>219</v>
      </c>
      <c r="H65" s="2" t="s">
        <v>127</v>
      </c>
      <c r="I65" s="2" t="s">
        <v>128</v>
      </c>
      <c r="J65" s="2" t="s">
        <v>19</v>
      </c>
      <c r="K65" s="2" t="s">
        <v>258</v>
      </c>
      <c r="L65" s="7" t="str">
        <f>HYPERLINK("http://slimages.macys.com/is/image/MCY/14385865 ")</f>
        <v xml:space="preserve">http://slimages.macys.com/is/image/MCY/14385865 </v>
      </c>
    </row>
    <row r="66" spans="1:12" ht="24.75" x14ac:dyDescent="0.25">
      <c r="A66" s="4" t="s">
        <v>10475</v>
      </c>
      <c r="B66" s="2" t="s">
        <v>10476</v>
      </c>
      <c r="C66" s="3">
        <v>1</v>
      </c>
      <c r="D66" s="5">
        <v>65</v>
      </c>
      <c r="E66" s="3" t="s">
        <v>10477</v>
      </c>
      <c r="F66" s="2"/>
      <c r="G66" s="6" t="s">
        <v>22</v>
      </c>
      <c r="H66" s="2" t="s">
        <v>716</v>
      </c>
      <c r="I66" s="2" t="s">
        <v>717</v>
      </c>
      <c r="J66" s="2" t="s">
        <v>19</v>
      </c>
      <c r="K66" s="2" t="s">
        <v>353</v>
      </c>
      <c r="L66" s="7" t="str">
        <f>HYPERLINK("http://slimages.macys.com/is/image/MCY/11524880 ")</f>
        <v xml:space="preserve">http://slimages.macys.com/is/image/MCY/11524880 </v>
      </c>
    </row>
    <row r="67" spans="1:12" ht="24.75" x14ac:dyDescent="0.25">
      <c r="A67" s="4" t="s">
        <v>4488</v>
      </c>
      <c r="B67" s="2" t="s">
        <v>2227</v>
      </c>
      <c r="C67" s="3">
        <v>1</v>
      </c>
      <c r="D67" s="5">
        <v>79.5</v>
      </c>
      <c r="E67" s="3">
        <v>100050172</v>
      </c>
      <c r="F67" s="2" t="s">
        <v>64</v>
      </c>
      <c r="G67" s="6" t="s">
        <v>58</v>
      </c>
      <c r="H67" s="2" t="s">
        <v>386</v>
      </c>
      <c r="I67" s="2" t="s">
        <v>391</v>
      </c>
      <c r="J67" s="2" t="s">
        <v>19</v>
      </c>
      <c r="K67" s="2" t="s">
        <v>392</v>
      </c>
      <c r="L67" s="7" t="str">
        <f>HYPERLINK("http://slimages.macys.com/is/image/MCY/12067831 ")</f>
        <v xml:space="preserve">http://slimages.macys.com/is/image/MCY/12067831 </v>
      </c>
    </row>
    <row r="68" spans="1:12" ht="24.75" x14ac:dyDescent="0.25">
      <c r="A68" s="4" t="s">
        <v>10478</v>
      </c>
      <c r="B68" s="2" t="s">
        <v>10479</v>
      </c>
      <c r="C68" s="3">
        <v>1</v>
      </c>
      <c r="D68" s="5">
        <v>48.38</v>
      </c>
      <c r="E68" s="3" t="s">
        <v>10480</v>
      </c>
      <c r="F68" s="2" t="s">
        <v>26</v>
      </c>
      <c r="G68" s="6" t="s">
        <v>434</v>
      </c>
      <c r="H68" s="2" t="s">
        <v>349</v>
      </c>
      <c r="I68" s="2" t="s">
        <v>408</v>
      </c>
      <c r="J68" s="2" t="s">
        <v>19</v>
      </c>
      <c r="K68" s="2" t="s">
        <v>409</v>
      </c>
      <c r="L68" s="7" t="str">
        <f>HYPERLINK("http://slimages.macys.com/is/image/MCY/13534883 ")</f>
        <v xml:space="preserve">http://slimages.macys.com/is/image/MCY/13534883 </v>
      </c>
    </row>
    <row r="69" spans="1:12" ht="24.75" x14ac:dyDescent="0.25">
      <c r="A69" s="4" t="s">
        <v>10481</v>
      </c>
      <c r="B69" s="2" t="s">
        <v>2229</v>
      </c>
      <c r="C69" s="3">
        <v>1</v>
      </c>
      <c r="D69" s="5">
        <v>48.38</v>
      </c>
      <c r="E69" s="3" t="s">
        <v>2230</v>
      </c>
      <c r="F69" s="2" t="s">
        <v>64</v>
      </c>
      <c r="G69" s="6" t="s">
        <v>112</v>
      </c>
      <c r="H69" s="2" t="s">
        <v>213</v>
      </c>
      <c r="I69" s="2" t="s">
        <v>214</v>
      </c>
      <c r="J69" s="2" t="s">
        <v>19</v>
      </c>
      <c r="K69" s="2" t="s">
        <v>2231</v>
      </c>
      <c r="L69" s="7" t="str">
        <f>HYPERLINK("http://slimages.macys.com/is/image/MCY/11252995 ")</f>
        <v xml:space="preserve">http://slimages.macys.com/is/image/MCY/11252995 </v>
      </c>
    </row>
    <row r="70" spans="1:12" ht="24.75" x14ac:dyDescent="0.25">
      <c r="A70" s="4" t="s">
        <v>10482</v>
      </c>
      <c r="B70" s="2" t="s">
        <v>10483</v>
      </c>
      <c r="C70" s="3">
        <v>1</v>
      </c>
      <c r="D70" s="5">
        <v>44.63</v>
      </c>
      <c r="E70" s="3" t="s">
        <v>10484</v>
      </c>
      <c r="F70" s="2" t="s">
        <v>26</v>
      </c>
      <c r="G70" s="6" t="s">
        <v>181</v>
      </c>
      <c r="H70" s="2" t="s">
        <v>194</v>
      </c>
      <c r="I70" s="2" t="s">
        <v>307</v>
      </c>
      <c r="J70" s="2" t="s">
        <v>19</v>
      </c>
      <c r="K70" s="2" t="s">
        <v>438</v>
      </c>
      <c r="L70" s="7" t="str">
        <f>HYPERLINK("http://slimages.macys.com/is/image/MCY/13315785 ")</f>
        <v xml:space="preserve">http://slimages.macys.com/is/image/MCY/13315785 </v>
      </c>
    </row>
    <row r="71" spans="1:12" ht="24.75" x14ac:dyDescent="0.25">
      <c r="A71" s="4" t="s">
        <v>10485</v>
      </c>
      <c r="B71" s="2" t="s">
        <v>2233</v>
      </c>
      <c r="C71" s="3">
        <v>1</v>
      </c>
      <c r="D71" s="5">
        <v>48.38</v>
      </c>
      <c r="E71" s="3" t="s">
        <v>2234</v>
      </c>
      <c r="F71" s="2" t="s">
        <v>15</v>
      </c>
      <c r="G71" s="6" t="s">
        <v>58</v>
      </c>
      <c r="H71" s="2" t="s">
        <v>213</v>
      </c>
      <c r="I71" s="2" t="s">
        <v>214</v>
      </c>
      <c r="J71" s="2" t="s">
        <v>19</v>
      </c>
      <c r="K71" s="2" t="s">
        <v>392</v>
      </c>
      <c r="L71" s="7" t="str">
        <f>HYPERLINK("http://slimages.macys.com/is/image/MCY/12402057 ")</f>
        <v xml:space="preserve">http://slimages.macys.com/is/image/MCY/12402057 </v>
      </c>
    </row>
    <row r="72" spans="1:12" ht="24.75" x14ac:dyDescent="0.25">
      <c r="A72" s="4" t="s">
        <v>10486</v>
      </c>
      <c r="B72" s="2" t="s">
        <v>2236</v>
      </c>
      <c r="C72" s="3">
        <v>1</v>
      </c>
      <c r="D72" s="5">
        <v>48.38</v>
      </c>
      <c r="E72" s="3" t="s">
        <v>2237</v>
      </c>
      <c r="F72" s="2" t="s">
        <v>413</v>
      </c>
      <c r="G72" s="6" t="s">
        <v>154</v>
      </c>
      <c r="H72" s="2" t="s">
        <v>246</v>
      </c>
      <c r="I72" s="2" t="s">
        <v>189</v>
      </c>
      <c r="J72" s="2" t="s">
        <v>19</v>
      </c>
      <c r="K72" s="2" t="s">
        <v>241</v>
      </c>
      <c r="L72" s="7" t="str">
        <f>HYPERLINK("http://slimages.macys.com/is/image/MCY/11938495 ")</f>
        <v xml:space="preserve">http://slimages.macys.com/is/image/MCY/11938495 </v>
      </c>
    </row>
    <row r="73" spans="1:12" ht="24.75" x14ac:dyDescent="0.25">
      <c r="A73" s="4" t="s">
        <v>2238</v>
      </c>
      <c r="B73" s="2" t="s">
        <v>355</v>
      </c>
      <c r="C73" s="3">
        <v>1</v>
      </c>
      <c r="D73" s="5">
        <v>48</v>
      </c>
      <c r="E73" s="3">
        <v>100053387</v>
      </c>
      <c r="F73" s="2" t="s">
        <v>111</v>
      </c>
      <c r="G73" s="6" t="s">
        <v>22</v>
      </c>
      <c r="H73" s="2" t="s">
        <v>228</v>
      </c>
      <c r="I73" s="2" t="s">
        <v>229</v>
      </c>
      <c r="J73" s="2" t="s">
        <v>19</v>
      </c>
      <c r="K73" s="2" t="s">
        <v>338</v>
      </c>
      <c r="L73" s="7" t="str">
        <f>HYPERLINK("http://slimages.macys.com/is/image/MCY/13829477 ")</f>
        <v xml:space="preserve">http://slimages.macys.com/is/image/MCY/13829477 </v>
      </c>
    </row>
    <row r="74" spans="1:12" ht="24.75" x14ac:dyDescent="0.25">
      <c r="A74" s="4" t="s">
        <v>2240</v>
      </c>
      <c r="B74" s="2" t="s">
        <v>355</v>
      </c>
      <c r="C74" s="3">
        <v>1</v>
      </c>
      <c r="D74" s="5">
        <v>48</v>
      </c>
      <c r="E74" s="3">
        <v>100053387</v>
      </c>
      <c r="F74" s="2" t="s">
        <v>111</v>
      </c>
      <c r="G74" s="6" t="s">
        <v>141</v>
      </c>
      <c r="H74" s="2" t="s">
        <v>228</v>
      </c>
      <c r="I74" s="2" t="s">
        <v>229</v>
      </c>
      <c r="J74" s="2" t="s">
        <v>19</v>
      </c>
      <c r="K74" s="2" t="s">
        <v>338</v>
      </c>
      <c r="L74" s="7" t="str">
        <f>HYPERLINK("http://slimages.macys.com/is/image/MCY/13829477 ")</f>
        <v xml:space="preserve">http://slimages.macys.com/is/image/MCY/13829477 </v>
      </c>
    </row>
    <row r="75" spans="1:12" ht="24.75" x14ac:dyDescent="0.25">
      <c r="A75" s="4" t="s">
        <v>357</v>
      </c>
      <c r="B75" s="2" t="s">
        <v>355</v>
      </c>
      <c r="C75" s="3">
        <v>1</v>
      </c>
      <c r="D75" s="5">
        <v>48</v>
      </c>
      <c r="E75" s="3">
        <v>100053387</v>
      </c>
      <c r="F75" s="2" t="s">
        <v>111</v>
      </c>
      <c r="G75" s="6" t="s">
        <v>16</v>
      </c>
      <c r="H75" s="2" t="s">
        <v>228</v>
      </c>
      <c r="I75" s="2" t="s">
        <v>229</v>
      </c>
      <c r="J75" s="2" t="s">
        <v>19</v>
      </c>
      <c r="K75" s="2" t="s">
        <v>338</v>
      </c>
      <c r="L75" s="7" t="str">
        <f>HYPERLINK("http://slimages.macys.com/is/image/MCY/13829477 ")</f>
        <v xml:space="preserve">http://slimages.macys.com/is/image/MCY/13829477 </v>
      </c>
    </row>
    <row r="76" spans="1:12" ht="24.75" x14ac:dyDescent="0.25">
      <c r="A76" s="4" t="s">
        <v>358</v>
      </c>
      <c r="B76" s="2" t="s">
        <v>359</v>
      </c>
      <c r="C76" s="3">
        <v>1</v>
      </c>
      <c r="D76" s="5">
        <v>59.5</v>
      </c>
      <c r="E76" s="3" t="s">
        <v>360</v>
      </c>
      <c r="F76" s="2" t="s">
        <v>26</v>
      </c>
      <c r="G76" s="6" t="s">
        <v>205</v>
      </c>
      <c r="H76" s="2" t="s">
        <v>127</v>
      </c>
      <c r="I76" s="2" t="s">
        <v>128</v>
      </c>
      <c r="J76" s="2" t="s">
        <v>19</v>
      </c>
      <c r="K76" s="2" t="s">
        <v>361</v>
      </c>
      <c r="L76" s="7" t="str">
        <f>HYPERLINK("http://slimages.macys.com/is/image/MCY/10890960 ")</f>
        <v xml:space="preserve">http://slimages.macys.com/is/image/MCY/10890960 </v>
      </c>
    </row>
    <row r="77" spans="1:12" ht="24.75" x14ac:dyDescent="0.25">
      <c r="A77" s="4" t="s">
        <v>10487</v>
      </c>
      <c r="B77" s="2" t="s">
        <v>10488</v>
      </c>
      <c r="C77" s="3">
        <v>1</v>
      </c>
      <c r="D77" s="5">
        <v>59.63</v>
      </c>
      <c r="E77" s="3" t="s">
        <v>10489</v>
      </c>
      <c r="F77" s="2" t="s">
        <v>64</v>
      </c>
      <c r="G77" s="6" t="s">
        <v>234</v>
      </c>
      <c r="H77" s="2" t="s">
        <v>246</v>
      </c>
      <c r="I77" s="2" t="s">
        <v>189</v>
      </c>
      <c r="J77" s="2" t="s">
        <v>19</v>
      </c>
      <c r="K77" s="2" t="s">
        <v>648</v>
      </c>
      <c r="L77" s="7" t="str">
        <f>HYPERLINK("http://slimages.macys.com/is/image/MCY/12226192 ")</f>
        <v xml:space="preserve">http://slimages.macys.com/is/image/MCY/12226192 </v>
      </c>
    </row>
    <row r="78" spans="1:12" ht="24.75" x14ac:dyDescent="0.25">
      <c r="A78" s="4" t="s">
        <v>10490</v>
      </c>
      <c r="B78" s="2" t="s">
        <v>10491</v>
      </c>
      <c r="C78" s="3">
        <v>1</v>
      </c>
      <c r="D78" s="5">
        <v>55</v>
      </c>
      <c r="E78" s="3" t="s">
        <v>10492</v>
      </c>
      <c r="F78" s="2" t="s">
        <v>464</v>
      </c>
      <c r="G78" s="6" t="s">
        <v>22</v>
      </c>
      <c r="H78" s="2" t="s">
        <v>716</v>
      </c>
      <c r="I78" s="2" t="s">
        <v>717</v>
      </c>
      <c r="J78" s="2" t="s">
        <v>19</v>
      </c>
      <c r="K78" s="2" t="s">
        <v>648</v>
      </c>
      <c r="L78" s="7" t="str">
        <f>HYPERLINK("http://slimages.macys.com/is/image/MCY/11536348 ")</f>
        <v xml:space="preserve">http://slimages.macys.com/is/image/MCY/11536348 </v>
      </c>
    </row>
    <row r="79" spans="1:12" ht="24.75" x14ac:dyDescent="0.25">
      <c r="A79" s="4" t="s">
        <v>10493</v>
      </c>
      <c r="B79" s="2" t="s">
        <v>10491</v>
      </c>
      <c r="C79" s="3">
        <v>1</v>
      </c>
      <c r="D79" s="5">
        <v>55</v>
      </c>
      <c r="E79" s="3" t="s">
        <v>10492</v>
      </c>
      <c r="F79" s="2" t="s">
        <v>74</v>
      </c>
      <c r="G79" s="6" t="s">
        <v>22</v>
      </c>
      <c r="H79" s="2" t="s">
        <v>716</v>
      </c>
      <c r="I79" s="2" t="s">
        <v>717</v>
      </c>
      <c r="J79" s="2" t="s">
        <v>19</v>
      </c>
      <c r="K79" s="2" t="s">
        <v>648</v>
      </c>
      <c r="L79" s="7" t="str">
        <f>HYPERLINK("http://slimages.macys.com/is/image/MCY/11536348 ")</f>
        <v xml:space="preserve">http://slimages.macys.com/is/image/MCY/11536348 </v>
      </c>
    </row>
    <row r="80" spans="1:12" ht="24.75" x14ac:dyDescent="0.25">
      <c r="A80" s="4" t="s">
        <v>10494</v>
      </c>
      <c r="B80" s="2" t="s">
        <v>10495</v>
      </c>
      <c r="C80" s="3">
        <v>1</v>
      </c>
      <c r="D80" s="5">
        <v>48.38</v>
      </c>
      <c r="E80" s="3" t="s">
        <v>10496</v>
      </c>
      <c r="F80" s="2" t="s">
        <v>413</v>
      </c>
      <c r="G80" s="6" t="s">
        <v>234</v>
      </c>
      <c r="H80" s="2" t="s">
        <v>246</v>
      </c>
      <c r="I80" s="2" t="s">
        <v>189</v>
      </c>
      <c r="J80" s="2" t="s">
        <v>19</v>
      </c>
      <c r="K80" s="2" t="s">
        <v>263</v>
      </c>
      <c r="L80" s="7" t="str">
        <f>HYPERLINK("http://slimages.macys.com/is/image/MCY/11808373 ")</f>
        <v xml:space="preserve">http://slimages.macys.com/is/image/MCY/11808373 </v>
      </c>
    </row>
    <row r="81" spans="1:12" ht="24.75" x14ac:dyDescent="0.25">
      <c r="A81" s="4" t="s">
        <v>10497</v>
      </c>
      <c r="B81" s="2" t="s">
        <v>7109</v>
      </c>
      <c r="C81" s="3">
        <v>1</v>
      </c>
      <c r="D81" s="5">
        <v>67.13</v>
      </c>
      <c r="E81" s="3" t="s">
        <v>7110</v>
      </c>
      <c r="F81" s="2" t="s">
        <v>413</v>
      </c>
      <c r="G81" s="6" t="s">
        <v>154</v>
      </c>
      <c r="H81" s="2" t="s">
        <v>246</v>
      </c>
      <c r="I81" s="2" t="s">
        <v>189</v>
      </c>
      <c r="J81" s="2" t="s">
        <v>19</v>
      </c>
      <c r="K81" s="2" t="s">
        <v>3423</v>
      </c>
      <c r="L81" s="7" t="str">
        <f>HYPERLINK("http://slimages.macys.com/is/image/MCY/11807765 ")</f>
        <v xml:space="preserve">http://slimages.macys.com/is/image/MCY/11807765 </v>
      </c>
    </row>
    <row r="82" spans="1:12" ht="24.75" x14ac:dyDescent="0.25">
      <c r="A82" s="4" t="s">
        <v>10498</v>
      </c>
      <c r="B82" s="2" t="s">
        <v>368</v>
      </c>
      <c r="C82" s="3">
        <v>1</v>
      </c>
      <c r="D82" s="5">
        <v>52.13</v>
      </c>
      <c r="E82" s="3" t="s">
        <v>369</v>
      </c>
      <c r="F82" s="2" t="s">
        <v>64</v>
      </c>
      <c r="G82" s="6" t="s">
        <v>181</v>
      </c>
      <c r="H82" s="2" t="s">
        <v>246</v>
      </c>
      <c r="I82" s="2" t="s">
        <v>189</v>
      </c>
      <c r="J82" s="2" t="s">
        <v>19</v>
      </c>
      <c r="K82" s="2" t="s">
        <v>263</v>
      </c>
      <c r="L82" s="7" t="str">
        <f>HYPERLINK("http://slimages.macys.com/is/image/MCY/11471005 ")</f>
        <v xml:space="preserve">http://slimages.macys.com/is/image/MCY/11471005 </v>
      </c>
    </row>
    <row r="83" spans="1:12" ht="24.75" x14ac:dyDescent="0.25">
      <c r="A83" s="4" t="s">
        <v>2251</v>
      </c>
      <c r="B83" s="2" t="s">
        <v>2252</v>
      </c>
      <c r="C83" s="3">
        <v>2</v>
      </c>
      <c r="D83" s="5">
        <v>48</v>
      </c>
      <c r="E83" s="3">
        <v>100050014</v>
      </c>
      <c r="F83" s="2" t="s">
        <v>111</v>
      </c>
      <c r="G83" s="6" t="s">
        <v>22</v>
      </c>
      <c r="H83" s="2" t="s">
        <v>228</v>
      </c>
      <c r="I83" s="2" t="s">
        <v>229</v>
      </c>
      <c r="J83" s="2" t="s">
        <v>19</v>
      </c>
      <c r="K83" s="2" t="s">
        <v>387</v>
      </c>
      <c r="L83" s="7" t="str">
        <f>HYPERLINK("http://slimages.macys.com/is/image/MCY/11804490 ")</f>
        <v xml:space="preserve">http://slimages.macys.com/is/image/MCY/11804490 </v>
      </c>
    </row>
    <row r="84" spans="1:12" ht="24.75" x14ac:dyDescent="0.25">
      <c r="A84" s="4" t="s">
        <v>10499</v>
      </c>
      <c r="B84" s="2" t="s">
        <v>420</v>
      </c>
      <c r="C84" s="3">
        <v>1</v>
      </c>
      <c r="D84" s="5">
        <v>48.38</v>
      </c>
      <c r="E84" s="3" t="s">
        <v>451</v>
      </c>
      <c r="F84" s="2" t="s">
        <v>26</v>
      </c>
      <c r="G84" s="6" t="s">
        <v>234</v>
      </c>
      <c r="H84" s="2" t="s">
        <v>246</v>
      </c>
      <c r="I84" s="2" t="s">
        <v>189</v>
      </c>
      <c r="J84" s="2" t="s">
        <v>19</v>
      </c>
      <c r="K84" s="2" t="s">
        <v>422</v>
      </c>
      <c r="L84" s="7" t="str">
        <f>HYPERLINK("http://slimages.macys.com/is/image/MCY/11621982 ")</f>
        <v xml:space="preserve">http://slimages.macys.com/is/image/MCY/11621982 </v>
      </c>
    </row>
    <row r="85" spans="1:12" ht="24.75" x14ac:dyDescent="0.25">
      <c r="A85" s="4" t="s">
        <v>10500</v>
      </c>
      <c r="B85" s="2" t="s">
        <v>4519</v>
      </c>
      <c r="C85" s="3">
        <v>1</v>
      </c>
      <c r="D85" s="5">
        <v>69.5</v>
      </c>
      <c r="E85" s="3" t="s">
        <v>10501</v>
      </c>
      <c r="F85" s="2" t="s">
        <v>74</v>
      </c>
      <c r="G85" s="6"/>
      <c r="H85" s="2" t="s">
        <v>127</v>
      </c>
      <c r="I85" s="2" t="s">
        <v>128</v>
      </c>
      <c r="J85" s="2" t="s">
        <v>19</v>
      </c>
      <c r="K85" s="2" t="s">
        <v>34</v>
      </c>
      <c r="L85" s="7" t="str">
        <f>HYPERLINK("http://slimages.macys.com/is/image/MCY/13786983 ")</f>
        <v xml:space="preserve">http://slimages.macys.com/is/image/MCY/13786983 </v>
      </c>
    </row>
    <row r="86" spans="1:12" ht="24.75" x14ac:dyDescent="0.25">
      <c r="A86" s="4" t="s">
        <v>10502</v>
      </c>
      <c r="B86" s="2" t="s">
        <v>10503</v>
      </c>
      <c r="C86" s="3">
        <v>1</v>
      </c>
      <c r="D86" s="5">
        <v>48.38</v>
      </c>
      <c r="E86" s="3" t="s">
        <v>10504</v>
      </c>
      <c r="F86" s="2" t="s">
        <v>26</v>
      </c>
      <c r="G86" s="6" t="s">
        <v>363</v>
      </c>
      <c r="H86" s="2" t="s">
        <v>188</v>
      </c>
      <c r="I86" s="2" t="s">
        <v>214</v>
      </c>
      <c r="J86" s="2" t="s">
        <v>19</v>
      </c>
      <c r="K86" s="2" t="s">
        <v>353</v>
      </c>
      <c r="L86" s="7" t="str">
        <f>HYPERLINK("http://slimages.macys.com/is/image/MCY/12402070 ")</f>
        <v xml:space="preserve">http://slimages.macys.com/is/image/MCY/12402070 </v>
      </c>
    </row>
    <row r="87" spans="1:12" ht="24.75" x14ac:dyDescent="0.25">
      <c r="A87" s="4" t="s">
        <v>10505</v>
      </c>
      <c r="B87" s="2" t="s">
        <v>10506</v>
      </c>
      <c r="C87" s="3">
        <v>1</v>
      </c>
      <c r="D87" s="5">
        <v>29.98</v>
      </c>
      <c r="E87" s="3">
        <v>8528</v>
      </c>
      <c r="F87" s="2" t="s">
        <v>15</v>
      </c>
      <c r="G87" s="6"/>
      <c r="H87" s="2" t="s">
        <v>3402</v>
      </c>
      <c r="I87" s="2" t="s">
        <v>3409</v>
      </c>
      <c r="J87" s="2" t="s">
        <v>19</v>
      </c>
      <c r="K87" s="2" t="s">
        <v>353</v>
      </c>
      <c r="L87" s="7" t="str">
        <f>HYPERLINK("http://slimages.macys.com/is/image/MCY/3210696 ")</f>
        <v xml:space="preserve">http://slimages.macys.com/is/image/MCY/3210696 </v>
      </c>
    </row>
    <row r="88" spans="1:12" ht="24.75" x14ac:dyDescent="0.25">
      <c r="A88" s="4" t="s">
        <v>10507</v>
      </c>
      <c r="B88" s="2" t="s">
        <v>10508</v>
      </c>
      <c r="C88" s="3">
        <v>1</v>
      </c>
      <c r="D88" s="5">
        <v>29.98</v>
      </c>
      <c r="E88" s="3">
        <v>8528</v>
      </c>
      <c r="F88" s="2" t="s">
        <v>74</v>
      </c>
      <c r="G88" s="6"/>
      <c r="H88" s="2" t="s">
        <v>3402</v>
      </c>
      <c r="I88" s="2" t="s">
        <v>3409</v>
      </c>
      <c r="J88" s="2" t="s">
        <v>19</v>
      </c>
      <c r="K88" s="2" t="s">
        <v>353</v>
      </c>
      <c r="L88" s="7" t="str">
        <f>HYPERLINK("http://slimages.macys.com/is/image/MCY/3210696 ")</f>
        <v xml:space="preserve">http://slimages.macys.com/is/image/MCY/3210696 </v>
      </c>
    </row>
    <row r="89" spans="1:12" ht="24.75" x14ac:dyDescent="0.25">
      <c r="A89" s="4" t="s">
        <v>10509</v>
      </c>
      <c r="B89" s="2" t="s">
        <v>10510</v>
      </c>
      <c r="C89" s="3">
        <v>1</v>
      </c>
      <c r="D89" s="5">
        <v>44.63</v>
      </c>
      <c r="E89" s="3" t="s">
        <v>10511</v>
      </c>
      <c r="F89" s="2" t="s">
        <v>74</v>
      </c>
      <c r="G89" s="6" t="s">
        <v>434</v>
      </c>
      <c r="H89" s="2" t="s">
        <v>349</v>
      </c>
      <c r="I89" s="2" t="s">
        <v>408</v>
      </c>
      <c r="J89" s="2" t="s">
        <v>19</v>
      </c>
      <c r="K89" s="2" t="s">
        <v>1480</v>
      </c>
      <c r="L89" s="7" t="str">
        <f>HYPERLINK("http://slimages.macys.com/is/image/MCY/13535202 ")</f>
        <v xml:space="preserve">http://slimages.macys.com/is/image/MCY/13535202 </v>
      </c>
    </row>
    <row r="90" spans="1:12" ht="48.75" x14ac:dyDescent="0.25">
      <c r="A90" s="4" t="s">
        <v>10512</v>
      </c>
      <c r="B90" s="2" t="s">
        <v>10513</v>
      </c>
      <c r="C90" s="3">
        <v>1</v>
      </c>
      <c r="D90" s="5">
        <v>34.99</v>
      </c>
      <c r="E90" s="3" t="s">
        <v>10514</v>
      </c>
      <c r="F90" s="2" t="s">
        <v>74</v>
      </c>
      <c r="G90" s="6" t="s">
        <v>10515</v>
      </c>
      <c r="H90" s="2" t="s">
        <v>349</v>
      </c>
      <c r="I90" s="2" t="s">
        <v>408</v>
      </c>
      <c r="J90" s="2" t="s">
        <v>19</v>
      </c>
      <c r="K90" s="2" t="s">
        <v>3515</v>
      </c>
      <c r="L90" s="7" t="str">
        <f>HYPERLINK("http://slimages.macys.com/is/image/MCY/8489150 ")</f>
        <v xml:space="preserve">http://slimages.macys.com/is/image/MCY/8489150 </v>
      </c>
    </row>
    <row r="91" spans="1:12" ht="24.75" x14ac:dyDescent="0.25">
      <c r="A91" s="4" t="s">
        <v>452</v>
      </c>
      <c r="B91" s="2" t="s">
        <v>453</v>
      </c>
      <c r="C91" s="3">
        <v>1</v>
      </c>
      <c r="D91" s="5">
        <v>44.63</v>
      </c>
      <c r="E91" s="3" t="s">
        <v>454</v>
      </c>
      <c r="F91" s="2" t="s">
        <v>74</v>
      </c>
      <c r="G91" s="6" t="s">
        <v>348</v>
      </c>
      <c r="H91" s="2" t="s">
        <v>349</v>
      </c>
      <c r="I91" s="2" t="s">
        <v>285</v>
      </c>
      <c r="J91" s="2" t="s">
        <v>19</v>
      </c>
      <c r="K91" s="2" t="s">
        <v>323</v>
      </c>
      <c r="L91" s="7" t="str">
        <f>HYPERLINK("http://slimages.macys.com/is/image/MCY/12343071 ")</f>
        <v xml:space="preserve">http://slimages.macys.com/is/image/MCY/12343071 </v>
      </c>
    </row>
    <row r="92" spans="1:12" ht="24.75" x14ac:dyDescent="0.25">
      <c r="A92" s="4" t="s">
        <v>10516</v>
      </c>
      <c r="B92" s="2" t="s">
        <v>535</v>
      </c>
      <c r="C92" s="3">
        <v>4</v>
      </c>
      <c r="D92" s="5">
        <v>52.13</v>
      </c>
      <c r="E92" s="3" t="s">
        <v>536</v>
      </c>
      <c r="F92" s="2" t="s">
        <v>680</v>
      </c>
      <c r="G92" s="6" t="s">
        <v>234</v>
      </c>
      <c r="H92" s="2" t="s">
        <v>246</v>
      </c>
      <c r="I92" s="2" t="s">
        <v>189</v>
      </c>
      <c r="J92" s="2" t="s">
        <v>19</v>
      </c>
      <c r="K92" s="2" t="s">
        <v>537</v>
      </c>
      <c r="L92" s="7" t="str">
        <f>HYPERLINK("http://slimages.macys.com/is/image/MCY/11884249 ")</f>
        <v xml:space="preserve">http://slimages.macys.com/is/image/MCY/11884249 </v>
      </c>
    </row>
    <row r="93" spans="1:12" ht="24.75" x14ac:dyDescent="0.25">
      <c r="A93" s="4" t="s">
        <v>9991</v>
      </c>
      <c r="B93" s="2" t="s">
        <v>9989</v>
      </c>
      <c r="C93" s="3">
        <v>1</v>
      </c>
      <c r="D93" s="5">
        <v>40.880000000000003</v>
      </c>
      <c r="E93" s="3" t="s">
        <v>9990</v>
      </c>
      <c r="F93" s="2" t="s">
        <v>74</v>
      </c>
      <c r="G93" s="6" t="s">
        <v>154</v>
      </c>
      <c r="H93" s="2" t="s">
        <v>284</v>
      </c>
      <c r="I93" s="2" t="s">
        <v>408</v>
      </c>
      <c r="J93" s="2" t="s">
        <v>19</v>
      </c>
      <c r="K93" s="2" t="s">
        <v>409</v>
      </c>
      <c r="L93" s="7" t="str">
        <f>HYPERLINK("http://slimages.macys.com/is/image/MCY/12342861 ")</f>
        <v xml:space="preserve">http://slimages.macys.com/is/image/MCY/12342861 </v>
      </c>
    </row>
    <row r="94" spans="1:12" ht="36.75" x14ac:dyDescent="0.25">
      <c r="A94" s="4" t="s">
        <v>2277</v>
      </c>
      <c r="B94" s="2" t="s">
        <v>2278</v>
      </c>
      <c r="C94" s="3">
        <v>1</v>
      </c>
      <c r="D94" s="5">
        <v>44.5</v>
      </c>
      <c r="E94" s="3" t="s">
        <v>2279</v>
      </c>
      <c r="F94" s="2" t="s">
        <v>956</v>
      </c>
      <c r="G94" s="6" t="s">
        <v>181</v>
      </c>
      <c r="H94" s="2" t="s">
        <v>194</v>
      </c>
      <c r="I94" s="2" t="s">
        <v>195</v>
      </c>
      <c r="J94" s="2" t="s">
        <v>19</v>
      </c>
      <c r="K94" s="2" t="s">
        <v>2280</v>
      </c>
      <c r="L94" s="7" t="str">
        <f>HYPERLINK("http://slimages.macys.com/is/image/MCY/11804478 ")</f>
        <v xml:space="preserve">http://slimages.macys.com/is/image/MCY/11804478 </v>
      </c>
    </row>
    <row r="95" spans="1:12" ht="24.75" x14ac:dyDescent="0.25">
      <c r="A95" s="4" t="s">
        <v>10517</v>
      </c>
      <c r="B95" s="2" t="s">
        <v>10518</v>
      </c>
      <c r="C95" s="3">
        <v>1</v>
      </c>
      <c r="D95" s="5">
        <v>48.38</v>
      </c>
      <c r="E95" s="3" t="s">
        <v>10519</v>
      </c>
      <c r="F95" s="2" t="s">
        <v>413</v>
      </c>
      <c r="G95" s="6" t="s">
        <v>434</v>
      </c>
      <c r="H95" s="2" t="s">
        <v>349</v>
      </c>
      <c r="I95" s="2" t="s">
        <v>285</v>
      </c>
      <c r="J95" s="2" t="s">
        <v>19</v>
      </c>
      <c r="K95" s="2" t="s">
        <v>10520</v>
      </c>
      <c r="L95" s="7" t="str">
        <f>HYPERLINK("http://slimages.macys.com/is/image/MCY/13962309 ")</f>
        <v xml:space="preserve">http://slimages.macys.com/is/image/MCY/13962309 </v>
      </c>
    </row>
    <row r="96" spans="1:12" ht="24.75" x14ac:dyDescent="0.25">
      <c r="A96" s="4" t="s">
        <v>4552</v>
      </c>
      <c r="B96" s="2" t="s">
        <v>535</v>
      </c>
      <c r="C96" s="3">
        <v>1</v>
      </c>
      <c r="D96" s="5">
        <v>52.13</v>
      </c>
      <c r="E96" s="3" t="s">
        <v>4553</v>
      </c>
      <c r="F96" s="2" t="s">
        <v>64</v>
      </c>
      <c r="G96" s="6"/>
      <c r="H96" s="2" t="s">
        <v>188</v>
      </c>
      <c r="I96" s="2" t="s">
        <v>189</v>
      </c>
      <c r="J96" s="2" t="s">
        <v>19</v>
      </c>
      <c r="K96" s="2" t="s">
        <v>537</v>
      </c>
      <c r="L96" s="7" t="str">
        <f>HYPERLINK("http://slimages.macys.com/is/image/MCY/11884246 ")</f>
        <v xml:space="preserve">http://slimages.macys.com/is/image/MCY/11884246 </v>
      </c>
    </row>
    <row r="97" spans="1:12" ht="24.75" x14ac:dyDescent="0.25">
      <c r="A97" s="4" t="s">
        <v>10521</v>
      </c>
      <c r="B97" s="2" t="s">
        <v>535</v>
      </c>
      <c r="C97" s="3">
        <v>1</v>
      </c>
      <c r="D97" s="5">
        <v>52.13</v>
      </c>
      <c r="E97" s="3" t="s">
        <v>4553</v>
      </c>
      <c r="F97" s="2" t="s">
        <v>64</v>
      </c>
      <c r="G97" s="6" t="s">
        <v>187</v>
      </c>
      <c r="H97" s="2" t="s">
        <v>188</v>
      </c>
      <c r="I97" s="2" t="s">
        <v>189</v>
      </c>
      <c r="J97" s="2" t="s">
        <v>19</v>
      </c>
      <c r="K97" s="2" t="s">
        <v>537</v>
      </c>
      <c r="L97" s="7" t="str">
        <f>HYPERLINK("http://slimages.macys.com/is/image/MCY/11884246 ")</f>
        <v xml:space="preserve">http://slimages.macys.com/is/image/MCY/11884246 </v>
      </c>
    </row>
    <row r="98" spans="1:12" ht="24.75" x14ac:dyDescent="0.25">
      <c r="A98" s="4" t="s">
        <v>10522</v>
      </c>
      <c r="B98" s="2" t="s">
        <v>10523</v>
      </c>
      <c r="C98" s="3">
        <v>1</v>
      </c>
      <c r="D98" s="5">
        <v>39.5</v>
      </c>
      <c r="E98" s="3" t="s">
        <v>10524</v>
      </c>
      <c r="F98" s="2" t="s">
        <v>579</v>
      </c>
      <c r="G98" s="6" t="s">
        <v>245</v>
      </c>
      <c r="H98" s="2" t="s">
        <v>194</v>
      </c>
      <c r="I98" s="2" t="s">
        <v>195</v>
      </c>
      <c r="J98" s="2" t="s">
        <v>19</v>
      </c>
      <c r="K98" s="2" t="s">
        <v>10525</v>
      </c>
      <c r="L98" s="7" t="str">
        <f>HYPERLINK("http://slimages.macys.com/is/image/MCY/11415412 ")</f>
        <v xml:space="preserve">http://slimages.macys.com/is/image/MCY/11415412 </v>
      </c>
    </row>
    <row r="99" spans="1:12" ht="24.75" x14ac:dyDescent="0.25">
      <c r="A99" s="4" t="s">
        <v>2282</v>
      </c>
      <c r="B99" s="2" t="s">
        <v>764</v>
      </c>
      <c r="C99" s="3">
        <v>1</v>
      </c>
      <c r="D99" s="5">
        <v>44.63</v>
      </c>
      <c r="E99" s="3" t="s">
        <v>2283</v>
      </c>
      <c r="F99" s="2" t="s">
        <v>376</v>
      </c>
      <c r="G99" s="6" t="s">
        <v>2276</v>
      </c>
      <c r="H99" s="2" t="s">
        <v>349</v>
      </c>
      <c r="I99" s="2" t="s">
        <v>458</v>
      </c>
      <c r="J99" s="2" t="s">
        <v>19</v>
      </c>
      <c r="K99" s="2" t="s">
        <v>459</v>
      </c>
      <c r="L99" s="7" t="str">
        <f>HYPERLINK("http://slimages.macys.com/is/image/MCY/13041071 ")</f>
        <v xml:space="preserve">http://slimages.macys.com/is/image/MCY/13041071 </v>
      </c>
    </row>
    <row r="100" spans="1:12" ht="24.75" x14ac:dyDescent="0.25">
      <c r="A100" s="4" t="s">
        <v>2285</v>
      </c>
      <c r="B100" s="2" t="s">
        <v>492</v>
      </c>
      <c r="C100" s="3">
        <v>1</v>
      </c>
      <c r="D100" s="5">
        <v>44.5</v>
      </c>
      <c r="E100" s="3" t="s">
        <v>493</v>
      </c>
      <c r="F100" s="2" t="s">
        <v>494</v>
      </c>
      <c r="G100" s="6" t="s">
        <v>234</v>
      </c>
      <c r="H100" s="2" t="s">
        <v>194</v>
      </c>
      <c r="I100" s="2" t="s">
        <v>195</v>
      </c>
      <c r="J100" s="2" t="s">
        <v>19</v>
      </c>
      <c r="K100" s="2" t="s">
        <v>495</v>
      </c>
      <c r="L100" s="7" t="str">
        <f>HYPERLINK("http://slimages.macys.com/is/image/MCY/11937857 ")</f>
        <v xml:space="preserve">http://slimages.macys.com/is/image/MCY/11937857 </v>
      </c>
    </row>
    <row r="101" spans="1:12" ht="24.75" x14ac:dyDescent="0.25">
      <c r="A101" s="4" t="s">
        <v>491</v>
      </c>
      <c r="B101" s="2" t="s">
        <v>492</v>
      </c>
      <c r="C101" s="3">
        <v>1</v>
      </c>
      <c r="D101" s="5">
        <v>44.5</v>
      </c>
      <c r="E101" s="3" t="s">
        <v>493</v>
      </c>
      <c r="F101" s="2" t="s">
        <v>494</v>
      </c>
      <c r="G101" s="6" t="s">
        <v>154</v>
      </c>
      <c r="H101" s="2" t="s">
        <v>194</v>
      </c>
      <c r="I101" s="2" t="s">
        <v>195</v>
      </c>
      <c r="J101" s="2" t="s">
        <v>19</v>
      </c>
      <c r="K101" s="2" t="s">
        <v>495</v>
      </c>
      <c r="L101" s="7" t="str">
        <f>HYPERLINK("http://slimages.macys.com/is/image/MCY/11937857 ")</f>
        <v xml:space="preserve">http://slimages.macys.com/is/image/MCY/11937857 </v>
      </c>
    </row>
    <row r="102" spans="1:12" ht="24.75" x14ac:dyDescent="0.25">
      <c r="A102" s="4" t="s">
        <v>10526</v>
      </c>
      <c r="B102" s="2" t="s">
        <v>773</v>
      </c>
      <c r="C102" s="3">
        <v>1</v>
      </c>
      <c r="D102" s="5">
        <v>44.63</v>
      </c>
      <c r="E102" s="3" t="s">
        <v>10527</v>
      </c>
      <c r="F102" s="2" t="s">
        <v>26</v>
      </c>
      <c r="G102" s="6" t="s">
        <v>2458</v>
      </c>
      <c r="H102" s="2" t="s">
        <v>349</v>
      </c>
      <c r="I102" s="2" t="s">
        <v>408</v>
      </c>
      <c r="J102" s="2" t="s">
        <v>19</v>
      </c>
      <c r="K102" s="2" t="s">
        <v>409</v>
      </c>
      <c r="L102" s="7" t="str">
        <f>HYPERLINK("http://slimages.macys.com/is/image/MCY/13535080 ")</f>
        <v xml:space="preserve">http://slimages.macys.com/is/image/MCY/13535080 </v>
      </c>
    </row>
    <row r="103" spans="1:12" ht="24.75" x14ac:dyDescent="0.25">
      <c r="A103" s="4" t="s">
        <v>10528</v>
      </c>
      <c r="B103" s="2" t="s">
        <v>9999</v>
      </c>
      <c r="C103" s="3">
        <v>1</v>
      </c>
      <c r="D103" s="5">
        <v>48.38</v>
      </c>
      <c r="E103" s="3" t="s">
        <v>10000</v>
      </c>
      <c r="F103" s="2" t="s">
        <v>89</v>
      </c>
      <c r="G103" s="6" t="s">
        <v>165</v>
      </c>
      <c r="H103" s="2" t="s">
        <v>188</v>
      </c>
      <c r="I103" s="2" t="s">
        <v>214</v>
      </c>
      <c r="J103" s="2" t="s">
        <v>19</v>
      </c>
      <c r="K103" s="2" t="s">
        <v>353</v>
      </c>
      <c r="L103" s="7" t="str">
        <f>HYPERLINK("http://slimages.macys.com/is/image/MCY/11939853 ")</f>
        <v xml:space="preserve">http://slimages.macys.com/is/image/MCY/11939853 </v>
      </c>
    </row>
    <row r="104" spans="1:12" ht="24.75" x14ac:dyDescent="0.25">
      <c r="A104" s="4" t="s">
        <v>10529</v>
      </c>
      <c r="B104" s="2" t="s">
        <v>10530</v>
      </c>
      <c r="C104" s="3">
        <v>1</v>
      </c>
      <c r="D104" s="5">
        <v>44.63</v>
      </c>
      <c r="E104" s="3">
        <v>100063472</v>
      </c>
      <c r="F104" s="2" t="s">
        <v>15</v>
      </c>
      <c r="G104" s="6" t="s">
        <v>200</v>
      </c>
      <c r="H104" s="2" t="s">
        <v>194</v>
      </c>
      <c r="I104" s="2" t="s">
        <v>195</v>
      </c>
      <c r="J104" s="2" t="s">
        <v>19</v>
      </c>
      <c r="K104" s="2" t="s">
        <v>107</v>
      </c>
      <c r="L104" s="7" t="str">
        <f>HYPERLINK("http://slimages.macys.com/is/image/MCY/12851426 ")</f>
        <v xml:space="preserve">http://slimages.macys.com/is/image/MCY/12851426 </v>
      </c>
    </row>
    <row r="105" spans="1:12" ht="24.75" x14ac:dyDescent="0.25">
      <c r="A105" s="4" t="s">
        <v>10531</v>
      </c>
      <c r="B105" s="2" t="s">
        <v>2328</v>
      </c>
      <c r="C105" s="3">
        <v>1</v>
      </c>
      <c r="D105" s="5">
        <v>44.63</v>
      </c>
      <c r="E105" s="3">
        <v>100060780</v>
      </c>
      <c r="F105" s="2" t="s">
        <v>199</v>
      </c>
      <c r="G105" s="6" t="s">
        <v>200</v>
      </c>
      <c r="H105" s="2" t="s">
        <v>194</v>
      </c>
      <c r="I105" s="2" t="s">
        <v>503</v>
      </c>
      <c r="J105" s="2" t="s">
        <v>19</v>
      </c>
      <c r="K105" s="2" t="s">
        <v>201</v>
      </c>
      <c r="L105" s="7" t="str">
        <f>HYPERLINK("http://slimages.macys.com/is/image/MCY/12279791 ")</f>
        <v xml:space="preserve">http://slimages.macys.com/is/image/MCY/12279791 </v>
      </c>
    </row>
    <row r="106" spans="1:12" ht="24.75" x14ac:dyDescent="0.25">
      <c r="A106" s="4" t="s">
        <v>10532</v>
      </c>
      <c r="B106" s="2" t="s">
        <v>10533</v>
      </c>
      <c r="C106" s="3">
        <v>1</v>
      </c>
      <c r="D106" s="5">
        <v>48.38</v>
      </c>
      <c r="E106" s="3" t="s">
        <v>10534</v>
      </c>
      <c r="F106" s="2" t="s">
        <v>26</v>
      </c>
      <c r="G106" s="6" t="s">
        <v>27</v>
      </c>
      <c r="H106" s="2" t="s">
        <v>213</v>
      </c>
      <c r="I106" s="2" t="s">
        <v>214</v>
      </c>
      <c r="J106" s="2" t="s">
        <v>19</v>
      </c>
      <c r="K106" s="2" t="s">
        <v>253</v>
      </c>
      <c r="L106" s="7" t="str">
        <f>HYPERLINK("http://slimages.macys.com/is/image/MCY/11525399 ")</f>
        <v xml:space="preserve">http://slimages.macys.com/is/image/MCY/11525399 </v>
      </c>
    </row>
    <row r="107" spans="1:12" ht="36.75" x14ac:dyDescent="0.25">
      <c r="A107" s="4" t="s">
        <v>507</v>
      </c>
      <c r="B107" s="2" t="s">
        <v>502</v>
      </c>
      <c r="C107" s="3">
        <v>1</v>
      </c>
      <c r="D107" s="5">
        <v>40.880000000000003</v>
      </c>
      <c r="E107" s="3">
        <v>100047671</v>
      </c>
      <c r="F107" s="2" t="s">
        <v>79</v>
      </c>
      <c r="G107" s="6" t="s">
        <v>16</v>
      </c>
      <c r="H107" s="2" t="s">
        <v>194</v>
      </c>
      <c r="I107" s="2" t="s">
        <v>503</v>
      </c>
      <c r="J107" s="2" t="s">
        <v>19</v>
      </c>
      <c r="K107" s="2" t="s">
        <v>504</v>
      </c>
      <c r="L107" s="7" t="str">
        <f>HYPERLINK("http://slimages.macys.com/is/image/MCY/11937756 ")</f>
        <v xml:space="preserve">http://slimages.macys.com/is/image/MCY/11937756 </v>
      </c>
    </row>
    <row r="108" spans="1:12" ht="24.75" x14ac:dyDescent="0.25">
      <c r="A108" s="4" t="s">
        <v>10535</v>
      </c>
      <c r="B108" s="2" t="s">
        <v>2300</v>
      </c>
      <c r="C108" s="3">
        <v>1</v>
      </c>
      <c r="D108" s="5">
        <v>44.63</v>
      </c>
      <c r="E108" s="3" t="s">
        <v>2301</v>
      </c>
      <c r="F108" s="2" t="s">
        <v>15</v>
      </c>
      <c r="G108" s="6" t="s">
        <v>156</v>
      </c>
      <c r="H108" s="2" t="s">
        <v>194</v>
      </c>
      <c r="I108" s="2" t="s">
        <v>195</v>
      </c>
      <c r="J108" s="2" t="s">
        <v>19</v>
      </c>
      <c r="K108" s="2" t="s">
        <v>2302</v>
      </c>
      <c r="L108" s="7" t="str">
        <f>HYPERLINK("http://slimages.macys.com/is/image/MCY/12668044 ")</f>
        <v xml:space="preserve">http://slimages.macys.com/is/image/MCY/12668044 </v>
      </c>
    </row>
    <row r="109" spans="1:12" ht="24.75" x14ac:dyDescent="0.25">
      <c r="A109" s="4" t="s">
        <v>6372</v>
      </c>
      <c r="B109" s="2" t="s">
        <v>4572</v>
      </c>
      <c r="C109" s="3">
        <v>1</v>
      </c>
      <c r="D109" s="5">
        <v>48.38</v>
      </c>
      <c r="E109" s="3" t="s">
        <v>4573</v>
      </c>
      <c r="F109" s="2" t="s">
        <v>64</v>
      </c>
      <c r="G109" s="6"/>
      <c r="H109" s="2" t="s">
        <v>188</v>
      </c>
      <c r="I109" s="2" t="s">
        <v>189</v>
      </c>
      <c r="J109" s="2" t="s">
        <v>19</v>
      </c>
      <c r="K109" s="2" t="s">
        <v>4574</v>
      </c>
      <c r="L109" s="7" t="str">
        <f>HYPERLINK("http://slimages.macys.com/is/image/MCY/12894516 ")</f>
        <v xml:space="preserve">http://slimages.macys.com/is/image/MCY/12894516 </v>
      </c>
    </row>
    <row r="110" spans="1:12" ht="36.75" x14ac:dyDescent="0.25">
      <c r="A110" s="4" t="s">
        <v>10536</v>
      </c>
      <c r="B110" s="2" t="s">
        <v>4572</v>
      </c>
      <c r="C110" s="3">
        <v>1</v>
      </c>
      <c r="D110" s="5">
        <v>48.38</v>
      </c>
      <c r="E110" s="3" t="s">
        <v>10537</v>
      </c>
      <c r="F110" s="2" t="s">
        <v>64</v>
      </c>
      <c r="G110" s="6" t="s">
        <v>154</v>
      </c>
      <c r="H110" s="2" t="s">
        <v>246</v>
      </c>
      <c r="I110" s="2" t="s">
        <v>189</v>
      </c>
      <c r="J110" s="2" t="s">
        <v>19</v>
      </c>
      <c r="K110" s="2" t="s">
        <v>2419</v>
      </c>
      <c r="L110" s="7" t="str">
        <f>HYPERLINK("http://slimages.macys.com/is/image/MCY/12894516 ")</f>
        <v xml:space="preserve">http://slimages.macys.com/is/image/MCY/12894516 </v>
      </c>
    </row>
    <row r="111" spans="1:12" ht="24.75" x14ac:dyDescent="0.25">
      <c r="A111" s="4" t="s">
        <v>10538</v>
      </c>
      <c r="B111" s="2" t="s">
        <v>7900</v>
      </c>
      <c r="C111" s="3">
        <v>1</v>
      </c>
      <c r="D111" s="5">
        <v>44.63</v>
      </c>
      <c r="E111" s="3" t="s">
        <v>7901</v>
      </c>
      <c r="F111" s="2" t="s">
        <v>26</v>
      </c>
      <c r="G111" s="6" t="s">
        <v>154</v>
      </c>
      <c r="H111" s="2" t="s">
        <v>246</v>
      </c>
      <c r="I111" s="2" t="s">
        <v>189</v>
      </c>
      <c r="J111" s="2" t="s">
        <v>19</v>
      </c>
      <c r="K111" s="2" t="s">
        <v>701</v>
      </c>
      <c r="L111" s="7" t="str">
        <f>HYPERLINK("http://slimages.macys.com/is/image/MCY/14356378 ")</f>
        <v xml:space="preserve">http://slimages.macys.com/is/image/MCY/14356378 </v>
      </c>
    </row>
    <row r="112" spans="1:12" ht="24.75" x14ac:dyDescent="0.25">
      <c r="A112" s="4" t="s">
        <v>10539</v>
      </c>
      <c r="B112" s="2" t="s">
        <v>7900</v>
      </c>
      <c r="C112" s="3">
        <v>1</v>
      </c>
      <c r="D112" s="5">
        <v>44.63</v>
      </c>
      <c r="E112" s="3" t="s">
        <v>7901</v>
      </c>
      <c r="F112" s="2" t="s">
        <v>64</v>
      </c>
      <c r="G112" s="6" t="s">
        <v>234</v>
      </c>
      <c r="H112" s="2" t="s">
        <v>246</v>
      </c>
      <c r="I112" s="2" t="s">
        <v>189</v>
      </c>
      <c r="J112" s="2" t="s">
        <v>19</v>
      </c>
      <c r="K112" s="2" t="s">
        <v>701</v>
      </c>
      <c r="L112" s="7" t="str">
        <f>HYPERLINK("http://slimages.macys.com/is/image/MCY/14356378 ")</f>
        <v xml:space="preserve">http://slimages.macys.com/is/image/MCY/14356378 </v>
      </c>
    </row>
    <row r="113" spans="1:12" ht="36.75" x14ac:dyDescent="0.25">
      <c r="A113" s="4" t="s">
        <v>10540</v>
      </c>
      <c r="B113" s="2" t="s">
        <v>519</v>
      </c>
      <c r="C113" s="3">
        <v>1</v>
      </c>
      <c r="D113" s="5">
        <v>44.63</v>
      </c>
      <c r="E113" s="3" t="s">
        <v>520</v>
      </c>
      <c r="F113" s="2" t="s">
        <v>125</v>
      </c>
      <c r="G113" s="6" t="s">
        <v>154</v>
      </c>
      <c r="H113" s="2" t="s">
        <v>194</v>
      </c>
      <c r="I113" s="2" t="s">
        <v>195</v>
      </c>
      <c r="J113" s="2" t="s">
        <v>19</v>
      </c>
      <c r="K113" s="2" t="s">
        <v>521</v>
      </c>
      <c r="L113" s="7" t="str">
        <f>HYPERLINK("http://slimages.macys.com/is/image/MCY/12279320 ")</f>
        <v xml:space="preserve">http://slimages.macys.com/is/image/MCY/12279320 </v>
      </c>
    </row>
    <row r="114" spans="1:12" ht="24.75" x14ac:dyDescent="0.25">
      <c r="A114" s="4" t="s">
        <v>10541</v>
      </c>
      <c r="B114" s="2" t="s">
        <v>2313</v>
      </c>
      <c r="C114" s="3">
        <v>1</v>
      </c>
      <c r="D114" s="5">
        <v>52.13</v>
      </c>
      <c r="E114" s="3" t="s">
        <v>2314</v>
      </c>
      <c r="F114" s="2" t="s">
        <v>572</v>
      </c>
      <c r="G114" s="6" t="s">
        <v>16</v>
      </c>
      <c r="H114" s="2" t="s">
        <v>246</v>
      </c>
      <c r="I114" s="2" t="s">
        <v>487</v>
      </c>
      <c r="J114" s="2" t="s">
        <v>19</v>
      </c>
      <c r="K114" s="2" t="s">
        <v>409</v>
      </c>
      <c r="L114" s="7" t="str">
        <f>HYPERLINK("http://slimages.macys.com/is/image/MCY/11806897 ")</f>
        <v xml:space="preserve">http://slimages.macys.com/is/image/MCY/11806897 </v>
      </c>
    </row>
    <row r="115" spans="1:12" ht="24.75" x14ac:dyDescent="0.25">
      <c r="A115" s="4" t="s">
        <v>10542</v>
      </c>
      <c r="B115" s="2" t="s">
        <v>10543</v>
      </c>
      <c r="C115" s="3">
        <v>1</v>
      </c>
      <c r="D115" s="5">
        <v>52.13</v>
      </c>
      <c r="E115" s="3" t="s">
        <v>10544</v>
      </c>
      <c r="F115" s="2" t="s">
        <v>26</v>
      </c>
      <c r="G115" s="6" t="s">
        <v>234</v>
      </c>
      <c r="H115" s="2" t="s">
        <v>246</v>
      </c>
      <c r="I115" s="2" t="s">
        <v>189</v>
      </c>
      <c r="J115" s="2" t="s">
        <v>19</v>
      </c>
      <c r="K115" s="2" t="s">
        <v>201</v>
      </c>
      <c r="L115" s="7" t="str">
        <f>HYPERLINK("http://slimages.macys.com/is/image/MCY/13331121 ")</f>
        <v xml:space="preserve">http://slimages.macys.com/is/image/MCY/13331121 </v>
      </c>
    </row>
    <row r="116" spans="1:12" ht="24.75" x14ac:dyDescent="0.25">
      <c r="A116" s="4" t="s">
        <v>10545</v>
      </c>
      <c r="B116" s="2" t="s">
        <v>10543</v>
      </c>
      <c r="C116" s="3">
        <v>1</v>
      </c>
      <c r="D116" s="5">
        <v>52.13</v>
      </c>
      <c r="E116" s="3" t="s">
        <v>10544</v>
      </c>
      <c r="F116" s="2" t="s">
        <v>26</v>
      </c>
      <c r="G116" s="6" t="s">
        <v>156</v>
      </c>
      <c r="H116" s="2" t="s">
        <v>246</v>
      </c>
      <c r="I116" s="2" t="s">
        <v>189</v>
      </c>
      <c r="J116" s="2" t="s">
        <v>19</v>
      </c>
      <c r="K116" s="2" t="s">
        <v>201</v>
      </c>
      <c r="L116" s="7" t="str">
        <f>HYPERLINK("http://slimages.macys.com/is/image/MCY/13331121 ")</f>
        <v xml:space="preserve">http://slimages.macys.com/is/image/MCY/13331121 </v>
      </c>
    </row>
    <row r="117" spans="1:12" ht="24.75" x14ac:dyDescent="0.25">
      <c r="A117" s="4" t="s">
        <v>10546</v>
      </c>
      <c r="B117" s="2" t="s">
        <v>10543</v>
      </c>
      <c r="C117" s="3">
        <v>2</v>
      </c>
      <c r="D117" s="5">
        <v>52.13</v>
      </c>
      <c r="E117" s="3" t="s">
        <v>10544</v>
      </c>
      <c r="F117" s="2" t="s">
        <v>26</v>
      </c>
      <c r="G117" s="6" t="s">
        <v>245</v>
      </c>
      <c r="H117" s="2" t="s">
        <v>246</v>
      </c>
      <c r="I117" s="2" t="s">
        <v>189</v>
      </c>
      <c r="J117" s="2" t="s">
        <v>19</v>
      </c>
      <c r="K117" s="2" t="s">
        <v>201</v>
      </c>
      <c r="L117" s="7" t="str">
        <f>HYPERLINK("http://slimages.macys.com/is/image/MCY/13331121 ")</f>
        <v xml:space="preserve">http://slimages.macys.com/is/image/MCY/13331121 </v>
      </c>
    </row>
    <row r="118" spans="1:12" ht="24.75" x14ac:dyDescent="0.25">
      <c r="A118" s="4" t="s">
        <v>10547</v>
      </c>
      <c r="B118" s="2" t="s">
        <v>10543</v>
      </c>
      <c r="C118" s="3">
        <v>1</v>
      </c>
      <c r="D118" s="5">
        <v>52.13</v>
      </c>
      <c r="E118" s="3" t="s">
        <v>10544</v>
      </c>
      <c r="F118" s="2" t="s">
        <v>132</v>
      </c>
      <c r="G118" s="6" t="s">
        <v>156</v>
      </c>
      <c r="H118" s="2" t="s">
        <v>246</v>
      </c>
      <c r="I118" s="2" t="s">
        <v>189</v>
      </c>
      <c r="J118" s="2" t="s">
        <v>19</v>
      </c>
      <c r="K118" s="2" t="s">
        <v>201</v>
      </c>
      <c r="L118" s="7" t="str">
        <f>HYPERLINK("http://slimages.macys.com/is/image/MCY/13331121 ")</f>
        <v xml:space="preserve">http://slimages.macys.com/is/image/MCY/13331121 </v>
      </c>
    </row>
    <row r="119" spans="1:12" ht="24.75" x14ac:dyDescent="0.25">
      <c r="A119" s="4" t="s">
        <v>10548</v>
      </c>
      <c r="B119" s="2" t="s">
        <v>535</v>
      </c>
      <c r="C119" s="3">
        <v>1</v>
      </c>
      <c r="D119" s="5">
        <v>52.13</v>
      </c>
      <c r="E119" s="3" t="s">
        <v>536</v>
      </c>
      <c r="F119" s="2" t="s">
        <v>26</v>
      </c>
      <c r="G119" s="6" t="s">
        <v>234</v>
      </c>
      <c r="H119" s="2" t="s">
        <v>246</v>
      </c>
      <c r="I119" s="2" t="s">
        <v>189</v>
      </c>
      <c r="J119" s="2" t="s">
        <v>19</v>
      </c>
      <c r="K119" s="2" t="s">
        <v>537</v>
      </c>
      <c r="L119" s="7" t="str">
        <f>HYPERLINK("http://slimages.macys.com/is/image/MCY/11884249 ")</f>
        <v xml:space="preserve">http://slimages.macys.com/is/image/MCY/11884249 </v>
      </c>
    </row>
    <row r="120" spans="1:12" ht="24.75" x14ac:dyDescent="0.25">
      <c r="A120" s="4" t="s">
        <v>10549</v>
      </c>
      <c r="B120" s="2" t="s">
        <v>535</v>
      </c>
      <c r="C120" s="3">
        <v>1</v>
      </c>
      <c r="D120" s="5">
        <v>52.13</v>
      </c>
      <c r="E120" s="3" t="s">
        <v>536</v>
      </c>
      <c r="F120" s="2" t="s">
        <v>26</v>
      </c>
      <c r="G120" s="6" t="s">
        <v>245</v>
      </c>
      <c r="H120" s="2" t="s">
        <v>246</v>
      </c>
      <c r="I120" s="2" t="s">
        <v>189</v>
      </c>
      <c r="J120" s="2" t="s">
        <v>19</v>
      </c>
      <c r="K120" s="2" t="s">
        <v>537</v>
      </c>
      <c r="L120" s="7" t="str">
        <f>HYPERLINK("http://slimages.macys.com/is/image/MCY/11884249 ")</f>
        <v xml:space="preserve">http://slimages.macys.com/is/image/MCY/11884249 </v>
      </c>
    </row>
    <row r="121" spans="1:12" ht="24.75" x14ac:dyDescent="0.25">
      <c r="A121" s="4" t="s">
        <v>10550</v>
      </c>
      <c r="B121" s="2" t="s">
        <v>7915</v>
      </c>
      <c r="C121" s="3">
        <v>1</v>
      </c>
      <c r="D121" s="5">
        <v>48</v>
      </c>
      <c r="E121" s="3">
        <v>100055661</v>
      </c>
      <c r="F121" s="2" t="s">
        <v>89</v>
      </c>
      <c r="G121" s="6" t="s">
        <v>39</v>
      </c>
      <c r="H121" s="2" t="s">
        <v>228</v>
      </c>
      <c r="I121" s="2" t="s">
        <v>229</v>
      </c>
      <c r="J121" s="2" t="s">
        <v>19</v>
      </c>
      <c r="K121" s="2" t="s">
        <v>230</v>
      </c>
      <c r="L121" s="7" t="str">
        <f>HYPERLINK("http://slimages.macys.com/is/image/MCY/12849874 ")</f>
        <v xml:space="preserve">http://slimages.macys.com/is/image/MCY/12849874 </v>
      </c>
    </row>
    <row r="122" spans="1:12" ht="24.75" x14ac:dyDescent="0.25">
      <c r="A122" s="4" t="s">
        <v>547</v>
      </c>
      <c r="B122" s="2" t="s">
        <v>548</v>
      </c>
      <c r="C122" s="3">
        <v>1</v>
      </c>
      <c r="D122" s="5">
        <v>44.5</v>
      </c>
      <c r="E122" s="3" t="s">
        <v>549</v>
      </c>
      <c r="F122" s="2" t="s">
        <v>252</v>
      </c>
      <c r="G122" s="6" t="s">
        <v>181</v>
      </c>
      <c r="H122" s="2" t="s">
        <v>194</v>
      </c>
      <c r="I122" s="2" t="s">
        <v>195</v>
      </c>
      <c r="J122" s="2" t="s">
        <v>19</v>
      </c>
      <c r="K122" s="2" t="s">
        <v>34</v>
      </c>
      <c r="L122" s="7" t="str">
        <f>HYPERLINK("http://slimages.macys.com/is/image/MCY/11527016 ")</f>
        <v xml:space="preserve">http://slimages.macys.com/is/image/MCY/11527016 </v>
      </c>
    </row>
    <row r="123" spans="1:12" ht="48.75" x14ac:dyDescent="0.25">
      <c r="A123" s="4" t="s">
        <v>10551</v>
      </c>
      <c r="B123" s="2" t="s">
        <v>3600</v>
      </c>
      <c r="C123" s="3">
        <v>1</v>
      </c>
      <c r="D123" s="5">
        <v>48.38</v>
      </c>
      <c r="E123" s="3" t="s">
        <v>9383</v>
      </c>
      <c r="F123" s="2" t="s">
        <v>331</v>
      </c>
      <c r="G123" s="6" t="s">
        <v>746</v>
      </c>
      <c r="H123" s="2" t="s">
        <v>349</v>
      </c>
      <c r="I123" s="2" t="s">
        <v>458</v>
      </c>
      <c r="J123" s="2" t="s">
        <v>19</v>
      </c>
      <c r="K123" s="2" t="s">
        <v>9384</v>
      </c>
      <c r="L123" s="7" t="str">
        <f>HYPERLINK("http://slimages.macys.com/is/image/MCY/12717465 ")</f>
        <v xml:space="preserve">http://slimages.macys.com/is/image/MCY/12717465 </v>
      </c>
    </row>
    <row r="124" spans="1:12" ht="48.75" x14ac:dyDescent="0.25">
      <c r="A124" s="4" t="s">
        <v>5501</v>
      </c>
      <c r="B124" s="2" t="s">
        <v>551</v>
      </c>
      <c r="C124" s="3">
        <v>1</v>
      </c>
      <c r="D124" s="5">
        <v>48</v>
      </c>
      <c r="E124" s="3">
        <v>100053418</v>
      </c>
      <c r="F124" s="2" t="s">
        <v>26</v>
      </c>
      <c r="G124" s="6" t="s">
        <v>234</v>
      </c>
      <c r="H124" s="2" t="s">
        <v>228</v>
      </c>
      <c r="I124" s="2" t="s">
        <v>229</v>
      </c>
      <c r="J124" s="2" t="s">
        <v>19</v>
      </c>
      <c r="K124" s="2" t="s">
        <v>552</v>
      </c>
      <c r="L124" s="7" t="str">
        <f>HYPERLINK("http://slimages.macys.com/is/image/MCY/12158587 ")</f>
        <v xml:space="preserve">http://slimages.macys.com/is/image/MCY/12158587 </v>
      </c>
    </row>
    <row r="125" spans="1:12" ht="48.75" x14ac:dyDescent="0.25">
      <c r="A125" s="4" t="s">
        <v>8961</v>
      </c>
      <c r="B125" s="2" t="s">
        <v>8962</v>
      </c>
      <c r="C125" s="3">
        <v>1</v>
      </c>
      <c r="D125" s="5">
        <v>48</v>
      </c>
      <c r="E125" s="3">
        <v>100010021</v>
      </c>
      <c r="F125" s="2" t="s">
        <v>417</v>
      </c>
      <c r="G125" s="6" t="s">
        <v>181</v>
      </c>
      <c r="H125" s="2" t="s">
        <v>228</v>
      </c>
      <c r="I125" s="2" t="s">
        <v>229</v>
      </c>
      <c r="J125" s="2" t="s">
        <v>19</v>
      </c>
      <c r="K125" s="2" t="s">
        <v>552</v>
      </c>
      <c r="L125" s="7" t="str">
        <f>HYPERLINK("http://slimages.macys.com/is/image/MCY/12158587 ")</f>
        <v xml:space="preserve">http://slimages.macys.com/is/image/MCY/12158587 </v>
      </c>
    </row>
    <row r="126" spans="1:12" ht="24.75" x14ac:dyDescent="0.25">
      <c r="A126" s="4" t="s">
        <v>10552</v>
      </c>
      <c r="B126" s="2">
        <v>10046</v>
      </c>
      <c r="C126" s="3">
        <v>1</v>
      </c>
      <c r="D126" s="5">
        <v>69.5</v>
      </c>
      <c r="E126" s="3">
        <v>100055242</v>
      </c>
      <c r="F126" s="2" t="s">
        <v>64</v>
      </c>
      <c r="G126" s="6" t="s">
        <v>39</v>
      </c>
      <c r="H126" s="2" t="s">
        <v>386</v>
      </c>
      <c r="I126" s="2" t="s">
        <v>337</v>
      </c>
      <c r="J126" s="2" t="s">
        <v>19</v>
      </c>
      <c r="K126" s="2" t="s">
        <v>387</v>
      </c>
      <c r="L126" s="7" t="str">
        <f>HYPERLINK("http://slimages.macys.com/is/image/MCY/11535562 ")</f>
        <v xml:space="preserve">http://slimages.macys.com/is/image/MCY/11535562 </v>
      </c>
    </row>
    <row r="127" spans="1:12" ht="24.75" x14ac:dyDescent="0.25">
      <c r="A127" s="4" t="s">
        <v>563</v>
      </c>
      <c r="B127" s="2" t="s">
        <v>564</v>
      </c>
      <c r="C127" s="3">
        <v>1</v>
      </c>
      <c r="D127" s="5">
        <v>40.880000000000003</v>
      </c>
      <c r="E127" s="3" t="s">
        <v>565</v>
      </c>
      <c r="F127" s="2" t="s">
        <v>566</v>
      </c>
      <c r="G127" s="6" t="s">
        <v>154</v>
      </c>
      <c r="H127" s="2" t="s">
        <v>194</v>
      </c>
      <c r="I127" s="2" t="s">
        <v>195</v>
      </c>
      <c r="J127" s="2" t="s">
        <v>19</v>
      </c>
      <c r="K127" s="2" t="s">
        <v>567</v>
      </c>
      <c r="L127" s="7" t="str">
        <f>HYPERLINK("http://slimages.macys.com/is/image/MCY/12064036 ")</f>
        <v xml:space="preserve">http://slimages.macys.com/is/image/MCY/12064036 </v>
      </c>
    </row>
    <row r="128" spans="1:12" ht="36.75" x14ac:dyDescent="0.25">
      <c r="A128" s="4" t="s">
        <v>10553</v>
      </c>
      <c r="B128" s="2" t="s">
        <v>10554</v>
      </c>
      <c r="C128" s="3">
        <v>2</v>
      </c>
      <c r="D128" s="5">
        <v>40.880000000000003</v>
      </c>
      <c r="E128" s="3" t="s">
        <v>10555</v>
      </c>
      <c r="F128" s="2" t="s">
        <v>331</v>
      </c>
      <c r="G128" s="6" t="s">
        <v>181</v>
      </c>
      <c r="H128" s="2" t="s">
        <v>194</v>
      </c>
      <c r="I128" s="2" t="s">
        <v>1398</v>
      </c>
      <c r="J128" s="2" t="s">
        <v>19</v>
      </c>
      <c r="K128" s="2" t="s">
        <v>10556</v>
      </c>
      <c r="L128" s="7" t="str">
        <f>HYPERLINK("http://slimages.macys.com/is/image/MCY/13368002 ")</f>
        <v xml:space="preserve">http://slimages.macys.com/is/image/MCY/13368002 </v>
      </c>
    </row>
    <row r="129" spans="1:12" ht="36.75" x14ac:dyDescent="0.25">
      <c r="A129" s="4" t="s">
        <v>10557</v>
      </c>
      <c r="B129" s="2" t="s">
        <v>10554</v>
      </c>
      <c r="C129" s="3">
        <v>1</v>
      </c>
      <c r="D129" s="5">
        <v>40.880000000000003</v>
      </c>
      <c r="E129" s="3" t="s">
        <v>10555</v>
      </c>
      <c r="F129" s="2" t="s">
        <v>331</v>
      </c>
      <c r="G129" s="6" t="s">
        <v>154</v>
      </c>
      <c r="H129" s="2" t="s">
        <v>194</v>
      </c>
      <c r="I129" s="2" t="s">
        <v>1398</v>
      </c>
      <c r="J129" s="2" t="s">
        <v>19</v>
      </c>
      <c r="K129" s="2" t="s">
        <v>10556</v>
      </c>
      <c r="L129" s="7" t="str">
        <f>HYPERLINK("http://slimages.macys.com/is/image/MCY/13368002 ")</f>
        <v xml:space="preserve">http://slimages.macys.com/is/image/MCY/13368002 </v>
      </c>
    </row>
    <row r="130" spans="1:12" ht="36.75" x14ac:dyDescent="0.25">
      <c r="A130" s="4" t="s">
        <v>10558</v>
      </c>
      <c r="B130" s="2" t="s">
        <v>10554</v>
      </c>
      <c r="C130" s="3">
        <v>3</v>
      </c>
      <c r="D130" s="5">
        <v>40.880000000000003</v>
      </c>
      <c r="E130" s="3" t="s">
        <v>10555</v>
      </c>
      <c r="F130" s="2" t="s">
        <v>331</v>
      </c>
      <c r="G130" s="6" t="s">
        <v>234</v>
      </c>
      <c r="H130" s="2" t="s">
        <v>194</v>
      </c>
      <c r="I130" s="2" t="s">
        <v>1398</v>
      </c>
      <c r="J130" s="2" t="s">
        <v>19</v>
      </c>
      <c r="K130" s="2" t="s">
        <v>10556</v>
      </c>
      <c r="L130" s="7" t="str">
        <f>HYPERLINK("http://slimages.macys.com/is/image/MCY/13368002 ")</f>
        <v xml:space="preserve">http://slimages.macys.com/is/image/MCY/13368002 </v>
      </c>
    </row>
    <row r="131" spans="1:12" ht="36.75" x14ac:dyDescent="0.25">
      <c r="A131" s="4" t="s">
        <v>10559</v>
      </c>
      <c r="B131" s="2" t="s">
        <v>10554</v>
      </c>
      <c r="C131" s="3">
        <v>2</v>
      </c>
      <c r="D131" s="5">
        <v>40.880000000000003</v>
      </c>
      <c r="E131" s="3" t="s">
        <v>10555</v>
      </c>
      <c r="F131" s="2" t="s">
        <v>331</v>
      </c>
      <c r="G131" s="6" t="s">
        <v>156</v>
      </c>
      <c r="H131" s="2" t="s">
        <v>194</v>
      </c>
      <c r="I131" s="2" t="s">
        <v>1398</v>
      </c>
      <c r="J131" s="2" t="s">
        <v>19</v>
      </c>
      <c r="K131" s="2" t="s">
        <v>10556</v>
      </c>
      <c r="L131" s="7" t="str">
        <f>HYPERLINK("http://slimages.macys.com/is/image/MCY/13368002 ")</f>
        <v xml:space="preserve">http://slimages.macys.com/is/image/MCY/13368002 </v>
      </c>
    </row>
    <row r="132" spans="1:12" ht="24.75" x14ac:dyDescent="0.25">
      <c r="A132" s="4" t="s">
        <v>10560</v>
      </c>
      <c r="B132" s="2" t="s">
        <v>570</v>
      </c>
      <c r="C132" s="3">
        <v>1</v>
      </c>
      <c r="D132" s="5">
        <v>40.880000000000003</v>
      </c>
      <c r="E132" s="3" t="s">
        <v>571</v>
      </c>
      <c r="F132" s="2" t="s">
        <v>572</v>
      </c>
      <c r="G132" s="6" t="s">
        <v>141</v>
      </c>
      <c r="H132" s="2" t="s">
        <v>246</v>
      </c>
      <c r="I132" s="2" t="s">
        <v>525</v>
      </c>
      <c r="J132" s="2" t="s">
        <v>19</v>
      </c>
      <c r="K132" s="2" t="s">
        <v>338</v>
      </c>
      <c r="L132" s="7" t="str">
        <f>HYPERLINK("http://slimages.macys.com/is/image/MCY/11746434 ")</f>
        <v xml:space="preserve">http://slimages.macys.com/is/image/MCY/11746434 </v>
      </c>
    </row>
    <row r="133" spans="1:12" ht="24.75" x14ac:dyDescent="0.25">
      <c r="A133" s="4" t="s">
        <v>10561</v>
      </c>
      <c r="B133" s="2" t="s">
        <v>590</v>
      </c>
      <c r="C133" s="3">
        <v>1</v>
      </c>
      <c r="D133" s="5">
        <v>44.25</v>
      </c>
      <c r="E133" s="3">
        <v>100037392</v>
      </c>
      <c r="F133" s="2" t="s">
        <v>74</v>
      </c>
      <c r="G133" s="6" t="s">
        <v>58</v>
      </c>
      <c r="H133" s="2" t="s">
        <v>228</v>
      </c>
      <c r="I133" s="2" t="s">
        <v>229</v>
      </c>
      <c r="J133" s="2" t="s">
        <v>19</v>
      </c>
      <c r="K133" s="2" t="s">
        <v>338</v>
      </c>
      <c r="L133" s="7" t="str">
        <f>HYPERLINK("http://slimages.macys.com/is/image/MCY/10888725 ")</f>
        <v xml:space="preserve">http://slimages.macys.com/is/image/MCY/10888725 </v>
      </c>
    </row>
    <row r="134" spans="1:12" ht="24.75" x14ac:dyDescent="0.25">
      <c r="A134" s="4" t="s">
        <v>10562</v>
      </c>
      <c r="B134" s="2" t="s">
        <v>10563</v>
      </c>
      <c r="C134" s="3">
        <v>1</v>
      </c>
      <c r="D134" s="5">
        <v>44.63</v>
      </c>
      <c r="E134" s="3">
        <v>100016078</v>
      </c>
      <c r="F134" s="2" t="s">
        <v>64</v>
      </c>
      <c r="G134" s="6" t="s">
        <v>156</v>
      </c>
      <c r="H134" s="2" t="s">
        <v>194</v>
      </c>
      <c r="I134" s="2" t="s">
        <v>195</v>
      </c>
      <c r="J134" s="2" t="s">
        <v>19</v>
      </c>
      <c r="K134" s="2" t="s">
        <v>1108</v>
      </c>
      <c r="L134" s="7" t="str">
        <f>HYPERLINK("http://slimages.macys.com/is/image/MCY/9646618 ")</f>
        <v xml:space="preserve">http://slimages.macys.com/is/image/MCY/9646618 </v>
      </c>
    </row>
    <row r="135" spans="1:12" ht="36.75" x14ac:dyDescent="0.25">
      <c r="A135" s="4" t="s">
        <v>10564</v>
      </c>
      <c r="B135" s="2" t="s">
        <v>10565</v>
      </c>
      <c r="C135" s="3">
        <v>1</v>
      </c>
      <c r="D135" s="5">
        <v>44.63</v>
      </c>
      <c r="E135" s="3">
        <v>100011941</v>
      </c>
      <c r="F135" s="2" t="s">
        <v>26</v>
      </c>
      <c r="G135" s="6" t="s">
        <v>234</v>
      </c>
      <c r="H135" s="2" t="s">
        <v>182</v>
      </c>
      <c r="I135" s="2" t="s">
        <v>10566</v>
      </c>
      <c r="J135" s="2" t="s">
        <v>19</v>
      </c>
      <c r="K135" s="2" t="s">
        <v>514</v>
      </c>
      <c r="L135" s="7" t="str">
        <f>HYPERLINK("http://slimages.macys.com/is/image/MCY/9235766 ")</f>
        <v xml:space="preserve">http://slimages.macys.com/is/image/MCY/9235766 </v>
      </c>
    </row>
    <row r="136" spans="1:12" ht="24.75" x14ac:dyDescent="0.25">
      <c r="A136" s="4" t="s">
        <v>10567</v>
      </c>
      <c r="B136" s="2" t="s">
        <v>10568</v>
      </c>
      <c r="C136" s="3">
        <v>1</v>
      </c>
      <c r="D136" s="5">
        <v>69.5</v>
      </c>
      <c r="E136" s="3">
        <v>100052010</v>
      </c>
      <c r="F136" s="2" t="s">
        <v>33</v>
      </c>
      <c r="G136" s="6" t="s">
        <v>58</v>
      </c>
      <c r="H136" s="2" t="s">
        <v>386</v>
      </c>
      <c r="I136" s="2" t="s">
        <v>337</v>
      </c>
      <c r="J136" s="2" t="s">
        <v>19</v>
      </c>
      <c r="K136" s="2" t="s">
        <v>338</v>
      </c>
      <c r="L136" s="7" t="str">
        <f>HYPERLINK("http://slimages.macys.com/is/image/MCY/10625187 ")</f>
        <v xml:space="preserve">http://slimages.macys.com/is/image/MCY/10625187 </v>
      </c>
    </row>
    <row r="137" spans="1:12" ht="24.75" x14ac:dyDescent="0.25">
      <c r="A137" s="4" t="s">
        <v>10569</v>
      </c>
      <c r="B137" s="2" t="s">
        <v>10568</v>
      </c>
      <c r="C137" s="3">
        <v>1</v>
      </c>
      <c r="D137" s="5">
        <v>69.5</v>
      </c>
      <c r="E137" s="3">
        <v>100052010</v>
      </c>
      <c r="F137" s="2" t="s">
        <v>33</v>
      </c>
      <c r="G137" s="6" t="s">
        <v>16</v>
      </c>
      <c r="H137" s="2" t="s">
        <v>386</v>
      </c>
      <c r="I137" s="2" t="s">
        <v>337</v>
      </c>
      <c r="J137" s="2" t="s">
        <v>19</v>
      </c>
      <c r="K137" s="2" t="s">
        <v>338</v>
      </c>
      <c r="L137" s="7" t="str">
        <f>HYPERLINK("http://slimages.macys.com/is/image/MCY/10625187 ")</f>
        <v xml:space="preserve">http://slimages.macys.com/is/image/MCY/10625187 </v>
      </c>
    </row>
    <row r="138" spans="1:12" ht="36.75" x14ac:dyDescent="0.25">
      <c r="A138" s="4" t="s">
        <v>10570</v>
      </c>
      <c r="B138" s="2" t="s">
        <v>10571</v>
      </c>
      <c r="C138" s="3">
        <v>1</v>
      </c>
      <c r="D138" s="5">
        <v>48.38</v>
      </c>
      <c r="E138" s="3" t="s">
        <v>10572</v>
      </c>
      <c r="F138" s="2" t="s">
        <v>64</v>
      </c>
      <c r="G138" s="6" t="s">
        <v>156</v>
      </c>
      <c r="H138" s="2" t="s">
        <v>246</v>
      </c>
      <c r="I138" s="2" t="s">
        <v>189</v>
      </c>
      <c r="J138" s="2" t="s">
        <v>19</v>
      </c>
      <c r="K138" s="2" t="s">
        <v>2419</v>
      </c>
      <c r="L138" s="7" t="str">
        <f>HYPERLINK("http://slimages.macys.com/is/image/MCY/12928701 ")</f>
        <v xml:space="preserve">http://slimages.macys.com/is/image/MCY/12928701 </v>
      </c>
    </row>
    <row r="139" spans="1:12" ht="24.75" x14ac:dyDescent="0.25">
      <c r="A139" s="4" t="s">
        <v>10573</v>
      </c>
      <c r="B139" s="2" t="s">
        <v>10479</v>
      </c>
      <c r="C139" s="3">
        <v>2</v>
      </c>
      <c r="D139" s="5">
        <v>40.880000000000003</v>
      </c>
      <c r="E139" s="3" t="s">
        <v>10574</v>
      </c>
      <c r="F139" s="2" t="s">
        <v>26</v>
      </c>
      <c r="G139" s="6" t="s">
        <v>154</v>
      </c>
      <c r="H139" s="2" t="s">
        <v>284</v>
      </c>
      <c r="I139" s="2" t="s">
        <v>408</v>
      </c>
      <c r="J139" s="2" t="s">
        <v>19</v>
      </c>
      <c r="K139" s="2" t="s">
        <v>409</v>
      </c>
      <c r="L139" s="7" t="str">
        <f>HYPERLINK("http://slimages.macys.com/is/image/MCY/13382940 ")</f>
        <v xml:space="preserve">http://slimages.macys.com/is/image/MCY/13382940 </v>
      </c>
    </row>
    <row r="140" spans="1:12" ht="24.75" x14ac:dyDescent="0.25">
      <c r="A140" s="4" t="s">
        <v>10575</v>
      </c>
      <c r="B140" s="2" t="s">
        <v>7867</v>
      </c>
      <c r="C140" s="3">
        <v>1</v>
      </c>
      <c r="D140" s="5">
        <v>40.880000000000003</v>
      </c>
      <c r="E140" s="3" t="s">
        <v>10576</v>
      </c>
      <c r="F140" s="2" t="s">
        <v>26</v>
      </c>
      <c r="G140" s="6" t="s">
        <v>154</v>
      </c>
      <c r="H140" s="2" t="s">
        <v>284</v>
      </c>
      <c r="I140" s="2" t="s">
        <v>736</v>
      </c>
      <c r="J140" s="2" t="s">
        <v>19</v>
      </c>
      <c r="K140" s="2" t="s">
        <v>10577</v>
      </c>
      <c r="L140" s="7" t="str">
        <f>HYPERLINK("http://slimages.macys.com/is/image/MCY/12806795 ")</f>
        <v xml:space="preserve">http://slimages.macys.com/is/image/MCY/12806795 </v>
      </c>
    </row>
    <row r="141" spans="1:12" ht="24.75" x14ac:dyDescent="0.25">
      <c r="A141" s="4" t="s">
        <v>10578</v>
      </c>
      <c r="B141" s="2" t="s">
        <v>7867</v>
      </c>
      <c r="C141" s="3">
        <v>1</v>
      </c>
      <c r="D141" s="5">
        <v>40.880000000000003</v>
      </c>
      <c r="E141" s="3" t="s">
        <v>10576</v>
      </c>
      <c r="F141" s="2" t="s">
        <v>26</v>
      </c>
      <c r="G141" s="6" t="s">
        <v>200</v>
      </c>
      <c r="H141" s="2" t="s">
        <v>284</v>
      </c>
      <c r="I141" s="2" t="s">
        <v>736</v>
      </c>
      <c r="J141" s="2" t="s">
        <v>19</v>
      </c>
      <c r="K141" s="2" t="s">
        <v>10577</v>
      </c>
      <c r="L141" s="7" t="str">
        <f>HYPERLINK("http://slimages.macys.com/is/image/MCY/12806795 ")</f>
        <v xml:space="preserve">http://slimages.macys.com/is/image/MCY/12806795 </v>
      </c>
    </row>
    <row r="142" spans="1:12" ht="24.75" x14ac:dyDescent="0.25">
      <c r="A142" s="4" t="s">
        <v>10579</v>
      </c>
      <c r="B142" s="2" t="s">
        <v>10580</v>
      </c>
      <c r="C142" s="3">
        <v>1</v>
      </c>
      <c r="D142" s="5">
        <v>44.63</v>
      </c>
      <c r="E142" s="3" t="s">
        <v>10581</v>
      </c>
      <c r="F142" s="2" t="s">
        <v>64</v>
      </c>
      <c r="G142" s="6" t="s">
        <v>156</v>
      </c>
      <c r="H142" s="2" t="s">
        <v>246</v>
      </c>
      <c r="I142" s="2" t="s">
        <v>189</v>
      </c>
      <c r="J142" s="2" t="s">
        <v>19</v>
      </c>
      <c r="K142" s="2" t="s">
        <v>263</v>
      </c>
      <c r="L142" s="7" t="str">
        <f>HYPERLINK("http://slimages.macys.com/is/image/MCY/16233493 ")</f>
        <v xml:space="preserve">http://slimages.macys.com/is/image/MCY/16233493 </v>
      </c>
    </row>
    <row r="143" spans="1:12" ht="36.75" x14ac:dyDescent="0.25">
      <c r="A143" s="4" t="s">
        <v>10582</v>
      </c>
      <c r="B143" s="2" t="s">
        <v>626</v>
      </c>
      <c r="C143" s="3">
        <v>1</v>
      </c>
      <c r="D143" s="5">
        <v>40.880000000000003</v>
      </c>
      <c r="E143" s="3" t="s">
        <v>6393</v>
      </c>
      <c r="F143" s="2" t="s">
        <v>572</v>
      </c>
      <c r="G143" s="6" t="s">
        <v>934</v>
      </c>
      <c r="H143" s="2" t="s">
        <v>188</v>
      </c>
      <c r="I143" s="2" t="s">
        <v>525</v>
      </c>
      <c r="J143" s="2" t="s">
        <v>19</v>
      </c>
      <c r="K143" s="2" t="s">
        <v>6394</v>
      </c>
      <c r="L143" s="7" t="str">
        <f>HYPERLINK("http://slimages.macys.com/is/image/MCY/11620896 ")</f>
        <v xml:space="preserve">http://slimages.macys.com/is/image/MCY/11620896 </v>
      </c>
    </row>
    <row r="144" spans="1:12" ht="24.75" x14ac:dyDescent="0.25">
      <c r="A144" s="4" t="s">
        <v>10583</v>
      </c>
      <c r="B144" s="2" t="s">
        <v>10580</v>
      </c>
      <c r="C144" s="3">
        <v>2</v>
      </c>
      <c r="D144" s="5">
        <v>44.63</v>
      </c>
      <c r="E144" s="3" t="s">
        <v>10581</v>
      </c>
      <c r="F144" s="2" t="s">
        <v>64</v>
      </c>
      <c r="G144" s="6" t="s">
        <v>154</v>
      </c>
      <c r="H144" s="2" t="s">
        <v>246</v>
      </c>
      <c r="I144" s="2" t="s">
        <v>189</v>
      </c>
      <c r="J144" s="2" t="s">
        <v>19</v>
      </c>
      <c r="K144" s="2" t="s">
        <v>263</v>
      </c>
      <c r="L144" s="7" t="str">
        <f>HYPERLINK("http://slimages.macys.com/is/image/MCY/16233493 ")</f>
        <v xml:space="preserve">http://slimages.macys.com/is/image/MCY/16233493 </v>
      </c>
    </row>
    <row r="145" spans="1:12" ht="24.75" x14ac:dyDescent="0.25">
      <c r="A145" s="4" t="s">
        <v>10584</v>
      </c>
      <c r="B145" s="2" t="s">
        <v>10585</v>
      </c>
      <c r="C145" s="3">
        <v>1</v>
      </c>
      <c r="D145" s="5">
        <v>44.63</v>
      </c>
      <c r="E145" s="3" t="s">
        <v>10586</v>
      </c>
      <c r="F145" s="2" t="s">
        <v>48</v>
      </c>
      <c r="G145" s="6" t="s">
        <v>234</v>
      </c>
      <c r="H145" s="2" t="s">
        <v>194</v>
      </c>
      <c r="I145" s="2" t="s">
        <v>195</v>
      </c>
      <c r="J145" s="2" t="s">
        <v>19</v>
      </c>
      <c r="K145" s="2" t="s">
        <v>648</v>
      </c>
      <c r="L145" s="7" t="str">
        <f>HYPERLINK("http://slimages.macys.com/is/image/MCY/13120803 ")</f>
        <v xml:space="preserve">http://slimages.macys.com/is/image/MCY/13120803 </v>
      </c>
    </row>
    <row r="146" spans="1:12" ht="24.75" x14ac:dyDescent="0.25">
      <c r="A146" s="4" t="s">
        <v>10587</v>
      </c>
      <c r="B146" s="2" t="s">
        <v>10585</v>
      </c>
      <c r="C146" s="3">
        <v>1</v>
      </c>
      <c r="D146" s="5">
        <v>44.63</v>
      </c>
      <c r="E146" s="3" t="s">
        <v>10586</v>
      </c>
      <c r="F146" s="2" t="s">
        <v>48</v>
      </c>
      <c r="G146" s="6" t="s">
        <v>181</v>
      </c>
      <c r="H146" s="2" t="s">
        <v>194</v>
      </c>
      <c r="I146" s="2" t="s">
        <v>195</v>
      </c>
      <c r="J146" s="2" t="s">
        <v>19</v>
      </c>
      <c r="K146" s="2" t="s">
        <v>648</v>
      </c>
      <c r="L146" s="7" t="str">
        <f>HYPERLINK("http://slimages.macys.com/is/image/MCY/13120803 ")</f>
        <v xml:space="preserve">http://slimages.macys.com/is/image/MCY/13120803 </v>
      </c>
    </row>
    <row r="147" spans="1:12" ht="24.75" x14ac:dyDescent="0.25">
      <c r="A147" s="4" t="s">
        <v>10588</v>
      </c>
      <c r="B147" s="2" t="s">
        <v>10585</v>
      </c>
      <c r="C147" s="3">
        <v>1</v>
      </c>
      <c r="D147" s="5">
        <v>44.63</v>
      </c>
      <c r="E147" s="3" t="s">
        <v>10586</v>
      </c>
      <c r="F147" s="2" t="s">
        <v>48</v>
      </c>
      <c r="G147" s="6" t="s">
        <v>156</v>
      </c>
      <c r="H147" s="2" t="s">
        <v>194</v>
      </c>
      <c r="I147" s="2" t="s">
        <v>195</v>
      </c>
      <c r="J147" s="2" t="s">
        <v>19</v>
      </c>
      <c r="K147" s="2" t="s">
        <v>648</v>
      </c>
      <c r="L147" s="7" t="str">
        <f>HYPERLINK("http://slimages.macys.com/is/image/MCY/13120803 ")</f>
        <v xml:space="preserve">http://slimages.macys.com/is/image/MCY/13120803 </v>
      </c>
    </row>
    <row r="148" spans="1:12" ht="48.75" x14ac:dyDescent="0.25">
      <c r="A148" s="4" t="s">
        <v>10589</v>
      </c>
      <c r="B148" s="2" t="s">
        <v>10590</v>
      </c>
      <c r="C148" s="3">
        <v>1</v>
      </c>
      <c r="D148" s="5">
        <v>40.880000000000003</v>
      </c>
      <c r="E148" s="3" t="s">
        <v>10591</v>
      </c>
      <c r="F148" s="2" t="s">
        <v>74</v>
      </c>
      <c r="G148" s="6" t="s">
        <v>181</v>
      </c>
      <c r="H148" s="2" t="s">
        <v>284</v>
      </c>
      <c r="I148" s="2" t="s">
        <v>408</v>
      </c>
      <c r="J148" s="2" t="s">
        <v>19</v>
      </c>
      <c r="K148" s="2" t="s">
        <v>10592</v>
      </c>
      <c r="L148" s="7" t="str">
        <f>HYPERLINK("http://slimages.macys.com/is/image/MCY/12034583 ")</f>
        <v xml:space="preserve">http://slimages.macys.com/is/image/MCY/12034583 </v>
      </c>
    </row>
    <row r="149" spans="1:12" ht="24.75" x14ac:dyDescent="0.25">
      <c r="A149" s="4" t="s">
        <v>10593</v>
      </c>
      <c r="B149" s="2" t="s">
        <v>10594</v>
      </c>
      <c r="C149" s="3">
        <v>1</v>
      </c>
      <c r="D149" s="5">
        <v>69.5</v>
      </c>
      <c r="E149" s="3" t="s">
        <v>10595</v>
      </c>
      <c r="F149" s="2" t="s">
        <v>193</v>
      </c>
      <c r="G149" s="6" t="s">
        <v>187</v>
      </c>
      <c r="H149" s="2" t="s">
        <v>206</v>
      </c>
      <c r="I149" s="2" t="s">
        <v>207</v>
      </c>
      <c r="J149" s="2" t="s">
        <v>19</v>
      </c>
      <c r="K149" s="2" t="s">
        <v>160</v>
      </c>
      <c r="L149" s="7" t="str">
        <f>HYPERLINK("http://slimages.macys.com/is/image/MCY/12386665 ")</f>
        <v xml:space="preserve">http://slimages.macys.com/is/image/MCY/12386665 </v>
      </c>
    </row>
    <row r="150" spans="1:12" ht="48.75" x14ac:dyDescent="0.25">
      <c r="A150" s="4" t="s">
        <v>10596</v>
      </c>
      <c r="B150" s="2" t="s">
        <v>10597</v>
      </c>
      <c r="C150" s="3">
        <v>1</v>
      </c>
      <c r="D150" s="5">
        <v>37.130000000000003</v>
      </c>
      <c r="E150" s="3" t="s">
        <v>10598</v>
      </c>
      <c r="F150" s="2" t="s">
        <v>26</v>
      </c>
      <c r="G150" s="6" t="s">
        <v>181</v>
      </c>
      <c r="H150" s="2" t="s">
        <v>284</v>
      </c>
      <c r="I150" s="2" t="s">
        <v>285</v>
      </c>
      <c r="J150" s="2" t="s">
        <v>19</v>
      </c>
      <c r="K150" s="2" t="s">
        <v>10599</v>
      </c>
      <c r="L150" s="7" t="str">
        <f>HYPERLINK("http://slimages.macys.com/is/image/MCY/13383040 ")</f>
        <v xml:space="preserve">http://slimages.macys.com/is/image/MCY/13383040 </v>
      </c>
    </row>
    <row r="151" spans="1:12" ht="24.75" x14ac:dyDescent="0.25">
      <c r="A151" s="4" t="s">
        <v>10600</v>
      </c>
      <c r="B151" s="2" t="s">
        <v>2542</v>
      </c>
      <c r="C151" s="3">
        <v>1</v>
      </c>
      <c r="D151" s="5">
        <v>59.5</v>
      </c>
      <c r="E151" s="3">
        <v>100061927</v>
      </c>
      <c r="F151" s="2" t="s">
        <v>252</v>
      </c>
      <c r="G151" s="6" t="s">
        <v>106</v>
      </c>
      <c r="H151" s="2" t="s">
        <v>386</v>
      </c>
      <c r="I151" s="2" t="s">
        <v>207</v>
      </c>
      <c r="J151" s="2" t="s">
        <v>19</v>
      </c>
      <c r="K151" s="2" t="s">
        <v>1251</v>
      </c>
      <c r="L151" s="7" t="str">
        <f>HYPERLINK("http://slimages.macys.com/is/image/MCY/11963036 ")</f>
        <v xml:space="preserve">http://slimages.macys.com/is/image/MCY/11963036 </v>
      </c>
    </row>
    <row r="152" spans="1:12" ht="24.75" x14ac:dyDescent="0.25">
      <c r="A152" s="4" t="s">
        <v>665</v>
      </c>
      <c r="B152" s="2" t="s">
        <v>666</v>
      </c>
      <c r="C152" s="3">
        <v>1</v>
      </c>
      <c r="D152" s="5">
        <v>40.5</v>
      </c>
      <c r="E152" s="3" t="s">
        <v>667</v>
      </c>
      <c r="F152" s="2" t="s">
        <v>417</v>
      </c>
      <c r="G152" s="6" t="s">
        <v>205</v>
      </c>
      <c r="H152" s="2" t="s">
        <v>426</v>
      </c>
      <c r="I152" s="2" t="s">
        <v>195</v>
      </c>
      <c r="J152" s="2" t="s">
        <v>19</v>
      </c>
      <c r="K152" s="2" t="s">
        <v>338</v>
      </c>
      <c r="L152" s="7" t="str">
        <f>HYPERLINK("http://slimages.macys.com/is/image/MCY/9358013 ")</f>
        <v xml:space="preserve">http://slimages.macys.com/is/image/MCY/9358013 </v>
      </c>
    </row>
    <row r="153" spans="1:12" ht="24.75" x14ac:dyDescent="0.25">
      <c r="A153" s="4" t="s">
        <v>10601</v>
      </c>
      <c r="B153" s="2" t="s">
        <v>7918</v>
      </c>
      <c r="C153" s="3">
        <v>1</v>
      </c>
      <c r="D153" s="5">
        <v>40.880000000000003</v>
      </c>
      <c r="E153" s="3" t="s">
        <v>10602</v>
      </c>
      <c r="F153" s="2" t="s">
        <v>33</v>
      </c>
      <c r="G153" s="6" t="s">
        <v>181</v>
      </c>
      <c r="H153" s="2" t="s">
        <v>194</v>
      </c>
      <c r="I153" s="2" t="s">
        <v>195</v>
      </c>
      <c r="J153" s="2" t="s">
        <v>19</v>
      </c>
      <c r="K153" s="2" t="s">
        <v>7920</v>
      </c>
      <c r="L153" s="7" t="str">
        <f>HYPERLINK("http://slimages.macys.com/is/image/MCY/12950227 ")</f>
        <v xml:space="preserve">http://slimages.macys.com/is/image/MCY/12950227 </v>
      </c>
    </row>
    <row r="154" spans="1:12" ht="24.75" x14ac:dyDescent="0.25">
      <c r="A154" s="4" t="s">
        <v>10603</v>
      </c>
      <c r="B154" s="2" t="s">
        <v>7918</v>
      </c>
      <c r="C154" s="3">
        <v>2</v>
      </c>
      <c r="D154" s="5">
        <v>40.880000000000003</v>
      </c>
      <c r="E154" s="3" t="s">
        <v>10602</v>
      </c>
      <c r="F154" s="2" t="s">
        <v>33</v>
      </c>
      <c r="G154" s="6" t="s">
        <v>154</v>
      </c>
      <c r="H154" s="2" t="s">
        <v>194</v>
      </c>
      <c r="I154" s="2" t="s">
        <v>195</v>
      </c>
      <c r="J154" s="2" t="s">
        <v>19</v>
      </c>
      <c r="K154" s="2" t="s">
        <v>7920</v>
      </c>
      <c r="L154" s="7" t="str">
        <f>HYPERLINK("http://slimages.macys.com/is/image/MCY/12950227 ")</f>
        <v xml:space="preserve">http://slimages.macys.com/is/image/MCY/12950227 </v>
      </c>
    </row>
    <row r="155" spans="1:12" ht="24.75" x14ac:dyDescent="0.25">
      <c r="A155" s="4" t="s">
        <v>10604</v>
      </c>
      <c r="B155" s="2" t="s">
        <v>10605</v>
      </c>
      <c r="C155" s="3">
        <v>2</v>
      </c>
      <c r="D155" s="5">
        <v>52.13</v>
      </c>
      <c r="E155" s="3" t="s">
        <v>10606</v>
      </c>
      <c r="F155" s="2" t="s">
        <v>15</v>
      </c>
      <c r="G155" s="6" t="s">
        <v>154</v>
      </c>
      <c r="H155" s="2" t="s">
        <v>194</v>
      </c>
      <c r="I155" s="2" t="s">
        <v>580</v>
      </c>
      <c r="J155" s="2" t="s">
        <v>19</v>
      </c>
      <c r="K155" s="2" t="s">
        <v>160</v>
      </c>
      <c r="L155" s="7" t="str">
        <f>HYPERLINK("http://slimages.macys.com/is/image/MCY/12316632 ")</f>
        <v xml:space="preserve">http://slimages.macys.com/is/image/MCY/12316632 </v>
      </c>
    </row>
    <row r="156" spans="1:12" ht="24.75" x14ac:dyDescent="0.25">
      <c r="A156" s="4" t="s">
        <v>10607</v>
      </c>
      <c r="B156" s="2" t="s">
        <v>10605</v>
      </c>
      <c r="C156" s="3">
        <v>1</v>
      </c>
      <c r="D156" s="5">
        <v>52.13</v>
      </c>
      <c r="E156" s="3" t="s">
        <v>10606</v>
      </c>
      <c r="F156" s="2" t="s">
        <v>125</v>
      </c>
      <c r="G156" s="6" t="s">
        <v>181</v>
      </c>
      <c r="H156" s="2" t="s">
        <v>194</v>
      </c>
      <c r="I156" s="2" t="s">
        <v>580</v>
      </c>
      <c r="J156" s="2" t="s">
        <v>19</v>
      </c>
      <c r="K156" s="2" t="s">
        <v>160</v>
      </c>
      <c r="L156" s="7" t="str">
        <f>HYPERLINK("http://slimages.macys.com/is/image/MCY/12316632 ")</f>
        <v xml:space="preserve">http://slimages.macys.com/is/image/MCY/12316632 </v>
      </c>
    </row>
    <row r="157" spans="1:12" ht="24.75" x14ac:dyDescent="0.25">
      <c r="A157" s="4" t="s">
        <v>10608</v>
      </c>
      <c r="B157" s="2" t="s">
        <v>10605</v>
      </c>
      <c r="C157" s="3">
        <v>1</v>
      </c>
      <c r="D157" s="5">
        <v>52.13</v>
      </c>
      <c r="E157" s="3" t="s">
        <v>10606</v>
      </c>
      <c r="F157" s="2" t="s">
        <v>125</v>
      </c>
      <c r="G157" s="6" t="s">
        <v>154</v>
      </c>
      <c r="H157" s="2" t="s">
        <v>194</v>
      </c>
      <c r="I157" s="2" t="s">
        <v>580</v>
      </c>
      <c r="J157" s="2" t="s">
        <v>19</v>
      </c>
      <c r="K157" s="2" t="s">
        <v>160</v>
      </c>
      <c r="L157" s="7" t="str">
        <f>HYPERLINK("http://slimages.macys.com/is/image/MCY/12316632 ")</f>
        <v xml:space="preserve">http://slimages.macys.com/is/image/MCY/12316632 </v>
      </c>
    </row>
    <row r="158" spans="1:12" ht="24.75" x14ac:dyDescent="0.25">
      <c r="A158" s="4" t="s">
        <v>10609</v>
      </c>
      <c r="B158" s="2" t="s">
        <v>10605</v>
      </c>
      <c r="C158" s="3">
        <v>1</v>
      </c>
      <c r="D158" s="5">
        <v>52.13</v>
      </c>
      <c r="E158" s="3" t="s">
        <v>10606</v>
      </c>
      <c r="F158" s="2" t="s">
        <v>15</v>
      </c>
      <c r="G158" s="6" t="s">
        <v>181</v>
      </c>
      <c r="H158" s="2" t="s">
        <v>194</v>
      </c>
      <c r="I158" s="2" t="s">
        <v>580</v>
      </c>
      <c r="J158" s="2" t="s">
        <v>19</v>
      </c>
      <c r="K158" s="2" t="s">
        <v>160</v>
      </c>
      <c r="L158" s="7" t="str">
        <f>HYPERLINK("http://slimages.macys.com/is/image/MCY/12316632 ")</f>
        <v xml:space="preserve">http://slimages.macys.com/is/image/MCY/12316632 </v>
      </c>
    </row>
    <row r="159" spans="1:12" ht="24.75" x14ac:dyDescent="0.25">
      <c r="A159" s="4" t="s">
        <v>10610</v>
      </c>
      <c r="B159" s="2" t="s">
        <v>10611</v>
      </c>
      <c r="C159" s="3">
        <v>1</v>
      </c>
      <c r="D159" s="5">
        <v>41.65</v>
      </c>
      <c r="E159" s="3" t="s">
        <v>10612</v>
      </c>
      <c r="F159" s="2" t="s">
        <v>2619</v>
      </c>
      <c r="G159" s="6" t="s">
        <v>234</v>
      </c>
      <c r="H159" s="2" t="s">
        <v>182</v>
      </c>
      <c r="I159" s="2" t="s">
        <v>183</v>
      </c>
      <c r="J159" s="2" t="s">
        <v>19</v>
      </c>
      <c r="K159" s="2" t="s">
        <v>1480</v>
      </c>
      <c r="L159" s="7" t="str">
        <f>HYPERLINK("http://slimages.macys.com/is/image/MCY/11853517 ")</f>
        <v xml:space="preserve">http://slimages.macys.com/is/image/MCY/11853517 </v>
      </c>
    </row>
    <row r="160" spans="1:12" ht="24.75" x14ac:dyDescent="0.25">
      <c r="A160" s="4" t="s">
        <v>10613</v>
      </c>
      <c r="B160" s="2" t="s">
        <v>10614</v>
      </c>
      <c r="C160" s="3">
        <v>1</v>
      </c>
      <c r="D160" s="5">
        <v>49.5</v>
      </c>
      <c r="E160" s="3" t="s">
        <v>10615</v>
      </c>
      <c r="F160" s="2" t="s">
        <v>413</v>
      </c>
      <c r="G160" s="6" t="s">
        <v>219</v>
      </c>
      <c r="H160" s="2" t="s">
        <v>127</v>
      </c>
      <c r="I160" s="2" t="s">
        <v>128</v>
      </c>
      <c r="J160" s="2" t="s">
        <v>19</v>
      </c>
      <c r="K160" s="2" t="s">
        <v>160</v>
      </c>
      <c r="L160" s="7" t="str">
        <f>HYPERLINK("http://slimages.macys.com/is/image/MCY/11722458 ")</f>
        <v xml:space="preserve">http://slimages.macys.com/is/image/MCY/11722458 </v>
      </c>
    </row>
    <row r="161" spans="1:12" ht="24.75" x14ac:dyDescent="0.25">
      <c r="A161" s="4" t="s">
        <v>10616</v>
      </c>
      <c r="B161" s="2" t="s">
        <v>10617</v>
      </c>
      <c r="C161" s="3">
        <v>1</v>
      </c>
      <c r="D161" s="5">
        <v>37.130000000000003</v>
      </c>
      <c r="E161" s="3" t="s">
        <v>10618</v>
      </c>
      <c r="F161" s="2" t="s">
        <v>94</v>
      </c>
      <c r="G161" s="6" t="s">
        <v>200</v>
      </c>
      <c r="H161" s="2" t="s">
        <v>284</v>
      </c>
      <c r="I161" s="2" t="s">
        <v>408</v>
      </c>
      <c r="J161" s="2" t="s">
        <v>19</v>
      </c>
      <c r="K161" s="2" t="s">
        <v>409</v>
      </c>
      <c r="L161" s="7" t="str">
        <f>HYPERLINK("http://slimages.macys.com/is/image/MCY/12877220 ")</f>
        <v xml:space="preserve">http://slimages.macys.com/is/image/MCY/12877220 </v>
      </c>
    </row>
    <row r="162" spans="1:12" ht="36.75" x14ac:dyDescent="0.25">
      <c r="A162" s="4" t="s">
        <v>10619</v>
      </c>
      <c r="B162" s="2" t="s">
        <v>1028</v>
      </c>
      <c r="C162" s="3">
        <v>1</v>
      </c>
      <c r="D162" s="5">
        <v>29.99</v>
      </c>
      <c r="E162" s="3" t="s">
        <v>10620</v>
      </c>
      <c r="F162" s="2" t="s">
        <v>94</v>
      </c>
      <c r="G162" s="6" t="s">
        <v>200</v>
      </c>
      <c r="H162" s="2" t="s">
        <v>284</v>
      </c>
      <c r="I162" s="2" t="s">
        <v>408</v>
      </c>
      <c r="J162" s="2" t="s">
        <v>19</v>
      </c>
      <c r="K162" s="2" t="s">
        <v>500</v>
      </c>
      <c r="L162" s="7" t="str">
        <f>HYPERLINK("http://slimages.macys.com/is/image/MCY/8191311 ")</f>
        <v xml:space="preserve">http://slimages.macys.com/is/image/MCY/8191311 </v>
      </c>
    </row>
    <row r="163" spans="1:12" ht="24.75" x14ac:dyDescent="0.25">
      <c r="A163" s="4" t="s">
        <v>8996</v>
      </c>
      <c r="B163" s="2" t="s">
        <v>707</v>
      </c>
      <c r="C163" s="3">
        <v>1</v>
      </c>
      <c r="D163" s="5">
        <v>40.880000000000003</v>
      </c>
      <c r="E163" s="3">
        <v>100047657</v>
      </c>
      <c r="F163" s="2" t="s">
        <v>376</v>
      </c>
      <c r="G163" s="6" t="s">
        <v>106</v>
      </c>
      <c r="H163" s="2" t="s">
        <v>194</v>
      </c>
      <c r="I163" s="2" t="s">
        <v>195</v>
      </c>
      <c r="J163" s="2" t="s">
        <v>19</v>
      </c>
      <c r="K163" s="2" t="s">
        <v>546</v>
      </c>
      <c r="L163" s="7" t="str">
        <f>HYPERLINK("http://slimages.macys.com/is/image/MCY/12143636 ")</f>
        <v xml:space="preserve">http://slimages.macys.com/is/image/MCY/12143636 </v>
      </c>
    </row>
    <row r="164" spans="1:12" ht="24.75" x14ac:dyDescent="0.25">
      <c r="A164" s="4" t="s">
        <v>7961</v>
      </c>
      <c r="B164" s="2" t="s">
        <v>707</v>
      </c>
      <c r="C164" s="3">
        <v>1</v>
      </c>
      <c r="D164" s="5">
        <v>40.880000000000003</v>
      </c>
      <c r="E164" s="3">
        <v>100047657</v>
      </c>
      <c r="F164" s="2" t="s">
        <v>376</v>
      </c>
      <c r="G164" s="6" t="s">
        <v>27</v>
      </c>
      <c r="H164" s="2" t="s">
        <v>194</v>
      </c>
      <c r="I164" s="2" t="s">
        <v>195</v>
      </c>
      <c r="J164" s="2" t="s">
        <v>19</v>
      </c>
      <c r="K164" s="2" t="s">
        <v>546</v>
      </c>
      <c r="L164" s="7" t="str">
        <f>HYPERLINK("http://slimages.macys.com/is/image/MCY/12143636 ")</f>
        <v xml:space="preserve">http://slimages.macys.com/is/image/MCY/12143636 </v>
      </c>
    </row>
    <row r="165" spans="1:12" ht="24.75" x14ac:dyDescent="0.25">
      <c r="A165" s="4" t="s">
        <v>10621</v>
      </c>
      <c r="B165" s="2" t="s">
        <v>10622</v>
      </c>
      <c r="C165" s="3">
        <v>1</v>
      </c>
      <c r="D165" s="5">
        <v>37.130000000000003</v>
      </c>
      <c r="E165" s="3" t="s">
        <v>10623</v>
      </c>
      <c r="F165" s="2" t="s">
        <v>15</v>
      </c>
      <c r="G165" s="6" t="s">
        <v>181</v>
      </c>
      <c r="H165" s="2" t="s">
        <v>194</v>
      </c>
      <c r="I165" s="2" t="s">
        <v>195</v>
      </c>
      <c r="J165" s="2" t="s">
        <v>19</v>
      </c>
      <c r="K165" s="2" t="s">
        <v>201</v>
      </c>
      <c r="L165" s="7" t="str">
        <f>HYPERLINK("http://slimages.macys.com/is/image/MCY/13036857 ")</f>
        <v xml:space="preserve">http://slimages.macys.com/is/image/MCY/13036857 </v>
      </c>
    </row>
    <row r="166" spans="1:12" ht="24.75" x14ac:dyDescent="0.25">
      <c r="A166" s="4" t="s">
        <v>10624</v>
      </c>
      <c r="B166" s="2" t="s">
        <v>10625</v>
      </c>
      <c r="C166" s="3">
        <v>1</v>
      </c>
      <c r="D166" s="5">
        <v>37.130000000000003</v>
      </c>
      <c r="E166" s="3" t="s">
        <v>10626</v>
      </c>
      <c r="F166" s="2" t="s">
        <v>111</v>
      </c>
      <c r="G166" s="6" t="s">
        <v>245</v>
      </c>
      <c r="H166" s="2" t="s">
        <v>194</v>
      </c>
      <c r="I166" s="2" t="s">
        <v>195</v>
      </c>
      <c r="J166" s="2" t="s">
        <v>19</v>
      </c>
      <c r="K166" s="2" t="s">
        <v>546</v>
      </c>
      <c r="L166" s="7" t="str">
        <f>HYPERLINK("http://slimages.macys.com/is/image/MCY/12850912 ")</f>
        <v xml:space="preserve">http://slimages.macys.com/is/image/MCY/12850912 </v>
      </c>
    </row>
    <row r="167" spans="1:12" ht="24.75" x14ac:dyDescent="0.25">
      <c r="A167" s="4" t="s">
        <v>5567</v>
      </c>
      <c r="B167" s="2" t="s">
        <v>707</v>
      </c>
      <c r="C167" s="3">
        <v>1</v>
      </c>
      <c r="D167" s="5">
        <v>40.880000000000003</v>
      </c>
      <c r="E167" s="3">
        <v>100047657</v>
      </c>
      <c r="F167" s="2" t="s">
        <v>376</v>
      </c>
      <c r="G167" s="6" t="s">
        <v>141</v>
      </c>
      <c r="H167" s="2" t="s">
        <v>194</v>
      </c>
      <c r="I167" s="2" t="s">
        <v>195</v>
      </c>
      <c r="J167" s="2" t="s">
        <v>19</v>
      </c>
      <c r="K167" s="2" t="s">
        <v>546</v>
      </c>
      <c r="L167" s="7" t="str">
        <f>HYPERLINK("http://slimages.macys.com/is/image/MCY/12143636 ")</f>
        <v xml:space="preserve">http://slimages.macys.com/is/image/MCY/12143636 </v>
      </c>
    </row>
    <row r="168" spans="1:12" ht="24.75" x14ac:dyDescent="0.25">
      <c r="A168" s="4" t="s">
        <v>2390</v>
      </c>
      <c r="B168" s="2" t="s">
        <v>707</v>
      </c>
      <c r="C168" s="3">
        <v>1</v>
      </c>
      <c r="D168" s="5">
        <v>40.880000000000003</v>
      </c>
      <c r="E168" s="3">
        <v>100047657</v>
      </c>
      <c r="F168" s="2" t="s">
        <v>376</v>
      </c>
      <c r="G168" s="6" t="s">
        <v>65</v>
      </c>
      <c r="H168" s="2" t="s">
        <v>194</v>
      </c>
      <c r="I168" s="2" t="s">
        <v>195</v>
      </c>
      <c r="J168" s="2" t="s">
        <v>19</v>
      </c>
      <c r="K168" s="2" t="s">
        <v>546</v>
      </c>
      <c r="L168" s="7" t="str">
        <f>HYPERLINK("http://slimages.macys.com/is/image/MCY/12143636 ")</f>
        <v xml:space="preserve">http://slimages.macys.com/is/image/MCY/12143636 </v>
      </c>
    </row>
    <row r="169" spans="1:12" ht="24.75" x14ac:dyDescent="0.25">
      <c r="A169" s="4" t="s">
        <v>10627</v>
      </c>
      <c r="B169" s="2" t="s">
        <v>10628</v>
      </c>
      <c r="C169" s="3">
        <v>1</v>
      </c>
      <c r="D169" s="5">
        <v>40.880000000000003</v>
      </c>
      <c r="E169" s="3" t="s">
        <v>10629</v>
      </c>
      <c r="F169" s="2" t="s">
        <v>26</v>
      </c>
      <c r="G169" s="6" t="s">
        <v>181</v>
      </c>
      <c r="H169" s="2" t="s">
        <v>194</v>
      </c>
      <c r="I169" s="2" t="s">
        <v>195</v>
      </c>
      <c r="J169" s="2" t="s">
        <v>19</v>
      </c>
      <c r="K169" s="2" t="s">
        <v>107</v>
      </c>
      <c r="L169" s="7" t="str">
        <f>HYPERLINK("http://slimages.macys.com/is/image/MCY/12802461 ")</f>
        <v xml:space="preserve">http://slimages.macys.com/is/image/MCY/12802461 </v>
      </c>
    </row>
    <row r="170" spans="1:12" ht="24.75" x14ac:dyDescent="0.25">
      <c r="A170" s="4" t="s">
        <v>10630</v>
      </c>
      <c r="B170" s="2" t="s">
        <v>10628</v>
      </c>
      <c r="C170" s="3">
        <v>2</v>
      </c>
      <c r="D170" s="5">
        <v>40.880000000000003</v>
      </c>
      <c r="E170" s="3" t="s">
        <v>10629</v>
      </c>
      <c r="F170" s="2" t="s">
        <v>26</v>
      </c>
      <c r="G170" s="6" t="s">
        <v>156</v>
      </c>
      <c r="H170" s="2" t="s">
        <v>194</v>
      </c>
      <c r="I170" s="2" t="s">
        <v>195</v>
      </c>
      <c r="J170" s="2" t="s">
        <v>19</v>
      </c>
      <c r="K170" s="2" t="s">
        <v>107</v>
      </c>
      <c r="L170" s="7" t="str">
        <f>HYPERLINK("http://slimages.macys.com/is/image/MCY/12802461 ")</f>
        <v xml:space="preserve">http://slimages.macys.com/is/image/MCY/12802461 </v>
      </c>
    </row>
    <row r="171" spans="1:12" ht="24.75" x14ac:dyDescent="0.25">
      <c r="A171" s="4" t="s">
        <v>10631</v>
      </c>
      <c r="B171" s="2" t="s">
        <v>10632</v>
      </c>
      <c r="C171" s="3">
        <v>1</v>
      </c>
      <c r="D171" s="5">
        <v>40.880000000000003</v>
      </c>
      <c r="E171" s="3" t="s">
        <v>10633</v>
      </c>
      <c r="F171" s="2" t="s">
        <v>26</v>
      </c>
      <c r="G171" s="6" t="s">
        <v>154</v>
      </c>
      <c r="H171" s="2" t="s">
        <v>284</v>
      </c>
      <c r="I171" s="2" t="s">
        <v>736</v>
      </c>
      <c r="J171" s="2" t="s">
        <v>19</v>
      </c>
      <c r="K171" s="2" t="s">
        <v>10634</v>
      </c>
      <c r="L171" s="7" t="str">
        <f>HYPERLINK("http://slimages.macys.com/is/image/MCY/12876516 ")</f>
        <v xml:space="preserve">http://slimages.macys.com/is/image/MCY/12876516 </v>
      </c>
    </row>
    <row r="172" spans="1:12" ht="24.75" x14ac:dyDescent="0.25">
      <c r="A172" s="4" t="s">
        <v>10635</v>
      </c>
      <c r="B172" s="2" t="s">
        <v>10632</v>
      </c>
      <c r="C172" s="3">
        <v>1</v>
      </c>
      <c r="D172" s="5">
        <v>40.880000000000003</v>
      </c>
      <c r="E172" s="3" t="s">
        <v>10633</v>
      </c>
      <c r="F172" s="2" t="s">
        <v>26</v>
      </c>
      <c r="G172" s="6" t="s">
        <v>200</v>
      </c>
      <c r="H172" s="2" t="s">
        <v>284</v>
      </c>
      <c r="I172" s="2" t="s">
        <v>736</v>
      </c>
      <c r="J172" s="2" t="s">
        <v>19</v>
      </c>
      <c r="K172" s="2" t="s">
        <v>10634</v>
      </c>
      <c r="L172" s="7" t="str">
        <f>HYPERLINK("http://slimages.macys.com/is/image/MCY/12876516 ")</f>
        <v xml:space="preserve">http://slimages.macys.com/is/image/MCY/12876516 </v>
      </c>
    </row>
    <row r="173" spans="1:12" ht="24.75" x14ac:dyDescent="0.25">
      <c r="A173" s="4" t="s">
        <v>10636</v>
      </c>
      <c r="B173" s="2" t="s">
        <v>10637</v>
      </c>
      <c r="C173" s="3">
        <v>4</v>
      </c>
      <c r="D173" s="5">
        <v>37.130000000000003</v>
      </c>
      <c r="E173" s="3" t="s">
        <v>10638</v>
      </c>
      <c r="F173" s="2" t="s">
        <v>74</v>
      </c>
      <c r="G173" s="6" t="s">
        <v>154</v>
      </c>
      <c r="H173" s="2" t="s">
        <v>194</v>
      </c>
      <c r="I173" s="2" t="s">
        <v>195</v>
      </c>
      <c r="J173" s="2" t="s">
        <v>19</v>
      </c>
      <c r="K173" s="2" t="s">
        <v>798</v>
      </c>
      <c r="L173" s="7" t="str">
        <f>HYPERLINK("http://slimages.macys.com/is/image/MCY/13316441 ")</f>
        <v xml:space="preserve">http://slimages.macys.com/is/image/MCY/13316441 </v>
      </c>
    </row>
    <row r="174" spans="1:12" ht="24.75" x14ac:dyDescent="0.25">
      <c r="A174" s="4" t="s">
        <v>10639</v>
      </c>
      <c r="B174" s="2" t="s">
        <v>10637</v>
      </c>
      <c r="C174" s="3">
        <v>1</v>
      </c>
      <c r="D174" s="5">
        <v>37.130000000000003</v>
      </c>
      <c r="E174" s="3" t="s">
        <v>10638</v>
      </c>
      <c r="F174" s="2" t="s">
        <v>74</v>
      </c>
      <c r="G174" s="6" t="s">
        <v>200</v>
      </c>
      <c r="H174" s="2" t="s">
        <v>194</v>
      </c>
      <c r="I174" s="2" t="s">
        <v>195</v>
      </c>
      <c r="J174" s="2" t="s">
        <v>19</v>
      </c>
      <c r="K174" s="2" t="s">
        <v>798</v>
      </c>
      <c r="L174" s="7" t="str">
        <f>HYPERLINK("http://slimages.macys.com/is/image/MCY/13316441 ")</f>
        <v xml:space="preserve">http://slimages.macys.com/is/image/MCY/13316441 </v>
      </c>
    </row>
    <row r="175" spans="1:12" ht="36.75" x14ac:dyDescent="0.25">
      <c r="A175" s="4" t="s">
        <v>10640</v>
      </c>
      <c r="B175" s="2" t="s">
        <v>4653</v>
      </c>
      <c r="C175" s="3">
        <v>1</v>
      </c>
      <c r="D175" s="5">
        <v>37.130000000000003</v>
      </c>
      <c r="E175" s="3" t="s">
        <v>4654</v>
      </c>
      <c r="F175" s="2" t="s">
        <v>1584</v>
      </c>
      <c r="G175" s="6" t="s">
        <v>200</v>
      </c>
      <c r="H175" s="2" t="s">
        <v>284</v>
      </c>
      <c r="I175" s="2" t="s">
        <v>408</v>
      </c>
      <c r="J175" s="2" t="s">
        <v>19</v>
      </c>
      <c r="K175" s="2" t="s">
        <v>500</v>
      </c>
      <c r="L175" s="7" t="str">
        <f>HYPERLINK("http://slimages.macys.com/is/image/MCY/12672239 ")</f>
        <v xml:space="preserve">http://slimages.macys.com/is/image/MCY/12672239 </v>
      </c>
    </row>
    <row r="176" spans="1:12" ht="24.75" x14ac:dyDescent="0.25">
      <c r="A176" s="4" t="s">
        <v>723</v>
      </c>
      <c r="B176" s="2" t="s">
        <v>453</v>
      </c>
      <c r="C176" s="3">
        <v>1</v>
      </c>
      <c r="D176" s="5">
        <v>37.130000000000003</v>
      </c>
      <c r="E176" s="3" t="s">
        <v>721</v>
      </c>
      <c r="F176" s="2" t="s">
        <v>417</v>
      </c>
      <c r="G176" s="6" t="s">
        <v>200</v>
      </c>
      <c r="H176" s="2" t="s">
        <v>284</v>
      </c>
      <c r="I176" s="2" t="s">
        <v>285</v>
      </c>
      <c r="J176" s="2" t="s">
        <v>19</v>
      </c>
      <c r="K176" s="2" t="s">
        <v>323</v>
      </c>
      <c r="L176" s="7" t="str">
        <f>HYPERLINK("http://slimages.macys.com/is/image/MCY/9678668 ")</f>
        <v xml:space="preserve">http://slimages.macys.com/is/image/MCY/9678668 </v>
      </c>
    </row>
    <row r="177" spans="1:12" ht="24.75" x14ac:dyDescent="0.25">
      <c r="A177" s="4" t="s">
        <v>722</v>
      </c>
      <c r="B177" s="2" t="s">
        <v>453</v>
      </c>
      <c r="C177" s="3">
        <v>1</v>
      </c>
      <c r="D177" s="5">
        <v>37.130000000000003</v>
      </c>
      <c r="E177" s="3" t="s">
        <v>721</v>
      </c>
      <c r="F177" s="2" t="s">
        <v>417</v>
      </c>
      <c r="G177" s="6" t="s">
        <v>154</v>
      </c>
      <c r="H177" s="2" t="s">
        <v>284</v>
      </c>
      <c r="I177" s="2" t="s">
        <v>285</v>
      </c>
      <c r="J177" s="2" t="s">
        <v>19</v>
      </c>
      <c r="K177" s="2" t="s">
        <v>323</v>
      </c>
      <c r="L177" s="7" t="str">
        <f>HYPERLINK("http://slimages.macys.com/is/image/MCY/9678668 ")</f>
        <v xml:space="preserve">http://slimages.macys.com/is/image/MCY/9678668 </v>
      </c>
    </row>
    <row r="178" spans="1:12" ht="24.75" x14ac:dyDescent="0.25">
      <c r="A178" s="4" t="s">
        <v>10641</v>
      </c>
      <c r="B178" s="2" t="s">
        <v>5464</v>
      </c>
      <c r="C178" s="3">
        <v>1</v>
      </c>
      <c r="D178" s="5">
        <v>44.63</v>
      </c>
      <c r="E178" s="3" t="s">
        <v>10642</v>
      </c>
      <c r="F178" s="2" t="s">
        <v>26</v>
      </c>
      <c r="G178" s="6" t="s">
        <v>200</v>
      </c>
      <c r="H178" s="2" t="s">
        <v>284</v>
      </c>
      <c r="I178" s="2" t="s">
        <v>285</v>
      </c>
      <c r="J178" s="2" t="s">
        <v>19</v>
      </c>
      <c r="K178" s="2" t="s">
        <v>323</v>
      </c>
      <c r="L178" s="7" t="str">
        <f>HYPERLINK("http://slimages.macys.com/is/image/MCY/13383024 ")</f>
        <v xml:space="preserve">http://slimages.macys.com/is/image/MCY/13383024 </v>
      </c>
    </row>
    <row r="179" spans="1:12" ht="24.75" x14ac:dyDescent="0.25">
      <c r="A179" s="4" t="s">
        <v>5578</v>
      </c>
      <c r="B179" s="2" t="s">
        <v>456</v>
      </c>
      <c r="C179" s="3">
        <v>1</v>
      </c>
      <c r="D179" s="5">
        <v>37.130000000000003</v>
      </c>
      <c r="E179" s="3" t="s">
        <v>731</v>
      </c>
      <c r="F179" s="2" t="s">
        <v>331</v>
      </c>
      <c r="G179" s="6" t="s">
        <v>181</v>
      </c>
      <c r="H179" s="2" t="s">
        <v>284</v>
      </c>
      <c r="I179" s="2" t="s">
        <v>458</v>
      </c>
      <c r="J179" s="2" t="s">
        <v>19</v>
      </c>
      <c r="K179" s="2" t="s">
        <v>442</v>
      </c>
      <c r="L179" s="7" t="str">
        <f>HYPERLINK("http://slimages.macys.com/is/image/MCY/10242537 ")</f>
        <v xml:space="preserve">http://slimages.macys.com/is/image/MCY/10242537 </v>
      </c>
    </row>
    <row r="180" spans="1:12" ht="24.75" x14ac:dyDescent="0.25">
      <c r="A180" s="4" t="s">
        <v>10643</v>
      </c>
      <c r="B180" s="2" t="s">
        <v>10644</v>
      </c>
      <c r="C180" s="3">
        <v>1</v>
      </c>
      <c r="D180" s="5">
        <v>69.5</v>
      </c>
      <c r="E180" s="3" t="s">
        <v>10645</v>
      </c>
      <c r="F180" s="2" t="s">
        <v>566</v>
      </c>
      <c r="G180" s="6" t="s">
        <v>187</v>
      </c>
      <c r="H180" s="2" t="s">
        <v>206</v>
      </c>
      <c r="I180" s="2" t="s">
        <v>207</v>
      </c>
      <c r="J180" s="2" t="s">
        <v>19</v>
      </c>
      <c r="K180" s="2" t="s">
        <v>10646</v>
      </c>
      <c r="L180" s="7" t="str">
        <f>HYPERLINK("http://slimages.macys.com/is/image/MCY/14476440 ")</f>
        <v xml:space="preserve">http://slimages.macys.com/is/image/MCY/14476440 </v>
      </c>
    </row>
    <row r="181" spans="1:12" ht="48.75" x14ac:dyDescent="0.25">
      <c r="A181" s="4" t="s">
        <v>749</v>
      </c>
      <c r="B181" s="2" t="s">
        <v>750</v>
      </c>
      <c r="C181" s="3">
        <v>1</v>
      </c>
      <c r="D181" s="5">
        <v>44.63</v>
      </c>
      <c r="E181" s="3" t="s">
        <v>751</v>
      </c>
      <c r="F181" s="2" t="s">
        <v>752</v>
      </c>
      <c r="G181" s="6" t="s">
        <v>154</v>
      </c>
      <c r="H181" s="2" t="s">
        <v>194</v>
      </c>
      <c r="I181" s="2" t="s">
        <v>195</v>
      </c>
      <c r="J181" s="2" t="s">
        <v>19</v>
      </c>
      <c r="K181" s="2" t="s">
        <v>753</v>
      </c>
      <c r="L181" s="7" t="str">
        <f>HYPERLINK("http://slimages.macys.com/is/image/MCY/12734332 ")</f>
        <v xml:space="preserve">http://slimages.macys.com/is/image/MCY/12734332 </v>
      </c>
    </row>
    <row r="182" spans="1:12" ht="24.75" x14ac:dyDescent="0.25">
      <c r="A182" s="4" t="s">
        <v>5600</v>
      </c>
      <c r="B182" s="2" t="s">
        <v>4674</v>
      </c>
      <c r="C182" s="3">
        <v>1</v>
      </c>
      <c r="D182" s="5">
        <v>34.5</v>
      </c>
      <c r="E182" s="3" t="s">
        <v>5601</v>
      </c>
      <c r="F182" s="2" t="s">
        <v>64</v>
      </c>
      <c r="G182" s="6" t="s">
        <v>3671</v>
      </c>
      <c r="H182" s="2" t="s">
        <v>228</v>
      </c>
      <c r="I182" s="2" t="s">
        <v>863</v>
      </c>
      <c r="J182" s="2" t="s">
        <v>19</v>
      </c>
      <c r="K182" s="2" t="s">
        <v>253</v>
      </c>
      <c r="L182" s="7" t="str">
        <f>HYPERLINK("http://slimages.macys.com/is/image/MCY/3650197 ")</f>
        <v xml:space="preserve">http://slimages.macys.com/is/image/MCY/3650197 </v>
      </c>
    </row>
    <row r="183" spans="1:12" ht="24.75" x14ac:dyDescent="0.25">
      <c r="A183" s="4" t="s">
        <v>7975</v>
      </c>
      <c r="B183" s="2" t="s">
        <v>768</v>
      </c>
      <c r="C183" s="3">
        <v>1</v>
      </c>
      <c r="D183" s="5">
        <v>34.880000000000003</v>
      </c>
      <c r="E183" s="3">
        <v>100054400</v>
      </c>
      <c r="F183" s="2" t="s">
        <v>64</v>
      </c>
      <c r="G183" s="6" t="s">
        <v>27</v>
      </c>
      <c r="H183" s="2" t="s">
        <v>194</v>
      </c>
      <c r="I183" s="2" t="s">
        <v>195</v>
      </c>
      <c r="J183" s="2" t="s">
        <v>19</v>
      </c>
      <c r="K183" s="2" t="s">
        <v>546</v>
      </c>
      <c r="L183" s="7" t="str">
        <f>HYPERLINK("http://slimages.macys.com/is/image/MCY/12850455 ")</f>
        <v xml:space="preserve">http://slimages.macys.com/is/image/MCY/12850455 </v>
      </c>
    </row>
    <row r="184" spans="1:12" ht="24.75" x14ac:dyDescent="0.25">
      <c r="A184" s="4" t="s">
        <v>10647</v>
      </c>
      <c r="B184" s="2" t="s">
        <v>773</v>
      </c>
      <c r="C184" s="3">
        <v>1</v>
      </c>
      <c r="D184" s="5">
        <v>37.130000000000003</v>
      </c>
      <c r="E184" s="3" t="s">
        <v>10648</v>
      </c>
      <c r="F184" s="2" t="s">
        <v>26</v>
      </c>
      <c r="G184" s="6" t="s">
        <v>200</v>
      </c>
      <c r="H184" s="2" t="s">
        <v>284</v>
      </c>
      <c r="I184" s="2" t="s">
        <v>408</v>
      </c>
      <c r="J184" s="2" t="s">
        <v>19</v>
      </c>
      <c r="K184" s="2" t="s">
        <v>409</v>
      </c>
      <c r="L184" s="7" t="str">
        <f>HYPERLINK("http://slimages.macys.com/is/image/MCY/12876504 ")</f>
        <v xml:space="preserve">http://slimages.macys.com/is/image/MCY/12876504 </v>
      </c>
    </row>
    <row r="185" spans="1:12" ht="24.75" x14ac:dyDescent="0.25">
      <c r="A185" s="4" t="s">
        <v>10649</v>
      </c>
      <c r="B185" s="2" t="s">
        <v>10650</v>
      </c>
      <c r="C185" s="3">
        <v>1</v>
      </c>
      <c r="D185" s="5">
        <v>37.130000000000003</v>
      </c>
      <c r="E185" s="3">
        <v>100065799</v>
      </c>
      <c r="F185" s="2" t="s">
        <v>676</v>
      </c>
      <c r="G185" s="6" t="s">
        <v>65</v>
      </c>
      <c r="H185" s="2" t="s">
        <v>194</v>
      </c>
      <c r="I185" s="2" t="s">
        <v>919</v>
      </c>
      <c r="J185" s="2" t="s">
        <v>19</v>
      </c>
      <c r="K185" s="2" t="s">
        <v>137</v>
      </c>
      <c r="L185" s="7" t="str">
        <f>HYPERLINK("http://slimages.macys.com/is/image/MCY/13829864 ")</f>
        <v xml:space="preserve">http://slimages.macys.com/is/image/MCY/13829864 </v>
      </c>
    </row>
    <row r="186" spans="1:12" ht="36.75" x14ac:dyDescent="0.25">
      <c r="A186" s="4" t="s">
        <v>10651</v>
      </c>
      <c r="B186" s="2" t="s">
        <v>4685</v>
      </c>
      <c r="C186" s="3">
        <v>1</v>
      </c>
      <c r="D186" s="5">
        <v>36.99</v>
      </c>
      <c r="E186" s="3" t="s">
        <v>4686</v>
      </c>
      <c r="F186" s="2" t="s">
        <v>53</v>
      </c>
      <c r="G186" s="6" t="s">
        <v>200</v>
      </c>
      <c r="H186" s="2" t="s">
        <v>284</v>
      </c>
      <c r="I186" s="2" t="s">
        <v>285</v>
      </c>
      <c r="J186" s="2" t="s">
        <v>19</v>
      </c>
      <c r="K186" s="2" t="s">
        <v>4687</v>
      </c>
      <c r="L186" s="7" t="str">
        <f>HYPERLINK("http://slimages.macys.com/is/image/MCY/13291017 ")</f>
        <v xml:space="preserve">http://slimages.macys.com/is/image/MCY/13291017 </v>
      </c>
    </row>
    <row r="187" spans="1:12" ht="24.75" x14ac:dyDescent="0.25">
      <c r="A187" s="4" t="s">
        <v>10652</v>
      </c>
      <c r="B187" s="2" t="s">
        <v>10653</v>
      </c>
      <c r="C187" s="3">
        <v>1</v>
      </c>
      <c r="D187" s="5">
        <v>40.880000000000003</v>
      </c>
      <c r="E187" s="3" t="s">
        <v>10654</v>
      </c>
      <c r="F187" s="2" t="s">
        <v>33</v>
      </c>
      <c r="G187" s="6" t="s">
        <v>141</v>
      </c>
      <c r="H187" s="2" t="s">
        <v>213</v>
      </c>
      <c r="I187" s="2" t="s">
        <v>214</v>
      </c>
      <c r="J187" s="2" t="s">
        <v>19</v>
      </c>
      <c r="K187" s="2" t="s">
        <v>215</v>
      </c>
      <c r="L187" s="7" t="str">
        <f>HYPERLINK("http://slimages.macys.com/is/image/MCY/11699651 ")</f>
        <v xml:space="preserve">http://slimages.macys.com/is/image/MCY/11699651 </v>
      </c>
    </row>
    <row r="188" spans="1:12" ht="36.75" x14ac:dyDescent="0.25">
      <c r="A188" s="4" t="s">
        <v>10655</v>
      </c>
      <c r="B188" s="2" t="s">
        <v>2211</v>
      </c>
      <c r="C188" s="3">
        <v>1</v>
      </c>
      <c r="D188" s="5">
        <v>59.5</v>
      </c>
      <c r="E188" s="3" t="s">
        <v>2212</v>
      </c>
      <c r="F188" s="2" t="s">
        <v>136</v>
      </c>
      <c r="G188" s="6" t="s">
        <v>238</v>
      </c>
      <c r="H188" s="2" t="s">
        <v>127</v>
      </c>
      <c r="I188" s="2" t="s">
        <v>128</v>
      </c>
      <c r="J188" s="2" t="s">
        <v>19</v>
      </c>
      <c r="K188" s="2" t="s">
        <v>2213</v>
      </c>
      <c r="L188" s="7" t="str">
        <f>HYPERLINK("http://slimages.macys.com/is/image/MCY/11074772 ")</f>
        <v xml:space="preserve">http://slimages.macys.com/is/image/MCY/11074772 </v>
      </c>
    </row>
    <row r="189" spans="1:12" ht="24.75" x14ac:dyDescent="0.25">
      <c r="A189" s="4" t="s">
        <v>4688</v>
      </c>
      <c r="B189" s="2" t="s">
        <v>777</v>
      </c>
      <c r="C189" s="3">
        <v>1</v>
      </c>
      <c r="D189" s="5">
        <v>34.880000000000003</v>
      </c>
      <c r="E189" s="3" t="s">
        <v>778</v>
      </c>
      <c r="F189" s="2" t="s">
        <v>74</v>
      </c>
      <c r="G189" s="6"/>
      <c r="H189" s="2" t="s">
        <v>312</v>
      </c>
      <c r="I189" s="2" t="s">
        <v>503</v>
      </c>
      <c r="J189" s="2" t="s">
        <v>19</v>
      </c>
      <c r="K189" s="2" t="s">
        <v>353</v>
      </c>
      <c r="L189" s="7" t="str">
        <f>HYPERLINK("http://slimages.macys.com/is/image/MCY/11146051 ")</f>
        <v xml:space="preserve">http://slimages.macys.com/is/image/MCY/11146051 </v>
      </c>
    </row>
    <row r="190" spans="1:12" ht="36.75" x14ac:dyDescent="0.25">
      <c r="A190" s="4" t="s">
        <v>10656</v>
      </c>
      <c r="B190" s="2" t="s">
        <v>3572</v>
      </c>
      <c r="C190" s="3">
        <v>2</v>
      </c>
      <c r="D190" s="5">
        <v>34.979999999999997</v>
      </c>
      <c r="E190" s="3" t="s">
        <v>3573</v>
      </c>
      <c r="F190" s="2" t="s">
        <v>74</v>
      </c>
      <c r="G190" s="6" t="s">
        <v>499</v>
      </c>
      <c r="H190" s="2" t="s">
        <v>349</v>
      </c>
      <c r="I190" s="2" t="s">
        <v>408</v>
      </c>
      <c r="J190" s="2" t="s">
        <v>19</v>
      </c>
      <c r="K190" s="2" t="s">
        <v>3579</v>
      </c>
      <c r="L190" s="7" t="str">
        <f>HYPERLINK("http://slimages.macys.com/is/image/MCY/1697450 ")</f>
        <v xml:space="preserve">http://slimages.macys.com/is/image/MCY/1697450 </v>
      </c>
    </row>
    <row r="191" spans="1:12" ht="24.75" x14ac:dyDescent="0.25">
      <c r="A191" s="4" t="s">
        <v>10657</v>
      </c>
      <c r="B191" s="2" t="s">
        <v>10658</v>
      </c>
      <c r="C191" s="3">
        <v>1</v>
      </c>
      <c r="D191" s="5">
        <v>39.99</v>
      </c>
      <c r="E191" s="3" t="s">
        <v>10659</v>
      </c>
      <c r="F191" s="2" t="s">
        <v>26</v>
      </c>
      <c r="G191" s="6" t="s">
        <v>234</v>
      </c>
      <c r="H191" s="2" t="s">
        <v>246</v>
      </c>
      <c r="I191" s="2" t="s">
        <v>3504</v>
      </c>
      <c r="J191" s="2" t="s">
        <v>19</v>
      </c>
      <c r="K191" s="2" t="s">
        <v>803</v>
      </c>
      <c r="L191" s="7" t="str">
        <f>HYPERLINK("http://slimages.macys.com/is/image/MCY/12226160 ")</f>
        <v xml:space="preserve">http://slimages.macys.com/is/image/MCY/12226160 </v>
      </c>
    </row>
    <row r="192" spans="1:12" ht="36.75" x14ac:dyDescent="0.25">
      <c r="A192" s="4" t="s">
        <v>3574</v>
      </c>
      <c r="B192" s="2" t="s">
        <v>3572</v>
      </c>
      <c r="C192" s="3">
        <v>3</v>
      </c>
      <c r="D192" s="5">
        <v>34.979999999999997</v>
      </c>
      <c r="E192" s="3" t="s">
        <v>3573</v>
      </c>
      <c r="F192" s="2" t="s">
        <v>74</v>
      </c>
      <c r="G192" s="6" t="s">
        <v>2456</v>
      </c>
      <c r="H192" s="2" t="s">
        <v>349</v>
      </c>
      <c r="I192" s="2" t="s">
        <v>408</v>
      </c>
      <c r="J192" s="2" t="s">
        <v>19</v>
      </c>
      <c r="K192" s="2" t="s">
        <v>3579</v>
      </c>
      <c r="L192" s="7" t="str">
        <f>HYPERLINK("http://slimages.macys.com/is/image/MCY/1697450 ")</f>
        <v xml:space="preserve">http://slimages.macys.com/is/image/MCY/1697450 </v>
      </c>
    </row>
    <row r="193" spans="1:12" ht="24.75" x14ac:dyDescent="0.25">
      <c r="A193" s="4" t="s">
        <v>10660</v>
      </c>
      <c r="B193" s="2" t="s">
        <v>988</v>
      </c>
      <c r="C193" s="3">
        <v>1</v>
      </c>
      <c r="D193" s="5">
        <v>40.880000000000003</v>
      </c>
      <c r="E193" s="3" t="s">
        <v>3662</v>
      </c>
      <c r="F193" s="2" t="s">
        <v>1322</v>
      </c>
      <c r="G193" s="6" t="s">
        <v>181</v>
      </c>
      <c r="H193" s="2" t="s">
        <v>246</v>
      </c>
      <c r="I193" s="2" t="s">
        <v>189</v>
      </c>
      <c r="J193" s="2" t="s">
        <v>19</v>
      </c>
      <c r="K193" s="2" t="s">
        <v>648</v>
      </c>
      <c r="L193" s="7" t="str">
        <f>HYPERLINK("http://slimages.macys.com/is/image/MCY/11808188 ")</f>
        <v xml:space="preserve">http://slimages.macys.com/is/image/MCY/11808188 </v>
      </c>
    </row>
    <row r="194" spans="1:12" ht="24.75" x14ac:dyDescent="0.25">
      <c r="A194" s="4" t="s">
        <v>10661</v>
      </c>
      <c r="B194" s="2" t="s">
        <v>10662</v>
      </c>
      <c r="C194" s="3">
        <v>17</v>
      </c>
      <c r="D194" s="5">
        <v>40.880000000000003</v>
      </c>
      <c r="E194" s="3">
        <v>100010009</v>
      </c>
      <c r="F194" s="2" t="s">
        <v>15</v>
      </c>
      <c r="G194" s="6" t="s">
        <v>156</v>
      </c>
      <c r="H194" s="2" t="s">
        <v>284</v>
      </c>
      <c r="I194" s="2" t="s">
        <v>285</v>
      </c>
      <c r="J194" s="2" t="s">
        <v>19</v>
      </c>
      <c r="K194" s="2" t="s">
        <v>160</v>
      </c>
      <c r="L194" s="7" t="str">
        <f>HYPERLINK("http://slimages.macys.com/is/image/MCY/9863989 ")</f>
        <v xml:space="preserve">http://slimages.macys.com/is/image/MCY/9863989 </v>
      </c>
    </row>
    <row r="195" spans="1:12" ht="24.75" x14ac:dyDescent="0.25">
      <c r="A195" s="4" t="s">
        <v>7987</v>
      </c>
      <c r="B195" s="2" t="s">
        <v>7985</v>
      </c>
      <c r="C195" s="3">
        <v>1</v>
      </c>
      <c r="D195" s="5">
        <v>45</v>
      </c>
      <c r="E195" s="3" t="s">
        <v>7986</v>
      </c>
      <c r="F195" s="2" t="s">
        <v>74</v>
      </c>
      <c r="G195" s="6" t="s">
        <v>791</v>
      </c>
      <c r="H195" s="2" t="s">
        <v>447</v>
      </c>
      <c r="I195" s="2" t="s">
        <v>792</v>
      </c>
      <c r="J195" s="2" t="s">
        <v>19</v>
      </c>
      <c r="K195" s="2" t="s">
        <v>160</v>
      </c>
      <c r="L195" s="7" t="str">
        <f>HYPERLINK("http://slimages.macys.com/is/image/MCY/8252064 ")</f>
        <v xml:space="preserve">http://slimages.macys.com/is/image/MCY/8252064 </v>
      </c>
    </row>
    <row r="196" spans="1:12" ht="24.75" x14ac:dyDescent="0.25">
      <c r="A196" s="4" t="s">
        <v>10663</v>
      </c>
      <c r="B196" s="2" t="s">
        <v>4691</v>
      </c>
      <c r="C196" s="3">
        <v>1</v>
      </c>
      <c r="D196" s="5">
        <v>36.75</v>
      </c>
      <c r="E196" s="3" t="s">
        <v>10664</v>
      </c>
      <c r="F196" s="2" t="s">
        <v>89</v>
      </c>
      <c r="G196" s="6" t="s">
        <v>126</v>
      </c>
      <c r="H196" s="2" t="s">
        <v>426</v>
      </c>
      <c r="I196" s="2" t="s">
        <v>229</v>
      </c>
      <c r="J196" s="2" t="s">
        <v>19</v>
      </c>
      <c r="K196" s="2" t="s">
        <v>230</v>
      </c>
      <c r="L196" s="7" t="str">
        <f>HYPERLINK("http://slimages.macys.com/is/image/MCY/12316602 ")</f>
        <v xml:space="preserve">http://slimages.macys.com/is/image/MCY/12316602 </v>
      </c>
    </row>
    <row r="197" spans="1:12" ht="24.75" x14ac:dyDescent="0.25">
      <c r="A197" s="4" t="s">
        <v>10665</v>
      </c>
      <c r="B197" s="2" t="s">
        <v>10666</v>
      </c>
      <c r="C197" s="3">
        <v>1</v>
      </c>
      <c r="D197" s="5">
        <v>40.880000000000003</v>
      </c>
      <c r="E197" s="3" t="s">
        <v>10667</v>
      </c>
      <c r="F197" s="2" t="s">
        <v>15</v>
      </c>
      <c r="G197" s="6" t="s">
        <v>200</v>
      </c>
      <c r="H197" s="2" t="s">
        <v>284</v>
      </c>
      <c r="I197" s="2" t="s">
        <v>285</v>
      </c>
      <c r="J197" s="2" t="s">
        <v>19</v>
      </c>
      <c r="K197" s="2" t="s">
        <v>160</v>
      </c>
      <c r="L197" s="7" t="str">
        <f>HYPERLINK("http://slimages.macys.com/is/image/MCY/12461345 ")</f>
        <v xml:space="preserve">http://slimages.macys.com/is/image/MCY/12461345 </v>
      </c>
    </row>
    <row r="198" spans="1:12" ht="24.75" x14ac:dyDescent="0.25">
      <c r="A198" s="4" t="s">
        <v>10668</v>
      </c>
      <c r="B198" s="2" t="s">
        <v>808</v>
      </c>
      <c r="C198" s="3">
        <v>2</v>
      </c>
      <c r="D198" s="5">
        <v>37.130000000000003</v>
      </c>
      <c r="E198" s="3">
        <v>100013676</v>
      </c>
      <c r="F198" s="2" t="s">
        <v>257</v>
      </c>
      <c r="G198" s="6" t="s">
        <v>181</v>
      </c>
      <c r="H198" s="2" t="s">
        <v>194</v>
      </c>
      <c r="I198" s="2" t="s">
        <v>503</v>
      </c>
      <c r="J198" s="2" t="s">
        <v>19</v>
      </c>
      <c r="K198" s="2" t="s">
        <v>546</v>
      </c>
      <c r="L198" s="7" t="str">
        <f>HYPERLINK("http://slimages.macys.com/is/image/MCY/9340718 ")</f>
        <v xml:space="preserve">http://slimages.macys.com/is/image/MCY/9340718 </v>
      </c>
    </row>
    <row r="199" spans="1:12" ht="24.75" x14ac:dyDescent="0.25">
      <c r="A199" s="4" t="s">
        <v>10669</v>
      </c>
      <c r="B199" s="2" t="s">
        <v>808</v>
      </c>
      <c r="C199" s="3">
        <v>1</v>
      </c>
      <c r="D199" s="5">
        <v>37.130000000000003</v>
      </c>
      <c r="E199" s="3">
        <v>100013676</v>
      </c>
      <c r="F199" s="2" t="s">
        <v>257</v>
      </c>
      <c r="G199" s="6" t="s">
        <v>156</v>
      </c>
      <c r="H199" s="2" t="s">
        <v>194</v>
      </c>
      <c r="I199" s="2" t="s">
        <v>503</v>
      </c>
      <c r="J199" s="2" t="s">
        <v>19</v>
      </c>
      <c r="K199" s="2" t="s">
        <v>546</v>
      </c>
      <c r="L199" s="7" t="str">
        <f>HYPERLINK("http://slimages.macys.com/is/image/MCY/9340718 ")</f>
        <v xml:space="preserve">http://slimages.macys.com/is/image/MCY/9340718 </v>
      </c>
    </row>
    <row r="200" spans="1:12" ht="24.75" x14ac:dyDescent="0.25">
      <c r="A200" s="4" t="s">
        <v>10670</v>
      </c>
      <c r="B200" s="2" t="s">
        <v>10671</v>
      </c>
      <c r="C200" s="3">
        <v>1</v>
      </c>
      <c r="D200" s="5">
        <v>37.130000000000003</v>
      </c>
      <c r="E200" s="3" t="s">
        <v>10672</v>
      </c>
      <c r="F200" s="2" t="s">
        <v>15</v>
      </c>
      <c r="G200" s="6" t="s">
        <v>200</v>
      </c>
      <c r="H200" s="2" t="s">
        <v>194</v>
      </c>
      <c r="I200" s="2" t="s">
        <v>195</v>
      </c>
      <c r="J200" s="2" t="s">
        <v>19</v>
      </c>
      <c r="K200" s="2" t="s">
        <v>201</v>
      </c>
      <c r="L200" s="7" t="str">
        <f>HYPERLINK("http://slimages.macys.com/is/image/MCY/12794071 ")</f>
        <v xml:space="preserve">http://slimages.macys.com/is/image/MCY/12794071 </v>
      </c>
    </row>
    <row r="201" spans="1:12" ht="24.75" x14ac:dyDescent="0.25">
      <c r="A201" s="4" t="s">
        <v>10673</v>
      </c>
      <c r="B201" s="2" t="s">
        <v>10671</v>
      </c>
      <c r="C201" s="3">
        <v>2</v>
      </c>
      <c r="D201" s="5">
        <v>37.130000000000003</v>
      </c>
      <c r="E201" s="3" t="s">
        <v>10672</v>
      </c>
      <c r="F201" s="2" t="s">
        <v>15</v>
      </c>
      <c r="G201" s="6" t="s">
        <v>181</v>
      </c>
      <c r="H201" s="2" t="s">
        <v>194</v>
      </c>
      <c r="I201" s="2" t="s">
        <v>195</v>
      </c>
      <c r="J201" s="2" t="s">
        <v>19</v>
      </c>
      <c r="K201" s="2" t="s">
        <v>201</v>
      </c>
      <c r="L201" s="7" t="str">
        <f>HYPERLINK("http://slimages.macys.com/is/image/MCY/12794071 ")</f>
        <v xml:space="preserve">http://slimages.macys.com/is/image/MCY/12794071 </v>
      </c>
    </row>
    <row r="202" spans="1:12" ht="24.75" x14ac:dyDescent="0.25">
      <c r="A202" s="4" t="s">
        <v>10674</v>
      </c>
      <c r="B202" s="2" t="s">
        <v>10671</v>
      </c>
      <c r="C202" s="3">
        <v>1</v>
      </c>
      <c r="D202" s="5">
        <v>37.130000000000003</v>
      </c>
      <c r="E202" s="3" t="s">
        <v>10672</v>
      </c>
      <c r="F202" s="2" t="s">
        <v>15</v>
      </c>
      <c r="G202" s="6" t="s">
        <v>156</v>
      </c>
      <c r="H202" s="2" t="s">
        <v>194</v>
      </c>
      <c r="I202" s="2" t="s">
        <v>195</v>
      </c>
      <c r="J202" s="2" t="s">
        <v>19</v>
      </c>
      <c r="K202" s="2" t="s">
        <v>201</v>
      </c>
      <c r="L202" s="7" t="str">
        <f>HYPERLINK("http://slimages.macys.com/is/image/MCY/12794071 ")</f>
        <v xml:space="preserve">http://slimages.macys.com/is/image/MCY/12794071 </v>
      </c>
    </row>
    <row r="203" spans="1:12" ht="24.75" x14ac:dyDescent="0.25">
      <c r="A203" s="4" t="s">
        <v>10675</v>
      </c>
      <c r="B203" s="2" t="s">
        <v>10671</v>
      </c>
      <c r="C203" s="3">
        <v>1</v>
      </c>
      <c r="D203" s="5">
        <v>37.130000000000003</v>
      </c>
      <c r="E203" s="3" t="s">
        <v>10672</v>
      </c>
      <c r="F203" s="2" t="s">
        <v>15</v>
      </c>
      <c r="G203" s="6" t="s">
        <v>234</v>
      </c>
      <c r="H203" s="2" t="s">
        <v>194</v>
      </c>
      <c r="I203" s="2" t="s">
        <v>195</v>
      </c>
      <c r="J203" s="2" t="s">
        <v>19</v>
      </c>
      <c r="K203" s="2" t="s">
        <v>201</v>
      </c>
      <c r="L203" s="7" t="str">
        <f>HYPERLINK("http://slimages.macys.com/is/image/MCY/12794071 ")</f>
        <v xml:space="preserve">http://slimages.macys.com/is/image/MCY/12794071 </v>
      </c>
    </row>
    <row r="204" spans="1:12" ht="24.75" x14ac:dyDescent="0.25">
      <c r="A204" s="4" t="s">
        <v>10676</v>
      </c>
      <c r="B204" s="2" t="s">
        <v>10671</v>
      </c>
      <c r="C204" s="3">
        <v>1</v>
      </c>
      <c r="D204" s="5">
        <v>37.130000000000003</v>
      </c>
      <c r="E204" s="3" t="s">
        <v>10672</v>
      </c>
      <c r="F204" s="2" t="s">
        <v>15</v>
      </c>
      <c r="G204" s="6" t="s">
        <v>154</v>
      </c>
      <c r="H204" s="2" t="s">
        <v>194</v>
      </c>
      <c r="I204" s="2" t="s">
        <v>195</v>
      </c>
      <c r="J204" s="2" t="s">
        <v>19</v>
      </c>
      <c r="K204" s="2" t="s">
        <v>201</v>
      </c>
      <c r="L204" s="7" t="str">
        <f>HYPERLINK("http://slimages.macys.com/is/image/MCY/12794071 ")</f>
        <v xml:space="preserve">http://slimages.macys.com/is/image/MCY/12794071 </v>
      </c>
    </row>
    <row r="205" spans="1:12" ht="24.75" x14ac:dyDescent="0.25">
      <c r="A205" s="4" t="s">
        <v>813</v>
      </c>
      <c r="B205" s="2" t="s">
        <v>811</v>
      </c>
      <c r="C205" s="3">
        <v>1</v>
      </c>
      <c r="D205" s="5">
        <v>37.130000000000003</v>
      </c>
      <c r="E205" s="3" t="s">
        <v>812</v>
      </c>
      <c r="F205" s="2" t="s">
        <v>170</v>
      </c>
      <c r="G205" s="6" t="s">
        <v>154</v>
      </c>
      <c r="H205" s="2" t="s">
        <v>194</v>
      </c>
      <c r="I205" s="2" t="s">
        <v>195</v>
      </c>
      <c r="J205" s="2" t="s">
        <v>19</v>
      </c>
      <c r="K205" s="2" t="s">
        <v>160</v>
      </c>
      <c r="L205" s="7" t="str">
        <f>HYPERLINK("http://slimages.macys.com/is/image/MCY/11804348 ")</f>
        <v xml:space="preserve">http://slimages.macys.com/is/image/MCY/11804348 </v>
      </c>
    </row>
    <row r="206" spans="1:12" ht="24.75" x14ac:dyDescent="0.25">
      <c r="A206" s="4" t="s">
        <v>2432</v>
      </c>
      <c r="B206" s="2" t="s">
        <v>818</v>
      </c>
      <c r="C206" s="3">
        <v>2</v>
      </c>
      <c r="D206" s="5">
        <v>36.5</v>
      </c>
      <c r="E206" s="3" t="s">
        <v>819</v>
      </c>
      <c r="F206" s="2" t="s">
        <v>820</v>
      </c>
      <c r="G206" s="6" t="s">
        <v>181</v>
      </c>
      <c r="H206" s="2" t="s">
        <v>194</v>
      </c>
      <c r="I206" s="2" t="s">
        <v>195</v>
      </c>
      <c r="J206" s="2" t="s">
        <v>19</v>
      </c>
      <c r="K206" s="2" t="s">
        <v>201</v>
      </c>
      <c r="L206" s="7" t="str">
        <f>HYPERLINK("http://slimages.macys.com/is/image/MCY/11935616 ")</f>
        <v xml:space="preserve">http://slimages.macys.com/is/image/MCY/11935616 </v>
      </c>
    </row>
    <row r="207" spans="1:12" ht="24.75" x14ac:dyDescent="0.25">
      <c r="A207" s="4" t="s">
        <v>817</v>
      </c>
      <c r="B207" s="2" t="s">
        <v>818</v>
      </c>
      <c r="C207" s="3">
        <v>1</v>
      </c>
      <c r="D207" s="5">
        <v>36.5</v>
      </c>
      <c r="E207" s="3" t="s">
        <v>819</v>
      </c>
      <c r="F207" s="2" t="s">
        <v>820</v>
      </c>
      <c r="G207" s="6" t="s">
        <v>234</v>
      </c>
      <c r="H207" s="2" t="s">
        <v>194</v>
      </c>
      <c r="I207" s="2" t="s">
        <v>195</v>
      </c>
      <c r="J207" s="2" t="s">
        <v>19</v>
      </c>
      <c r="K207" s="2" t="s">
        <v>201</v>
      </c>
      <c r="L207" s="7" t="str">
        <f>HYPERLINK("http://slimages.macys.com/is/image/MCY/11935616 ")</f>
        <v xml:space="preserve">http://slimages.macys.com/is/image/MCY/11935616 </v>
      </c>
    </row>
    <row r="208" spans="1:12" ht="24.75" x14ac:dyDescent="0.25">
      <c r="A208" s="4" t="s">
        <v>10677</v>
      </c>
      <c r="B208" s="2" t="s">
        <v>8573</v>
      </c>
      <c r="C208" s="3">
        <v>1</v>
      </c>
      <c r="D208" s="5">
        <v>40.880000000000003</v>
      </c>
      <c r="E208" s="3" t="s">
        <v>8574</v>
      </c>
      <c r="F208" s="2" t="s">
        <v>572</v>
      </c>
      <c r="G208" s="6" t="s">
        <v>156</v>
      </c>
      <c r="H208" s="2" t="s">
        <v>246</v>
      </c>
      <c r="I208" s="2" t="s">
        <v>189</v>
      </c>
      <c r="J208" s="2" t="s">
        <v>19</v>
      </c>
      <c r="K208" s="2" t="s">
        <v>75</v>
      </c>
      <c r="L208" s="7" t="str">
        <f>HYPERLINK("http://slimages.macys.com/is/image/MCY/11995542 ")</f>
        <v xml:space="preserve">http://slimages.macys.com/is/image/MCY/11995542 </v>
      </c>
    </row>
    <row r="209" spans="1:12" ht="24.75" x14ac:dyDescent="0.25">
      <c r="A209" s="4" t="s">
        <v>10678</v>
      </c>
      <c r="B209" s="2" t="s">
        <v>10679</v>
      </c>
      <c r="C209" s="3">
        <v>1</v>
      </c>
      <c r="D209" s="5">
        <v>33.380000000000003</v>
      </c>
      <c r="E209" s="3" t="s">
        <v>10680</v>
      </c>
      <c r="F209" s="2" t="s">
        <v>26</v>
      </c>
      <c r="G209" s="6" t="s">
        <v>181</v>
      </c>
      <c r="H209" s="2" t="s">
        <v>194</v>
      </c>
      <c r="I209" s="2" t="s">
        <v>195</v>
      </c>
      <c r="J209" s="2" t="s">
        <v>19</v>
      </c>
      <c r="K209" s="2" t="s">
        <v>10681</v>
      </c>
      <c r="L209" s="7" t="str">
        <f>HYPERLINK("http://slimages.macys.com/is/image/MCY/12801345 ")</f>
        <v xml:space="preserve">http://slimages.macys.com/is/image/MCY/12801345 </v>
      </c>
    </row>
    <row r="210" spans="1:12" ht="24.75" x14ac:dyDescent="0.25">
      <c r="A210" s="4" t="s">
        <v>10682</v>
      </c>
      <c r="B210" s="2" t="s">
        <v>10679</v>
      </c>
      <c r="C210" s="3">
        <v>2</v>
      </c>
      <c r="D210" s="5">
        <v>33.380000000000003</v>
      </c>
      <c r="E210" s="3" t="s">
        <v>10680</v>
      </c>
      <c r="F210" s="2" t="s">
        <v>26</v>
      </c>
      <c r="G210" s="6" t="s">
        <v>234</v>
      </c>
      <c r="H210" s="2" t="s">
        <v>194</v>
      </c>
      <c r="I210" s="2" t="s">
        <v>195</v>
      </c>
      <c r="J210" s="2" t="s">
        <v>19</v>
      </c>
      <c r="K210" s="2" t="s">
        <v>10681</v>
      </c>
      <c r="L210" s="7" t="str">
        <f>HYPERLINK("http://slimages.macys.com/is/image/MCY/12801345 ")</f>
        <v xml:space="preserve">http://slimages.macys.com/is/image/MCY/12801345 </v>
      </c>
    </row>
    <row r="211" spans="1:12" ht="24.75" x14ac:dyDescent="0.25">
      <c r="A211" s="4" t="s">
        <v>10683</v>
      </c>
      <c r="B211" s="2" t="s">
        <v>827</v>
      </c>
      <c r="C211" s="3">
        <v>1</v>
      </c>
      <c r="D211" s="5">
        <v>37.130000000000003</v>
      </c>
      <c r="E211" s="3">
        <v>100009535</v>
      </c>
      <c r="F211" s="2" t="s">
        <v>74</v>
      </c>
      <c r="G211" s="6" t="s">
        <v>65</v>
      </c>
      <c r="H211" s="2" t="s">
        <v>194</v>
      </c>
      <c r="I211" s="2" t="s">
        <v>503</v>
      </c>
      <c r="J211" s="2" t="s">
        <v>19</v>
      </c>
      <c r="K211" s="2" t="s">
        <v>353</v>
      </c>
      <c r="L211" s="7" t="str">
        <f>HYPERLINK("http://slimages.macys.com/is/image/MCY/9340634 ")</f>
        <v xml:space="preserve">http://slimages.macys.com/is/image/MCY/9340634 </v>
      </c>
    </row>
    <row r="212" spans="1:12" ht="24.75" x14ac:dyDescent="0.25">
      <c r="A212" s="4" t="s">
        <v>2445</v>
      </c>
      <c r="B212" s="2" t="s">
        <v>2439</v>
      </c>
      <c r="C212" s="3">
        <v>1</v>
      </c>
      <c r="D212" s="5">
        <v>44.63</v>
      </c>
      <c r="E212" s="3" t="s">
        <v>2440</v>
      </c>
      <c r="F212" s="2" t="s">
        <v>956</v>
      </c>
      <c r="G212" s="6" t="s">
        <v>154</v>
      </c>
      <c r="H212" s="2" t="s">
        <v>194</v>
      </c>
      <c r="I212" s="2" t="s">
        <v>195</v>
      </c>
      <c r="J212" s="2" t="s">
        <v>19</v>
      </c>
      <c r="K212" s="2" t="s">
        <v>34</v>
      </c>
      <c r="L212" s="7" t="str">
        <f>HYPERLINK("http://slimages.macys.com/is/image/MCY/11527019 ")</f>
        <v xml:space="preserve">http://slimages.macys.com/is/image/MCY/11527019 </v>
      </c>
    </row>
    <row r="213" spans="1:12" ht="24.75" x14ac:dyDescent="0.25">
      <c r="A213" s="4" t="s">
        <v>8011</v>
      </c>
      <c r="B213" s="2" t="s">
        <v>827</v>
      </c>
      <c r="C213" s="3">
        <v>1</v>
      </c>
      <c r="D213" s="5">
        <v>37.130000000000003</v>
      </c>
      <c r="E213" s="3">
        <v>100009535</v>
      </c>
      <c r="F213" s="2" t="s">
        <v>15</v>
      </c>
      <c r="G213" s="6" t="s">
        <v>65</v>
      </c>
      <c r="H213" s="2" t="s">
        <v>194</v>
      </c>
      <c r="I213" s="2" t="s">
        <v>503</v>
      </c>
      <c r="J213" s="2" t="s">
        <v>19</v>
      </c>
      <c r="K213" s="2" t="s">
        <v>353</v>
      </c>
      <c r="L213" s="7" t="str">
        <f>HYPERLINK("http://slimages.macys.com/is/image/MCY/9340634 ")</f>
        <v xml:space="preserve">http://slimages.macys.com/is/image/MCY/9340634 </v>
      </c>
    </row>
    <row r="214" spans="1:12" ht="24.75" x14ac:dyDescent="0.25">
      <c r="A214" s="4" t="s">
        <v>4712</v>
      </c>
      <c r="B214" s="2" t="s">
        <v>2439</v>
      </c>
      <c r="C214" s="3">
        <v>1</v>
      </c>
      <c r="D214" s="5">
        <v>44.63</v>
      </c>
      <c r="E214" s="3" t="s">
        <v>2440</v>
      </c>
      <c r="F214" s="2" t="s">
        <v>956</v>
      </c>
      <c r="G214" s="6" t="s">
        <v>234</v>
      </c>
      <c r="H214" s="2" t="s">
        <v>194</v>
      </c>
      <c r="I214" s="2" t="s">
        <v>195</v>
      </c>
      <c r="J214" s="2" t="s">
        <v>19</v>
      </c>
      <c r="K214" s="2" t="s">
        <v>34</v>
      </c>
      <c r="L214" s="7" t="str">
        <f>HYPERLINK("http://slimages.macys.com/is/image/MCY/11527019 ")</f>
        <v xml:space="preserve">http://slimages.macys.com/is/image/MCY/11527019 </v>
      </c>
    </row>
    <row r="215" spans="1:12" ht="24.75" x14ac:dyDescent="0.25">
      <c r="A215" s="4" t="s">
        <v>2438</v>
      </c>
      <c r="B215" s="2" t="s">
        <v>2439</v>
      </c>
      <c r="C215" s="3">
        <v>1</v>
      </c>
      <c r="D215" s="5">
        <v>44.63</v>
      </c>
      <c r="E215" s="3" t="s">
        <v>2440</v>
      </c>
      <c r="F215" s="2" t="s">
        <v>956</v>
      </c>
      <c r="G215" s="6" t="s">
        <v>156</v>
      </c>
      <c r="H215" s="2" t="s">
        <v>194</v>
      </c>
      <c r="I215" s="2" t="s">
        <v>195</v>
      </c>
      <c r="J215" s="2" t="s">
        <v>19</v>
      </c>
      <c r="K215" s="2" t="s">
        <v>34</v>
      </c>
      <c r="L215" s="7" t="str">
        <f>HYPERLINK("http://slimages.macys.com/is/image/MCY/11527019 ")</f>
        <v xml:space="preserve">http://slimages.macys.com/is/image/MCY/11527019 </v>
      </c>
    </row>
    <row r="216" spans="1:12" ht="24.75" x14ac:dyDescent="0.25">
      <c r="A216" s="4" t="s">
        <v>10684</v>
      </c>
      <c r="B216" s="2" t="s">
        <v>837</v>
      </c>
      <c r="C216" s="3">
        <v>1</v>
      </c>
      <c r="D216" s="5">
        <v>40.880000000000003</v>
      </c>
      <c r="E216" s="3" t="s">
        <v>10685</v>
      </c>
      <c r="F216" s="2" t="s">
        <v>57</v>
      </c>
      <c r="G216" s="6" t="s">
        <v>16</v>
      </c>
      <c r="H216" s="2" t="s">
        <v>246</v>
      </c>
      <c r="I216" s="2" t="s">
        <v>189</v>
      </c>
      <c r="J216" s="2" t="s">
        <v>19</v>
      </c>
      <c r="K216" s="2" t="s">
        <v>839</v>
      </c>
      <c r="L216" s="7" t="str">
        <f>HYPERLINK("http://slimages.macys.com/is/image/MCY/11940229 ")</f>
        <v xml:space="preserve">http://slimages.macys.com/is/image/MCY/11940229 </v>
      </c>
    </row>
    <row r="217" spans="1:12" ht="24.75" x14ac:dyDescent="0.25">
      <c r="A217" s="4" t="s">
        <v>10686</v>
      </c>
      <c r="B217" s="2" t="s">
        <v>837</v>
      </c>
      <c r="C217" s="3">
        <v>1</v>
      </c>
      <c r="D217" s="5">
        <v>40.880000000000003</v>
      </c>
      <c r="E217" s="3" t="s">
        <v>10685</v>
      </c>
      <c r="F217" s="2" t="s">
        <v>57</v>
      </c>
      <c r="G217" s="6" t="s">
        <v>106</v>
      </c>
      <c r="H217" s="2" t="s">
        <v>246</v>
      </c>
      <c r="I217" s="2" t="s">
        <v>189</v>
      </c>
      <c r="J217" s="2" t="s">
        <v>19</v>
      </c>
      <c r="K217" s="2" t="s">
        <v>839</v>
      </c>
      <c r="L217" s="7" t="str">
        <f>HYPERLINK("http://slimages.macys.com/is/image/MCY/11940229 ")</f>
        <v xml:space="preserve">http://slimages.macys.com/is/image/MCY/11940229 </v>
      </c>
    </row>
    <row r="218" spans="1:12" ht="24.75" x14ac:dyDescent="0.25">
      <c r="A218" s="4" t="s">
        <v>10687</v>
      </c>
      <c r="B218" s="2" t="s">
        <v>10688</v>
      </c>
      <c r="C218" s="3">
        <v>1</v>
      </c>
      <c r="D218" s="5">
        <v>40.880000000000003</v>
      </c>
      <c r="E218" s="3" t="s">
        <v>10689</v>
      </c>
      <c r="F218" s="2" t="s">
        <v>64</v>
      </c>
      <c r="G218" s="6" t="s">
        <v>106</v>
      </c>
      <c r="H218" s="2" t="s">
        <v>246</v>
      </c>
      <c r="I218" s="2" t="s">
        <v>189</v>
      </c>
      <c r="J218" s="2" t="s">
        <v>19</v>
      </c>
      <c r="K218" s="2" t="s">
        <v>839</v>
      </c>
      <c r="L218" s="7" t="str">
        <f>HYPERLINK("http://slimages.macys.com/is/image/MCY/11884386 ")</f>
        <v xml:space="preserve">http://slimages.macys.com/is/image/MCY/11884386 </v>
      </c>
    </row>
    <row r="219" spans="1:12" ht="24.75" x14ac:dyDescent="0.25">
      <c r="A219" s="4" t="s">
        <v>7270</v>
      </c>
      <c r="B219" s="2" t="s">
        <v>2460</v>
      </c>
      <c r="C219" s="3">
        <v>1</v>
      </c>
      <c r="D219" s="5">
        <v>34.880000000000003</v>
      </c>
      <c r="E219" s="3" t="s">
        <v>2461</v>
      </c>
      <c r="F219" s="2" t="s">
        <v>376</v>
      </c>
      <c r="G219" s="6" t="s">
        <v>802</v>
      </c>
      <c r="H219" s="2" t="s">
        <v>312</v>
      </c>
      <c r="I219" s="2" t="s">
        <v>503</v>
      </c>
      <c r="J219" s="2" t="s">
        <v>19</v>
      </c>
      <c r="K219" s="2" t="s">
        <v>353</v>
      </c>
      <c r="L219" s="7" t="str">
        <f>HYPERLINK("http://slimages.macys.com/is/image/MCY/9325305 ")</f>
        <v xml:space="preserve">http://slimages.macys.com/is/image/MCY/9325305 </v>
      </c>
    </row>
    <row r="220" spans="1:12" ht="24.75" x14ac:dyDescent="0.25">
      <c r="A220" s="4" t="s">
        <v>10690</v>
      </c>
      <c r="B220" s="2" t="s">
        <v>844</v>
      </c>
      <c r="C220" s="3">
        <v>1</v>
      </c>
      <c r="D220" s="5">
        <v>40.880000000000003</v>
      </c>
      <c r="E220" s="3" t="s">
        <v>845</v>
      </c>
      <c r="F220" s="2" t="s">
        <v>89</v>
      </c>
      <c r="G220" s="6" t="s">
        <v>16</v>
      </c>
      <c r="H220" s="2" t="s">
        <v>213</v>
      </c>
      <c r="I220" s="2" t="s">
        <v>214</v>
      </c>
      <c r="J220" s="2" t="s">
        <v>19</v>
      </c>
      <c r="K220" s="2" t="s">
        <v>353</v>
      </c>
      <c r="L220" s="7" t="str">
        <f>HYPERLINK("http://slimages.macys.com/is/image/MCY/11206527 ")</f>
        <v xml:space="preserve">http://slimages.macys.com/is/image/MCY/11206527 </v>
      </c>
    </row>
    <row r="221" spans="1:12" ht="36.75" x14ac:dyDescent="0.25">
      <c r="A221" s="4" t="s">
        <v>10691</v>
      </c>
      <c r="B221" s="2" t="s">
        <v>10692</v>
      </c>
      <c r="C221" s="3">
        <v>1</v>
      </c>
      <c r="D221" s="5">
        <v>40.880000000000003</v>
      </c>
      <c r="E221" s="3" t="s">
        <v>10693</v>
      </c>
      <c r="F221" s="2" t="s">
        <v>566</v>
      </c>
      <c r="G221" s="6" t="s">
        <v>154</v>
      </c>
      <c r="H221" s="2" t="s">
        <v>284</v>
      </c>
      <c r="I221" s="2" t="s">
        <v>458</v>
      </c>
      <c r="J221" s="2" t="s">
        <v>19</v>
      </c>
      <c r="K221" s="2" t="s">
        <v>10694</v>
      </c>
      <c r="L221" s="7" t="str">
        <f>HYPERLINK("http://slimages.macys.com/is/image/MCY/13041328 ")</f>
        <v xml:space="preserve">http://slimages.macys.com/is/image/MCY/13041328 </v>
      </c>
    </row>
    <row r="222" spans="1:12" ht="24.75" x14ac:dyDescent="0.25">
      <c r="A222" s="4" t="s">
        <v>10695</v>
      </c>
      <c r="B222" s="2" t="s">
        <v>10696</v>
      </c>
      <c r="C222" s="3">
        <v>1</v>
      </c>
      <c r="D222" s="5">
        <v>40.880000000000003</v>
      </c>
      <c r="E222" s="3" t="s">
        <v>10697</v>
      </c>
      <c r="F222" s="2" t="s">
        <v>26</v>
      </c>
      <c r="G222" s="6" t="s">
        <v>181</v>
      </c>
      <c r="H222" s="2" t="s">
        <v>194</v>
      </c>
      <c r="I222" s="2" t="s">
        <v>195</v>
      </c>
      <c r="J222" s="2" t="s">
        <v>19</v>
      </c>
      <c r="K222" s="2" t="s">
        <v>201</v>
      </c>
      <c r="L222" s="7" t="str">
        <f>HYPERLINK("http://slimages.macys.com/is/image/MCY/12950223 ")</f>
        <v xml:space="preserve">http://slimages.macys.com/is/image/MCY/12950223 </v>
      </c>
    </row>
    <row r="223" spans="1:12" ht="24.75" x14ac:dyDescent="0.25">
      <c r="A223" s="4" t="s">
        <v>10698</v>
      </c>
      <c r="B223" s="2" t="s">
        <v>10696</v>
      </c>
      <c r="C223" s="3">
        <v>1</v>
      </c>
      <c r="D223" s="5">
        <v>40.880000000000003</v>
      </c>
      <c r="E223" s="3" t="s">
        <v>10697</v>
      </c>
      <c r="F223" s="2" t="s">
        <v>26</v>
      </c>
      <c r="G223" s="6" t="s">
        <v>156</v>
      </c>
      <c r="H223" s="2" t="s">
        <v>194</v>
      </c>
      <c r="I223" s="2" t="s">
        <v>195</v>
      </c>
      <c r="J223" s="2" t="s">
        <v>19</v>
      </c>
      <c r="K223" s="2" t="s">
        <v>201</v>
      </c>
      <c r="L223" s="7" t="str">
        <f>HYPERLINK("http://slimages.macys.com/is/image/MCY/12950223 ")</f>
        <v xml:space="preserve">http://slimages.macys.com/is/image/MCY/12950223 </v>
      </c>
    </row>
    <row r="224" spans="1:12" ht="24.75" x14ac:dyDescent="0.25">
      <c r="A224" s="4" t="s">
        <v>10699</v>
      </c>
      <c r="B224" s="2" t="s">
        <v>10696</v>
      </c>
      <c r="C224" s="3">
        <v>1</v>
      </c>
      <c r="D224" s="5">
        <v>40.880000000000003</v>
      </c>
      <c r="E224" s="3" t="s">
        <v>10697</v>
      </c>
      <c r="F224" s="2" t="s">
        <v>26</v>
      </c>
      <c r="G224" s="6" t="s">
        <v>234</v>
      </c>
      <c r="H224" s="2" t="s">
        <v>194</v>
      </c>
      <c r="I224" s="2" t="s">
        <v>195</v>
      </c>
      <c r="J224" s="2" t="s">
        <v>19</v>
      </c>
      <c r="K224" s="2" t="s">
        <v>201</v>
      </c>
      <c r="L224" s="7" t="str">
        <f>HYPERLINK("http://slimages.macys.com/is/image/MCY/12950223 ")</f>
        <v xml:space="preserve">http://slimages.macys.com/is/image/MCY/12950223 </v>
      </c>
    </row>
    <row r="225" spans="1:12" ht="24.75" x14ac:dyDescent="0.25">
      <c r="A225" s="4" t="s">
        <v>2464</v>
      </c>
      <c r="B225" s="2" t="s">
        <v>818</v>
      </c>
      <c r="C225" s="3">
        <v>1</v>
      </c>
      <c r="D225" s="5">
        <v>36.5</v>
      </c>
      <c r="E225" s="3" t="s">
        <v>2465</v>
      </c>
      <c r="F225" s="2" t="s">
        <v>26</v>
      </c>
      <c r="G225" s="6" t="s">
        <v>181</v>
      </c>
      <c r="H225" s="2" t="s">
        <v>194</v>
      </c>
      <c r="I225" s="2" t="s">
        <v>195</v>
      </c>
      <c r="J225" s="2" t="s">
        <v>19</v>
      </c>
      <c r="K225" s="2" t="s">
        <v>247</v>
      </c>
      <c r="L225" s="7" t="str">
        <f>HYPERLINK("http://slimages.macys.com/is/image/MCY/11764566 ")</f>
        <v xml:space="preserve">http://slimages.macys.com/is/image/MCY/11764566 </v>
      </c>
    </row>
    <row r="226" spans="1:12" ht="24.75" x14ac:dyDescent="0.25">
      <c r="A226" s="4" t="s">
        <v>9023</v>
      </c>
      <c r="B226" s="2" t="s">
        <v>853</v>
      </c>
      <c r="C226" s="3">
        <v>1</v>
      </c>
      <c r="D226" s="5">
        <v>37.130000000000003</v>
      </c>
      <c r="E226" s="3" t="s">
        <v>854</v>
      </c>
      <c r="F226" s="2" t="s">
        <v>74</v>
      </c>
      <c r="G226" s="6" t="s">
        <v>112</v>
      </c>
      <c r="H226" s="2" t="s">
        <v>246</v>
      </c>
      <c r="I226" s="2" t="s">
        <v>214</v>
      </c>
      <c r="J226" s="2" t="s">
        <v>19</v>
      </c>
      <c r="K226" s="2" t="s">
        <v>353</v>
      </c>
      <c r="L226" s="7" t="str">
        <f>HYPERLINK("http://slimages.macys.com/is/image/MCY/10679381 ")</f>
        <v xml:space="preserve">http://slimages.macys.com/is/image/MCY/10679381 </v>
      </c>
    </row>
    <row r="227" spans="1:12" ht="24.75" x14ac:dyDescent="0.25">
      <c r="A227" s="4" t="s">
        <v>2463</v>
      </c>
      <c r="B227" s="2" t="s">
        <v>856</v>
      </c>
      <c r="C227" s="3">
        <v>1</v>
      </c>
      <c r="D227" s="5">
        <v>48</v>
      </c>
      <c r="E227" s="3">
        <v>100013497</v>
      </c>
      <c r="F227" s="2" t="s">
        <v>252</v>
      </c>
      <c r="G227" s="6" t="s">
        <v>22</v>
      </c>
      <c r="H227" s="2" t="s">
        <v>228</v>
      </c>
      <c r="I227" s="2" t="s">
        <v>857</v>
      </c>
      <c r="J227" s="2" t="s">
        <v>19</v>
      </c>
      <c r="K227" s="2" t="s">
        <v>387</v>
      </c>
      <c r="L227" s="7" t="str">
        <f>HYPERLINK("http://slimages.macys.com/is/image/MCY/9478981 ")</f>
        <v xml:space="preserve">http://slimages.macys.com/is/image/MCY/9478981 </v>
      </c>
    </row>
    <row r="228" spans="1:12" ht="24.75" x14ac:dyDescent="0.25">
      <c r="A228" s="4" t="s">
        <v>3612</v>
      </c>
      <c r="B228" s="2" t="s">
        <v>2476</v>
      </c>
      <c r="C228" s="3">
        <v>1</v>
      </c>
      <c r="D228" s="5">
        <v>40.880000000000003</v>
      </c>
      <c r="E228" s="3" t="s">
        <v>2479</v>
      </c>
      <c r="F228" s="2" t="s">
        <v>1614</v>
      </c>
      <c r="G228" s="6" t="s">
        <v>156</v>
      </c>
      <c r="H228" s="2" t="s">
        <v>194</v>
      </c>
      <c r="I228" s="2" t="s">
        <v>195</v>
      </c>
      <c r="J228" s="2" t="s">
        <v>19</v>
      </c>
      <c r="K228" s="2" t="s">
        <v>34</v>
      </c>
      <c r="L228" s="7" t="str">
        <f>HYPERLINK("http://slimages.macys.com/is/image/MCY/11526932 ")</f>
        <v xml:space="preserve">http://slimages.macys.com/is/image/MCY/11526932 </v>
      </c>
    </row>
    <row r="229" spans="1:12" ht="24.75" x14ac:dyDescent="0.25">
      <c r="A229" s="4" t="s">
        <v>10700</v>
      </c>
      <c r="B229" s="2" t="s">
        <v>913</v>
      </c>
      <c r="C229" s="3">
        <v>1</v>
      </c>
      <c r="D229" s="5">
        <v>40.880000000000003</v>
      </c>
      <c r="E229" s="3" t="s">
        <v>10701</v>
      </c>
      <c r="F229" s="2" t="s">
        <v>413</v>
      </c>
      <c r="G229" s="6" t="s">
        <v>245</v>
      </c>
      <c r="H229" s="2" t="s">
        <v>194</v>
      </c>
      <c r="I229" s="2" t="s">
        <v>195</v>
      </c>
      <c r="J229" s="2" t="s">
        <v>19</v>
      </c>
      <c r="K229" s="2" t="s">
        <v>34</v>
      </c>
      <c r="L229" s="7" t="str">
        <f>HYPERLINK("http://slimages.macys.com/is/image/MCY/12279885 ")</f>
        <v xml:space="preserve">http://slimages.macys.com/is/image/MCY/12279885 </v>
      </c>
    </row>
    <row r="230" spans="1:12" ht="24.75" x14ac:dyDescent="0.25">
      <c r="A230" s="4" t="s">
        <v>10702</v>
      </c>
      <c r="B230" s="2" t="s">
        <v>913</v>
      </c>
      <c r="C230" s="3">
        <v>1</v>
      </c>
      <c r="D230" s="5">
        <v>40.880000000000003</v>
      </c>
      <c r="E230" s="3" t="s">
        <v>10703</v>
      </c>
      <c r="F230" s="2" t="s">
        <v>15</v>
      </c>
      <c r="G230" s="6" t="s">
        <v>154</v>
      </c>
      <c r="H230" s="2" t="s">
        <v>194</v>
      </c>
      <c r="I230" s="2" t="s">
        <v>195</v>
      </c>
      <c r="J230" s="2" t="s">
        <v>19</v>
      </c>
      <c r="K230" s="2" t="s">
        <v>34</v>
      </c>
      <c r="L230" s="7" t="str">
        <f>HYPERLINK("http://slimages.macys.com/is/image/MCY/12279885 ")</f>
        <v xml:space="preserve">http://slimages.macys.com/is/image/MCY/12279885 </v>
      </c>
    </row>
    <row r="231" spans="1:12" ht="24.75" x14ac:dyDescent="0.25">
      <c r="A231" s="4" t="s">
        <v>10704</v>
      </c>
      <c r="B231" s="2" t="s">
        <v>913</v>
      </c>
      <c r="C231" s="3">
        <v>1</v>
      </c>
      <c r="D231" s="5">
        <v>40.880000000000003</v>
      </c>
      <c r="E231" s="3" t="s">
        <v>10703</v>
      </c>
      <c r="F231" s="2" t="s">
        <v>15</v>
      </c>
      <c r="G231" s="6" t="s">
        <v>200</v>
      </c>
      <c r="H231" s="2" t="s">
        <v>194</v>
      </c>
      <c r="I231" s="2" t="s">
        <v>195</v>
      </c>
      <c r="J231" s="2" t="s">
        <v>19</v>
      </c>
      <c r="K231" s="2" t="s">
        <v>34</v>
      </c>
      <c r="L231" s="7" t="str">
        <f>HYPERLINK("http://slimages.macys.com/is/image/MCY/12279885 ")</f>
        <v xml:space="preserve">http://slimages.macys.com/is/image/MCY/12279885 </v>
      </c>
    </row>
    <row r="232" spans="1:12" ht="24.75" x14ac:dyDescent="0.25">
      <c r="A232" s="4" t="s">
        <v>2480</v>
      </c>
      <c r="B232" s="2" t="s">
        <v>876</v>
      </c>
      <c r="C232" s="3">
        <v>2</v>
      </c>
      <c r="D232" s="5">
        <v>34.5</v>
      </c>
      <c r="E232" s="3" t="s">
        <v>877</v>
      </c>
      <c r="F232" s="2" t="s">
        <v>878</v>
      </c>
      <c r="G232" s="6" t="s">
        <v>205</v>
      </c>
      <c r="H232" s="2" t="s">
        <v>426</v>
      </c>
      <c r="I232" s="2" t="s">
        <v>229</v>
      </c>
      <c r="J232" s="2" t="s">
        <v>19</v>
      </c>
      <c r="K232" s="2" t="s">
        <v>253</v>
      </c>
      <c r="L232" s="7" t="str">
        <f>HYPERLINK("http://slimages.macys.com/is/image/MCY/1290325 ")</f>
        <v xml:space="preserve">http://slimages.macys.com/is/image/MCY/1290325 </v>
      </c>
    </row>
    <row r="233" spans="1:12" ht="24.75" x14ac:dyDescent="0.25">
      <c r="A233" s="4" t="s">
        <v>3618</v>
      </c>
      <c r="B233" s="2" t="s">
        <v>876</v>
      </c>
      <c r="C233" s="3">
        <v>1</v>
      </c>
      <c r="D233" s="5">
        <v>34.5</v>
      </c>
      <c r="E233" s="3" t="s">
        <v>877</v>
      </c>
      <c r="F233" s="2" t="s">
        <v>878</v>
      </c>
      <c r="G233" s="6" t="s">
        <v>336</v>
      </c>
      <c r="H233" s="2" t="s">
        <v>426</v>
      </c>
      <c r="I233" s="2" t="s">
        <v>229</v>
      </c>
      <c r="J233" s="2" t="s">
        <v>19</v>
      </c>
      <c r="K233" s="2" t="s">
        <v>253</v>
      </c>
      <c r="L233" s="7" t="str">
        <f>HYPERLINK("http://slimages.macys.com/is/image/MCY/1290325 ")</f>
        <v xml:space="preserve">http://slimages.macys.com/is/image/MCY/1290325 </v>
      </c>
    </row>
    <row r="234" spans="1:12" ht="24.75" x14ac:dyDescent="0.25">
      <c r="A234" s="4" t="s">
        <v>3621</v>
      </c>
      <c r="B234" s="2" t="s">
        <v>876</v>
      </c>
      <c r="C234" s="3">
        <v>1</v>
      </c>
      <c r="D234" s="5">
        <v>34.5</v>
      </c>
      <c r="E234" s="3" t="s">
        <v>877</v>
      </c>
      <c r="F234" s="2" t="s">
        <v>878</v>
      </c>
      <c r="G234" s="6" t="s">
        <v>126</v>
      </c>
      <c r="H234" s="2" t="s">
        <v>426</v>
      </c>
      <c r="I234" s="2" t="s">
        <v>229</v>
      </c>
      <c r="J234" s="2" t="s">
        <v>19</v>
      </c>
      <c r="K234" s="2" t="s">
        <v>253</v>
      </c>
      <c r="L234" s="7" t="str">
        <f>HYPERLINK("http://slimages.macys.com/is/image/MCY/1290325 ")</f>
        <v xml:space="preserve">http://slimages.macys.com/is/image/MCY/1290325 </v>
      </c>
    </row>
    <row r="235" spans="1:12" ht="24.75" x14ac:dyDescent="0.25">
      <c r="A235" s="4" t="s">
        <v>3632</v>
      </c>
      <c r="B235" s="2" t="s">
        <v>2483</v>
      </c>
      <c r="C235" s="3">
        <v>1</v>
      </c>
      <c r="D235" s="5">
        <v>34.880000000000003</v>
      </c>
      <c r="E235" s="3">
        <v>100058189</v>
      </c>
      <c r="F235" s="2" t="s">
        <v>15</v>
      </c>
      <c r="G235" s="6" t="s">
        <v>58</v>
      </c>
      <c r="H235" s="2" t="s">
        <v>194</v>
      </c>
      <c r="I235" s="2" t="s">
        <v>195</v>
      </c>
      <c r="J235" s="2" t="s">
        <v>19</v>
      </c>
      <c r="K235" s="2" t="s">
        <v>648</v>
      </c>
      <c r="L235" s="7" t="str">
        <f>HYPERLINK("http://slimages.macys.com/is/image/MCY/12802459 ")</f>
        <v xml:space="preserve">http://slimages.macys.com/is/image/MCY/12802459 </v>
      </c>
    </row>
    <row r="236" spans="1:12" ht="24.75" x14ac:dyDescent="0.25">
      <c r="A236" s="4" t="s">
        <v>10705</v>
      </c>
      <c r="B236" s="2" t="s">
        <v>10706</v>
      </c>
      <c r="C236" s="3">
        <v>1</v>
      </c>
      <c r="D236" s="5">
        <v>62.75</v>
      </c>
      <c r="E236" s="3" t="s">
        <v>10707</v>
      </c>
      <c r="F236" s="2" t="s">
        <v>252</v>
      </c>
      <c r="G236" s="6" t="s">
        <v>446</v>
      </c>
      <c r="H236" s="2" t="s">
        <v>447</v>
      </c>
      <c r="I236" s="2" t="s">
        <v>448</v>
      </c>
      <c r="J236" s="2" t="s">
        <v>19</v>
      </c>
      <c r="K236" s="2" t="s">
        <v>10708</v>
      </c>
      <c r="L236" s="7" t="str">
        <f>HYPERLINK("http://slimages.macys.com/is/image/MCY/12449664 ")</f>
        <v xml:space="preserve">http://slimages.macys.com/is/image/MCY/12449664 </v>
      </c>
    </row>
    <row r="237" spans="1:12" ht="24.75" x14ac:dyDescent="0.25">
      <c r="A237" s="4" t="s">
        <v>10709</v>
      </c>
      <c r="B237" s="2" t="s">
        <v>3640</v>
      </c>
      <c r="C237" s="3">
        <v>1</v>
      </c>
      <c r="D237" s="5">
        <v>44.63</v>
      </c>
      <c r="E237" s="3" t="s">
        <v>3641</v>
      </c>
      <c r="F237" s="2" t="s">
        <v>572</v>
      </c>
      <c r="G237" s="6" t="s">
        <v>473</v>
      </c>
      <c r="H237" s="2" t="s">
        <v>246</v>
      </c>
      <c r="I237" s="2" t="s">
        <v>487</v>
      </c>
      <c r="J237" s="2" t="s">
        <v>19</v>
      </c>
      <c r="K237" s="2" t="s">
        <v>409</v>
      </c>
      <c r="L237" s="7" t="str">
        <f>HYPERLINK("http://slimages.macys.com/is/image/MCY/10297488 ")</f>
        <v xml:space="preserve">http://slimages.macys.com/is/image/MCY/10297488 </v>
      </c>
    </row>
    <row r="238" spans="1:12" ht="24.75" x14ac:dyDescent="0.25">
      <c r="A238" s="4" t="s">
        <v>10710</v>
      </c>
      <c r="B238" s="2" t="s">
        <v>1132</v>
      </c>
      <c r="C238" s="3">
        <v>1</v>
      </c>
      <c r="D238" s="5">
        <v>34.5</v>
      </c>
      <c r="E238" s="3" t="s">
        <v>10711</v>
      </c>
      <c r="F238" s="2" t="s">
        <v>15</v>
      </c>
      <c r="G238" s="6" t="s">
        <v>16</v>
      </c>
      <c r="H238" s="2" t="s">
        <v>228</v>
      </c>
      <c r="I238" s="2" t="s">
        <v>863</v>
      </c>
      <c r="J238" s="2" t="s">
        <v>19</v>
      </c>
      <c r="K238" s="2" t="s">
        <v>10712</v>
      </c>
      <c r="L238" s="7" t="str">
        <f>HYPERLINK("http://slimages.macys.com/is/image/MCY/3640362 ")</f>
        <v xml:space="preserve">http://slimages.macys.com/is/image/MCY/3640362 </v>
      </c>
    </row>
    <row r="239" spans="1:12" ht="24.75" x14ac:dyDescent="0.25">
      <c r="A239" s="4" t="s">
        <v>892</v>
      </c>
      <c r="B239" s="2" t="s">
        <v>890</v>
      </c>
      <c r="C239" s="3">
        <v>1</v>
      </c>
      <c r="D239" s="5">
        <v>34.5</v>
      </c>
      <c r="E239" s="3" t="s">
        <v>891</v>
      </c>
      <c r="F239" s="2" t="s">
        <v>64</v>
      </c>
      <c r="G239" s="6" t="s">
        <v>141</v>
      </c>
      <c r="H239" s="2" t="s">
        <v>228</v>
      </c>
      <c r="I239" s="2" t="s">
        <v>229</v>
      </c>
      <c r="J239" s="2" t="s">
        <v>19</v>
      </c>
      <c r="K239" s="2" t="s">
        <v>253</v>
      </c>
      <c r="L239" s="7" t="str">
        <f>HYPERLINK("http://slimages.macys.com/is/image/MCY/3623510 ")</f>
        <v xml:space="preserve">http://slimages.macys.com/is/image/MCY/3623510 </v>
      </c>
    </row>
    <row r="240" spans="1:12" ht="24.75" x14ac:dyDescent="0.25">
      <c r="A240" s="4" t="s">
        <v>3647</v>
      </c>
      <c r="B240" s="2" t="s">
        <v>904</v>
      </c>
      <c r="C240" s="3">
        <v>1</v>
      </c>
      <c r="D240" s="5">
        <v>34.5</v>
      </c>
      <c r="E240" s="3" t="s">
        <v>905</v>
      </c>
      <c r="F240" s="2" t="s">
        <v>74</v>
      </c>
      <c r="G240" s="6" t="s">
        <v>156</v>
      </c>
      <c r="H240" s="2" t="s">
        <v>228</v>
      </c>
      <c r="I240" s="2" t="s">
        <v>229</v>
      </c>
      <c r="J240" s="2" t="s">
        <v>19</v>
      </c>
      <c r="K240" s="2" t="s">
        <v>253</v>
      </c>
      <c r="L240" s="7" t="str">
        <f>HYPERLINK("http://slimages.macys.com/is/image/MCY/12794164 ")</f>
        <v xml:space="preserve">http://slimages.macys.com/is/image/MCY/12794164 </v>
      </c>
    </row>
    <row r="241" spans="1:12" ht="24.75" x14ac:dyDescent="0.25">
      <c r="A241" s="4" t="s">
        <v>8057</v>
      </c>
      <c r="B241" s="2" t="s">
        <v>909</v>
      </c>
      <c r="C241" s="3">
        <v>1</v>
      </c>
      <c r="D241" s="5">
        <v>40.880000000000003</v>
      </c>
      <c r="E241" s="3" t="s">
        <v>7295</v>
      </c>
      <c r="F241" s="2" t="s">
        <v>1584</v>
      </c>
      <c r="G241" s="6" t="s">
        <v>802</v>
      </c>
      <c r="H241" s="2" t="s">
        <v>188</v>
      </c>
      <c r="I241" s="2" t="s">
        <v>189</v>
      </c>
      <c r="J241" s="2" t="s">
        <v>19</v>
      </c>
      <c r="K241" s="2" t="s">
        <v>648</v>
      </c>
      <c r="L241" s="7" t="str">
        <f>HYPERLINK("http://slimages.macys.com/is/image/MCY/12268099 ")</f>
        <v xml:space="preserve">http://slimages.macys.com/is/image/MCY/12268099 </v>
      </c>
    </row>
    <row r="242" spans="1:12" ht="24.75" x14ac:dyDescent="0.25">
      <c r="A242" s="4" t="s">
        <v>908</v>
      </c>
      <c r="B242" s="2" t="s">
        <v>909</v>
      </c>
      <c r="C242" s="3">
        <v>1</v>
      </c>
      <c r="D242" s="5">
        <v>40.880000000000003</v>
      </c>
      <c r="E242" s="3" t="s">
        <v>910</v>
      </c>
      <c r="F242" s="2" t="s">
        <v>911</v>
      </c>
      <c r="G242" s="6" t="s">
        <v>106</v>
      </c>
      <c r="H242" s="2" t="s">
        <v>246</v>
      </c>
      <c r="I242" s="2" t="s">
        <v>189</v>
      </c>
      <c r="J242" s="2" t="s">
        <v>19</v>
      </c>
      <c r="K242" s="2" t="s">
        <v>648</v>
      </c>
      <c r="L242" s="7" t="str">
        <f>HYPERLINK("http://slimages.macys.com/is/image/MCY/11940216 ")</f>
        <v xml:space="preserve">http://slimages.macys.com/is/image/MCY/11940216 </v>
      </c>
    </row>
    <row r="243" spans="1:12" ht="24.75" x14ac:dyDescent="0.25">
      <c r="A243" s="4" t="s">
        <v>10713</v>
      </c>
      <c r="B243" s="2" t="s">
        <v>8598</v>
      </c>
      <c r="C243" s="3">
        <v>1</v>
      </c>
      <c r="D243" s="5">
        <v>44.63</v>
      </c>
      <c r="E243" s="3" t="s">
        <v>10714</v>
      </c>
      <c r="F243" s="2" t="s">
        <v>132</v>
      </c>
      <c r="G243" s="6" t="s">
        <v>154</v>
      </c>
      <c r="H243" s="2" t="s">
        <v>246</v>
      </c>
      <c r="I243" s="2" t="s">
        <v>189</v>
      </c>
      <c r="J243" s="2" t="s">
        <v>19</v>
      </c>
      <c r="K243" s="2" t="s">
        <v>648</v>
      </c>
      <c r="L243" s="7" t="str">
        <f>HYPERLINK("http://slimages.macys.com/is/image/MCY/13330176 ")</f>
        <v xml:space="preserve">http://slimages.macys.com/is/image/MCY/13330176 </v>
      </c>
    </row>
    <row r="244" spans="1:12" ht="24.75" x14ac:dyDescent="0.25">
      <c r="A244" s="4" t="s">
        <v>10715</v>
      </c>
      <c r="B244" s="2" t="s">
        <v>8598</v>
      </c>
      <c r="C244" s="3">
        <v>1</v>
      </c>
      <c r="D244" s="5">
        <v>44.63</v>
      </c>
      <c r="E244" s="3" t="s">
        <v>10714</v>
      </c>
      <c r="F244" s="2" t="s">
        <v>132</v>
      </c>
      <c r="G244" s="6" t="s">
        <v>181</v>
      </c>
      <c r="H244" s="2" t="s">
        <v>246</v>
      </c>
      <c r="I244" s="2" t="s">
        <v>189</v>
      </c>
      <c r="J244" s="2" t="s">
        <v>19</v>
      </c>
      <c r="K244" s="2" t="s">
        <v>648</v>
      </c>
      <c r="L244" s="7" t="str">
        <f>HYPERLINK("http://slimages.macys.com/is/image/MCY/13330176 ")</f>
        <v xml:space="preserve">http://slimages.macys.com/is/image/MCY/13330176 </v>
      </c>
    </row>
    <row r="245" spans="1:12" ht="24.75" x14ac:dyDescent="0.25">
      <c r="A245" s="4" t="s">
        <v>923</v>
      </c>
      <c r="B245" s="2" t="s">
        <v>917</v>
      </c>
      <c r="C245" s="3">
        <v>1</v>
      </c>
      <c r="D245" s="5">
        <v>37.130000000000003</v>
      </c>
      <c r="E245" s="3" t="s">
        <v>918</v>
      </c>
      <c r="F245" s="2" t="s">
        <v>376</v>
      </c>
      <c r="G245" s="6"/>
      <c r="H245" s="2" t="s">
        <v>312</v>
      </c>
      <c r="I245" s="2" t="s">
        <v>919</v>
      </c>
      <c r="J245" s="2" t="s">
        <v>19</v>
      </c>
      <c r="K245" s="2" t="s">
        <v>409</v>
      </c>
      <c r="L245" s="7" t="str">
        <f>HYPERLINK("http://slimages.macys.com/is/image/MCY/11144334 ")</f>
        <v xml:space="preserve">http://slimages.macys.com/is/image/MCY/11144334 </v>
      </c>
    </row>
    <row r="246" spans="1:12" ht="24.75" x14ac:dyDescent="0.25">
      <c r="A246" s="4" t="s">
        <v>10716</v>
      </c>
      <c r="B246" s="2" t="s">
        <v>945</v>
      </c>
      <c r="C246" s="3">
        <v>1</v>
      </c>
      <c r="D246" s="5">
        <v>44.63</v>
      </c>
      <c r="E246" s="3">
        <v>72068</v>
      </c>
      <c r="F246" s="2" t="s">
        <v>676</v>
      </c>
      <c r="G246" s="6" t="s">
        <v>154</v>
      </c>
      <c r="H246" s="2" t="s">
        <v>194</v>
      </c>
      <c r="I246" s="2" t="s">
        <v>195</v>
      </c>
      <c r="J246" s="2" t="s">
        <v>19</v>
      </c>
      <c r="K246" s="2" t="s">
        <v>247</v>
      </c>
      <c r="L246" s="7" t="str">
        <f>HYPERLINK("http://slimages.macys.com/is/image/MCY/8263757 ")</f>
        <v xml:space="preserve">http://slimages.macys.com/is/image/MCY/8263757 </v>
      </c>
    </row>
    <row r="247" spans="1:12" ht="24.75" x14ac:dyDescent="0.25">
      <c r="A247" s="4" t="s">
        <v>10717</v>
      </c>
      <c r="B247" s="2" t="s">
        <v>945</v>
      </c>
      <c r="C247" s="3">
        <v>1</v>
      </c>
      <c r="D247" s="5">
        <v>44.63</v>
      </c>
      <c r="E247" s="3">
        <v>72068</v>
      </c>
      <c r="F247" s="2" t="s">
        <v>676</v>
      </c>
      <c r="G247" s="6" t="s">
        <v>245</v>
      </c>
      <c r="H247" s="2" t="s">
        <v>194</v>
      </c>
      <c r="I247" s="2" t="s">
        <v>195</v>
      </c>
      <c r="J247" s="2" t="s">
        <v>19</v>
      </c>
      <c r="K247" s="2" t="s">
        <v>247</v>
      </c>
      <c r="L247" s="7" t="str">
        <f>HYPERLINK("http://slimages.macys.com/is/image/MCY/8263757 ")</f>
        <v xml:space="preserve">http://slimages.macys.com/is/image/MCY/8263757 </v>
      </c>
    </row>
    <row r="248" spans="1:12" ht="24.75" x14ac:dyDescent="0.25">
      <c r="A248" s="4" t="s">
        <v>10718</v>
      </c>
      <c r="B248" s="2" t="s">
        <v>10719</v>
      </c>
      <c r="C248" s="3">
        <v>1</v>
      </c>
      <c r="D248" s="5">
        <v>40.880000000000003</v>
      </c>
      <c r="E248" s="3" t="s">
        <v>10720</v>
      </c>
      <c r="F248" s="2" t="s">
        <v>26</v>
      </c>
      <c r="G248" s="6" t="s">
        <v>112</v>
      </c>
      <c r="H248" s="2" t="s">
        <v>213</v>
      </c>
      <c r="I248" s="2" t="s">
        <v>214</v>
      </c>
      <c r="J248" s="2" t="s">
        <v>19</v>
      </c>
      <c r="K248" s="2" t="s">
        <v>215</v>
      </c>
      <c r="L248" s="7" t="str">
        <f>HYPERLINK("http://slimages.macys.com/is/image/MCY/11699651 ")</f>
        <v xml:space="preserve">http://slimages.macys.com/is/image/MCY/11699651 </v>
      </c>
    </row>
    <row r="249" spans="1:12" ht="24.75" x14ac:dyDescent="0.25">
      <c r="A249" s="4" t="s">
        <v>10721</v>
      </c>
      <c r="B249" s="2" t="s">
        <v>10722</v>
      </c>
      <c r="C249" s="3">
        <v>1</v>
      </c>
      <c r="D249" s="5">
        <v>37.130000000000003</v>
      </c>
      <c r="E249" s="3">
        <v>100023713</v>
      </c>
      <c r="F249" s="2" t="s">
        <v>26</v>
      </c>
      <c r="G249" s="6" t="s">
        <v>156</v>
      </c>
      <c r="H249" s="2" t="s">
        <v>284</v>
      </c>
      <c r="I249" s="2" t="s">
        <v>285</v>
      </c>
      <c r="J249" s="2" t="s">
        <v>19</v>
      </c>
      <c r="K249" s="2" t="s">
        <v>34</v>
      </c>
      <c r="L249" s="7" t="str">
        <f>HYPERLINK("http://slimages.macys.com/is/image/MCY/9449870 ")</f>
        <v xml:space="preserve">http://slimages.macys.com/is/image/MCY/9449870 </v>
      </c>
    </row>
    <row r="250" spans="1:12" ht="24.75" x14ac:dyDescent="0.25">
      <c r="A250" s="4" t="s">
        <v>5675</v>
      </c>
      <c r="B250" s="2" t="s">
        <v>948</v>
      </c>
      <c r="C250" s="3">
        <v>1</v>
      </c>
      <c r="D250" s="5">
        <v>34.880000000000003</v>
      </c>
      <c r="E250" s="3">
        <v>100038962</v>
      </c>
      <c r="F250" s="2" t="s">
        <v>64</v>
      </c>
      <c r="G250" s="6" t="s">
        <v>16</v>
      </c>
      <c r="H250" s="2" t="s">
        <v>194</v>
      </c>
      <c r="I250" s="2" t="s">
        <v>195</v>
      </c>
      <c r="J250" s="2" t="s">
        <v>19</v>
      </c>
      <c r="K250" s="2" t="s">
        <v>353</v>
      </c>
      <c r="L250" s="7" t="str">
        <f>HYPERLINK("http://slimages.macys.com/is/image/MCY/11145019 ")</f>
        <v xml:space="preserve">http://slimages.macys.com/is/image/MCY/11145019 </v>
      </c>
    </row>
    <row r="251" spans="1:12" ht="24.75" x14ac:dyDescent="0.25">
      <c r="A251" s="4" t="s">
        <v>10723</v>
      </c>
      <c r="B251" s="2" t="s">
        <v>10724</v>
      </c>
      <c r="C251" s="3">
        <v>1</v>
      </c>
      <c r="D251" s="5">
        <v>37.130000000000003</v>
      </c>
      <c r="E251" s="3">
        <v>100013675</v>
      </c>
      <c r="F251" s="2" t="s">
        <v>111</v>
      </c>
      <c r="G251" s="6" t="s">
        <v>181</v>
      </c>
      <c r="H251" s="2" t="s">
        <v>194</v>
      </c>
      <c r="I251" s="2" t="s">
        <v>503</v>
      </c>
      <c r="J251" s="2" t="s">
        <v>19</v>
      </c>
      <c r="K251" s="2" t="s">
        <v>546</v>
      </c>
      <c r="L251" s="7" t="str">
        <f>HYPERLINK("http://slimages.macys.com/is/image/MCY/9340718 ")</f>
        <v xml:space="preserve">http://slimages.macys.com/is/image/MCY/9340718 </v>
      </c>
    </row>
    <row r="252" spans="1:12" ht="24.75" x14ac:dyDescent="0.25">
      <c r="A252" s="4" t="s">
        <v>10725</v>
      </c>
      <c r="B252" s="2" t="s">
        <v>10724</v>
      </c>
      <c r="C252" s="3">
        <v>1</v>
      </c>
      <c r="D252" s="5">
        <v>37.130000000000003</v>
      </c>
      <c r="E252" s="3">
        <v>100013675</v>
      </c>
      <c r="F252" s="2" t="s">
        <v>111</v>
      </c>
      <c r="G252" s="6" t="s">
        <v>245</v>
      </c>
      <c r="H252" s="2" t="s">
        <v>194</v>
      </c>
      <c r="I252" s="2" t="s">
        <v>503</v>
      </c>
      <c r="J252" s="2" t="s">
        <v>19</v>
      </c>
      <c r="K252" s="2" t="s">
        <v>546</v>
      </c>
      <c r="L252" s="7" t="str">
        <f>HYPERLINK("http://slimages.macys.com/is/image/MCY/9340718 ")</f>
        <v xml:space="preserve">http://slimages.macys.com/is/image/MCY/9340718 </v>
      </c>
    </row>
    <row r="253" spans="1:12" ht="24.75" x14ac:dyDescent="0.25">
      <c r="A253" s="4" t="s">
        <v>10726</v>
      </c>
      <c r="B253" s="2" t="s">
        <v>3664</v>
      </c>
      <c r="C253" s="3">
        <v>1</v>
      </c>
      <c r="D253" s="5">
        <v>40.880000000000003</v>
      </c>
      <c r="E253" s="3" t="s">
        <v>3665</v>
      </c>
      <c r="F253" s="2" t="s">
        <v>132</v>
      </c>
      <c r="G253" s="6" t="s">
        <v>234</v>
      </c>
      <c r="H253" s="2" t="s">
        <v>194</v>
      </c>
      <c r="I253" s="2" t="s">
        <v>503</v>
      </c>
      <c r="J253" s="2" t="s">
        <v>19</v>
      </c>
      <c r="K253" s="2" t="s">
        <v>107</v>
      </c>
      <c r="L253" s="7" t="str">
        <f>HYPERLINK("http://slimages.macys.com/is/image/MCY/12794091 ")</f>
        <v xml:space="preserve">http://slimages.macys.com/is/image/MCY/12794091 </v>
      </c>
    </row>
    <row r="254" spans="1:12" ht="24.75" x14ac:dyDescent="0.25">
      <c r="A254" s="4" t="s">
        <v>3663</v>
      </c>
      <c r="B254" s="2" t="s">
        <v>3664</v>
      </c>
      <c r="C254" s="3">
        <v>1</v>
      </c>
      <c r="D254" s="5">
        <v>40.880000000000003</v>
      </c>
      <c r="E254" s="3" t="s">
        <v>3665</v>
      </c>
      <c r="F254" s="2" t="s">
        <v>132</v>
      </c>
      <c r="G254" s="6" t="s">
        <v>245</v>
      </c>
      <c r="H254" s="2" t="s">
        <v>194</v>
      </c>
      <c r="I254" s="2" t="s">
        <v>503</v>
      </c>
      <c r="J254" s="2" t="s">
        <v>19</v>
      </c>
      <c r="K254" s="2" t="s">
        <v>107</v>
      </c>
      <c r="L254" s="7" t="str">
        <f>HYPERLINK("http://slimages.macys.com/is/image/MCY/12794091 ")</f>
        <v xml:space="preserve">http://slimages.macys.com/is/image/MCY/12794091 </v>
      </c>
    </row>
    <row r="255" spans="1:12" ht="24.75" x14ac:dyDescent="0.25">
      <c r="A255" s="4" t="s">
        <v>10727</v>
      </c>
      <c r="B255" s="2" t="s">
        <v>10724</v>
      </c>
      <c r="C255" s="3">
        <v>1</v>
      </c>
      <c r="D255" s="5">
        <v>37.130000000000003</v>
      </c>
      <c r="E255" s="3">
        <v>100013675</v>
      </c>
      <c r="F255" s="2" t="s">
        <v>33</v>
      </c>
      <c r="G255" s="6" t="s">
        <v>154</v>
      </c>
      <c r="H255" s="2" t="s">
        <v>194</v>
      </c>
      <c r="I255" s="2" t="s">
        <v>503</v>
      </c>
      <c r="J255" s="2" t="s">
        <v>19</v>
      </c>
      <c r="K255" s="2" t="s">
        <v>546</v>
      </c>
      <c r="L255" s="7" t="str">
        <f>HYPERLINK("http://slimages.macys.com/is/image/MCY/9340718 ")</f>
        <v xml:space="preserve">http://slimages.macys.com/is/image/MCY/9340718 </v>
      </c>
    </row>
    <row r="256" spans="1:12" ht="24.75" x14ac:dyDescent="0.25">
      <c r="A256" s="4" t="s">
        <v>10728</v>
      </c>
      <c r="B256" s="2" t="s">
        <v>10724</v>
      </c>
      <c r="C256" s="3">
        <v>1</v>
      </c>
      <c r="D256" s="5">
        <v>37.130000000000003</v>
      </c>
      <c r="E256" s="3">
        <v>100013675</v>
      </c>
      <c r="F256" s="2" t="s">
        <v>111</v>
      </c>
      <c r="G256" s="6" t="s">
        <v>154</v>
      </c>
      <c r="H256" s="2" t="s">
        <v>194</v>
      </c>
      <c r="I256" s="2" t="s">
        <v>503</v>
      </c>
      <c r="J256" s="2" t="s">
        <v>19</v>
      </c>
      <c r="K256" s="2" t="s">
        <v>546</v>
      </c>
      <c r="L256" s="7" t="str">
        <f>HYPERLINK("http://slimages.macys.com/is/image/MCY/9340718 ")</f>
        <v xml:space="preserve">http://slimages.macys.com/is/image/MCY/9340718 </v>
      </c>
    </row>
    <row r="257" spans="1:12" ht="24.75" x14ac:dyDescent="0.25">
      <c r="A257" s="4" t="s">
        <v>10729</v>
      </c>
      <c r="B257" s="2" t="s">
        <v>10724</v>
      </c>
      <c r="C257" s="3">
        <v>3</v>
      </c>
      <c r="D257" s="5">
        <v>37.130000000000003</v>
      </c>
      <c r="E257" s="3">
        <v>100013675</v>
      </c>
      <c r="F257" s="2" t="s">
        <v>111</v>
      </c>
      <c r="G257" s="6" t="s">
        <v>234</v>
      </c>
      <c r="H257" s="2" t="s">
        <v>194</v>
      </c>
      <c r="I257" s="2" t="s">
        <v>503</v>
      </c>
      <c r="J257" s="2" t="s">
        <v>19</v>
      </c>
      <c r="K257" s="2" t="s">
        <v>546</v>
      </c>
      <c r="L257" s="7" t="str">
        <f>HYPERLINK("http://slimages.macys.com/is/image/MCY/9340718 ")</f>
        <v xml:space="preserve">http://slimages.macys.com/is/image/MCY/9340718 </v>
      </c>
    </row>
    <row r="258" spans="1:12" ht="24.75" x14ac:dyDescent="0.25">
      <c r="A258" s="4" t="s">
        <v>10730</v>
      </c>
      <c r="B258" s="2" t="s">
        <v>890</v>
      </c>
      <c r="C258" s="3">
        <v>1</v>
      </c>
      <c r="D258" s="5">
        <v>34.5</v>
      </c>
      <c r="E258" s="3" t="s">
        <v>10731</v>
      </c>
      <c r="F258" s="2" t="s">
        <v>111</v>
      </c>
      <c r="G258" s="6" t="s">
        <v>205</v>
      </c>
      <c r="H258" s="2" t="s">
        <v>426</v>
      </c>
      <c r="I258" s="2" t="s">
        <v>229</v>
      </c>
      <c r="J258" s="2" t="s">
        <v>19</v>
      </c>
      <c r="K258" s="2" t="s">
        <v>338</v>
      </c>
      <c r="L258" s="7" t="str">
        <f>HYPERLINK("http://slimages.macys.com/is/image/MCY/1606243 ")</f>
        <v xml:space="preserve">http://slimages.macys.com/is/image/MCY/1606243 </v>
      </c>
    </row>
    <row r="259" spans="1:12" ht="36.75" x14ac:dyDescent="0.25">
      <c r="A259" s="4" t="s">
        <v>10732</v>
      </c>
      <c r="B259" s="2" t="s">
        <v>961</v>
      </c>
      <c r="C259" s="3">
        <v>1</v>
      </c>
      <c r="D259" s="5">
        <v>40.880000000000003</v>
      </c>
      <c r="E259" s="3">
        <v>100026212</v>
      </c>
      <c r="F259" s="2" t="s">
        <v>376</v>
      </c>
      <c r="G259" s="6" t="s">
        <v>245</v>
      </c>
      <c r="H259" s="2" t="s">
        <v>194</v>
      </c>
      <c r="I259" s="2" t="s">
        <v>195</v>
      </c>
      <c r="J259" s="2" t="s">
        <v>19</v>
      </c>
      <c r="K259" s="2" t="s">
        <v>962</v>
      </c>
      <c r="L259" s="7" t="str">
        <f>HYPERLINK("http://slimages.macys.com/is/image/MCY/10139221 ")</f>
        <v xml:space="preserve">http://slimages.macys.com/is/image/MCY/10139221 </v>
      </c>
    </row>
    <row r="260" spans="1:12" ht="36.75" x14ac:dyDescent="0.25">
      <c r="A260" s="4" t="s">
        <v>10733</v>
      </c>
      <c r="B260" s="2" t="s">
        <v>964</v>
      </c>
      <c r="C260" s="3">
        <v>1</v>
      </c>
      <c r="D260" s="5">
        <v>37.130000000000003</v>
      </c>
      <c r="E260" s="3">
        <v>100026210</v>
      </c>
      <c r="F260" s="2" t="s">
        <v>64</v>
      </c>
      <c r="G260" s="6" t="s">
        <v>200</v>
      </c>
      <c r="H260" s="2" t="s">
        <v>194</v>
      </c>
      <c r="I260" s="2" t="s">
        <v>195</v>
      </c>
      <c r="J260" s="2" t="s">
        <v>19</v>
      </c>
      <c r="K260" s="2" t="s">
        <v>965</v>
      </c>
      <c r="L260" s="7" t="str">
        <f>HYPERLINK("http://slimages.macys.com/is/image/MCY/9714233 ")</f>
        <v xml:space="preserve">http://slimages.macys.com/is/image/MCY/9714233 </v>
      </c>
    </row>
    <row r="261" spans="1:12" ht="36.75" x14ac:dyDescent="0.25">
      <c r="A261" s="4" t="s">
        <v>5681</v>
      </c>
      <c r="B261" s="2" t="s">
        <v>964</v>
      </c>
      <c r="C261" s="3">
        <v>1</v>
      </c>
      <c r="D261" s="5">
        <v>37.130000000000003</v>
      </c>
      <c r="E261" s="3">
        <v>100026210</v>
      </c>
      <c r="F261" s="2" t="s">
        <v>125</v>
      </c>
      <c r="G261" s="6" t="s">
        <v>234</v>
      </c>
      <c r="H261" s="2" t="s">
        <v>194</v>
      </c>
      <c r="I261" s="2" t="s">
        <v>195</v>
      </c>
      <c r="J261" s="2" t="s">
        <v>19</v>
      </c>
      <c r="K261" s="2" t="s">
        <v>965</v>
      </c>
      <c r="L261" s="7" t="str">
        <f>HYPERLINK("http://slimages.macys.com/is/image/MCY/9714233 ")</f>
        <v xml:space="preserve">http://slimages.macys.com/is/image/MCY/9714233 </v>
      </c>
    </row>
    <row r="262" spans="1:12" ht="36.75" x14ac:dyDescent="0.25">
      <c r="A262" s="4" t="s">
        <v>10734</v>
      </c>
      <c r="B262" s="2" t="s">
        <v>961</v>
      </c>
      <c r="C262" s="3">
        <v>1</v>
      </c>
      <c r="D262" s="5">
        <v>40.880000000000003</v>
      </c>
      <c r="E262" s="3">
        <v>100026212</v>
      </c>
      <c r="F262" s="2" t="s">
        <v>79</v>
      </c>
      <c r="G262" s="6" t="s">
        <v>245</v>
      </c>
      <c r="H262" s="2" t="s">
        <v>194</v>
      </c>
      <c r="I262" s="2" t="s">
        <v>195</v>
      </c>
      <c r="J262" s="2" t="s">
        <v>19</v>
      </c>
      <c r="K262" s="2" t="s">
        <v>962</v>
      </c>
      <c r="L262" s="7" t="str">
        <f>HYPERLINK("http://slimages.macys.com/is/image/MCY/10139221 ")</f>
        <v xml:space="preserve">http://slimages.macys.com/is/image/MCY/10139221 </v>
      </c>
    </row>
    <row r="263" spans="1:12" ht="36.75" x14ac:dyDescent="0.25">
      <c r="A263" s="4" t="s">
        <v>10735</v>
      </c>
      <c r="B263" s="2" t="s">
        <v>964</v>
      </c>
      <c r="C263" s="3">
        <v>2</v>
      </c>
      <c r="D263" s="5">
        <v>37.130000000000003</v>
      </c>
      <c r="E263" s="3">
        <v>100026210</v>
      </c>
      <c r="F263" s="2" t="s">
        <v>376</v>
      </c>
      <c r="G263" s="6" t="s">
        <v>234</v>
      </c>
      <c r="H263" s="2" t="s">
        <v>194</v>
      </c>
      <c r="I263" s="2" t="s">
        <v>195</v>
      </c>
      <c r="J263" s="2" t="s">
        <v>19</v>
      </c>
      <c r="K263" s="2" t="s">
        <v>965</v>
      </c>
      <c r="L263" s="7" t="str">
        <f>HYPERLINK("http://slimages.macys.com/is/image/MCY/10049790 ")</f>
        <v xml:space="preserve">http://slimages.macys.com/is/image/MCY/10049790 </v>
      </c>
    </row>
    <row r="264" spans="1:12" ht="36.75" x14ac:dyDescent="0.25">
      <c r="A264" s="4" t="s">
        <v>10736</v>
      </c>
      <c r="B264" s="2" t="s">
        <v>961</v>
      </c>
      <c r="C264" s="3">
        <v>1</v>
      </c>
      <c r="D264" s="5">
        <v>40.880000000000003</v>
      </c>
      <c r="E264" s="3">
        <v>100026212</v>
      </c>
      <c r="F264" s="2" t="s">
        <v>376</v>
      </c>
      <c r="G264" s="6" t="s">
        <v>234</v>
      </c>
      <c r="H264" s="2" t="s">
        <v>194</v>
      </c>
      <c r="I264" s="2" t="s">
        <v>195</v>
      </c>
      <c r="J264" s="2" t="s">
        <v>19</v>
      </c>
      <c r="K264" s="2" t="s">
        <v>962</v>
      </c>
      <c r="L264" s="7" t="str">
        <f>HYPERLINK("http://slimages.macys.com/is/image/MCY/10139221 ")</f>
        <v xml:space="preserve">http://slimages.macys.com/is/image/MCY/10139221 </v>
      </c>
    </row>
    <row r="265" spans="1:12" ht="24.75" x14ac:dyDescent="0.25">
      <c r="A265" s="4" t="s">
        <v>10737</v>
      </c>
      <c r="B265" s="2" t="s">
        <v>1002</v>
      </c>
      <c r="C265" s="3">
        <v>4</v>
      </c>
      <c r="D265" s="5">
        <v>44.63</v>
      </c>
      <c r="E265" s="3">
        <v>100015592</v>
      </c>
      <c r="F265" s="2" t="s">
        <v>15</v>
      </c>
      <c r="G265" s="6" t="s">
        <v>234</v>
      </c>
      <c r="H265" s="2" t="s">
        <v>194</v>
      </c>
      <c r="I265" s="2" t="s">
        <v>195</v>
      </c>
      <c r="J265" s="2" t="s">
        <v>19</v>
      </c>
      <c r="K265" s="2" t="s">
        <v>137</v>
      </c>
      <c r="L265" s="7" t="str">
        <f>HYPERLINK("http://slimages.macys.com/is/image/MCY/9653304 ")</f>
        <v xml:space="preserve">http://slimages.macys.com/is/image/MCY/9653304 </v>
      </c>
    </row>
    <row r="266" spans="1:12" ht="24.75" x14ac:dyDescent="0.25">
      <c r="A266" s="4" t="s">
        <v>10738</v>
      </c>
      <c r="B266" s="2" t="s">
        <v>1002</v>
      </c>
      <c r="C266" s="3">
        <v>2</v>
      </c>
      <c r="D266" s="5">
        <v>44.63</v>
      </c>
      <c r="E266" s="3">
        <v>100015592</v>
      </c>
      <c r="F266" s="2" t="s">
        <v>15</v>
      </c>
      <c r="G266" s="6" t="s">
        <v>156</v>
      </c>
      <c r="H266" s="2" t="s">
        <v>194</v>
      </c>
      <c r="I266" s="2" t="s">
        <v>195</v>
      </c>
      <c r="J266" s="2" t="s">
        <v>19</v>
      </c>
      <c r="K266" s="2" t="s">
        <v>137</v>
      </c>
      <c r="L266" s="7" t="str">
        <f>HYPERLINK("http://slimages.macys.com/is/image/MCY/9653304 ")</f>
        <v xml:space="preserve">http://slimages.macys.com/is/image/MCY/9653304 </v>
      </c>
    </row>
    <row r="267" spans="1:12" ht="24.75" x14ac:dyDescent="0.25">
      <c r="A267" s="4" t="s">
        <v>10739</v>
      </c>
      <c r="B267" s="2" t="s">
        <v>1002</v>
      </c>
      <c r="C267" s="3">
        <v>2</v>
      </c>
      <c r="D267" s="5">
        <v>44.63</v>
      </c>
      <c r="E267" s="3">
        <v>100015592</v>
      </c>
      <c r="F267" s="2" t="s">
        <v>15</v>
      </c>
      <c r="G267" s="6" t="s">
        <v>181</v>
      </c>
      <c r="H267" s="2" t="s">
        <v>194</v>
      </c>
      <c r="I267" s="2" t="s">
        <v>195</v>
      </c>
      <c r="J267" s="2" t="s">
        <v>19</v>
      </c>
      <c r="K267" s="2" t="s">
        <v>137</v>
      </c>
      <c r="L267" s="7" t="str">
        <f>HYPERLINK("http://slimages.macys.com/is/image/MCY/9653304 ")</f>
        <v xml:space="preserve">http://slimages.macys.com/is/image/MCY/9653304 </v>
      </c>
    </row>
    <row r="268" spans="1:12" ht="24.75" x14ac:dyDescent="0.25">
      <c r="A268" s="4" t="s">
        <v>10740</v>
      </c>
      <c r="B268" s="2" t="s">
        <v>1002</v>
      </c>
      <c r="C268" s="3">
        <v>6</v>
      </c>
      <c r="D268" s="5">
        <v>44.63</v>
      </c>
      <c r="E268" s="3">
        <v>100015592</v>
      </c>
      <c r="F268" s="2" t="s">
        <v>15</v>
      </c>
      <c r="G268" s="6" t="s">
        <v>154</v>
      </c>
      <c r="H268" s="2" t="s">
        <v>194</v>
      </c>
      <c r="I268" s="2" t="s">
        <v>195</v>
      </c>
      <c r="J268" s="2" t="s">
        <v>19</v>
      </c>
      <c r="K268" s="2" t="s">
        <v>137</v>
      </c>
      <c r="L268" s="7" t="str">
        <f>HYPERLINK("http://slimages.macys.com/is/image/MCY/9653304 ")</f>
        <v xml:space="preserve">http://slimages.macys.com/is/image/MCY/9653304 </v>
      </c>
    </row>
    <row r="269" spans="1:12" ht="24.75" x14ac:dyDescent="0.25">
      <c r="A269" s="4" t="s">
        <v>981</v>
      </c>
      <c r="B269" s="2" t="s">
        <v>641</v>
      </c>
      <c r="C269" s="3">
        <v>1</v>
      </c>
      <c r="D269" s="5">
        <v>29.99</v>
      </c>
      <c r="E269" s="3" t="s">
        <v>971</v>
      </c>
      <c r="F269" s="2" t="s">
        <v>38</v>
      </c>
      <c r="G269" s="6" t="s">
        <v>794</v>
      </c>
      <c r="H269" s="2" t="s">
        <v>632</v>
      </c>
      <c r="I269" s="2" t="s">
        <v>408</v>
      </c>
      <c r="J269" s="2" t="s">
        <v>19</v>
      </c>
      <c r="K269" s="2" t="s">
        <v>409</v>
      </c>
      <c r="L269" s="7" t="str">
        <f>HYPERLINK("http://slimages.macys.com/is/image/MCY/8140828 ")</f>
        <v xml:space="preserve">http://slimages.macys.com/is/image/MCY/8140828 </v>
      </c>
    </row>
    <row r="270" spans="1:12" ht="24.75" x14ac:dyDescent="0.25">
      <c r="A270" s="4" t="s">
        <v>970</v>
      </c>
      <c r="B270" s="2" t="s">
        <v>641</v>
      </c>
      <c r="C270" s="3">
        <v>1</v>
      </c>
      <c r="D270" s="5">
        <v>29.99</v>
      </c>
      <c r="E270" s="3" t="s">
        <v>971</v>
      </c>
      <c r="F270" s="2" t="s">
        <v>38</v>
      </c>
      <c r="G270" s="6"/>
      <c r="H270" s="2" t="s">
        <v>632</v>
      </c>
      <c r="I270" s="2" t="s">
        <v>408</v>
      </c>
      <c r="J270" s="2" t="s">
        <v>19</v>
      </c>
      <c r="K270" s="2" t="s">
        <v>409</v>
      </c>
      <c r="L270" s="7" t="str">
        <f>HYPERLINK("http://slimages.macys.com/is/image/MCY/8140828 ")</f>
        <v xml:space="preserve">http://slimages.macys.com/is/image/MCY/8140828 </v>
      </c>
    </row>
    <row r="271" spans="1:12" ht="24.75" x14ac:dyDescent="0.25">
      <c r="A271" s="4" t="s">
        <v>972</v>
      </c>
      <c r="B271" s="2" t="s">
        <v>641</v>
      </c>
      <c r="C271" s="3">
        <v>1</v>
      </c>
      <c r="D271" s="5">
        <v>29.99</v>
      </c>
      <c r="E271" s="3" t="s">
        <v>971</v>
      </c>
      <c r="F271" s="2" t="s">
        <v>38</v>
      </c>
      <c r="G271" s="6"/>
      <c r="H271" s="2" t="s">
        <v>632</v>
      </c>
      <c r="I271" s="2" t="s">
        <v>408</v>
      </c>
      <c r="J271" s="2" t="s">
        <v>19</v>
      </c>
      <c r="K271" s="2" t="s">
        <v>409</v>
      </c>
      <c r="L271" s="7" t="str">
        <f>HYPERLINK("http://slimages.macys.com/is/image/MCY/8140828 ")</f>
        <v xml:space="preserve">http://slimages.macys.com/is/image/MCY/8140828 </v>
      </c>
    </row>
    <row r="272" spans="1:12" ht="24.75" x14ac:dyDescent="0.25">
      <c r="A272" s="4" t="s">
        <v>978</v>
      </c>
      <c r="B272" s="2" t="s">
        <v>744</v>
      </c>
      <c r="C272" s="3">
        <v>1</v>
      </c>
      <c r="D272" s="5">
        <v>34.99</v>
      </c>
      <c r="E272" s="3" t="s">
        <v>979</v>
      </c>
      <c r="F272" s="2" t="s">
        <v>85</v>
      </c>
      <c r="G272" s="6" t="s">
        <v>234</v>
      </c>
      <c r="H272" s="2" t="s">
        <v>284</v>
      </c>
      <c r="I272" s="2" t="s">
        <v>285</v>
      </c>
      <c r="J272" s="2" t="s">
        <v>19</v>
      </c>
      <c r="K272" s="2" t="s">
        <v>34</v>
      </c>
      <c r="L272" s="7" t="str">
        <f>HYPERLINK("http://slimages.macys.com/is/image/MCY/9723880 ")</f>
        <v xml:space="preserve">http://slimages.macys.com/is/image/MCY/9723880 </v>
      </c>
    </row>
    <row r="273" spans="1:12" ht="36.75" x14ac:dyDescent="0.25">
      <c r="A273" s="4" t="s">
        <v>10741</v>
      </c>
      <c r="B273" s="2" t="s">
        <v>10742</v>
      </c>
      <c r="C273" s="3">
        <v>1</v>
      </c>
      <c r="D273" s="5">
        <v>29.99</v>
      </c>
      <c r="E273" s="3" t="s">
        <v>10743</v>
      </c>
      <c r="F273" s="2" t="s">
        <v>26</v>
      </c>
      <c r="G273" s="6"/>
      <c r="H273" s="2" t="s">
        <v>632</v>
      </c>
      <c r="I273" s="2" t="s">
        <v>408</v>
      </c>
      <c r="J273" s="2" t="s">
        <v>19</v>
      </c>
      <c r="K273" s="2" t="s">
        <v>500</v>
      </c>
      <c r="L273" s="7" t="str">
        <f>HYPERLINK("http://slimages.macys.com/is/image/MCY/2623535 ")</f>
        <v xml:space="preserve">http://slimages.macys.com/is/image/MCY/2623535 </v>
      </c>
    </row>
    <row r="274" spans="1:12" ht="24.75" x14ac:dyDescent="0.25">
      <c r="A274" s="4" t="s">
        <v>10744</v>
      </c>
      <c r="B274" s="2" t="s">
        <v>10745</v>
      </c>
      <c r="C274" s="3">
        <v>1</v>
      </c>
      <c r="D274" s="5">
        <v>58</v>
      </c>
      <c r="E274" s="3" t="s">
        <v>10746</v>
      </c>
      <c r="F274" s="2" t="s">
        <v>64</v>
      </c>
      <c r="G274" s="6" t="s">
        <v>234</v>
      </c>
      <c r="H274" s="2" t="s">
        <v>10225</v>
      </c>
      <c r="I274" s="2" t="s">
        <v>10226</v>
      </c>
      <c r="J274" s="2" t="s">
        <v>19</v>
      </c>
      <c r="K274" s="2" t="s">
        <v>247</v>
      </c>
      <c r="L274" s="7" t="str">
        <f>HYPERLINK("http://slimages.macys.com/is/image/MCY/11621458 ")</f>
        <v xml:space="preserve">http://slimages.macys.com/is/image/MCY/11621458 </v>
      </c>
    </row>
    <row r="275" spans="1:12" ht="24.75" x14ac:dyDescent="0.25">
      <c r="A275" s="4" t="s">
        <v>10747</v>
      </c>
      <c r="B275" s="2" t="s">
        <v>744</v>
      </c>
      <c r="C275" s="3">
        <v>1</v>
      </c>
      <c r="D275" s="5">
        <v>34.99</v>
      </c>
      <c r="E275" s="3" t="s">
        <v>979</v>
      </c>
      <c r="F275" s="2" t="s">
        <v>85</v>
      </c>
      <c r="G275" s="6" t="s">
        <v>181</v>
      </c>
      <c r="H275" s="2" t="s">
        <v>284</v>
      </c>
      <c r="I275" s="2" t="s">
        <v>285</v>
      </c>
      <c r="J275" s="2" t="s">
        <v>19</v>
      </c>
      <c r="K275" s="2" t="s">
        <v>34</v>
      </c>
      <c r="L275" s="7" t="str">
        <f>HYPERLINK("http://slimages.macys.com/is/image/MCY/9723880 ")</f>
        <v xml:space="preserve">http://slimages.macys.com/is/image/MCY/9723880 </v>
      </c>
    </row>
    <row r="276" spans="1:12" ht="24.75" x14ac:dyDescent="0.25">
      <c r="A276" s="4" t="s">
        <v>10748</v>
      </c>
      <c r="B276" s="2" t="s">
        <v>3688</v>
      </c>
      <c r="C276" s="3">
        <v>2</v>
      </c>
      <c r="D276" s="5">
        <v>59.5</v>
      </c>
      <c r="E276" s="3" t="s">
        <v>3689</v>
      </c>
      <c r="F276" s="2" t="s">
        <v>252</v>
      </c>
      <c r="G276" s="6" t="s">
        <v>165</v>
      </c>
      <c r="H276" s="2" t="s">
        <v>206</v>
      </c>
      <c r="I276" s="2" t="s">
        <v>207</v>
      </c>
      <c r="J276" s="2" t="s">
        <v>19</v>
      </c>
      <c r="K276" s="2" t="s">
        <v>338</v>
      </c>
      <c r="L276" s="7" t="str">
        <f>HYPERLINK("http://slimages.macys.com/is/image/MCY/11782534 ")</f>
        <v xml:space="preserve">http://slimages.macys.com/is/image/MCY/11782534 </v>
      </c>
    </row>
    <row r="277" spans="1:12" ht="24.75" x14ac:dyDescent="0.25">
      <c r="A277" s="4" t="s">
        <v>10749</v>
      </c>
      <c r="B277" s="2" t="s">
        <v>3688</v>
      </c>
      <c r="C277" s="3">
        <v>1</v>
      </c>
      <c r="D277" s="5">
        <v>59.5</v>
      </c>
      <c r="E277" s="3" t="s">
        <v>3689</v>
      </c>
      <c r="F277" s="2" t="s">
        <v>252</v>
      </c>
      <c r="G277" s="6" t="s">
        <v>238</v>
      </c>
      <c r="H277" s="2" t="s">
        <v>206</v>
      </c>
      <c r="I277" s="2" t="s">
        <v>207</v>
      </c>
      <c r="J277" s="2" t="s">
        <v>19</v>
      </c>
      <c r="K277" s="2" t="s">
        <v>338</v>
      </c>
      <c r="L277" s="7" t="str">
        <f>HYPERLINK("http://slimages.macys.com/is/image/MCY/11782534 ")</f>
        <v xml:space="preserve">http://slimages.macys.com/is/image/MCY/11782534 </v>
      </c>
    </row>
    <row r="278" spans="1:12" ht="24.75" x14ac:dyDescent="0.25">
      <c r="A278" s="4" t="s">
        <v>10750</v>
      </c>
      <c r="B278" s="2" t="s">
        <v>10751</v>
      </c>
      <c r="C278" s="3">
        <v>1</v>
      </c>
      <c r="D278" s="5">
        <v>34.880000000000003</v>
      </c>
      <c r="E278" s="3">
        <v>100018048</v>
      </c>
      <c r="F278" s="2" t="s">
        <v>26</v>
      </c>
      <c r="G278" s="6" t="s">
        <v>27</v>
      </c>
      <c r="H278" s="2" t="s">
        <v>194</v>
      </c>
      <c r="I278" s="2" t="s">
        <v>503</v>
      </c>
      <c r="J278" s="2" t="s">
        <v>19</v>
      </c>
      <c r="K278" s="2" t="s">
        <v>353</v>
      </c>
      <c r="L278" s="7" t="str">
        <f t="shared" ref="L278:L283" si="0">HYPERLINK("http://slimages.macys.com/is/image/MCY/9864796 ")</f>
        <v xml:space="preserve">http://slimages.macys.com/is/image/MCY/9864796 </v>
      </c>
    </row>
    <row r="279" spans="1:12" ht="24.75" x14ac:dyDescent="0.25">
      <c r="A279" s="4" t="s">
        <v>10752</v>
      </c>
      <c r="B279" s="2" t="s">
        <v>10751</v>
      </c>
      <c r="C279" s="3">
        <v>1</v>
      </c>
      <c r="D279" s="5">
        <v>34.880000000000003</v>
      </c>
      <c r="E279" s="3">
        <v>100018048</v>
      </c>
      <c r="F279" s="2" t="s">
        <v>74</v>
      </c>
      <c r="G279" s="6" t="s">
        <v>65</v>
      </c>
      <c r="H279" s="2" t="s">
        <v>194</v>
      </c>
      <c r="I279" s="2" t="s">
        <v>503</v>
      </c>
      <c r="J279" s="2" t="s">
        <v>19</v>
      </c>
      <c r="K279" s="2" t="s">
        <v>353</v>
      </c>
      <c r="L279" s="7" t="str">
        <f t="shared" si="0"/>
        <v xml:space="preserve">http://slimages.macys.com/is/image/MCY/9864796 </v>
      </c>
    </row>
    <row r="280" spans="1:12" ht="24.75" x14ac:dyDescent="0.25">
      <c r="A280" s="4" t="s">
        <v>10753</v>
      </c>
      <c r="B280" s="2" t="s">
        <v>10751</v>
      </c>
      <c r="C280" s="3">
        <v>1</v>
      </c>
      <c r="D280" s="5">
        <v>34.880000000000003</v>
      </c>
      <c r="E280" s="3">
        <v>100018048</v>
      </c>
      <c r="F280" s="2" t="s">
        <v>566</v>
      </c>
      <c r="G280" s="6" t="s">
        <v>22</v>
      </c>
      <c r="H280" s="2" t="s">
        <v>194</v>
      </c>
      <c r="I280" s="2" t="s">
        <v>503</v>
      </c>
      <c r="J280" s="2" t="s">
        <v>19</v>
      </c>
      <c r="K280" s="2" t="s">
        <v>353</v>
      </c>
      <c r="L280" s="7" t="str">
        <f t="shared" si="0"/>
        <v xml:space="preserve">http://slimages.macys.com/is/image/MCY/9864796 </v>
      </c>
    </row>
    <row r="281" spans="1:12" ht="24.75" x14ac:dyDescent="0.25">
      <c r="A281" s="4" t="s">
        <v>10754</v>
      </c>
      <c r="B281" s="2" t="s">
        <v>10751</v>
      </c>
      <c r="C281" s="3">
        <v>1</v>
      </c>
      <c r="D281" s="5">
        <v>34.880000000000003</v>
      </c>
      <c r="E281" s="3">
        <v>100018048</v>
      </c>
      <c r="F281" s="2" t="s">
        <v>26</v>
      </c>
      <c r="G281" s="6" t="s">
        <v>112</v>
      </c>
      <c r="H281" s="2" t="s">
        <v>194</v>
      </c>
      <c r="I281" s="2" t="s">
        <v>503</v>
      </c>
      <c r="J281" s="2" t="s">
        <v>19</v>
      </c>
      <c r="K281" s="2" t="s">
        <v>353</v>
      </c>
      <c r="L281" s="7" t="str">
        <f t="shared" si="0"/>
        <v xml:space="preserve">http://slimages.macys.com/is/image/MCY/9864796 </v>
      </c>
    </row>
    <row r="282" spans="1:12" ht="24.75" x14ac:dyDescent="0.25">
      <c r="A282" s="4" t="s">
        <v>10755</v>
      </c>
      <c r="B282" s="2" t="s">
        <v>10751</v>
      </c>
      <c r="C282" s="3">
        <v>1</v>
      </c>
      <c r="D282" s="5">
        <v>34.880000000000003</v>
      </c>
      <c r="E282" s="3">
        <v>100018048</v>
      </c>
      <c r="F282" s="2" t="s">
        <v>74</v>
      </c>
      <c r="G282" s="6" t="s">
        <v>106</v>
      </c>
      <c r="H282" s="2" t="s">
        <v>194</v>
      </c>
      <c r="I282" s="2" t="s">
        <v>503</v>
      </c>
      <c r="J282" s="2" t="s">
        <v>19</v>
      </c>
      <c r="K282" s="2" t="s">
        <v>353</v>
      </c>
      <c r="L282" s="7" t="str">
        <f t="shared" si="0"/>
        <v xml:space="preserve">http://slimages.macys.com/is/image/MCY/9864796 </v>
      </c>
    </row>
    <row r="283" spans="1:12" ht="24.75" x14ac:dyDescent="0.25">
      <c r="A283" s="4" t="s">
        <v>10756</v>
      </c>
      <c r="B283" s="2" t="s">
        <v>10751</v>
      </c>
      <c r="C283" s="3">
        <v>1</v>
      </c>
      <c r="D283" s="5">
        <v>34.880000000000003</v>
      </c>
      <c r="E283" s="3">
        <v>100018048</v>
      </c>
      <c r="F283" s="2" t="s">
        <v>26</v>
      </c>
      <c r="G283" s="6" t="s">
        <v>22</v>
      </c>
      <c r="H283" s="2" t="s">
        <v>194</v>
      </c>
      <c r="I283" s="2" t="s">
        <v>503</v>
      </c>
      <c r="J283" s="2" t="s">
        <v>19</v>
      </c>
      <c r="K283" s="2" t="s">
        <v>353</v>
      </c>
      <c r="L283" s="7" t="str">
        <f t="shared" si="0"/>
        <v xml:space="preserve">http://slimages.macys.com/is/image/MCY/9864796 </v>
      </c>
    </row>
    <row r="284" spans="1:12" ht="24.75" x14ac:dyDescent="0.25">
      <c r="A284" s="4" t="s">
        <v>8083</v>
      </c>
      <c r="B284" s="2" t="s">
        <v>7325</v>
      </c>
      <c r="C284" s="3">
        <v>1</v>
      </c>
      <c r="D284" s="5">
        <v>35.65</v>
      </c>
      <c r="E284" s="3" t="s">
        <v>4804</v>
      </c>
      <c r="F284" s="2" t="s">
        <v>180</v>
      </c>
      <c r="G284" s="6" t="s">
        <v>154</v>
      </c>
      <c r="H284" s="2" t="s">
        <v>182</v>
      </c>
      <c r="I284" s="2" t="s">
        <v>183</v>
      </c>
      <c r="J284" s="2" t="s">
        <v>19</v>
      </c>
      <c r="K284" s="2" t="s">
        <v>34</v>
      </c>
      <c r="L284" s="7" t="str">
        <f>HYPERLINK("http://slimages.macys.com/is/image/MCY/12801985 ")</f>
        <v xml:space="preserve">http://slimages.macys.com/is/image/MCY/12801985 </v>
      </c>
    </row>
    <row r="285" spans="1:12" ht="24.75" x14ac:dyDescent="0.25">
      <c r="A285" s="4" t="s">
        <v>6504</v>
      </c>
      <c r="B285" s="2" t="s">
        <v>926</v>
      </c>
      <c r="C285" s="3">
        <v>1</v>
      </c>
      <c r="D285" s="5">
        <v>37.130000000000003</v>
      </c>
      <c r="E285" s="3">
        <v>100009311</v>
      </c>
      <c r="F285" s="2" t="s">
        <v>70</v>
      </c>
      <c r="G285" s="6" t="s">
        <v>65</v>
      </c>
      <c r="H285" s="2" t="s">
        <v>194</v>
      </c>
      <c r="I285" s="2" t="s">
        <v>928</v>
      </c>
      <c r="J285" s="2" t="s">
        <v>19</v>
      </c>
      <c r="K285" s="2" t="s">
        <v>929</v>
      </c>
      <c r="L285" s="7" t="str">
        <f>HYPERLINK("http://slimages.macys.com/is/image/MCY/10249272 ")</f>
        <v xml:space="preserve">http://slimages.macys.com/is/image/MCY/10249272 </v>
      </c>
    </row>
    <row r="286" spans="1:12" ht="48.75" x14ac:dyDescent="0.25">
      <c r="A286" s="4" t="s">
        <v>10757</v>
      </c>
      <c r="B286" s="2" t="s">
        <v>5662</v>
      </c>
      <c r="C286" s="3">
        <v>1</v>
      </c>
      <c r="D286" s="5">
        <v>29.99</v>
      </c>
      <c r="E286" s="3" t="s">
        <v>10758</v>
      </c>
      <c r="F286" s="2" t="s">
        <v>53</v>
      </c>
      <c r="G286" s="6" t="s">
        <v>181</v>
      </c>
      <c r="H286" s="2" t="s">
        <v>284</v>
      </c>
      <c r="I286" s="2" t="s">
        <v>408</v>
      </c>
      <c r="J286" s="2" t="s">
        <v>19</v>
      </c>
      <c r="K286" s="2" t="s">
        <v>775</v>
      </c>
      <c r="L286" s="7" t="str">
        <f>HYPERLINK("http://slimages.macys.com/is/image/MCY/3173200 ")</f>
        <v xml:space="preserve">http://slimages.macys.com/is/image/MCY/3173200 </v>
      </c>
    </row>
    <row r="287" spans="1:12" ht="24.75" x14ac:dyDescent="0.25">
      <c r="A287" s="4" t="s">
        <v>10759</v>
      </c>
      <c r="B287" s="2" t="s">
        <v>3706</v>
      </c>
      <c r="C287" s="3">
        <v>1</v>
      </c>
      <c r="D287" s="5">
        <v>37.130000000000003</v>
      </c>
      <c r="E287" s="3" t="s">
        <v>10760</v>
      </c>
      <c r="F287" s="2" t="s">
        <v>64</v>
      </c>
      <c r="G287" s="6" t="s">
        <v>234</v>
      </c>
      <c r="H287" s="2" t="s">
        <v>246</v>
      </c>
      <c r="I287" s="2" t="s">
        <v>189</v>
      </c>
      <c r="J287" s="2" t="s">
        <v>19</v>
      </c>
      <c r="K287" s="2" t="s">
        <v>701</v>
      </c>
      <c r="L287" s="7" t="str">
        <f>HYPERLINK("http://slimages.macys.com/is/image/MCY/12894593 ")</f>
        <v xml:space="preserve">http://slimages.macys.com/is/image/MCY/12894593 </v>
      </c>
    </row>
    <row r="288" spans="1:12" ht="24.75" x14ac:dyDescent="0.25">
      <c r="A288" s="4" t="s">
        <v>10761</v>
      </c>
      <c r="B288" s="2" t="s">
        <v>3706</v>
      </c>
      <c r="C288" s="3">
        <v>1</v>
      </c>
      <c r="D288" s="5">
        <v>37.130000000000003</v>
      </c>
      <c r="E288" s="3" t="s">
        <v>10760</v>
      </c>
      <c r="F288" s="2" t="s">
        <v>64</v>
      </c>
      <c r="G288" s="6" t="s">
        <v>154</v>
      </c>
      <c r="H288" s="2" t="s">
        <v>246</v>
      </c>
      <c r="I288" s="2" t="s">
        <v>189</v>
      </c>
      <c r="J288" s="2" t="s">
        <v>19</v>
      </c>
      <c r="K288" s="2" t="s">
        <v>701</v>
      </c>
      <c r="L288" s="7" t="str">
        <f>HYPERLINK("http://slimages.macys.com/is/image/MCY/12894593 ")</f>
        <v xml:space="preserve">http://slimages.macys.com/is/image/MCY/12894593 </v>
      </c>
    </row>
    <row r="289" spans="1:12" ht="24.75" x14ac:dyDescent="0.25">
      <c r="A289" s="4" t="s">
        <v>10762</v>
      </c>
      <c r="B289" s="2" t="s">
        <v>10763</v>
      </c>
      <c r="C289" s="3">
        <v>1</v>
      </c>
      <c r="D289" s="5">
        <v>69.5</v>
      </c>
      <c r="E289" s="3" t="s">
        <v>10764</v>
      </c>
      <c r="F289" s="2" t="s">
        <v>74</v>
      </c>
      <c r="G289" s="6" t="s">
        <v>238</v>
      </c>
      <c r="H289" s="2" t="s">
        <v>206</v>
      </c>
      <c r="I289" s="2" t="s">
        <v>1010</v>
      </c>
      <c r="J289" s="2" t="s">
        <v>19</v>
      </c>
      <c r="K289" s="2" t="s">
        <v>409</v>
      </c>
      <c r="L289" s="7" t="str">
        <f>HYPERLINK("http://slimages.macys.com/is/image/MCY/12319498 ")</f>
        <v xml:space="preserve">http://slimages.macys.com/is/image/MCY/12319498 </v>
      </c>
    </row>
    <row r="290" spans="1:12" ht="24.75" x14ac:dyDescent="0.25">
      <c r="A290" s="4" t="s">
        <v>7329</v>
      </c>
      <c r="B290" s="2" t="s">
        <v>964</v>
      </c>
      <c r="C290" s="3">
        <v>1</v>
      </c>
      <c r="D290" s="5">
        <v>36.5</v>
      </c>
      <c r="E290" s="3" t="s">
        <v>3695</v>
      </c>
      <c r="F290" s="2" t="s">
        <v>956</v>
      </c>
      <c r="G290" s="6"/>
      <c r="H290" s="2" t="s">
        <v>312</v>
      </c>
      <c r="I290" s="2" t="s">
        <v>195</v>
      </c>
      <c r="J290" s="2" t="s">
        <v>19</v>
      </c>
      <c r="K290" s="2" t="s">
        <v>3699</v>
      </c>
      <c r="L290" s="7" t="str">
        <f>HYPERLINK("http://slimages.macys.com/is/image/MCY/9711318 ")</f>
        <v xml:space="preserve">http://slimages.macys.com/is/image/MCY/9711318 </v>
      </c>
    </row>
    <row r="291" spans="1:12" ht="24.75" x14ac:dyDescent="0.25">
      <c r="A291" s="4" t="s">
        <v>10765</v>
      </c>
      <c r="B291" s="2" t="s">
        <v>961</v>
      </c>
      <c r="C291" s="3">
        <v>1</v>
      </c>
      <c r="D291" s="5">
        <v>40.880000000000003</v>
      </c>
      <c r="E291" s="3" t="s">
        <v>5684</v>
      </c>
      <c r="F291" s="2" t="s">
        <v>376</v>
      </c>
      <c r="G291" s="6"/>
      <c r="H291" s="2" t="s">
        <v>312</v>
      </c>
      <c r="I291" s="2" t="s">
        <v>195</v>
      </c>
      <c r="J291" s="2" t="s">
        <v>19</v>
      </c>
      <c r="K291" s="2" t="s">
        <v>3699</v>
      </c>
      <c r="L291" s="7" t="str">
        <f>HYPERLINK("http://slimages.macys.com/is/image/MCY/11527247 ")</f>
        <v xml:space="preserve">http://slimages.macys.com/is/image/MCY/11527247 </v>
      </c>
    </row>
    <row r="292" spans="1:12" ht="24.75" x14ac:dyDescent="0.25">
      <c r="A292" s="4" t="s">
        <v>10766</v>
      </c>
      <c r="B292" s="2" t="s">
        <v>10767</v>
      </c>
      <c r="C292" s="3">
        <v>1</v>
      </c>
      <c r="D292" s="5">
        <v>39.99</v>
      </c>
      <c r="E292" s="3" t="s">
        <v>10768</v>
      </c>
      <c r="F292" s="2" t="s">
        <v>64</v>
      </c>
      <c r="G292" s="6" t="s">
        <v>234</v>
      </c>
      <c r="H292" s="2" t="s">
        <v>246</v>
      </c>
      <c r="I292" s="2" t="s">
        <v>3504</v>
      </c>
      <c r="J292" s="2" t="s">
        <v>19</v>
      </c>
      <c r="K292" s="2" t="s">
        <v>803</v>
      </c>
      <c r="L292" s="7" t="str">
        <f>HYPERLINK("http://slimages.macys.com/is/image/MCY/12226160 ")</f>
        <v xml:space="preserve">http://slimages.macys.com/is/image/MCY/12226160 </v>
      </c>
    </row>
    <row r="293" spans="1:12" ht="24.75" x14ac:dyDescent="0.25">
      <c r="A293" s="4" t="s">
        <v>9520</v>
      </c>
      <c r="B293" s="2" t="s">
        <v>3728</v>
      </c>
      <c r="C293" s="3">
        <v>1</v>
      </c>
      <c r="D293" s="5">
        <v>37.130000000000003</v>
      </c>
      <c r="E293" s="3" t="s">
        <v>3729</v>
      </c>
      <c r="F293" s="2" t="s">
        <v>26</v>
      </c>
      <c r="G293" s="6" t="s">
        <v>181</v>
      </c>
      <c r="H293" s="2" t="s">
        <v>246</v>
      </c>
      <c r="I293" s="2" t="s">
        <v>189</v>
      </c>
      <c r="J293" s="2" t="s">
        <v>19</v>
      </c>
      <c r="K293" s="2" t="s">
        <v>3733</v>
      </c>
      <c r="L293" s="7" t="str">
        <f>HYPERLINK("http://slimages.macys.com/is/image/MCY/12048191 ")</f>
        <v xml:space="preserve">http://slimages.macys.com/is/image/MCY/12048191 </v>
      </c>
    </row>
    <row r="294" spans="1:12" ht="24.75" x14ac:dyDescent="0.25">
      <c r="A294" s="4" t="s">
        <v>10769</v>
      </c>
      <c r="B294" s="2" t="s">
        <v>2524</v>
      </c>
      <c r="C294" s="3">
        <v>3</v>
      </c>
      <c r="D294" s="5">
        <v>33.380000000000003</v>
      </c>
      <c r="E294" s="3" t="s">
        <v>10770</v>
      </c>
      <c r="F294" s="2" t="s">
        <v>26</v>
      </c>
      <c r="G294" s="6" t="s">
        <v>234</v>
      </c>
      <c r="H294" s="2" t="s">
        <v>194</v>
      </c>
      <c r="I294" s="2" t="s">
        <v>1398</v>
      </c>
      <c r="J294" s="2" t="s">
        <v>19</v>
      </c>
      <c r="K294" s="2" t="s">
        <v>247</v>
      </c>
      <c r="L294" s="7" t="str">
        <f>HYPERLINK("http://slimages.macys.com/is/image/MCY/13368039 ")</f>
        <v xml:space="preserve">http://slimages.macys.com/is/image/MCY/13368039 </v>
      </c>
    </row>
    <row r="295" spans="1:12" ht="24.75" x14ac:dyDescent="0.25">
      <c r="A295" s="4" t="s">
        <v>10771</v>
      </c>
      <c r="B295" s="2" t="s">
        <v>2524</v>
      </c>
      <c r="C295" s="3">
        <v>2</v>
      </c>
      <c r="D295" s="5">
        <v>33.380000000000003</v>
      </c>
      <c r="E295" s="3" t="s">
        <v>10770</v>
      </c>
      <c r="F295" s="2" t="s">
        <v>26</v>
      </c>
      <c r="G295" s="6" t="s">
        <v>154</v>
      </c>
      <c r="H295" s="2" t="s">
        <v>194</v>
      </c>
      <c r="I295" s="2" t="s">
        <v>1398</v>
      </c>
      <c r="J295" s="2" t="s">
        <v>19</v>
      </c>
      <c r="K295" s="2" t="s">
        <v>247</v>
      </c>
      <c r="L295" s="7" t="str">
        <f>HYPERLINK("http://slimages.macys.com/is/image/MCY/13368039 ")</f>
        <v xml:space="preserve">http://slimages.macys.com/is/image/MCY/13368039 </v>
      </c>
    </row>
    <row r="296" spans="1:12" ht="24.75" x14ac:dyDescent="0.25">
      <c r="A296" s="4" t="s">
        <v>10772</v>
      </c>
      <c r="B296" s="2" t="s">
        <v>2524</v>
      </c>
      <c r="C296" s="3">
        <v>4</v>
      </c>
      <c r="D296" s="5">
        <v>33.380000000000003</v>
      </c>
      <c r="E296" s="3" t="s">
        <v>10770</v>
      </c>
      <c r="F296" s="2" t="s">
        <v>26</v>
      </c>
      <c r="G296" s="6" t="s">
        <v>181</v>
      </c>
      <c r="H296" s="2" t="s">
        <v>194</v>
      </c>
      <c r="I296" s="2" t="s">
        <v>1398</v>
      </c>
      <c r="J296" s="2" t="s">
        <v>19</v>
      </c>
      <c r="K296" s="2" t="s">
        <v>247</v>
      </c>
      <c r="L296" s="7" t="str">
        <f>HYPERLINK("http://slimages.macys.com/is/image/MCY/13368039 ")</f>
        <v xml:space="preserve">http://slimages.macys.com/is/image/MCY/13368039 </v>
      </c>
    </row>
    <row r="297" spans="1:12" ht="24.75" x14ac:dyDescent="0.25">
      <c r="A297" s="4" t="s">
        <v>10773</v>
      </c>
      <c r="B297" s="2" t="s">
        <v>9508</v>
      </c>
      <c r="C297" s="3">
        <v>2</v>
      </c>
      <c r="D297" s="5">
        <v>27.99</v>
      </c>
      <c r="E297" s="3">
        <v>100011587</v>
      </c>
      <c r="F297" s="2" t="s">
        <v>64</v>
      </c>
      <c r="G297" s="6" t="s">
        <v>181</v>
      </c>
      <c r="H297" s="2" t="s">
        <v>194</v>
      </c>
      <c r="I297" s="2" t="s">
        <v>1922</v>
      </c>
      <c r="J297" s="2" t="s">
        <v>19</v>
      </c>
      <c r="K297" s="2" t="s">
        <v>338</v>
      </c>
      <c r="L297" s="7" t="str">
        <f>HYPERLINK("http://slimages.macys.com/is/image/MCY/9029329 ")</f>
        <v xml:space="preserve">http://slimages.macys.com/is/image/MCY/9029329 </v>
      </c>
    </row>
    <row r="298" spans="1:12" ht="24.75" x14ac:dyDescent="0.25">
      <c r="A298" s="4" t="s">
        <v>10774</v>
      </c>
      <c r="B298" s="2" t="s">
        <v>2524</v>
      </c>
      <c r="C298" s="3">
        <v>1</v>
      </c>
      <c r="D298" s="5">
        <v>33.380000000000003</v>
      </c>
      <c r="E298" s="3" t="s">
        <v>10770</v>
      </c>
      <c r="F298" s="2" t="s">
        <v>26</v>
      </c>
      <c r="G298" s="6" t="s">
        <v>200</v>
      </c>
      <c r="H298" s="2" t="s">
        <v>194</v>
      </c>
      <c r="I298" s="2" t="s">
        <v>1398</v>
      </c>
      <c r="J298" s="2" t="s">
        <v>19</v>
      </c>
      <c r="K298" s="2" t="s">
        <v>247</v>
      </c>
      <c r="L298" s="7" t="str">
        <f>HYPERLINK("http://slimages.macys.com/is/image/MCY/13368039 ")</f>
        <v xml:space="preserve">http://slimages.macys.com/is/image/MCY/13368039 </v>
      </c>
    </row>
    <row r="299" spans="1:12" ht="24.75" x14ac:dyDescent="0.25">
      <c r="A299" s="4" t="s">
        <v>10775</v>
      </c>
      <c r="B299" s="2" t="s">
        <v>2524</v>
      </c>
      <c r="C299" s="3">
        <v>1</v>
      </c>
      <c r="D299" s="5">
        <v>33.380000000000003</v>
      </c>
      <c r="E299" s="3" t="s">
        <v>10770</v>
      </c>
      <c r="F299" s="2" t="s">
        <v>26</v>
      </c>
      <c r="G299" s="6" t="s">
        <v>245</v>
      </c>
      <c r="H299" s="2" t="s">
        <v>194</v>
      </c>
      <c r="I299" s="2" t="s">
        <v>1398</v>
      </c>
      <c r="J299" s="2" t="s">
        <v>19</v>
      </c>
      <c r="K299" s="2" t="s">
        <v>247</v>
      </c>
      <c r="L299" s="7" t="str">
        <f>HYPERLINK("http://slimages.macys.com/is/image/MCY/13368039 ")</f>
        <v xml:space="preserve">http://slimages.macys.com/is/image/MCY/13368039 </v>
      </c>
    </row>
    <row r="300" spans="1:12" ht="24.75" x14ac:dyDescent="0.25">
      <c r="A300" s="4" t="s">
        <v>10776</v>
      </c>
      <c r="B300" s="2" t="s">
        <v>9508</v>
      </c>
      <c r="C300" s="3">
        <v>1</v>
      </c>
      <c r="D300" s="5">
        <v>27.99</v>
      </c>
      <c r="E300" s="3">
        <v>100011587</v>
      </c>
      <c r="F300" s="2" t="s">
        <v>64</v>
      </c>
      <c r="G300" s="6" t="s">
        <v>156</v>
      </c>
      <c r="H300" s="2" t="s">
        <v>194</v>
      </c>
      <c r="I300" s="2" t="s">
        <v>1922</v>
      </c>
      <c r="J300" s="2" t="s">
        <v>19</v>
      </c>
      <c r="K300" s="2" t="s">
        <v>338</v>
      </c>
      <c r="L300" s="7" t="str">
        <f>HYPERLINK("http://slimages.macys.com/is/image/MCY/9029329 ")</f>
        <v xml:space="preserve">http://slimages.macys.com/is/image/MCY/9029329 </v>
      </c>
    </row>
    <row r="301" spans="1:12" ht="24.75" x14ac:dyDescent="0.25">
      <c r="A301" s="4" t="s">
        <v>10777</v>
      </c>
      <c r="B301" s="2" t="s">
        <v>2524</v>
      </c>
      <c r="C301" s="3">
        <v>2</v>
      </c>
      <c r="D301" s="5">
        <v>33.380000000000003</v>
      </c>
      <c r="E301" s="3" t="s">
        <v>10770</v>
      </c>
      <c r="F301" s="2" t="s">
        <v>26</v>
      </c>
      <c r="G301" s="6" t="s">
        <v>156</v>
      </c>
      <c r="H301" s="2" t="s">
        <v>194</v>
      </c>
      <c r="I301" s="2" t="s">
        <v>1398</v>
      </c>
      <c r="J301" s="2" t="s">
        <v>19</v>
      </c>
      <c r="K301" s="2" t="s">
        <v>247</v>
      </c>
      <c r="L301" s="7" t="str">
        <f>HYPERLINK("http://slimages.macys.com/is/image/MCY/13368039 ")</f>
        <v xml:space="preserve">http://slimages.macys.com/is/image/MCY/13368039 </v>
      </c>
    </row>
    <row r="302" spans="1:12" x14ac:dyDescent="0.25">
      <c r="A302" s="4" t="s">
        <v>10778</v>
      </c>
      <c r="B302" s="2" t="s">
        <v>1294</v>
      </c>
      <c r="C302" s="3">
        <v>1</v>
      </c>
      <c r="D302" s="5">
        <v>35.5</v>
      </c>
      <c r="E302" s="3" t="s">
        <v>10779</v>
      </c>
      <c r="F302" s="2" t="s">
        <v>64</v>
      </c>
      <c r="G302" s="6" t="s">
        <v>348</v>
      </c>
      <c r="H302" s="2" t="s">
        <v>349</v>
      </c>
      <c r="I302" s="2" t="s">
        <v>285</v>
      </c>
      <c r="J302" s="2" t="s">
        <v>19</v>
      </c>
      <c r="K302" s="2" t="s">
        <v>160</v>
      </c>
      <c r="L302" s="7" t="str">
        <f>HYPERLINK("http://slimages.macys.com/is/image/MCY/9270120 ")</f>
        <v xml:space="preserve">http://slimages.macys.com/is/image/MCY/9270120 </v>
      </c>
    </row>
    <row r="303" spans="1:12" x14ac:dyDescent="0.25">
      <c r="A303" s="4" t="s">
        <v>10780</v>
      </c>
      <c r="B303" s="2" t="s">
        <v>1294</v>
      </c>
      <c r="C303" s="3">
        <v>1</v>
      </c>
      <c r="D303" s="5">
        <v>40.880000000000003</v>
      </c>
      <c r="E303" s="3" t="s">
        <v>10779</v>
      </c>
      <c r="F303" s="2" t="s">
        <v>74</v>
      </c>
      <c r="G303" s="6" t="s">
        <v>2276</v>
      </c>
      <c r="H303" s="2" t="s">
        <v>349</v>
      </c>
      <c r="I303" s="2" t="s">
        <v>285</v>
      </c>
      <c r="J303" s="2" t="s">
        <v>19</v>
      </c>
      <c r="K303" s="2" t="s">
        <v>160</v>
      </c>
      <c r="L303" s="7" t="str">
        <f>HYPERLINK("http://slimages.macys.com/is/image/MCY/9270120 ")</f>
        <v xml:space="preserve">http://slimages.macys.com/is/image/MCY/9270120 </v>
      </c>
    </row>
    <row r="304" spans="1:12" x14ac:dyDescent="0.25">
      <c r="A304" s="4" t="s">
        <v>10781</v>
      </c>
      <c r="B304" s="2" t="s">
        <v>1294</v>
      </c>
      <c r="C304" s="3">
        <v>1</v>
      </c>
      <c r="D304" s="5">
        <v>40.880000000000003</v>
      </c>
      <c r="E304" s="3" t="s">
        <v>10779</v>
      </c>
      <c r="F304" s="2" t="s">
        <v>74</v>
      </c>
      <c r="G304" s="6" t="s">
        <v>746</v>
      </c>
      <c r="H304" s="2" t="s">
        <v>349</v>
      </c>
      <c r="I304" s="2" t="s">
        <v>285</v>
      </c>
      <c r="J304" s="2" t="s">
        <v>19</v>
      </c>
      <c r="K304" s="2" t="s">
        <v>160</v>
      </c>
      <c r="L304" s="7" t="str">
        <f>HYPERLINK("http://slimages.macys.com/is/image/MCY/9270120 ")</f>
        <v xml:space="preserve">http://slimages.macys.com/is/image/MCY/9270120 </v>
      </c>
    </row>
    <row r="305" spans="1:12" ht="24.75" x14ac:dyDescent="0.25">
      <c r="A305" s="4" t="s">
        <v>10782</v>
      </c>
      <c r="B305" s="2" t="s">
        <v>10783</v>
      </c>
      <c r="C305" s="3">
        <v>1</v>
      </c>
      <c r="D305" s="5">
        <v>37.130000000000003</v>
      </c>
      <c r="E305" s="3" t="s">
        <v>10784</v>
      </c>
      <c r="F305" s="2" t="s">
        <v>464</v>
      </c>
      <c r="G305" s="6" t="s">
        <v>181</v>
      </c>
      <c r="H305" s="2" t="s">
        <v>194</v>
      </c>
      <c r="I305" s="2" t="s">
        <v>195</v>
      </c>
      <c r="J305" s="2"/>
      <c r="K305" s="2"/>
      <c r="L305" s="7" t="str">
        <f>HYPERLINK("http://slimages.macys.com/is/image/MCY/11415517 ")</f>
        <v xml:space="preserve">http://slimages.macys.com/is/image/MCY/11415517 </v>
      </c>
    </row>
    <row r="306" spans="1:12" ht="24.75" x14ac:dyDescent="0.25">
      <c r="A306" s="4" t="s">
        <v>2526</v>
      </c>
      <c r="B306" s="2" t="s">
        <v>1012</v>
      </c>
      <c r="C306" s="3">
        <v>1</v>
      </c>
      <c r="D306" s="5">
        <v>37.130000000000003</v>
      </c>
      <c r="E306" s="3" t="s">
        <v>1013</v>
      </c>
      <c r="F306" s="2" t="s">
        <v>64</v>
      </c>
      <c r="G306" s="6" t="s">
        <v>65</v>
      </c>
      <c r="H306" s="2" t="s">
        <v>246</v>
      </c>
      <c r="I306" s="2" t="s">
        <v>214</v>
      </c>
      <c r="J306" s="2" t="s">
        <v>19</v>
      </c>
      <c r="K306" s="2" t="s">
        <v>253</v>
      </c>
      <c r="L306" s="7" t="str">
        <f>HYPERLINK("http://slimages.macys.com/is/image/MCY/10679372 ")</f>
        <v xml:space="preserve">http://slimages.macys.com/is/image/MCY/10679372 </v>
      </c>
    </row>
    <row r="307" spans="1:12" ht="24.75" x14ac:dyDescent="0.25">
      <c r="A307" s="4" t="s">
        <v>10785</v>
      </c>
      <c r="B307" s="2" t="s">
        <v>2524</v>
      </c>
      <c r="C307" s="3">
        <v>1</v>
      </c>
      <c r="D307" s="5">
        <v>33.380000000000003</v>
      </c>
      <c r="E307" s="3" t="s">
        <v>2525</v>
      </c>
      <c r="F307" s="2" t="s">
        <v>26</v>
      </c>
      <c r="G307" s="6"/>
      <c r="H307" s="2" t="s">
        <v>312</v>
      </c>
      <c r="I307" s="2" t="s">
        <v>1398</v>
      </c>
      <c r="J307" s="2" t="s">
        <v>19</v>
      </c>
      <c r="K307" s="2" t="s">
        <v>247</v>
      </c>
      <c r="L307" s="7" t="str">
        <f>HYPERLINK("http://slimages.macys.com/is/image/MCY/13368039 ")</f>
        <v xml:space="preserve">http://slimages.macys.com/is/image/MCY/13368039 </v>
      </c>
    </row>
    <row r="308" spans="1:12" ht="24.75" x14ac:dyDescent="0.25">
      <c r="A308" s="4" t="s">
        <v>2527</v>
      </c>
      <c r="B308" s="2" t="s">
        <v>1012</v>
      </c>
      <c r="C308" s="3">
        <v>1</v>
      </c>
      <c r="D308" s="5">
        <v>37.130000000000003</v>
      </c>
      <c r="E308" s="3" t="s">
        <v>1013</v>
      </c>
      <c r="F308" s="2" t="s">
        <v>64</v>
      </c>
      <c r="G308" s="6" t="s">
        <v>22</v>
      </c>
      <c r="H308" s="2" t="s">
        <v>246</v>
      </c>
      <c r="I308" s="2" t="s">
        <v>214</v>
      </c>
      <c r="J308" s="2" t="s">
        <v>19</v>
      </c>
      <c r="K308" s="2" t="s">
        <v>253</v>
      </c>
      <c r="L308" s="7" t="str">
        <f>HYPERLINK("http://slimages.macys.com/is/image/MCY/10679372 ")</f>
        <v xml:space="preserve">http://slimages.macys.com/is/image/MCY/10679372 </v>
      </c>
    </row>
    <row r="309" spans="1:12" ht="36.75" x14ac:dyDescent="0.25">
      <c r="A309" s="4" t="s">
        <v>10786</v>
      </c>
      <c r="B309" s="2" t="s">
        <v>10142</v>
      </c>
      <c r="C309" s="3">
        <v>1</v>
      </c>
      <c r="D309" s="5">
        <v>59.5</v>
      </c>
      <c r="E309" s="3" t="s">
        <v>10787</v>
      </c>
      <c r="F309" s="2" t="s">
        <v>671</v>
      </c>
      <c r="G309" s="6" t="s">
        <v>187</v>
      </c>
      <c r="H309" s="2" t="s">
        <v>206</v>
      </c>
      <c r="I309" s="2" t="s">
        <v>207</v>
      </c>
      <c r="J309" s="2" t="s">
        <v>19</v>
      </c>
      <c r="K309" s="2" t="s">
        <v>10788</v>
      </c>
      <c r="L309" s="7" t="str">
        <f>HYPERLINK("http://slimages.macys.com/is/image/MCY/13398338 ")</f>
        <v xml:space="preserve">http://slimages.macys.com/is/image/MCY/13398338 </v>
      </c>
    </row>
    <row r="310" spans="1:12" ht="24.75" x14ac:dyDescent="0.25">
      <c r="A310" s="4" t="s">
        <v>10789</v>
      </c>
      <c r="B310" s="2" t="s">
        <v>10790</v>
      </c>
      <c r="C310" s="3">
        <v>1</v>
      </c>
      <c r="D310" s="5">
        <v>33.380000000000003</v>
      </c>
      <c r="E310" s="3" t="s">
        <v>10791</v>
      </c>
      <c r="F310" s="2" t="s">
        <v>566</v>
      </c>
      <c r="G310" s="6"/>
      <c r="H310" s="2" t="s">
        <v>312</v>
      </c>
      <c r="I310" s="2" t="s">
        <v>195</v>
      </c>
      <c r="J310" s="2" t="s">
        <v>19</v>
      </c>
      <c r="K310" s="2" t="s">
        <v>648</v>
      </c>
      <c r="L310" s="7" t="str">
        <f>HYPERLINK("http://slimages.macys.com/is/image/MCY/13367952 ")</f>
        <v xml:space="preserve">http://slimages.macys.com/is/image/MCY/13367952 </v>
      </c>
    </row>
    <row r="311" spans="1:12" ht="24.75" x14ac:dyDescent="0.25">
      <c r="A311" s="4" t="s">
        <v>10792</v>
      </c>
      <c r="B311" s="2" t="s">
        <v>10793</v>
      </c>
      <c r="C311" s="3">
        <v>1</v>
      </c>
      <c r="D311" s="5">
        <v>44.63</v>
      </c>
      <c r="E311" s="3" t="s">
        <v>10794</v>
      </c>
      <c r="F311" s="2" t="s">
        <v>417</v>
      </c>
      <c r="G311" s="6" t="s">
        <v>234</v>
      </c>
      <c r="H311" s="2" t="s">
        <v>284</v>
      </c>
      <c r="I311" s="2" t="s">
        <v>285</v>
      </c>
      <c r="J311" s="2" t="s">
        <v>19</v>
      </c>
      <c r="K311" s="2" t="s">
        <v>160</v>
      </c>
      <c r="L311" s="7" t="str">
        <f>HYPERLINK("http://slimages.macys.com/is/image/MCY/12671674 ")</f>
        <v xml:space="preserve">http://slimages.macys.com/is/image/MCY/12671674 </v>
      </c>
    </row>
    <row r="312" spans="1:12" ht="24.75" x14ac:dyDescent="0.25">
      <c r="A312" s="4" t="s">
        <v>10795</v>
      </c>
      <c r="B312" s="2" t="s">
        <v>9053</v>
      </c>
      <c r="C312" s="3">
        <v>1</v>
      </c>
      <c r="D312" s="5">
        <v>37.130000000000003</v>
      </c>
      <c r="E312" s="3" t="s">
        <v>9054</v>
      </c>
      <c r="F312" s="2" t="s">
        <v>225</v>
      </c>
      <c r="G312" s="6"/>
      <c r="H312" s="2" t="s">
        <v>312</v>
      </c>
      <c r="I312" s="2" t="s">
        <v>919</v>
      </c>
      <c r="J312" s="2" t="s">
        <v>19</v>
      </c>
      <c r="K312" s="2" t="s">
        <v>409</v>
      </c>
      <c r="L312" s="7" t="str">
        <f>HYPERLINK("http://slimages.macys.com/is/image/MCY/9977248 ")</f>
        <v xml:space="preserve">http://slimages.macys.com/is/image/MCY/9977248 </v>
      </c>
    </row>
    <row r="313" spans="1:12" ht="24.75" x14ac:dyDescent="0.25">
      <c r="A313" s="4" t="s">
        <v>10796</v>
      </c>
      <c r="B313" s="2" t="s">
        <v>4795</v>
      </c>
      <c r="C313" s="3">
        <v>1</v>
      </c>
      <c r="D313" s="5">
        <v>37.130000000000003</v>
      </c>
      <c r="E313" s="3" t="s">
        <v>4796</v>
      </c>
      <c r="F313" s="2" t="s">
        <v>89</v>
      </c>
      <c r="G313" s="6"/>
      <c r="H313" s="2" t="s">
        <v>188</v>
      </c>
      <c r="I313" s="2" t="s">
        <v>189</v>
      </c>
      <c r="J313" s="2" t="s">
        <v>19</v>
      </c>
      <c r="K313" s="2" t="s">
        <v>4797</v>
      </c>
      <c r="L313" s="7" t="str">
        <f>HYPERLINK("http://slimages.macys.com/is/image/MCY/11965068 ")</f>
        <v xml:space="preserve">http://slimages.macys.com/is/image/MCY/11965068 </v>
      </c>
    </row>
    <row r="314" spans="1:12" ht="24.75" x14ac:dyDescent="0.25">
      <c r="A314" s="4" t="s">
        <v>10797</v>
      </c>
      <c r="B314" s="2" t="s">
        <v>10798</v>
      </c>
      <c r="C314" s="3">
        <v>1</v>
      </c>
      <c r="D314" s="5">
        <v>33.380000000000003</v>
      </c>
      <c r="E314" s="3">
        <v>100022522</v>
      </c>
      <c r="F314" s="2" t="s">
        <v>170</v>
      </c>
      <c r="G314" s="6" t="s">
        <v>234</v>
      </c>
      <c r="H314" s="2" t="s">
        <v>194</v>
      </c>
      <c r="I314" s="2" t="s">
        <v>1922</v>
      </c>
      <c r="J314" s="2" t="s">
        <v>19</v>
      </c>
      <c r="K314" s="2" t="s">
        <v>990</v>
      </c>
      <c r="L314" s="7" t="str">
        <f>HYPERLINK("http://slimages.macys.com/is/image/MCY/9962270 ")</f>
        <v xml:space="preserve">http://slimages.macys.com/is/image/MCY/9962270 </v>
      </c>
    </row>
    <row r="315" spans="1:12" ht="24.75" x14ac:dyDescent="0.25">
      <c r="A315" s="4" t="s">
        <v>10799</v>
      </c>
      <c r="B315" s="2" t="s">
        <v>10798</v>
      </c>
      <c r="C315" s="3">
        <v>2</v>
      </c>
      <c r="D315" s="5">
        <v>33.380000000000003</v>
      </c>
      <c r="E315" s="3">
        <v>100022522</v>
      </c>
      <c r="F315" s="2" t="s">
        <v>170</v>
      </c>
      <c r="G315" s="6" t="s">
        <v>156</v>
      </c>
      <c r="H315" s="2" t="s">
        <v>194</v>
      </c>
      <c r="I315" s="2" t="s">
        <v>1922</v>
      </c>
      <c r="J315" s="2" t="s">
        <v>19</v>
      </c>
      <c r="K315" s="2" t="s">
        <v>990</v>
      </c>
      <c r="L315" s="7" t="str">
        <f>HYPERLINK("http://slimages.macys.com/is/image/MCY/9962270 ")</f>
        <v xml:space="preserve">http://slimages.macys.com/is/image/MCY/9962270 </v>
      </c>
    </row>
    <row r="316" spans="1:12" ht="24.75" x14ac:dyDescent="0.25">
      <c r="A316" s="4" t="s">
        <v>10800</v>
      </c>
      <c r="B316" s="2" t="s">
        <v>10798</v>
      </c>
      <c r="C316" s="3">
        <v>2</v>
      </c>
      <c r="D316" s="5">
        <v>33.380000000000003</v>
      </c>
      <c r="E316" s="3">
        <v>100022522</v>
      </c>
      <c r="F316" s="2" t="s">
        <v>170</v>
      </c>
      <c r="G316" s="6" t="s">
        <v>181</v>
      </c>
      <c r="H316" s="2" t="s">
        <v>194</v>
      </c>
      <c r="I316" s="2" t="s">
        <v>1922</v>
      </c>
      <c r="J316" s="2" t="s">
        <v>19</v>
      </c>
      <c r="K316" s="2" t="s">
        <v>990</v>
      </c>
      <c r="L316" s="7" t="str">
        <f>HYPERLINK("http://slimages.macys.com/is/image/MCY/9962270 ")</f>
        <v xml:space="preserve">http://slimages.macys.com/is/image/MCY/9962270 </v>
      </c>
    </row>
    <row r="317" spans="1:12" ht="24.75" x14ac:dyDescent="0.25">
      <c r="A317" s="4" t="s">
        <v>10801</v>
      </c>
      <c r="B317" s="2" t="s">
        <v>10798</v>
      </c>
      <c r="C317" s="3">
        <v>2</v>
      </c>
      <c r="D317" s="5">
        <v>33.380000000000003</v>
      </c>
      <c r="E317" s="3">
        <v>100022522</v>
      </c>
      <c r="F317" s="2" t="s">
        <v>170</v>
      </c>
      <c r="G317" s="6" t="s">
        <v>245</v>
      </c>
      <c r="H317" s="2" t="s">
        <v>194</v>
      </c>
      <c r="I317" s="2" t="s">
        <v>1922</v>
      </c>
      <c r="J317" s="2" t="s">
        <v>19</v>
      </c>
      <c r="K317" s="2" t="s">
        <v>990</v>
      </c>
      <c r="L317" s="7" t="str">
        <f>HYPERLINK("http://slimages.macys.com/is/image/MCY/9962270 ")</f>
        <v xml:space="preserve">http://slimages.macys.com/is/image/MCY/9962270 </v>
      </c>
    </row>
    <row r="318" spans="1:12" ht="24.75" x14ac:dyDescent="0.25">
      <c r="A318" s="4" t="s">
        <v>4799</v>
      </c>
      <c r="B318" s="2" t="s">
        <v>1047</v>
      </c>
      <c r="C318" s="3">
        <v>1</v>
      </c>
      <c r="D318" s="5">
        <v>34.880000000000003</v>
      </c>
      <c r="E318" s="3">
        <v>100009312</v>
      </c>
      <c r="F318" s="2" t="s">
        <v>506</v>
      </c>
      <c r="G318" s="6" t="s">
        <v>154</v>
      </c>
      <c r="H318" s="2" t="s">
        <v>194</v>
      </c>
      <c r="I318" s="2" t="s">
        <v>195</v>
      </c>
      <c r="J318" s="2" t="s">
        <v>19</v>
      </c>
      <c r="K318" s="2" t="s">
        <v>353</v>
      </c>
      <c r="L318" s="7" t="str">
        <f>HYPERLINK("http://slimages.macys.com/is/image/MCY/9603701 ")</f>
        <v xml:space="preserve">http://slimages.macys.com/is/image/MCY/9603701 </v>
      </c>
    </row>
    <row r="319" spans="1:12" ht="48.75" x14ac:dyDescent="0.25">
      <c r="A319" s="4" t="s">
        <v>10802</v>
      </c>
      <c r="B319" s="2" t="s">
        <v>1052</v>
      </c>
      <c r="C319" s="3">
        <v>1</v>
      </c>
      <c r="D319" s="5">
        <v>37.130000000000003</v>
      </c>
      <c r="E319" s="3">
        <v>100010668</v>
      </c>
      <c r="F319" s="2" t="s">
        <v>64</v>
      </c>
      <c r="G319" s="6" t="s">
        <v>181</v>
      </c>
      <c r="H319" s="2" t="s">
        <v>284</v>
      </c>
      <c r="I319" s="2" t="s">
        <v>408</v>
      </c>
      <c r="J319" s="2" t="s">
        <v>19</v>
      </c>
      <c r="K319" s="2" t="s">
        <v>787</v>
      </c>
      <c r="L319" s="7" t="str">
        <f>HYPERLINK("http://slimages.macys.com/is/image/MCY/9198224 ")</f>
        <v xml:space="preserve">http://slimages.macys.com/is/image/MCY/9198224 </v>
      </c>
    </row>
    <row r="320" spans="1:12" ht="24.75" x14ac:dyDescent="0.25">
      <c r="A320" s="4" t="s">
        <v>10803</v>
      </c>
      <c r="B320" s="2" t="s">
        <v>10804</v>
      </c>
      <c r="C320" s="3">
        <v>1</v>
      </c>
      <c r="D320" s="5">
        <v>58</v>
      </c>
      <c r="E320" s="3" t="s">
        <v>10805</v>
      </c>
      <c r="F320" s="2" t="s">
        <v>79</v>
      </c>
      <c r="G320" s="6"/>
      <c r="H320" s="2" t="s">
        <v>447</v>
      </c>
      <c r="I320" s="2" t="s">
        <v>10806</v>
      </c>
      <c r="J320" s="2" t="s">
        <v>19</v>
      </c>
      <c r="K320" s="2" t="s">
        <v>1480</v>
      </c>
      <c r="L320" s="7" t="str">
        <f>HYPERLINK("http://slimages.macys.com/is/image/MCY/9383410 ")</f>
        <v xml:space="preserve">http://slimages.macys.com/is/image/MCY/9383410 </v>
      </c>
    </row>
    <row r="321" spans="1:12" ht="24.75" x14ac:dyDescent="0.25">
      <c r="A321" s="4" t="s">
        <v>10807</v>
      </c>
      <c r="B321" s="2" t="s">
        <v>10808</v>
      </c>
      <c r="C321" s="3">
        <v>1</v>
      </c>
      <c r="D321" s="5">
        <v>54</v>
      </c>
      <c r="E321" s="3" t="s">
        <v>10809</v>
      </c>
      <c r="F321" s="2" t="s">
        <v>70</v>
      </c>
      <c r="G321" s="6"/>
      <c r="H321" s="2" t="s">
        <v>10225</v>
      </c>
      <c r="I321" s="2" t="s">
        <v>10226</v>
      </c>
      <c r="J321" s="2" t="s">
        <v>19</v>
      </c>
      <c r="K321" s="2" t="s">
        <v>201</v>
      </c>
      <c r="L321" s="7" t="str">
        <f>HYPERLINK("http://slimages.macys.com/is/image/MCY/13972653 ")</f>
        <v xml:space="preserve">http://slimages.macys.com/is/image/MCY/13972653 </v>
      </c>
    </row>
    <row r="322" spans="1:12" ht="24.75" x14ac:dyDescent="0.25">
      <c r="A322" s="4" t="s">
        <v>10810</v>
      </c>
      <c r="B322" s="2" t="s">
        <v>10811</v>
      </c>
      <c r="C322" s="3">
        <v>1</v>
      </c>
      <c r="D322" s="5">
        <v>54</v>
      </c>
      <c r="E322" s="3" t="s">
        <v>10812</v>
      </c>
      <c r="F322" s="2" t="s">
        <v>70</v>
      </c>
      <c r="G322" s="6" t="s">
        <v>234</v>
      </c>
      <c r="H322" s="2" t="s">
        <v>10225</v>
      </c>
      <c r="I322" s="2" t="s">
        <v>10226</v>
      </c>
      <c r="J322" s="2" t="s">
        <v>19</v>
      </c>
      <c r="K322" s="2" t="s">
        <v>160</v>
      </c>
      <c r="L322" s="7" t="str">
        <f>HYPERLINK("http://slimages.macys.com/is/image/MCY/13891312 ")</f>
        <v xml:space="preserve">http://slimages.macys.com/is/image/MCY/13891312 </v>
      </c>
    </row>
    <row r="323" spans="1:12" ht="24.75" x14ac:dyDescent="0.25">
      <c r="A323" s="4" t="s">
        <v>10813</v>
      </c>
      <c r="B323" s="2" t="s">
        <v>10814</v>
      </c>
      <c r="C323" s="3">
        <v>1</v>
      </c>
      <c r="D323" s="5">
        <v>37.130000000000003</v>
      </c>
      <c r="E323" s="3" t="s">
        <v>10815</v>
      </c>
      <c r="F323" s="2" t="s">
        <v>15</v>
      </c>
      <c r="G323" s="6" t="s">
        <v>156</v>
      </c>
      <c r="H323" s="2" t="s">
        <v>194</v>
      </c>
      <c r="I323" s="2" t="s">
        <v>195</v>
      </c>
      <c r="J323" s="2" t="s">
        <v>19</v>
      </c>
      <c r="K323" s="2" t="s">
        <v>10816</v>
      </c>
      <c r="L323" s="7" t="str">
        <f>HYPERLINK("http://slimages.macys.com/is/image/MCY/12850900 ")</f>
        <v xml:space="preserve">http://slimages.macys.com/is/image/MCY/12850900 </v>
      </c>
    </row>
    <row r="324" spans="1:12" ht="24.75" x14ac:dyDescent="0.25">
      <c r="A324" s="4" t="s">
        <v>10817</v>
      </c>
      <c r="B324" s="2" t="s">
        <v>10814</v>
      </c>
      <c r="C324" s="3">
        <v>1</v>
      </c>
      <c r="D324" s="5">
        <v>37.130000000000003</v>
      </c>
      <c r="E324" s="3" t="s">
        <v>10815</v>
      </c>
      <c r="F324" s="2" t="s">
        <v>15</v>
      </c>
      <c r="G324" s="6" t="s">
        <v>234</v>
      </c>
      <c r="H324" s="2" t="s">
        <v>194</v>
      </c>
      <c r="I324" s="2" t="s">
        <v>195</v>
      </c>
      <c r="J324" s="2" t="s">
        <v>19</v>
      </c>
      <c r="K324" s="2" t="s">
        <v>10816</v>
      </c>
      <c r="L324" s="7" t="str">
        <f>HYPERLINK("http://slimages.macys.com/is/image/MCY/12850900 ")</f>
        <v xml:space="preserve">http://slimages.macys.com/is/image/MCY/12850900 </v>
      </c>
    </row>
    <row r="325" spans="1:12" ht="24.75" x14ac:dyDescent="0.25">
      <c r="A325" s="4" t="s">
        <v>10818</v>
      </c>
      <c r="B325" s="2" t="s">
        <v>10814</v>
      </c>
      <c r="C325" s="3">
        <v>1</v>
      </c>
      <c r="D325" s="5">
        <v>37.130000000000003</v>
      </c>
      <c r="E325" s="3" t="s">
        <v>10815</v>
      </c>
      <c r="F325" s="2" t="s">
        <v>15</v>
      </c>
      <c r="G325" s="6" t="s">
        <v>181</v>
      </c>
      <c r="H325" s="2" t="s">
        <v>194</v>
      </c>
      <c r="I325" s="2" t="s">
        <v>195</v>
      </c>
      <c r="J325" s="2" t="s">
        <v>19</v>
      </c>
      <c r="K325" s="2" t="s">
        <v>10816</v>
      </c>
      <c r="L325" s="7" t="str">
        <f>HYPERLINK("http://slimages.macys.com/is/image/MCY/12850900 ")</f>
        <v xml:space="preserve">http://slimages.macys.com/is/image/MCY/12850900 </v>
      </c>
    </row>
    <row r="326" spans="1:12" ht="24.75" x14ac:dyDescent="0.25">
      <c r="A326" s="4" t="s">
        <v>10819</v>
      </c>
      <c r="B326" s="2" t="s">
        <v>1058</v>
      </c>
      <c r="C326" s="3">
        <v>1</v>
      </c>
      <c r="D326" s="5">
        <v>39.5</v>
      </c>
      <c r="E326" s="3" t="s">
        <v>1059</v>
      </c>
      <c r="F326" s="2" t="s">
        <v>15</v>
      </c>
      <c r="G326" s="6"/>
      <c r="H326" s="2" t="s">
        <v>312</v>
      </c>
      <c r="I326" s="2" t="s">
        <v>195</v>
      </c>
      <c r="J326" s="2" t="s">
        <v>19</v>
      </c>
      <c r="K326" s="2" t="s">
        <v>438</v>
      </c>
      <c r="L326" s="7" t="str">
        <f>HYPERLINK("http://slimages.macys.com/is/image/MCY/11935984 ")</f>
        <v xml:space="preserve">http://slimages.macys.com/is/image/MCY/11935984 </v>
      </c>
    </row>
    <row r="327" spans="1:12" ht="24.75" x14ac:dyDescent="0.25">
      <c r="A327" s="4" t="s">
        <v>10820</v>
      </c>
      <c r="B327" s="2" t="s">
        <v>8625</v>
      </c>
      <c r="C327" s="3">
        <v>1</v>
      </c>
      <c r="D327" s="5">
        <v>44.63</v>
      </c>
      <c r="E327" s="3" t="s">
        <v>8626</v>
      </c>
      <c r="F327" s="2" t="s">
        <v>64</v>
      </c>
      <c r="G327" s="6" t="s">
        <v>156</v>
      </c>
      <c r="H327" s="2" t="s">
        <v>246</v>
      </c>
      <c r="I327" s="2" t="s">
        <v>189</v>
      </c>
      <c r="J327" s="2" t="s">
        <v>19</v>
      </c>
      <c r="K327" s="2" t="s">
        <v>701</v>
      </c>
      <c r="L327" s="7" t="str">
        <f>HYPERLINK("http://slimages.macys.com/is/image/MCY/9504528 ")</f>
        <v xml:space="preserve">http://slimages.macys.com/is/image/MCY/9504528 </v>
      </c>
    </row>
    <row r="328" spans="1:12" ht="24.75" x14ac:dyDescent="0.25">
      <c r="A328" s="4" t="s">
        <v>10821</v>
      </c>
      <c r="B328" s="2" t="s">
        <v>6547</v>
      </c>
      <c r="C328" s="3">
        <v>1</v>
      </c>
      <c r="D328" s="5">
        <v>37.130000000000003</v>
      </c>
      <c r="E328" s="3" t="s">
        <v>6548</v>
      </c>
      <c r="F328" s="2" t="s">
        <v>26</v>
      </c>
      <c r="G328" s="6" t="s">
        <v>141</v>
      </c>
      <c r="H328" s="2" t="s">
        <v>246</v>
      </c>
      <c r="I328" s="2" t="s">
        <v>189</v>
      </c>
      <c r="J328" s="2" t="s">
        <v>19</v>
      </c>
      <c r="K328" s="2" t="s">
        <v>839</v>
      </c>
      <c r="L328" s="7" t="str">
        <f>HYPERLINK("http://slimages.macys.com/is/image/MCY/12746342 ")</f>
        <v xml:space="preserve">http://slimages.macys.com/is/image/MCY/12746342 </v>
      </c>
    </row>
    <row r="329" spans="1:12" ht="24.75" x14ac:dyDescent="0.25">
      <c r="A329" s="4" t="s">
        <v>10822</v>
      </c>
      <c r="B329" s="2" t="s">
        <v>6547</v>
      </c>
      <c r="C329" s="3">
        <v>1</v>
      </c>
      <c r="D329" s="5">
        <v>37.130000000000003</v>
      </c>
      <c r="E329" s="3" t="s">
        <v>6548</v>
      </c>
      <c r="F329" s="2" t="s">
        <v>413</v>
      </c>
      <c r="G329" s="6" t="s">
        <v>22</v>
      </c>
      <c r="H329" s="2" t="s">
        <v>246</v>
      </c>
      <c r="I329" s="2" t="s">
        <v>189</v>
      </c>
      <c r="J329" s="2" t="s">
        <v>19</v>
      </c>
      <c r="K329" s="2" t="s">
        <v>839</v>
      </c>
      <c r="L329" s="7" t="str">
        <f>HYPERLINK("http://slimages.macys.com/is/image/MCY/12746342 ")</f>
        <v xml:space="preserve">http://slimages.macys.com/is/image/MCY/12746342 </v>
      </c>
    </row>
    <row r="330" spans="1:12" ht="24.75" x14ac:dyDescent="0.25">
      <c r="A330" s="4" t="s">
        <v>5743</v>
      </c>
      <c r="B330" s="2" t="s">
        <v>898</v>
      </c>
      <c r="C330" s="3">
        <v>1</v>
      </c>
      <c r="D330" s="5">
        <v>37.130000000000003</v>
      </c>
      <c r="E330" s="3">
        <v>100009193</v>
      </c>
      <c r="F330" s="2" t="s">
        <v>15</v>
      </c>
      <c r="G330" s="6" t="s">
        <v>16</v>
      </c>
      <c r="H330" s="2" t="s">
        <v>194</v>
      </c>
      <c r="I330" s="2" t="s">
        <v>503</v>
      </c>
      <c r="J330" s="2" t="s">
        <v>19</v>
      </c>
      <c r="K330" s="2" t="s">
        <v>353</v>
      </c>
      <c r="L330" s="7" t="str">
        <f>HYPERLINK("http://slimages.macys.com/is/image/MCY/11804644 ")</f>
        <v xml:space="preserve">http://slimages.macys.com/is/image/MCY/11804644 </v>
      </c>
    </row>
    <row r="331" spans="1:12" ht="24.75" x14ac:dyDescent="0.25">
      <c r="A331" s="4" t="s">
        <v>7365</v>
      </c>
      <c r="B331" s="2" t="s">
        <v>898</v>
      </c>
      <c r="C331" s="3">
        <v>1</v>
      </c>
      <c r="D331" s="5">
        <v>37.130000000000003</v>
      </c>
      <c r="E331" s="3">
        <v>100009193</v>
      </c>
      <c r="F331" s="2" t="s">
        <v>26</v>
      </c>
      <c r="G331" s="6" t="s">
        <v>16</v>
      </c>
      <c r="H331" s="2" t="s">
        <v>194</v>
      </c>
      <c r="I331" s="2" t="s">
        <v>503</v>
      </c>
      <c r="J331" s="2" t="s">
        <v>19</v>
      </c>
      <c r="K331" s="2" t="s">
        <v>353</v>
      </c>
      <c r="L331" s="7" t="str">
        <f>HYPERLINK("http://slimages.macys.com/is/image/MCY/11804644 ")</f>
        <v xml:space="preserve">http://slimages.macys.com/is/image/MCY/11804644 </v>
      </c>
    </row>
    <row r="332" spans="1:12" ht="24.75" x14ac:dyDescent="0.25">
      <c r="A332" s="4" t="s">
        <v>10823</v>
      </c>
      <c r="B332" s="2" t="s">
        <v>3510</v>
      </c>
      <c r="C332" s="3">
        <v>1</v>
      </c>
      <c r="D332" s="5">
        <v>44.63</v>
      </c>
      <c r="E332" s="3" t="s">
        <v>3511</v>
      </c>
      <c r="F332" s="2" t="s">
        <v>53</v>
      </c>
      <c r="G332" s="6" t="s">
        <v>27</v>
      </c>
      <c r="H332" s="2" t="s">
        <v>213</v>
      </c>
      <c r="I332" s="2" t="s">
        <v>214</v>
      </c>
      <c r="J332" s="2" t="s">
        <v>19</v>
      </c>
      <c r="K332" s="2" t="s">
        <v>230</v>
      </c>
      <c r="L332" s="7" t="str">
        <f>HYPERLINK("http://slimages.macys.com/is/image/MCY/8486169 ")</f>
        <v xml:space="preserve">http://slimages.macys.com/is/image/MCY/8486169 </v>
      </c>
    </row>
    <row r="333" spans="1:12" ht="24.75" x14ac:dyDescent="0.25">
      <c r="A333" s="4" t="s">
        <v>10824</v>
      </c>
      <c r="B333" s="2" t="s">
        <v>4627</v>
      </c>
      <c r="C333" s="3">
        <v>1</v>
      </c>
      <c r="D333" s="5">
        <v>44.63</v>
      </c>
      <c r="E333" s="3" t="s">
        <v>4628</v>
      </c>
      <c r="F333" s="2" t="s">
        <v>676</v>
      </c>
      <c r="G333" s="6"/>
      <c r="H333" s="2" t="s">
        <v>213</v>
      </c>
      <c r="I333" s="2" t="s">
        <v>214</v>
      </c>
      <c r="J333" s="2" t="s">
        <v>19</v>
      </c>
      <c r="K333" s="2" t="s">
        <v>230</v>
      </c>
      <c r="L333" s="7" t="str">
        <f>HYPERLINK("http://slimages.macys.com/is/image/MCY/8486169 ")</f>
        <v xml:space="preserve">http://slimages.macys.com/is/image/MCY/8486169 </v>
      </c>
    </row>
    <row r="334" spans="1:12" x14ac:dyDescent="0.25">
      <c r="A334" s="4" t="s">
        <v>10825</v>
      </c>
      <c r="B334" s="2" t="s">
        <v>10826</v>
      </c>
      <c r="C334" s="3">
        <v>1</v>
      </c>
      <c r="D334" s="5">
        <v>59.5</v>
      </c>
      <c r="E334" s="3">
        <v>100061631</v>
      </c>
      <c r="F334" s="2" t="s">
        <v>64</v>
      </c>
      <c r="G334" s="6" t="s">
        <v>22</v>
      </c>
      <c r="H334" s="2" t="s">
        <v>386</v>
      </c>
      <c r="I334" s="2" t="s">
        <v>207</v>
      </c>
      <c r="J334" s="2" t="s">
        <v>19</v>
      </c>
      <c r="K334" s="2" t="s">
        <v>495</v>
      </c>
      <c r="L334" s="7" t="str">
        <f>HYPERLINK("http://slimages.macys.com/is/image/MCY/11963039 ")</f>
        <v xml:space="preserve">http://slimages.macys.com/is/image/MCY/11963039 </v>
      </c>
    </row>
    <row r="335" spans="1:12" ht="24.75" x14ac:dyDescent="0.25">
      <c r="A335" s="4" t="s">
        <v>10827</v>
      </c>
      <c r="B335" s="2" t="s">
        <v>2563</v>
      </c>
      <c r="C335" s="3">
        <v>1</v>
      </c>
      <c r="D335" s="5">
        <v>37.130000000000003</v>
      </c>
      <c r="E335" s="3" t="s">
        <v>2564</v>
      </c>
      <c r="F335" s="2" t="s">
        <v>74</v>
      </c>
      <c r="G335" s="6" t="s">
        <v>154</v>
      </c>
      <c r="H335" s="2" t="s">
        <v>246</v>
      </c>
      <c r="I335" s="2" t="s">
        <v>189</v>
      </c>
      <c r="J335" s="2" t="s">
        <v>19</v>
      </c>
      <c r="K335" s="2" t="s">
        <v>1108</v>
      </c>
      <c r="L335" s="7" t="str">
        <f>HYPERLINK("http://slimages.macys.com/is/image/MCY/11807944 ")</f>
        <v xml:space="preserve">http://slimages.macys.com/is/image/MCY/11807944 </v>
      </c>
    </row>
    <row r="336" spans="1:12" x14ac:dyDescent="0.25">
      <c r="A336" s="4" t="s">
        <v>10828</v>
      </c>
      <c r="B336" s="2" t="s">
        <v>4821</v>
      </c>
      <c r="C336" s="3">
        <v>1</v>
      </c>
      <c r="D336" s="5">
        <v>32.99</v>
      </c>
      <c r="E336" s="3">
        <v>3380439</v>
      </c>
      <c r="F336" s="2" t="s">
        <v>417</v>
      </c>
      <c r="G336" s="6" t="s">
        <v>3309</v>
      </c>
      <c r="H336" s="2" t="s">
        <v>1086</v>
      </c>
      <c r="I336" s="2" t="s">
        <v>1087</v>
      </c>
      <c r="J336" s="2" t="s">
        <v>19</v>
      </c>
      <c r="K336" s="2" t="s">
        <v>353</v>
      </c>
      <c r="L336" s="7" t="str">
        <f>HYPERLINK("http://slimages.macys.com/is/image/MCY/11608549 ")</f>
        <v xml:space="preserve">http://slimages.macys.com/is/image/MCY/11608549 </v>
      </c>
    </row>
    <row r="337" spans="1:12" ht="24.75" x14ac:dyDescent="0.25">
      <c r="A337" s="4" t="s">
        <v>10829</v>
      </c>
      <c r="B337" s="2" t="s">
        <v>1093</v>
      </c>
      <c r="C337" s="3">
        <v>2</v>
      </c>
      <c r="D337" s="5">
        <v>37.130000000000003</v>
      </c>
      <c r="E337" s="3">
        <v>100018042</v>
      </c>
      <c r="F337" s="2" t="s">
        <v>676</v>
      </c>
      <c r="G337" s="6" t="s">
        <v>112</v>
      </c>
      <c r="H337" s="2" t="s">
        <v>194</v>
      </c>
      <c r="I337" s="2" t="s">
        <v>195</v>
      </c>
      <c r="J337" s="2" t="s">
        <v>19</v>
      </c>
      <c r="K337" s="2" t="s">
        <v>353</v>
      </c>
      <c r="L337" s="7" t="str">
        <f t="shared" ref="L337:L344" si="1">HYPERLINK("http://slimages.macys.com/is/image/MCY/9693642 ")</f>
        <v xml:space="preserve">http://slimages.macys.com/is/image/MCY/9693642 </v>
      </c>
    </row>
    <row r="338" spans="1:12" ht="24.75" x14ac:dyDescent="0.25">
      <c r="A338" s="4" t="s">
        <v>10830</v>
      </c>
      <c r="B338" s="2" t="s">
        <v>1093</v>
      </c>
      <c r="C338" s="3">
        <v>1</v>
      </c>
      <c r="D338" s="5">
        <v>37.130000000000003</v>
      </c>
      <c r="E338" s="3">
        <v>100018042</v>
      </c>
      <c r="F338" s="2" t="s">
        <v>74</v>
      </c>
      <c r="G338" s="6" t="s">
        <v>22</v>
      </c>
      <c r="H338" s="2" t="s">
        <v>194</v>
      </c>
      <c r="I338" s="2" t="s">
        <v>195</v>
      </c>
      <c r="J338" s="2" t="s">
        <v>19</v>
      </c>
      <c r="K338" s="2" t="s">
        <v>353</v>
      </c>
      <c r="L338" s="7" t="str">
        <f t="shared" si="1"/>
        <v xml:space="preserve">http://slimages.macys.com/is/image/MCY/9693642 </v>
      </c>
    </row>
    <row r="339" spans="1:12" ht="24.75" x14ac:dyDescent="0.25">
      <c r="A339" s="4" t="s">
        <v>10831</v>
      </c>
      <c r="B339" s="2" t="s">
        <v>1093</v>
      </c>
      <c r="C339" s="3">
        <v>1</v>
      </c>
      <c r="D339" s="5">
        <v>37.130000000000003</v>
      </c>
      <c r="E339" s="3">
        <v>100018042</v>
      </c>
      <c r="F339" s="2" t="s">
        <v>376</v>
      </c>
      <c r="G339" s="6" t="s">
        <v>106</v>
      </c>
      <c r="H339" s="2" t="s">
        <v>194</v>
      </c>
      <c r="I339" s="2" t="s">
        <v>195</v>
      </c>
      <c r="J339" s="2" t="s">
        <v>19</v>
      </c>
      <c r="K339" s="2" t="s">
        <v>353</v>
      </c>
      <c r="L339" s="7" t="str">
        <f t="shared" si="1"/>
        <v xml:space="preserve">http://slimages.macys.com/is/image/MCY/9693642 </v>
      </c>
    </row>
    <row r="340" spans="1:12" ht="24.75" x14ac:dyDescent="0.25">
      <c r="A340" s="4" t="s">
        <v>10832</v>
      </c>
      <c r="B340" s="2" t="s">
        <v>1093</v>
      </c>
      <c r="C340" s="3">
        <v>1</v>
      </c>
      <c r="D340" s="5">
        <v>37.130000000000003</v>
      </c>
      <c r="E340" s="3">
        <v>100018042</v>
      </c>
      <c r="F340" s="2" t="s">
        <v>376</v>
      </c>
      <c r="G340" s="6" t="s">
        <v>16</v>
      </c>
      <c r="H340" s="2" t="s">
        <v>194</v>
      </c>
      <c r="I340" s="2" t="s">
        <v>195</v>
      </c>
      <c r="J340" s="2" t="s">
        <v>19</v>
      </c>
      <c r="K340" s="2" t="s">
        <v>353</v>
      </c>
      <c r="L340" s="7" t="str">
        <f t="shared" si="1"/>
        <v xml:space="preserve">http://slimages.macys.com/is/image/MCY/9693642 </v>
      </c>
    </row>
    <row r="341" spans="1:12" ht="24.75" x14ac:dyDescent="0.25">
      <c r="A341" s="4" t="s">
        <v>1092</v>
      </c>
      <c r="B341" s="2" t="s">
        <v>1093</v>
      </c>
      <c r="C341" s="3">
        <v>1</v>
      </c>
      <c r="D341" s="5">
        <v>37.130000000000003</v>
      </c>
      <c r="E341" s="3">
        <v>100018042</v>
      </c>
      <c r="F341" s="2" t="s">
        <v>376</v>
      </c>
      <c r="G341" s="6" t="s">
        <v>58</v>
      </c>
      <c r="H341" s="2" t="s">
        <v>194</v>
      </c>
      <c r="I341" s="2" t="s">
        <v>195</v>
      </c>
      <c r="J341" s="2" t="s">
        <v>19</v>
      </c>
      <c r="K341" s="2" t="s">
        <v>353</v>
      </c>
      <c r="L341" s="7" t="str">
        <f t="shared" si="1"/>
        <v xml:space="preserve">http://slimages.macys.com/is/image/MCY/9693642 </v>
      </c>
    </row>
    <row r="342" spans="1:12" ht="24.75" x14ac:dyDescent="0.25">
      <c r="A342" s="4" t="s">
        <v>10833</v>
      </c>
      <c r="B342" s="2" t="s">
        <v>1093</v>
      </c>
      <c r="C342" s="3">
        <v>1</v>
      </c>
      <c r="D342" s="5">
        <v>37.130000000000003</v>
      </c>
      <c r="E342" s="3">
        <v>100018042</v>
      </c>
      <c r="F342" s="2" t="s">
        <v>676</v>
      </c>
      <c r="G342" s="6" t="s">
        <v>106</v>
      </c>
      <c r="H342" s="2" t="s">
        <v>194</v>
      </c>
      <c r="I342" s="2" t="s">
        <v>195</v>
      </c>
      <c r="J342" s="2" t="s">
        <v>19</v>
      </c>
      <c r="K342" s="2" t="s">
        <v>353</v>
      </c>
      <c r="L342" s="7" t="str">
        <f t="shared" si="1"/>
        <v xml:space="preserve">http://slimages.macys.com/is/image/MCY/9693642 </v>
      </c>
    </row>
    <row r="343" spans="1:12" ht="24.75" x14ac:dyDescent="0.25">
      <c r="A343" s="4" t="s">
        <v>10834</v>
      </c>
      <c r="B343" s="2" t="s">
        <v>1093</v>
      </c>
      <c r="C343" s="3">
        <v>1</v>
      </c>
      <c r="D343" s="5">
        <v>37.130000000000003</v>
      </c>
      <c r="E343" s="3">
        <v>100018042</v>
      </c>
      <c r="F343" s="2" t="s">
        <v>676</v>
      </c>
      <c r="G343" s="6" t="s">
        <v>58</v>
      </c>
      <c r="H343" s="2" t="s">
        <v>194</v>
      </c>
      <c r="I343" s="2" t="s">
        <v>195</v>
      </c>
      <c r="J343" s="2" t="s">
        <v>19</v>
      </c>
      <c r="K343" s="2" t="s">
        <v>353</v>
      </c>
      <c r="L343" s="7" t="str">
        <f t="shared" si="1"/>
        <v xml:space="preserve">http://slimages.macys.com/is/image/MCY/9693642 </v>
      </c>
    </row>
    <row r="344" spans="1:12" ht="24.75" x14ac:dyDescent="0.25">
      <c r="A344" s="4" t="s">
        <v>10835</v>
      </c>
      <c r="B344" s="2" t="s">
        <v>1093</v>
      </c>
      <c r="C344" s="3">
        <v>1</v>
      </c>
      <c r="D344" s="5">
        <v>37.130000000000003</v>
      </c>
      <c r="E344" s="3">
        <v>100018042</v>
      </c>
      <c r="F344" s="2" t="s">
        <v>676</v>
      </c>
      <c r="G344" s="6" t="s">
        <v>22</v>
      </c>
      <c r="H344" s="2" t="s">
        <v>194</v>
      </c>
      <c r="I344" s="2" t="s">
        <v>195</v>
      </c>
      <c r="J344" s="2" t="s">
        <v>19</v>
      </c>
      <c r="K344" s="2" t="s">
        <v>353</v>
      </c>
      <c r="L344" s="7" t="str">
        <f t="shared" si="1"/>
        <v xml:space="preserve">http://slimages.macys.com/is/image/MCY/9693642 </v>
      </c>
    </row>
    <row r="345" spans="1:12" ht="24.75" x14ac:dyDescent="0.25">
      <c r="A345" s="4" t="s">
        <v>10836</v>
      </c>
      <c r="B345" s="2" t="s">
        <v>3936</v>
      </c>
      <c r="C345" s="3">
        <v>1</v>
      </c>
      <c r="D345" s="5">
        <v>39.5</v>
      </c>
      <c r="E345" s="3" t="s">
        <v>10837</v>
      </c>
      <c r="F345" s="2" t="s">
        <v>74</v>
      </c>
      <c r="G345" s="6"/>
      <c r="H345" s="2" t="s">
        <v>127</v>
      </c>
      <c r="I345" s="2" t="s">
        <v>128</v>
      </c>
      <c r="J345" s="2" t="s">
        <v>19</v>
      </c>
      <c r="K345" s="2" t="s">
        <v>247</v>
      </c>
      <c r="L345" s="7" t="str">
        <f>HYPERLINK("http://slimages.macys.com/is/image/MCY/15908129 ")</f>
        <v xml:space="preserve">http://slimages.macys.com/is/image/MCY/15908129 </v>
      </c>
    </row>
    <row r="346" spans="1:12" ht="24.75" x14ac:dyDescent="0.25">
      <c r="A346" s="4" t="s">
        <v>10838</v>
      </c>
      <c r="B346" s="2" t="s">
        <v>1093</v>
      </c>
      <c r="C346" s="3">
        <v>2</v>
      </c>
      <c r="D346" s="5">
        <v>37.130000000000003</v>
      </c>
      <c r="E346" s="3">
        <v>100018042</v>
      </c>
      <c r="F346" s="2" t="s">
        <v>676</v>
      </c>
      <c r="G346" s="6" t="s">
        <v>16</v>
      </c>
      <c r="H346" s="2" t="s">
        <v>194</v>
      </c>
      <c r="I346" s="2" t="s">
        <v>195</v>
      </c>
      <c r="J346" s="2" t="s">
        <v>19</v>
      </c>
      <c r="K346" s="2" t="s">
        <v>353</v>
      </c>
      <c r="L346" s="7" t="str">
        <f>HYPERLINK("http://slimages.macys.com/is/image/MCY/9693642 ")</f>
        <v xml:space="preserve">http://slimages.macys.com/is/image/MCY/9693642 </v>
      </c>
    </row>
    <row r="347" spans="1:12" ht="24.75" x14ac:dyDescent="0.25">
      <c r="A347" s="4" t="s">
        <v>10839</v>
      </c>
      <c r="B347" s="2" t="s">
        <v>1093</v>
      </c>
      <c r="C347" s="3">
        <v>2</v>
      </c>
      <c r="D347" s="5">
        <v>37.130000000000003</v>
      </c>
      <c r="E347" s="3">
        <v>100018042</v>
      </c>
      <c r="F347" s="2" t="s">
        <v>676</v>
      </c>
      <c r="G347" s="6" t="s">
        <v>27</v>
      </c>
      <c r="H347" s="2" t="s">
        <v>194</v>
      </c>
      <c r="I347" s="2" t="s">
        <v>195</v>
      </c>
      <c r="J347" s="2" t="s">
        <v>19</v>
      </c>
      <c r="K347" s="2" t="s">
        <v>353</v>
      </c>
      <c r="L347" s="7" t="str">
        <f>HYPERLINK("http://slimages.macys.com/is/image/MCY/9693642 ")</f>
        <v xml:space="preserve">http://slimages.macys.com/is/image/MCY/9693642 </v>
      </c>
    </row>
    <row r="348" spans="1:12" ht="36.75" x14ac:dyDescent="0.25">
      <c r="A348" s="4" t="s">
        <v>10840</v>
      </c>
      <c r="B348" s="2" t="s">
        <v>969</v>
      </c>
      <c r="C348" s="3">
        <v>1</v>
      </c>
      <c r="D348" s="5">
        <v>37.130000000000003</v>
      </c>
      <c r="E348" s="3">
        <v>100026210</v>
      </c>
      <c r="F348" s="2"/>
      <c r="G348" s="6" t="s">
        <v>156</v>
      </c>
      <c r="H348" s="2" t="s">
        <v>194</v>
      </c>
      <c r="I348" s="2" t="s">
        <v>195</v>
      </c>
      <c r="J348" s="2" t="s">
        <v>19</v>
      </c>
      <c r="K348" s="2" t="s">
        <v>965</v>
      </c>
      <c r="L348" s="7" t="str">
        <f>HYPERLINK("http://slimages.macys.com/is/image/MCY/9714233 ")</f>
        <v xml:space="preserve">http://slimages.macys.com/is/image/MCY/9714233 </v>
      </c>
    </row>
    <row r="349" spans="1:12" ht="36.75" x14ac:dyDescent="0.25">
      <c r="A349" s="4" t="s">
        <v>10841</v>
      </c>
      <c r="B349" s="2" t="s">
        <v>969</v>
      </c>
      <c r="C349" s="3">
        <v>1</v>
      </c>
      <c r="D349" s="5">
        <v>37.130000000000003</v>
      </c>
      <c r="E349" s="3">
        <v>100026210</v>
      </c>
      <c r="F349" s="2"/>
      <c r="G349" s="6" t="s">
        <v>154</v>
      </c>
      <c r="H349" s="2" t="s">
        <v>194</v>
      </c>
      <c r="I349" s="2" t="s">
        <v>195</v>
      </c>
      <c r="J349" s="2" t="s">
        <v>19</v>
      </c>
      <c r="K349" s="2" t="s">
        <v>965</v>
      </c>
      <c r="L349" s="7" t="str">
        <f>HYPERLINK("http://slimages.macys.com/is/image/MCY/9714233 ")</f>
        <v xml:space="preserve">http://slimages.macys.com/is/image/MCY/9714233 </v>
      </c>
    </row>
    <row r="350" spans="1:12" ht="24.75" x14ac:dyDescent="0.25">
      <c r="A350" s="4" t="s">
        <v>10842</v>
      </c>
      <c r="B350" s="2" t="s">
        <v>10843</v>
      </c>
      <c r="C350" s="3">
        <v>1</v>
      </c>
      <c r="D350" s="5">
        <v>40.880000000000003</v>
      </c>
      <c r="E350" s="3" t="s">
        <v>10844</v>
      </c>
      <c r="F350" s="2" t="s">
        <v>252</v>
      </c>
      <c r="G350" s="6" t="s">
        <v>205</v>
      </c>
      <c r="H350" s="2" t="s">
        <v>188</v>
      </c>
      <c r="I350" s="2" t="s">
        <v>214</v>
      </c>
      <c r="J350" s="2" t="s">
        <v>19</v>
      </c>
      <c r="K350" s="2" t="s">
        <v>253</v>
      </c>
      <c r="L350" s="7" t="str">
        <f>HYPERLINK("http://slimages.macys.com/is/image/MCY/11746702 ")</f>
        <v xml:space="preserve">http://slimages.macys.com/is/image/MCY/11746702 </v>
      </c>
    </row>
    <row r="351" spans="1:12" ht="24.75" x14ac:dyDescent="0.25">
      <c r="A351" s="4" t="s">
        <v>4832</v>
      </c>
      <c r="B351" s="2" t="s">
        <v>1106</v>
      </c>
      <c r="C351" s="3">
        <v>1</v>
      </c>
      <c r="D351" s="5">
        <v>32.5</v>
      </c>
      <c r="E351" s="3" t="s">
        <v>1107</v>
      </c>
      <c r="F351" s="2" t="s">
        <v>15</v>
      </c>
      <c r="G351" s="6" t="s">
        <v>156</v>
      </c>
      <c r="H351" s="2" t="s">
        <v>194</v>
      </c>
      <c r="I351" s="2" t="s">
        <v>195</v>
      </c>
      <c r="J351" s="2" t="s">
        <v>19</v>
      </c>
      <c r="K351" s="2" t="s">
        <v>1108</v>
      </c>
      <c r="L351" s="7" t="str">
        <f>HYPERLINK("http://slimages.macys.com/is/image/MCY/11764459 ")</f>
        <v xml:space="preserve">http://slimages.macys.com/is/image/MCY/11764459 </v>
      </c>
    </row>
    <row r="352" spans="1:12" ht="24.75" x14ac:dyDescent="0.25">
      <c r="A352" s="4" t="s">
        <v>8636</v>
      </c>
      <c r="B352" s="2" t="s">
        <v>1114</v>
      </c>
      <c r="C352" s="3">
        <v>1</v>
      </c>
      <c r="D352" s="5">
        <v>36.5</v>
      </c>
      <c r="E352" s="3">
        <v>100042369</v>
      </c>
      <c r="F352" s="2" t="s">
        <v>199</v>
      </c>
      <c r="G352" s="6" t="s">
        <v>22</v>
      </c>
      <c r="H352" s="2" t="s">
        <v>194</v>
      </c>
      <c r="I352" s="2" t="s">
        <v>195</v>
      </c>
      <c r="J352" s="2" t="s">
        <v>19</v>
      </c>
      <c r="K352" s="2" t="s">
        <v>353</v>
      </c>
      <c r="L352" s="7" t="str">
        <f>HYPERLINK("http://slimages.macys.com/is/image/MCY/11934953 ")</f>
        <v xml:space="preserve">http://slimages.macys.com/is/image/MCY/11934953 </v>
      </c>
    </row>
    <row r="353" spans="1:12" ht="24.75" x14ac:dyDescent="0.25">
      <c r="A353" s="4" t="s">
        <v>1115</v>
      </c>
      <c r="B353" s="2" t="s">
        <v>1114</v>
      </c>
      <c r="C353" s="3">
        <v>1</v>
      </c>
      <c r="D353" s="5">
        <v>37.130000000000003</v>
      </c>
      <c r="E353" s="3">
        <v>100042369</v>
      </c>
      <c r="F353" s="2" t="s">
        <v>94</v>
      </c>
      <c r="G353" s="6" t="s">
        <v>22</v>
      </c>
      <c r="H353" s="2" t="s">
        <v>194</v>
      </c>
      <c r="I353" s="2" t="s">
        <v>195</v>
      </c>
      <c r="J353" s="2" t="s">
        <v>19</v>
      </c>
      <c r="K353" s="2" t="s">
        <v>353</v>
      </c>
      <c r="L353" s="7" t="str">
        <f>HYPERLINK("http://slimages.macys.com/is/image/MCY/11934953 ")</f>
        <v xml:space="preserve">http://slimages.macys.com/is/image/MCY/11934953 </v>
      </c>
    </row>
    <row r="354" spans="1:12" ht="24.75" x14ac:dyDescent="0.25">
      <c r="A354" s="4" t="s">
        <v>3751</v>
      </c>
      <c r="B354" s="2" t="s">
        <v>1118</v>
      </c>
      <c r="C354" s="3">
        <v>1</v>
      </c>
      <c r="D354" s="5">
        <v>37.130000000000003</v>
      </c>
      <c r="E354" s="3">
        <v>100070736</v>
      </c>
      <c r="F354" s="2" t="s">
        <v>74</v>
      </c>
      <c r="G354" s="6" t="s">
        <v>200</v>
      </c>
      <c r="H354" s="2" t="s">
        <v>194</v>
      </c>
      <c r="I354" s="2" t="s">
        <v>195</v>
      </c>
      <c r="J354" s="2" t="s">
        <v>19</v>
      </c>
      <c r="K354" s="2" t="s">
        <v>353</v>
      </c>
      <c r="L354" s="7" t="str">
        <f>HYPERLINK("http://slimages.macys.com/is/image/MCY/13120823 ")</f>
        <v xml:space="preserve">http://slimages.macys.com/is/image/MCY/13120823 </v>
      </c>
    </row>
    <row r="355" spans="1:12" ht="24.75" x14ac:dyDescent="0.25">
      <c r="A355" s="4" t="s">
        <v>10845</v>
      </c>
      <c r="B355" s="2" t="s">
        <v>744</v>
      </c>
      <c r="C355" s="3">
        <v>1</v>
      </c>
      <c r="D355" s="5">
        <v>34.99</v>
      </c>
      <c r="E355" s="3" t="s">
        <v>10846</v>
      </c>
      <c r="F355" s="2" t="s">
        <v>111</v>
      </c>
      <c r="G355" s="6" t="s">
        <v>181</v>
      </c>
      <c r="H355" s="2" t="s">
        <v>284</v>
      </c>
      <c r="I355" s="2" t="s">
        <v>285</v>
      </c>
      <c r="J355" s="2" t="s">
        <v>19</v>
      </c>
      <c r="K355" s="2" t="s">
        <v>34</v>
      </c>
      <c r="L355" s="7" t="str">
        <f>HYPERLINK("http://slimages.macys.com/is/image/MCY/9723880 ")</f>
        <v xml:space="preserve">http://slimages.macys.com/is/image/MCY/9723880 </v>
      </c>
    </row>
    <row r="356" spans="1:12" ht="24.75" x14ac:dyDescent="0.25">
      <c r="A356" s="4" t="s">
        <v>10847</v>
      </c>
      <c r="B356" s="2" t="s">
        <v>744</v>
      </c>
      <c r="C356" s="3">
        <v>1</v>
      </c>
      <c r="D356" s="5">
        <v>34.99</v>
      </c>
      <c r="E356" s="3" t="s">
        <v>8641</v>
      </c>
      <c r="F356" s="2" t="s">
        <v>111</v>
      </c>
      <c r="G356" s="6" t="s">
        <v>154</v>
      </c>
      <c r="H356" s="2" t="s">
        <v>284</v>
      </c>
      <c r="I356" s="2" t="s">
        <v>285</v>
      </c>
      <c r="J356" s="2"/>
      <c r="K356" s="2"/>
      <c r="L356" s="7" t="str">
        <f>HYPERLINK("http://slimages.macys.com/is/image/MCY/8353478 ")</f>
        <v xml:space="preserve">http://slimages.macys.com/is/image/MCY/8353478 </v>
      </c>
    </row>
    <row r="357" spans="1:12" ht="24.75" x14ac:dyDescent="0.25">
      <c r="A357" s="4" t="s">
        <v>10848</v>
      </c>
      <c r="B357" s="2" t="s">
        <v>1132</v>
      </c>
      <c r="C357" s="3">
        <v>1</v>
      </c>
      <c r="D357" s="5">
        <v>34.5</v>
      </c>
      <c r="E357" s="3" t="s">
        <v>1133</v>
      </c>
      <c r="F357" s="2" t="s">
        <v>252</v>
      </c>
      <c r="G357" s="6" t="s">
        <v>1335</v>
      </c>
      <c r="H357" s="2" t="s">
        <v>228</v>
      </c>
      <c r="I357" s="2" t="s">
        <v>863</v>
      </c>
      <c r="J357" s="2" t="s">
        <v>19</v>
      </c>
      <c r="K357" s="2" t="s">
        <v>253</v>
      </c>
      <c r="L357" s="7" t="str">
        <f>HYPERLINK("http://slimages.macys.com/is/image/MCY/9864908 ")</f>
        <v xml:space="preserve">http://slimages.macys.com/is/image/MCY/9864908 </v>
      </c>
    </row>
    <row r="358" spans="1:12" ht="24.75" x14ac:dyDescent="0.25">
      <c r="A358" s="4" t="s">
        <v>10849</v>
      </c>
      <c r="B358" s="2" t="s">
        <v>890</v>
      </c>
      <c r="C358" s="3">
        <v>1</v>
      </c>
      <c r="D358" s="5">
        <v>34.5</v>
      </c>
      <c r="E358" s="3" t="s">
        <v>10850</v>
      </c>
      <c r="F358" s="2" t="s">
        <v>506</v>
      </c>
      <c r="G358" s="6" t="s">
        <v>802</v>
      </c>
      <c r="H358" s="2" t="s">
        <v>426</v>
      </c>
      <c r="I358" s="2" t="s">
        <v>229</v>
      </c>
      <c r="J358" s="2" t="s">
        <v>19</v>
      </c>
      <c r="K358" s="2" t="s">
        <v>253</v>
      </c>
      <c r="L358" s="7" t="str">
        <f>HYPERLINK("http://slimages.macys.com/is/image/MCY/1650191 ")</f>
        <v xml:space="preserve">http://slimages.macys.com/is/image/MCY/1650191 </v>
      </c>
    </row>
    <row r="359" spans="1:12" ht="24.75" x14ac:dyDescent="0.25">
      <c r="A359" s="4" t="s">
        <v>10851</v>
      </c>
      <c r="B359" s="2" t="s">
        <v>1132</v>
      </c>
      <c r="C359" s="3">
        <v>1</v>
      </c>
      <c r="D359" s="5">
        <v>34.5</v>
      </c>
      <c r="E359" s="3" t="s">
        <v>1133</v>
      </c>
      <c r="F359" s="2" t="s">
        <v>252</v>
      </c>
      <c r="G359" s="6" t="s">
        <v>10852</v>
      </c>
      <c r="H359" s="2" t="s">
        <v>228</v>
      </c>
      <c r="I359" s="2" t="s">
        <v>863</v>
      </c>
      <c r="J359" s="2" t="s">
        <v>19</v>
      </c>
      <c r="K359" s="2" t="s">
        <v>253</v>
      </c>
      <c r="L359" s="7" t="str">
        <f>HYPERLINK("http://slimages.macys.com/is/image/MCY/9864908 ")</f>
        <v xml:space="preserve">http://slimages.macys.com/is/image/MCY/9864908 </v>
      </c>
    </row>
    <row r="360" spans="1:12" ht="24.75" x14ac:dyDescent="0.25">
      <c r="A360" s="4" t="s">
        <v>10853</v>
      </c>
      <c r="B360" s="2" t="s">
        <v>10854</v>
      </c>
      <c r="C360" s="3">
        <v>1</v>
      </c>
      <c r="D360" s="5">
        <v>69.5</v>
      </c>
      <c r="E360" s="3">
        <v>100052071</v>
      </c>
      <c r="F360" s="2" t="s">
        <v>74</v>
      </c>
      <c r="G360" s="6" t="s">
        <v>112</v>
      </c>
      <c r="H360" s="2" t="s">
        <v>386</v>
      </c>
      <c r="I360" s="2" t="s">
        <v>207</v>
      </c>
      <c r="J360" s="2" t="s">
        <v>19</v>
      </c>
      <c r="K360" s="2" t="s">
        <v>387</v>
      </c>
      <c r="L360" s="7" t="str">
        <f>HYPERLINK("http://slimages.macys.com/is/image/MCY/8456403 ")</f>
        <v xml:space="preserve">http://slimages.macys.com/is/image/MCY/8456403 </v>
      </c>
    </row>
    <row r="361" spans="1:12" ht="24.75" x14ac:dyDescent="0.25">
      <c r="A361" s="4" t="s">
        <v>10855</v>
      </c>
      <c r="B361" s="2" t="s">
        <v>10854</v>
      </c>
      <c r="C361" s="3">
        <v>1</v>
      </c>
      <c r="D361" s="5">
        <v>69.5</v>
      </c>
      <c r="E361" s="3">
        <v>100052071</v>
      </c>
      <c r="F361" s="2" t="s">
        <v>74</v>
      </c>
      <c r="G361" s="6" t="s">
        <v>22</v>
      </c>
      <c r="H361" s="2" t="s">
        <v>386</v>
      </c>
      <c r="I361" s="2" t="s">
        <v>207</v>
      </c>
      <c r="J361" s="2" t="s">
        <v>19</v>
      </c>
      <c r="K361" s="2" t="s">
        <v>387</v>
      </c>
      <c r="L361" s="7" t="str">
        <f>HYPERLINK("http://slimages.macys.com/is/image/MCY/8456403 ")</f>
        <v xml:space="preserve">http://slimages.macys.com/is/image/MCY/8456403 </v>
      </c>
    </row>
    <row r="362" spans="1:12" ht="24.75" x14ac:dyDescent="0.25">
      <c r="A362" s="4" t="s">
        <v>4844</v>
      </c>
      <c r="B362" s="2" t="s">
        <v>1160</v>
      </c>
      <c r="C362" s="3">
        <v>1</v>
      </c>
      <c r="D362" s="5">
        <v>69.5</v>
      </c>
      <c r="E362" s="3">
        <v>100055239</v>
      </c>
      <c r="F362" s="2" t="s">
        <v>74</v>
      </c>
      <c r="G362" s="6" t="s">
        <v>39</v>
      </c>
      <c r="H362" s="2" t="s">
        <v>386</v>
      </c>
      <c r="I362" s="2" t="s">
        <v>207</v>
      </c>
      <c r="J362" s="2" t="s">
        <v>19</v>
      </c>
      <c r="K362" s="2" t="s">
        <v>387</v>
      </c>
      <c r="L362" s="7" t="str">
        <f>HYPERLINK("http://slimages.macys.com/is/image/MCY/11535562 ")</f>
        <v xml:space="preserve">http://slimages.macys.com/is/image/MCY/11535562 </v>
      </c>
    </row>
    <row r="363" spans="1:12" ht="24.75" x14ac:dyDescent="0.25">
      <c r="A363" s="4" t="s">
        <v>10856</v>
      </c>
      <c r="B363" s="2" t="s">
        <v>5775</v>
      </c>
      <c r="C363" s="3">
        <v>1</v>
      </c>
      <c r="D363" s="5">
        <v>34.5</v>
      </c>
      <c r="E363" s="3" t="s">
        <v>5776</v>
      </c>
      <c r="F363" s="2" t="s">
        <v>74</v>
      </c>
      <c r="G363" s="6" t="s">
        <v>802</v>
      </c>
      <c r="H363" s="2" t="s">
        <v>426</v>
      </c>
      <c r="I363" s="2" t="s">
        <v>229</v>
      </c>
      <c r="J363" s="2" t="s">
        <v>19</v>
      </c>
      <c r="K363" s="2" t="s">
        <v>383</v>
      </c>
      <c r="L363" s="7" t="str">
        <f>HYPERLINK("http://slimages.macys.com/is/image/MCY/1650222 ")</f>
        <v xml:space="preserve">http://slimages.macys.com/is/image/MCY/1650222 </v>
      </c>
    </row>
    <row r="364" spans="1:12" ht="24.75" x14ac:dyDescent="0.25">
      <c r="A364" s="4" t="s">
        <v>5774</v>
      </c>
      <c r="B364" s="2" t="s">
        <v>5775</v>
      </c>
      <c r="C364" s="3">
        <v>1</v>
      </c>
      <c r="D364" s="5">
        <v>34.5</v>
      </c>
      <c r="E364" s="3" t="s">
        <v>5776</v>
      </c>
      <c r="F364" s="2" t="s">
        <v>74</v>
      </c>
      <c r="G364" s="6" t="s">
        <v>205</v>
      </c>
      <c r="H364" s="2" t="s">
        <v>426</v>
      </c>
      <c r="I364" s="2" t="s">
        <v>229</v>
      </c>
      <c r="J364" s="2" t="s">
        <v>19</v>
      </c>
      <c r="K364" s="2" t="s">
        <v>383</v>
      </c>
      <c r="L364" s="7" t="str">
        <f>HYPERLINK("http://slimages.macys.com/is/image/MCY/1650222 ")</f>
        <v xml:space="preserve">http://slimages.macys.com/is/image/MCY/1650222 </v>
      </c>
    </row>
    <row r="365" spans="1:12" ht="24.75" x14ac:dyDescent="0.25">
      <c r="A365" s="4" t="s">
        <v>9552</v>
      </c>
      <c r="B365" s="2" t="s">
        <v>1167</v>
      </c>
      <c r="C365" s="3">
        <v>1</v>
      </c>
      <c r="D365" s="5">
        <v>34.5</v>
      </c>
      <c r="E365" s="3" t="s">
        <v>6567</v>
      </c>
      <c r="F365" s="2" t="s">
        <v>417</v>
      </c>
      <c r="G365" s="6" t="s">
        <v>22</v>
      </c>
      <c r="H365" s="2" t="s">
        <v>228</v>
      </c>
      <c r="I365" s="2" t="s">
        <v>863</v>
      </c>
      <c r="J365" s="2" t="s">
        <v>19</v>
      </c>
      <c r="K365" s="2" t="s">
        <v>230</v>
      </c>
      <c r="L365" s="7" t="str">
        <f>HYPERLINK("http://slimages.macys.com/is/image/MCY/3623515 ")</f>
        <v xml:space="preserve">http://slimages.macys.com/is/image/MCY/3623515 </v>
      </c>
    </row>
    <row r="366" spans="1:12" ht="24.75" x14ac:dyDescent="0.25">
      <c r="A366" s="4" t="s">
        <v>10857</v>
      </c>
      <c r="B366" s="2" t="s">
        <v>1167</v>
      </c>
      <c r="C366" s="3">
        <v>1</v>
      </c>
      <c r="D366" s="5">
        <v>34.5</v>
      </c>
      <c r="E366" s="3" t="s">
        <v>1168</v>
      </c>
      <c r="F366" s="2" t="s">
        <v>74</v>
      </c>
      <c r="G366" s="6" t="s">
        <v>22</v>
      </c>
      <c r="H366" s="2" t="s">
        <v>228</v>
      </c>
      <c r="I366" s="2" t="s">
        <v>863</v>
      </c>
      <c r="J366" s="2" t="s">
        <v>19</v>
      </c>
      <c r="K366" s="2" t="s">
        <v>230</v>
      </c>
      <c r="L366" s="7" t="str">
        <f>HYPERLINK("http://slimages.macys.com/is/image/MCY/3623515 ")</f>
        <v xml:space="preserve">http://slimages.macys.com/is/image/MCY/3623515 </v>
      </c>
    </row>
    <row r="367" spans="1:12" ht="24.75" x14ac:dyDescent="0.25">
      <c r="A367" s="4" t="s">
        <v>1180</v>
      </c>
      <c r="B367" s="2" t="s">
        <v>1181</v>
      </c>
      <c r="C367" s="3">
        <v>1</v>
      </c>
      <c r="D367" s="5">
        <v>37.130000000000003</v>
      </c>
      <c r="E367" s="3">
        <v>100064797</v>
      </c>
      <c r="F367" s="2" t="s">
        <v>15</v>
      </c>
      <c r="G367" s="6" t="s">
        <v>154</v>
      </c>
      <c r="H367" s="2" t="s">
        <v>194</v>
      </c>
      <c r="I367" s="2" t="s">
        <v>195</v>
      </c>
      <c r="J367" s="2" t="s">
        <v>19</v>
      </c>
      <c r="K367" s="2" t="s">
        <v>247</v>
      </c>
      <c r="L367" s="7" t="str">
        <f>HYPERLINK("http://slimages.macys.com/is/image/MCY/12950007 ")</f>
        <v xml:space="preserve">http://slimages.macys.com/is/image/MCY/12950007 </v>
      </c>
    </row>
    <row r="368" spans="1:12" ht="24.75" x14ac:dyDescent="0.25">
      <c r="A368" s="4" t="s">
        <v>5787</v>
      </c>
      <c r="B368" s="2" t="s">
        <v>1181</v>
      </c>
      <c r="C368" s="3">
        <v>1</v>
      </c>
      <c r="D368" s="5">
        <v>37.130000000000003</v>
      </c>
      <c r="E368" s="3">
        <v>100064797</v>
      </c>
      <c r="F368" s="2" t="s">
        <v>15</v>
      </c>
      <c r="G368" s="6" t="s">
        <v>234</v>
      </c>
      <c r="H368" s="2" t="s">
        <v>194</v>
      </c>
      <c r="I368" s="2" t="s">
        <v>195</v>
      </c>
      <c r="J368" s="2" t="s">
        <v>19</v>
      </c>
      <c r="K368" s="2" t="s">
        <v>247</v>
      </c>
      <c r="L368" s="7" t="str">
        <f>HYPERLINK("http://slimages.macys.com/is/image/MCY/12950007 ")</f>
        <v xml:space="preserve">http://slimages.macys.com/is/image/MCY/12950007 </v>
      </c>
    </row>
    <row r="369" spans="1:12" ht="24.75" x14ac:dyDescent="0.25">
      <c r="A369" s="4" t="s">
        <v>5784</v>
      </c>
      <c r="B369" s="2" t="s">
        <v>1181</v>
      </c>
      <c r="C369" s="3">
        <v>1</v>
      </c>
      <c r="D369" s="5">
        <v>37.130000000000003</v>
      </c>
      <c r="E369" s="3">
        <v>100064797</v>
      </c>
      <c r="F369" s="2" t="s">
        <v>15</v>
      </c>
      <c r="G369" s="6" t="s">
        <v>181</v>
      </c>
      <c r="H369" s="2" t="s">
        <v>194</v>
      </c>
      <c r="I369" s="2" t="s">
        <v>195</v>
      </c>
      <c r="J369" s="2" t="s">
        <v>19</v>
      </c>
      <c r="K369" s="2" t="s">
        <v>247</v>
      </c>
      <c r="L369" s="7" t="str">
        <f>HYPERLINK("http://slimages.macys.com/is/image/MCY/12950007 ")</f>
        <v xml:space="preserve">http://slimages.macys.com/is/image/MCY/12950007 </v>
      </c>
    </row>
    <row r="370" spans="1:12" ht="24.75" x14ac:dyDescent="0.25">
      <c r="A370" s="4" t="s">
        <v>1182</v>
      </c>
      <c r="B370" s="2" t="s">
        <v>1183</v>
      </c>
      <c r="C370" s="3">
        <v>1</v>
      </c>
      <c r="D370" s="5">
        <v>34.5</v>
      </c>
      <c r="E370" s="3">
        <v>100010006</v>
      </c>
      <c r="F370" s="2" t="s">
        <v>417</v>
      </c>
      <c r="G370" s="6" t="s">
        <v>234</v>
      </c>
      <c r="H370" s="2" t="s">
        <v>228</v>
      </c>
      <c r="I370" s="2" t="s">
        <v>229</v>
      </c>
      <c r="J370" s="2" t="s">
        <v>19</v>
      </c>
      <c r="K370" s="2" t="s">
        <v>253</v>
      </c>
      <c r="L370" s="7" t="str">
        <f>HYPERLINK("http://slimages.macys.com/is/image/MCY/11269044 ")</f>
        <v xml:space="preserve">http://slimages.macys.com/is/image/MCY/11269044 </v>
      </c>
    </row>
    <row r="371" spans="1:12" ht="24.75" x14ac:dyDescent="0.25">
      <c r="A371" s="4" t="s">
        <v>10858</v>
      </c>
      <c r="B371" s="2" t="s">
        <v>10859</v>
      </c>
      <c r="C371" s="3">
        <v>1</v>
      </c>
      <c r="D371" s="5">
        <v>34.5</v>
      </c>
      <c r="E371" s="3">
        <v>100036308</v>
      </c>
      <c r="F371" s="2" t="s">
        <v>417</v>
      </c>
      <c r="G371" s="6" t="s">
        <v>27</v>
      </c>
      <c r="H371" s="2" t="s">
        <v>228</v>
      </c>
      <c r="I371" s="2" t="s">
        <v>863</v>
      </c>
      <c r="J371" s="2" t="s">
        <v>19</v>
      </c>
      <c r="K371" s="2" t="s">
        <v>215</v>
      </c>
      <c r="L371" s="7" t="str">
        <f>HYPERLINK("http://slimages.macys.com/is/image/MCY/8695240 ")</f>
        <v xml:space="preserve">http://slimages.macys.com/is/image/MCY/8695240 </v>
      </c>
    </row>
    <row r="372" spans="1:12" ht="24.75" x14ac:dyDescent="0.25">
      <c r="A372" s="4" t="s">
        <v>10860</v>
      </c>
      <c r="B372" s="2" t="s">
        <v>10861</v>
      </c>
      <c r="C372" s="3">
        <v>1</v>
      </c>
      <c r="D372" s="5">
        <v>34.5</v>
      </c>
      <c r="E372" s="3" t="s">
        <v>10862</v>
      </c>
      <c r="F372" s="2" t="s">
        <v>74</v>
      </c>
      <c r="G372" s="6" t="s">
        <v>1335</v>
      </c>
      <c r="H372" s="2" t="s">
        <v>228</v>
      </c>
      <c r="I372" s="2" t="s">
        <v>863</v>
      </c>
      <c r="J372" s="2" t="s">
        <v>19</v>
      </c>
      <c r="K372" s="2" t="s">
        <v>253</v>
      </c>
      <c r="L372" s="7" t="str">
        <f>HYPERLINK("http://slimages.macys.com/is/image/MCY/9864908 ")</f>
        <v xml:space="preserve">http://slimages.macys.com/is/image/MCY/9864908 </v>
      </c>
    </row>
    <row r="373" spans="1:12" ht="24.75" x14ac:dyDescent="0.25">
      <c r="A373" s="4" t="s">
        <v>10863</v>
      </c>
      <c r="B373" s="2" t="s">
        <v>10864</v>
      </c>
      <c r="C373" s="3">
        <v>1</v>
      </c>
      <c r="D373" s="5">
        <v>34.5</v>
      </c>
      <c r="E373" s="3" t="s">
        <v>10865</v>
      </c>
      <c r="F373" s="2" t="s">
        <v>417</v>
      </c>
      <c r="G373" s="6" t="s">
        <v>1335</v>
      </c>
      <c r="H373" s="2" t="s">
        <v>228</v>
      </c>
      <c r="I373" s="2" t="s">
        <v>863</v>
      </c>
      <c r="J373" s="2" t="s">
        <v>19</v>
      </c>
      <c r="K373" s="2" t="s">
        <v>253</v>
      </c>
      <c r="L373" s="7" t="str">
        <f>HYPERLINK("http://slimages.macys.com/is/image/MCY/9864908 ")</f>
        <v xml:space="preserve">http://slimages.macys.com/is/image/MCY/9864908 </v>
      </c>
    </row>
    <row r="374" spans="1:12" ht="24.75" x14ac:dyDescent="0.25">
      <c r="A374" s="4" t="s">
        <v>10866</v>
      </c>
      <c r="B374" s="2" t="s">
        <v>10861</v>
      </c>
      <c r="C374" s="3">
        <v>2</v>
      </c>
      <c r="D374" s="5">
        <v>34.5</v>
      </c>
      <c r="E374" s="3" t="s">
        <v>10862</v>
      </c>
      <c r="F374" s="2" t="s">
        <v>74</v>
      </c>
      <c r="G374" s="6" t="s">
        <v>1165</v>
      </c>
      <c r="H374" s="2" t="s">
        <v>228</v>
      </c>
      <c r="I374" s="2" t="s">
        <v>863</v>
      </c>
      <c r="J374" s="2" t="s">
        <v>19</v>
      </c>
      <c r="K374" s="2" t="s">
        <v>253</v>
      </c>
      <c r="L374" s="7" t="str">
        <f>HYPERLINK("http://slimages.macys.com/is/image/MCY/9864908 ")</f>
        <v xml:space="preserve">http://slimages.macys.com/is/image/MCY/9864908 </v>
      </c>
    </row>
    <row r="375" spans="1:12" ht="24.75" x14ac:dyDescent="0.25">
      <c r="A375" s="4" t="s">
        <v>10867</v>
      </c>
      <c r="B375" s="2" t="s">
        <v>1203</v>
      </c>
      <c r="C375" s="3">
        <v>1</v>
      </c>
      <c r="D375" s="5">
        <v>34.5</v>
      </c>
      <c r="E375" s="3" t="s">
        <v>10868</v>
      </c>
      <c r="F375" s="2" t="s">
        <v>79</v>
      </c>
      <c r="G375" s="6" t="s">
        <v>238</v>
      </c>
      <c r="H375" s="2" t="s">
        <v>426</v>
      </c>
      <c r="I375" s="2" t="s">
        <v>229</v>
      </c>
      <c r="J375" s="2" t="s">
        <v>19</v>
      </c>
      <c r="K375" s="2" t="s">
        <v>253</v>
      </c>
      <c r="L375" s="7" t="str">
        <f>HYPERLINK("http://slimages.macys.com/is/image/MCY/2176967 ")</f>
        <v xml:space="preserve">http://slimages.macys.com/is/image/MCY/2176967 </v>
      </c>
    </row>
    <row r="376" spans="1:12" ht="36.75" x14ac:dyDescent="0.25">
      <c r="A376" s="4" t="s">
        <v>10869</v>
      </c>
      <c r="B376" s="2" t="s">
        <v>1203</v>
      </c>
      <c r="C376" s="3">
        <v>1</v>
      </c>
      <c r="D376" s="5">
        <v>34.5</v>
      </c>
      <c r="E376" s="3" t="s">
        <v>10870</v>
      </c>
      <c r="F376" s="2" t="s">
        <v>676</v>
      </c>
      <c r="G376" s="6" t="s">
        <v>165</v>
      </c>
      <c r="H376" s="2" t="s">
        <v>426</v>
      </c>
      <c r="I376" s="2" t="s">
        <v>229</v>
      </c>
      <c r="J376" s="2" t="s">
        <v>19</v>
      </c>
      <c r="K376" s="2" t="s">
        <v>10871</v>
      </c>
      <c r="L376" s="7" t="str">
        <f>HYPERLINK("http://slimages.macys.com/is/image/MCY/2910509 ")</f>
        <v xml:space="preserve">http://slimages.macys.com/is/image/MCY/2910509 </v>
      </c>
    </row>
    <row r="377" spans="1:12" ht="24.75" x14ac:dyDescent="0.25">
      <c r="A377" s="4" t="s">
        <v>10872</v>
      </c>
      <c r="B377" s="2" t="s">
        <v>4878</v>
      </c>
      <c r="C377" s="3">
        <v>1</v>
      </c>
      <c r="D377" s="5">
        <v>27.99</v>
      </c>
      <c r="E377" s="3" t="s">
        <v>4879</v>
      </c>
      <c r="F377" s="2" t="s">
        <v>15</v>
      </c>
      <c r="G377" s="6" t="s">
        <v>154</v>
      </c>
      <c r="H377" s="2" t="s">
        <v>1522</v>
      </c>
      <c r="I377" s="2" t="s">
        <v>1469</v>
      </c>
      <c r="J377" s="2" t="s">
        <v>19</v>
      </c>
      <c r="K377" s="2" t="s">
        <v>353</v>
      </c>
      <c r="L377" s="7" t="str">
        <f>HYPERLINK("http://slimages.macys.com/is/image/MCY/11774240 ")</f>
        <v xml:space="preserve">http://slimages.macys.com/is/image/MCY/11774240 </v>
      </c>
    </row>
    <row r="378" spans="1:12" ht="24.75" x14ac:dyDescent="0.25">
      <c r="A378" s="4" t="s">
        <v>9076</v>
      </c>
      <c r="B378" s="2" t="s">
        <v>7414</v>
      </c>
      <c r="C378" s="3">
        <v>1</v>
      </c>
      <c r="D378" s="5">
        <v>37.130000000000003</v>
      </c>
      <c r="E378" s="3" t="s">
        <v>7415</v>
      </c>
      <c r="F378" s="2" t="s">
        <v>64</v>
      </c>
      <c r="G378" s="6" t="s">
        <v>141</v>
      </c>
      <c r="H378" s="2" t="s">
        <v>246</v>
      </c>
      <c r="I378" s="2" t="s">
        <v>189</v>
      </c>
      <c r="J378" s="2" t="s">
        <v>19</v>
      </c>
      <c r="K378" s="2" t="s">
        <v>353</v>
      </c>
      <c r="L378" s="7" t="str">
        <f>HYPERLINK("http://slimages.macys.com/is/image/MCY/11915457 ")</f>
        <v xml:space="preserve">http://slimages.macys.com/is/image/MCY/11915457 </v>
      </c>
    </row>
    <row r="379" spans="1:12" ht="24.75" x14ac:dyDescent="0.25">
      <c r="A379" s="4" t="s">
        <v>10873</v>
      </c>
      <c r="B379" s="2" t="s">
        <v>7414</v>
      </c>
      <c r="C379" s="3">
        <v>2</v>
      </c>
      <c r="D379" s="5">
        <v>37.130000000000003</v>
      </c>
      <c r="E379" s="3" t="s">
        <v>7415</v>
      </c>
      <c r="F379" s="2" t="s">
        <v>70</v>
      </c>
      <c r="G379" s="6" t="s">
        <v>141</v>
      </c>
      <c r="H379" s="2" t="s">
        <v>246</v>
      </c>
      <c r="I379" s="2" t="s">
        <v>189</v>
      </c>
      <c r="J379" s="2" t="s">
        <v>19</v>
      </c>
      <c r="K379" s="2" t="s">
        <v>353</v>
      </c>
      <c r="L379" s="7" t="str">
        <f>HYPERLINK("http://slimages.macys.com/is/image/MCY/11915457 ")</f>
        <v xml:space="preserve">http://slimages.macys.com/is/image/MCY/11915457 </v>
      </c>
    </row>
    <row r="380" spans="1:12" ht="24.75" x14ac:dyDescent="0.25">
      <c r="A380" s="4" t="s">
        <v>9565</v>
      </c>
      <c r="B380" s="2" t="s">
        <v>1199</v>
      </c>
      <c r="C380" s="3">
        <v>1</v>
      </c>
      <c r="D380" s="5">
        <v>37.130000000000003</v>
      </c>
      <c r="E380" s="3">
        <v>100009324</v>
      </c>
      <c r="F380" s="2" t="s">
        <v>74</v>
      </c>
      <c r="G380" s="6" t="s">
        <v>65</v>
      </c>
      <c r="H380" s="2" t="s">
        <v>194</v>
      </c>
      <c r="I380" s="2" t="s">
        <v>195</v>
      </c>
      <c r="J380" s="2" t="s">
        <v>19</v>
      </c>
      <c r="K380" s="2" t="s">
        <v>353</v>
      </c>
      <c r="L380" s="7" t="str">
        <f>HYPERLINK("http://slimages.macys.com/is/image/MCY/9404224 ")</f>
        <v xml:space="preserve">http://slimages.macys.com/is/image/MCY/9404224 </v>
      </c>
    </row>
    <row r="381" spans="1:12" ht="24.75" x14ac:dyDescent="0.25">
      <c r="A381" s="4" t="s">
        <v>5811</v>
      </c>
      <c r="B381" s="2" t="s">
        <v>1199</v>
      </c>
      <c r="C381" s="3">
        <v>1</v>
      </c>
      <c r="D381" s="5">
        <v>37.130000000000003</v>
      </c>
      <c r="E381" s="3">
        <v>100009324</v>
      </c>
      <c r="F381" s="2" t="s">
        <v>376</v>
      </c>
      <c r="G381" s="6" t="s">
        <v>141</v>
      </c>
      <c r="H381" s="2" t="s">
        <v>194</v>
      </c>
      <c r="I381" s="2" t="s">
        <v>195</v>
      </c>
      <c r="J381" s="2" t="s">
        <v>19</v>
      </c>
      <c r="K381" s="2" t="s">
        <v>353</v>
      </c>
      <c r="L381" s="7" t="str">
        <f>HYPERLINK("http://slimages.macys.com/is/image/MCY/9404224 ")</f>
        <v xml:space="preserve">http://slimages.macys.com/is/image/MCY/9404224 </v>
      </c>
    </row>
    <row r="382" spans="1:12" ht="24.75" x14ac:dyDescent="0.25">
      <c r="A382" s="4" t="s">
        <v>9079</v>
      </c>
      <c r="B382" s="2" t="s">
        <v>1199</v>
      </c>
      <c r="C382" s="3">
        <v>1</v>
      </c>
      <c r="D382" s="5">
        <v>37.130000000000003</v>
      </c>
      <c r="E382" s="3">
        <v>100009324</v>
      </c>
      <c r="F382" s="2" t="s">
        <v>74</v>
      </c>
      <c r="G382" s="6" t="s">
        <v>141</v>
      </c>
      <c r="H382" s="2" t="s">
        <v>194</v>
      </c>
      <c r="I382" s="2" t="s">
        <v>195</v>
      </c>
      <c r="J382" s="2" t="s">
        <v>19</v>
      </c>
      <c r="K382" s="2" t="s">
        <v>353</v>
      </c>
      <c r="L382" s="7" t="str">
        <f>HYPERLINK("http://slimages.macys.com/is/image/MCY/9404224 ")</f>
        <v xml:space="preserve">http://slimages.macys.com/is/image/MCY/9404224 </v>
      </c>
    </row>
    <row r="383" spans="1:12" ht="24.75" x14ac:dyDescent="0.25">
      <c r="A383" s="4" t="s">
        <v>10874</v>
      </c>
      <c r="B383" s="2" t="s">
        <v>9083</v>
      </c>
      <c r="C383" s="3">
        <v>1</v>
      </c>
      <c r="D383" s="5">
        <v>44.5</v>
      </c>
      <c r="E383" s="3" t="s">
        <v>9084</v>
      </c>
      <c r="F383" s="2" t="s">
        <v>74</v>
      </c>
      <c r="G383" s="6" t="s">
        <v>22</v>
      </c>
      <c r="H383" s="2" t="s">
        <v>246</v>
      </c>
      <c r="I383" s="2" t="s">
        <v>189</v>
      </c>
      <c r="J383" s="2" t="s">
        <v>19</v>
      </c>
      <c r="K383" s="2" t="s">
        <v>409</v>
      </c>
      <c r="L383" s="7" t="str">
        <f>HYPERLINK("http://slimages.macys.com/is/image/MCY/9957944 ")</f>
        <v xml:space="preserve">http://slimages.macys.com/is/image/MCY/9957944 </v>
      </c>
    </row>
    <row r="384" spans="1:12" ht="24.75" x14ac:dyDescent="0.25">
      <c r="A384" s="4" t="s">
        <v>10875</v>
      </c>
      <c r="B384" s="2" t="s">
        <v>1188</v>
      </c>
      <c r="C384" s="3">
        <v>1</v>
      </c>
      <c r="D384" s="5">
        <v>44.63</v>
      </c>
      <c r="E384" s="3" t="s">
        <v>3791</v>
      </c>
      <c r="F384" s="2" t="s">
        <v>15</v>
      </c>
      <c r="G384" s="6"/>
      <c r="H384" s="2" t="s">
        <v>312</v>
      </c>
      <c r="I384" s="2" t="s">
        <v>195</v>
      </c>
      <c r="J384" s="2" t="s">
        <v>19</v>
      </c>
      <c r="K384" s="2" t="s">
        <v>247</v>
      </c>
      <c r="L384" s="7" t="str">
        <f>HYPERLINK("http://slimages.macys.com/is/image/MCY/12280062 ")</f>
        <v xml:space="preserve">http://slimages.macys.com/is/image/MCY/12280062 </v>
      </c>
    </row>
    <row r="385" spans="1:12" ht="24.75" x14ac:dyDescent="0.25">
      <c r="A385" s="4" t="s">
        <v>10876</v>
      </c>
      <c r="B385" s="2" t="s">
        <v>10877</v>
      </c>
      <c r="C385" s="3">
        <v>1</v>
      </c>
      <c r="D385" s="5">
        <v>34.5</v>
      </c>
      <c r="E385" s="3">
        <v>100004570</v>
      </c>
      <c r="F385" s="2" t="s">
        <v>417</v>
      </c>
      <c r="G385" s="6" t="s">
        <v>22</v>
      </c>
      <c r="H385" s="2" t="s">
        <v>228</v>
      </c>
      <c r="I385" s="2" t="s">
        <v>863</v>
      </c>
      <c r="J385" s="2" t="s">
        <v>19</v>
      </c>
      <c r="K385" s="2" t="s">
        <v>215</v>
      </c>
      <c r="L385" s="7" t="str">
        <f>HYPERLINK("http://slimages.macys.com/is/image/MCY/8695240 ")</f>
        <v xml:space="preserve">http://slimages.macys.com/is/image/MCY/8695240 </v>
      </c>
    </row>
    <row r="386" spans="1:12" ht="24.75" x14ac:dyDescent="0.25">
      <c r="A386" s="4" t="s">
        <v>10878</v>
      </c>
      <c r="B386" s="2" t="s">
        <v>992</v>
      </c>
      <c r="C386" s="3">
        <v>1</v>
      </c>
      <c r="D386" s="5">
        <v>34.5</v>
      </c>
      <c r="E386" s="3">
        <v>100013308</v>
      </c>
      <c r="F386" s="2" t="s">
        <v>417</v>
      </c>
      <c r="G386" s="6" t="s">
        <v>181</v>
      </c>
      <c r="H386" s="2" t="s">
        <v>228</v>
      </c>
      <c r="I386" s="2" t="s">
        <v>229</v>
      </c>
      <c r="J386" s="2" t="s">
        <v>19</v>
      </c>
      <c r="K386" s="2" t="s">
        <v>392</v>
      </c>
      <c r="L386" s="7" t="str">
        <f>HYPERLINK("http://slimages.macys.com/is/image/MCY/12850023 ")</f>
        <v xml:space="preserve">http://slimages.macys.com/is/image/MCY/12850023 </v>
      </c>
    </row>
    <row r="387" spans="1:12" ht="24.75" x14ac:dyDescent="0.25">
      <c r="A387" s="4" t="s">
        <v>10879</v>
      </c>
      <c r="B387" s="2" t="s">
        <v>992</v>
      </c>
      <c r="C387" s="3">
        <v>1</v>
      </c>
      <c r="D387" s="5">
        <v>34.5</v>
      </c>
      <c r="E387" s="3">
        <v>100013308</v>
      </c>
      <c r="F387" s="2" t="s">
        <v>417</v>
      </c>
      <c r="G387" s="6" t="s">
        <v>234</v>
      </c>
      <c r="H387" s="2" t="s">
        <v>228</v>
      </c>
      <c r="I387" s="2" t="s">
        <v>229</v>
      </c>
      <c r="J387" s="2" t="s">
        <v>19</v>
      </c>
      <c r="K387" s="2" t="s">
        <v>392</v>
      </c>
      <c r="L387" s="7" t="str">
        <f>HYPERLINK("http://slimages.macys.com/is/image/MCY/12850023 ")</f>
        <v xml:space="preserve">http://slimages.macys.com/is/image/MCY/12850023 </v>
      </c>
    </row>
    <row r="388" spans="1:12" ht="24.75" x14ac:dyDescent="0.25">
      <c r="A388" s="4" t="s">
        <v>10880</v>
      </c>
      <c r="B388" s="2" t="s">
        <v>992</v>
      </c>
      <c r="C388" s="3">
        <v>1</v>
      </c>
      <c r="D388" s="5">
        <v>34.5</v>
      </c>
      <c r="E388" s="3">
        <v>100013308</v>
      </c>
      <c r="F388" s="2" t="s">
        <v>417</v>
      </c>
      <c r="G388" s="6" t="s">
        <v>245</v>
      </c>
      <c r="H388" s="2" t="s">
        <v>228</v>
      </c>
      <c r="I388" s="2" t="s">
        <v>229</v>
      </c>
      <c r="J388" s="2" t="s">
        <v>19</v>
      </c>
      <c r="K388" s="2" t="s">
        <v>392</v>
      </c>
      <c r="L388" s="7" t="str">
        <f>HYPERLINK("http://slimages.macys.com/is/image/MCY/12850023 ")</f>
        <v xml:space="preserve">http://slimages.macys.com/is/image/MCY/12850023 </v>
      </c>
    </row>
    <row r="389" spans="1:12" ht="24.75" x14ac:dyDescent="0.25">
      <c r="A389" s="4" t="s">
        <v>10881</v>
      </c>
      <c r="B389" s="2" t="s">
        <v>1002</v>
      </c>
      <c r="C389" s="3">
        <v>4</v>
      </c>
      <c r="D389" s="5">
        <v>44.63</v>
      </c>
      <c r="E389" s="3" t="s">
        <v>10882</v>
      </c>
      <c r="F389" s="2" t="s">
        <v>579</v>
      </c>
      <c r="G389" s="6" t="s">
        <v>234</v>
      </c>
      <c r="H389" s="2" t="s">
        <v>194</v>
      </c>
      <c r="I389" s="2" t="s">
        <v>195</v>
      </c>
      <c r="J389" s="2" t="s">
        <v>19</v>
      </c>
      <c r="K389" s="2" t="s">
        <v>137</v>
      </c>
      <c r="L389" s="7" t="str">
        <f>HYPERLINK("http://slimages.macys.com/is/image/MCY/9653306 ")</f>
        <v xml:space="preserve">http://slimages.macys.com/is/image/MCY/9653306 </v>
      </c>
    </row>
    <row r="390" spans="1:12" ht="24.75" x14ac:dyDescent="0.25">
      <c r="A390" s="4" t="s">
        <v>10883</v>
      </c>
      <c r="B390" s="2" t="s">
        <v>1002</v>
      </c>
      <c r="C390" s="3">
        <v>1</v>
      </c>
      <c r="D390" s="5">
        <v>44.63</v>
      </c>
      <c r="E390" s="3" t="s">
        <v>10882</v>
      </c>
      <c r="F390" s="2" t="s">
        <v>579</v>
      </c>
      <c r="G390" s="6" t="s">
        <v>156</v>
      </c>
      <c r="H390" s="2" t="s">
        <v>194</v>
      </c>
      <c r="I390" s="2" t="s">
        <v>195</v>
      </c>
      <c r="J390" s="2" t="s">
        <v>19</v>
      </c>
      <c r="K390" s="2" t="s">
        <v>137</v>
      </c>
      <c r="L390" s="7" t="str">
        <f>HYPERLINK("http://slimages.macys.com/is/image/MCY/9653306 ")</f>
        <v xml:space="preserve">http://slimages.macys.com/is/image/MCY/9653306 </v>
      </c>
    </row>
    <row r="391" spans="1:12" ht="24.75" x14ac:dyDescent="0.25">
      <c r="A391" s="4" t="s">
        <v>10884</v>
      </c>
      <c r="B391" s="2" t="s">
        <v>1002</v>
      </c>
      <c r="C391" s="3">
        <v>3</v>
      </c>
      <c r="D391" s="5">
        <v>44.63</v>
      </c>
      <c r="E391" s="3" t="s">
        <v>10882</v>
      </c>
      <c r="F391" s="2" t="s">
        <v>579</v>
      </c>
      <c r="G391" s="6" t="s">
        <v>181</v>
      </c>
      <c r="H391" s="2" t="s">
        <v>194</v>
      </c>
      <c r="I391" s="2" t="s">
        <v>195</v>
      </c>
      <c r="J391" s="2" t="s">
        <v>19</v>
      </c>
      <c r="K391" s="2" t="s">
        <v>137</v>
      </c>
      <c r="L391" s="7" t="str">
        <f>HYPERLINK("http://slimages.macys.com/is/image/MCY/9653306 ")</f>
        <v xml:space="preserve">http://slimages.macys.com/is/image/MCY/9653306 </v>
      </c>
    </row>
    <row r="392" spans="1:12" ht="24.75" x14ac:dyDescent="0.25">
      <c r="A392" s="4" t="s">
        <v>10885</v>
      </c>
      <c r="B392" s="2" t="s">
        <v>1002</v>
      </c>
      <c r="C392" s="3">
        <v>1</v>
      </c>
      <c r="D392" s="5">
        <v>44.63</v>
      </c>
      <c r="E392" s="3" t="s">
        <v>10882</v>
      </c>
      <c r="F392" s="2" t="s">
        <v>579</v>
      </c>
      <c r="G392" s="6" t="s">
        <v>200</v>
      </c>
      <c r="H392" s="2" t="s">
        <v>194</v>
      </c>
      <c r="I392" s="2" t="s">
        <v>195</v>
      </c>
      <c r="J392" s="2" t="s">
        <v>19</v>
      </c>
      <c r="K392" s="2" t="s">
        <v>137</v>
      </c>
      <c r="L392" s="7" t="str">
        <f>HYPERLINK("http://slimages.macys.com/is/image/MCY/9653306 ")</f>
        <v xml:space="preserve">http://slimages.macys.com/is/image/MCY/9653306 </v>
      </c>
    </row>
    <row r="393" spans="1:12" ht="24.75" x14ac:dyDescent="0.25">
      <c r="A393" s="4" t="s">
        <v>10886</v>
      </c>
      <c r="B393" s="2" t="s">
        <v>10887</v>
      </c>
      <c r="C393" s="3">
        <v>1</v>
      </c>
      <c r="D393" s="5">
        <v>37.130000000000003</v>
      </c>
      <c r="E393" s="3" t="s">
        <v>10888</v>
      </c>
      <c r="F393" s="2" t="s">
        <v>33</v>
      </c>
      <c r="G393" s="6"/>
      <c r="H393" s="2" t="s">
        <v>312</v>
      </c>
      <c r="I393" s="2" t="s">
        <v>195</v>
      </c>
      <c r="J393" s="2" t="s">
        <v>19</v>
      </c>
      <c r="K393" s="2" t="s">
        <v>2156</v>
      </c>
      <c r="L393" s="7" t="str">
        <f>HYPERLINK("http://slimages.macys.com/is/image/MCY/15829985 ")</f>
        <v xml:space="preserve">http://slimages.macys.com/is/image/MCY/15829985 </v>
      </c>
    </row>
    <row r="394" spans="1:12" ht="24.75" x14ac:dyDescent="0.25">
      <c r="A394" s="4" t="s">
        <v>1221</v>
      </c>
      <c r="B394" s="2" t="s">
        <v>1222</v>
      </c>
      <c r="C394" s="3">
        <v>1</v>
      </c>
      <c r="D394" s="5">
        <v>37.130000000000003</v>
      </c>
      <c r="E394" s="3" t="s">
        <v>1223</v>
      </c>
      <c r="F394" s="2" t="s">
        <v>26</v>
      </c>
      <c r="G394" s="6" t="s">
        <v>154</v>
      </c>
      <c r="H394" s="2" t="s">
        <v>194</v>
      </c>
      <c r="I394" s="2" t="s">
        <v>580</v>
      </c>
      <c r="J394" s="2" t="s">
        <v>19</v>
      </c>
      <c r="K394" s="2" t="s">
        <v>247</v>
      </c>
      <c r="L394" s="7" t="str">
        <f>HYPERLINK("http://slimages.macys.com/is/image/MCY/12950179 ")</f>
        <v xml:space="preserve">http://slimages.macys.com/is/image/MCY/12950179 </v>
      </c>
    </row>
    <row r="395" spans="1:12" ht="24.75" x14ac:dyDescent="0.25">
      <c r="A395" s="4" t="s">
        <v>10889</v>
      </c>
      <c r="B395" s="2" t="s">
        <v>9086</v>
      </c>
      <c r="C395" s="3">
        <v>1</v>
      </c>
      <c r="D395" s="5">
        <v>37.130000000000003</v>
      </c>
      <c r="E395" s="3">
        <v>100042375</v>
      </c>
      <c r="F395" s="2" t="s">
        <v>417</v>
      </c>
      <c r="G395" s="6" t="s">
        <v>16</v>
      </c>
      <c r="H395" s="2" t="s">
        <v>194</v>
      </c>
      <c r="I395" s="2" t="s">
        <v>195</v>
      </c>
      <c r="J395" s="2" t="s">
        <v>19</v>
      </c>
      <c r="K395" s="2" t="s">
        <v>353</v>
      </c>
      <c r="L395" s="7" t="str">
        <f>HYPERLINK("http://slimages.macys.com/is/image/MCY/11025487 ")</f>
        <v xml:space="preserve">http://slimages.macys.com/is/image/MCY/11025487 </v>
      </c>
    </row>
    <row r="396" spans="1:12" ht="24.75" x14ac:dyDescent="0.25">
      <c r="A396" s="4" t="s">
        <v>10890</v>
      </c>
      <c r="B396" s="2" t="s">
        <v>7429</v>
      </c>
      <c r="C396" s="3">
        <v>1</v>
      </c>
      <c r="D396" s="5">
        <v>24.99</v>
      </c>
      <c r="E396" s="3">
        <v>100037992</v>
      </c>
      <c r="F396" s="2" t="s">
        <v>417</v>
      </c>
      <c r="G396" s="6" t="s">
        <v>112</v>
      </c>
      <c r="H396" s="2" t="s">
        <v>228</v>
      </c>
      <c r="I396" s="2" t="s">
        <v>857</v>
      </c>
      <c r="J396" s="2" t="s">
        <v>19</v>
      </c>
      <c r="K396" s="2" t="s">
        <v>495</v>
      </c>
      <c r="L396" s="7" t="str">
        <f>HYPERLINK("http://slimages.macys.com/is/image/MCY/10242349 ")</f>
        <v xml:space="preserve">http://slimages.macys.com/is/image/MCY/10242349 </v>
      </c>
    </row>
    <row r="397" spans="1:12" ht="24.75" x14ac:dyDescent="0.25">
      <c r="A397" s="4" t="s">
        <v>10891</v>
      </c>
      <c r="B397" s="2" t="s">
        <v>1256</v>
      </c>
      <c r="C397" s="3">
        <v>1</v>
      </c>
      <c r="D397" s="5">
        <v>37.130000000000003</v>
      </c>
      <c r="E397" s="3" t="s">
        <v>1257</v>
      </c>
      <c r="F397" s="2" t="s">
        <v>1584</v>
      </c>
      <c r="G397" s="6" t="s">
        <v>200</v>
      </c>
      <c r="H397" s="2" t="s">
        <v>284</v>
      </c>
      <c r="I397" s="2" t="s">
        <v>285</v>
      </c>
      <c r="J397" s="2" t="s">
        <v>19</v>
      </c>
      <c r="K397" s="2" t="s">
        <v>160</v>
      </c>
      <c r="L397" s="7" t="str">
        <f>HYPERLINK("http://slimages.macys.com/is/image/MCY/12876584 ")</f>
        <v xml:space="preserve">http://slimages.macys.com/is/image/MCY/12876584 </v>
      </c>
    </row>
    <row r="398" spans="1:12" ht="24.75" x14ac:dyDescent="0.25">
      <c r="A398" s="4" t="s">
        <v>10892</v>
      </c>
      <c r="B398" s="2" t="s">
        <v>1241</v>
      </c>
      <c r="C398" s="3">
        <v>1</v>
      </c>
      <c r="D398" s="5">
        <v>37.130000000000003</v>
      </c>
      <c r="E398" s="3" t="s">
        <v>1242</v>
      </c>
      <c r="F398" s="2" t="s">
        <v>94</v>
      </c>
      <c r="G398" s="6" t="s">
        <v>934</v>
      </c>
      <c r="H398" s="2" t="s">
        <v>312</v>
      </c>
      <c r="I398" s="2" t="s">
        <v>195</v>
      </c>
      <c r="J398" s="2" t="s">
        <v>19</v>
      </c>
      <c r="K398" s="2" t="s">
        <v>353</v>
      </c>
      <c r="L398" s="7" t="str">
        <f>HYPERLINK("http://slimages.macys.com/is/image/MCY/11934909 ")</f>
        <v xml:space="preserve">http://slimages.macys.com/is/image/MCY/11934909 </v>
      </c>
    </row>
    <row r="399" spans="1:12" ht="24.75" x14ac:dyDescent="0.25">
      <c r="A399" s="4" t="s">
        <v>10893</v>
      </c>
      <c r="B399" s="2" t="s">
        <v>1241</v>
      </c>
      <c r="C399" s="3">
        <v>1</v>
      </c>
      <c r="D399" s="5">
        <v>37.130000000000003</v>
      </c>
      <c r="E399" s="3" t="s">
        <v>1242</v>
      </c>
      <c r="F399" s="2" t="s">
        <v>566</v>
      </c>
      <c r="G399" s="6" t="s">
        <v>165</v>
      </c>
      <c r="H399" s="2" t="s">
        <v>312</v>
      </c>
      <c r="I399" s="2" t="s">
        <v>195</v>
      </c>
      <c r="J399" s="2" t="s">
        <v>19</v>
      </c>
      <c r="K399" s="2" t="s">
        <v>353</v>
      </c>
      <c r="L399" s="7" t="str">
        <f>HYPERLINK("http://slimages.macys.com/is/image/MCY/11934909 ")</f>
        <v xml:space="preserve">http://slimages.macys.com/is/image/MCY/11934909 </v>
      </c>
    </row>
    <row r="400" spans="1:12" ht="24.75" x14ac:dyDescent="0.25">
      <c r="A400" s="4" t="s">
        <v>3805</v>
      </c>
      <c r="B400" s="2" t="s">
        <v>1244</v>
      </c>
      <c r="C400" s="3">
        <v>1</v>
      </c>
      <c r="D400" s="5">
        <v>37.130000000000003</v>
      </c>
      <c r="E400" s="3">
        <v>100058183</v>
      </c>
      <c r="F400" s="2" t="s">
        <v>26</v>
      </c>
      <c r="G400" s="6" t="s">
        <v>65</v>
      </c>
      <c r="H400" s="2" t="s">
        <v>194</v>
      </c>
      <c r="I400" s="2" t="s">
        <v>195</v>
      </c>
      <c r="J400" s="2" t="s">
        <v>19</v>
      </c>
      <c r="K400" s="2" t="s">
        <v>353</v>
      </c>
      <c r="L400" s="7" t="str">
        <f>HYPERLINK("http://slimages.macys.com/is/image/MCY/12793647 ")</f>
        <v xml:space="preserve">http://slimages.macys.com/is/image/MCY/12793647 </v>
      </c>
    </row>
    <row r="401" spans="1:12" ht="24.75" x14ac:dyDescent="0.25">
      <c r="A401" s="4" t="s">
        <v>10894</v>
      </c>
      <c r="B401" s="2" t="s">
        <v>1327</v>
      </c>
      <c r="C401" s="3">
        <v>1</v>
      </c>
      <c r="D401" s="5">
        <v>34.880000000000003</v>
      </c>
      <c r="E401" s="3" t="s">
        <v>10895</v>
      </c>
      <c r="F401" s="2" t="s">
        <v>2619</v>
      </c>
      <c r="G401" s="6" t="s">
        <v>16</v>
      </c>
      <c r="H401" s="2" t="s">
        <v>194</v>
      </c>
      <c r="I401" s="2" t="s">
        <v>195</v>
      </c>
      <c r="J401" s="2" t="s">
        <v>19</v>
      </c>
      <c r="K401" s="2" t="s">
        <v>353</v>
      </c>
      <c r="L401" s="7" t="str">
        <f>HYPERLINK("http://slimages.macys.com/is/image/MCY/12033298 ")</f>
        <v xml:space="preserve">http://slimages.macys.com/is/image/MCY/12033298 </v>
      </c>
    </row>
    <row r="402" spans="1:12" ht="24.75" x14ac:dyDescent="0.25">
      <c r="A402" s="4" t="s">
        <v>7431</v>
      </c>
      <c r="B402" s="2" t="s">
        <v>1244</v>
      </c>
      <c r="C402" s="3">
        <v>1</v>
      </c>
      <c r="D402" s="5">
        <v>37.130000000000003</v>
      </c>
      <c r="E402" s="3">
        <v>100058183</v>
      </c>
      <c r="F402" s="2" t="s">
        <v>15</v>
      </c>
      <c r="G402" s="6" t="s">
        <v>106</v>
      </c>
      <c r="H402" s="2" t="s">
        <v>194</v>
      </c>
      <c r="I402" s="2" t="s">
        <v>195</v>
      </c>
      <c r="J402" s="2" t="s">
        <v>19</v>
      </c>
      <c r="K402" s="2" t="s">
        <v>353</v>
      </c>
      <c r="L402" s="7" t="str">
        <f>HYPERLINK("http://slimages.macys.com/is/image/MCY/12793647 ")</f>
        <v xml:space="preserve">http://slimages.macys.com/is/image/MCY/12793647 </v>
      </c>
    </row>
    <row r="403" spans="1:12" ht="24.75" x14ac:dyDescent="0.25">
      <c r="A403" s="4" t="s">
        <v>10896</v>
      </c>
      <c r="B403" s="2" t="s">
        <v>1327</v>
      </c>
      <c r="C403" s="3">
        <v>2</v>
      </c>
      <c r="D403" s="5">
        <v>34.880000000000003</v>
      </c>
      <c r="E403" s="3" t="s">
        <v>10895</v>
      </c>
      <c r="F403" s="2" t="s">
        <v>2619</v>
      </c>
      <c r="G403" s="6" t="s">
        <v>58</v>
      </c>
      <c r="H403" s="2" t="s">
        <v>194</v>
      </c>
      <c r="I403" s="2" t="s">
        <v>195</v>
      </c>
      <c r="J403" s="2" t="s">
        <v>19</v>
      </c>
      <c r="K403" s="2" t="s">
        <v>353</v>
      </c>
      <c r="L403" s="7" t="str">
        <f>HYPERLINK("http://slimages.macys.com/is/image/MCY/12033298 ")</f>
        <v xml:space="preserve">http://slimages.macys.com/is/image/MCY/12033298 </v>
      </c>
    </row>
    <row r="404" spans="1:12" ht="24.75" x14ac:dyDescent="0.25">
      <c r="A404" s="4" t="s">
        <v>10897</v>
      </c>
      <c r="B404" s="2" t="s">
        <v>10898</v>
      </c>
      <c r="C404" s="3">
        <v>1</v>
      </c>
      <c r="D404" s="5">
        <v>29.99</v>
      </c>
      <c r="E404" s="3">
        <v>3598505</v>
      </c>
      <c r="F404" s="2" t="s">
        <v>417</v>
      </c>
      <c r="G404" s="6" t="s">
        <v>147</v>
      </c>
      <c r="H404" s="2" t="s">
        <v>1086</v>
      </c>
      <c r="I404" s="2" t="s">
        <v>1087</v>
      </c>
      <c r="J404" s="2" t="s">
        <v>19</v>
      </c>
      <c r="K404" s="2" t="s">
        <v>338</v>
      </c>
      <c r="L404" s="7" t="str">
        <f>HYPERLINK("http://slimages.macys.com/is/image/MCY/11636953 ")</f>
        <v xml:space="preserve">http://slimages.macys.com/is/image/MCY/11636953 </v>
      </c>
    </row>
    <row r="405" spans="1:12" ht="24.75" x14ac:dyDescent="0.25">
      <c r="A405" s="4" t="s">
        <v>8152</v>
      </c>
      <c r="B405" s="2" t="s">
        <v>8153</v>
      </c>
      <c r="C405" s="3">
        <v>1</v>
      </c>
      <c r="D405" s="5">
        <v>44.63</v>
      </c>
      <c r="E405" s="3" t="s">
        <v>8154</v>
      </c>
      <c r="F405" s="2" t="s">
        <v>74</v>
      </c>
      <c r="G405" s="6"/>
      <c r="H405" s="2" t="s">
        <v>312</v>
      </c>
      <c r="I405" s="2" t="s">
        <v>195</v>
      </c>
      <c r="J405" s="2" t="s">
        <v>19</v>
      </c>
      <c r="K405" s="2" t="s">
        <v>247</v>
      </c>
      <c r="L405" s="7" t="str">
        <f>HYPERLINK("http://slimages.macys.com/is/image/MCY/10335892 ")</f>
        <v xml:space="preserve">http://slimages.macys.com/is/image/MCY/10335892 </v>
      </c>
    </row>
    <row r="406" spans="1:12" ht="24.75" x14ac:dyDescent="0.25">
      <c r="A406" s="4" t="s">
        <v>7435</v>
      </c>
      <c r="B406" s="2" t="s">
        <v>1250</v>
      </c>
      <c r="C406" s="3">
        <v>1</v>
      </c>
      <c r="D406" s="5">
        <v>34.5</v>
      </c>
      <c r="E406" s="3">
        <v>100003654</v>
      </c>
      <c r="F406" s="2" t="s">
        <v>417</v>
      </c>
      <c r="G406" s="6" t="s">
        <v>65</v>
      </c>
      <c r="H406" s="2" t="s">
        <v>228</v>
      </c>
      <c r="I406" s="2" t="s">
        <v>229</v>
      </c>
      <c r="J406" s="2" t="s">
        <v>19</v>
      </c>
      <c r="K406" s="2" t="s">
        <v>1251</v>
      </c>
      <c r="L406" s="7" t="str">
        <f>HYPERLINK("http://slimages.macys.com/is/image/MCY/9100235 ")</f>
        <v xml:space="preserve">http://slimages.macys.com/is/image/MCY/9100235 </v>
      </c>
    </row>
    <row r="407" spans="1:12" ht="24.75" x14ac:dyDescent="0.25">
      <c r="A407" s="4" t="s">
        <v>7443</v>
      </c>
      <c r="B407" s="2" t="s">
        <v>1327</v>
      </c>
      <c r="C407" s="3">
        <v>1</v>
      </c>
      <c r="D407" s="5">
        <v>34.880000000000003</v>
      </c>
      <c r="E407" s="3" t="s">
        <v>7441</v>
      </c>
      <c r="F407" s="2" t="s">
        <v>676</v>
      </c>
      <c r="G407" s="6" t="s">
        <v>165</v>
      </c>
      <c r="H407" s="2" t="s">
        <v>312</v>
      </c>
      <c r="I407" s="2" t="s">
        <v>195</v>
      </c>
      <c r="J407" s="2" t="s">
        <v>19</v>
      </c>
      <c r="K407" s="2" t="s">
        <v>353</v>
      </c>
      <c r="L407" s="7" t="str">
        <f>HYPERLINK("http://slimages.macys.com/is/image/MCY/8256708 ")</f>
        <v xml:space="preserve">http://slimages.macys.com/is/image/MCY/8256708 </v>
      </c>
    </row>
    <row r="408" spans="1:12" ht="24.75" x14ac:dyDescent="0.25">
      <c r="A408" s="4" t="s">
        <v>10899</v>
      </c>
      <c r="B408" s="2" t="s">
        <v>10900</v>
      </c>
      <c r="C408" s="3">
        <v>1</v>
      </c>
      <c r="D408" s="5">
        <v>37.130000000000003</v>
      </c>
      <c r="E408" s="3" t="s">
        <v>10901</v>
      </c>
      <c r="F408" s="2" t="s">
        <v>53</v>
      </c>
      <c r="G408" s="6" t="s">
        <v>154</v>
      </c>
      <c r="H408" s="2" t="s">
        <v>284</v>
      </c>
      <c r="I408" s="2" t="s">
        <v>285</v>
      </c>
      <c r="J408" s="2" t="s">
        <v>19</v>
      </c>
      <c r="K408" s="2" t="s">
        <v>160</v>
      </c>
      <c r="L408" s="7" t="str">
        <f>HYPERLINK("http://slimages.macys.com/is/image/MCY/13081163 ")</f>
        <v xml:space="preserve">http://slimages.macys.com/is/image/MCY/13081163 </v>
      </c>
    </row>
    <row r="409" spans="1:12" ht="24.75" x14ac:dyDescent="0.25">
      <c r="A409" s="4" t="s">
        <v>10902</v>
      </c>
      <c r="B409" s="2" t="s">
        <v>10900</v>
      </c>
      <c r="C409" s="3">
        <v>1</v>
      </c>
      <c r="D409" s="5">
        <v>37.130000000000003</v>
      </c>
      <c r="E409" s="3" t="s">
        <v>10901</v>
      </c>
      <c r="F409" s="2" t="s">
        <v>111</v>
      </c>
      <c r="G409" s="6" t="s">
        <v>181</v>
      </c>
      <c r="H409" s="2" t="s">
        <v>284</v>
      </c>
      <c r="I409" s="2" t="s">
        <v>285</v>
      </c>
      <c r="J409" s="2" t="s">
        <v>19</v>
      </c>
      <c r="K409" s="2" t="s">
        <v>160</v>
      </c>
      <c r="L409" s="7" t="str">
        <f>HYPERLINK("http://slimages.macys.com/is/image/MCY/13081163 ")</f>
        <v xml:space="preserve">http://slimages.macys.com/is/image/MCY/13081163 </v>
      </c>
    </row>
    <row r="410" spans="1:12" ht="24.75" x14ac:dyDescent="0.25">
      <c r="A410" s="4" t="s">
        <v>10903</v>
      </c>
      <c r="B410" s="2" t="s">
        <v>4915</v>
      </c>
      <c r="C410" s="3">
        <v>1</v>
      </c>
      <c r="D410" s="5">
        <v>34.880000000000003</v>
      </c>
      <c r="E410" s="3">
        <v>100009325</v>
      </c>
      <c r="F410" s="2" t="s">
        <v>74</v>
      </c>
      <c r="G410" s="6" t="s">
        <v>156</v>
      </c>
      <c r="H410" s="2" t="s">
        <v>194</v>
      </c>
      <c r="I410" s="2" t="s">
        <v>229</v>
      </c>
      <c r="J410" s="2" t="s">
        <v>19</v>
      </c>
      <c r="K410" s="2" t="s">
        <v>253</v>
      </c>
      <c r="L410" s="7" t="str">
        <f>HYPERLINK("http://slimages.macys.com/is/image/MCY/9489387 ")</f>
        <v xml:space="preserve">http://slimages.macys.com/is/image/MCY/9489387 </v>
      </c>
    </row>
    <row r="411" spans="1:12" ht="24.75" x14ac:dyDescent="0.25">
      <c r="A411" s="4" t="s">
        <v>10904</v>
      </c>
      <c r="B411" s="2" t="s">
        <v>2686</v>
      </c>
      <c r="C411" s="3">
        <v>1</v>
      </c>
      <c r="D411" s="5">
        <v>34.5</v>
      </c>
      <c r="E411" s="3">
        <v>100062502</v>
      </c>
      <c r="F411" s="2" t="s">
        <v>15</v>
      </c>
      <c r="G411" s="6" t="s">
        <v>141</v>
      </c>
      <c r="H411" s="2" t="s">
        <v>228</v>
      </c>
      <c r="I411" s="2" t="s">
        <v>229</v>
      </c>
      <c r="J411" s="2" t="s">
        <v>19</v>
      </c>
      <c r="K411" s="2" t="s">
        <v>253</v>
      </c>
      <c r="L411" s="7" t="str">
        <f>HYPERLINK("http://slimages.macys.com/is/image/MCY/12849901 ")</f>
        <v xml:space="preserve">http://slimages.macys.com/is/image/MCY/12849901 </v>
      </c>
    </row>
    <row r="412" spans="1:12" ht="24.75" x14ac:dyDescent="0.25">
      <c r="A412" s="4" t="s">
        <v>10905</v>
      </c>
      <c r="B412" s="2" t="s">
        <v>2661</v>
      </c>
      <c r="C412" s="3">
        <v>1</v>
      </c>
      <c r="D412" s="5">
        <v>44.63</v>
      </c>
      <c r="E412" s="3" t="s">
        <v>10906</v>
      </c>
      <c r="F412" s="2" t="s">
        <v>1322</v>
      </c>
      <c r="G412" s="6"/>
      <c r="H412" s="2" t="s">
        <v>312</v>
      </c>
      <c r="I412" s="2" t="s">
        <v>195</v>
      </c>
      <c r="J412" s="2" t="s">
        <v>19</v>
      </c>
      <c r="K412" s="2" t="s">
        <v>247</v>
      </c>
      <c r="L412" s="7" t="str">
        <f>HYPERLINK("http://slimages.macys.com/is/image/MCY/12035007 ")</f>
        <v xml:space="preserve">http://slimages.macys.com/is/image/MCY/12035007 </v>
      </c>
    </row>
    <row r="413" spans="1:12" ht="24.75" x14ac:dyDescent="0.25">
      <c r="A413" s="4" t="s">
        <v>10907</v>
      </c>
      <c r="B413" s="2" t="s">
        <v>10908</v>
      </c>
      <c r="C413" s="3">
        <v>2</v>
      </c>
      <c r="D413" s="5">
        <v>33.380000000000003</v>
      </c>
      <c r="E413" s="3" t="s">
        <v>10909</v>
      </c>
      <c r="F413" s="2" t="s">
        <v>132</v>
      </c>
      <c r="G413" s="6" t="s">
        <v>234</v>
      </c>
      <c r="H413" s="2" t="s">
        <v>246</v>
      </c>
      <c r="I413" s="2" t="s">
        <v>189</v>
      </c>
      <c r="J413" s="2" t="s">
        <v>19</v>
      </c>
      <c r="K413" s="2" t="s">
        <v>107</v>
      </c>
      <c r="L413" s="7" t="str">
        <f>HYPERLINK("http://slimages.macys.com/is/image/MCY/12928848 ")</f>
        <v xml:space="preserve">http://slimages.macys.com/is/image/MCY/12928848 </v>
      </c>
    </row>
    <row r="414" spans="1:12" ht="24.75" x14ac:dyDescent="0.25">
      <c r="A414" s="4" t="s">
        <v>10910</v>
      </c>
      <c r="B414" s="2" t="s">
        <v>1279</v>
      </c>
      <c r="C414" s="3">
        <v>1</v>
      </c>
      <c r="D414" s="5">
        <v>27.99</v>
      </c>
      <c r="E414" s="3" t="s">
        <v>10911</v>
      </c>
      <c r="F414" s="2" t="s">
        <v>26</v>
      </c>
      <c r="G414" s="6" t="s">
        <v>154</v>
      </c>
      <c r="H414" s="2" t="s">
        <v>194</v>
      </c>
      <c r="I414" s="2" t="s">
        <v>919</v>
      </c>
      <c r="J414" s="2" t="s">
        <v>19</v>
      </c>
      <c r="K414" s="2" t="s">
        <v>409</v>
      </c>
      <c r="L414" s="7" t="str">
        <f>HYPERLINK("http://slimages.macys.com/is/image/MCY/8185331 ")</f>
        <v xml:space="preserve">http://slimages.macys.com/is/image/MCY/8185331 </v>
      </c>
    </row>
    <row r="415" spans="1:12" ht="24.75" x14ac:dyDescent="0.25">
      <c r="A415" s="4" t="s">
        <v>1288</v>
      </c>
      <c r="B415" s="2" t="s">
        <v>1279</v>
      </c>
      <c r="C415" s="3">
        <v>1</v>
      </c>
      <c r="D415" s="5">
        <v>27.99</v>
      </c>
      <c r="E415" s="3" t="s">
        <v>1280</v>
      </c>
      <c r="F415" s="2" t="s">
        <v>566</v>
      </c>
      <c r="G415" s="6"/>
      <c r="H415" s="2" t="s">
        <v>312</v>
      </c>
      <c r="I415" s="2" t="s">
        <v>1112</v>
      </c>
      <c r="J415" s="2" t="s">
        <v>19</v>
      </c>
      <c r="K415" s="2" t="s">
        <v>409</v>
      </c>
      <c r="L415" s="7" t="str">
        <f>HYPERLINK("http://slimages.macys.com/is/image/MCY/3832970 ")</f>
        <v xml:space="preserve">http://slimages.macys.com/is/image/MCY/3832970 </v>
      </c>
    </row>
    <row r="416" spans="1:12" ht="24.75" x14ac:dyDescent="0.25">
      <c r="A416" s="4" t="s">
        <v>10912</v>
      </c>
      <c r="B416" s="2" t="s">
        <v>10913</v>
      </c>
      <c r="C416" s="3">
        <v>1</v>
      </c>
      <c r="D416" s="5">
        <v>48</v>
      </c>
      <c r="E416" s="3" t="s">
        <v>10914</v>
      </c>
      <c r="F416" s="2" t="s">
        <v>125</v>
      </c>
      <c r="G416" s="6"/>
      <c r="H416" s="2" t="s">
        <v>447</v>
      </c>
      <c r="I416" s="2" t="s">
        <v>10806</v>
      </c>
      <c r="J416" s="2"/>
      <c r="K416" s="2"/>
      <c r="L416" s="7" t="str">
        <f>HYPERLINK("http://slimages.macys.com/is/image/MCY/8853254 ")</f>
        <v xml:space="preserve">http://slimages.macys.com/is/image/MCY/8853254 </v>
      </c>
    </row>
    <row r="417" spans="1:12" ht="24.75" x14ac:dyDescent="0.25">
      <c r="A417" s="4" t="s">
        <v>4932</v>
      </c>
      <c r="B417" s="2" t="s">
        <v>1196</v>
      </c>
      <c r="C417" s="3">
        <v>1</v>
      </c>
      <c r="D417" s="5">
        <v>37.130000000000003</v>
      </c>
      <c r="E417" s="3" t="s">
        <v>1305</v>
      </c>
      <c r="F417" s="2" t="s">
        <v>887</v>
      </c>
      <c r="G417" s="6"/>
      <c r="H417" s="2" t="s">
        <v>312</v>
      </c>
      <c r="I417" s="2" t="s">
        <v>195</v>
      </c>
      <c r="J417" s="2" t="s">
        <v>19</v>
      </c>
      <c r="K417" s="2" t="s">
        <v>990</v>
      </c>
      <c r="L417" s="7" t="str">
        <f>HYPERLINK("http://slimages.macys.com/is/image/MCY/12280097 ")</f>
        <v xml:space="preserve">http://slimages.macys.com/is/image/MCY/12280097 </v>
      </c>
    </row>
    <row r="418" spans="1:12" ht="24.75" x14ac:dyDescent="0.25">
      <c r="A418" s="4" t="s">
        <v>10915</v>
      </c>
      <c r="B418" s="2" t="s">
        <v>10916</v>
      </c>
      <c r="C418" s="3">
        <v>1</v>
      </c>
      <c r="D418" s="5">
        <v>29.63</v>
      </c>
      <c r="E418" s="3" t="s">
        <v>10917</v>
      </c>
      <c r="F418" s="2" t="s">
        <v>1914</v>
      </c>
      <c r="G418" s="6" t="s">
        <v>234</v>
      </c>
      <c r="H418" s="2" t="s">
        <v>194</v>
      </c>
      <c r="I418" s="2" t="s">
        <v>195</v>
      </c>
      <c r="J418" s="2" t="s">
        <v>19</v>
      </c>
      <c r="K418" s="2" t="s">
        <v>247</v>
      </c>
      <c r="L418" s="7" t="str">
        <f>HYPERLINK("http://slimages.macys.com/is/image/MCY/12850789 ")</f>
        <v xml:space="preserve">http://slimages.macys.com/is/image/MCY/12850789 </v>
      </c>
    </row>
    <row r="419" spans="1:12" ht="24.75" x14ac:dyDescent="0.25">
      <c r="A419" s="4" t="s">
        <v>10918</v>
      </c>
      <c r="B419" s="2" t="s">
        <v>10916</v>
      </c>
      <c r="C419" s="3">
        <v>1</v>
      </c>
      <c r="D419" s="5">
        <v>29.63</v>
      </c>
      <c r="E419" s="3" t="s">
        <v>10917</v>
      </c>
      <c r="F419" s="2" t="s">
        <v>1914</v>
      </c>
      <c r="G419" s="6" t="s">
        <v>154</v>
      </c>
      <c r="H419" s="2" t="s">
        <v>194</v>
      </c>
      <c r="I419" s="2" t="s">
        <v>195</v>
      </c>
      <c r="J419" s="2" t="s">
        <v>19</v>
      </c>
      <c r="K419" s="2" t="s">
        <v>247</v>
      </c>
      <c r="L419" s="7" t="str">
        <f>HYPERLINK("http://slimages.macys.com/is/image/MCY/12850789 ")</f>
        <v xml:space="preserve">http://slimages.macys.com/is/image/MCY/12850789 </v>
      </c>
    </row>
    <row r="420" spans="1:12" ht="24.75" x14ac:dyDescent="0.25">
      <c r="A420" s="4" t="s">
        <v>10919</v>
      </c>
      <c r="B420" s="2" t="s">
        <v>10916</v>
      </c>
      <c r="C420" s="3">
        <v>2</v>
      </c>
      <c r="D420" s="5">
        <v>29.63</v>
      </c>
      <c r="E420" s="3" t="s">
        <v>10917</v>
      </c>
      <c r="F420" s="2" t="s">
        <v>1914</v>
      </c>
      <c r="G420" s="6" t="s">
        <v>181</v>
      </c>
      <c r="H420" s="2" t="s">
        <v>194</v>
      </c>
      <c r="I420" s="2" t="s">
        <v>195</v>
      </c>
      <c r="J420" s="2" t="s">
        <v>19</v>
      </c>
      <c r="K420" s="2" t="s">
        <v>247</v>
      </c>
      <c r="L420" s="7" t="str">
        <f>HYPERLINK("http://slimages.macys.com/is/image/MCY/12850789 ")</f>
        <v xml:space="preserve">http://slimages.macys.com/is/image/MCY/12850789 </v>
      </c>
    </row>
    <row r="421" spans="1:12" ht="24.75" x14ac:dyDescent="0.25">
      <c r="A421" s="4" t="s">
        <v>10920</v>
      </c>
      <c r="B421" s="2" t="s">
        <v>10916</v>
      </c>
      <c r="C421" s="3">
        <v>1</v>
      </c>
      <c r="D421" s="5">
        <v>29.63</v>
      </c>
      <c r="E421" s="3" t="s">
        <v>10917</v>
      </c>
      <c r="F421" s="2" t="s">
        <v>1914</v>
      </c>
      <c r="G421" s="6" t="s">
        <v>200</v>
      </c>
      <c r="H421" s="2" t="s">
        <v>194</v>
      </c>
      <c r="I421" s="2" t="s">
        <v>195</v>
      </c>
      <c r="J421" s="2" t="s">
        <v>19</v>
      </c>
      <c r="K421" s="2" t="s">
        <v>247</v>
      </c>
      <c r="L421" s="7" t="str">
        <f>HYPERLINK("http://slimages.macys.com/is/image/MCY/12850789 ")</f>
        <v xml:space="preserve">http://slimages.macys.com/is/image/MCY/12850789 </v>
      </c>
    </row>
    <row r="422" spans="1:12" ht="24.75" x14ac:dyDescent="0.25">
      <c r="A422" s="4" t="s">
        <v>10921</v>
      </c>
      <c r="B422" s="2" t="s">
        <v>5894</v>
      </c>
      <c r="C422" s="3">
        <v>1</v>
      </c>
      <c r="D422" s="5">
        <v>29.63</v>
      </c>
      <c r="E422" s="3" t="s">
        <v>8175</v>
      </c>
      <c r="F422" s="2" t="s">
        <v>74</v>
      </c>
      <c r="G422" s="6" t="s">
        <v>181</v>
      </c>
      <c r="H422" s="2" t="s">
        <v>284</v>
      </c>
      <c r="I422" s="2" t="s">
        <v>285</v>
      </c>
      <c r="J422" s="2" t="s">
        <v>19</v>
      </c>
      <c r="K422" s="2" t="s">
        <v>160</v>
      </c>
      <c r="L422" s="7" t="str">
        <f>HYPERLINK("http://slimages.macys.com/is/image/MCY/13081238 ")</f>
        <v xml:space="preserve">http://slimages.macys.com/is/image/MCY/13081238 </v>
      </c>
    </row>
    <row r="423" spans="1:12" ht="24.75" x14ac:dyDescent="0.25">
      <c r="A423" s="4" t="s">
        <v>10922</v>
      </c>
      <c r="B423" s="2" t="s">
        <v>10923</v>
      </c>
      <c r="C423" s="3">
        <v>1</v>
      </c>
      <c r="D423" s="5">
        <v>27.99</v>
      </c>
      <c r="E423" s="3" t="s">
        <v>10924</v>
      </c>
      <c r="F423" s="2" t="s">
        <v>74</v>
      </c>
      <c r="G423" s="6" t="s">
        <v>156</v>
      </c>
      <c r="H423" s="2" t="s">
        <v>1522</v>
      </c>
      <c r="I423" s="2" t="s">
        <v>1469</v>
      </c>
      <c r="J423" s="2" t="s">
        <v>19</v>
      </c>
      <c r="K423" s="2" t="s">
        <v>34</v>
      </c>
      <c r="L423" s="7" t="str">
        <f>HYPERLINK("http://slimages.macys.com/is/image/MCY/14333984 ")</f>
        <v xml:space="preserve">http://slimages.macys.com/is/image/MCY/14333984 </v>
      </c>
    </row>
    <row r="424" spans="1:12" ht="24.75" x14ac:dyDescent="0.25">
      <c r="A424" s="4" t="s">
        <v>10925</v>
      </c>
      <c r="B424" s="2" t="s">
        <v>1343</v>
      </c>
      <c r="C424" s="3">
        <v>2</v>
      </c>
      <c r="D424" s="5">
        <v>24.99</v>
      </c>
      <c r="E424" s="3" t="s">
        <v>6622</v>
      </c>
      <c r="F424" s="2" t="s">
        <v>331</v>
      </c>
      <c r="G424" s="6" t="s">
        <v>934</v>
      </c>
      <c r="H424" s="2" t="s">
        <v>426</v>
      </c>
      <c r="I424" s="2" t="s">
        <v>229</v>
      </c>
      <c r="J424" s="2" t="s">
        <v>19</v>
      </c>
      <c r="K424" s="2" t="s">
        <v>253</v>
      </c>
      <c r="L424" s="7" t="str">
        <f>HYPERLINK("http://slimages.macys.com/is/image/MCY/8185690 ")</f>
        <v xml:space="preserve">http://slimages.macys.com/is/image/MCY/8185690 </v>
      </c>
    </row>
    <row r="425" spans="1:12" ht="24.75" x14ac:dyDescent="0.25">
      <c r="A425" s="4" t="s">
        <v>10926</v>
      </c>
      <c r="B425" s="2" t="s">
        <v>2678</v>
      </c>
      <c r="C425" s="3">
        <v>1</v>
      </c>
      <c r="D425" s="5">
        <v>24.99</v>
      </c>
      <c r="E425" s="3" t="s">
        <v>6619</v>
      </c>
      <c r="F425" s="2" t="s">
        <v>878</v>
      </c>
      <c r="G425" s="6" t="s">
        <v>4873</v>
      </c>
      <c r="H425" s="2" t="s">
        <v>228</v>
      </c>
      <c r="I425" s="2" t="s">
        <v>863</v>
      </c>
      <c r="J425" s="2" t="s">
        <v>19</v>
      </c>
      <c r="K425" s="2" t="s">
        <v>253</v>
      </c>
      <c r="L425" s="7" t="str">
        <f>HYPERLINK("http://slimages.macys.com/is/image/MCY/11804521 ")</f>
        <v xml:space="preserve">http://slimages.macys.com/is/image/MCY/11804521 </v>
      </c>
    </row>
    <row r="426" spans="1:12" ht="24.75" x14ac:dyDescent="0.25">
      <c r="A426" s="4" t="s">
        <v>6618</v>
      </c>
      <c r="B426" s="2" t="s">
        <v>2678</v>
      </c>
      <c r="C426" s="3">
        <v>1</v>
      </c>
      <c r="D426" s="5">
        <v>24.99</v>
      </c>
      <c r="E426" s="3" t="s">
        <v>6619</v>
      </c>
      <c r="F426" s="2" t="s">
        <v>878</v>
      </c>
      <c r="G426" s="6" t="s">
        <v>16</v>
      </c>
      <c r="H426" s="2" t="s">
        <v>228</v>
      </c>
      <c r="I426" s="2" t="s">
        <v>863</v>
      </c>
      <c r="J426" s="2" t="s">
        <v>19</v>
      </c>
      <c r="K426" s="2" t="s">
        <v>253</v>
      </c>
      <c r="L426" s="7" t="str">
        <f>HYPERLINK("http://slimages.macys.com/is/image/MCY/11804521 ")</f>
        <v xml:space="preserve">http://slimages.macys.com/is/image/MCY/11804521 </v>
      </c>
    </row>
    <row r="427" spans="1:12" x14ac:dyDescent="0.25">
      <c r="A427" s="4" t="s">
        <v>3868</v>
      </c>
      <c r="B427" s="2" t="s">
        <v>3869</v>
      </c>
      <c r="C427" s="3">
        <v>1</v>
      </c>
      <c r="D427" s="5">
        <v>54.5</v>
      </c>
      <c r="E427" s="3" t="s">
        <v>3870</v>
      </c>
      <c r="F427" s="2" t="s">
        <v>74</v>
      </c>
      <c r="G427" s="6" t="s">
        <v>219</v>
      </c>
      <c r="H427" s="2" t="s">
        <v>206</v>
      </c>
      <c r="I427" s="2" t="s">
        <v>207</v>
      </c>
      <c r="J427" s="2" t="s">
        <v>19</v>
      </c>
      <c r="K427" s="2" t="s">
        <v>648</v>
      </c>
      <c r="L427" s="7" t="str">
        <f>HYPERLINK("http://slimages.macys.com/is/image/MCY/13924643 ")</f>
        <v xml:space="preserve">http://slimages.macys.com/is/image/MCY/13924643 </v>
      </c>
    </row>
    <row r="428" spans="1:12" ht="24.75" x14ac:dyDescent="0.25">
      <c r="A428" s="4" t="s">
        <v>4949</v>
      </c>
      <c r="B428" s="2" t="s">
        <v>2683</v>
      </c>
      <c r="C428" s="3">
        <v>1</v>
      </c>
      <c r="D428" s="5">
        <v>33.380000000000003</v>
      </c>
      <c r="E428" s="3" t="s">
        <v>2684</v>
      </c>
      <c r="F428" s="2" t="s">
        <v>752</v>
      </c>
      <c r="G428" s="6" t="s">
        <v>156</v>
      </c>
      <c r="H428" s="2" t="s">
        <v>194</v>
      </c>
      <c r="I428" s="2" t="s">
        <v>195</v>
      </c>
      <c r="J428" s="2" t="s">
        <v>19</v>
      </c>
      <c r="K428" s="2" t="s">
        <v>247</v>
      </c>
      <c r="L428" s="7" t="str">
        <f>HYPERLINK("http://slimages.macys.com/is/image/MCY/12404928 ")</f>
        <v xml:space="preserve">http://slimages.macys.com/is/image/MCY/12404928 </v>
      </c>
    </row>
    <row r="429" spans="1:12" ht="24.75" x14ac:dyDescent="0.25">
      <c r="A429" s="4" t="s">
        <v>10927</v>
      </c>
      <c r="B429" s="2" t="s">
        <v>10928</v>
      </c>
      <c r="C429" s="3">
        <v>1</v>
      </c>
      <c r="D429" s="5">
        <v>40.880000000000003</v>
      </c>
      <c r="E429" s="3" t="s">
        <v>10929</v>
      </c>
      <c r="F429" s="2" t="s">
        <v>57</v>
      </c>
      <c r="G429" s="6" t="s">
        <v>234</v>
      </c>
      <c r="H429" s="2" t="s">
        <v>246</v>
      </c>
      <c r="I429" s="2" t="s">
        <v>189</v>
      </c>
      <c r="J429" s="2" t="s">
        <v>19</v>
      </c>
      <c r="K429" s="2" t="s">
        <v>160</v>
      </c>
      <c r="L429" s="7" t="str">
        <f>HYPERLINK("http://slimages.macys.com/is/image/MCY/11995300 ")</f>
        <v xml:space="preserve">http://slimages.macys.com/is/image/MCY/11995300 </v>
      </c>
    </row>
    <row r="430" spans="1:12" ht="48.75" x14ac:dyDescent="0.25">
      <c r="A430" s="4" t="s">
        <v>10930</v>
      </c>
      <c r="B430" s="2" t="s">
        <v>984</v>
      </c>
      <c r="C430" s="3">
        <v>2</v>
      </c>
      <c r="D430" s="5">
        <v>44.63</v>
      </c>
      <c r="E430" s="3" t="s">
        <v>985</v>
      </c>
      <c r="F430" s="2" t="s">
        <v>572</v>
      </c>
      <c r="G430" s="6" t="s">
        <v>16</v>
      </c>
      <c r="H430" s="2" t="s">
        <v>246</v>
      </c>
      <c r="I430" s="2" t="s">
        <v>487</v>
      </c>
      <c r="J430" s="2" t="s">
        <v>19</v>
      </c>
      <c r="K430" s="2" t="s">
        <v>787</v>
      </c>
      <c r="L430" s="7" t="str">
        <f>HYPERLINK("http://slimages.macys.com/is/image/MCY/9213839 ")</f>
        <v xml:space="preserve">http://slimages.macys.com/is/image/MCY/9213839 </v>
      </c>
    </row>
    <row r="431" spans="1:12" ht="48.75" x14ac:dyDescent="0.25">
      <c r="A431" s="4" t="s">
        <v>10931</v>
      </c>
      <c r="B431" s="2" t="s">
        <v>984</v>
      </c>
      <c r="C431" s="3">
        <v>1</v>
      </c>
      <c r="D431" s="5">
        <v>44.63</v>
      </c>
      <c r="E431" s="3" t="s">
        <v>985</v>
      </c>
      <c r="F431" s="2" t="s">
        <v>331</v>
      </c>
      <c r="G431" s="6" t="s">
        <v>106</v>
      </c>
      <c r="H431" s="2" t="s">
        <v>246</v>
      </c>
      <c r="I431" s="2" t="s">
        <v>487</v>
      </c>
      <c r="J431" s="2" t="s">
        <v>19</v>
      </c>
      <c r="K431" s="2" t="s">
        <v>787</v>
      </c>
      <c r="L431" s="7" t="str">
        <f>HYPERLINK("http://slimages.macys.com/is/image/MCY/11808679 ")</f>
        <v xml:space="preserve">http://slimages.macys.com/is/image/MCY/11808679 </v>
      </c>
    </row>
    <row r="432" spans="1:12" ht="24.75" x14ac:dyDescent="0.25">
      <c r="A432" s="4" t="s">
        <v>10932</v>
      </c>
      <c r="B432" s="2" t="s">
        <v>5894</v>
      </c>
      <c r="C432" s="3">
        <v>1</v>
      </c>
      <c r="D432" s="5">
        <v>29.63</v>
      </c>
      <c r="E432" s="3" t="s">
        <v>8175</v>
      </c>
      <c r="F432" s="2" t="s">
        <v>1584</v>
      </c>
      <c r="G432" s="6" t="s">
        <v>181</v>
      </c>
      <c r="H432" s="2" t="s">
        <v>284</v>
      </c>
      <c r="I432" s="2" t="s">
        <v>285</v>
      </c>
      <c r="J432" s="2" t="s">
        <v>19</v>
      </c>
      <c r="K432" s="2" t="s">
        <v>160</v>
      </c>
      <c r="L432" s="7" t="str">
        <f>HYPERLINK("http://slimages.macys.com/is/image/MCY/13081238 ")</f>
        <v xml:space="preserve">http://slimages.macys.com/is/image/MCY/13081238 </v>
      </c>
    </row>
    <row r="433" spans="1:12" ht="24.75" x14ac:dyDescent="0.25">
      <c r="A433" s="4" t="s">
        <v>6637</v>
      </c>
      <c r="B433" s="2" t="s">
        <v>1318</v>
      </c>
      <c r="C433" s="3">
        <v>1</v>
      </c>
      <c r="D433" s="5">
        <v>24.99</v>
      </c>
      <c r="E433" s="3" t="s">
        <v>1321</v>
      </c>
      <c r="F433" s="2" t="s">
        <v>70</v>
      </c>
      <c r="G433" s="6" t="s">
        <v>27</v>
      </c>
      <c r="H433" s="2" t="s">
        <v>228</v>
      </c>
      <c r="I433" s="2" t="s">
        <v>229</v>
      </c>
      <c r="J433" s="2" t="s">
        <v>19</v>
      </c>
      <c r="K433" s="2" t="s">
        <v>253</v>
      </c>
      <c r="L433" s="7" t="str">
        <f>HYPERLINK("http://slimages.macys.com/is/image/MCY/9029356 ")</f>
        <v xml:space="preserve">http://slimages.macys.com/is/image/MCY/9029356 </v>
      </c>
    </row>
    <row r="434" spans="1:12" ht="24.75" x14ac:dyDescent="0.25">
      <c r="A434" s="4" t="s">
        <v>1350</v>
      </c>
      <c r="B434" s="2" t="s">
        <v>1318</v>
      </c>
      <c r="C434" s="3">
        <v>2</v>
      </c>
      <c r="D434" s="5">
        <v>24.99</v>
      </c>
      <c r="E434" s="3" t="s">
        <v>1321</v>
      </c>
      <c r="F434" s="2" t="s">
        <v>506</v>
      </c>
      <c r="G434" s="6" t="s">
        <v>58</v>
      </c>
      <c r="H434" s="2" t="s">
        <v>228</v>
      </c>
      <c r="I434" s="2" t="s">
        <v>229</v>
      </c>
      <c r="J434" s="2" t="s">
        <v>19</v>
      </c>
      <c r="K434" s="2" t="s">
        <v>253</v>
      </c>
      <c r="L434" s="7" t="str">
        <f>HYPERLINK("http://slimages.macys.com/is/image/MCY/8296032 ")</f>
        <v xml:space="preserve">http://slimages.macys.com/is/image/MCY/8296032 </v>
      </c>
    </row>
    <row r="435" spans="1:12" ht="24.75" x14ac:dyDescent="0.25">
      <c r="A435" s="4" t="s">
        <v>2691</v>
      </c>
      <c r="B435" s="2" t="s">
        <v>1318</v>
      </c>
      <c r="C435" s="3">
        <v>1</v>
      </c>
      <c r="D435" s="5">
        <v>24.99</v>
      </c>
      <c r="E435" s="3" t="s">
        <v>1321</v>
      </c>
      <c r="F435" s="2" t="s">
        <v>506</v>
      </c>
      <c r="G435" s="6" t="s">
        <v>16</v>
      </c>
      <c r="H435" s="2" t="s">
        <v>228</v>
      </c>
      <c r="I435" s="2" t="s">
        <v>229</v>
      </c>
      <c r="J435" s="2" t="s">
        <v>19</v>
      </c>
      <c r="K435" s="2" t="s">
        <v>253</v>
      </c>
      <c r="L435" s="7" t="str">
        <f>HYPERLINK("http://slimages.macys.com/is/image/MCY/8296032 ")</f>
        <v xml:space="preserve">http://slimages.macys.com/is/image/MCY/8296032 </v>
      </c>
    </row>
    <row r="436" spans="1:12" ht="24.75" x14ac:dyDescent="0.25">
      <c r="A436" s="4" t="s">
        <v>6646</v>
      </c>
      <c r="B436" s="2" t="s">
        <v>1253</v>
      </c>
      <c r="C436" s="3">
        <v>1</v>
      </c>
      <c r="D436" s="5">
        <v>24.99</v>
      </c>
      <c r="E436" s="3" t="s">
        <v>2688</v>
      </c>
      <c r="F436" s="2" t="s">
        <v>506</v>
      </c>
      <c r="G436" s="6" t="s">
        <v>802</v>
      </c>
      <c r="H436" s="2" t="s">
        <v>426</v>
      </c>
      <c r="I436" s="2" t="s">
        <v>863</v>
      </c>
      <c r="J436" s="2" t="s">
        <v>19</v>
      </c>
      <c r="K436" s="2" t="s">
        <v>253</v>
      </c>
      <c r="L436" s="7" t="str">
        <f>HYPERLINK("http://slimages.macys.com/is/image/MCY/9029356 ")</f>
        <v xml:space="preserve">http://slimages.macys.com/is/image/MCY/9029356 </v>
      </c>
    </row>
    <row r="437" spans="1:12" ht="24.75" x14ac:dyDescent="0.25">
      <c r="A437" s="4" t="s">
        <v>3885</v>
      </c>
      <c r="B437" s="2" t="s">
        <v>1359</v>
      </c>
      <c r="C437" s="3">
        <v>1</v>
      </c>
      <c r="D437" s="5">
        <v>29.99</v>
      </c>
      <c r="E437" s="3" t="s">
        <v>1360</v>
      </c>
      <c r="F437" s="2" t="s">
        <v>26</v>
      </c>
      <c r="G437" s="6" t="s">
        <v>154</v>
      </c>
      <c r="H437" s="2" t="s">
        <v>246</v>
      </c>
      <c r="I437" s="2" t="s">
        <v>189</v>
      </c>
      <c r="J437" s="2" t="s">
        <v>19</v>
      </c>
      <c r="K437" s="2" t="s">
        <v>160</v>
      </c>
      <c r="L437" s="7" t="str">
        <f>HYPERLINK("http://slimages.macys.com/is/image/MCY/11420487 ")</f>
        <v xml:space="preserve">http://slimages.macys.com/is/image/MCY/11420487 </v>
      </c>
    </row>
    <row r="438" spans="1:12" ht="24.75" x14ac:dyDescent="0.25">
      <c r="A438" s="4" t="s">
        <v>10933</v>
      </c>
      <c r="B438" s="2" t="s">
        <v>10934</v>
      </c>
      <c r="C438" s="3">
        <v>1</v>
      </c>
      <c r="D438" s="5">
        <v>29.99</v>
      </c>
      <c r="E438" s="3" t="s">
        <v>10935</v>
      </c>
      <c r="F438" s="2" t="s">
        <v>413</v>
      </c>
      <c r="G438" s="6" t="s">
        <v>245</v>
      </c>
      <c r="H438" s="2" t="s">
        <v>246</v>
      </c>
      <c r="I438" s="2" t="s">
        <v>189</v>
      </c>
      <c r="J438" s="2" t="s">
        <v>19</v>
      </c>
      <c r="K438" s="2" t="s">
        <v>160</v>
      </c>
      <c r="L438" s="7" t="str">
        <f>HYPERLINK("http://slimages.macys.com/is/image/MCY/11634837 ")</f>
        <v xml:space="preserve">http://slimages.macys.com/is/image/MCY/11634837 </v>
      </c>
    </row>
    <row r="439" spans="1:12" ht="24.75" x14ac:dyDescent="0.25">
      <c r="A439" s="4" t="s">
        <v>1370</v>
      </c>
      <c r="B439" s="2" t="s">
        <v>1365</v>
      </c>
      <c r="C439" s="3">
        <v>2</v>
      </c>
      <c r="D439" s="5">
        <v>37.130000000000003</v>
      </c>
      <c r="E439" s="3">
        <v>100065803</v>
      </c>
      <c r="F439" s="2" t="s">
        <v>74</v>
      </c>
      <c r="G439" s="6" t="s">
        <v>156</v>
      </c>
      <c r="H439" s="2" t="s">
        <v>194</v>
      </c>
      <c r="I439" s="2" t="s">
        <v>195</v>
      </c>
      <c r="J439" s="2" t="s">
        <v>19</v>
      </c>
      <c r="K439" s="2" t="s">
        <v>353</v>
      </c>
      <c r="L439" s="7" t="str">
        <f>HYPERLINK("http://slimages.macys.com/is/image/MCY/12850008 ")</f>
        <v xml:space="preserve">http://slimages.macys.com/is/image/MCY/12850008 </v>
      </c>
    </row>
    <row r="440" spans="1:12" ht="36.75" x14ac:dyDescent="0.25">
      <c r="A440" s="4" t="s">
        <v>10936</v>
      </c>
      <c r="B440" s="2" t="s">
        <v>10937</v>
      </c>
      <c r="C440" s="3">
        <v>1</v>
      </c>
      <c r="D440" s="5">
        <v>36</v>
      </c>
      <c r="E440" s="3" t="s">
        <v>10938</v>
      </c>
      <c r="F440" s="2" t="s">
        <v>74</v>
      </c>
      <c r="G440" s="6" t="s">
        <v>181</v>
      </c>
      <c r="H440" s="2" t="s">
        <v>10225</v>
      </c>
      <c r="I440" s="2" t="s">
        <v>792</v>
      </c>
      <c r="J440" s="2" t="s">
        <v>19</v>
      </c>
      <c r="K440" s="2" t="s">
        <v>10939</v>
      </c>
      <c r="L440" s="7" t="str">
        <f>HYPERLINK("http://slimages.macys.com/is/image/MCY/10379386 ")</f>
        <v xml:space="preserve">http://slimages.macys.com/is/image/MCY/10379386 </v>
      </c>
    </row>
    <row r="441" spans="1:12" ht="24.75" x14ac:dyDescent="0.25">
      <c r="A441" s="4" t="s">
        <v>10940</v>
      </c>
      <c r="B441" s="2" t="s">
        <v>10941</v>
      </c>
      <c r="C441" s="3">
        <v>1</v>
      </c>
      <c r="D441" s="5">
        <v>28</v>
      </c>
      <c r="E441" s="3" t="s">
        <v>10942</v>
      </c>
      <c r="F441" s="2" t="s">
        <v>199</v>
      </c>
      <c r="G441" s="6" t="s">
        <v>154</v>
      </c>
      <c r="H441" s="2" t="s">
        <v>10225</v>
      </c>
      <c r="I441" s="2" t="s">
        <v>792</v>
      </c>
      <c r="J441" s="2" t="s">
        <v>19</v>
      </c>
      <c r="K441" s="2" t="s">
        <v>1082</v>
      </c>
      <c r="L441" s="7" t="str">
        <f>HYPERLINK("http://slimages.macys.com/is/image/MCY/10886754 ")</f>
        <v xml:space="preserve">http://slimages.macys.com/is/image/MCY/10886754 </v>
      </c>
    </row>
    <row r="442" spans="1:12" ht="36.75" x14ac:dyDescent="0.25">
      <c r="A442" s="4" t="s">
        <v>10943</v>
      </c>
      <c r="B442" s="2" t="s">
        <v>10937</v>
      </c>
      <c r="C442" s="3">
        <v>1</v>
      </c>
      <c r="D442" s="5">
        <v>36</v>
      </c>
      <c r="E442" s="3" t="s">
        <v>10938</v>
      </c>
      <c r="F442" s="2" t="s">
        <v>74</v>
      </c>
      <c r="G442" s="6" t="s">
        <v>154</v>
      </c>
      <c r="H442" s="2" t="s">
        <v>10225</v>
      </c>
      <c r="I442" s="2" t="s">
        <v>792</v>
      </c>
      <c r="J442" s="2" t="s">
        <v>19</v>
      </c>
      <c r="K442" s="2" t="s">
        <v>10939</v>
      </c>
      <c r="L442" s="7" t="str">
        <f>HYPERLINK("http://slimages.macys.com/is/image/MCY/10379386 ")</f>
        <v xml:space="preserve">http://slimages.macys.com/is/image/MCY/10379386 </v>
      </c>
    </row>
    <row r="443" spans="1:12" ht="24.75" x14ac:dyDescent="0.25">
      <c r="A443" s="4" t="s">
        <v>10944</v>
      </c>
      <c r="B443" s="2" t="s">
        <v>10180</v>
      </c>
      <c r="C443" s="3">
        <v>1</v>
      </c>
      <c r="D443" s="5">
        <v>33.5</v>
      </c>
      <c r="E443" s="3" t="s">
        <v>10181</v>
      </c>
      <c r="F443" s="2" t="s">
        <v>74</v>
      </c>
      <c r="G443" s="6"/>
      <c r="H443" s="2" t="s">
        <v>312</v>
      </c>
      <c r="I443" s="2" t="s">
        <v>195</v>
      </c>
      <c r="J443" s="2" t="s">
        <v>19</v>
      </c>
      <c r="K443" s="2" t="s">
        <v>247</v>
      </c>
      <c r="L443" s="7" t="str">
        <f>HYPERLINK("http://slimages.macys.com/is/image/MCY/11337237 ")</f>
        <v xml:space="preserve">http://slimages.macys.com/is/image/MCY/11337237 </v>
      </c>
    </row>
    <row r="444" spans="1:12" ht="24.75" x14ac:dyDescent="0.25">
      <c r="A444" s="4" t="s">
        <v>8185</v>
      </c>
      <c r="B444" s="2" t="s">
        <v>8186</v>
      </c>
      <c r="C444" s="3">
        <v>1</v>
      </c>
      <c r="D444" s="5">
        <v>27.99</v>
      </c>
      <c r="E444" s="3" t="s">
        <v>8187</v>
      </c>
      <c r="F444" s="2" t="s">
        <v>74</v>
      </c>
      <c r="G444" s="6" t="s">
        <v>234</v>
      </c>
      <c r="H444" s="2" t="s">
        <v>1522</v>
      </c>
      <c r="I444" s="2" t="s">
        <v>1469</v>
      </c>
      <c r="J444" s="2" t="s">
        <v>19</v>
      </c>
      <c r="K444" s="2" t="s">
        <v>353</v>
      </c>
      <c r="L444" s="7" t="str">
        <f>HYPERLINK("http://slimages.macys.com/is/image/MCY/12144601 ")</f>
        <v xml:space="preserve">http://slimages.macys.com/is/image/MCY/12144601 </v>
      </c>
    </row>
    <row r="445" spans="1:12" ht="36.75" x14ac:dyDescent="0.25">
      <c r="A445" s="4" t="s">
        <v>4961</v>
      </c>
      <c r="B445" s="2" t="s">
        <v>1388</v>
      </c>
      <c r="C445" s="3">
        <v>1</v>
      </c>
      <c r="D445" s="5">
        <v>29.63</v>
      </c>
      <c r="E445" s="3" t="s">
        <v>1389</v>
      </c>
      <c r="F445" s="2" t="s">
        <v>111</v>
      </c>
      <c r="G445" s="6" t="s">
        <v>234</v>
      </c>
      <c r="H445" s="2" t="s">
        <v>194</v>
      </c>
      <c r="I445" s="2" t="s">
        <v>195</v>
      </c>
      <c r="J445" s="2" t="s">
        <v>19</v>
      </c>
      <c r="K445" s="2" t="s">
        <v>1390</v>
      </c>
      <c r="L445" s="7" t="str">
        <f>HYPERLINK("http://slimages.macys.com/is/image/MCY/12734335 ")</f>
        <v xml:space="preserve">http://slimages.macys.com/is/image/MCY/12734335 </v>
      </c>
    </row>
    <row r="446" spans="1:12" ht="36.75" x14ac:dyDescent="0.25">
      <c r="A446" s="4" t="s">
        <v>9618</v>
      </c>
      <c r="B446" s="2" t="s">
        <v>2351</v>
      </c>
      <c r="C446" s="3">
        <v>1</v>
      </c>
      <c r="D446" s="5">
        <v>29.63</v>
      </c>
      <c r="E446" s="3" t="s">
        <v>4963</v>
      </c>
      <c r="F446" s="2" t="s">
        <v>752</v>
      </c>
      <c r="G446" s="6" t="s">
        <v>245</v>
      </c>
      <c r="H446" s="2" t="s">
        <v>194</v>
      </c>
      <c r="I446" s="2" t="s">
        <v>195</v>
      </c>
      <c r="J446" s="2" t="s">
        <v>19</v>
      </c>
      <c r="K446" s="2" t="s">
        <v>1390</v>
      </c>
      <c r="L446" s="7" t="str">
        <f>HYPERLINK("http://slimages.macys.com/is/image/MCY/12950203 ")</f>
        <v xml:space="preserve">http://slimages.macys.com/is/image/MCY/12950203 </v>
      </c>
    </row>
    <row r="447" spans="1:12" ht="24.75" x14ac:dyDescent="0.25">
      <c r="A447" s="4" t="s">
        <v>10945</v>
      </c>
      <c r="B447" s="2" t="s">
        <v>2715</v>
      </c>
      <c r="C447" s="3">
        <v>1</v>
      </c>
      <c r="D447" s="5">
        <v>24.99</v>
      </c>
      <c r="E447" s="3" t="s">
        <v>10946</v>
      </c>
      <c r="F447" s="2" t="s">
        <v>15</v>
      </c>
      <c r="G447" s="6" t="s">
        <v>154</v>
      </c>
      <c r="H447" s="2" t="s">
        <v>1522</v>
      </c>
      <c r="I447" s="2" t="s">
        <v>1469</v>
      </c>
      <c r="J447" s="2" t="s">
        <v>19</v>
      </c>
      <c r="K447" s="2" t="s">
        <v>495</v>
      </c>
      <c r="L447" s="7" t="str">
        <f>HYPERLINK("http://slimages.macys.com/is/image/MCY/12645325 ")</f>
        <v xml:space="preserve">http://slimages.macys.com/is/image/MCY/12645325 </v>
      </c>
    </row>
    <row r="448" spans="1:12" ht="24.75" x14ac:dyDescent="0.25">
      <c r="A448" s="4" t="s">
        <v>10947</v>
      </c>
      <c r="B448" s="2" t="s">
        <v>10948</v>
      </c>
      <c r="C448" s="3">
        <v>1</v>
      </c>
      <c r="D448" s="5">
        <v>48</v>
      </c>
      <c r="E448" s="3" t="s">
        <v>10949</v>
      </c>
      <c r="F448" s="2" t="s">
        <v>820</v>
      </c>
      <c r="G448" s="6" t="s">
        <v>154</v>
      </c>
      <c r="H448" s="2" t="s">
        <v>10225</v>
      </c>
      <c r="I448" s="2" t="s">
        <v>10226</v>
      </c>
      <c r="J448" s="2" t="s">
        <v>19</v>
      </c>
      <c r="K448" s="2" t="s">
        <v>10950</v>
      </c>
      <c r="L448" s="7" t="str">
        <f>HYPERLINK("http://slimages.macys.com/is/image/MCY/13898745 ")</f>
        <v xml:space="preserve">http://slimages.macys.com/is/image/MCY/13898745 </v>
      </c>
    </row>
    <row r="449" spans="1:12" ht="24.75" x14ac:dyDescent="0.25">
      <c r="A449" s="4" t="s">
        <v>10951</v>
      </c>
      <c r="B449" s="2" t="s">
        <v>10952</v>
      </c>
      <c r="C449" s="3">
        <v>1</v>
      </c>
      <c r="D449" s="5">
        <v>29.63</v>
      </c>
      <c r="E449" s="3">
        <v>100018082</v>
      </c>
      <c r="F449" s="2" t="s">
        <v>26</v>
      </c>
      <c r="G449" s="6" t="s">
        <v>154</v>
      </c>
      <c r="H449" s="2" t="s">
        <v>194</v>
      </c>
      <c r="I449" s="2" t="s">
        <v>195</v>
      </c>
      <c r="J449" s="2" t="s">
        <v>19</v>
      </c>
      <c r="K449" s="2" t="s">
        <v>1082</v>
      </c>
      <c r="L449" s="7" t="str">
        <f>HYPERLINK("http://slimages.macys.com/is/image/MCY/13367475 ")</f>
        <v xml:space="preserve">http://slimages.macys.com/is/image/MCY/13367475 </v>
      </c>
    </row>
    <row r="450" spans="1:12" ht="60.75" x14ac:dyDescent="0.25">
      <c r="A450" s="4" t="s">
        <v>10953</v>
      </c>
      <c r="B450" s="2" t="s">
        <v>1397</v>
      </c>
      <c r="C450" s="3">
        <v>1</v>
      </c>
      <c r="D450" s="5">
        <v>29.63</v>
      </c>
      <c r="E450" s="3">
        <v>100022669</v>
      </c>
      <c r="F450" s="2" t="s">
        <v>566</v>
      </c>
      <c r="G450" s="6" t="s">
        <v>181</v>
      </c>
      <c r="H450" s="2" t="s">
        <v>194</v>
      </c>
      <c r="I450" s="2" t="s">
        <v>1398</v>
      </c>
      <c r="J450" s="2" t="s">
        <v>19</v>
      </c>
      <c r="K450" s="2" t="s">
        <v>1399</v>
      </c>
      <c r="L450" s="7" t="str">
        <f>HYPERLINK("http://slimages.macys.com/is/image/MCY/13368177 ")</f>
        <v xml:space="preserve">http://slimages.macys.com/is/image/MCY/13368177 </v>
      </c>
    </row>
    <row r="451" spans="1:12" ht="60.75" x14ac:dyDescent="0.25">
      <c r="A451" s="4" t="s">
        <v>10954</v>
      </c>
      <c r="B451" s="2" t="s">
        <v>1397</v>
      </c>
      <c r="C451" s="3">
        <v>1</v>
      </c>
      <c r="D451" s="5">
        <v>29.63</v>
      </c>
      <c r="E451" s="3">
        <v>100022669</v>
      </c>
      <c r="F451" s="2" t="s">
        <v>566</v>
      </c>
      <c r="G451" s="6" t="s">
        <v>156</v>
      </c>
      <c r="H451" s="2" t="s">
        <v>194</v>
      </c>
      <c r="I451" s="2" t="s">
        <v>1398</v>
      </c>
      <c r="J451" s="2" t="s">
        <v>19</v>
      </c>
      <c r="K451" s="2" t="s">
        <v>1399</v>
      </c>
      <c r="L451" s="7" t="str">
        <f>HYPERLINK("http://slimages.macys.com/is/image/MCY/13368177 ")</f>
        <v xml:space="preserve">http://slimages.macys.com/is/image/MCY/13368177 </v>
      </c>
    </row>
    <row r="452" spans="1:12" ht="60.75" x14ac:dyDescent="0.25">
      <c r="A452" s="4" t="s">
        <v>10955</v>
      </c>
      <c r="B452" s="2" t="s">
        <v>1397</v>
      </c>
      <c r="C452" s="3">
        <v>1</v>
      </c>
      <c r="D452" s="5">
        <v>29.63</v>
      </c>
      <c r="E452" s="3">
        <v>100022669</v>
      </c>
      <c r="F452" s="2" t="s">
        <v>566</v>
      </c>
      <c r="G452" s="6" t="s">
        <v>154</v>
      </c>
      <c r="H452" s="2" t="s">
        <v>194</v>
      </c>
      <c r="I452" s="2" t="s">
        <v>1398</v>
      </c>
      <c r="J452" s="2" t="s">
        <v>19</v>
      </c>
      <c r="K452" s="2" t="s">
        <v>1399</v>
      </c>
      <c r="L452" s="7" t="str">
        <f>HYPERLINK("http://slimages.macys.com/is/image/MCY/13368177 ")</f>
        <v xml:space="preserve">http://slimages.macys.com/is/image/MCY/13368177 </v>
      </c>
    </row>
    <row r="453" spans="1:12" ht="24.75" x14ac:dyDescent="0.25">
      <c r="A453" s="4" t="s">
        <v>10956</v>
      </c>
      <c r="B453" s="2" t="s">
        <v>4968</v>
      </c>
      <c r="C453" s="3">
        <v>1</v>
      </c>
      <c r="D453" s="5">
        <v>37.130000000000003</v>
      </c>
      <c r="E453" s="3" t="s">
        <v>4969</v>
      </c>
      <c r="F453" s="2" t="s">
        <v>111</v>
      </c>
      <c r="G453" s="6" t="s">
        <v>245</v>
      </c>
      <c r="H453" s="2" t="s">
        <v>246</v>
      </c>
      <c r="I453" s="2" t="s">
        <v>189</v>
      </c>
      <c r="J453" s="2" t="s">
        <v>19</v>
      </c>
      <c r="K453" s="2" t="s">
        <v>4970</v>
      </c>
      <c r="L453" s="7" t="str">
        <f>HYPERLINK("http://slimages.macys.com/is/image/MCY/11996174 ")</f>
        <v xml:space="preserve">http://slimages.macys.com/is/image/MCY/11996174 </v>
      </c>
    </row>
    <row r="454" spans="1:12" ht="24.75" x14ac:dyDescent="0.25">
      <c r="A454" s="4" t="s">
        <v>10957</v>
      </c>
      <c r="B454" s="2" t="s">
        <v>4968</v>
      </c>
      <c r="C454" s="3">
        <v>1</v>
      </c>
      <c r="D454" s="5">
        <v>37.130000000000003</v>
      </c>
      <c r="E454" s="3" t="s">
        <v>4969</v>
      </c>
      <c r="F454" s="2" t="s">
        <v>15</v>
      </c>
      <c r="G454" s="6" t="s">
        <v>200</v>
      </c>
      <c r="H454" s="2" t="s">
        <v>246</v>
      </c>
      <c r="I454" s="2" t="s">
        <v>189</v>
      </c>
      <c r="J454" s="2" t="s">
        <v>19</v>
      </c>
      <c r="K454" s="2" t="s">
        <v>4970</v>
      </c>
      <c r="L454" s="7" t="str">
        <f>HYPERLINK("http://slimages.macys.com/is/image/MCY/11996174 ")</f>
        <v xml:space="preserve">http://slimages.macys.com/is/image/MCY/11996174 </v>
      </c>
    </row>
    <row r="455" spans="1:12" ht="24.75" x14ac:dyDescent="0.25">
      <c r="A455" s="4" t="s">
        <v>10958</v>
      </c>
      <c r="B455" s="2" t="s">
        <v>1140</v>
      </c>
      <c r="C455" s="3">
        <v>1</v>
      </c>
      <c r="D455" s="5">
        <v>37.130000000000003</v>
      </c>
      <c r="E455" s="3" t="s">
        <v>1141</v>
      </c>
      <c r="F455" s="2" t="s">
        <v>64</v>
      </c>
      <c r="G455" s="6" t="s">
        <v>154</v>
      </c>
      <c r="H455" s="2" t="s">
        <v>284</v>
      </c>
      <c r="I455" s="2" t="s">
        <v>285</v>
      </c>
      <c r="J455" s="2" t="s">
        <v>19</v>
      </c>
      <c r="K455" s="2" t="s">
        <v>442</v>
      </c>
      <c r="L455" s="7" t="str">
        <f>HYPERLINK("http://slimages.macys.com/is/image/MCY/13466766 ")</f>
        <v xml:space="preserve">http://slimages.macys.com/is/image/MCY/13466766 </v>
      </c>
    </row>
    <row r="456" spans="1:12" ht="24.75" x14ac:dyDescent="0.25">
      <c r="A456" s="4" t="s">
        <v>10959</v>
      </c>
      <c r="B456" s="2" t="s">
        <v>10960</v>
      </c>
      <c r="C456" s="3">
        <v>1</v>
      </c>
      <c r="D456" s="5">
        <v>29.99</v>
      </c>
      <c r="E456" s="3" t="s">
        <v>10961</v>
      </c>
      <c r="F456" s="2" t="s">
        <v>64</v>
      </c>
      <c r="G456" s="6" t="s">
        <v>154</v>
      </c>
      <c r="H456" s="2" t="s">
        <v>246</v>
      </c>
      <c r="I456" s="2" t="s">
        <v>3504</v>
      </c>
      <c r="J456" s="2" t="s">
        <v>19</v>
      </c>
      <c r="K456" s="2" t="s">
        <v>803</v>
      </c>
      <c r="L456" s="7" t="str">
        <f>HYPERLINK("http://slimages.macys.com/is/image/MCY/12649559 ")</f>
        <v xml:space="preserve">http://slimages.macys.com/is/image/MCY/12649559 </v>
      </c>
    </row>
    <row r="457" spans="1:12" ht="24.75" x14ac:dyDescent="0.25">
      <c r="A457" s="4" t="s">
        <v>10962</v>
      </c>
      <c r="B457" s="2" t="s">
        <v>10960</v>
      </c>
      <c r="C457" s="3">
        <v>1</v>
      </c>
      <c r="D457" s="5">
        <v>29.99</v>
      </c>
      <c r="E457" s="3" t="s">
        <v>10961</v>
      </c>
      <c r="F457" s="2" t="s">
        <v>64</v>
      </c>
      <c r="G457" s="6" t="s">
        <v>156</v>
      </c>
      <c r="H457" s="2" t="s">
        <v>246</v>
      </c>
      <c r="I457" s="2" t="s">
        <v>3504</v>
      </c>
      <c r="J457" s="2" t="s">
        <v>19</v>
      </c>
      <c r="K457" s="2" t="s">
        <v>803</v>
      </c>
      <c r="L457" s="7" t="str">
        <f>HYPERLINK("http://slimages.macys.com/is/image/MCY/12649559 ")</f>
        <v xml:space="preserve">http://slimages.macys.com/is/image/MCY/12649559 </v>
      </c>
    </row>
    <row r="458" spans="1:12" ht="24.75" x14ac:dyDescent="0.25">
      <c r="A458" s="4" t="s">
        <v>10963</v>
      </c>
      <c r="B458" s="2" t="s">
        <v>8196</v>
      </c>
      <c r="C458" s="3">
        <v>1</v>
      </c>
      <c r="D458" s="5">
        <v>37.130000000000003</v>
      </c>
      <c r="E458" s="3" t="s">
        <v>8197</v>
      </c>
      <c r="F458" s="2" t="s">
        <v>125</v>
      </c>
      <c r="G458" s="6"/>
      <c r="H458" s="2" t="s">
        <v>312</v>
      </c>
      <c r="I458" s="2" t="s">
        <v>195</v>
      </c>
      <c r="J458" s="2" t="s">
        <v>19</v>
      </c>
      <c r="K458" s="2" t="s">
        <v>247</v>
      </c>
      <c r="L458" s="7" t="str">
        <f>HYPERLINK("http://slimages.macys.com/is/image/MCY/12668586 ")</f>
        <v xml:space="preserve">http://slimages.macys.com/is/image/MCY/12668586 </v>
      </c>
    </row>
    <row r="459" spans="1:12" ht="24.75" x14ac:dyDescent="0.25">
      <c r="A459" s="4" t="s">
        <v>10964</v>
      </c>
      <c r="B459" s="2" t="s">
        <v>10965</v>
      </c>
      <c r="C459" s="3">
        <v>1</v>
      </c>
      <c r="D459" s="5">
        <v>37.130000000000003</v>
      </c>
      <c r="E459" s="3" t="s">
        <v>10966</v>
      </c>
      <c r="F459" s="2" t="s">
        <v>111</v>
      </c>
      <c r="G459" s="6"/>
      <c r="H459" s="2" t="s">
        <v>312</v>
      </c>
      <c r="I459" s="2" t="s">
        <v>195</v>
      </c>
      <c r="J459" s="2" t="s">
        <v>19</v>
      </c>
      <c r="K459" s="2" t="s">
        <v>247</v>
      </c>
      <c r="L459" s="7" t="str">
        <f>HYPERLINK("http://slimages.macys.com/is/image/MCY/14886958 ")</f>
        <v xml:space="preserve">http://slimages.macys.com/is/image/MCY/14886958 </v>
      </c>
    </row>
    <row r="460" spans="1:12" ht="24.75" x14ac:dyDescent="0.25">
      <c r="A460" s="4" t="s">
        <v>10967</v>
      </c>
      <c r="B460" s="2" t="s">
        <v>10968</v>
      </c>
      <c r="C460" s="3">
        <v>1</v>
      </c>
      <c r="D460" s="5">
        <v>33.380000000000003</v>
      </c>
      <c r="E460" s="3" t="s">
        <v>10969</v>
      </c>
      <c r="F460" s="2" t="s">
        <v>15</v>
      </c>
      <c r="G460" s="6" t="s">
        <v>181</v>
      </c>
      <c r="H460" s="2" t="s">
        <v>194</v>
      </c>
      <c r="I460" s="2" t="s">
        <v>195</v>
      </c>
      <c r="J460" s="2" t="s">
        <v>19</v>
      </c>
      <c r="K460" s="2" t="s">
        <v>1108</v>
      </c>
      <c r="L460" s="7" t="str">
        <f>HYPERLINK("http://slimages.macys.com/is/image/MCY/13422931 ")</f>
        <v xml:space="preserve">http://slimages.macys.com/is/image/MCY/13422931 </v>
      </c>
    </row>
    <row r="461" spans="1:12" ht="24.75" x14ac:dyDescent="0.25">
      <c r="A461" s="4" t="s">
        <v>10970</v>
      </c>
      <c r="B461" s="2" t="s">
        <v>10968</v>
      </c>
      <c r="C461" s="3">
        <v>1</v>
      </c>
      <c r="D461" s="5">
        <v>33.380000000000003</v>
      </c>
      <c r="E461" s="3" t="s">
        <v>10969</v>
      </c>
      <c r="F461" s="2" t="s">
        <v>15</v>
      </c>
      <c r="G461" s="6" t="s">
        <v>154</v>
      </c>
      <c r="H461" s="2" t="s">
        <v>194</v>
      </c>
      <c r="I461" s="2" t="s">
        <v>195</v>
      </c>
      <c r="J461" s="2" t="s">
        <v>19</v>
      </c>
      <c r="K461" s="2" t="s">
        <v>1108</v>
      </c>
      <c r="L461" s="7" t="str">
        <f>HYPERLINK("http://slimages.macys.com/is/image/MCY/13422931 ")</f>
        <v xml:space="preserve">http://slimages.macys.com/is/image/MCY/13422931 </v>
      </c>
    </row>
    <row r="462" spans="1:12" ht="24.75" x14ac:dyDescent="0.25">
      <c r="A462" s="4" t="s">
        <v>10971</v>
      </c>
      <c r="B462" s="2" t="s">
        <v>10960</v>
      </c>
      <c r="C462" s="3">
        <v>1</v>
      </c>
      <c r="D462" s="5">
        <v>29.99</v>
      </c>
      <c r="E462" s="3" t="s">
        <v>10972</v>
      </c>
      <c r="F462" s="2" t="s">
        <v>572</v>
      </c>
      <c r="G462" s="6"/>
      <c r="H462" s="2" t="s">
        <v>188</v>
      </c>
      <c r="I462" s="2" t="s">
        <v>189</v>
      </c>
      <c r="J462" s="2" t="s">
        <v>19</v>
      </c>
      <c r="K462" s="2" t="s">
        <v>803</v>
      </c>
      <c r="L462" s="7" t="str">
        <f>HYPERLINK("http://slimages.macys.com/is/image/MCY/12649601 ")</f>
        <v xml:space="preserve">http://slimages.macys.com/is/image/MCY/12649601 </v>
      </c>
    </row>
    <row r="463" spans="1:12" ht="24.75" x14ac:dyDescent="0.25">
      <c r="A463" s="4" t="s">
        <v>2725</v>
      </c>
      <c r="B463" s="2" t="s">
        <v>1405</v>
      </c>
      <c r="C463" s="3">
        <v>2</v>
      </c>
      <c r="D463" s="5">
        <v>34.880000000000003</v>
      </c>
      <c r="E463" s="3">
        <v>100042372</v>
      </c>
      <c r="F463" s="2" t="s">
        <v>676</v>
      </c>
      <c r="G463" s="6" t="s">
        <v>16</v>
      </c>
      <c r="H463" s="2" t="s">
        <v>194</v>
      </c>
      <c r="I463" s="2" t="s">
        <v>195</v>
      </c>
      <c r="J463" s="2" t="s">
        <v>19</v>
      </c>
      <c r="K463" s="2" t="s">
        <v>353</v>
      </c>
      <c r="L463" s="7" t="str">
        <f>HYPERLINK("http://slimages.macys.com/is/image/MCY/11935225 ")</f>
        <v xml:space="preserve">http://slimages.macys.com/is/image/MCY/11935225 </v>
      </c>
    </row>
    <row r="464" spans="1:12" ht="24.75" x14ac:dyDescent="0.25">
      <c r="A464" s="4" t="s">
        <v>8203</v>
      </c>
      <c r="B464" s="2" t="s">
        <v>1405</v>
      </c>
      <c r="C464" s="3">
        <v>1</v>
      </c>
      <c r="D464" s="5">
        <v>34.880000000000003</v>
      </c>
      <c r="E464" s="3">
        <v>100042372</v>
      </c>
      <c r="F464" s="2" t="s">
        <v>676</v>
      </c>
      <c r="G464" s="6" t="s">
        <v>65</v>
      </c>
      <c r="H464" s="2" t="s">
        <v>194</v>
      </c>
      <c r="I464" s="2" t="s">
        <v>195</v>
      </c>
      <c r="J464" s="2" t="s">
        <v>19</v>
      </c>
      <c r="K464" s="2" t="s">
        <v>353</v>
      </c>
      <c r="L464" s="7" t="str">
        <f>HYPERLINK("http://slimages.macys.com/is/image/MCY/11935225 ")</f>
        <v xml:space="preserve">http://slimages.macys.com/is/image/MCY/11935225 </v>
      </c>
    </row>
    <row r="465" spans="1:12" ht="24.75" x14ac:dyDescent="0.25">
      <c r="A465" s="4" t="s">
        <v>10973</v>
      </c>
      <c r="B465" s="2" t="s">
        <v>3913</v>
      </c>
      <c r="C465" s="3">
        <v>1</v>
      </c>
      <c r="D465" s="5">
        <v>29.63</v>
      </c>
      <c r="E465" s="3" t="s">
        <v>3914</v>
      </c>
      <c r="F465" s="2" t="s">
        <v>125</v>
      </c>
      <c r="G465" s="6" t="s">
        <v>200</v>
      </c>
      <c r="H465" s="2" t="s">
        <v>194</v>
      </c>
      <c r="I465" s="2" t="s">
        <v>195</v>
      </c>
      <c r="J465" s="2" t="s">
        <v>19</v>
      </c>
      <c r="K465" s="2" t="s">
        <v>201</v>
      </c>
      <c r="L465" s="7" t="str">
        <f>HYPERLINK("http://slimages.macys.com/is/image/MCY/12404902 ")</f>
        <v xml:space="preserve">http://slimages.macys.com/is/image/MCY/12404902 </v>
      </c>
    </row>
    <row r="466" spans="1:12" ht="24.75" x14ac:dyDescent="0.25">
      <c r="A466" s="4" t="s">
        <v>6676</v>
      </c>
      <c r="B466" s="2" t="s">
        <v>1444</v>
      </c>
      <c r="C466" s="3">
        <v>1</v>
      </c>
      <c r="D466" s="5">
        <v>34.880000000000003</v>
      </c>
      <c r="E466" s="3">
        <v>100042376</v>
      </c>
      <c r="F466" s="2" t="s">
        <v>64</v>
      </c>
      <c r="G466" s="6" t="s">
        <v>16</v>
      </c>
      <c r="H466" s="2" t="s">
        <v>194</v>
      </c>
      <c r="I466" s="2" t="s">
        <v>195</v>
      </c>
      <c r="J466" s="2" t="s">
        <v>19</v>
      </c>
      <c r="K466" s="2" t="s">
        <v>353</v>
      </c>
      <c r="L466" s="7" t="str">
        <f>HYPERLINK("http://slimages.macys.com/is/image/MCY/11764758 ")</f>
        <v xml:space="preserve">http://slimages.macys.com/is/image/MCY/11764758 </v>
      </c>
    </row>
    <row r="467" spans="1:12" ht="24.75" x14ac:dyDescent="0.25">
      <c r="A467" s="4" t="s">
        <v>10974</v>
      </c>
      <c r="B467" s="2" t="s">
        <v>1416</v>
      </c>
      <c r="C467" s="3">
        <v>1</v>
      </c>
      <c r="D467" s="5">
        <v>21.99</v>
      </c>
      <c r="E467" s="3" t="s">
        <v>8207</v>
      </c>
      <c r="F467" s="2" t="s">
        <v>752</v>
      </c>
      <c r="G467" s="6" t="s">
        <v>112</v>
      </c>
      <c r="H467" s="2" t="s">
        <v>194</v>
      </c>
      <c r="I467" s="2" t="s">
        <v>195</v>
      </c>
      <c r="J467" s="2" t="s">
        <v>19</v>
      </c>
      <c r="K467" s="2" t="s">
        <v>353</v>
      </c>
      <c r="L467" s="7" t="str">
        <f>HYPERLINK("http://slimages.macys.com/is/image/MCY/8141463 ")</f>
        <v xml:space="preserve">http://slimages.macys.com/is/image/MCY/8141463 </v>
      </c>
    </row>
    <row r="468" spans="1:12" ht="24.75" x14ac:dyDescent="0.25">
      <c r="A468" s="4" t="s">
        <v>10975</v>
      </c>
      <c r="B468" s="2" t="s">
        <v>10976</v>
      </c>
      <c r="C468" s="3">
        <v>1</v>
      </c>
      <c r="D468" s="5">
        <v>26.99</v>
      </c>
      <c r="E468" s="3" t="s">
        <v>10977</v>
      </c>
      <c r="F468" s="2" t="s">
        <v>53</v>
      </c>
      <c r="G468" s="6"/>
      <c r="H468" s="2" t="s">
        <v>349</v>
      </c>
      <c r="I468" s="2" t="s">
        <v>285</v>
      </c>
      <c r="J468" s="2" t="s">
        <v>19</v>
      </c>
      <c r="K468" s="2" t="s">
        <v>247</v>
      </c>
      <c r="L468" s="7" t="str">
        <f>HYPERLINK("http://slimages.macys.com/is/image/MCY/15294776 ")</f>
        <v xml:space="preserve">http://slimages.macys.com/is/image/MCY/15294776 </v>
      </c>
    </row>
    <row r="469" spans="1:12" ht="24.75" x14ac:dyDescent="0.25">
      <c r="A469" s="4" t="s">
        <v>10978</v>
      </c>
      <c r="B469" s="2" t="s">
        <v>10976</v>
      </c>
      <c r="C469" s="3">
        <v>1</v>
      </c>
      <c r="D469" s="5">
        <v>26.99</v>
      </c>
      <c r="E469" s="3" t="s">
        <v>10977</v>
      </c>
      <c r="F469" s="2" t="s">
        <v>53</v>
      </c>
      <c r="G469" s="6" t="s">
        <v>348</v>
      </c>
      <c r="H469" s="2" t="s">
        <v>349</v>
      </c>
      <c r="I469" s="2" t="s">
        <v>285</v>
      </c>
      <c r="J469" s="2" t="s">
        <v>19</v>
      </c>
      <c r="K469" s="2" t="s">
        <v>247</v>
      </c>
      <c r="L469" s="7" t="str">
        <f>HYPERLINK("http://slimages.macys.com/is/image/MCY/15294776 ")</f>
        <v xml:space="preserve">http://slimages.macys.com/is/image/MCY/15294776 </v>
      </c>
    </row>
    <row r="470" spans="1:12" ht="24.75" x14ac:dyDescent="0.25">
      <c r="A470" s="4" t="s">
        <v>10979</v>
      </c>
      <c r="B470" s="2" t="s">
        <v>10980</v>
      </c>
      <c r="C470" s="3">
        <v>1</v>
      </c>
      <c r="D470" s="5">
        <v>24.99</v>
      </c>
      <c r="E470" s="3" t="s">
        <v>10981</v>
      </c>
      <c r="F470" s="2" t="s">
        <v>252</v>
      </c>
      <c r="G470" s="6" t="s">
        <v>181</v>
      </c>
      <c r="H470" s="2" t="s">
        <v>1473</v>
      </c>
      <c r="I470" s="2" t="s">
        <v>1426</v>
      </c>
      <c r="J470" s="2" t="s">
        <v>19</v>
      </c>
      <c r="K470" s="2" t="s">
        <v>1431</v>
      </c>
      <c r="L470" s="7" t="str">
        <f>HYPERLINK("http://slimages.macys.com/is/image/MCY/11774666 ")</f>
        <v xml:space="preserve">http://slimages.macys.com/is/image/MCY/11774666 </v>
      </c>
    </row>
    <row r="471" spans="1:12" ht="24.75" x14ac:dyDescent="0.25">
      <c r="A471" s="4" t="s">
        <v>10982</v>
      </c>
      <c r="B471" s="2" t="s">
        <v>1429</v>
      </c>
      <c r="C471" s="3">
        <v>1</v>
      </c>
      <c r="D471" s="5">
        <v>24.99</v>
      </c>
      <c r="E471" s="3" t="s">
        <v>10983</v>
      </c>
      <c r="F471" s="2" t="s">
        <v>26</v>
      </c>
      <c r="G471" s="6" t="s">
        <v>154</v>
      </c>
      <c r="H471" s="2" t="s">
        <v>1473</v>
      </c>
      <c r="I471" s="2" t="s">
        <v>1426</v>
      </c>
      <c r="J471" s="2" t="s">
        <v>19</v>
      </c>
      <c r="K471" s="2" t="s">
        <v>247</v>
      </c>
      <c r="L471" s="7" t="str">
        <f>HYPERLINK("http://slimages.macys.com/is/image/MCY/10746131 ")</f>
        <v xml:space="preserve">http://slimages.macys.com/is/image/MCY/10746131 </v>
      </c>
    </row>
    <row r="472" spans="1:12" ht="24.75" x14ac:dyDescent="0.25">
      <c r="A472" s="4" t="s">
        <v>10984</v>
      </c>
      <c r="B472" s="2" t="s">
        <v>10985</v>
      </c>
      <c r="C472" s="3">
        <v>1</v>
      </c>
      <c r="D472" s="5">
        <v>24.99</v>
      </c>
      <c r="E472" s="3" t="s">
        <v>10986</v>
      </c>
      <c r="F472" s="2" t="s">
        <v>94</v>
      </c>
      <c r="G472" s="6" t="s">
        <v>234</v>
      </c>
      <c r="H472" s="2" t="s">
        <v>1473</v>
      </c>
      <c r="I472" s="2" t="s">
        <v>1426</v>
      </c>
      <c r="J472" s="2" t="s">
        <v>19</v>
      </c>
      <c r="K472" s="2" t="s">
        <v>1431</v>
      </c>
      <c r="L472" s="7" t="str">
        <f>HYPERLINK("http://slimages.macys.com/is/image/MCY/11755860 ")</f>
        <v xml:space="preserve">http://slimages.macys.com/is/image/MCY/11755860 </v>
      </c>
    </row>
    <row r="473" spans="1:12" ht="24.75" x14ac:dyDescent="0.25">
      <c r="A473" s="4" t="s">
        <v>10987</v>
      </c>
      <c r="B473" s="2" t="s">
        <v>10988</v>
      </c>
      <c r="C473" s="3">
        <v>1</v>
      </c>
      <c r="D473" s="5">
        <v>24.99</v>
      </c>
      <c r="E473" s="3" t="s">
        <v>10989</v>
      </c>
      <c r="F473" s="2" t="s">
        <v>26</v>
      </c>
      <c r="G473" s="6" t="s">
        <v>200</v>
      </c>
      <c r="H473" s="2" t="s">
        <v>1473</v>
      </c>
      <c r="I473" s="2" t="s">
        <v>1426</v>
      </c>
      <c r="J473" s="2" t="s">
        <v>19</v>
      </c>
      <c r="K473" s="2" t="s">
        <v>1431</v>
      </c>
      <c r="L473" s="7" t="str">
        <f>HYPERLINK("http://slimages.macys.com/is/image/MCY/11690378 ")</f>
        <v xml:space="preserve">http://slimages.macys.com/is/image/MCY/11690378 </v>
      </c>
    </row>
    <row r="474" spans="1:12" ht="24.75" x14ac:dyDescent="0.25">
      <c r="A474" s="4" t="s">
        <v>10990</v>
      </c>
      <c r="B474" s="2" t="s">
        <v>10985</v>
      </c>
      <c r="C474" s="3">
        <v>1</v>
      </c>
      <c r="D474" s="5">
        <v>24.99</v>
      </c>
      <c r="E474" s="3" t="s">
        <v>10986</v>
      </c>
      <c r="F474" s="2" t="s">
        <v>94</v>
      </c>
      <c r="G474" s="6" t="s">
        <v>200</v>
      </c>
      <c r="H474" s="2" t="s">
        <v>1473</v>
      </c>
      <c r="I474" s="2" t="s">
        <v>1426</v>
      </c>
      <c r="J474" s="2" t="s">
        <v>19</v>
      </c>
      <c r="K474" s="2" t="s">
        <v>1431</v>
      </c>
      <c r="L474" s="7" t="str">
        <f>HYPERLINK("http://slimages.macys.com/is/image/MCY/11755860 ")</f>
        <v xml:space="preserve">http://slimages.macys.com/is/image/MCY/11755860 </v>
      </c>
    </row>
    <row r="475" spans="1:12" ht="24.75" x14ac:dyDescent="0.25">
      <c r="A475" s="4" t="s">
        <v>10991</v>
      </c>
      <c r="B475" s="2" t="s">
        <v>8722</v>
      </c>
      <c r="C475" s="3">
        <v>1</v>
      </c>
      <c r="D475" s="5">
        <v>24.99</v>
      </c>
      <c r="E475" s="3" t="s">
        <v>8723</v>
      </c>
      <c r="F475" s="2" t="s">
        <v>252</v>
      </c>
      <c r="G475" s="6" t="s">
        <v>181</v>
      </c>
      <c r="H475" s="2" t="s">
        <v>1473</v>
      </c>
      <c r="I475" s="2" t="s">
        <v>1426</v>
      </c>
      <c r="J475" s="2" t="s">
        <v>19</v>
      </c>
      <c r="K475" s="2" t="s">
        <v>1431</v>
      </c>
      <c r="L475" s="7" t="str">
        <f>HYPERLINK("http://slimages.macys.com/is/image/MCY/11774078 ")</f>
        <v xml:space="preserve">http://slimages.macys.com/is/image/MCY/11774078 </v>
      </c>
    </row>
    <row r="476" spans="1:12" ht="24.75" x14ac:dyDescent="0.25">
      <c r="A476" s="4" t="s">
        <v>10992</v>
      </c>
      <c r="B476" s="2" t="s">
        <v>10993</v>
      </c>
      <c r="C476" s="3">
        <v>1</v>
      </c>
      <c r="D476" s="5">
        <v>24.99</v>
      </c>
      <c r="E476" s="3" t="s">
        <v>10994</v>
      </c>
      <c r="F476" s="2" t="s">
        <v>820</v>
      </c>
      <c r="G476" s="6" t="s">
        <v>154</v>
      </c>
      <c r="H476" s="2" t="s">
        <v>1473</v>
      </c>
      <c r="I476" s="2" t="s">
        <v>1426</v>
      </c>
      <c r="J476" s="2" t="s">
        <v>19</v>
      </c>
      <c r="K476" s="2" t="s">
        <v>1431</v>
      </c>
      <c r="L476" s="7" t="str">
        <f>HYPERLINK("http://slimages.macys.com/is/image/MCY/11417735 ")</f>
        <v xml:space="preserve">http://slimages.macys.com/is/image/MCY/11417735 </v>
      </c>
    </row>
    <row r="477" spans="1:12" ht="24.75" x14ac:dyDescent="0.25">
      <c r="A477" s="4" t="s">
        <v>10995</v>
      </c>
      <c r="B477" s="2" t="s">
        <v>2686</v>
      </c>
      <c r="C477" s="3">
        <v>1</v>
      </c>
      <c r="D477" s="5">
        <v>34.5</v>
      </c>
      <c r="E477" s="3">
        <v>100062503</v>
      </c>
      <c r="F477" s="2" t="s">
        <v>417</v>
      </c>
      <c r="G477" s="6" t="s">
        <v>16</v>
      </c>
      <c r="H477" s="2" t="s">
        <v>228</v>
      </c>
      <c r="I477" s="2" t="s">
        <v>229</v>
      </c>
      <c r="J477" s="2" t="s">
        <v>19</v>
      </c>
      <c r="K477" s="2" t="s">
        <v>253</v>
      </c>
      <c r="L477" s="7" t="str">
        <f>HYPERLINK("http://slimages.macys.com/is/image/MCY/12849901 ")</f>
        <v xml:space="preserve">http://slimages.macys.com/is/image/MCY/12849901 </v>
      </c>
    </row>
    <row r="478" spans="1:12" ht="24.75" x14ac:dyDescent="0.25">
      <c r="A478" s="4" t="s">
        <v>10996</v>
      </c>
      <c r="B478" s="2" t="s">
        <v>2686</v>
      </c>
      <c r="C478" s="3">
        <v>1</v>
      </c>
      <c r="D478" s="5">
        <v>34.5</v>
      </c>
      <c r="E478" s="3">
        <v>100062503</v>
      </c>
      <c r="F478" s="2" t="s">
        <v>417</v>
      </c>
      <c r="G478" s="6" t="s">
        <v>141</v>
      </c>
      <c r="H478" s="2" t="s">
        <v>228</v>
      </c>
      <c r="I478" s="2" t="s">
        <v>229</v>
      </c>
      <c r="J478" s="2" t="s">
        <v>19</v>
      </c>
      <c r="K478" s="2" t="s">
        <v>253</v>
      </c>
      <c r="L478" s="7" t="str">
        <f>HYPERLINK("http://slimages.macys.com/is/image/MCY/12849901 ")</f>
        <v xml:space="preserve">http://slimages.macys.com/is/image/MCY/12849901 </v>
      </c>
    </row>
    <row r="479" spans="1:12" ht="24.75" x14ac:dyDescent="0.25">
      <c r="A479" s="4" t="s">
        <v>10997</v>
      </c>
      <c r="B479" s="2" t="s">
        <v>2686</v>
      </c>
      <c r="C479" s="3">
        <v>1</v>
      </c>
      <c r="D479" s="5">
        <v>34.5</v>
      </c>
      <c r="E479" s="3">
        <v>100062503</v>
      </c>
      <c r="F479" s="2" t="s">
        <v>417</v>
      </c>
      <c r="G479" s="6" t="s">
        <v>58</v>
      </c>
      <c r="H479" s="2" t="s">
        <v>228</v>
      </c>
      <c r="I479" s="2" t="s">
        <v>229</v>
      </c>
      <c r="J479" s="2" t="s">
        <v>19</v>
      </c>
      <c r="K479" s="2" t="s">
        <v>253</v>
      </c>
      <c r="L479" s="7" t="str">
        <f>HYPERLINK("http://slimages.macys.com/is/image/MCY/12849901 ")</f>
        <v xml:space="preserve">http://slimages.macys.com/is/image/MCY/12849901 </v>
      </c>
    </row>
    <row r="480" spans="1:12" ht="24.75" x14ac:dyDescent="0.25">
      <c r="A480" s="4" t="s">
        <v>10998</v>
      </c>
      <c r="B480" s="2" t="s">
        <v>10999</v>
      </c>
      <c r="C480" s="3">
        <v>1</v>
      </c>
      <c r="D480" s="5">
        <v>21.99</v>
      </c>
      <c r="E480" s="3" t="s">
        <v>11000</v>
      </c>
      <c r="F480" s="2" t="s">
        <v>506</v>
      </c>
      <c r="G480" s="6" t="s">
        <v>22</v>
      </c>
      <c r="H480" s="2" t="s">
        <v>194</v>
      </c>
      <c r="I480" s="2" t="s">
        <v>195</v>
      </c>
      <c r="J480" s="2" t="s">
        <v>19</v>
      </c>
      <c r="K480" s="2" t="s">
        <v>353</v>
      </c>
      <c r="L480" s="7" t="str">
        <f>HYPERLINK("http://slimages.macys.com/is/image/MCY/8141463 ")</f>
        <v xml:space="preserve">http://slimages.macys.com/is/image/MCY/8141463 </v>
      </c>
    </row>
    <row r="481" spans="1:12" ht="24.75" x14ac:dyDescent="0.25">
      <c r="A481" s="4" t="s">
        <v>11001</v>
      </c>
      <c r="B481" s="2" t="s">
        <v>6684</v>
      </c>
      <c r="C481" s="3">
        <v>1</v>
      </c>
      <c r="D481" s="5">
        <v>44</v>
      </c>
      <c r="E481" s="3" t="s">
        <v>6685</v>
      </c>
      <c r="F481" s="2" t="s">
        <v>676</v>
      </c>
      <c r="G481" s="6" t="s">
        <v>794</v>
      </c>
      <c r="H481" s="2" t="s">
        <v>447</v>
      </c>
      <c r="I481" s="2" t="s">
        <v>792</v>
      </c>
      <c r="J481" s="2" t="s">
        <v>19</v>
      </c>
      <c r="K481" s="2" t="s">
        <v>6686</v>
      </c>
      <c r="L481" s="7" t="str">
        <f>HYPERLINK("http://slimages.macys.com/is/image/MCY/14448536 ")</f>
        <v xml:space="preserve">http://slimages.macys.com/is/image/MCY/14448536 </v>
      </c>
    </row>
    <row r="482" spans="1:12" ht="24.75" x14ac:dyDescent="0.25">
      <c r="A482" s="4" t="s">
        <v>11002</v>
      </c>
      <c r="B482" s="2" t="s">
        <v>5929</v>
      </c>
      <c r="C482" s="3">
        <v>1</v>
      </c>
      <c r="D482" s="5">
        <v>24.99</v>
      </c>
      <c r="E482" s="3" t="s">
        <v>5930</v>
      </c>
      <c r="F482" s="2" t="s">
        <v>15</v>
      </c>
      <c r="G482" s="6" t="s">
        <v>181</v>
      </c>
      <c r="H482" s="2" t="s">
        <v>1522</v>
      </c>
      <c r="I482" s="2" t="s">
        <v>1469</v>
      </c>
      <c r="J482" s="2" t="s">
        <v>19</v>
      </c>
      <c r="K482" s="2" t="s">
        <v>353</v>
      </c>
      <c r="L482" s="7" t="str">
        <f>HYPERLINK("http://slimages.macys.com/is/image/MCY/9127935 ")</f>
        <v xml:space="preserve">http://slimages.macys.com/is/image/MCY/9127935 </v>
      </c>
    </row>
    <row r="483" spans="1:12" ht="24.75" x14ac:dyDescent="0.25">
      <c r="A483" s="4" t="s">
        <v>11003</v>
      </c>
      <c r="B483" s="2" t="s">
        <v>11004</v>
      </c>
      <c r="C483" s="3">
        <v>1</v>
      </c>
      <c r="D483" s="5">
        <v>44</v>
      </c>
      <c r="E483" s="3" t="s">
        <v>11005</v>
      </c>
      <c r="F483" s="2" t="s">
        <v>111</v>
      </c>
      <c r="G483" s="6" t="s">
        <v>794</v>
      </c>
      <c r="H483" s="2" t="s">
        <v>447</v>
      </c>
      <c r="I483" s="2" t="s">
        <v>792</v>
      </c>
      <c r="J483" s="2" t="s">
        <v>19</v>
      </c>
      <c r="K483" s="2" t="s">
        <v>160</v>
      </c>
      <c r="L483" s="7" t="str">
        <f>HYPERLINK("http://slimages.macys.com/is/image/MCY/14602211 ")</f>
        <v xml:space="preserve">http://slimages.macys.com/is/image/MCY/14602211 </v>
      </c>
    </row>
    <row r="484" spans="1:12" ht="24.75" x14ac:dyDescent="0.25">
      <c r="A484" s="4" t="s">
        <v>6683</v>
      </c>
      <c r="B484" s="2" t="s">
        <v>6684</v>
      </c>
      <c r="C484" s="3">
        <v>1</v>
      </c>
      <c r="D484" s="5">
        <v>44</v>
      </c>
      <c r="E484" s="3" t="s">
        <v>6685</v>
      </c>
      <c r="F484" s="2" t="s">
        <v>676</v>
      </c>
      <c r="G484" s="6" t="s">
        <v>446</v>
      </c>
      <c r="H484" s="2" t="s">
        <v>447</v>
      </c>
      <c r="I484" s="2" t="s">
        <v>792</v>
      </c>
      <c r="J484" s="2" t="s">
        <v>19</v>
      </c>
      <c r="K484" s="2" t="s">
        <v>6686</v>
      </c>
      <c r="L484" s="7" t="str">
        <f>HYPERLINK("http://slimages.macys.com/is/image/MCY/14448536 ")</f>
        <v xml:space="preserve">http://slimages.macys.com/is/image/MCY/14448536 </v>
      </c>
    </row>
    <row r="485" spans="1:12" ht="24.75" x14ac:dyDescent="0.25">
      <c r="A485" s="4" t="s">
        <v>11006</v>
      </c>
      <c r="B485" s="2" t="s">
        <v>5935</v>
      </c>
      <c r="C485" s="3">
        <v>1</v>
      </c>
      <c r="D485" s="5">
        <v>29.63</v>
      </c>
      <c r="E485" s="3" t="s">
        <v>5936</v>
      </c>
      <c r="F485" s="2" t="s">
        <v>413</v>
      </c>
      <c r="G485" s="6" t="s">
        <v>181</v>
      </c>
      <c r="H485" s="2" t="s">
        <v>284</v>
      </c>
      <c r="I485" s="2" t="s">
        <v>285</v>
      </c>
      <c r="J485" s="2" t="s">
        <v>19</v>
      </c>
      <c r="K485" s="2" t="s">
        <v>247</v>
      </c>
      <c r="L485" s="7" t="str">
        <f>HYPERLINK("http://slimages.macys.com/is/image/MCY/12076409 ")</f>
        <v xml:space="preserve">http://slimages.macys.com/is/image/MCY/12076409 </v>
      </c>
    </row>
    <row r="486" spans="1:12" ht="24.75" x14ac:dyDescent="0.25">
      <c r="A486" s="4" t="s">
        <v>11007</v>
      </c>
      <c r="B486" s="2" t="s">
        <v>9558</v>
      </c>
      <c r="C486" s="3">
        <v>3</v>
      </c>
      <c r="D486" s="5">
        <v>37.130000000000003</v>
      </c>
      <c r="E486" s="3" t="s">
        <v>11008</v>
      </c>
      <c r="F486" s="2" t="s">
        <v>74</v>
      </c>
      <c r="G486" s="6" t="s">
        <v>154</v>
      </c>
      <c r="H486" s="2" t="s">
        <v>194</v>
      </c>
      <c r="I486" s="2" t="s">
        <v>1112</v>
      </c>
      <c r="J486" s="2" t="s">
        <v>19</v>
      </c>
      <c r="K486" s="2" t="s">
        <v>409</v>
      </c>
      <c r="L486" s="7" t="str">
        <f t="shared" ref="L486:L492" si="2">HYPERLINK("http://slimages.macys.com/is/image/MCY/8106050 ")</f>
        <v xml:space="preserve">http://slimages.macys.com/is/image/MCY/8106050 </v>
      </c>
    </row>
    <row r="487" spans="1:12" ht="24.75" x14ac:dyDescent="0.25">
      <c r="A487" s="4" t="s">
        <v>11009</v>
      </c>
      <c r="B487" s="2" t="s">
        <v>9558</v>
      </c>
      <c r="C487" s="3">
        <v>1</v>
      </c>
      <c r="D487" s="5">
        <v>37.130000000000003</v>
      </c>
      <c r="E487" s="3" t="s">
        <v>11008</v>
      </c>
      <c r="F487" s="2" t="s">
        <v>74</v>
      </c>
      <c r="G487" s="6" t="s">
        <v>181</v>
      </c>
      <c r="H487" s="2" t="s">
        <v>194</v>
      </c>
      <c r="I487" s="2" t="s">
        <v>1112</v>
      </c>
      <c r="J487" s="2" t="s">
        <v>19</v>
      </c>
      <c r="K487" s="2" t="s">
        <v>409</v>
      </c>
      <c r="L487" s="7" t="str">
        <f t="shared" si="2"/>
        <v xml:space="preserve">http://slimages.macys.com/is/image/MCY/8106050 </v>
      </c>
    </row>
    <row r="488" spans="1:12" ht="24.75" x14ac:dyDescent="0.25">
      <c r="A488" s="4" t="s">
        <v>11010</v>
      </c>
      <c r="B488" s="2" t="s">
        <v>1462</v>
      </c>
      <c r="C488" s="3">
        <v>1</v>
      </c>
      <c r="D488" s="5">
        <v>37.130000000000003</v>
      </c>
      <c r="E488" s="3" t="s">
        <v>11011</v>
      </c>
      <c r="F488" s="2" t="s">
        <v>376</v>
      </c>
      <c r="G488" s="6" t="s">
        <v>234</v>
      </c>
      <c r="H488" s="2" t="s">
        <v>194</v>
      </c>
      <c r="I488" s="2" t="s">
        <v>1112</v>
      </c>
      <c r="J488" s="2" t="s">
        <v>19</v>
      </c>
      <c r="K488" s="2" t="s">
        <v>409</v>
      </c>
      <c r="L488" s="7" t="str">
        <f t="shared" si="2"/>
        <v xml:space="preserve">http://slimages.macys.com/is/image/MCY/8106050 </v>
      </c>
    </row>
    <row r="489" spans="1:12" ht="24.75" x14ac:dyDescent="0.25">
      <c r="A489" s="4" t="s">
        <v>11012</v>
      </c>
      <c r="B489" s="2" t="s">
        <v>1462</v>
      </c>
      <c r="C489" s="3">
        <v>1</v>
      </c>
      <c r="D489" s="5">
        <v>37.130000000000003</v>
      </c>
      <c r="E489" s="3" t="s">
        <v>11011</v>
      </c>
      <c r="F489" s="2" t="s">
        <v>376</v>
      </c>
      <c r="G489" s="6" t="s">
        <v>200</v>
      </c>
      <c r="H489" s="2" t="s">
        <v>194</v>
      </c>
      <c r="I489" s="2" t="s">
        <v>1112</v>
      </c>
      <c r="J489" s="2" t="s">
        <v>19</v>
      </c>
      <c r="K489" s="2" t="s">
        <v>409</v>
      </c>
      <c r="L489" s="7" t="str">
        <f t="shared" si="2"/>
        <v xml:space="preserve">http://slimages.macys.com/is/image/MCY/8106050 </v>
      </c>
    </row>
    <row r="490" spans="1:12" ht="24.75" x14ac:dyDescent="0.25">
      <c r="A490" s="4" t="s">
        <v>11013</v>
      </c>
      <c r="B490" s="2" t="s">
        <v>1462</v>
      </c>
      <c r="C490" s="3">
        <v>6</v>
      </c>
      <c r="D490" s="5">
        <v>37.130000000000003</v>
      </c>
      <c r="E490" s="3" t="s">
        <v>11011</v>
      </c>
      <c r="F490" s="2" t="s">
        <v>376</v>
      </c>
      <c r="G490" s="6" t="s">
        <v>154</v>
      </c>
      <c r="H490" s="2" t="s">
        <v>194</v>
      </c>
      <c r="I490" s="2" t="s">
        <v>1112</v>
      </c>
      <c r="J490" s="2" t="s">
        <v>19</v>
      </c>
      <c r="K490" s="2" t="s">
        <v>409</v>
      </c>
      <c r="L490" s="7" t="str">
        <f t="shared" si="2"/>
        <v xml:space="preserve">http://slimages.macys.com/is/image/MCY/8106050 </v>
      </c>
    </row>
    <row r="491" spans="1:12" ht="24.75" x14ac:dyDescent="0.25">
      <c r="A491" s="4" t="s">
        <v>11014</v>
      </c>
      <c r="B491" s="2" t="s">
        <v>9558</v>
      </c>
      <c r="C491" s="3">
        <v>1</v>
      </c>
      <c r="D491" s="5">
        <v>37.130000000000003</v>
      </c>
      <c r="E491" s="3" t="s">
        <v>11008</v>
      </c>
      <c r="F491" s="2" t="s">
        <v>74</v>
      </c>
      <c r="G491" s="6" t="s">
        <v>245</v>
      </c>
      <c r="H491" s="2" t="s">
        <v>194</v>
      </c>
      <c r="I491" s="2" t="s">
        <v>1112</v>
      </c>
      <c r="J491" s="2" t="s">
        <v>19</v>
      </c>
      <c r="K491" s="2" t="s">
        <v>409</v>
      </c>
      <c r="L491" s="7" t="str">
        <f t="shared" si="2"/>
        <v xml:space="preserve">http://slimages.macys.com/is/image/MCY/8106050 </v>
      </c>
    </row>
    <row r="492" spans="1:12" ht="24.75" x14ac:dyDescent="0.25">
      <c r="A492" s="4" t="s">
        <v>11015</v>
      </c>
      <c r="B492" s="2" t="s">
        <v>9558</v>
      </c>
      <c r="C492" s="3">
        <v>3</v>
      </c>
      <c r="D492" s="5">
        <v>37.130000000000003</v>
      </c>
      <c r="E492" s="3" t="s">
        <v>11008</v>
      </c>
      <c r="F492" s="2" t="s">
        <v>74</v>
      </c>
      <c r="G492" s="6" t="s">
        <v>156</v>
      </c>
      <c r="H492" s="2" t="s">
        <v>194</v>
      </c>
      <c r="I492" s="2" t="s">
        <v>1112</v>
      </c>
      <c r="J492" s="2" t="s">
        <v>19</v>
      </c>
      <c r="K492" s="2" t="s">
        <v>409</v>
      </c>
      <c r="L492" s="7" t="str">
        <f t="shared" si="2"/>
        <v xml:space="preserve">http://slimages.macys.com/is/image/MCY/8106050 </v>
      </c>
    </row>
    <row r="493" spans="1:12" ht="24.75" x14ac:dyDescent="0.25">
      <c r="A493" s="4" t="s">
        <v>11016</v>
      </c>
      <c r="B493" s="2" t="s">
        <v>1244</v>
      </c>
      <c r="C493" s="3">
        <v>1</v>
      </c>
      <c r="D493" s="5">
        <v>37.130000000000003</v>
      </c>
      <c r="E493" s="3" t="s">
        <v>11017</v>
      </c>
      <c r="F493" s="2" t="s">
        <v>15</v>
      </c>
      <c r="G493" s="6" t="s">
        <v>126</v>
      </c>
      <c r="H493" s="2" t="s">
        <v>312</v>
      </c>
      <c r="I493" s="2" t="s">
        <v>195</v>
      </c>
      <c r="J493" s="2" t="s">
        <v>19</v>
      </c>
      <c r="K493" s="2" t="s">
        <v>353</v>
      </c>
      <c r="L493" s="7" t="str">
        <f>HYPERLINK("http://slimages.macys.com/is/image/MCY/12793647 ")</f>
        <v xml:space="preserve">http://slimages.macys.com/is/image/MCY/12793647 </v>
      </c>
    </row>
    <row r="494" spans="1:12" ht="24.75" x14ac:dyDescent="0.25">
      <c r="A494" s="4" t="s">
        <v>8229</v>
      </c>
      <c r="B494" s="2" t="s">
        <v>1465</v>
      </c>
      <c r="C494" s="3">
        <v>1</v>
      </c>
      <c r="D494" s="5">
        <v>34.880000000000003</v>
      </c>
      <c r="E494" s="3">
        <v>100054394</v>
      </c>
      <c r="F494" s="2" t="s">
        <v>506</v>
      </c>
      <c r="G494" s="6" t="s">
        <v>16</v>
      </c>
      <c r="H494" s="2" t="s">
        <v>194</v>
      </c>
      <c r="I494" s="2" t="s">
        <v>195</v>
      </c>
      <c r="J494" s="2" t="s">
        <v>19</v>
      </c>
      <c r="K494" s="2" t="s">
        <v>353</v>
      </c>
      <c r="L494" s="7" t="str">
        <f>HYPERLINK("http://slimages.macys.com/is/image/MCY/12404668 ")</f>
        <v xml:space="preserve">http://slimages.macys.com/is/image/MCY/12404668 </v>
      </c>
    </row>
    <row r="495" spans="1:12" ht="24.75" x14ac:dyDescent="0.25">
      <c r="A495" s="4" t="s">
        <v>11018</v>
      </c>
      <c r="B495" s="2" t="s">
        <v>1465</v>
      </c>
      <c r="C495" s="3">
        <v>1</v>
      </c>
      <c r="D495" s="5">
        <v>34.880000000000003</v>
      </c>
      <c r="E495" s="3">
        <v>100054394</v>
      </c>
      <c r="F495" s="2" t="s">
        <v>26</v>
      </c>
      <c r="G495" s="6" t="s">
        <v>112</v>
      </c>
      <c r="H495" s="2" t="s">
        <v>194</v>
      </c>
      <c r="I495" s="2" t="s">
        <v>195</v>
      </c>
      <c r="J495" s="2" t="s">
        <v>19</v>
      </c>
      <c r="K495" s="2" t="s">
        <v>353</v>
      </c>
      <c r="L495" s="7" t="str">
        <f>HYPERLINK("http://slimages.macys.com/is/image/MCY/12404668 ")</f>
        <v xml:space="preserve">http://slimages.macys.com/is/image/MCY/12404668 </v>
      </c>
    </row>
    <row r="496" spans="1:12" ht="24.75" x14ac:dyDescent="0.25">
      <c r="A496" s="4" t="s">
        <v>11019</v>
      </c>
      <c r="B496" s="2" t="s">
        <v>11020</v>
      </c>
      <c r="C496" s="3">
        <v>2</v>
      </c>
      <c r="D496" s="5">
        <v>24.99</v>
      </c>
      <c r="E496" s="3" t="s">
        <v>11021</v>
      </c>
      <c r="F496" s="2" t="s">
        <v>199</v>
      </c>
      <c r="G496" s="6" t="s">
        <v>219</v>
      </c>
      <c r="H496" s="2" t="s">
        <v>1425</v>
      </c>
      <c r="I496" s="2" t="s">
        <v>1469</v>
      </c>
      <c r="J496" s="2" t="s">
        <v>19</v>
      </c>
      <c r="K496" s="2" t="s">
        <v>495</v>
      </c>
      <c r="L496" s="7" t="str">
        <f>HYPERLINK("http://slimages.macys.com/is/image/MCY/14824963 ")</f>
        <v xml:space="preserve">http://slimages.macys.com/is/image/MCY/14824963 </v>
      </c>
    </row>
    <row r="497" spans="1:12" ht="24.75" x14ac:dyDescent="0.25">
      <c r="A497" s="4" t="s">
        <v>11022</v>
      </c>
      <c r="B497" s="2" t="s">
        <v>11020</v>
      </c>
      <c r="C497" s="3">
        <v>1</v>
      </c>
      <c r="D497" s="5">
        <v>24.99</v>
      </c>
      <c r="E497" s="3" t="s">
        <v>11021</v>
      </c>
      <c r="F497" s="2" t="s">
        <v>199</v>
      </c>
      <c r="G497" s="6"/>
      <c r="H497" s="2" t="s">
        <v>1425</v>
      </c>
      <c r="I497" s="2" t="s">
        <v>1469</v>
      </c>
      <c r="J497" s="2" t="s">
        <v>19</v>
      </c>
      <c r="K497" s="2" t="s">
        <v>495</v>
      </c>
      <c r="L497" s="7" t="str">
        <f>HYPERLINK("http://slimages.macys.com/is/image/MCY/14824963 ")</f>
        <v xml:space="preserve">http://slimages.macys.com/is/image/MCY/14824963 </v>
      </c>
    </row>
    <row r="498" spans="1:12" ht="24.75" x14ac:dyDescent="0.25">
      <c r="A498" s="4" t="s">
        <v>11023</v>
      </c>
      <c r="B498" s="2" t="s">
        <v>11024</v>
      </c>
      <c r="C498" s="3">
        <v>1</v>
      </c>
      <c r="D498" s="5">
        <v>44</v>
      </c>
      <c r="E498" s="3" t="s">
        <v>11025</v>
      </c>
      <c r="F498" s="2" t="s">
        <v>562</v>
      </c>
      <c r="G498" s="6" t="s">
        <v>156</v>
      </c>
      <c r="H498" s="2" t="s">
        <v>10225</v>
      </c>
      <c r="I498" s="2" t="s">
        <v>10226</v>
      </c>
      <c r="J498" s="2" t="s">
        <v>19</v>
      </c>
      <c r="K498" s="2" t="s">
        <v>160</v>
      </c>
      <c r="L498" s="7" t="str">
        <f>HYPERLINK("http://slimages.macys.com/is/image/MCY/13076304 ")</f>
        <v xml:space="preserve">http://slimages.macys.com/is/image/MCY/13076304 </v>
      </c>
    </row>
    <row r="499" spans="1:12" ht="36.75" x14ac:dyDescent="0.25">
      <c r="A499" s="4" t="s">
        <v>11026</v>
      </c>
      <c r="B499" s="2" t="s">
        <v>1482</v>
      </c>
      <c r="C499" s="3">
        <v>1</v>
      </c>
      <c r="D499" s="5">
        <v>29.63</v>
      </c>
      <c r="E499" s="3" t="s">
        <v>5013</v>
      </c>
      <c r="F499" s="2" t="s">
        <v>15</v>
      </c>
      <c r="G499" s="6"/>
      <c r="H499" s="2" t="s">
        <v>312</v>
      </c>
      <c r="I499" s="2" t="s">
        <v>195</v>
      </c>
      <c r="J499" s="2" t="s">
        <v>19</v>
      </c>
      <c r="K499" s="2" t="s">
        <v>5014</v>
      </c>
      <c r="L499" s="7" t="str">
        <f>HYPERLINK("http://slimages.macys.com/is/image/MCY/12404964 ")</f>
        <v xml:space="preserve">http://slimages.macys.com/is/image/MCY/12404964 </v>
      </c>
    </row>
    <row r="500" spans="1:12" ht="24.75" x14ac:dyDescent="0.25">
      <c r="A500" s="4" t="s">
        <v>11027</v>
      </c>
      <c r="B500" s="2" t="s">
        <v>11028</v>
      </c>
      <c r="C500" s="3">
        <v>1</v>
      </c>
      <c r="D500" s="5">
        <v>19.989999999999998</v>
      </c>
      <c r="E500" s="3" t="s">
        <v>11029</v>
      </c>
      <c r="F500" s="2" t="s">
        <v>1322</v>
      </c>
      <c r="G500" s="6" t="s">
        <v>154</v>
      </c>
      <c r="H500" s="2" t="s">
        <v>1473</v>
      </c>
      <c r="I500" s="2" t="s">
        <v>1426</v>
      </c>
      <c r="J500" s="2" t="s">
        <v>19</v>
      </c>
      <c r="K500" s="2" t="s">
        <v>495</v>
      </c>
      <c r="L500" s="7" t="str">
        <f>HYPERLINK("http://slimages.macys.com/is/image/MCY/14825142 ")</f>
        <v xml:space="preserve">http://slimages.macys.com/is/image/MCY/14825142 </v>
      </c>
    </row>
    <row r="501" spans="1:12" ht="24.75" x14ac:dyDescent="0.25">
      <c r="A501" s="4" t="s">
        <v>11030</v>
      </c>
      <c r="B501" s="2" t="s">
        <v>11031</v>
      </c>
      <c r="C501" s="3">
        <v>2</v>
      </c>
      <c r="D501" s="5">
        <v>29.63</v>
      </c>
      <c r="E501" s="3" t="s">
        <v>11032</v>
      </c>
      <c r="F501" s="2" t="s">
        <v>15</v>
      </c>
      <c r="G501" s="6" t="s">
        <v>154</v>
      </c>
      <c r="H501" s="2" t="s">
        <v>194</v>
      </c>
      <c r="I501" s="2" t="s">
        <v>195</v>
      </c>
      <c r="J501" s="2" t="s">
        <v>19</v>
      </c>
      <c r="K501" s="2" t="s">
        <v>247</v>
      </c>
      <c r="L501" s="7" t="str">
        <f>HYPERLINK("http://slimages.macys.com/is/image/MCY/12793701 ")</f>
        <v xml:space="preserve">http://slimages.macys.com/is/image/MCY/12793701 </v>
      </c>
    </row>
    <row r="502" spans="1:12" ht="24.75" x14ac:dyDescent="0.25">
      <c r="A502" s="4" t="s">
        <v>11033</v>
      </c>
      <c r="B502" s="2" t="s">
        <v>948</v>
      </c>
      <c r="C502" s="3">
        <v>2</v>
      </c>
      <c r="D502" s="5">
        <v>34.880000000000003</v>
      </c>
      <c r="E502" s="3">
        <v>100038962</v>
      </c>
      <c r="F502" s="2" t="s">
        <v>74</v>
      </c>
      <c r="G502" s="6" t="s">
        <v>106</v>
      </c>
      <c r="H502" s="2" t="s">
        <v>194</v>
      </c>
      <c r="I502" s="2" t="s">
        <v>195</v>
      </c>
      <c r="J502" s="2" t="s">
        <v>19</v>
      </c>
      <c r="K502" s="2" t="s">
        <v>353</v>
      </c>
      <c r="L502" s="7" t="str">
        <f>HYPERLINK("http://slimages.macys.com/is/image/MCY/11145019 ")</f>
        <v xml:space="preserve">http://slimages.macys.com/is/image/MCY/11145019 </v>
      </c>
    </row>
    <row r="503" spans="1:12" ht="24.75" x14ac:dyDescent="0.25">
      <c r="A503" s="4" t="s">
        <v>11034</v>
      </c>
      <c r="B503" s="2" t="s">
        <v>11031</v>
      </c>
      <c r="C503" s="3">
        <v>1</v>
      </c>
      <c r="D503" s="5">
        <v>29.63</v>
      </c>
      <c r="E503" s="3" t="s">
        <v>11032</v>
      </c>
      <c r="F503" s="2" t="s">
        <v>15</v>
      </c>
      <c r="G503" s="6" t="s">
        <v>245</v>
      </c>
      <c r="H503" s="2" t="s">
        <v>194</v>
      </c>
      <c r="I503" s="2" t="s">
        <v>195</v>
      </c>
      <c r="J503" s="2" t="s">
        <v>19</v>
      </c>
      <c r="K503" s="2" t="s">
        <v>247</v>
      </c>
      <c r="L503" s="7" t="str">
        <f>HYPERLINK("http://slimages.macys.com/is/image/MCY/12793701 ")</f>
        <v xml:space="preserve">http://slimages.macys.com/is/image/MCY/12793701 </v>
      </c>
    </row>
    <row r="504" spans="1:12" ht="24.75" x14ac:dyDescent="0.25">
      <c r="A504" s="4" t="s">
        <v>11035</v>
      </c>
      <c r="B504" s="2" t="s">
        <v>11036</v>
      </c>
      <c r="C504" s="3">
        <v>1</v>
      </c>
      <c r="D504" s="5">
        <v>24.99</v>
      </c>
      <c r="E504" s="3" t="s">
        <v>11037</v>
      </c>
      <c r="F504" s="2" t="s">
        <v>74</v>
      </c>
      <c r="G504" s="6" t="s">
        <v>154</v>
      </c>
      <c r="H504" s="2" t="s">
        <v>1522</v>
      </c>
      <c r="I504" s="2" t="s">
        <v>1469</v>
      </c>
      <c r="J504" s="2" t="s">
        <v>19</v>
      </c>
      <c r="K504" s="2" t="s">
        <v>648</v>
      </c>
      <c r="L504" s="7" t="str">
        <f>HYPERLINK("http://slimages.macys.com/is/image/MCY/13303781 ")</f>
        <v xml:space="preserve">http://slimages.macys.com/is/image/MCY/13303781 </v>
      </c>
    </row>
    <row r="505" spans="1:12" ht="24.75" x14ac:dyDescent="0.25">
      <c r="A505" s="4" t="s">
        <v>10227</v>
      </c>
      <c r="B505" s="2" t="s">
        <v>10228</v>
      </c>
      <c r="C505" s="3">
        <v>1</v>
      </c>
      <c r="D505" s="5">
        <v>37.5</v>
      </c>
      <c r="E505" s="3" t="s">
        <v>10229</v>
      </c>
      <c r="F505" s="2" t="s">
        <v>74</v>
      </c>
      <c r="G505" s="6" t="s">
        <v>794</v>
      </c>
      <c r="H505" s="2" t="s">
        <v>447</v>
      </c>
      <c r="I505" s="2" t="s">
        <v>792</v>
      </c>
      <c r="J505" s="2" t="s">
        <v>2474</v>
      </c>
      <c r="K505" s="2" t="s">
        <v>160</v>
      </c>
      <c r="L505" s="7" t="str">
        <f>HYPERLINK("http://slimages.macys.com/is/image/MCY/12738160 ")</f>
        <v xml:space="preserve">http://slimages.macys.com/is/image/MCY/12738160 </v>
      </c>
    </row>
    <row r="506" spans="1:12" ht="24.75" x14ac:dyDescent="0.25">
      <c r="A506" s="4" t="s">
        <v>11038</v>
      </c>
      <c r="B506" s="2" t="s">
        <v>11039</v>
      </c>
      <c r="C506" s="3">
        <v>1</v>
      </c>
      <c r="D506" s="5">
        <v>50</v>
      </c>
      <c r="E506" s="3" t="s">
        <v>11040</v>
      </c>
      <c r="F506" s="2" t="s">
        <v>5457</v>
      </c>
      <c r="G506" s="6" t="s">
        <v>794</v>
      </c>
      <c r="H506" s="2" t="s">
        <v>447</v>
      </c>
      <c r="I506" s="2" t="s">
        <v>792</v>
      </c>
      <c r="J506" s="2" t="s">
        <v>19</v>
      </c>
      <c r="K506" s="2" t="s">
        <v>160</v>
      </c>
      <c r="L506" s="7" t="str">
        <f>HYPERLINK("http://slimages.macys.com/is/image/MCY/14448478 ")</f>
        <v xml:space="preserve">http://slimages.macys.com/is/image/MCY/14448478 </v>
      </c>
    </row>
    <row r="507" spans="1:12" ht="24.75" x14ac:dyDescent="0.25">
      <c r="A507" s="4" t="s">
        <v>11041</v>
      </c>
      <c r="B507" s="2" t="s">
        <v>10228</v>
      </c>
      <c r="C507" s="3">
        <v>1</v>
      </c>
      <c r="D507" s="5">
        <v>37.5</v>
      </c>
      <c r="E507" s="3" t="s">
        <v>10229</v>
      </c>
      <c r="F507" s="2" t="s">
        <v>74</v>
      </c>
      <c r="G507" s="6" t="s">
        <v>446</v>
      </c>
      <c r="H507" s="2" t="s">
        <v>447</v>
      </c>
      <c r="I507" s="2" t="s">
        <v>792</v>
      </c>
      <c r="J507" s="2" t="s">
        <v>2474</v>
      </c>
      <c r="K507" s="2" t="s">
        <v>160</v>
      </c>
      <c r="L507" s="7" t="str">
        <f>HYPERLINK("http://slimages.macys.com/is/image/MCY/12738160 ")</f>
        <v xml:space="preserve">http://slimages.macys.com/is/image/MCY/12738160 </v>
      </c>
    </row>
    <row r="508" spans="1:12" ht="24.75" x14ac:dyDescent="0.25">
      <c r="A508" s="4" t="s">
        <v>11042</v>
      </c>
      <c r="B508" s="2" t="s">
        <v>7544</v>
      </c>
      <c r="C508" s="3">
        <v>1</v>
      </c>
      <c r="D508" s="5">
        <v>24.99</v>
      </c>
      <c r="E508" s="3" t="s">
        <v>8741</v>
      </c>
      <c r="F508" s="2" t="s">
        <v>53</v>
      </c>
      <c r="G508" s="6" t="s">
        <v>187</v>
      </c>
      <c r="H508" s="2" t="s">
        <v>1425</v>
      </c>
      <c r="I508" s="2" t="s">
        <v>1426</v>
      </c>
      <c r="J508" s="2" t="s">
        <v>19</v>
      </c>
      <c r="K508" s="2" t="s">
        <v>648</v>
      </c>
      <c r="L508" s="7" t="str">
        <f>HYPERLINK("http://slimages.macys.com/is/image/MCY/9555145 ")</f>
        <v xml:space="preserve">http://slimages.macys.com/is/image/MCY/9555145 </v>
      </c>
    </row>
    <row r="509" spans="1:12" ht="24.75" x14ac:dyDescent="0.25">
      <c r="A509" s="4" t="s">
        <v>11043</v>
      </c>
      <c r="B509" s="2" t="s">
        <v>5032</v>
      </c>
      <c r="C509" s="3">
        <v>1</v>
      </c>
      <c r="D509" s="5">
        <v>24.99</v>
      </c>
      <c r="E509" s="3" t="s">
        <v>8252</v>
      </c>
      <c r="F509" s="2" t="s">
        <v>74</v>
      </c>
      <c r="G509" s="6" t="s">
        <v>181</v>
      </c>
      <c r="H509" s="2" t="s">
        <v>1522</v>
      </c>
      <c r="I509" s="2" t="s">
        <v>1469</v>
      </c>
      <c r="J509" s="2" t="s">
        <v>19</v>
      </c>
      <c r="K509" s="2" t="s">
        <v>648</v>
      </c>
      <c r="L509" s="7" t="str">
        <f>HYPERLINK("http://slimages.macys.com/is/image/MCY/12645274 ")</f>
        <v xml:space="preserve">http://slimages.macys.com/is/image/MCY/12645274 </v>
      </c>
    </row>
    <row r="510" spans="1:12" ht="24.75" x14ac:dyDescent="0.25">
      <c r="A510" s="4" t="s">
        <v>11044</v>
      </c>
      <c r="B510" s="2" t="s">
        <v>11045</v>
      </c>
      <c r="C510" s="3">
        <v>1</v>
      </c>
      <c r="D510" s="5">
        <v>24.99</v>
      </c>
      <c r="E510" s="3" t="s">
        <v>11046</v>
      </c>
      <c r="F510" s="2" t="s">
        <v>64</v>
      </c>
      <c r="G510" s="6" t="s">
        <v>245</v>
      </c>
      <c r="H510" s="2" t="s">
        <v>1473</v>
      </c>
      <c r="I510" s="2" t="s">
        <v>1426</v>
      </c>
      <c r="J510" s="2" t="s">
        <v>19</v>
      </c>
      <c r="K510" s="2" t="s">
        <v>648</v>
      </c>
      <c r="L510" s="7" t="str">
        <f>HYPERLINK("http://slimages.macys.com/is/image/MCY/13966694 ")</f>
        <v xml:space="preserve">http://slimages.macys.com/is/image/MCY/13966694 </v>
      </c>
    </row>
    <row r="511" spans="1:12" ht="24.75" x14ac:dyDescent="0.25">
      <c r="A511" s="4" t="s">
        <v>11047</v>
      </c>
      <c r="B511" s="2" t="s">
        <v>11036</v>
      </c>
      <c r="C511" s="3">
        <v>1</v>
      </c>
      <c r="D511" s="5">
        <v>24.99</v>
      </c>
      <c r="E511" s="3" t="s">
        <v>11037</v>
      </c>
      <c r="F511" s="2" t="s">
        <v>70</v>
      </c>
      <c r="G511" s="6" t="s">
        <v>234</v>
      </c>
      <c r="H511" s="2" t="s">
        <v>1522</v>
      </c>
      <c r="I511" s="2" t="s">
        <v>1469</v>
      </c>
      <c r="J511" s="2" t="s">
        <v>19</v>
      </c>
      <c r="K511" s="2" t="s">
        <v>648</v>
      </c>
      <c r="L511" s="7" t="str">
        <f>HYPERLINK("http://slimages.macys.com/is/image/MCY/13303781 ")</f>
        <v xml:space="preserve">http://slimages.macys.com/is/image/MCY/13303781 </v>
      </c>
    </row>
    <row r="512" spans="1:12" ht="24.75" x14ac:dyDescent="0.25">
      <c r="A512" s="4" t="s">
        <v>11048</v>
      </c>
      <c r="B512" s="2" t="s">
        <v>5032</v>
      </c>
      <c r="C512" s="3">
        <v>1</v>
      </c>
      <c r="D512" s="5">
        <v>24.99</v>
      </c>
      <c r="E512" s="3" t="s">
        <v>8252</v>
      </c>
      <c r="F512" s="2" t="s">
        <v>26</v>
      </c>
      <c r="G512" s="6" t="s">
        <v>181</v>
      </c>
      <c r="H512" s="2" t="s">
        <v>1522</v>
      </c>
      <c r="I512" s="2" t="s">
        <v>1469</v>
      </c>
      <c r="J512" s="2" t="s">
        <v>19</v>
      </c>
      <c r="K512" s="2" t="s">
        <v>648</v>
      </c>
      <c r="L512" s="7" t="str">
        <f>HYPERLINK("http://slimages.macys.com/is/image/MCY/12645250 ")</f>
        <v xml:space="preserve">http://slimages.macys.com/is/image/MCY/12645250 </v>
      </c>
    </row>
    <row r="513" spans="1:12" ht="24.75" x14ac:dyDescent="0.25">
      <c r="A513" s="4" t="s">
        <v>11049</v>
      </c>
      <c r="B513" s="2" t="s">
        <v>11050</v>
      </c>
      <c r="C513" s="3">
        <v>1</v>
      </c>
      <c r="D513" s="5">
        <v>24.99</v>
      </c>
      <c r="E513" s="3" t="s">
        <v>11051</v>
      </c>
      <c r="F513" s="2" t="s">
        <v>15</v>
      </c>
      <c r="G513" s="6" t="s">
        <v>234</v>
      </c>
      <c r="H513" s="2" t="s">
        <v>1522</v>
      </c>
      <c r="I513" s="2" t="s">
        <v>1469</v>
      </c>
      <c r="J513" s="2" t="s">
        <v>19</v>
      </c>
      <c r="K513" s="2" t="s">
        <v>495</v>
      </c>
      <c r="L513" s="7" t="str">
        <f>HYPERLINK("http://slimages.macys.com/is/image/MCY/12064399 ")</f>
        <v xml:space="preserve">http://slimages.macys.com/is/image/MCY/12064399 </v>
      </c>
    </row>
    <row r="514" spans="1:12" ht="24.75" x14ac:dyDescent="0.25">
      <c r="A514" s="4" t="s">
        <v>11052</v>
      </c>
      <c r="B514" s="2" t="s">
        <v>5032</v>
      </c>
      <c r="C514" s="3">
        <v>2</v>
      </c>
      <c r="D514" s="5">
        <v>24.99</v>
      </c>
      <c r="E514" s="3" t="s">
        <v>8252</v>
      </c>
      <c r="F514" s="2" t="s">
        <v>74</v>
      </c>
      <c r="G514" s="6" t="s">
        <v>234</v>
      </c>
      <c r="H514" s="2" t="s">
        <v>1522</v>
      </c>
      <c r="I514" s="2" t="s">
        <v>1469</v>
      </c>
      <c r="J514" s="2" t="s">
        <v>19</v>
      </c>
      <c r="K514" s="2" t="s">
        <v>648</v>
      </c>
      <c r="L514" s="7" t="str">
        <f>HYPERLINK("http://slimages.macys.com/is/image/MCY/12645274 ")</f>
        <v xml:space="preserve">http://slimages.macys.com/is/image/MCY/12645274 </v>
      </c>
    </row>
    <row r="515" spans="1:12" ht="24.75" x14ac:dyDescent="0.25">
      <c r="A515" s="4" t="s">
        <v>11053</v>
      </c>
      <c r="B515" s="2" t="s">
        <v>11054</v>
      </c>
      <c r="C515" s="3">
        <v>1</v>
      </c>
      <c r="D515" s="5">
        <v>24.99</v>
      </c>
      <c r="E515" s="3" t="s">
        <v>11055</v>
      </c>
      <c r="F515" s="2" t="s">
        <v>74</v>
      </c>
      <c r="G515" s="6" t="s">
        <v>187</v>
      </c>
      <c r="H515" s="2" t="s">
        <v>1425</v>
      </c>
      <c r="I515" s="2" t="s">
        <v>8769</v>
      </c>
      <c r="J515" s="2" t="s">
        <v>19</v>
      </c>
      <c r="K515" s="2" t="s">
        <v>3428</v>
      </c>
      <c r="L515" s="7" t="str">
        <f>HYPERLINK("http://slimages.macys.com/is/image/MCY/14661108 ")</f>
        <v xml:space="preserve">http://slimages.macys.com/is/image/MCY/14661108 </v>
      </c>
    </row>
    <row r="516" spans="1:12" ht="24.75" x14ac:dyDescent="0.25">
      <c r="A516" s="4" t="s">
        <v>6717</v>
      </c>
      <c r="B516" s="2" t="s">
        <v>2779</v>
      </c>
      <c r="C516" s="3">
        <v>1</v>
      </c>
      <c r="D516" s="5">
        <v>29.63</v>
      </c>
      <c r="E516" s="3" t="s">
        <v>2810</v>
      </c>
      <c r="F516" s="2" t="s">
        <v>15</v>
      </c>
      <c r="G516" s="6"/>
      <c r="H516" s="2" t="s">
        <v>312</v>
      </c>
      <c r="I516" s="2" t="s">
        <v>195</v>
      </c>
      <c r="J516" s="2" t="s">
        <v>19</v>
      </c>
      <c r="K516" s="2" t="s">
        <v>247</v>
      </c>
      <c r="L516" s="7" t="str">
        <f>HYPERLINK("http://slimages.macys.com/is/image/MCY/12279859 ")</f>
        <v xml:space="preserve">http://slimages.macys.com/is/image/MCY/12279859 </v>
      </c>
    </row>
    <row r="517" spans="1:12" ht="24.75" x14ac:dyDescent="0.25">
      <c r="A517" s="4" t="s">
        <v>2809</v>
      </c>
      <c r="B517" s="2" t="s">
        <v>2779</v>
      </c>
      <c r="C517" s="3">
        <v>1</v>
      </c>
      <c r="D517" s="5">
        <v>29.63</v>
      </c>
      <c r="E517" s="3" t="s">
        <v>2810</v>
      </c>
      <c r="F517" s="2" t="s">
        <v>15</v>
      </c>
      <c r="G517" s="6"/>
      <c r="H517" s="2" t="s">
        <v>312</v>
      </c>
      <c r="I517" s="2" t="s">
        <v>195</v>
      </c>
      <c r="J517" s="2" t="s">
        <v>19</v>
      </c>
      <c r="K517" s="2" t="s">
        <v>247</v>
      </c>
      <c r="L517" s="7" t="str">
        <f>HYPERLINK("http://slimages.macys.com/is/image/MCY/12279859 ")</f>
        <v xml:space="preserve">http://slimages.macys.com/is/image/MCY/12279859 </v>
      </c>
    </row>
    <row r="518" spans="1:12" ht="24.75" x14ac:dyDescent="0.25">
      <c r="A518" s="4" t="s">
        <v>5036</v>
      </c>
      <c r="B518" s="2" t="s">
        <v>2779</v>
      </c>
      <c r="C518" s="3">
        <v>1</v>
      </c>
      <c r="D518" s="5">
        <v>29.63</v>
      </c>
      <c r="E518" s="3" t="s">
        <v>2810</v>
      </c>
      <c r="F518" s="2" t="s">
        <v>15</v>
      </c>
      <c r="G518" s="6"/>
      <c r="H518" s="2" t="s">
        <v>312</v>
      </c>
      <c r="I518" s="2" t="s">
        <v>195</v>
      </c>
      <c r="J518" s="2" t="s">
        <v>19</v>
      </c>
      <c r="K518" s="2" t="s">
        <v>247</v>
      </c>
      <c r="L518" s="7" t="str">
        <f>HYPERLINK("http://slimages.macys.com/is/image/MCY/12279859 ")</f>
        <v xml:space="preserve">http://slimages.macys.com/is/image/MCY/12279859 </v>
      </c>
    </row>
    <row r="519" spans="1:12" ht="24.75" x14ac:dyDescent="0.25">
      <c r="A519" s="4" t="s">
        <v>11056</v>
      </c>
      <c r="B519" s="2" t="s">
        <v>2746</v>
      </c>
      <c r="C519" s="3">
        <v>1</v>
      </c>
      <c r="D519" s="5">
        <v>29.5</v>
      </c>
      <c r="E519" s="3" t="s">
        <v>2747</v>
      </c>
      <c r="F519" s="2" t="s">
        <v>15</v>
      </c>
      <c r="G519" s="6"/>
      <c r="H519" s="2" t="s">
        <v>312</v>
      </c>
      <c r="I519" s="2" t="s">
        <v>195</v>
      </c>
      <c r="J519" s="2" t="s">
        <v>19</v>
      </c>
      <c r="K519" s="2" t="s">
        <v>1629</v>
      </c>
      <c r="L519" s="7" t="str">
        <f>HYPERLINK("http://slimages.macys.com/is/image/MCY/8604512 ")</f>
        <v xml:space="preserve">http://slimages.macys.com/is/image/MCY/8604512 </v>
      </c>
    </row>
    <row r="520" spans="1:12" ht="24.75" x14ac:dyDescent="0.25">
      <c r="A520" s="4" t="s">
        <v>11057</v>
      </c>
      <c r="B520" s="2" t="s">
        <v>11058</v>
      </c>
      <c r="C520" s="3">
        <v>1</v>
      </c>
      <c r="D520" s="5">
        <v>25.88</v>
      </c>
      <c r="E520" s="3">
        <v>100047676</v>
      </c>
      <c r="F520" s="2" t="s">
        <v>74</v>
      </c>
      <c r="G520" s="6" t="s">
        <v>234</v>
      </c>
      <c r="H520" s="2" t="s">
        <v>194</v>
      </c>
      <c r="I520" s="2" t="s">
        <v>195</v>
      </c>
      <c r="J520" s="2" t="s">
        <v>19</v>
      </c>
      <c r="K520" s="2" t="s">
        <v>353</v>
      </c>
      <c r="L520" s="7" t="str">
        <f>HYPERLINK("http://slimages.macys.com/is/image/MCY/11414824 ")</f>
        <v xml:space="preserve">http://slimages.macys.com/is/image/MCY/11414824 </v>
      </c>
    </row>
    <row r="521" spans="1:12" ht="24.75" x14ac:dyDescent="0.25">
      <c r="A521" s="4" t="s">
        <v>11059</v>
      </c>
      <c r="B521" s="2" t="s">
        <v>11058</v>
      </c>
      <c r="C521" s="3">
        <v>2</v>
      </c>
      <c r="D521" s="5">
        <v>25.88</v>
      </c>
      <c r="E521" s="3">
        <v>100047676</v>
      </c>
      <c r="F521" s="2" t="s">
        <v>74</v>
      </c>
      <c r="G521" s="6" t="s">
        <v>154</v>
      </c>
      <c r="H521" s="2" t="s">
        <v>194</v>
      </c>
      <c r="I521" s="2" t="s">
        <v>195</v>
      </c>
      <c r="J521" s="2" t="s">
        <v>19</v>
      </c>
      <c r="K521" s="2" t="s">
        <v>353</v>
      </c>
      <c r="L521" s="7" t="str">
        <f>HYPERLINK("http://slimages.macys.com/is/image/MCY/11414824 ")</f>
        <v xml:space="preserve">http://slimages.macys.com/is/image/MCY/11414824 </v>
      </c>
    </row>
    <row r="522" spans="1:12" ht="24.75" x14ac:dyDescent="0.25">
      <c r="A522" s="4" t="s">
        <v>11060</v>
      </c>
      <c r="B522" s="2" t="s">
        <v>5040</v>
      </c>
      <c r="C522" s="3">
        <v>1</v>
      </c>
      <c r="D522" s="5">
        <v>29.63</v>
      </c>
      <c r="E522" s="3">
        <v>100018082</v>
      </c>
      <c r="F522" s="2" t="s">
        <v>48</v>
      </c>
      <c r="G522" s="6" t="s">
        <v>156</v>
      </c>
      <c r="H522" s="2" t="s">
        <v>194</v>
      </c>
      <c r="I522" s="2" t="s">
        <v>195</v>
      </c>
      <c r="J522" s="2" t="s">
        <v>19</v>
      </c>
      <c r="K522" s="2" t="s">
        <v>1082</v>
      </c>
      <c r="L522" s="7" t="str">
        <f>HYPERLINK("http://slimages.macys.com/is/image/MCY/13367475 ")</f>
        <v xml:space="preserve">http://slimages.macys.com/is/image/MCY/13367475 </v>
      </c>
    </row>
    <row r="523" spans="1:12" ht="24.75" x14ac:dyDescent="0.25">
      <c r="A523" s="4" t="s">
        <v>6721</v>
      </c>
      <c r="B523" s="2" t="s">
        <v>5040</v>
      </c>
      <c r="C523" s="3">
        <v>1</v>
      </c>
      <c r="D523" s="5">
        <v>29.63</v>
      </c>
      <c r="E523" s="3">
        <v>100018082</v>
      </c>
      <c r="F523" s="2" t="s">
        <v>15</v>
      </c>
      <c r="G523" s="6" t="s">
        <v>234</v>
      </c>
      <c r="H523" s="2" t="s">
        <v>194</v>
      </c>
      <c r="I523" s="2" t="s">
        <v>195</v>
      </c>
      <c r="J523" s="2" t="s">
        <v>19</v>
      </c>
      <c r="K523" s="2" t="s">
        <v>1082</v>
      </c>
      <c r="L523" s="7" t="str">
        <f>HYPERLINK("http://slimages.macys.com/is/image/MCY/13367475 ")</f>
        <v xml:space="preserve">http://slimages.macys.com/is/image/MCY/13367475 </v>
      </c>
    </row>
    <row r="524" spans="1:12" ht="24.75" x14ac:dyDescent="0.25">
      <c r="A524" s="4" t="s">
        <v>11061</v>
      </c>
      <c r="B524" s="2" t="s">
        <v>5040</v>
      </c>
      <c r="C524" s="3">
        <v>1</v>
      </c>
      <c r="D524" s="5">
        <v>29.63</v>
      </c>
      <c r="E524" s="3">
        <v>100018082</v>
      </c>
      <c r="F524" s="2" t="s">
        <v>15</v>
      </c>
      <c r="G524" s="6" t="s">
        <v>156</v>
      </c>
      <c r="H524" s="2" t="s">
        <v>194</v>
      </c>
      <c r="I524" s="2" t="s">
        <v>195</v>
      </c>
      <c r="J524" s="2" t="s">
        <v>19</v>
      </c>
      <c r="K524" s="2" t="s">
        <v>1082</v>
      </c>
      <c r="L524" s="7" t="str">
        <f>HYPERLINK("http://slimages.macys.com/is/image/MCY/13367475 ")</f>
        <v xml:space="preserve">http://slimages.macys.com/is/image/MCY/13367475 </v>
      </c>
    </row>
    <row r="525" spans="1:12" ht="24.75" x14ac:dyDescent="0.25">
      <c r="A525" s="4" t="s">
        <v>11062</v>
      </c>
      <c r="B525" s="2" t="s">
        <v>5040</v>
      </c>
      <c r="C525" s="3">
        <v>2</v>
      </c>
      <c r="D525" s="5">
        <v>29.63</v>
      </c>
      <c r="E525" s="3">
        <v>100018082</v>
      </c>
      <c r="F525" s="2" t="s">
        <v>15</v>
      </c>
      <c r="G525" s="6" t="s">
        <v>200</v>
      </c>
      <c r="H525" s="2" t="s">
        <v>194</v>
      </c>
      <c r="I525" s="2" t="s">
        <v>195</v>
      </c>
      <c r="J525" s="2" t="s">
        <v>19</v>
      </c>
      <c r="K525" s="2" t="s">
        <v>1082</v>
      </c>
      <c r="L525" s="7" t="str">
        <f>HYPERLINK("http://slimages.macys.com/is/image/MCY/13367475 ")</f>
        <v xml:space="preserve">http://slimages.macys.com/is/image/MCY/13367475 </v>
      </c>
    </row>
    <row r="526" spans="1:12" ht="24.75" x14ac:dyDescent="0.25">
      <c r="A526" s="4" t="s">
        <v>11063</v>
      </c>
      <c r="B526" s="2" t="s">
        <v>11064</v>
      </c>
      <c r="C526" s="3">
        <v>2</v>
      </c>
      <c r="D526" s="5">
        <v>21.99</v>
      </c>
      <c r="E526" s="3" t="s">
        <v>11065</v>
      </c>
      <c r="F526" s="2" t="s">
        <v>199</v>
      </c>
      <c r="G526" s="6" t="s">
        <v>156</v>
      </c>
      <c r="H526" s="2" t="s">
        <v>1473</v>
      </c>
      <c r="I526" s="2" t="s">
        <v>1426</v>
      </c>
      <c r="J526" s="2" t="s">
        <v>19</v>
      </c>
      <c r="K526" s="2" t="s">
        <v>11066</v>
      </c>
      <c r="L526" s="7" t="str">
        <f>HYPERLINK("http://slimages.macys.com/is/image/MCY/13960174 ")</f>
        <v xml:space="preserve">http://slimages.macys.com/is/image/MCY/13960174 </v>
      </c>
    </row>
    <row r="527" spans="1:12" ht="24.75" x14ac:dyDescent="0.25">
      <c r="A527" s="4" t="s">
        <v>11067</v>
      </c>
      <c r="B527" s="2" t="s">
        <v>11068</v>
      </c>
      <c r="C527" s="3">
        <v>1</v>
      </c>
      <c r="D527" s="5">
        <v>19.989999999999998</v>
      </c>
      <c r="E527" s="3" t="s">
        <v>11069</v>
      </c>
      <c r="F527" s="2" t="s">
        <v>79</v>
      </c>
      <c r="G527" s="6" t="s">
        <v>234</v>
      </c>
      <c r="H527" s="2" t="s">
        <v>246</v>
      </c>
      <c r="I527" s="2" t="s">
        <v>1939</v>
      </c>
      <c r="J527" s="2" t="s">
        <v>19</v>
      </c>
      <c r="K527" s="2" t="s">
        <v>9153</v>
      </c>
      <c r="L527" s="7" t="str">
        <f>HYPERLINK("http://slimages.macys.com/is/image/MCY/11031503 ")</f>
        <v xml:space="preserve">http://slimages.macys.com/is/image/MCY/11031503 </v>
      </c>
    </row>
    <row r="528" spans="1:12" ht="24.75" x14ac:dyDescent="0.25">
      <c r="A528" s="4" t="s">
        <v>11070</v>
      </c>
      <c r="B528" s="2" t="s">
        <v>11071</v>
      </c>
      <c r="C528" s="3">
        <v>1</v>
      </c>
      <c r="D528" s="5">
        <v>24.99</v>
      </c>
      <c r="E528" s="3" t="s">
        <v>11072</v>
      </c>
      <c r="F528" s="2" t="s">
        <v>74</v>
      </c>
      <c r="G528" s="6"/>
      <c r="H528" s="2" t="s">
        <v>1425</v>
      </c>
      <c r="I528" s="2" t="s">
        <v>1469</v>
      </c>
      <c r="J528" s="2" t="s">
        <v>19</v>
      </c>
      <c r="K528" s="2" t="s">
        <v>353</v>
      </c>
      <c r="L528" s="7" t="str">
        <f>HYPERLINK("http://slimages.macys.com/is/image/MCY/10392136 ")</f>
        <v xml:space="preserve">http://slimages.macys.com/is/image/MCY/10392136 </v>
      </c>
    </row>
    <row r="529" spans="1:12" ht="24.75" x14ac:dyDescent="0.25">
      <c r="A529" s="4" t="s">
        <v>11073</v>
      </c>
      <c r="B529" s="2" t="s">
        <v>11074</v>
      </c>
      <c r="C529" s="3">
        <v>1</v>
      </c>
      <c r="D529" s="5">
        <v>29.63</v>
      </c>
      <c r="E529" s="3" t="s">
        <v>11075</v>
      </c>
      <c r="F529" s="2" t="s">
        <v>1914</v>
      </c>
      <c r="G529" s="6" t="s">
        <v>181</v>
      </c>
      <c r="H529" s="2" t="s">
        <v>284</v>
      </c>
      <c r="I529" s="2" t="s">
        <v>285</v>
      </c>
      <c r="J529" s="2" t="s">
        <v>19</v>
      </c>
      <c r="K529" s="2" t="s">
        <v>442</v>
      </c>
      <c r="L529" s="7" t="str">
        <f>HYPERLINK("http://slimages.macys.com/is/image/MCY/10043380 ")</f>
        <v xml:space="preserve">http://slimages.macys.com/is/image/MCY/10043380 </v>
      </c>
    </row>
    <row r="530" spans="1:12" ht="24.75" x14ac:dyDescent="0.25">
      <c r="A530" s="4" t="s">
        <v>11076</v>
      </c>
      <c r="B530" s="2" t="s">
        <v>11074</v>
      </c>
      <c r="C530" s="3">
        <v>1</v>
      </c>
      <c r="D530" s="5">
        <v>29.63</v>
      </c>
      <c r="E530" s="3" t="s">
        <v>11075</v>
      </c>
      <c r="F530" s="2" t="s">
        <v>464</v>
      </c>
      <c r="G530" s="6" t="s">
        <v>234</v>
      </c>
      <c r="H530" s="2" t="s">
        <v>284</v>
      </c>
      <c r="I530" s="2" t="s">
        <v>285</v>
      </c>
      <c r="J530" s="2" t="s">
        <v>19</v>
      </c>
      <c r="K530" s="2" t="s">
        <v>442</v>
      </c>
      <c r="L530" s="7" t="str">
        <f>HYPERLINK("http://slimages.macys.com/is/image/MCY/10043380 ")</f>
        <v xml:space="preserve">http://slimages.macys.com/is/image/MCY/10043380 </v>
      </c>
    </row>
    <row r="531" spans="1:12" ht="24.75" x14ac:dyDescent="0.25">
      <c r="A531" s="4" t="s">
        <v>11077</v>
      </c>
      <c r="B531" s="2" t="s">
        <v>11078</v>
      </c>
      <c r="C531" s="3">
        <v>1</v>
      </c>
      <c r="D531" s="5">
        <v>25.88</v>
      </c>
      <c r="E531" s="3" t="s">
        <v>11079</v>
      </c>
      <c r="F531" s="2" t="s">
        <v>64</v>
      </c>
      <c r="G531" s="6" t="s">
        <v>234</v>
      </c>
      <c r="H531" s="2" t="s">
        <v>284</v>
      </c>
      <c r="I531" s="2" t="s">
        <v>11080</v>
      </c>
      <c r="J531" s="2" t="s">
        <v>19</v>
      </c>
      <c r="K531" s="2" t="s">
        <v>353</v>
      </c>
      <c r="L531" s="7" t="str">
        <f>HYPERLINK("http://slimages.macys.com/is/image/MCY/14377653 ")</f>
        <v xml:space="preserve">http://slimages.macys.com/is/image/MCY/14377653 </v>
      </c>
    </row>
    <row r="532" spans="1:12" ht="24.75" x14ac:dyDescent="0.25">
      <c r="A532" s="4" t="s">
        <v>9140</v>
      </c>
      <c r="B532" s="2" t="s">
        <v>1539</v>
      </c>
      <c r="C532" s="3">
        <v>1</v>
      </c>
      <c r="D532" s="5">
        <v>26.99</v>
      </c>
      <c r="E532" s="3" t="s">
        <v>1540</v>
      </c>
      <c r="F532" s="2" t="s">
        <v>1234</v>
      </c>
      <c r="G532" s="6" t="s">
        <v>141</v>
      </c>
      <c r="H532" s="2" t="s">
        <v>1473</v>
      </c>
      <c r="I532" s="2" t="s">
        <v>1426</v>
      </c>
      <c r="J532" s="2" t="s">
        <v>19</v>
      </c>
      <c r="K532" s="2" t="s">
        <v>353</v>
      </c>
      <c r="L532" s="7" t="str">
        <f>HYPERLINK("http://slimages.macys.com/is/image/MCY/10786732 ")</f>
        <v xml:space="preserve">http://slimages.macys.com/is/image/MCY/10786732 </v>
      </c>
    </row>
    <row r="533" spans="1:12" ht="24.75" x14ac:dyDescent="0.25">
      <c r="A533" s="4" t="s">
        <v>1549</v>
      </c>
      <c r="B533" s="2" t="s">
        <v>1539</v>
      </c>
      <c r="C533" s="3">
        <v>1</v>
      </c>
      <c r="D533" s="5">
        <v>26.99</v>
      </c>
      <c r="E533" s="3" t="s">
        <v>1548</v>
      </c>
      <c r="F533" s="2" t="s">
        <v>998</v>
      </c>
      <c r="G533" s="6" t="s">
        <v>205</v>
      </c>
      <c r="H533" s="2" t="s">
        <v>1425</v>
      </c>
      <c r="I533" s="2" t="s">
        <v>1426</v>
      </c>
      <c r="J533" s="2" t="s">
        <v>19</v>
      </c>
      <c r="K533" s="2" t="s">
        <v>353</v>
      </c>
      <c r="L533" s="7" t="str">
        <f>HYPERLINK("http://slimages.macys.com/is/image/MCY/11092539 ")</f>
        <v xml:space="preserve">http://slimages.macys.com/is/image/MCY/11092539 </v>
      </c>
    </row>
    <row r="534" spans="1:12" ht="24.75" x14ac:dyDescent="0.25">
      <c r="A534" s="4" t="s">
        <v>5044</v>
      </c>
      <c r="B534" s="2" t="s">
        <v>1539</v>
      </c>
      <c r="C534" s="3">
        <v>1</v>
      </c>
      <c r="D534" s="5">
        <v>26.99</v>
      </c>
      <c r="E534" s="3" t="s">
        <v>1548</v>
      </c>
      <c r="F534" s="2" t="s">
        <v>252</v>
      </c>
      <c r="G534" s="6" t="s">
        <v>165</v>
      </c>
      <c r="H534" s="2" t="s">
        <v>1425</v>
      </c>
      <c r="I534" s="2" t="s">
        <v>1426</v>
      </c>
      <c r="J534" s="2" t="s">
        <v>19</v>
      </c>
      <c r="K534" s="2" t="s">
        <v>353</v>
      </c>
      <c r="L534" s="7" t="str">
        <f>HYPERLINK("http://slimages.macys.com/is/image/MCY/11092539 ")</f>
        <v xml:space="preserve">http://slimages.macys.com/is/image/MCY/11092539 </v>
      </c>
    </row>
    <row r="535" spans="1:12" ht="24.75" x14ac:dyDescent="0.25">
      <c r="A535" s="4" t="s">
        <v>2831</v>
      </c>
      <c r="B535" s="2" t="s">
        <v>1539</v>
      </c>
      <c r="C535" s="3">
        <v>1</v>
      </c>
      <c r="D535" s="5">
        <v>26.99</v>
      </c>
      <c r="E535" s="3" t="s">
        <v>1548</v>
      </c>
      <c r="F535" s="2" t="s">
        <v>998</v>
      </c>
      <c r="G535" s="6" t="s">
        <v>238</v>
      </c>
      <c r="H535" s="2" t="s">
        <v>1425</v>
      </c>
      <c r="I535" s="2" t="s">
        <v>1426</v>
      </c>
      <c r="J535" s="2" t="s">
        <v>19</v>
      </c>
      <c r="K535" s="2" t="s">
        <v>353</v>
      </c>
      <c r="L535" s="7" t="str">
        <f>HYPERLINK("http://slimages.macys.com/is/image/MCY/11092539 ")</f>
        <v xml:space="preserve">http://slimages.macys.com/is/image/MCY/11092539 </v>
      </c>
    </row>
    <row r="536" spans="1:12" ht="24.75" x14ac:dyDescent="0.25">
      <c r="A536" s="4" t="s">
        <v>2816</v>
      </c>
      <c r="B536" s="2" t="s">
        <v>1539</v>
      </c>
      <c r="C536" s="3">
        <v>1</v>
      </c>
      <c r="D536" s="5">
        <v>26.99</v>
      </c>
      <c r="E536" s="3" t="s">
        <v>1540</v>
      </c>
      <c r="F536" s="2" t="s">
        <v>70</v>
      </c>
      <c r="G536" s="6" t="s">
        <v>106</v>
      </c>
      <c r="H536" s="2" t="s">
        <v>1473</v>
      </c>
      <c r="I536" s="2" t="s">
        <v>1426</v>
      </c>
      <c r="J536" s="2" t="s">
        <v>19</v>
      </c>
      <c r="K536" s="2" t="s">
        <v>353</v>
      </c>
      <c r="L536" s="7" t="str">
        <f>HYPERLINK("http://slimages.macys.com/is/image/MCY/10786732 ")</f>
        <v xml:space="preserve">http://slimages.macys.com/is/image/MCY/10786732 </v>
      </c>
    </row>
    <row r="537" spans="1:12" ht="24.75" x14ac:dyDescent="0.25">
      <c r="A537" s="4" t="s">
        <v>2819</v>
      </c>
      <c r="B537" s="2" t="s">
        <v>1539</v>
      </c>
      <c r="C537" s="3">
        <v>1</v>
      </c>
      <c r="D537" s="5">
        <v>26.99</v>
      </c>
      <c r="E537" s="3" t="s">
        <v>1540</v>
      </c>
      <c r="F537" s="2" t="s">
        <v>74</v>
      </c>
      <c r="G537" s="6" t="s">
        <v>22</v>
      </c>
      <c r="H537" s="2" t="s">
        <v>1473</v>
      </c>
      <c r="I537" s="2" t="s">
        <v>1426</v>
      </c>
      <c r="J537" s="2" t="s">
        <v>19</v>
      </c>
      <c r="K537" s="2" t="s">
        <v>353</v>
      </c>
      <c r="L537" s="7" t="str">
        <f>HYPERLINK("http://slimages.macys.com/is/image/MCY/10786732 ")</f>
        <v xml:space="preserve">http://slimages.macys.com/is/image/MCY/10786732 </v>
      </c>
    </row>
    <row r="538" spans="1:12" ht="24.75" x14ac:dyDescent="0.25">
      <c r="A538" s="4" t="s">
        <v>5979</v>
      </c>
      <c r="B538" s="2" t="s">
        <v>1539</v>
      </c>
      <c r="C538" s="3">
        <v>1</v>
      </c>
      <c r="D538" s="5">
        <v>26.99</v>
      </c>
      <c r="E538" s="3" t="s">
        <v>1540</v>
      </c>
      <c r="F538" s="2" t="s">
        <v>74</v>
      </c>
      <c r="G538" s="6" t="s">
        <v>27</v>
      </c>
      <c r="H538" s="2" t="s">
        <v>1473</v>
      </c>
      <c r="I538" s="2" t="s">
        <v>1426</v>
      </c>
      <c r="J538" s="2" t="s">
        <v>19</v>
      </c>
      <c r="K538" s="2" t="s">
        <v>353</v>
      </c>
      <c r="L538" s="7" t="str">
        <f>HYPERLINK("http://slimages.macys.com/is/image/MCY/10786732 ")</f>
        <v xml:space="preserve">http://slimages.macys.com/is/image/MCY/10786732 </v>
      </c>
    </row>
    <row r="539" spans="1:12" ht="24.75" x14ac:dyDescent="0.25">
      <c r="A539" s="4" t="s">
        <v>2825</v>
      </c>
      <c r="B539" s="2" t="s">
        <v>1539</v>
      </c>
      <c r="C539" s="3">
        <v>1</v>
      </c>
      <c r="D539" s="5">
        <v>26.99</v>
      </c>
      <c r="E539" s="3" t="s">
        <v>1540</v>
      </c>
      <c r="F539" s="2" t="s">
        <v>252</v>
      </c>
      <c r="G539" s="6" t="s">
        <v>22</v>
      </c>
      <c r="H539" s="2" t="s">
        <v>1473</v>
      </c>
      <c r="I539" s="2" t="s">
        <v>1426</v>
      </c>
      <c r="J539" s="2" t="s">
        <v>19</v>
      </c>
      <c r="K539" s="2" t="s">
        <v>353</v>
      </c>
      <c r="L539" s="7" t="str">
        <f>HYPERLINK("http://slimages.macys.com/is/image/MCY/10786732 ")</f>
        <v xml:space="preserve">http://slimages.macys.com/is/image/MCY/10786732 </v>
      </c>
    </row>
    <row r="540" spans="1:12" ht="24.75" x14ac:dyDescent="0.25">
      <c r="A540" s="4" t="s">
        <v>1544</v>
      </c>
      <c r="B540" s="2" t="s">
        <v>1539</v>
      </c>
      <c r="C540" s="3">
        <v>1</v>
      </c>
      <c r="D540" s="5">
        <v>26.99</v>
      </c>
      <c r="E540" s="3" t="s">
        <v>1540</v>
      </c>
      <c r="F540" s="2" t="s">
        <v>252</v>
      </c>
      <c r="G540" s="6" t="s">
        <v>112</v>
      </c>
      <c r="H540" s="2" t="s">
        <v>1473</v>
      </c>
      <c r="I540" s="2" t="s">
        <v>1426</v>
      </c>
      <c r="J540" s="2" t="s">
        <v>19</v>
      </c>
      <c r="K540" s="2" t="s">
        <v>353</v>
      </c>
      <c r="L540" s="7" t="str">
        <f>HYPERLINK("http://slimages.macys.com/is/image/MCY/10786732 ")</f>
        <v xml:space="preserve">http://slimages.macys.com/is/image/MCY/10786732 </v>
      </c>
    </row>
    <row r="541" spans="1:12" ht="24.75" x14ac:dyDescent="0.25">
      <c r="A541" s="4" t="s">
        <v>11081</v>
      </c>
      <c r="B541" s="2" t="s">
        <v>11082</v>
      </c>
      <c r="C541" s="3">
        <v>1</v>
      </c>
      <c r="D541" s="5">
        <v>24.99</v>
      </c>
      <c r="E541" s="3" t="s">
        <v>11083</v>
      </c>
      <c r="F541" s="2" t="s">
        <v>1322</v>
      </c>
      <c r="G541" s="6" t="s">
        <v>187</v>
      </c>
      <c r="H541" s="2" t="s">
        <v>1425</v>
      </c>
      <c r="I541" s="2" t="s">
        <v>8769</v>
      </c>
      <c r="J541" s="2" t="s">
        <v>19</v>
      </c>
      <c r="K541" s="2" t="s">
        <v>3428</v>
      </c>
      <c r="L541" s="7" t="str">
        <f>HYPERLINK("http://slimages.macys.com/is/image/MCY/14661203 ")</f>
        <v xml:space="preserve">http://slimages.macys.com/is/image/MCY/14661203 </v>
      </c>
    </row>
    <row r="542" spans="1:12" ht="24.75" x14ac:dyDescent="0.25">
      <c r="A542" s="4" t="s">
        <v>2833</v>
      </c>
      <c r="B542" s="2" t="s">
        <v>1556</v>
      </c>
      <c r="C542" s="3">
        <v>1</v>
      </c>
      <c r="D542" s="5">
        <v>25.88</v>
      </c>
      <c r="E542" s="3">
        <v>100018059</v>
      </c>
      <c r="F542" s="2" t="s">
        <v>64</v>
      </c>
      <c r="G542" s="6" t="s">
        <v>234</v>
      </c>
      <c r="H542" s="2" t="s">
        <v>194</v>
      </c>
      <c r="I542" s="2" t="s">
        <v>195</v>
      </c>
      <c r="J542" s="2" t="s">
        <v>19</v>
      </c>
      <c r="K542" s="2" t="s">
        <v>648</v>
      </c>
      <c r="L542" s="7" t="str">
        <f>HYPERLINK("http://slimages.macys.com/is/image/MCY/9795496 ")</f>
        <v xml:space="preserve">http://slimages.macys.com/is/image/MCY/9795496 </v>
      </c>
    </row>
    <row r="543" spans="1:12" ht="24.75" x14ac:dyDescent="0.25">
      <c r="A543" s="4" t="s">
        <v>7555</v>
      </c>
      <c r="B543" s="2" t="s">
        <v>1556</v>
      </c>
      <c r="C543" s="3">
        <v>1</v>
      </c>
      <c r="D543" s="5">
        <v>25.88</v>
      </c>
      <c r="E543" s="3">
        <v>100018059</v>
      </c>
      <c r="F543" s="2" t="s">
        <v>64</v>
      </c>
      <c r="G543" s="6" t="s">
        <v>154</v>
      </c>
      <c r="H543" s="2" t="s">
        <v>194</v>
      </c>
      <c r="I543" s="2" t="s">
        <v>195</v>
      </c>
      <c r="J543" s="2" t="s">
        <v>19</v>
      </c>
      <c r="K543" s="2" t="s">
        <v>648</v>
      </c>
      <c r="L543" s="7" t="str">
        <f>HYPERLINK("http://slimages.macys.com/is/image/MCY/9795496 ")</f>
        <v xml:space="preserve">http://slimages.macys.com/is/image/MCY/9795496 </v>
      </c>
    </row>
    <row r="544" spans="1:12" ht="24.75" x14ac:dyDescent="0.25">
      <c r="A544" s="4" t="s">
        <v>11084</v>
      </c>
      <c r="B544" s="2" t="s">
        <v>1579</v>
      </c>
      <c r="C544" s="3">
        <v>1</v>
      </c>
      <c r="D544" s="5">
        <v>29.63</v>
      </c>
      <c r="E544" s="3" t="s">
        <v>11085</v>
      </c>
      <c r="F544" s="2" t="s">
        <v>15</v>
      </c>
      <c r="G544" s="6" t="s">
        <v>234</v>
      </c>
      <c r="H544" s="2" t="s">
        <v>194</v>
      </c>
      <c r="I544" s="2" t="s">
        <v>195</v>
      </c>
      <c r="J544" s="2" t="s">
        <v>19</v>
      </c>
      <c r="K544" s="2" t="s">
        <v>11086</v>
      </c>
      <c r="L544" s="7" t="str">
        <f>HYPERLINK("http://slimages.macys.com/is/image/MCY/12850930 ")</f>
        <v xml:space="preserve">http://slimages.macys.com/is/image/MCY/12850930 </v>
      </c>
    </row>
    <row r="545" spans="1:12" ht="24.75" x14ac:dyDescent="0.25">
      <c r="A545" s="4" t="s">
        <v>11087</v>
      </c>
      <c r="B545" s="2" t="s">
        <v>1579</v>
      </c>
      <c r="C545" s="3">
        <v>1</v>
      </c>
      <c r="D545" s="5">
        <v>29.63</v>
      </c>
      <c r="E545" s="3" t="s">
        <v>11085</v>
      </c>
      <c r="F545" s="2" t="s">
        <v>15</v>
      </c>
      <c r="G545" s="6" t="s">
        <v>154</v>
      </c>
      <c r="H545" s="2" t="s">
        <v>194</v>
      </c>
      <c r="I545" s="2" t="s">
        <v>195</v>
      </c>
      <c r="J545" s="2" t="s">
        <v>19</v>
      </c>
      <c r="K545" s="2" t="s">
        <v>11086</v>
      </c>
      <c r="L545" s="7" t="str">
        <f>HYPERLINK("http://slimages.macys.com/is/image/MCY/12850930 ")</f>
        <v xml:space="preserve">http://slimages.macys.com/is/image/MCY/12850930 </v>
      </c>
    </row>
    <row r="546" spans="1:12" ht="24.75" x14ac:dyDescent="0.25">
      <c r="A546" s="4" t="s">
        <v>11088</v>
      </c>
      <c r="B546" s="2" t="s">
        <v>1579</v>
      </c>
      <c r="C546" s="3">
        <v>1</v>
      </c>
      <c r="D546" s="5">
        <v>29.63</v>
      </c>
      <c r="E546" s="3" t="s">
        <v>11085</v>
      </c>
      <c r="F546" s="2" t="s">
        <v>15</v>
      </c>
      <c r="G546" s="6" t="s">
        <v>200</v>
      </c>
      <c r="H546" s="2" t="s">
        <v>194</v>
      </c>
      <c r="I546" s="2" t="s">
        <v>195</v>
      </c>
      <c r="J546" s="2" t="s">
        <v>19</v>
      </c>
      <c r="K546" s="2" t="s">
        <v>11086</v>
      </c>
      <c r="L546" s="7" t="str">
        <f>HYPERLINK("http://slimages.macys.com/is/image/MCY/12850930 ")</f>
        <v xml:space="preserve">http://slimages.macys.com/is/image/MCY/12850930 </v>
      </c>
    </row>
    <row r="547" spans="1:12" ht="24.75" x14ac:dyDescent="0.25">
      <c r="A547" s="4" t="s">
        <v>11089</v>
      </c>
      <c r="B547" s="2" t="s">
        <v>1579</v>
      </c>
      <c r="C547" s="3">
        <v>1</v>
      </c>
      <c r="D547" s="5">
        <v>29.63</v>
      </c>
      <c r="E547" s="3" t="s">
        <v>11085</v>
      </c>
      <c r="F547" s="2" t="s">
        <v>15</v>
      </c>
      <c r="G547" s="6" t="s">
        <v>245</v>
      </c>
      <c r="H547" s="2" t="s">
        <v>194</v>
      </c>
      <c r="I547" s="2" t="s">
        <v>195</v>
      </c>
      <c r="J547" s="2" t="s">
        <v>19</v>
      </c>
      <c r="K547" s="2" t="s">
        <v>11086</v>
      </c>
      <c r="L547" s="7" t="str">
        <f>HYPERLINK("http://slimages.macys.com/is/image/MCY/12850930 ")</f>
        <v xml:space="preserve">http://slimages.macys.com/is/image/MCY/12850930 </v>
      </c>
    </row>
    <row r="548" spans="1:12" ht="24.75" x14ac:dyDescent="0.25">
      <c r="A548" s="4" t="s">
        <v>11090</v>
      </c>
      <c r="B548" s="2" t="s">
        <v>1593</v>
      </c>
      <c r="C548" s="3">
        <v>2</v>
      </c>
      <c r="D548" s="5">
        <v>30</v>
      </c>
      <c r="E548" s="3" t="s">
        <v>1594</v>
      </c>
      <c r="F548" s="2" t="s">
        <v>74</v>
      </c>
      <c r="G548" s="6"/>
      <c r="H548" s="2" t="s">
        <v>447</v>
      </c>
      <c r="I548" s="2" t="s">
        <v>792</v>
      </c>
      <c r="J548" s="2" t="s">
        <v>1499</v>
      </c>
      <c r="K548" s="2" t="s">
        <v>160</v>
      </c>
      <c r="L548" s="7" t="str">
        <f>HYPERLINK("http://slimages.macys.com/is/image/MCY/1157340 ")</f>
        <v xml:space="preserve">http://slimages.macys.com/is/image/MCY/1157340 </v>
      </c>
    </row>
    <row r="549" spans="1:12" ht="24.75" x14ac:dyDescent="0.25">
      <c r="A549" s="4" t="s">
        <v>11091</v>
      </c>
      <c r="B549" s="2" t="s">
        <v>11092</v>
      </c>
      <c r="C549" s="3">
        <v>1</v>
      </c>
      <c r="D549" s="5">
        <v>24.99</v>
      </c>
      <c r="E549" s="3" t="s">
        <v>11093</v>
      </c>
      <c r="F549" s="2" t="s">
        <v>26</v>
      </c>
      <c r="G549" s="6" t="s">
        <v>234</v>
      </c>
      <c r="H549" s="2" t="s">
        <v>1522</v>
      </c>
      <c r="I549" s="2" t="s">
        <v>1469</v>
      </c>
      <c r="J549" s="2" t="s">
        <v>19</v>
      </c>
      <c r="K549" s="2" t="s">
        <v>353</v>
      </c>
      <c r="L549" s="7" t="str">
        <f>HYPERLINK("http://slimages.macys.com/is/image/MCY/13683315 ")</f>
        <v xml:space="preserve">http://slimages.macys.com/is/image/MCY/13683315 </v>
      </c>
    </row>
    <row r="550" spans="1:12" ht="24.75" x14ac:dyDescent="0.25">
      <c r="A550" s="4" t="s">
        <v>11094</v>
      </c>
      <c r="B550" s="2" t="s">
        <v>11074</v>
      </c>
      <c r="C550" s="3">
        <v>1</v>
      </c>
      <c r="D550" s="5">
        <v>29.63</v>
      </c>
      <c r="E550" s="3" t="s">
        <v>11075</v>
      </c>
      <c r="F550" s="2" t="s">
        <v>1296</v>
      </c>
      <c r="G550" s="6" t="s">
        <v>156</v>
      </c>
      <c r="H550" s="2" t="s">
        <v>284</v>
      </c>
      <c r="I550" s="2" t="s">
        <v>285</v>
      </c>
      <c r="J550" s="2" t="s">
        <v>19</v>
      </c>
      <c r="K550" s="2" t="s">
        <v>442</v>
      </c>
      <c r="L550" s="7" t="str">
        <f>HYPERLINK("http://slimages.macys.com/is/image/MCY/10043380 ")</f>
        <v xml:space="preserve">http://slimages.macys.com/is/image/MCY/10043380 </v>
      </c>
    </row>
    <row r="551" spans="1:12" ht="24.75" x14ac:dyDescent="0.25">
      <c r="A551" s="4" t="s">
        <v>11095</v>
      </c>
      <c r="B551" s="2" t="s">
        <v>11074</v>
      </c>
      <c r="C551" s="3">
        <v>1</v>
      </c>
      <c r="D551" s="5">
        <v>29.63</v>
      </c>
      <c r="E551" s="3" t="s">
        <v>11075</v>
      </c>
      <c r="F551" s="2" t="s">
        <v>1296</v>
      </c>
      <c r="G551" s="6" t="s">
        <v>154</v>
      </c>
      <c r="H551" s="2" t="s">
        <v>284</v>
      </c>
      <c r="I551" s="2" t="s">
        <v>285</v>
      </c>
      <c r="J551" s="2" t="s">
        <v>19</v>
      </c>
      <c r="K551" s="2" t="s">
        <v>442</v>
      </c>
      <c r="L551" s="7" t="str">
        <f>HYPERLINK("http://slimages.macys.com/is/image/MCY/10043380 ")</f>
        <v xml:space="preserve">http://slimages.macys.com/is/image/MCY/10043380 </v>
      </c>
    </row>
    <row r="552" spans="1:12" ht="24.75" x14ac:dyDescent="0.25">
      <c r="A552" s="4" t="s">
        <v>11096</v>
      </c>
      <c r="B552" s="2" t="s">
        <v>11074</v>
      </c>
      <c r="C552" s="3">
        <v>2</v>
      </c>
      <c r="D552" s="5">
        <v>29.63</v>
      </c>
      <c r="E552" s="3" t="s">
        <v>11075</v>
      </c>
      <c r="F552" s="2" t="s">
        <v>64</v>
      </c>
      <c r="G552" s="6" t="s">
        <v>154</v>
      </c>
      <c r="H552" s="2" t="s">
        <v>284</v>
      </c>
      <c r="I552" s="2" t="s">
        <v>285</v>
      </c>
      <c r="J552" s="2" t="s">
        <v>19</v>
      </c>
      <c r="K552" s="2" t="s">
        <v>442</v>
      </c>
      <c r="L552" s="7" t="str">
        <f>HYPERLINK("http://slimages.macys.com/is/image/MCY/10043380 ")</f>
        <v xml:space="preserve">http://slimages.macys.com/is/image/MCY/10043380 </v>
      </c>
    </row>
    <row r="553" spans="1:12" ht="24.75" x14ac:dyDescent="0.25">
      <c r="A553" s="4" t="s">
        <v>11097</v>
      </c>
      <c r="B553" s="2" t="s">
        <v>11074</v>
      </c>
      <c r="C553" s="3">
        <v>2</v>
      </c>
      <c r="D553" s="5">
        <v>29.63</v>
      </c>
      <c r="E553" s="3" t="s">
        <v>11075</v>
      </c>
      <c r="F553" s="2" t="s">
        <v>74</v>
      </c>
      <c r="G553" s="6" t="s">
        <v>154</v>
      </c>
      <c r="H553" s="2" t="s">
        <v>284</v>
      </c>
      <c r="I553" s="2" t="s">
        <v>285</v>
      </c>
      <c r="J553" s="2" t="s">
        <v>19</v>
      </c>
      <c r="K553" s="2" t="s">
        <v>442</v>
      </c>
      <c r="L553" s="7" t="str">
        <f>HYPERLINK("http://slimages.macys.com/is/image/MCY/10043380 ")</f>
        <v xml:space="preserve">http://slimages.macys.com/is/image/MCY/10043380 </v>
      </c>
    </row>
    <row r="554" spans="1:12" ht="24.75" x14ac:dyDescent="0.25">
      <c r="A554" s="4" t="s">
        <v>3985</v>
      </c>
      <c r="B554" s="2" t="s">
        <v>1600</v>
      </c>
      <c r="C554" s="3">
        <v>1</v>
      </c>
      <c r="D554" s="5">
        <v>21.99</v>
      </c>
      <c r="E554" s="3" t="s">
        <v>1601</v>
      </c>
      <c r="F554" s="2" t="s">
        <v>1234</v>
      </c>
      <c r="G554" s="6"/>
      <c r="H554" s="2" t="s">
        <v>1425</v>
      </c>
      <c r="I554" s="2" t="s">
        <v>1426</v>
      </c>
      <c r="J554" s="2"/>
      <c r="K554" s="2"/>
      <c r="L554" s="7" t="str">
        <f>HYPERLINK("http://slimages.macys.com/is/image/MCY/10205122 ")</f>
        <v xml:space="preserve">http://slimages.macys.com/is/image/MCY/10205122 </v>
      </c>
    </row>
    <row r="555" spans="1:12" ht="24.75" x14ac:dyDescent="0.25">
      <c r="A555" s="4" t="s">
        <v>8760</v>
      </c>
      <c r="B555" s="2" t="s">
        <v>6746</v>
      </c>
      <c r="C555" s="3">
        <v>1</v>
      </c>
      <c r="D555" s="5">
        <v>24.99</v>
      </c>
      <c r="E555" s="3" t="s">
        <v>6747</v>
      </c>
      <c r="F555" s="2" t="s">
        <v>26</v>
      </c>
      <c r="G555" s="6"/>
      <c r="H555" s="2" t="s">
        <v>1425</v>
      </c>
      <c r="I555" s="2" t="s">
        <v>1426</v>
      </c>
      <c r="J555" s="2" t="s">
        <v>19</v>
      </c>
      <c r="K555" s="2" t="s">
        <v>990</v>
      </c>
      <c r="L555" s="7" t="str">
        <f>HYPERLINK("http://slimages.macys.com/is/image/MCY/9434403 ")</f>
        <v xml:space="preserve">http://slimages.macys.com/is/image/MCY/9434403 </v>
      </c>
    </row>
    <row r="556" spans="1:12" ht="24.75" x14ac:dyDescent="0.25">
      <c r="A556" s="4" t="s">
        <v>1636</v>
      </c>
      <c r="B556" s="2" t="s">
        <v>1635</v>
      </c>
      <c r="C556" s="3">
        <v>1</v>
      </c>
      <c r="D556" s="5">
        <v>25.88</v>
      </c>
      <c r="E556" s="3">
        <v>100011992</v>
      </c>
      <c r="F556" s="2" t="s">
        <v>64</v>
      </c>
      <c r="G556" s="6" t="s">
        <v>154</v>
      </c>
      <c r="H556" s="2" t="s">
        <v>194</v>
      </c>
      <c r="I556" s="2" t="s">
        <v>195</v>
      </c>
      <c r="J556" s="2" t="s">
        <v>19</v>
      </c>
      <c r="K556" s="2" t="s">
        <v>1617</v>
      </c>
      <c r="L556" s="7" t="str">
        <f>HYPERLINK("http://slimages.macys.com/is/image/MCY/13314771 ")</f>
        <v xml:space="preserve">http://slimages.macys.com/is/image/MCY/13314771 </v>
      </c>
    </row>
    <row r="557" spans="1:12" ht="24.75" x14ac:dyDescent="0.25">
      <c r="A557" s="4" t="s">
        <v>2876</v>
      </c>
      <c r="B557" s="2" t="s">
        <v>1635</v>
      </c>
      <c r="C557" s="3">
        <v>1</v>
      </c>
      <c r="D557" s="5">
        <v>25.88</v>
      </c>
      <c r="E557" s="3">
        <v>100011992</v>
      </c>
      <c r="F557" s="2" t="s">
        <v>53</v>
      </c>
      <c r="G557" s="6" t="s">
        <v>154</v>
      </c>
      <c r="H557" s="2" t="s">
        <v>194</v>
      </c>
      <c r="I557" s="2" t="s">
        <v>195</v>
      </c>
      <c r="J557" s="2" t="s">
        <v>19</v>
      </c>
      <c r="K557" s="2" t="s">
        <v>1617</v>
      </c>
      <c r="L557" s="7" t="str">
        <f>HYPERLINK("http://slimages.macys.com/is/image/MCY/13314771 ")</f>
        <v xml:space="preserve">http://slimages.macys.com/is/image/MCY/13314771 </v>
      </c>
    </row>
    <row r="558" spans="1:12" ht="24.75" x14ac:dyDescent="0.25">
      <c r="A558" s="4" t="s">
        <v>3991</v>
      </c>
      <c r="B558" s="2" t="s">
        <v>1635</v>
      </c>
      <c r="C558" s="3">
        <v>1</v>
      </c>
      <c r="D558" s="5">
        <v>25.88</v>
      </c>
      <c r="E558" s="3">
        <v>100011992</v>
      </c>
      <c r="F558" s="2" t="s">
        <v>57</v>
      </c>
      <c r="G558" s="6" t="s">
        <v>181</v>
      </c>
      <c r="H558" s="2" t="s">
        <v>194</v>
      </c>
      <c r="I558" s="2" t="s">
        <v>195</v>
      </c>
      <c r="J558" s="2" t="s">
        <v>19</v>
      </c>
      <c r="K558" s="2" t="s">
        <v>1617</v>
      </c>
      <c r="L558" s="7" t="str">
        <f>HYPERLINK("http://slimages.macys.com/is/image/MCY/13314771 ")</f>
        <v xml:space="preserve">http://slimages.macys.com/is/image/MCY/13314771 </v>
      </c>
    </row>
    <row r="559" spans="1:12" ht="24.75" x14ac:dyDescent="0.25">
      <c r="A559" s="4" t="s">
        <v>1640</v>
      </c>
      <c r="B559" s="2" t="s">
        <v>1635</v>
      </c>
      <c r="C559" s="3">
        <v>1</v>
      </c>
      <c r="D559" s="5">
        <v>25.88</v>
      </c>
      <c r="E559" s="3">
        <v>100011992</v>
      </c>
      <c r="F559" s="2" t="s">
        <v>53</v>
      </c>
      <c r="G559" s="6" t="s">
        <v>234</v>
      </c>
      <c r="H559" s="2" t="s">
        <v>194</v>
      </c>
      <c r="I559" s="2" t="s">
        <v>195</v>
      </c>
      <c r="J559" s="2" t="s">
        <v>19</v>
      </c>
      <c r="K559" s="2" t="s">
        <v>1617</v>
      </c>
      <c r="L559" s="7" t="str">
        <f>HYPERLINK("http://slimages.macys.com/is/image/MCY/13314771 ")</f>
        <v xml:space="preserve">http://slimages.macys.com/is/image/MCY/13314771 </v>
      </c>
    </row>
    <row r="560" spans="1:12" ht="24.75" x14ac:dyDescent="0.25">
      <c r="A560" s="4" t="s">
        <v>11098</v>
      </c>
      <c r="B560" s="2" t="s">
        <v>1635</v>
      </c>
      <c r="C560" s="3">
        <v>1</v>
      </c>
      <c r="D560" s="5">
        <v>25.88</v>
      </c>
      <c r="E560" s="3">
        <v>100011992</v>
      </c>
      <c r="F560" s="2" t="s">
        <v>57</v>
      </c>
      <c r="G560" s="6" t="s">
        <v>245</v>
      </c>
      <c r="H560" s="2" t="s">
        <v>194</v>
      </c>
      <c r="I560" s="2" t="s">
        <v>195</v>
      </c>
      <c r="J560" s="2" t="s">
        <v>19</v>
      </c>
      <c r="K560" s="2" t="s">
        <v>1617</v>
      </c>
      <c r="L560" s="7" t="str">
        <f>HYPERLINK("http://slimages.macys.com/is/image/MCY/13314771 ")</f>
        <v xml:space="preserve">http://slimages.macys.com/is/image/MCY/13314771 </v>
      </c>
    </row>
    <row r="561" spans="1:12" ht="24.75" x14ac:dyDescent="0.25">
      <c r="A561" s="4" t="s">
        <v>11099</v>
      </c>
      <c r="B561" s="2" t="s">
        <v>1478</v>
      </c>
      <c r="C561" s="3">
        <v>1</v>
      </c>
      <c r="D561" s="5">
        <v>29.99</v>
      </c>
      <c r="E561" s="3" t="s">
        <v>9694</v>
      </c>
      <c r="F561" s="2" t="s">
        <v>64</v>
      </c>
      <c r="G561" s="6" t="s">
        <v>234</v>
      </c>
      <c r="H561" s="2" t="s">
        <v>246</v>
      </c>
      <c r="I561" s="2" t="s">
        <v>3504</v>
      </c>
      <c r="J561" s="2" t="s">
        <v>19</v>
      </c>
      <c r="K561" s="2" t="s">
        <v>1480</v>
      </c>
      <c r="L561" s="7" t="str">
        <f>HYPERLINK("http://slimages.macys.com/is/image/MCY/10048328 ")</f>
        <v xml:space="preserve">http://slimages.macys.com/is/image/MCY/10048328 </v>
      </c>
    </row>
    <row r="562" spans="1:12" ht="24.75" x14ac:dyDescent="0.25">
      <c r="A562" s="4" t="s">
        <v>11100</v>
      </c>
      <c r="B562" s="2" t="s">
        <v>1645</v>
      </c>
      <c r="C562" s="3">
        <v>1</v>
      </c>
      <c r="D562" s="5">
        <v>19.989999999999998</v>
      </c>
      <c r="E562" s="3" t="s">
        <v>1646</v>
      </c>
      <c r="F562" s="2" t="s">
        <v>125</v>
      </c>
      <c r="G562" s="6" t="s">
        <v>181</v>
      </c>
      <c r="H562" s="2" t="s">
        <v>194</v>
      </c>
      <c r="I562" s="2" t="s">
        <v>195</v>
      </c>
      <c r="J562" s="2" t="s">
        <v>19</v>
      </c>
      <c r="K562" s="2" t="s">
        <v>1647</v>
      </c>
      <c r="L562" s="7" t="str">
        <f>HYPERLINK("http://slimages.macys.com/is/image/MCY/12405276 ")</f>
        <v xml:space="preserve">http://slimages.macys.com/is/image/MCY/12405276 </v>
      </c>
    </row>
    <row r="563" spans="1:12" ht="24.75" x14ac:dyDescent="0.25">
      <c r="A563" s="4" t="s">
        <v>11101</v>
      </c>
      <c r="B563" s="2" t="s">
        <v>1667</v>
      </c>
      <c r="C563" s="3">
        <v>1</v>
      </c>
      <c r="D563" s="5">
        <v>19.989999999999998</v>
      </c>
      <c r="E563" s="3" t="s">
        <v>11102</v>
      </c>
      <c r="F563" s="2" t="s">
        <v>566</v>
      </c>
      <c r="G563" s="6" t="s">
        <v>156</v>
      </c>
      <c r="H563" s="2" t="s">
        <v>194</v>
      </c>
      <c r="I563" s="2" t="s">
        <v>195</v>
      </c>
      <c r="J563" s="2" t="s">
        <v>19</v>
      </c>
      <c r="K563" s="2" t="s">
        <v>247</v>
      </c>
      <c r="L563" s="7" t="str">
        <f>HYPERLINK("http://slimages.macys.com/is/image/MCY/13368047 ")</f>
        <v xml:space="preserve">http://slimages.macys.com/is/image/MCY/13368047 </v>
      </c>
    </row>
    <row r="564" spans="1:12" ht="24.75" x14ac:dyDescent="0.25">
      <c r="A564" s="4" t="s">
        <v>11103</v>
      </c>
      <c r="B564" s="2" t="s">
        <v>1627</v>
      </c>
      <c r="C564" s="3">
        <v>1</v>
      </c>
      <c r="D564" s="5">
        <v>25.88</v>
      </c>
      <c r="E564" s="3" t="s">
        <v>11104</v>
      </c>
      <c r="F564" s="2" t="s">
        <v>74</v>
      </c>
      <c r="G564" s="6" t="s">
        <v>234</v>
      </c>
      <c r="H564" s="2" t="s">
        <v>194</v>
      </c>
      <c r="I564" s="2" t="s">
        <v>195</v>
      </c>
      <c r="J564" s="2" t="s">
        <v>19</v>
      </c>
      <c r="K564" s="2" t="s">
        <v>1629</v>
      </c>
      <c r="L564" s="7" t="str">
        <f>HYPERLINK("http://slimages.macys.com/is/image/MCY/3276758 ")</f>
        <v xml:space="preserve">http://slimages.macys.com/is/image/MCY/3276758 </v>
      </c>
    </row>
    <row r="565" spans="1:12" ht="24.75" x14ac:dyDescent="0.25">
      <c r="A565" s="4" t="s">
        <v>11105</v>
      </c>
      <c r="B565" s="2" t="s">
        <v>1627</v>
      </c>
      <c r="C565" s="3">
        <v>1</v>
      </c>
      <c r="D565" s="5">
        <v>25.88</v>
      </c>
      <c r="E565" s="3" t="s">
        <v>11104</v>
      </c>
      <c r="F565" s="2" t="s">
        <v>74</v>
      </c>
      <c r="G565" s="6" t="s">
        <v>156</v>
      </c>
      <c r="H565" s="2" t="s">
        <v>194</v>
      </c>
      <c r="I565" s="2" t="s">
        <v>195</v>
      </c>
      <c r="J565" s="2" t="s">
        <v>19</v>
      </c>
      <c r="K565" s="2" t="s">
        <v>1629</v>
      </c>
      <c r="L565" s="7" t="str">
        <f>HYPERLINK("http://slimages.macys.com/is/image/MCY/3276758 ")</f>
        <v xml:space="preserve">http://slimages.macys.com/is/image/MCY/3276758 </v>
      </c>
    </row>
    <row r="566" spans="1:12" ht="24.75" x14ac:dyDescent="0.25">
      <c r="A566" s="4" t="s">
        <v>11106</v>
      </c>
      <c r="B566" s="2" t="s">
        <v>1627</v>
      </c>
      <c r="C566" s="3">
        <v>2</v>
      </c>
      <c r="D566" s="5">
        <v>25.88</v>
      </c>
      <c r="E566" s="3" t="s">
        <v>11104</v>
      </c>
      <c r="F566" s="2" t="s">
        <v>74</v>
      </c>
      <c r="G566" s="6" t="s">
        <v>245</v>
      </c>
      <c r="H566" s="2" t="s">
        <v>194</v>
      </c>
      <c r="I566" s="2" t="s">
        <v>195</v>
      </c>
      <c r="J566" s="2" t="s">
        <v>19</v>
      </c>
      <c r="K566" s="2" t="s">
        <v>1629</v>
      </c>
      <c r="L566" s="7" t="str">
        <f>HYPERLINK("http://slimages.macys.com/is/image/MCY/3276758 ")</f>
        <v xml:space="preserve">http://slimages.macys.com/is/image/MCY/3276758 </v>
      </c>
    </row>
    <row r="567" spans="1:12" ht="24.75" x14ac:dyDescent="0.25">
      <c r="A567" s="4" t="s">
        <v>11107</v>
      </c>
      <c r="B567" s="2" t="s">
        <v>1627</v>
      </c>
      <c r="C567" s="3">
        <v>1</v>
      </c>
      <c r="D567" s="5">
        <v>25.88</v>
      </c>
      <c r="E567" s="3" t="s">
        <v>11104</v>
      </c>
      <c r="F567" s="2" t="s">
        <v>74</v>
      </c>
      <c r="G567" s="6" t="s">
        <v>200</v>
      </c>
      <c r="H567" s="2" t="s">
        <v>194</v>
      </c>
      <c r="I567" s="2" t="s">
        <v>195</v>
      </c>
      <c r="J567" s="2" t="s">
        <v>19</v>
      </c>
      <c r="K567" s="2" t="s">
        <v>1629</v>
      </c>
      <c r="L567" s="7" t="str">
        <f>HYPERLINK("http://slimages.macys.com/is/image/MCY/3276758 ")</f>
        <v xml:space="preserve">http://slimages.macys.com/is/image/MCY/3276758 </v>
      </c>
    </row>
    <row r="568" spans="1:12" ht="24.75" x14ac:dyDescent="0.25">
      <c r="A568" s="4" t="s">
        <v>11108</v>
      </c>
      <c r="B568" s="2" t="s">
        <v>1689</v>
      </c>
      <c r="C568" s="3">
        <v>1</v>
      </c>
      <c r="D568" s="5">
        <v>25.88</v>
      </c>
      <c r="E568" s="3" t="s">
        <v>1690</v>
      </c>
      <c r="F568" s="2" t="s">
        <v>170</v>
      </c>
      <c r="G568" s="6" t="s">
        <v>181</v>
      </c>
      <c r="H568" s="2" t="s">
        <v>194</v>
      </c>
      <c r="I568" s="2" t="s">
        <v>195</v>
      </c>
      <c r="J568" s="2" t="s">
        <v>19</v>
      </c>
      <c r="K568" s="2" t="s">
        <v>648</v>
      </c>
      <c r="L568" s="7" t="str">
        <f>HYPERLINK("http://slimages.macys.com/is/image/MCY/3650047 ")</f>
        <v xml:space="preserve">http://slimages.macys.com/is/image/MCY/3650047 </v>
      </c>
    </row>
    <row r="569" spans="1:12" ht="24.75" x14ac:dyDescent="0.25">
      <c r="A569" s="4" t="s">
        <v>11109</v>
      </c>
      <c r="B569" s="2" t="s">
        <v>1689</v>
      </c>
      <c r="C569" s="3">
        <v>1</v>
      </c>
      <c r="D569" s="5">
        <v>25.88</v>
      </c>
      <c r="E569" s="3" t="s">
        <v>1690</v>
      </c>
      <c r="F569" s="2" t="s">
        <v>170</v>
      </c>
      <c r="G569" s="6" t="s">
        <v>234</v>
      </c>
      <c r="H569" s="2" t="s">
        <v>194</v>
      </c>
      <c r="I569" s="2" t="s">
        <v>195</v>
      </c>
      <c r="J569" s="2" t="s">
        <v>19</v>
      </c>
      <c r="K569" s="2" t="s">
        <v>648</v>
      </c>
      <c r="L569" s="7" t="str">
        <f>HYPERLINK("http://slimages.macys.com/is/image/MCY/3650047 ")</f>
        <v xml:space="preserve">http://slimages.macys.com/is/image/MCY/3650047 </v>
      </c>
    </row>
    <row r="570" spans="1:12" ht="24.75" x14ac:dyDescent="0.25">
      <c r="A570" s="4" t="s">
        <v>11110</v>
      </c>
      <c r="B570" s="2" t="s">
        <v>1683</v>
      </c>
      <c r="C570" s="3">
        <v>1</v>
      </c>
      <c r="D570" s="5">
        <v>37.130000000000003</v>
      </c>
      <c r="E570" s="3" t="s">
        <v>11111</v>
      </c>
      <c r="F570" s="2" t="s">
        <v>566</v>
      </c>
      <c r="G570" s="6" t="s">
        <v>245</v>
      </c>
      <c r="H570" s="2" t="s">
        <v>194</v>
      </c>
      <c r="I570" s="2" t="s">
        <v>195</v>
      </c>
      <c r="J570" s="2" t="s">
        <v>19</v>
      </c>
      <c r="K570" s="2" t="s">
        <v>247</v>
      </c>
      <c r="L570" s="7" t="str">
        <f>HYPERLINK("http://slimages.macys.com/is/image/MCY/13121030 ")</f>
        <v xml:space="preserve">http://slimages.macys.com/is/image/MCY/13121030 </v>
      </c>
    </row>
    <row r="571" spans="1:12" ht="24.75" x14ac:dyDescent="0.25">
      <c r="A571" s="4" t="s">
        <v>11112</v>
      </c>
      <c r="B571" s="2" t="s">
        <v>11113</v>
      </c>
      <c r="C571" s="3">
        <v>1</v>
      </c>
      <c r="D571" s="5">
        <v>25.88</v>
      </c>
      <c r="E571" s="3" t="s">
        <v>11114</v>
      </c>
      <c r="F571" s="2" t="s">
        <v>413</v>
      </c>
      <c r="G571" s="6" t="s">
        <v>200</v>
      </c>
      <c r="H571" s="2" t="s">
        <v>194</v>
      </c>
      <c r="I571" s="2" t="s">
        <v>580</v>
      </c>
      <c r="J571" s="2" t="s">
        <v>19</v>
      </c>
      <c r="K571" s="2" t="s">
        <v>137</v>
      </c>
      <c r="L571" s="7" t="str">
        <f>HYPERLINK("http://slimages.macys.com/is/image/MCY/16404085 ")</f>
        <v xml:space="preserve">http://slimages.macys.com/is/image/MCY/16404085 </v>
      </c>
    </row>
    <row r="572" spans="1:12" ht="24.75" x14ac:dyDescent="0.25">
      <c r="A572" s="4" t="s">
        <v>11115</v>
      </c>
      <c r="B572" s="2" t="s">
        <v>11116</v>
      </c>
      <c r="C572" s="3">
        <v>1</v>
      </c>
      <c r="D572" s="5">
        <v>21.99</v>
      </c>
      <c r="E572" s="3" t="s">
        <v>11117</v>
      </c>
      <c r="F572" s="2" t="s">
        <v>15</v>
      </c>
      <c r="G572" s="6" t="s">
        <v>234</v>
      </c>
      <c r="H572" s="2" t="s">
        <v>1522</v>
      </c>
      <c r="I572" s="2" t="s">
        <v>1469</v>
      </c>
      <c r="J572" s="2" t="s">
        <v>19</v>
      </c>
      <c r="K572" s="2" t="s">
        <v>258</v>
      </c>
      <c r="L572" s="7" t="str">
        <f>HYPERLINK("http://slimages.macys.com/is/image/MCY/14574284 ")</f>
        <v xml:space="preserve">http://slimages.macys.com/is/image/MCY/14574284 </v>
      </c>
    </row>
    <row r="573" spans="1:12" ht="24.75" x14ac:dyDescent="0.25">
      <c r="A573" s="4" t="s">
        <v>11118</v>
      </c>
      <c r="B573" s="2" t="s">
        <v>11119</v>
      </c>
      <c r="C573" s="3">
        <v>1</v>
      </c>
      <c r="D573" s="5">
        <v>21.99</v>
      </c>
      <c r="E573" s="3" t="s">
        <v>11120</v>
      </c>
      <c r="F573" s="2" t="s">
        <v>15</v>
      </c>
      <c r="G573" s="6" t="s">
        <v>181</v>
      </c>
      <c r="H573" s="2" t="s">
        <v>1473</v>
      </c>
      <c r="I573" s="2" t="s">
        <v>1426</v>
      </c>
      <c r="J573" s="2" t="s">
        <v>19</v>
      </c>
      <c r="K573" s="2" t="s">
        <v>1108</v>
      </c>
      <c r="L573" s="7" t="str">
        <f>HYPERLINK("http://slimages.macys.com/is/image/MCY/13812564 ")</f>
        <v xml:space="preserve">http://slimages.macys.com/is/image/MCY/13812564 </v>
      </c>
    </row>
    <row r="574" spans="1:12" ht="24.75" x14ac:dyDescent="0.25">
      <c r="A574" s="4" t="s">
        <v>11121</v>
      </c>
      <c r="B574" s="2" t="s">
        <v>11119</v>
      </c>
      <c r="C574" s="3">
        <v>1</v>
      </c>
      <c r="D574" s="5">
        <v>21.99</v>
      </c>
      <c r="E574" s="3" t="s">
        <v>11120</v>
      </c>
      <c r="F574" s="2" t="s">
        <v>53</v>
      </c>
      <c r="G574" s="6" t="s">
        <v>181</v>
      </c>
      <c r="H574" s="2" t="s">
        <v>1473</v>
      </c>
      <c r="I574" s="2" t="s">
        <v>1426</v>
      </c>
      <c r="J574" s="2" t="s">
        <v>19</v>
      </c>
      <c r="K574" s="2" t="s">
        <v>1108</v>
      </c>
      <c r="L574" s="7" t="str">
        <f>HYPERLINK("http://slimages.macys.com/is/image/MCY/13812564 ")</f>
        <v xml:space="preserve">http://slimages.macys.com/is/image/MCY/13812564 </v>
      </c>
    </row>
    <row r="575" spans="1:12" ht="24.75" x14ac:dyDescent="0.25">
      <c r="A575" s="4" t="s">
        <v>11122</v>
      </c>
      <c r="B575" s="2" t="s">
        <v>10246</v>
      </c>
      <c r="C575" s="3">
        <v>1</v>
      </c>
      <c r="D575" s="5">
        <v>24.99</v>
      </c>
      <c r="E575" s="3">
        <v>100012319</v>
      </c>
      <c r="F575" s="2" t="s">
        <v>417</v>
      </c>
      <c r="G575" s="6" t="s">
        <v>141</v>
      </c>
      <c r="H575" s="2" t="s">
        <v>228</v>
      </c>
      <c r="I575" s="2" t="s">
        <v>195</v>
      </c>
      <c r="J575" s="2" t="s">
        <v>19</v>
      </c>
      <c r="K575" s="2" t="s">
        <v>338</v>
      </c>
      <c r="L575" s="7" t="str">
        <f>HYPERLINK("http://slimages.macys.com/is/image/MCY/9404159 ")</f>
        <v xml:space="preserve">http://slimages.macys.com/is/image/MCY/9404159 </v>
      </c>
    </row>
    <row r="576" spans="1:12" ht="24.75" x14ac:dyDescent="0.25">
      <c r="A576" s="4" t="s">
        <v>11123</v>
      </c>
      <c r="B576" s="2" t="s">
        <v>1699</v>
      </c>
      <c r="C576" s="3">
        <v>2</v>
      </c>
      <c r="D576" s="5">
        <v>19.989999999999998</v>
      </c>
      <c r="E576" s="3" t="s">
        <v>1700</v>
      </c>
      <c r="F576" s="2" t="s">
        <v>64</v>
      </c>
      <c r="G576" s="6" t="s">
        <v>181</v>
      </c>
      <c r="H576" s="2" t="s">
        <v>1473</v>
      </c>
      <c r="I576" s="2" t="s">
        <v>1426</v>
      </c>
      <c r="J576" s="2" t="s">
        <v>19</v>
      </c>
      <c r="K576" s="2" t="s">
        <v>990</v>
      </c>
      <c r="L576" s="7" t="str">
        <f>HYPERLINK("http://slimages.macys.com/is/image/MCY/11831242 ")</f>
        <v xml:space="preserve">http://slimages.macys.com/is/image/MCY/11831242 </v>
      </c>
    </row>
    <row r="577" spans="1:12" ht="24.75" x14ac:dyDescent="0.25">
      <c r="A577" s="4" t="s">
        <v>1701</v>
      </c>
      <c r="B577" s="2" t="s">
        <v>1699</v>
      </c>
      <c r="C577" s="3">
        <v>1</v>
      </c>
      <c r="D577" s="5">
        <v>19.989999999999998</v>
      </c>
      <c r="E577" s="3" t="s">
        <v>1700</v>
      </c>
      <c r="F577" s="2" t="s">
        <v>94</v>
      </c>
      <c r="G577" s="6" t="s">
        <v>154</v>
      </c>
      <c r="H577" s="2" t="s">
        <v>1473</v>
      </c>
      <c r="I577" s="2" t="s">
        <v>1426</v>
      </c>
      <c r="J577" s="2" t="s">
        <v>19</v>
      </c>
      <c r="K577" s="2" t="s">
        <v>990</v>
      </c>
      <c r="L577" s="7" t="str">
        <f>HYPERLINK("http://slimages.macys.com/is/image/MCY/11831242 ")</f>
        <v xml:space="preserve">http://slimages.macys.com/is/image/MCY/11831242 </v>
      </c>
    </row>
    <row r="578" spans="1:12" ht="24.75" x14ac:dyDescent="0.25">
      <c r="A578" s="4" t="s">
        <v>11124</v>
      </c>
      <c r="B578" s="2" t="s">
        <v>1699</v>
      </c>
      <c r="C578" s="3">
        <v>1</v>
      </c>
      <c r="D578" s="5">
        <v>19.989999999999998</v>
      </c>
      <c r="E578" s="3" t="s">
        <v>1700</v>
      </c>
      <c r="F578" s="2" t="s">
        <v>64</v>
      </c>
      <c r="G578" s="6" t="s">
        <v>200</v>
      </c>
      <c r="H578" s="2" t="s">
        <v>1473</v>
      </c>
      <c r="I578" s="2" t="s">
        <v>1426</v>
      </c>
      <c r="J578" s="2" t="s">
        <v>19</v>
      </c>
      <c r="K578" s="2" t="s">
        <v>990</v>
      </c>
      <c r="L578" s="7" t="str">
        <f>HYPERLINK("http://slimages.macys.com/is/image/MCY/11831242 ")</f>
        <v xml:space="preserve">http://slimages.macys.com/is/image/MCY/11831242 </v>
      </c>
    </row>
    <row r="579" spans="1:12" ht="24.75" x14ac:dyDescent="0.25">
      <c r="A579" s="4" t="s">
        <v>11125</v>
      </c>
      <c r="B579" s="2" t="s">
        <v>1627</v>
      </c>
      <c r="C579" s="3">
        <v>3</v>
      </c>
      <c r="D579" s="5">
        <v>25.88</v>
      </c>
      <c r="E579" s="3" t="s">
        <v>11126</v>
      </c>
      <c r="F579" s="2" t="s">
        <v>26</v>
      </c>
      <c r="G579" s="6" t="s">
        <v>154</v>
      </c>
      <c r="H579" s="2" t="s">
        <v>194</v>
      </c>
      <c r="I579" s="2" t="s">
        <v>195</v>
      </c>
      <c r="J579" s="2" t="s">
        <v>19</v>
      </c>
      <c r="K579" s="2" t="s">
        <v>1629</v>
      </c>
      <c r="L579" s="7" t="str">
        <f t="shared" ref="L579:L585" si="3">HYPERLINK("http://slimages.macys.com/is/image/MCY/3276758 ")</f>
        <v xml:space="preserve">http://slimages.macys.com/is/image/MCY/3276758 </v>
      </c>
    </row>
    <row r="580" spans="1:12" ht="24.75" x14ac:dyDescent="0.25">
      <c r="A580" s="4" t="s">
        <v>11127</v>
      </c>
      <c r="B580" s="2" t="s">
        <v>1627</v>
      </c>
      <c r="C580" s="3">
        <v>1</v>
      </c>
      <c r="D580" s="5">
        <v>25.88</v>
      </c>
      <c r="E580" s="3" t="s">
        <v>11126</v>
      </c>
      <c r="F580" s="2" t="s">
        <v>26</v>
      </c>
      <c r="G580" s="6" t="s">
        <v>156</v>
      </c>
      <c r="H580" s="2" t="s">
        <v>194</v>
      </c>
      <c r="I580" s="2" t="s">
        <v>195</v>
      </c>
      <c r="J580" s="2" t="s">
        <v>19</v>
      </c>
      <c r="K580" s="2" t="s">
        <v>1629</v>
      </c>
      <c r="L580" s="7" t="str">
        <f t="shared" si="3"/>
        <v xml:space="preserve">http://slimages.macys.com/is/image/MCY/3276758 </v>
      </c>
    </row>
    <row r="581" spans="1:12" ht="24.75" x14ac:dyDescent="0.25">
      <c r="A581" s="4" t="s">
        <v>11128</v>
      </c>
      <c r="B581" s="2" t="s">
        <v>1627</v>
      </c>
      <c r="C581" s="3">
        <v>1</v>
      </c>
      <c r="D581" s="5">
        <v>25.88</v>
      </c>
      <c r="E581" s="3" t="s">
        <v>11126</v>
      </c>
      <c r="F581" s="2" t="s">
        <v>26</v>
      </c>
      <c r="G581" s="6" t="s">
        <v>200</v>
      </c>
      <c r="H581" s="2" t="s">
        <v>194</v>
      </c>
      <c r="I581" s="2" t="s">
        <v>195</v>
      </c>
      <c r="J581" s="2" t="s">
        <v>19</v>
      </c>
      <c r="K581" s="2" t="s">
        <v>1629</v>
      </c>
      <c r="L581" s="7" t="str">
        <f t="shared" si="3"/>
        <v xml:space="preserve">http://slimages.macys.com/is/image/MCY/3276758 </v>
      </c>
    </row>
    <row r="582" spans="1:12" ht="24.75" x14ac:dyDescent="0.25">
      <c r="A582" s="4" t="s">
        <v>11129</v>
      </c>
      <c r="B582" s="2" t="s">
        <v>1627</v>
      </c>
      <c r="C582" s="3">
        <v>1</v>
      </c>
      <c r="D582" s="5">
        <v>25.88</v>
      </c>
      <c r="E582" s="3" t="s">
        <v>11126</v>
      </c>
      <c r="F582" s="2" t="s">
        <v>26</v>
      </c>
      <c r="G582" s="6" t="s">
        <v>181</v>
      </c>
      <c r="H582" s="2" t="s">
        <v>194</v>
      </c>
      <c r="I582" s="2" t="s">
        <v>195</v>
      </c>
      <c r="J582" s="2" t="s">
        <v>19</v>
      </c>
      <c r="K582" s="2" t="s">
        <v>1629</v>
      </c>
      <c r="L582" s="7" t="str">
        <f t="shared" si="3"/>
        <v xml:space="preserve">http://slimages.macys.com/is/image/MCY/3276758 </v>
      </c>
    </row>
    <row r="583" spans="1:12" ht="24.75" x14ac:dyDescent="0.25">
      <c r="A583" s="4" t="s">
        <v>7585</v>
      </c>
      <c r="B583" s="2" t="s">
        <v>5086</v>
      </c>
      <c r="C583" s="3">
        <v>1</v>
      </c>
      <c r="D583" s="5">
        <v>25.5</v>
      </c>
      <c r="E583" s="3" t="s">
        <v>5087</v>
      </c>
      <c r="F583" s="2" t="s">
        <v>15</v>
      </c>
      <c r="G583" s="6" t="s">
        <v>234</v>
      </c>
      <c r="H583" s="2" t="s">
        <v>194</v>
      </c>
      <c r="I583" s="2" t="s">
        <v>195</v>
      </c>
      <c r="J583" s="2" t="s">
        <v>19</v>
      </c>
      <c r="K583" s="2" t="s">
        <v>1629</v>
      </c>
      <c r="L583" s="7" t="str">
        <f t="shared" si="3"/>
        <v xml:space="preserve">http://slimages.macys.com/is/image/MCY/3276758 </v>
      </c>
    </row>
    <row r="584" spans="1:12" ht="24.75" x14ac:dyDescent="0.25">
      <c r="A584" s="4" t="s">
        <v>11130</v>
      </c>
      <c r="B584" s="2" t="s">
        <v>1627</v>
      </c>
      <c r="C584" s="3">
        <v>1</v>
      </c>
      <c r="D584" s="5">
        <v>25.88</v>
      </c>
      <c r="E584" s="3" t="s">
        <v>11126</v>
      </c>
      <c r="F584" s="2" t="s">
        <v>26</v>
      </c>
      <c r="G584" s="6" t="s">
        <v>245</v>
      </c>
      <c r="H584" s="2" t="s">
        <v>194</v>
      </c>
      <c r="I584" s="2" t="s">
        <v>195</v>
      </c>
      <c r="J584" s="2" t="s">
        <v>19</v>
      </c>
      <c r="K584" s="2" t="s">
        <v>1629</v>
      </c>
      <c r="L584" s="7" t="str">
        <f t="shared" si="3"/>
        <v xml:space="preserve">http://slimages.macys.com/is/image/MCY/3276758 </v>
      </c>
    </row>
    <row r="585" spans="1:12" ht="24.75" x14ac:dyDescent="0.25">
      <c r="A585" s="4" t="s">
        <v>11131</v>
      </c>
      <c r="B585" s="2" t="s">
        <v>1627</v>
      </c>
      <c r="C585" s="3">
        <v>1</v>
      </c>
      <c r="D585" s="5">
        <v>25.88</v>
      </c>
      <c r="E585" s="3" t="s">
        <v>11126</v>
      </c>
      <c r="F585" s="2" t="s">
        <v>26</v>
      </c>
      <c r="G585" s="6" t="s">
        <v>234</v>
      </c>
      <c r="H585" s="2" t="s">
        <v>194</v>
      </c>
      <c r="I585" s="2" t="s">
        <v>195</v>
      </c>
      <c r="J585" s="2" t="s">
        <v>19</v>
      </c>
      <c r="K585" s="2" t="s">
        <v>1629</v>
      </c>
      <c r="L585" s="7" t="str">
        <f t="shared" si="3"/>
        <v xml:space="preserve">http://slimages.macys.com/is/image/MCY/3276758 </v>
      </c>
    </row>
    <row r="586" spans="1:12" ht="24.75" x14ac:dyDescent="0.25">
      <c r="A586" s="4" t="s">
        <v>1708</v>
      </c>
      <c r="B586" s="2" t="s">
        <v>1709</v>
      </c>
      <c r="C586" s="3">
        <v>1</v>
      </c>
      <c r="D586" s="5">
        <v>25.88</v>
      </c>
      <c r="E586" s="3" t="s">
        <v>1710</v>
      </c>
      <c r="F586" s="2" t="s">
        <v>74</v>
      </c>
      <c r="G586" s="6"/>
      <c r="H586" s="2" t="s">
        <v>312</v>
      </c>
      <c r="I586" s="2" t="s">
        <v>195</v>
      </c>
      <c r="J586" s="2" t="s">
        <v>19</v>
      </c>
      <c r="K586" s="2" t="s">
        <v>1629</v>
      </c>
      <c r="L586" s="7" t="str">
        <f>HYPERLINK("http://slimages.macys.com/is/image/MCY/3314148 ")</f>
        <v xml:space="preserve">http://slimages.macys.com/is/image/MCY/3314148 </v>
      </c>
    </row>
    <row r="587" spans="1:12" ht="24.75" x14ac:dyDescent="0.25">
      <c r="A587" s="4" t="s">
        <v>11132</v>
      </c>
      <c r="B587" s="2" t="s">
        <v>11133</v>
      </c>
      <c r="C587" s="3">
        <v>1</v>
      </c>
      <c r="D587" s="5">
        <v>37.130000000000003</v>
      </c>
      <c r="E587" s="3" t="s">
        <v>11134</v>
      </c>
      <c r="F587" s="2" t="s">
        <v>26</v>
      </c>
      <c r="G587" s="6" t="s">
        <v>156</v>
      </c>
      <c r="H587" s="2" t="s">
        <v>194</v>
      </c>
      <c r="I587" s="2" t="s">
        <v>195</v>
      </c>
      <c r="J587" s="2" t="s">
        <v>19</v>
      </c>
      <c r="K587" s="2" t="s">
        <v>10816</v>
      </c>
      <c r="L587" s="7" t="str">
        <f>HYPERLINK("http://slimages.macys.com/is/image/MCY/12850793 ")</f>
        <v xml:space="preserve">http://slimages.macys.com/is/image/MCY/12850793 </v>
      </c>
    </row>
    <row r="588" spans="1:12" ht="24.75" x14ac:dyDescent="0.25">
      <c r="A588" s="4" t="s">
        <v>11135</v>
      </c>
      <c r="B588" s="2" t="s">
        <v>11136</v>
      </c>
      <c r="C588" s="3">
        <v>1</v>
      </c>
      <c r="D588" s="5">
        <v>29.63</v>
      </c>
      <c r="E588" s="3" t="s">
        <v>11137</v>
      </c>
      <c r="F588" s="2" t="s">
        <v>579</v>
      </c>
      <c r="G588" s="6"/>
      <c r="H588" s="2" t="s">
        <v>312</v>
      </c>
      <c r="I588" s="2" t="s">
        <v>195</v>
      </c>
      <c r="J588" s="2" t="s">
        <v>19</v>
      </c>
      <c r="K588" s="2" t="s">
        <v>495</v>
      </c>
      <c r="L588" s="7" t="str">
        <f>HYPERLINK("http://slimages.macys.com/is/image/MCY/8804871 ")</f>
        <v xml:space="preserve">http://slimages.macys.com/is/image/MCY/8804871 </v>
      </c>
    </row>
    <row r="589" spans="1:12" ht="24.75" x14ac:dyDescent="0.25">
      <c r="A589" s="4" t="s">
        <v>11138</v>
      </c>
      <c r="B589" s="2" t="s">
        <v>11139</v>
      </c>
      <c r="C589" s="3">
        <v>1</v>
      </c>
      <c r="D589" s="5">
        <v>24.99</v>
      </c>
      <c r="E589" s="3" t="s">
        <v>11140</v>
      </c>
      <c r="F589" s="2" t="s">
        <v>15</v>
      </c>
      <c r="G589" s="6" t="s">
        <v>200</v>
      </c>
      <c r="H589" s="2" t="s">
        <v>1473</v>
      </c>
      <c r="I589" s="2" t="s">
        <v>1426</v>
      </c>
      <c r="J589" s="2" t="s">
        <v>19</v>
      </c>
      <c r="K589" s="2" t="s">
        <v>247</v>
      </c>
      <c r="L589" s="7" t="str">
        <f>HYPERLINK("http://slimages.macys.com/is/image/MCY/10745983 ")</f>
        <v xml:space="preserve">http://slimages.macys.com/is/image/MCY/10745983 </v>
      </c>
    </row>
    <row r="590" spans="1:12" ht="24.75" x14ac:dyDescent="0.25">
      <c r="A590" s="4" t="s">
        <v>11141</v>
      </c>
      <c r="B590" s="2" t="s">
        <v>11142</v>
      </c>
      <c r="C590" s="3">
        <v>1</v>
      </c>
      <c r="D590" s="5">
        <v>21.99</v>
      </c>
      <c r="E590" s="3" t="s">
        <v>11143</v>
      </c>
      <c r="F590" s="2" t="s">
        <v>74</v>
      </c>
      <c r="G590" s="6" t="s">
        <v>181</v>
      </c>
      <c r="H590" s="2" t="s">
        <v>1473</v>
      </c>
      <c r="I590" s="2" t="s">
        <v>1426</v>
      </c>
      <c r="J590" s="2" t="s">
        <v>19</v>
      </c>
      <c r="K590" s="2" t="s">
        <v>11144</v>
      </c>
      <c r="L590" s="7" t="str">
        <f>HYPERLINK("http://slimages.macys.com/is/image/MCY/13633752 ")</f>
        <v xml:space="preserve">http://slimages.macys.com/is/image/MCY/13633752 </v>
      </c>
    </row>
    <row r="591" spans="1:12" ht="24.75" x14ac:dyDescent="0.25">
      <c r="A591" s="4" t="s">
        <v>11145</v>
      </c>
      <c r="B591" s="2" t="s">
        <v>11146</v>
      </c>
      <c r="C591" s="3">
        <v>1</v>
      </c>
      <c r="D591" s="5">
        <v>69.5</v>
      </c>
      <c r="E591" s="3" t="s">
        <v>11147</v>
      </c>
      <c r="F591" s="2" t="s">
        <v>132</v>
      </c>
      <c r="G591" s="6"/>
      <c r="H591" s="2" t="s">
        <v>447</v>
      </c>
      <c r="I591" s="2" t="s">
        <v>448</v>
      </c>
      <c r="J591" s="2" t="s">
        <v>19</v>
      </c>
      <c r="K591" s="2" t="s">
        <v>160</v>
      </c>
      <c r="L591" s="7" t="str">
        <f>HYPERLINK("http://slimages.macys.com/is/image/MCY/12650510 ")</f>
        <v xml:space="preserve">http://slimages.macys.com/is/image/MCY/12650510 </v>
      </c>
    </row>
    <row r="592" spans="1:12" ht="24.75" x14ac:dyDescent="0.25">
      <c r="A592" s="4" t="s">
        <v>11148</v>
      </c>
      <c r="B592" s="2" t="s">
        <v>11146</v>
      </c>
      <c r="C592" s="3">
        <v>2</v>
      </c>
      <c r="D592" s="5">
        <v>69.5</v>
      </c>
      <c r="E592" s="3" t="s">
        <v>11147</v>
      </c>
      <c r="F592" s="2" t="s">
        <v>132</v>
      </c>
      <c r="G592" s="6" t="s">
        <v>11149</v>
      </c>
      <c r="H592" s="2" t="s">
        <v>447</v>
      </c>
      <c r="I592" s="2" t="s">
        <v>448</v>
      </c>
      <c r="J592" s="2" t="s">
        <v>19</v>
      </c>
      <c r="K592" s="2" t="s">
        <v>160</v>
      </c>
      <c r="L592" s="7" t="str">
        <f>HYPERLINK("http://slimages.macys.com/is/image/MCY/12650510 ")</f>
        <v xml:space="preserve">http://slimages.macys.com/is/image/MCY/12650510 </v>
      </c>
    </row>
    <row r="593" spans="1:12" ht="24.75" x14ac:dyDescent="0.25">
      <c r="A593" s="4" t="s">
        <v>11150</v>
      </c>
      <c r="B593" s="2" t="s">
        <v>10279</v>
      </c>
      <c r="C593" s="3">
        <v>1</v>
      </c>
      <c r="D593" s="5">
        <v>19.989999999999998</v>
      </c>
      <c r="E593" s="3" t="s">
        <v>10280</v>
      </c>
      <c r="F593" s="2" t="s">
        <v>820</v>
      </c>
      <c r="G593" s="6" t="s">
        <v>245</v>
      </c>
      <c r="H593" s="2" t="s">
        <v>246</v>
      </c>
      <c r="I593" s="2" t="s">
        <v>1939</v>
      </c>
      <c r="J593" s="2" t="s">
        <v>19</v>
      </c>
      <c r="K593" s="2" t="s">
        <v>648</v>
      </c>
      <c r="L593" s="7" t="str">
        <f>HYPERLINK("http://slimages.macys.com/is/image/MCY/8123674 ")</f>
        <v xml:space="preserve">http://slimages.macys.com/is/image/MCY/8123674 </v>
      </c>
    </row>
    <row r="594" spans="1:12" ht="24.75" x14ac:dyDescent="0.25">
      <c r="A594" s="4" t="s">
        <v>9712</v>
      </c>
      <c r="B594" s="2" t="s">
        <v>1724</v>
      </c>
      <c r="C594" s="3">
        <v>1</v>
      </c>
      <c r="D594" s="5">
        <v>34.880000000000003</v>
      </c>
      <c r="E594" s="3">
        <v>100018041</v>
      </c>
      <c r="F594" s="2" t="s">
        <v>566</v>
      </c>
      <c r="G594" s="6" t="s">
        <v>112</v>
      </c>
      <c r="H594" s="2" t="s">
        <v>194</v>
      </c>
      <c r="I594" s="2" t="s">
        <v>195</v>
      </c>
      <c r="J594" s="2" t="s">
        <v>19</v>
      </c>
      <c r="K594" s="2" t="s">
        <v>353</v>
      </c>
      <c r="L594" s="7" t="str">
        <f>HYPERLINK("http://slimages.macys.com/is/image/MCY/12950342 ")</f>
        <v xml:space="preserve">http://slimages.macys.com/is/image/MCY/12950342 </v>
      </c>
    </row>
    <row r="595" spans="1:12" ht="24.75" x14ac:dyDescent="0.25">
      <c r="A595" s="4" t="s">
        <v>11151</v>
      </c>
      <c r="B595" s="2" t="s">
        <v>1729</v>
      </c>
      <c r="C595" s="3">
        <v>1</v>
      </c>
      <c r="D595" s="5">
        <v>37.130000000000003</v>
      </c>
      <c r="E595" s="3" t="s">
        <v>1730</v>
      </c>
      <c r="F595" s="2" t="s">
        <v>64</v>
      </c>
      <c r="G595" s="6" t="s">
        <v>245</v>
      </c>
      <c r="H595" s="2" t="s">
        <v>246</v>
      </c>
      <c r="I595" s="2" t="s">
        <v>189</v>
      </c>
      <c r="J595" s="2" t="s">
        <v>19</v>
      </c>
      <c r="K595" s="2" t="s">
        <v>990</v>
      </c>
      <c r="L595" s="7" t="str">
        <f>HYPERLINK("http://slimages.macys.com/is/image/MCY/11996044 ")</f>
        <v xml:space="preserve">http://slimages.macys.com/is/image/MCY/11996044 </v>
      </c>
    </row>
    <row r="596" spans="1:12" ht="24.75" x14ac:dyDescent="0.25">
      <c r="A596" s="4" t="s">
        <v>11152</v>
      </c>
      <c r="B596" s="2" t="s">
        <v>1729</v>
      </c>
      <c r="C596" s="3">
        <v>2</v>
      </c>
      <c r="D596" s="5">
        <v>37.130000000000003</v>
      </c>
      <c r="E596" s="3" t="s">
        <v>1730</v>
      </c>
      <c r="F596" s="2" t="s">
        <v>413</v>
      </c>
      <c r="G596" s="6" t="s">
        <v>154</v>
      </c>
      <c r="H596" s="2" t="s">
        <v>246</v>
      </c>
      <c r="I596" s="2" t="s">
        <v>189</v>
      </c>
      <c r="J596" s="2" t="s">
        <v>19</v>
      </c>
      <c r="K596" s="2" t="s">
        <v>990</v>
      </c>
      <c r="L596" s="7" t="str">
        <f>HYPERLINK("http://slimages.macys.com/is/image/MCY/11996044 ")</f>
        <v xml:space="preserve">http://slimages.macys.com/is/image/MCY/11996044 </v>
      </c>
    </row>
    <row r="597" spans="1:12" ht="24.75" x14ac:dyDescent="0.25">
      <c r="A597" s="4" t="s">
        <v>4043</v>
      </c>
      <c r="B597" s="2" t="s">
        <v>1712</v>
      </c>
      <c r="C597" s="3">
        <v>1</v>
      </c>
      <c r="D597" s="5">
        <v>19.989999999999998</v>
      </c>
      <c r="E597" s="3" t="s">
        <v>4041</v>
      </c>
      <c r="F597" s="2" t="s">
        <v>74</v>
      </c>
      <c r="G597" s="6" t="s">
        <v>154</v>
      </c>
      <c r="H597" s="2" t="s">
        <v>194</v>
      </c>
      <c r="I597" s="2" t="s">
        <v>195</v>
      </c>
      <c r="J597" s="2" t="s">
        <v>19</v>
      </c>
      <c r="K597" s="2" t="s">
        <v>160</v>
      </c>
      <c r="L597" s="7" t="str">
        <f>HYPERLINK("http://slimages.macys.com/is/image/MCY/13317763 ")</f>
        <v xml:space="preserve">http://slimages.macys.com/is/image/MCY/13317763 </v>
      </c>
    </row>
    <row r="598" spans="1:12" ht="24.75" x14ac:dyDescent="0.25">
      <c r="A598" s="4" t="s">
        <v>11153</v>
      </c>
      <c r="B598" s="2" t="s">
        <v>1632</v>
      </c>
      <c r="C598" s="3">
        <v>1</v>
      </c>
      <c r="D598" s="5">
        <v>19.989999999999998</v>
      </c>
      <c r="E598" s="3">
        <v>91211</v>
      </c>
      <c r="F598" s="2" t="s">
        <v>48</v>
      </c>
      <c r="G598" s="6" t="s">
        <v>181</v>
      </c>
      <c r="H598" s="2" t="s">
        <v>1473</v>
      </c>
      <c r="I598" s="2" t="s">
        <v>1426</v>
      </c>
      <c r="J598" s="2" t="s">
        <v>19</v>
      </c>
      <c r="K598" s="2" t="s">
        <v>1431</v>
      </c>
      <c r="L598" s="7" t="str">
        <f>HYPERLINK("http://slimages.macys.com/is/image/MCY/9633184 ")</f>
        <v xml:space="preserve">http://slimages.macys.com/is/image/MCY/9633184 </v>
      </c>
    </row>
    <row r="599" spans="1:12" ht="24.75" x14ac:dyDescent="0.25">
      <c r="A599" s="4" t="s">
        <v>11154</v>
      </c>
      <c r="B599" s="2" t="s">
        <v>1632</v>
      </c>
      <c r="C599" s="3">
        <v>1</v>
      </c>
      <c r="D599" s="5">
        <v>19.989999999999998</v>
      </c>
      <c r="E599" s="3">
        <v>91211</v>
      </c>
      <c r="F599" s="2" t="s">
        <v>64</v>
      </c>
      <c r="G599" s="6" t="s">
        <v>181</v>
      </c>
      <c r="H599" s="2" t="s">
        <v>1473</v>
      </c>
      <c r="I599" s="2" t="s">
        <v>1426</v>
      </c>
      <c r="J599" s="2" t="s">
        <v>19</v>
      </c>
      <c r="K599" s="2" t="s">
        <v>1431</v>
      </c>
      <c r="L599" s="7" t="str">
        <f>HYPERLINK("http://slimages.macys.com/is/image/MCY/9724772 ")</f>
        <v xml:space="preserve">http://slimages.macys.com/is/image/MCY/9724772 </v>
      </c>
    </row>
    <row r="600" spans="1:12" ht="24.75" x14ac:dyDescent="0.25">
      <c r="A600" s="4" t="s">
        <v>11155</v>
      </c>
      <c r="B600" s="2" t="s">
        <v>11156</v>
      </c>
      <c r="C600" s="3">
        <v>1</v>
      </c>
      <c r="D600" s="5">
        <v>33</v>
      </c>
      <c r="E600" s="3" t="s">
        <v>11157</v>
      </c>
      <c r="F600" s="2" t="s">
        <v>26</v>
      </c>
      <c r="G600" s="6" t="s">
        <v>791</v>
      </c>
      <c r="H600" s="2" t="s">
        <v>447</v>
      </c>
      <c r="I600" s="2" t="s">
        <v>792</v>
      </c>
      <c r="J600" s="2" t="s">
        <v>19</v>
      </c>
      <c r="K600" s="2" t="s">
        <v>160</v>
      </c>
      <c r="L600" s="7" t="str">
        <f>HYPERLINK("http://slimages.macys.com/is/image/MCY/12312773 ")</f>
        <v xml:space="preserve">http://slimages.macys.com/is/image/MCY/12312773 </v>
      </c>
    </row>
    <row r="601" spans="1:12" ht="24.75" x14ac:dyDescent="0.25">
      <c r="A601" s="4" t="s">
        <v>11158</v>
      </c>
      <c r="B601" s="2" t="s">
        <v>11159</v>
      </c>
      <c r="C601" s="3">
        <v>1</v>
      </c>
      <c r="D601" s="5">
        <v>21.99</v>
      </c>
      <c r="E601" s="3" t="s">
        <v>11160</v>
      </c>
      <c r="F601" s="2" t="s">
        <v>70</v>
      </c>
      <c r="G601" s="6" t="s">
        <v>181</v>
      </c>
      <c r="H601" s="2" t="s">
        <v>1473</v>
      </c>
      <c r="I601" s="2" t="s">
        <v>1426</v>
      </c>
      <c r="J601" s="2" t="s">
        <v>19</v>
      </c>
      <c r="K601" s="2" t="s">
        <v>2302</v>
      </c>
      <c r="L601" s="7" t="str">
        <f>HYPERLINK("http://slimages.macys.com/is/image/MCY/14518509 ")</f>
        <v xml:space="preserve">http://slimages.macys.com/is/image/MCY/14518509 </v>
      </c>
    </row>
    <row r="602" spans="1:12" ht="24.75" x14ac:dyDescent="0.25">
      <c r="A602" s="4" t="s">
        <v>11161</v>
      </c>
      <c r="B602" s="2" t="s">
        <v>11162</v>
      </c>
      <c r="C602" s="3">
        <v>1</v>
      </c>
      <c r="D602" s="5">
        <v>31.88</v>
      </c>
      <c r="E602" s="3" t="s">
        <v>11163</v>
      </c>
      <c r="F602" s="2" t="s">
        <v>70</v>
      </c>
      <c r="G602" s="6" t="s">
        <v>746</v>
      </c>
      <c r="H602" s="2" t="s">
        <v>349</v>
      </c>
      <c r="I602" s="2" t="s">
        <v>285</v>
      </c>
      <c r="J602" s="2" t="s">
        <v>19</v>
      </c>
      <c r="K602" s="2" t="s">
        <v>160</v>
      </c>
      <c r="L602" s="7" t="str">
        <f>HYPERLINK("http://slimages.macys.com/is/image/MCY/13933312 ")</f>
        <v xml:space="preserve">http://slimages.macys.com/is/image/MCY/13933312 </v>
      </c>
    </row>
    <row r="603" spans="1:12" ht="24.75" x14ac:dyDescent="0.25">
      <c r="A603" s="4" t="s">
        <v>11164</v>
      </c>
      <c r="B603" s="2" t="s">
        <v>11165</v>
      </c>
      <c r="C603" s="3">
        <v>1</v>
      </c>
      <c r="D603" s="5">
        <v>29.63</v>
      </c>
      <c r="E603" s="3" t="s">
        <v>11166</v>
      </c>
      <c r="F603" s="2" t="s">
        <v>111</v>
      </c>
      <c r="G603" s="6" t="s">
        <v>154</v>
      </c>
      <c r="H603" s="2" t="s">
        <v>194</v>
      </c>
      <c r="I603" s="2" t="s">
        <v>195</v>
      </c>
      <c r="J603" s="2" t="s">
        <v>19</v>
      </c>
      <c r="K603" s="2" t="s">
        <v>990</v>
      </c>
      <c r="L603" s="7" t="str">
        <f>HYPERLINK("http://slimages.macys.com/is/image/MCY/12064102 ")</f>
        <v xml:space="preserve">http://slimages.macys.com/is/image/MCY/12064102 </v>
      </c>
    </row>
    <row r="604" spans="1:12" ht="24.75" x14ac:dyDescent="0.25">
      <c r="A604" s="4" t="s">
        <v>11167</v>
      </c>
      <c r="B604" s="2" t="s">
        <v>11168</v>
      </c>
      <c r="C604" s="3">
        <v>1</v>
      </c>
      <c r="D604" s="5">
        <v>19.989999999999998</v>
      </c>
      <c r="E604" s="3" t="s">
        <v>11169</v>
      </c>
      <c r="F604" s="2" t="s">
        <v>15</v>
      </c>
      <c r="G604" s="6" t="s">
        <v>181</v>
      </c>
      <c r="H604" s="2" t="s">
        <v>1473</v>
      </c>
      <c r="I604" s="2" t="s">
        <v>1426</v>
      </c>
      <c r="J604" s="2" t="s">
        <v>19</v>
      </c>
      <c r="K604" s="2" t="s">
        <v>648</v>
      </c>
      <c r="L604" s="7" t="str">
        <f>HYPERLINK("http://slimages.macys.com/is/image/MCY/12671817 ")</f>
        <v xml:space="preserve">http://slimages.macys.com/is/image/MCY/12671817 </v>
      </c>
    </row>
    <row r="605" spans="1:12" ht="24.75" x14ac:dyDescent="0.25">
      <c r="A605" s="4" t="s">
        <v>11170</v>
      </c>
      <c r="B605" s="2" t="s">
        <v>11171</v>
      </c>
      <c r="C605" s="3">
        <v>1</v>
      </c>
      <c r="D605" s="5">
        <v>25.88</v>
      </c>
      <c r="E605" s="3" t="s">
        <v>11172</v>
      </c>
      <c r="F605" s="2" t="s">
        <v>64</v>
      </c>
      <c r="G605" s="6" t="s">
        <v>156</v>
      </c>
      <c r="H605" s="2" t="s">
        <v>194</v>
      </c>
      <c r="I605" s="2" t="s">
        <v>580</v>
      </c>
      <c r="J605" s="2" t="s">
        <v>19</v>
      </c>
      <c r="K605" s="2" t="s">
        <v>137</v>
      </c>
      <c r="L605" s="7" t="str">
        <f>HYPERLINK("http://slimages.macys.com/is/image/MCY/16404085 ")</f>
        <v xml:space="preserve">http://slimages.macys.com/is/image/MCY/16404085 </v>
      </c>
    </row>
    <row r="606" spans="1:12" ht="24.75" x14ac:dyDescent="0.25">
      <c r="A606" s="4" t="s">
        <v>11173</v>
      </c>
      <c r="B606" s="2" t="s">
        <v>5105</v>
      </c>
      <c r="C606" s="3">
        <v>1</v>
      </c>
      <c r="D606" s="5">
        <v>19.989999999999998</v>
      </c>
      <c r="E606" s="3">
        <v>100028000</v>
      </c>
      <c r="F606" s="2" t="s">
        <v>820</v>
      </c>
      <c r="G606" s="6" t="s">
        <v>234</v>
      </c>
      <c r="H606" s="2" t="s">
        <v>194</v>
      </c>
      <c r="I606" s="2" t="s">
        <v>1922</v>
      </c>
      <c r="J606" s="2" t="s">
        <v>19</v>
      </c>
      <c r="K606" s="2" t="s">
        <v>160</v>
      </c>
      <c r="L606" s="7" t="str">
        <f>HYPERLINK("http://slimages.macys.com/is/image/MCY/12405238 ")</f>
        <v xml:space="preserve">http://slimages.macys.com/is/image/MCY/12405238 </v>
      </c>
    </row>
    <row r="607" spans="1:12" ht="24.75" x14ac:dyDescent="0.25">
      <c r="A607" s="4" t="s">
        <v>11174</v>
      </c>
      <c r="B607" s="2" t="s">
        <v>2949</v>
      </c>
      <c r="C607" s="3">
        <v>1</v>
      </c>
      <c r="D607" s="5">
        <v>21.99</v>
      </c>
      <c r="E607" s="3" t="s">
        <v>2950</v>
      </c>
      <c r="F607" s="2" t="s">
        <v>15</v>
      </c>
      <c r="G607" s="6" t="s">
        <v>154</v>
      </c>
      <c r="H607" s="2" t="s">
        <v>1473</v>
      </c>
      <c r="I607" s="2" t="s">
        <v>1426</v>
      </c>
      <c r="J607" s="2" t="s">
        <v>19</v>
      </c>
      <c r="K607" s="2" t="s">
        <v>495</v>
      </c>
      <c r="L607" s="7" t="str">
        <f>HYPERLINK("http://slimages.macys.com/is/image/MCY/13511310 ")</f>
        <v xml:space="preserve">http://slimages.macys.com/is/image/MCY/13511310 </v>
      </c>
    </row>
    <row r="608" spans="1:12" ht="24.75" x14ac:dyDescent="0.25">
      <c r="A608" s="4" t="s">
        <v>11175</v>
      </c>
      <c r="B608" s="2" t="s">
        <v>1747</v>
      </c>
      <c r="C608" s="3">
        <v>1</v>
      </c>
      <c r="D608" s="5">
        <v>17.989999999999998</v>
      </c>
      <c r="E608" s="3" t="s">
        <v>1750</v>
      </c>
      <c r="F608" s="2" t="s">
        <v>252</v>
      </c>
      <c r="G608" s="6" t="s">
        <v>802</v>
      </c>
      <c r="H608" s="2" t="s">
        <v>1425</v>
      </c>
      <c r="I608" s="2" t="s">
        <v>1426</v>
      </c>
      <c r="J608" s="2" t="s">
        <v>19</v>
      </c>
      <c r="K608" s="2" t="s">
        <v>353</v>
      </c>
      <c r="L608" s="7" t="str">
        <f>HYPERLINK("http://slimages.macys.com/is/image/MCY/12776609 ")</f>
        <v xml:space="preserve">http://slimages.macys.com/is/image/MCY/12776609 </v>
      </c>
    </row>
    <row r="609" spans="1:12" ht="24.75" x14ac:dyDescent="0.25">
      <c r="A609" s="4" t="s">
        <v>11176</v>
      </c>
      <c r="B609" s="2" t="s">
        <v>11177</v>
      </c>
      <c r="C609" s="3">
        <v>1</v>
      </c>
      <c r="D609" s="5">
        <v>19.989999999999998</v>
      </c>
      <c r="E609" s="3" t="s">
        <v>11178</v>
      </c>
      <c r="F609" s="2" t="s">
        <v>26</v>
      </c>
      <c r="G609" s="6" t="s">
        <v>156</v>
      </c>
      <c r="H609" s="2" t="s">
        <v>1473</v>
      </c>
      <c r="I609" s="2" t="s">
        <v>1426</v>
      </c>
      <c r="J609" s="2" t="s">
        <v>19</v>
      </c>
      <c r="K609" s="2" t="s">
        <v>495</v>
      </c>
      <c r="L609" s="7" t="str">
        <f>HYPERLINK("http://slimages.macys.com/is/image/MCY/13303860 ")</f>
        <v xml:space="preserve">http://slimages.macys.com/is/image/MCY/13303860 </v>
      </c>
    </row>
    <row r="610" spans="1:12" ht="24.75" x14ac:dyDescent="0.25">
      <c r="A610" s="4" t="s">
        <v>11179</v>
      </c>
      <c r="B610" s="2" t="s">
        <v>11180</v>
      </c>
      <c r="C610" s="3">
        <v>1</v>
      </c>
      <c r="D610" s="5">
        <v>29.6</v>
      </c>
      <c r="E610" s="3">
        <v>100015577</v>
      </c>
      <c r="F610" s="2" t="s">
        <v>562</v>
      </c>
      <c r="G610" s="6" t="s">
        <v>154</v>
      </c>
      <c r="H610" s="2" t="s">
        <v>194</v>
      </c>
      <c r="I610" s="2" t="s">
        <v>195</v>
      </c>
      <c r="J610" s="2" t="s">
        <v>19</v>
      </c>
      <c r="K610" s="2" t="s">
        <v>247</v>
      </c>
      <c r="L610" s="7" t="str">
        <f>HYPERLINK("http://slimages.macys.com/is/image/MCY/13906294 ")</f>
        <v xml:space="preserve">http://slimages.macys.com/is/image/MCY/13906294 </v>
      </c>
    </row>
    <row r="611" spans="1:12" ht="24.75" x14ac:dyDescent="0.25">
      <c r="A611" s="4" t="s">
        <v>5119</v>
      </c>
      <c r="B611" s="2" t="s">
        <v>1761</v>
      </c>
      <c r="C611" s="3">
        <v>1</v>
      </c>
      <c r="D611" s="5">
        <v>22.13</v>
      </c>
      <c r="E611" s="3" t="s">
        <v>1762</v>
      </c>
      <c r="F611" s="2" t="s">
        <v>15</v>
      </c>
      <c r="G611" s="6" t="s">
        <v>156</v>
      </c>
      <c r="H611" s="2" t="s">
        <v>194</v>
      </c>
      <c r="I611" s="2" t="s">
        <v>580</v>
      </c>
      <c r="J611" s="2" t="s">
        <v>19</v>
      </c>
      <c r="K611" s="2" t="s">
        <v>1082</v>
      </c>
      <c r="L611" s="7" t="str">
        <f>HYPERLINK("http://slimages.macys.com/is/image/MCY/12794096 ")</f>
        <v xml:space="preserve">http://slimages.macys.com/is/image/MCY/12794096 </v>
      </c>
    </row>
    <row r="612" spans="1:12" ht="24.75" x14ac:dyDescent="0.25">
      <c r="A612" s="4" t="s">
        <v>11181</v>
      </c>
      <c r="B612" s="2" t="s">
        <v>1761</v>
      </c>
      <c r="C612" s="3">
        <v>1</v>
      </c>
      <c r="D612" s="5">
        <v>22.13</v>
      </c>
      <c r="E612" s="3" t="s">
        <v>11182</v>
      </c>
      <c r="F612" s="2" t="s">
        <v>26</v>
      </c>
      <c r="G612" s="6" t="s">
        <v>234</v>
      </c>
      <c r="H612" s="2" t="s">
        <v>194</v>
      </c>
      <c r="I612" s="2" t="s">
        <v>580</v>
      </c>
      <c r="J612" s="2" t="s">
        <v>19</v>
      </c>
      <c r="K612" s="2" t="s">
        <v>1082</v>
      </c>
      <c r="L612" s="7" t="str">
        <f>HYPERLINK("http://slimages.macys.com/is/image/MCY/12794100 ")</f>
        <v xml:space="preserve">http://slimages.macys.com/is/image/MCY/12794100 </v>
      </c>
    </row>
    <row r="613" spans="1:12" ht="24.75" x14ac:dyDescent="0.25">
      <c r="A613" s="4" t="s">
        <v>11183</v>
      </c>
      <c r="B613" s="2" t="s">
        <v>1770</v>
      </c>
      <c r="C613" s="3">
        <v>1</v>
      </c>
      <c r="D613" s="5">
        <v>22.13</v>
      </c>
      <c r="E613" s="3" t="s">
        <v>11184</v>
      </c>
      <c r="F613" s="2" t="s">
        <v>111</v>
      </c>
      <c r="G613" s="6" t="s">
        <v>156</v>
      </c>
      <c r="H613" s="2" t="s">
        <v>194</v>
      </c>
      <c r="I613" s="2" t="s">
        <v>580</v>
      </c>
      <c r="J613" s="2" t="s">
        <v>19</v>
      </c>
      <c r="K613" s="2" t="s">
        <v>1758</v>
      </c>
      <c r="L613" s="7" t="str">
        <f>HYPERLINK("http://slimages.macys.com/is/image/MCY/12734420 ")</f>
        <v xml:space="preserve">http://slimages.macys.com/is/image/MCY/12734420 </v>
      </c>
    </row>
    <row r="614" spans="1:12" ht="24.75" x14ac:dyDescent="0.25">
      <c r="A614" s="4" t="s">
        <v>11185</v>
      </c>
      <c r="B614" s="2" t="s">
        <v>1761</v>
      </c>
      <c r="C614" s="3">
        <v>1</v>
      </c>
      <c r="D614" s="5">
        <v>22.13</v>
      </c>
      <c r="E614" s="3" t="s">
        <v>11182</v>
      </c>
      <c r="F614" s="2" t="s">
        <v>26</v>
      </c>
      <c r="G614" s="6" t="s">
        <v>154</v>
      </c>
      <c r="H614" s="2" t="s">
        <v>194</v>
      </c>
      <c r="I614" s="2" t="s">
        <v>580</v>
      </c>
      <c r="J614" s="2" t="s">
        <v>19</v>
      </c>
      <c r="K614" s="2" t="s">
        <v>1082</v>
      </c>
      <c r="L614" s="7" t="str">
        <f>HYPERLINK("http://slimages.macys.com/is/image/MCY/12794100 ")</f>
        <v xml:space="preserve">http://slimages.macys.com/is/image/MCY/12794100 </v>
      </c>
    </row>
    <row r="615" spans="1:12" ht="24.75" x14ac:dyDescent="0.25">
      <c r="A615" s="4" t="s">
        <v>11186</v>
      </c>
      <c r="B615" s="2" t="s">
        <v>6055</v>
      </c>
      <c r="C615" s="3">
        <v>1</v>
      </c>
      <c r="D615" s="5">
        <v>22.13</v>
      </c>
      <c r="E615" s="3" t="s">
        <v>11187</v>
      </c>
      <c r="F615" s="2" t="s">
        <v>11188</v>
      </c>
      <c r="G615" s="6" t="s">
        <v>181</v>
      </c>
      <c r="H615" s="2" t="s">
        <v>194</v>
      </c>
      <c r="I615" s="2" t="s">
        <v>580</v>
      </c>
      <c r="J615" s="2" t="s">
        <v>19</v>
      </c>
      <c r="K615" s="2" t="s">
        <v>1758</v>
      </c>
      <c r="L615" s="7" t="str">
        <f>HYPERLINK("http://slimages.macys.com/is/image/MCY/13120955 ")</f>
        <v xml:space="preserve">http://slimages.macys.com/is/image/MCY/13120955 </v>
      </c>
    </row>
    <row r="616" spans="1:12" ht="24.75" x14ac:dyDescent="0.25">
      <c r="A616" s="4" t="s">
        <v>4081</v>
      </c>
      <c r="B616" s="2" t="s">
        <v>1761</v>
      </c>
      <c r="C616" s="3">
        <v>1</v>
      </c>
      <c r="D616" s="5">
        <v>22.13</v>
      </c>
      <c r="E616" s="3" t="s">
        <v>1768</v>
      </c>
      <c r="F616" s="2" t="s">
        <v>64</v>
      </c>
      <c r="G616" s="6" t="s">
        <v>156</v>
      </c>
      <c r="H616" s="2" t="s">
        <v>194</v>
      </c>
      <c r="I616" s="2" t="s">
        <v>580</v>
      </c>
      <c r="J616" s="2" t="s">
        <v>19</v>
      </c>
      <c r="K616" s="2" t="s">
        <v>1758</v>
      </c>
      <c r="L616" s="7" t="str">
        <f>HYPERLINK("http://slimages.macys.com/is/image/MCY/12799771 ")</f>
        <v xml:space="preserve">http://slimages.macys.com/is/image/MCY/12799771 </v>
      </c>
    </row>
    <row r="617" spans="1:12" ht="24.75" x14ac:dyDescent="0.25">
      <c r="A617" s="4" t="s">
        <v>11189</v>
      </c>
      <c r="B617" s="2" t="s">
        <v>6055</v>
      </c>
      <c r="C617" s="3">
        <v>2</v>
      </c>
      <c r="D617" s="5">
        <v>22.13</v>
      </c>
      <c r="E617" s="3" t="s">
        <v>11187</v>
      </c>
      <c r="F617" s="2" t="s">
        <v>671</v>
      </c>
      <c r="G617" s="6" t="s">
        <v>181</v>
      </c>
      <c r="H617" s="2" t="s">
        <v>194</v>
      </c>
      <c r="I617" s="2" t="s">
        <v>580</v>
      </c>
      <c r="J617" s="2" t="s">
        <v>19</v>
      </c>
      <c r="K617" s="2" t="s">
        <v>1758</v>
      </c>
      <c r="L617" s="7" t="str">
        <f>HYPERLINK("http://slimages.macys.com/is/image/MCY/13120955 ")</f>
        <v xml:space="preserve">http://slimages.macys.com/is/image/MCY/13120955 </v>
      </c>
    </row>
    <row r="618" spans="1:12" ht="24.75" x14ac:dyDescent="0.25">
      <c r="A618" s="4" t="s">
        <v>5118</v>
      </c>
      <c r="B618" s="2" t="s">
        <v>1776</v>
      </c>
      <c r="C618" s="3">
        <v>1</v>
      </c>
      <c r="D618" s="5">
        <v>22.13</v>
      </c>
      <c r="E618" s="3" t="s">
        <v>1779</v>
      </c>
      <c r="F618" s="2" t="s">
        <v>79</v>
      </c>
      <c r="G618" s="6" t="s">
        <v>234</v>
      </c>
      <c r="H618" s="2" t="s">
        <v>194</v>
      </c>
      <c r="I618" s="2" t="s">
        <v>1766</v>
      </c>
      <c r="J618" s="2" t="s">
        <v>19</v>
      </c>
      <c r="K618" s="2" t="s">
        <v>1758</v>
      </c>
      <c r="L618" s="7" t="str">
        <f>HYPERLINK("http://slimages.macys.com/is/image/MCY/12035171 ")</f>
        <v xml:space="preserve">http://slimages.macys.com/is/image/MCY/12035171 </v>
      </c>
    </row>
    <row r="619" spans="1:12" ht="24.75" x14ac:dyDescent="0.25">
      <c r="A619" s="4" t="s">
        <v>11190</v>
      </c>
      <c r="B619" s="2" t="s">
        <v>11191</v>
      </c>
      <c r="C619" s="3">
        <v>1</v>
      </c>
      <c r="D619" s="5">
        <v>21.99</v>
      </c>
      <c r="E619" s="3" t="s">
        <v>11192</v>
      </c>
      <c r="F619" s="2" t="s">
        <v>74</v>
      </c>
      <c r="G619" s="6" t="s">
        <v>234</v>
      </c>
      <c r="H619" s="2" t="s">
        <v>284</v>
      </c>
      <c r="I619" s="2" t="s">
        <v>285</v>
      </c>
      <c r="J619" s="2" t="s">
        <v>19</v>
      </c>
      <c r="K619" s="2" t="s">
        <v>247</v>
      </c>
      <c r="L619" s="7" t="str">
        <f>HYPERLINK("http://slimages.macys.com/is/image/MCY/13401319 ")</f>
        <v xml:space="preserve">http://slimages.macys.com/is/image/MCY/13401319 </v>
      </c>
    </row>
    <row r="620" spans="1:12" ht="24.75" x14ac:dyDescent="0.25">
      <c r="A620" s="4" t="s">
        <v>4072</v>
      </c>
      <c r="B620" s="2" t="s">
        <v>4073</v>
      </c>
      <c r="C620" s="3">
        <v>1</v>
      </c>
      <c r="D620" s="5">
        <v>22.13</v>
      </c>
      <c r="E620" s="3" t="s">
        <v>4074</v>
      </c>
      <c r="F620" s="2" t="s">
        <v>111</v>
      </c>
      <c r="G620" s="6" t="s">
        <v>181</v>
      </c>
      <c r="H620" s="2" t="s">
        <v>194</v>
      </c>
      <c r="I620" s="2" t="s">
        <v>580</v>
      </c>
      <c r="J620" s="2" t="s">
        <v>19</v>
      </c>
      <c r="K620" s="2" t="s">
        <v>1082</v>
      </c>
      <c r="L620" s="7" t="str">
        <f>HYPERLINK("http://slimages.macys.com/is/image/MCY/12035164 ")</f>
        <v xml:space="preserve">http://slimages.macys.com/is/image/MCY/12035164 </v>
      </c>
    </row>
    <row r="621" spans="1:12" ht="24.75" x14ac:dyDescent="0.25">
      <c r="A621" s="4" t="s">
        <v>11193</v>
      </c>
      <c r="B621" s="2" t="s">
        <v>9183</v>
      </c>
      <c r="C621" s="3">
        <v>1</v>
      </c>
      <c r="D621" s="5">
        <v>22.13</v>
      </c>
      <c r="E621" s="3" t="s">
        <v>11194</v>
      </c>
      <c r="F621" s="2" t="s">
        <v>998</v>
      </c>
      <c r="G621" s="6" t="s">
        <v>181</v>
      </c>
      <c r="H621" s="2" t="s">
        <v>194</v>
      </c>
      <c r="I621" s="2" t="s">
        <v>1766</v>
      </c>
      <c r="J621" s="2" t="s">
        <v>19</v>
      </c>
      <c r="K621" s="2" t="s">
        <v>1082</v>
      </c>
      <c r="L621" s="7" t="str">
        <f>HYPERLINK("http://slimages.macys.com/is/image/MCY/12794126 ")</f>
        <v xml:space="preserve">http://slimages.macys.com/is/image/MCY/12794126 </v>
      </c>
    </row>
    <row r="622" spans="1:12" ht="24.75" x14ac:dyDescent="0.25">
      <c r="A622" s="4" t="s">
        <v>8309</v>
      </c>
      <c r="B622" s="2" t="s">
        <v>1724</v>
      </c>
      <c r="C622" s="3">
        <v>1</v>
      </c>
      <c r="D622" s="5">
        <v>34.880000000000003</v>
      </c>
      <c r="E622" s="3">
        <v>100018041</v>
      </c>
      <c r="F622" s="2" t="s">
        <v>26</v>
      </c>
      <c r="G622" s="6" t="s">
        <v>112</v>
      </c>
      <c r="H622" s="2" t="s">
        <v>194</v>
      </c>
      <c r="I622" s="2" t="s">
        <v>195</v>
      </c>
      <c r="J622" s="2" t="s">
        <v>19</v>
      </c>
      <c r="K622" s="2" t="s">
        <v>353</v>
      </c>
      <c r="L622" s="7" t="str">
        <f>HYPERLINK("http://slimages.macys.com/is/image/MCY/12950342 ")</f>
        <v xml:space="preserve">http://slimages.macys.com/is/image/MCY/12950342 </v>
      </c>
    </row>
    <row r="623" spans="1:12" ht="24.75" x14ac:dyDescent="0.25">
      <c r="A623" s="4" t="s">
        <v>11195</v>
      </c>
      <c r="B623" s="2" t="s">
        <v>11196</v>
      </c>
      <c r="C623" s="3">
        <v>1</v>
      </c>
      <c r="D623" s="5">
        <v>19.989999999999998</v>
      </c>
      <c r="E623" s="3" t="s">
        <v>11197</v>
      </c>
      <c r="F623" s="2" t="s">
        <v>1322</v>
      </c>
      <c r="G623" s="6" t="s">
        <v>154</v>
      </c>
      <c r="H623" s="2" t="s">
        <v>1473</v>
      </c>
      <c r="I623" s="2" t="s">
        <v>1426</v>
      </c>
      <c r="J623" s="2" t="s">
        <v>19</v>
      </c>
      <c r="K623" s="2" t="s">
        <v>990</v>
      </c>
      <c r="L623" s="7" t="str">
        <f>HYPERLINK("http://slimages.macys.com/is/image/MCY/13303606 ")</f>
        <v xml:space="preserve">http://slimages.macys.com/is/image/MCY/13303606 </v>
      </c>
    </row>
    <row r="624" spans="1:12" ht="24.75" x14ac:dyDescent="0.25">
      <c r="A624" s="4" t="s">
        <v>11198</v>
      </c>
      <c r="B624" s="2" t="s">
        <v>1177</v>
      </c>
      <c r="C624" s="3">
        <v>1</v>
      </c>
      <c r="D624" s="5">
        <v>45</v>
      </c>
      <c r="E624" s="3" t="s">
        <v>1799</v>
      </c>
      <c r="F624" s="2" t="s">
        <v>74</v>
      </c>
      <c r="G624" s="6" t="s">
        <v>794</v>
      </c>
      <c r="H624" s="2" t="s">
        <v>447</v>
      </c>
      <c r="I624" s="2" t="s">
        <v>792</v>
      </c>
      <c r="J624" s="2" t="s">
        <v>19</v>
      </c>
      <c r="K624" s="2" t="s">
        <v>160</v>
      </c>
      <c r="L624" s="7" t="str">
        <f>HYPERLINK("http://slimages.macys.com/is/image/MCY/9533039 ")</f>
        <v xml:space="preserve">http://slimages.macys.com/is/image/MCY/9533039 </v>
      </c>
    </row>
    <row r="625" spans="1:12" ht="36.75" x14ac:dyDescent="0.25">
      <c r="A625" s="4" t="s">
        <v>11199</v>
      </c>
      <c r="B625" s="2" t="s">
        <v>6797</v>
      </c>
      <c r="C625" s="3">
        <v>1</v>
      </c>
      <c r="D625" s="5">
        <v>45</v>
      </c>
      <c r="E625" s="3" t="s">
        <v>6798</v>
      </c>
      <c r="F625" s="2" t="s">
        <v>94</v>
      </c>
      <c r="G625" s="6" t="s">
        <v>446</v>
      </c>
      <c r="H625" s="2" t="s">
        <v>447</v>
      </c>
      <c r="I625" s="2" t="s">
        <v>792</v>
      </c>
      <c r="J625" s="2" t="s">
        <v>19</v>
      </c>
      <c r="K625" s="2" t="s">
        <v>6799</v>
      </c>
      <c r="L625" s="7" t="str">
        <f>HYPERLINK("http://slimages.macys.com/is/image/MCY/12950031 ")</f>
        <v xml:space="preserve">http://slimages.macys.com/is/image/MCY/12950031 </v>
      </c>
    </row>
    <row r="626" spans="1:12" ht="24.75" x14ac:dyDescent="0.25">
      <c r="A626" s="4" t="s">
        <v>11200</v>
      </c>
      <c r="B626" s="2" t="s">
        <v>1177</v>
      </c>
      <c r="C626" s="3">
        <v>2</v>
      </c>
      <c r="D626" s="5">
        <v>45</v>
      </c>
      <c r="E626" s="3" t="s">
        <v>1799</v>
      </c>
      <c r="F626" s="2" t="s">
        <v>74</v>
      </c>
      <c r="G626" s="6" t="s">
        <v>791</v>
      </c>
      <c r="H626" s="2" t="s">
        <v>447</v>
      </c>
      <c r="I626" s="2" t="s">
        <v>792</v>
      </c>
      <c r="J626" s="2" t="s">
        <v>19</v>
      </c>
      <c r="K626" s="2" t="s">
        <v>160</v>
      </c>
      <c r="L626" s="7" t="str">
        <f>HYPERLINK("http://slimages.macys.com/is/image/MCY/9533039 ")</f>
        <v xml:space="preserve">http://slimages.macys.com/is/image/MCY/9533039 </v>
      </c>
    </row>
    <row r="627" spans="1:12" ht="24.75" x14ac:dyDescent="0.25">
      <c r="A627" s="4" t="s">
        <v>6801</v>
      </c>
      <c r="B627" s="2" t="s">
        <v>1801</v>
      </c>
      <c r="C627" s="3">
        <v>1</v>
      </c>
      <c r="D627" s="5">
        <v>21.5</v>
      </c>
      <c r="E627" s="3" t="s">
        <v>1802</v>
      </c>
      <c r="F627" s="2" t="s">
        <v>566</v>
      </c>
      <c r="G627" s="6"/>
      <c r="H627" s="2" t="s">
        <v>312</v>
      </c>
      <c r="I627" s="2" t="s">
        <v>580</v>
      </c>
      <c r="J627" s="2" t="s">
        <v>19</v>
      </c>
      <c r="K627" s="2" t="s">
        <v>1758</v>
      </c>
      <c r="L627" s="7" t="str">
        <f>HYPERLINK("http://slimages.macys.com/is/image/MCY/11515389 ")</f>
        <v xml:space="preserve">http://slimages.macys.com/is/image/MCY/11515389 </v>
      </c>
    </row>
    <row r="628" spans="1:12" ht="24.75" x14ac:dyDescent="0.25">
      <c r="A628" s="4" t="s">
        <v>4087</v>
      </c>
      <c r="B628" s="2" t="s">
        <v>1801</v>
      </c>
      <c r="C628" s="3">
        <v>1</v>
      </c>
      <c r="D628" s="5">
        <v>21.5</v>
      </c>
      <c r="E628" s="3" t="s">
        <v>1802</v>
      </c>
      <c r="F628" s="2" t="s">
        <v>566</v>
      </c>
      <c r="G628" s="6"/>
      <c r="H628" s="2" t="s">
        <v>312</v>
      </c>
      <c r="I628" s="2" t="s">
        <v>580</v>
      </c>
      <c r="J628" s="2" t="s">
        <v>19</v>
      </c>
      <c r="K628" s="2" t="s">
        <v>1758</v>
      </c>
      <c r="L628" s="7" t="str">
        <f>HYPERLINK("http://slimages.macys.com/is/image/MCY/11515389 ")</f>
        <v xml:space="preserve">http://slimages.macys.com/is/image/MCY/11515389 </v>
      </c>
    </row>
    <row r="629" spans="1:12" ht="24.75" x14ac:dyDescent="0.25">
      <c r="A629" s="4" t="s">
        <v>11201</v>
      </c>
      <c r="B629" s="2" t="s">
        <v>11202</v>
      </c>
      <c r="C629" s="3">
        <v>1</v>
      </c>
      <c r="D629" s="5">
        <v>19.989999999999998</v>
      </c>
      <c r="E629" s="3" t="s">
        <v>11203</v>
      </c>
      <c r="F629" s="2" t="s">
        <v>64</v>
      </c>
      <c r="G629" s="6" t="s">
        <v>181</v>
      </c>
      <c r="H629" s="2" t="s">
        <v>1473</v>
      </c>
      <c r="I629" s="2" t="s">
        <v>1426</v>
      </c>
      <c r="J629" s="2" t="s">
        <v>19</v>
      </c>
      <c r="K629" s="2" t="s">
        <v>495</v>
      </c>
      <c r="L629" s="7" t="str">
        <f>HYPERLINK("http://slimages.macys.com/is/image/MCY/13633097 ")</f>
        <v xml:space="preserve">http://slimages.macys.com/is/image/MCY/13633097 </v>
      </c>
    </row>
    <row r="630" spans="1:12" ht="24.75" x14ac:dyDescent="0.25">
      <c r="A630" s="4" t="s">
        <v>11204</v>
      </c>
      <c r="B630" s="2" t="s">
        <v>1808</v>
      </c>
      <c r="C630" s="3">
        <v>1</v>
      </c>
      <c r="D630" s="5">
        <v>22.13</v>
      </c>
      <c r="E630" s="3" t="s">
        <v>1809</v>
      </c>
      <c r="F630" s="2" t="s">
        <v>572</v>
      </c>
      <c r="G630" s="6"/>
      <c r="H630" s="2" t="s">
        <v>312</v>
      </c>
      <c r="I630" s="2" t="s">
        <v>580</v>
      </c>
      <c r="J630" s="2" t="s">
        <v>19</v>
      </c>
      <c r="K630" s="2" t="s">
        <v>1082</v>
      </c>
      <c r="L630" s="7" t="str">
        <f>HYPERLINK("http://slimages.macys.com/is/image/MCY/12950293 ")</f>
        <v xml:space="preserve">http://slimages.macys.com/is/image/MCY/12950293 </v>
      </c>
    </row>
    <row r="631" spans="1:12" ht="24.75" x14ac:dyDescent="0.25">
      <c r="A631" s="4" t="s">
        <v>1800</v>
      </c>
      <c r="B631" s="2" t="s">
        <v>1801</v>
      </c>
      <c r="C631" s="3">
        <v>1</v>
      </c>
      <c r="D631" s="5">
        <v>21.5</v>
      </c>
      <c r="E631" s="3" t="s">
        <v>1802</v>
      </c>
      <c r="F631" s="2" t="s">
        <v>566</v>
      </c>
      <c r="G631" s="6"/>
      <c r="H631" s="2" t="s">
        <v>312</v>
      </c>
      <c r="I631" s="2" t="s">
        <v>580</v>
      </c>
      <c r="J631" s="2" t="s">
        <v>19</v>
      </c>
      <c r="K631" s="2" t="s">
        <v>1758</v>
      </c>
      <c r="L631" s="7" t="str">
        <f>HYPERLINK("http://slimages.macys.com/is/image/MCY/11515389 ")</f>
        <v xml:space="preserve">http://slimages.macys.com/is/image/MCY/11515389 </v>
      </c>
    </row>
    <row r="632" spans="1:12" ht="24.75" x14ac:dyDescent="0.25">
      <c r="A632" s="4" t="s">
        <v>11205</v>
      </c>
      <c r="B632" s="2" t="s">
        <v>6094</v>
      </c>
      <c r="C632" s="3">
        <v>1</v>
      </c>
      <c r="D632" s="5">
        <v>19.989999999999998</v>
      </c>
      <c r="E632" s="3" t="s">
        <v>6095</v>
      </c>
      <c r="F632" s="2" t="s">
        <v>417</v>
      </c>
      <c r="G632" s="6" t="s">
        <v>181</v>
      </c>
      <c r="H632" s="2" t="s">
        <v>1522</v>
      </c>
      <c r="I632" s="2" t="s">
        <v>1469</v>
      </c>
      <c r="J632" s="2" t="s">
        <v>19</v>
      </c>
      <c r="K632" s="2" t="s">
        <v>495</v>
      </c>
      <c r="L632" s="7" t="str">
        <f>HYPERLINK("http://slimages.macys.com/is/image/MCY/9837435 ")</f>
        <v xml:space="preserve">http://slimages.macys.com/is/image/MCY/9837435 </v>
      </c>
    </row>
    <row r="633" spans="1:12" ht="24.75" x14ac:dyDescent="0.25">
      <c r="A633" s="4" t="s">
        <v>11206</v>
      </c>
      <c r="B633" s="2" t="s">
        <v>1820</v>
      </c>
      <c r="C633" s="3">
        <v>1</v>
      </c>
      <c r="D633" s="5">
        <v>17.989999999999998</v>
      </c>
      <c r="E633" s="3" t="s">
        <v>11207</v>
      </c>
      <c r="F633" s="2" t="s">
        <v>74</v>
      </c>
      <c r="G633" s="6" t="s">
        <v>156</v>
      </c>
      <c r="H633" s="2" t="s">
        <v>1473</v>
      </c>
      <c r="I633" s="2" t="s">
        <v>1426</v>
      </c>
      <c r="J633" s="2" t="s">
        <v>19</v>
      </c>
      <c r="K633" s="2" t="s">
        <v>803</v>
      </c>
      <c r="L633" s="7" t="str">
        <f>HYPERLINK("http://slimages.macys.com/is/image/MCY/12222536 ")</f>
        <v xml:space="preserve">http://slimages.macys.com/is/image/MCY/12222536 </v>
      </c>
    </row>
    <row r="634" spans="1:12" ht="24.75" x14ac:dyDescent="0.25">
      <c r="A634" s="4" t="s">
        <v>9188</v>
      </c>
      <c r="B634" s="2" t="s">
        <v>9189</v>
      </c>
      <c r="C634" s="3">
        <v>1</v>
      </c>
      <c r="D634" s="5">
        <v>17.989999999999998</v>
      </c>
      <c r="E634" s="3" t="s">
        <v>9190</v>
      </c>
      <c r="F634" s="2" t="s">
        <v>15</v>
      </c>
      <c r="G634" s="6" t="s">
        <v>219</v>
      </c>
      <c r="H634" s="2" t="s">
        <v>1425</v>
      </c>
      <c r="I634" s="2" t="s">
        <v>1426</v>
      </c>
      <c r="J634" s="2" t="s">
        <v>19</v>
      </c>
      <c r="K634" s="2" t="s">
        <v>107</v>
      </c>
      <c r="L634" s="7" t="str">
        <f>HYPERLINK("http://slimages.macys.com/is/image/MCY/11995580 ")</f>
        <v xml:space="preserve">http://slimages.macys.com/is/image/MCY/11995580 </v>
      </c>
    </row>
    <row r="635" spans="1:12" ht="24.75" x14ac:dyDescent="0.25">
      <c r="A635" s="4" t="s">
        <v>11208</v>
      </c>
      <c r="B635" s="2" t="s">
        <v>1820</v>
      </c>
      <c r="C635" s="3">
        <v>1</v>
      </c>
      <c r="D635" s="5">
        <v>17.989999999999998</v>
      </c>
      <c r="E635" s="3" t="s">
        <v>11207</v>
      </c>
      <c r="F635" s="2" t="s">
        <v>74</v>
      </c>
      <c r="G635" s="6" t="s">
        <v>181</v>
      </c>
      <c r="H635" s="2" t="s">
        <v>1473</v>
      </c>
      <c r="I635" s="2" t="s">
        <v>1426</v>
      </c>
      <c r="J635" s="2" t="s">
        <v>19</v>
      </c>
      <c r="K635" s="2" t="s">
        <v>803</v>
      </c>
      <c r="L635" s="7" t="str">
        <f>HYPERLINK("http://slimages.macys.com/is/image/MCY/12222536 ")</f>
        <v xml:space="preserve">http://slimages.macys.com/is/image/MCY/12222536 </v>
      </c>
    </row>
    <row r="636" spans="1:12" ht="24.75" x14ac:dyDescent="0.25">
      <c r="A636" s="4" t="s">
        <v>11209</v>
      </c>
      <c r="B636" s="2" t="s">
        <v>1820</v>
      </c>
      <c r="C636" s="3">
        <v>1</v>
      </c>
      <c r="D636" s="5">
        <v>17.989999999999998</v>
      </c>
      <c r="E636" s="3" t="s">
        <v>11207</v>
      </c>
      <c r="F636" s="2" t="s">
        <v>74</v>
      </c>
      <c r="G636" s="6" t="s">
        <v>245</v>
      </c>
      <c r="H636" s="2" t="s">
        <v>1473</v>
      </c>
      <c r="I636" s="2" t="s">
        <v>1426</v>
      </c>
      <c r="J636" s="2" t="s">
        <v>19</v>
      </c>
      <c r="K636" s="2" t="s">
        <v>803</v>
      </c>
      <c r="L636" s="7" t="str">
        <f>HYPERLINK("http://slimages.macys.com/is/image/MCY/12222536 ")</f>
        <v xml:space="preserve">http://slimages.macys.com/is/image/MCY/12222536 </v>
      </c>
    </row>
    <row r="637" spans="1:12" ht="24.75" x14ac:dyDescent="0.25">
      <c r="A637" s="4" t="s">
        <v>11210</v>
      </c>
      <c r="B637" s="2" t="s">
        <v>11211</v>
      </c>
      <c r="C637" s="3">
        <v>1</v>
      </c>
      <c r="D637" s="5">
        <v>19.989999999999998</v>
      </c>
      <c r="E637" s="3" t="s">
        <v>11212</v>
      </c>
      <c r="F637" s="2" t="s">
        <v>74</v>
      </c>
      <c r="G637" s="6" t="s">
        <v>181</v>
      </c>
      <c r="H637" s="2" t="s">
        <v>1473</v>
      </c>
      <c r="I637" s="2" t="s">
        <v>1426</v>
      </c>
      <c r="J637" s="2" t="s">
        <v>19</v>
      </c>
      <c r="K637" s="2" t="s">
        <v>495</v>
      </c>
      <c r="L637" s="7" t="str">
        <f>HYPERLINK("http://slimages.macys.com/is/image/MCY/15131665 ")</f>
        <v xml:space="preserve">http://slimages.macys.com/is/image/MCY/15131665 </v>
      </c>
    </row>
    <row r="638" spans="1:12" x14ac:dyDescent="0.25">
      <c r="A638" s="4" t="s">
        <v>11213</v>
      </c>
      <c r="B638" s="2" t="s">
        <v>6098</v>
      </c>
      <c r="C638" s="3">
        <v>2</v>
      </c>
      <c r="D638" s="5">
        <v>19.989999999999998</v>
      </c>
      <c r="E638" s="3" t="s">
        <v>11214</v>
      </c>
      <c r="F638" s="2" t="s">
        <v>464</v>
      </c>
      <c r="G638" s="6" t="s">
        <v>746</v>
      </c>
      <c r="H638" s="2" t="s">
        <v>349</v>
      </c>
      <c r="I638" s="2" t="s">
        <v>285</v>
      </c>
      <c r="J638" s="2" t="s">
        <v>19</v>
      </c>
      <c r="K638" s="2" t="s">
        <v>247</v>
      </c>
      <c r="L638" s="7" t="str">
        <f>HYPERLINK("http://slimages.macys.com/is/image/MCY/13934363 ")</f>
        <v xml:space="preserve">http://slimages.macys.com/is/image/MCY/13934363 </v>
      </c>
    </row>
    <row r="639" spans="1:12" ht="24.75" x14ac:dyDescent="0.25">
      <c r="A639" s="4" t="s">
        <v>3006</v>
      </c>
      <c r="B639" s="2" t="s">
        <v>1823</v>
      </c>
      <c r="C639" s="3">
        <v>1</v>
      </c>
      <c r="D639" s="5">
        <v>17.989999999999998</v>
      </c>
      <c r="E639" s="3" t="s">
        <v>3005</v>
      </c>
      <c r="F639" s="2" t="s">
        <v>1322</v>
      </c>
      <c r="G639" s="6" t="s">
        <v>245</v>
      </c>
      <c r="H639" s="2" t="s">
        <v>1473</v>
      </c>
      <c r="I639" s="2" t="s">
        <v>1426</v>
      </c>
      <c r="J639" s="2" t="s">
        <v>19</v>
      </c>
      <c r="K639" s="2" t="s">
        <v>495</v>
      </c>
      <c r="L639" s="7" t="str">
        <f>HYPERLINK("http://slimages.macys.com/is/image/MCY/11831305 ")</f>
        <v xml:space="preserve">http://slimages.macys.com/is/image/MCY/11831305 </v>
      </c>
    </row>
    <row r="640" spans="1:12" ht="24.75" x14ac:dyDescent="0.25">
      <c r="A640" s="4" t="s">
        <v>11215</v>
      </c>
      <c r="B640" s="2" t="s">
        <v>11216</v>
      </c>
      <c r="C640" s="3">
        <v>1</v>
      </c>
      <c r="D640" s="5">
        <v>22.13</v>
      </c>
      <c r="E640" s="3" t="s">
        <v>11217</v>
      </c>
      <c r="F640" s="2" t="s">
        <v>132</v>
      </c>
      <c r="G640" s="6" t="s">
        <v>181</v>
      </c>
      <c r="H640" s="2" t="s">
        <v>194</v>
      </c>
      <c r="I640" s="2" t="s">
        <v>195</v>
      </c>
      <c r="J640" s="2" t="s">
        <v>19</v>
      </c>
      <c r="K640" s="2" t="s">
        <v>1082</v>
      </c>
      <c r="L640" s="7" t="str">
        <f>HYPERLINK("http://slimages.macys.com/is/image/MCY/13316699 ")</f>
        <v xml:space="preserve">http://slimages.macys.com/is/image/MCY/13316699 </v>
      </c>
    </row>
    <row r="641" spans="1:12" ht="24.75" x14ac:dyDescent="0.25">
      <c r="A641" s="4" t="s">
        <v>11218</v>
      </c>
      <c r="B641" s="2" t="s">
        <v>1770</v>
      </c>
      <c r="C641" s="3">
        <v>1</v>
      </c>
      <c r="D641" s="5">
        <v>22.13</v>
      </c>
      <c r="E641" s="3" t="s">
        <v>11219</v>
      </c>
      <c r="F641" s="2" t="s">
        <v>74</v>
      </c>
      <c r="G641" s="6" t="s">
        <v>154</v>
      </c>
      <c r="H641" s="2" t="s">
        <v>194</v>
      </c>
      <c r="I641" s="2" t="s">
        <v>195</v>
      </c>
      <c r="J641" s="2" t="s">
        <v>19</v>
      </c>
      <c r="K641" s="2" t="s">
        <v>1082</v>
      </c>
      <c r="L641" s="7" t="str">
        <f>HYPERLINK("http://slimages.macys.com/is/image/MCY/13368059 ")</f>
        <v xml:space="preserve">http://slimages.macys.com/is/image/MCY/13368059 </v>
      </c>
    </row>
    <row r="642" spans="1:12" ht="24.75" x14ac:dyDescent="0.25">
      <c r="A642" s="4" t="s">
        <v>11220</v>
      </c>
      <c r="B642" s="2" t="s">
        <v>11221</v>
      </c>
      <c r="C642" s="3">
        <v>1</v>
      </c>
      <c r="D642" s="5">
        <v>19.989999999999998</v>
      </c>
      <c r="E642" s="3" t="s">
        <v>11222</v>
      </c>
      <c r="F642" s="2" t="s">
        <v>70</v>
      </c>
      <c r="G642" s="6" t="s">
        <v>154</v>
      </c>
      <c r="H642" s="2" t="s">
        <v>1473</v>
      </c>
      <c r="I642" s="2" t="s">
        <v>1426</v>
      </c>
      <c r="J642" s="2" t="s">
        <v>19</v>
      </c>
      <c r="K642" s="2" t="s">
        <v>495</v>
      </c>
      <c r="L642" s="7" t="str">
        <f>HYPERLINK("http://slimages.macys.com/is/image/MCY/15203696 ")</f>
        <v xml:space="preserve">http://slimages.macys.com/is/image/MCY/15203696 </v>
      </c>
    </row>
    <row r="643" spans="1:12" ht="24.75" x14ac:dyDescent="0.25">
      <c r="A643" s="4" t="s">
        <v>11223</v>
      </c>
      <c r="B643" s="2" t="s">
        <v>1770</v>
      </c>
      <c r="C643" s="3">
        <v>1</v>
      </c>
      <c r="D643" s="5">
        <v>22.13</v>
      </c>
      <c r="E643" s="3" t="s">
        <v>11219</v>
      </c>
      <c r="F643" s="2" t="s">
        <v>74</v>
      </c>
      <c r="G643" s="6" t="s">
        <v>156</v>
      </c>
      <c r="H643" s="2" t="s">
        <v>194</v>
      </c>
      <c r="I643" s="2" t="s">
        <v>195</v>
      </c>
      <c r="J643" s="2" t="s">
        <v>19</v>
      </c>
      <c r="K643" s="2" t="s">
        <v>1082</v>
      </c>
      <c r="L643" s="7" t="str">
        <f>HYPERLINK("http://slimages.macys.com/is/image/MCY/13368059 ")</f>
        <v xml:space="preserve">http://slimages.macys.com/is/image/MCY/13368059 </v>
      </c>
    </row>
    <row r="644" spans="1:12" ht="24.75" x14ac:dyDescent="0.25">
      <c r="A644" s="4" t="s">
        <v>11224</v>
      </c>
      <c r="B644" s="2" t="s">
        <v>1770</v>
      </c>
      <c r="C644" s="3">
        <v>1</v>
      </c>
      <c r="D644" s="5">
        <v>22.13</v>
      </c>
      <c r="E644" s="3" t="s">
        <v>11219</v>
      </c>
      <c r="F644" s="2" t="s">
        <v>74</v>
      </c>
      <c r="G644" s="6" t="s">
        <v>245</v>
      </c>
      <c r="H644" s="2" t="s">
        <v>194</v>
      </c>
      <c r="I644" s="2" t="s">
        <v>195</v>
      </c>
      <c r="J644" s="2" t="s">
        <v>19</v>
      </c>
      <c r="K644" s="2" t="s">
        <v>1082</v>
      </c>
      <c r="L644" s="7" t="str">
        <f>HYPERLINK("http://slimages.macys.com/is/image/MCY/13368059 ")</f>
        <v xml:space="preserve">http://slimages.macys.com/is/image/MCY/13368059 </v>
      </c>
    </row>
    <row r="645" spans="1:12" ht="24.75" x14ac:dyDescent="0.25">
      <c r="A645" s="4" t="s">
        <v>11225</v>
      </c>
      <c r="B645" s="2" t="s">
        <v>1826</v>
      </c>
      <c r="C645" s="3">
        <v>1</v>
      </c>
      <c r="D645" s="5">
        <v>17.989999999999998</v>
      </c>
      <c r="E645" s="3" t="s">
        <v>11226</v>
      </c>
      <c r="F645" s="2" t="s">
        <v>33</v>
      </c>
      <c r="G645" s="6" t="s">
        <v>181</v>
      </c>
      <c r="H645" s="2" t="s">
        <v>1473</v>
      </c>
      <c r="I645" s="2" t="s">
        <v>1426</v>
      </c>
      <c r="J645" s="2" t="s">
        <v>19</v>
      </c>
      <c r="K645" s="2" t="s">
        <v>990</v>
      </c>
      <c r="L645" s="7" t="str">
        <f>HYPERLINK("http://slimages.macys.com/is/image/MCY/12327249 ")</f>
        <v xml:space="preserve">http://slimages.macys.com/is/image/MCY/12327249 </v>
      </c>
    </row>
    <row r="646" spans="1:12" ht="24.75" x14ac:dyDescent="0.25">
      <c r="A646" s="4" t="s">
        <v>11227</v>
      </c>
      <c r="B646" s="2" t="s">
        <v>11228</v>
      </c>
      <c r="C646" s="3">
        <v>1</v>
      </c>
      <c r="D646" s="5">
        <v>19.989999999999998</v>
      </c>
      <c r="E646" s="3" t="s">
        <v>11229</v>
      </c>
      <c r="F646" s="2" t="s">
        <v>74</v>
      </c>
      <c r="G646" s="6" t="s">
        <v>234</v>
      </c>
      <c r="H646" s="2" t="s">
        <v>1473</v>
      </c>
      <c r="I646" s="2" t="s">
        <v>1426</v>
      </c>
      <c r="J646" s="2" t="s">
        <v>19</v>
      </c>
      <c r="K646" s="2" t="s">
        <v>107</v>
      </c>
      <c r="L646" s="7" t="str">
        <f>HYPERLINK("http://slimages.macys.com/is/image/MCY/14825434 ")</f>
        <v xml:space="preserve">http://slimages.macys.com/is/image/MCY/14825434 </v>
      </c>
    </row>
    <row r="647" spans="1:12" ht="24.75" x14ac:dyDescent="0.25">
      <c r="A647" s="4" t="s">
        <v>11230</v>
      </c>
      <c r="B647" s="2" t="s">
        <v>11231</v>
      </c>
      <c r="C647" s="3">
        <v>1</v>
      </c>
      <c r="D647" s="5">
        <v>19.989999999999998</v>
      </c>
      <c r="E647" s="3" t="s">
        <v>11232</v>
      </c>
      <c r="F647" s="2" t="s">
        <v>74</v>
      </c>
      <c r="G647" s="6" t="s">
        <v>234</v>
      </c>
      <c r="H647" s="2" t="s">
        <v>1473</v>
      </c>
      <c r="I647" s="2" t="s">
        <v>1426</v>
      </c>
      <c r="J647" s="2" t="s">
        <v>19</v>
      </c>
      <c r="K647" s="2" t="s">
        <v>107</v>
      </c>
      <c r="L647" s="7" t="str">
        <f>HYPERLINK("http://slimages.macys.com/is/image/MCY/15071323 ")</f>
        <v xml:space="preserve">http://slimages.macys.com/is/image/MCY/15071323 </v>
      </c>
    </row>
    <row r="648" spans="1:12" ht="24.75" x14ac:dyDescent="0.25">
      <c r="A648" s="4" t="s">
        <v>11233</v>
      </c>
      <c r="B648" s="2" t="s">
        <v>11234</v>
      </c>
      <c r="C648" s="3">
        <v>1</v>
      </c>
      <c r="D648" s="5">
        <v>19.989999999999998</v>
      </c>
      <c r="E648" s="3" t="s">
        <v>11235</v>
      </c>
      <c r="F648" s="2" t="s">
        <v>331</v>
      </c>
      <c r="G648" s="6" t="s">
        <v>181</v>
      </c>
      <c r="H648" s="2" t="s">
        <v>246</v>
      </c>
      <c r="I648" s="2" t="s">
        <v>1939</v>
      </c>
      <c r="J648" s="2" t="s">
        <v>19</v>
      </c>
      <c r="K648" s="2" t="s">
        <v>8329</v>
      </c>
      <c r="L648" s="7" t="str">
        <f>HYPERLINK("http://slimages.macys.com/is/image/MCY/12224937 ")</f>
        <v xml:space="preserve">http://slimages.macys.com/is/image/MCY/12224937 </v>
      </c>
    </row>
    <row r="649" spans="1:12" ht="24.75" x14ac:dyDescent="0.25">
      <c r="A649" s="4" t="s">
        <v>11236</v>
      </c>
      <c r="B649" s="2" t="s">
        <v>11237</v>
      </c>
      <c r="C649" s="3">
        <v>1</v>
      </c>
      <c r="D649" s="5">
        <v>19.989999999999998</v>
      </c>
      <c r="E649" s="3" t="s">
        <v>11238</v>
      </c>
      <c r="F649" s="2" t="s">
        <v>64</v>
      </c>
      <c r="G649" s="6" t="s">
        <v>181</v>
      </c>
      <c r="H649" s="2" t="s">
        <v>1473</v>
      </c>
      <c r="I649" s="2" t="s">
        <v>1426</v>
      </c>
      <c r="J649" s="2" t="s">
        <v>19</v>
      </c>
      <c r="K649" s="2" t="s">
        <v>990</v>
      </c>
      <c r="L649" s="7" t="str">
        <f>HYPERLINK("http://slimages.macys.com/is/image/MCY/14804873 ")</f>
        <v xml:space="preserve">http://slimages.macys.com/is/image/MCY/14804873 </v>
      </c>
    </row>
    <row r="650" spans="1:12" ht="24.75" x14ac:dyDescent="0.25">
      <c r="A650" s="4" t="s">
        <v>11239</v>
      </c>
      <c r="B650" s="2" t="s">
        <v>11240</v>
      </c>
      <c r="C650" s="3">
        <v>1</v>
      </c>
      <c r="D650" s="5">
        <v>19.989999999999998</v>
      </c>
      <c r="E650" s="3" t="s">
        <v>11241</v>
      </c>
      <c r="F650" s="2" t="s">
        <v>199</v>
      </c>
      <c r="G650" s="6" t="s">
        <v>154</v>
      </c>
      <c r="H650" s="2" t="s">
        <v>1473</v>
      </c>
      <c r="I650" s="2" t="s">
        <v>1426</v>
      </c>
      <c r="J650" s="2" t="s">
        <v>19</v>
      </c>
      <c r="K650" s="2" t="s">
        <v>648</v>
      </c>
      <c r="L650" s="7" t="str">
        <f>HYPERLINK("http://slimages.macys.com/is/image/MCY/14767751 ")</f>
        <v xml:space="preserve">http://slimages.macys.com/is/image/MCY/14767751 </v>
      </c>
    </row>
    <row r="651" spans="1:12" ht="24.75" x14ac:dyDescent="0.25">
      <c r="A651" s="4" t="s">
        <v>9764</v>
      </c>
      <c r="B651" s="2" t="s">
        <v>4128</v>
      </c>
      <c r="C651" s="3">
        <v>1</v>
      </c>
      <c r="D651" s="5">
        <v>19.989999999999998</v>
      </c>
      <c r="E651" s="3" t="s">
        <v>5153</v>
      </c>
      <c r="F651" s="2" t="s">
        <v>74</v>
      </c>
      <c r="G651" s="6" t="s">
        <v>154</v>
      </c>
      <c r="H651" s="2" t="s">
        <v>1473</v>
      </c>
      <c r="I651" s="2" t="s">
        <v>1426</v>
      </c>
      <c r="J651" s="2" t="s">
        <v>19</v>
      </c>
      <c r="K651" s="2" t="s">
        <v>1108</v>
      </c>
      <c r="L651" s="7" t="str">
        <f>HYPERLINK("http://slimages.macys.com/is/image/MCY/11831179 ")</f>
        <v xml:space="preserve">http://slimages.macys.com/is/image/MCY/11831179 </v>
      </c>
    </row>
    <row r="652" spans="1:12" ht="24.75" x14ac:dyDescent="0.25">
      <c r="A652" s="4" t="s">
        <v>11242</v>
      </c>
      <c r="B652" s="2" t="s">
        <v>11243</v>
      </c>
      <c r="C652" s="3">
        <v>1</v>
      </c>
      <c r="D652" s="5">
        <v>17.989999999999998</v>
      </c>
      <c r="E652" s="3" t="s">
        <v>11244</v>
      </c>
      <c r="F652" s="2" t="s">
        <v>1322</v>
      </c>
      <c r="G652" s="6" t="s">
        <v>181</v>
      </c>
      <c r="H652" s="2" t="s">
        <v>1473</v>
      </c>
      <c r="I652" s="2" t="s">
        <v>1426</v>
      </c>
      <c r="J652" s="2" t="s">
        <v>19</v>
      </c>
      <c r="K652" s="2" t="s">
        <v>648</v>
      </c>
      <c r="L652" s="7" t="str">
        <f>HYPERLINK("http://slimages.macys.com/is/image/MCY/11882664 ")</f>
        <v xml:space="preserve">http://slimages.macys.com/is/image/MCY/11882664 </v>
      </c>
    </row>
    <row r="653" spans="1:12" ht="24.75" x14ac:dyDescent="0.25">
      <c r="A653" s="4" t="s">
        <v>11245</v>
      </c>
      <c r="B653" s="2" t="s">
        <v>11246</v>
      </c>
      <c r="C653" s="3">
        <v>1</v>
      </c>
      <c r="D653" s="5">
        <v>19.989999999999998</v>
      </c>
      <c r="E653" s="3" t="s">
        <v>11247</v>
      </c>
      <c r="F653" s="2"/>
      <c r="G653" s="6" t="s">
        <v>154</v>
      </c>
      <c r="H653" s="2" t="s">
        <v>1473</v>
      </c>
      <c r="I653" s="2" t="s">
        <v>1426</v>
      </c>
      <c r="J653" s="2" t="s">
        <v>19</v>
      </c>
      <c r="K653" s="2" t="s">
        <v>495</v>
      </c>
      <c r="L653" s="7" t="str">
        <f>HYPERLINK("http://slimages.macys.com/is/image/MCY/13631250 ")</f>
        <v xml:space="preserve">http://slimages.macys.com/is/image/MCY/13631250 </v>
      </c>
    </row>
    <row r="654" spans="1:12" ht="24.75" x14ac:dyDescent="0.25">
      <c r="A654" s="4" t="s">
        <v>11248</v>
      </c>
      <c r="B654" s="2" t="s">
        <v>11249</v>
      </c>
      <c r="C654" s="3">
        <v>23</v>
      </c>
      <c r="D654" s="5">
        <v>19.989999999999998</v>
      </c>
      <c r="E654" s="3" t="s">
        <v>11250</v>
      </c>
      <c r="F654" s="2" t="s">
        <v>417</v>
      </c>
      <c r="G654" s="6" t="s">
        <v>181</v>
      </c>
      <c r="H654" s="2" t="s">
        <v>1473</v>
      </c>
      <c r="I654" s="2" t="s">
        <v>1426</v>
      </c>
      <c r="J654" s="2" t="s">
        <v>19</v>
      </c>
      <c r="K654" s="2" t="s">
        <v>648</v>
      </c>
      <c r="L654" s="7" t="str">
        <f>HYPERLINK("http://slimages.macys.com/is/image/MCY/13382842 ")</f>
        <v xml:space="preserve">http://slimages.macys.com/is/image/MCY/13382842 </v>
      </c>
    </row>
    <row r="655" spans="1:12" ht="24.75" x14ac:dyDescent="0.25">
      <c r="A655" s="4" t="s">
        <v>9758</v>
      </c>
      <c r="B655" s="2" t="s">
        <v>4128</v>
      </c>
      <c r="C655" s="3">
        <v>1</v>
      </c>
      <c r="D655" s="5">
        <v>19.989999999999998</v>
      </c>
      <c r="E655" s="3" t="s">
        <v>5153</v>
      </c>
      <c r="F655" s="2" t="s">
        <v>94</v>
      </c>
      <c r="G655" s="6" t="s">
        <v>234</v>
      </c>
      <c r="H655" s="2" t="s">
        <v>1473</v>
      </c>
      <c r="I655" s="2" t="s">
        <v>1426</v>
      </c>
      <c r="J655" s="2" t="s">
        <v>19</v>
      </c>
      <c r="K655" s="2" t="s">
        <v>1108</v>
      </c>
      <c r="L655" s="7" t="str">
        <f>HYPERLINK("http://slimages.macys.com/is/image/MCY/11831179 ")</f>
        <v xml:space="preserve">http://slimages.macys.com/is/image/MCY/11831179 </v>
      </c>
    </row>
    <row r="656" spans="1:12" ht="24.75" x14ac:dyDescent="0.25">
      <c r="A656" s="4" t="s">
        <v>11251</v>
      </c>
      <c r="B656" s="2" t="s">
        <v>11240</v>
      </c>
      <c r="C656" s="3">
        <v>1</v>
      </c>
      <c r="D656" s="5">
        <v>19.989999999999998</v>
      </c>
      <c r="E656" s="3" t="s">
        <v>11241</v>
      </c>
      <c r="F656" s="2" t="s">
        <v>199</v>
      </c>
      <c r="G656" s="6" t="s">
        <v>234</v>
      </c>
      <c r="H656" s="2" t="s">
        <v>1473</v>
      </c>
      <c r="I656" s="2" t="s">
        <v>1426</v>
      </c>
      <c r="J656" s="2" t="s">
        <v>19</v>
      </c>
      <c r="K656" s="2" t="s">
        <v>648</v>
      </c>
      <c r="L656" s="7" t="str">
        <f>HYPERLINK("http://slimages.macys.com/is/image/MCY/14767751 ")</f>
        <v xml:space="preserve">http://slimages.macys.com/is/image/MCY/14767751 </v>
      </c>
    </row>
    <row r="657" spans="1:12" ht="24.75" x14ac:dyDescent="0.25">
      <c r="A657" s="4" t="s">
        <v>11252</v>
      </c>
      <c r="B657" s="2" t="s">
        <v>11249</v>
      </c>
      <c r="C657" s="3">
        <v>1</v>
      </c>
      <c r="D657" s="5">
        <v>19.989999999999998</v>
      </c>
      <c r="E657" s="3" t="s">
        <v>11250</v>
      </c>
      <c r="F657" s="2" t="s">
        <v>74</v>
      </c>
      <c r="G657" s="6" t="s">
        <v>156</v>
      </c>
      <c r="H657" s="2" t="s">
        <v>1473</v>
      </c>
      <c r="I657" s="2" t="s">
        <v>1426</v>
      </c>
      <c r="J657" s="2" t="s">
        <v>19</v>
      </c>
      <c r="K657" s="2" t="s">
        <v>648</v>
      </c>
      <c r="L657" s="7" t="str">
        <f>HYPERLINK("http://slimages.macys.com/is/image/MCY/13382842 ")</f>
        <v xml:space="preserve">http://slimages.macys.com/is/image/MCY/13382842 </v>
      </c>
    </row>
    <row r="658" spans="1:12" ht="24.75" x14ac:dyDescent="0.25">
      <c r="A658" s="4" t="s">
        <v>11253</v>
      </c>
      <c r="B658" s="2" t="s">
        <v>11254</v>
      </c>
      <c r="C658" s="3">
        <v>1</v>
      </c>
      <c r="D658" s="5">
        <v>19.989999999999998</v>
      </c>
      <c r="E658" s="3" t="s">
        <v>11255</v>
      </c>
      <c r="F658" s="2" t="s">
        <v>74</v>
      </c>
      <c r="G658" s="6"/>
      <c r="H658" s="2" t="s">
        <v>1425</v>
      </c>
      <c r="I658" s="2" t="s">
        <v>1426</v>
      </c>
      <c r="J658" s="2" t="s">
        <v>19</v>
      </c>
      <c r="K658" s="2" t="s">
        <v>107</v>
      </c>
      <c r="L658" s="7" t="str">
        <f>HYPERLINK("http://slimages.macys.com/is/image/MCY/14825567 ")</f>
        <v xml:space="preserve">http://slimages.macys.com/is/image/MCY/14825567 </v>
      </c>
    </row>
    <row r="659" spans="1:12" ht="24.75" x14ac:dyDescent="0.25">
      <c r="A659" s="4" t="s">
        <v>11256</v>
      </c>
      <c r="B659" s="2" t="s">
        <v>11254</v>
      </c>
      <c r="C659" s="3">
        <v>1</v>
      </c>
      <c r="D659" s="5">
        <v>19.989999999999998</v>
      </c>
      <c r="E659" s="3" t="s">
        <v>11255</v>
      </c>
      <c r="F659" s="2" t="s">
        <v>74</v>
      </c>
      <c r="G659" s="6"/>
      <c r="H659" s="2" t="s">
        <v>1425</v>
      </c>
      <c r="I659" s="2" t="s">
        <v>1426</v>
      </c>
      <c r="J659" s="2" t="s">
        <v>19</v>
      </c>
      <c r="K659" s="2" t="s">
        <v>107</v>
      </c>
      <c r="L659" s="7" t="str">
        <f>HYPERLINK("http://slimages.macys.com/is/image/MCY/14825567 ")</f>
        <v xml:space="preserve">http://slimages.macys.com/is/image/MCY/14825567 </v>
      </c>
    </row>
    <row r="660" spans="1:12" ht="24.75" x14ac:dyDescent="0.25">
      <c r="A660" s="4" t="s">
        <v>11257</v>
      </c>
      <c r="B660" s="2" t="s">
        <v>11254</v>
      </c>
      <c r="C660" s="3">
        <v>3</v>
      </c>
      <c r="D660" s="5">
        <v>19.989999999999998</v>
      </c>
      <c r="E660" s="3" t="s">
        <v>11255</v>
      </c>
      <c r="F660" s="2" t="s">
        <v>74</v>
      </c>
      <c r="G660" s="6"/>
      <c r="H660" s="2" t="s">
        <v>1425</v>
      </c>
      <c r="I660" s="2" t="s">
        <v>1426</v>
      </c>
      <c r="J660" s="2" t="s">
        <v>19</v>
      </c>
      <c r="K660" s="2" t="s">
        <v>107</v>
      </c>
      <c r="L660" s="7" t="str">
        <f>HYPERLINK("http://slimages.macys.com/is/image/MCY/14825567 ")</f>
        <v xml:space="preserve">http://slimages.macys.com/is/image/MCY/14825567 </v>
      </c>
    </row>
    <row r="661" spans="1:12" ht="24.75" x14ac:dyDescent="0.25">
      <c r="A661" s="4" t="s">
        <v>11258</v>
      </c>
      <c r="B661" s="2" t="s">
        <v>11259</v>
      </c>
      <c r="C661" s="3">
        <v>1</v>
      </c>
      <c r="D661" s="5">
        <v>19.989999999999998</v>
      </c>
      <c r="E661" s="3" t="s">
        <v>11260</v>
      </c>
      <c r="F661" s="2" t="s">
        <v>132</v>
      </c>
      <c r="G661" s="6" t="s">
        <v>156</v>
      </c>
      <c r="H661" s="2" t="s">
        <v>1473</v>
      </c>
      <c r="I661" s="2" t="s">
        <v>1426</v>
      </c>
      <c r="J661" s="2" t="s">
        <v>19</v>
      </c>
      <c r="K661" s="2" t="s">
        <v>990</v>
      </c>
      <c r="L661" s="7" t="str">
        <f>HYPERLINK("http://slimages.macys.com/is/image/MCY/14787448 ")</f>
        <v xml:space="preserve">http://slimages.macys.com/is/image/MCY/14787448 </v>
      </c>
    </row>
    <row r="662" spans="1:12" ht="24.75" x14ac:dyDescent="0.25">
      <c r="A662" s="4" t="s">
        <v>6109</v>
      </c>
      <c r="B662" s="2" t="s">
        <v>1833</v>
      </c>
      <c r="C662" s="3">
        <v>1</v>
      </c>
      <c r="D662" s="5">
        <v>14.99</v>
      </c>
      <c r="E662" s="3" t="s">
        <v>6110</v>
      </c>
      <c r="F662" s="2" t="s">
        <v>101</v>
      </c>
      <c r="G662" s="6" t="s">
        <v>154</v>
      </c>
      <c r="H662" s="2" t="s">
        <v>194</v>
      </c>
      <c r="I662" s="2" t="s">
        <v>307</v>
      </c>
      <c r="J662" s="2" t="s">
        <v>19</v>
      </c>
      <c r="K662" s="2" t="s">
        <v>34</v>
      </c>
      <c r="L662" s="7" t="str">
        <f>HYPERLINK("http://slimages.macys.com/is/image/MCY/11515395 ")</f>
        <v xml:space="preserve">http://slimages.macys.com/is/image/MCY/11515395 </v>
      </c>
    </row>
    <row r="663" spans="1:12" ht="24.75" x14ac:dyDescent="0.25">
      <c r="A663" s="4" t="s">
        <v>11261</v>
      </c>
      <c r="B663" s="2" t="s">
        <v>1833</v>
      </c>
      <c r="C663" s="3">
        <v>1</v>
      </c>
      <c r="D663" s="5">
        <v>14.99</v>
      </c>
      <c r="E663" s="3" t="s">
        <v>6110</v>
      </c>
      <c r="F663" s="2" t="s">
        <v>101</v>
      </c>
      <c r="G663" s="6" t="s">
        <v>181</v>
      </c>
      <c r="H663" s="2" t="s">
        <v>194</v>
      </c>
      <c r="I663" s="2" t="s">
        <v>307</v>
      </c>
      <c r="J663" s="2" t="s">
        <v>19</v>
      </c>
      <c r="K663" s="2" t="s">
        <v>34</v>
      </c>
      <c r="L663" s="7" t="str">
        <f>HYPERLINK("http://slimages.macys.com/is/image/MCY/11515395 ")</f>
        <v xml:space="preserve">http://slimages.macys.com/is/image/MCY/11515395 </v>
      </c>
    </row>
    <row r="664" spans="1:12" ht="24.75" x14ac:dyDescent="0.25">
      <c r="A664" s="4" t="s">
        <v>9772</v>
      </c>
      <c r="B664" s="2" t="s">
        <v>1833</v>
      </c>
      <c r="C664" s="3">
        <v>1</v>
      </c>
      <c r="D664" s="5">
        <v>14.99</v>
      </c>
      <c r="E664" s="3" t="s">
        <v>6110</v>
      </c>
      <c r="F664" s="2" t="s">
        <v>101</v>
      </c>
      <c r="G664" s="6" t="s">
        <v>156</v>
      </c>
      <c r="H664" s="2" t="s">
        <v>194</v>
      </c>
      <c r="I664" s="2" t="s">
        <v>307</v>
      </c>
      <c r="J664" s="2" t="s">
        <v>19</v>
      </c>
      <c r="K664" s="2" t="s">
        <v>34</v>
      </c>
      <c r="L664" s="7" t="str">
        <f>HYPERLINK("http://slimages.macys.com/is/image/MCY/11515395 ")</f>
        <v xml:space="preserve">http://slimages.macys.com/is/image/MCY/11515395 </v>
      </c>
    </row>
    <row r="665" spans="1:12" ht="24.75" x14ac:dyDescent="0.25">
      <c r="A665" s="4" t="s">
        <v>11262</v>
      </c>
      <c r="B665" s="2" t="s">
        <v>1833</v>
      </c>
      <c r="C665" s="3">
        <v>1</v>
      </c>
      <c r="D665" s="5">
        <v>14.99</v>
      </c>
      <c r="E665" s="3" t="s">
        <v>11263</v>
      </c>
      <c r="F665" s="2" t="s">
        <v>74</v>
      </c>
      <c r="G665" s="6" t="s">
        <v>234</v>
      </c>
      <c r="H665" s="2" t="s">
        <v>194</v>
      </c>
      <c r="I665" s="2" t="s">
        <v>307</v>
      </c>
      <c r="J665" s="2" t="s">
        <v>19</v>
      </c>
      <c r="K665" s="2" t="s">
        <v>34</v>
      </c>
      <c r="L665" s="7" t="str">
        <f>HYPERLINK("http://slimages.macys.com/is/image/MCY/13368055 ")</f>
        <v xml:space="preserve">http://slimages.macys.com/is/image/MCY/13368055 </v>
      </c>
    </row>
    <row r="666" spans="1:12" ht="24.75" x14ac:dyDescent="0.25">
      <c r="A666" s="4" t="s">
        <v>11264</v>
      </c>
      <c r="B666" s="2" t="s">
        <v>11265</v>
      </c>
      <c r="C666" s="3">
        <v>1</v>
      </c>
      <c r="D666" s="5">
        <v>14.99</v>
      </c>
      <c r="E666" s="3" t="s">
        <v>11266</v>
      </c>
      <c r="F666" s="2" t="s">
        <v>413</v>
      </c>
      <c r="G666" s="6" t="s">
        <v>154</v>
      </c>
      <c r="H666" s="2" t="s">
        <v>194</v>
      </c>
      <c r="I666" s="2" t="s">
        <v>307</v>
      </c>
      <c r="J666" s="2" t="s">
        <v>19</v>
      </c>
      <c r="K666" s="2" t="s">
        <v>34</v>
      </c>
      <c r="L666" s="7" t="str">
        <f>HYPERLINK("http://slimages.macys.com/is/image/MCY/12794148 ")</f>
        <v xml:space="preserve">http://slimages.macys.com/is/image/MCY/12794148 </v>
      </c>
    </row>
    <row r="667" spans="1:12" ht="24.75" x14ac:dyDescent="0.25">
      <c r="A667" s="4" t="s">
        <v>11267</v>
      </c>
      <c r="B667" s="2" t="s">
        <v>1829</v>
      </c>
      <c r="C667" s="3">
        <v>1</v>
      </c>
      <c r="D667" s="5">
        <v>14.99</v>
      </c>
      <c r="E667" s="3" t="s">
        <v>11268</v>
      </c>
      <c r="F667" s="2"/>
      <c r="G667" s="6" t="s">
        <v>156</v>
      </c>
      <c r="H667" s="2" t="s">
        <v>194</v>
      </c>
      <c r="I667" s="2" t="s">
        <v>307</v>
      </c>
      <c r="J667" s="2" t="s">
        <v>19</v>
      </c>
      <c r="K667" s="2" t="s">
        <v>34</v>
      </c>
      <c r="L667" s="7" t="str">
        <f>HYPERLINK("http://slimages.macys.com/is/image/MCY/11337529 ")</f>
        <v xml:space="preserve">http://slimages.macys.com/is/image/MCY/11337529 </v>
      </c>
    </row>
    <row r="668" spans="1:12" ht="24.75" x14ac:dyDescent="0.25">
      <c r="A668" s="4" t="s">
        <v>11269</v>
      </c>
      <c r="B668" s="2" t="s">
        <v>1833</v>
      </c>
      <c r="C668" s="3">
        <v>1</v>
      </c>
      <c r="D668" s="5">
        <v>14.99</v>
      </c>
      <c r="E668" s="3" t="s">
        <v>11270</v>
      </c>
      <c r="F668" s="2" t="s">
        <v>752</v>
      </c>
      <c r="G668" s="6" t="s">
        <v>234</v>
      </c>
      <c r="H668" s="2" t="s">
        <v>194</v>
      </c>
      <c r="I668" s="2" t="s">
        <v>307</v>
      </c>
      <c r="J668" s="2" t="s">
        <v>19</v>
      </c>
      <c r="K668" s="2" t="s">
        <v>34</v>
      </c>
      <c r="L668" s="7" t="str">
        <f>HYPERLINK("http://slimages.macys.com/is/image/MCY/12318420 ")</f>
        <v xml:space="preserve">http://slimages.macys.com/is/image/MCY/12318420 </v>
      </c>
    </row>
    <row r="669" spans="1:12" ht="24.75" x14ac:dyDescent="0.25">
      <c r="A669" s="4" t="s">
        <v>11271</v>
      </c>
      <c r="B669" s="2" t="s">
        <v>11272</v>
      </c>
      <c r="C669" s="3">
        <v>1</v>
      </c>
      <c r="D669" s="5">
        <v>19.989999999999998</v>
      </c>
      <c r="E669" s="3" t="s">
        <v>11273</v>
      </c>
      <c r="F669" s="2" t="s">
        <v>417</v>
      </c>
      <c r="G669" s="6" t="s">
        <v>219</v>
      </c>
      <c r="H669" s="2" t="s">
        <v>1425</v>
      </c>
      <c r="I669" s="2" t="s">
        <v>1426</v>
      </c>
      <c r="J669" s="2" t="s">
        <v>19</v>
      </c>
      <c r="K669" s="2" t="s">
        <v>107</v>
      </c>
      <c r="L669" s="7" t="str">
        <f>HYPERLINK("http://slimages.macys.com/is/image/MCY/14825102 ")</f>
        <v xml:space="preserve">http://slimages.macys.com/is/image/MCY/14825102 </v>
      </c>
    </row>
    <row r="670" spans="1:12" ht="24.75" x14ac:dyDescent="0.25">
      <c r="A670" s="4" t="s">
        <v>11274</v>
      </c>
      <c r="B670" s="2" t="s">
        <v>11272</v>
      </c>
      <c r="C670" s="3">
        <v>2</v>
      </c>
      <c r="D670" s="5">
        <v>19.989999999999998</v>
      </c>
      <c r="E670" s="3" t="s">
        <v>11273</v>
      </c>
      <c r="F670" s="2" t="s">
        <v>417</v>
      </c>
      <c r="G670" s="6"/>
      <c r="H670" s="2" t="s">
        <v>1425</v>
      </c>
      <c r="I670" s="2" t="s">
        <v>1426</v>
      </c>
      <c r="J670" s="2" t="s">
        <v>19</v>
      </c>
      <c r="K670" s="2" t="s">
        <v>107</v>
      </c>
      <c r="L670" s="7" t="str">
        <f>HYPERLINK("http://slimages.macys.com/is/image/MCY/14825102 ")</f>
        <v xml:space="preserve">http://slimages.macys.com/is/image/MCY/14825102 </v>
      </c>
    </row>
    <row r="671" spans="1:12" ht="24.75" x14ac:dyDescent="0.25">
      <c r="A671" s="4" t="s">
        <v>11275</v>
      </c>
      <c r="B671" s="2" t="s">
        <v>11272</v>
      </c>
      <c r="C671" s="3">
        <v>1</v>
      </c>
      <c r="D671" s="5">
        <v>19.989999999999998</v>
      </c>
      <c r="E671" s="3" t="s">
        <v>11273</v>
      </c>
      <c r="F671" s="2" t="s">
        <v>417</v>
      </c>
      <c r="G671" s="6"/>
      <c r="H671" s="2" t="s">
        <v>1425</v>
      </c>
      <c r="I671" s="2" t="s">
        <v>1426</v>
      </c>
      <c r="J671" s="2" t="s">
        <v>19</v>
      </c>
      <c r="K671" s="2" t="s">
        <v>107</v>
      </c>
      <c r="L671" s="7" t="str">
        <f>HYPERLINK("http://slimages.macys.com/is/image/MCY/14825102 ")</f>
        <v xml:space="preserve">http://slimages.macys.com/is/image/MCY/14825102 </v>
      </c>
    </row>
    <row r="672" spans="1:12" ht="24.75" x14ac:dyDescent="0.25">
      <c r="A672" s="4" t="s">
        <v>11276</v>
      </c>
      <c r="B672" s="2" t="s">
        <v>11272</v>
      </c>
      <c r="C672" s="3">
        <v>1</v>
      </c>
      <c r="D672" s="5">
        <v>19.989999999999998</v>
      </c>
      <c r="E672" s="3" t="s">
        <v>11277</v>
      </c>
      <c r="F672" s="2" t="s">
        <v>417</v>
      </c>
      <c r="G672" s="6" t="s">
        <v>181</v>
      </c>
      <c r="H672" s="2" t="s">
        <v>1473</v>
      </c>
      <c r="I672" s="2" t="s">
        <v>1426</v>
      </c>
      <c r="J672" s="2" t="s">
        <v>19</v>
      </c>
      <c r="K672" s="2" t="s">
        <v>107</v>
      </c>
      <c r="L672" s="7" t="str">
        <f>HYPERLINK("http://slimages.macys.com/is/image/MCY/14825102 ")</f>
        <v xml:space="preserve">http://slimages.macys.com/is/image/MCY/14825102 </v>
      </c>
    </row>
    <row r="673" spans="1:12" ht="24.75" x14ac:dyDescent="0.25">
      <c r="A673" s="4" t="s">
        <v>11278</v>
      </c>
      <c r="B673" s="2" t="s">
        <v>11279</v>
      </c>
      <c r="C673" s="3">
        <v>1</v>
      </c>
      <c r="D673" s="5">
        <v>19.989999999999998</v>
      </c>
      <c r="E673" s="3" t="s">
        <v>11280</v>
      </c>
      <c r="F673" s="2" t="s">
        <v>417</v>
      </c>
      <c r="G673" s="6" t="s">
        <v>181</v>
      </c>
      <c r="H673" s="2" t="s">
        <v>1473</v>
      </c>
      <c r="I673" s="2" t="s">
        <v>1426</v>
      </c>
      <c r="J673" s="2" t="s">
        <v>19</v>
      </c>
      <c r="K673" s="2" t="s">
        <v>107</v>
      </c>
      <c r="L673" s="7" t="str">
        <f>HYPERLINK("http://slimages.macys.com/is/image/MCY/14825689 ")</f>
        <v xml:space="preserve">http://slimages.macys.com/is/image/MCY/14825689 </v>
      </c>
    </row>
    <row r="674" spans="1:12" ht="24.75" x14ac:dyDescent="0.25">
      <c r="A674" s="4" t="s">
        <v>1861</v>
      </c>
      <c r="B674" s="2" t="s">
        <v>1862</v>
      </c>
      <c r="C674" s="3">
        <v>1</v>
      </c>
      <c r="D674" s="5">
        <v>20.99</v>
      </c>
      <c r="E674" s="3" t="s">
        <v>1863</v>
      </c>
      <c r="F674" s="2" t="s">
        <v>15</v>
      </c>
      <c r="G674" s="6"/>
      <c r="H674" s="2" t="s">
        <v>1425</v>
      </c>
      <c r="I674" s="2" t="s">
        <v>1864</v>
      </c>
      <c r="J674" s="2" t="s">
        <v>19</v>
      </c>
      <c r="K674" s="2" t="s">
        <v>648</v>
      </c>
      <c r="L674" s="7" t="str">
        <f>HYPERLINK("http://slimages.macys.com/is/image/MCY/12267103 ")</f>
        <v xml:space="preserve">http://slimages.macys.com/is/image/MCY/12267103 </v>
      </c>
    </row>
    <row r="675" spans="1:12" ht="24.75" x14ac:dyDescent="0.25">
      <c r="A675" s="4" t="s">
        <v>3046</v>
      </c>
      <c r="B675" s="2" t="s">
        <v>1862</v>
      </c>
      <c r="C675" s="3">
        <v>1</v>
      </c>
      <c r="D675" s="5">
        <v>20.99</v>
      </c>
      <c r="E675" s="3" t="s">
        <v>1868</v>
      </c>
      <c r="F675" s="2" t="s">
        <v>998</v>
      </c>
      <c r="G675" s="6" t="s">
        <v>154</v>
      </c>
      <c r="H675" s="2" t="s">
        <v>1473</v>
      </c>
      <c r="I675" s="2" t="s">
        <v>1864</v>
      </c>
      <c r="J675" s="2" t="s">
        <v>19</v>
      </c>
      <c r="K675" s="2" t="s">
        <v>648</v>
      </c>
      <c r="L675" s="7" t="str">
        <f>HYPERLINK("http://slimages.macys.com/is/image/MCY/12267099 ")</f>
        <v xml:space="preserve">http://slimages.macys.com/is/image/MCY/12267099 </v>
      </c>
    </row>
    <row r="676" spans="1:12" ht="24.75" x14ac:dyDescent="0.25">
      <c r="A676" s="4" t="s">
        <v>11281</v>
      </c>
      <c r="B676" s="2" t="s">
        <v>1862</v>
      </c>
      <c r="C676" s="3">
        <v>1</v>
      </c>
      <c r="D676" s="5">
        <v>20.99</v>
      </c>
      <c r="E676" s="3" t="s">
        <v>1863</v>
      </c>
      <c r="F676" s="2" t="s">
        <v>70</v>
      </c>
      <c r="G676" s="6" t="s">
        <v>219</v>
      </c>
      <c r="H676" s="2" t="s">
        <v>1425</v>
      </c>
      <c r="I676" s="2" t="s">
        <v>1864</v>
      </c>
      <c r="J676" s="2" t="s">
        <v>19</v>
      </c>
      <c r="K676" s="2" t="s">
        <v>648</v>
      </c>
      <c r="L676" s="7" t="str">
        <f>HYPERLINK("http://slimages.macys.com/is/image/MCY/12267103 ")</f>
        <v xml:space="preserve">http://slimages.macys.com/is/image/MCY/12267103 </v>
      </c>
    </row>
    <row r="677" spans="1:12" ht="24.75" x14ac:dyDescent="0.25">
      <c r="A677" s="4" t="s">
        <v>11282</v>
      </c>
      <c r="B677" s="2" t="s">
        <v>1862</v>
      </c>
      <c r="C677" s="3">
        <v>1</v>
      </c>
      <c r="D677" s="5">
        <v>20.99</v>
      </c>
      <c r="E677" s="3" t="s">
        <v>1863</v>
      </c>
      <c r="F677" s="2" t="s">
        <v>252</v>
      </c>
      <c r="G677" s="6"/>
      <c r="H677" s="2" t="s">
        <v>1425</v>
      </c>
      <c r="I677" s="2" t="s">
        <v>1864</v>
      </c>
      <c r="J677" s="2" t="s">
        <v>19</v>
      </c>
      <c r="K677" s="2" t="s">
        <v>648</v>
      </c>
      <c r="L677" s="7" t="str">
        <f>HYPERLINK("http://slimages.macys.com/is/image/MCY/12267103 ")</f>
        <v xml:space="preserve">http://slimages.macys.com/is/image/MCY/12267103 </v>
      </c>
    </row>
    <row r="678" spans="1:12" ht="24.75" x14ac:dyDescent="0.25">
      <c r="A678" s="4" t="s">
        <v>11283</v>
      </c>
      <c r="B678" s="2" t="s">
        <v>11284</v>
      </c>
      <c r="C678" s="3">
        <v>1</v>
      </c>
      <c r="D678" s="5">
        <v>17.989999999999998</v>
      </c>
      <c r="E678" s="3" t="s">
        <v>11285</v>
      </c>
      <c r="F678" s="2" t="s">
        <v>33</v>
      </c>
      <c r="G678" s="6" t="s">
        <v>234</v>
      </c>
      <c r="H678" s="2" t="s">
        <v>1473</v>
      </c>
      <c r="I678" s="2" t="s">
        <v>1426</v>
      </c>
      <c r="J678" s="2" t="s">
        <v>19</v>
      </c>
      <c r="K678" s="2" t="s">
        <v>648</v>
      </c>
      <c r="L678" s="7" t="str">
        <f>HYPERLINK("http://slimages.macys.com/is/image/MCY/11635073 ")</f>
        <v xml:space="preserve">http://slimages.macys.com/is/image/MCY/11635073 </v>
      </c>
    </row>
    <row r="679" spans="1:12" ht="24.75" x14ac:dyDescent="0.25">
      <c r="A679" s="4" t="s">
        <v>11286</v>
      </c>
      <c r="B679" s="2" t="s">
        <v>1873</v>
      </c>
      <c r="C679" s="3">
        <v>1</v>
      </c>
      <c r="D679" s="5">
        <v>17.989999999999998</v>
      </c>
      <c r="E679" s="3" t="s">
        <v>2123</v>
      </c>
      <c r="F679" s="2" t="s">
        <v>33</v>
      </c>
      <c r="G679" s="6" t="s">
        <v>154</v>
      </c>
      <c r="H679" s="2" t="s">
        <v>1522</v>
      </c>
      <c r="I679" s="2" t="s">
        <v>1469</v>
      </c>
      <c r="J679" s="2" t="s">
        <v>19</v>
      </c>
      <c r="K679" s="2" t="s">
        <v>495</v>
      </c>
      <c r="L679" s="7" t="str">
        <f>HYPERLINK("http://slimages.macys.com/is/image/MCY/11690386 ")</f>
        <v xml:space="preserve">http://slimages.macys.com/is/image/MCY/11690386 </v>
      </c>
    </row>
    <row r="680" spans="1:12" ht="24.75" x14ac:dyDescent="0.25">
      <c r="A680" s="4" t="s">
        <v>11287</v>
      </c>
      <c r="B680" s="2" t="s">
        <v>11288</v>
      </c>
      <c r="C680" s="3">
        <v>1</v>
      </c>
      <c r="D680" s="5">
        <v>19.989999999999998</v>
      </c>
      <c r="E680" s="3" t="s">
        <v>11289</v>
      </c>
      <c r="F680" s="2" t="s">
        <v>74</v>
      </c>
      <c r="G680" s="6" t="s">
        <v>181</v>
      </c>
      <c r="H680" s="2" t="s">
        <v>1473</v>
      </c>
      <c r="I680" s="2" t="s">
        <v>1426</v>
      </c>
      <c r="J680" s="2" t="s">
        <v>19</v>
      </c>
      <c r="K680" s="2" t="s">
        <v>107</v>
      </c>
      <c r="L680" s="7" t="str">
        <f>HYPERLINK("http://slimages.macys.com/is/image/MCY/14825092 ")</f>
        <v xml:space="preserve">http://slimages.macys.com/is/image/MCY/14825092 </v>
      </c>
    </row>
    <row r="681" spans="1:12" ht="24.75" x14ac:dyDescent="0.25">
      <c r="A681" s="4" t="s">
        <v>11290</v>
      </c>
      <c r="B681" s="2" t="s">
        <v>11291</v>
      </c>
      <c r="C681" s="3">
        <v>1</v>
      </c>
      <c r="D681" s="5">
        <v>19.989999999999998</v>
      </c>
      <c r="E681" s="3" t="s">
        <v>11292</v>
      </c>
      <c r="F681" s="2" t="s">
        <v>1322</v>
      </c>
      <c r="G681" s="6" t="s">
        <v>154</v>
      </c>
      <c r="H681" s="2" t="s">
        <v>1473</v>
      </c>
      <c r="I681" s="2" t="s">
        <v>1426</v>
      </c>
      <c r="J681" s="2" t="s">
        <v>19</v>
      </c>
      <c r="K681" s="2" t="s">
        <v>648</v>
      </c>
      <c r="L681" s="7" t="str">
        <f>HYPERLINK("http://slimages.macys.com/is/image/MCY/14769961 ")</f>
        <v xml:space="preserve">http://slimages.macys.com/is/image/MCY/14769961 </v>
      </c>
    </row>
    <row r="682" spans="1:12" ht="24.75" x14ac:dyDescent="0.25">
      <c r="A682" s="4" t="s">
        <v>11293</v>
      </c>
      <c r="B682" s="2" t="s">
        <v>11288</v>
      </c>
      <c r="C682" s="3">
        <v>1</v>
      </c>
      <c r="D682" s="5">
        <v>19.989999999999998</v>
      </c>
      <c r="E682" s="3" t="s">
        <v>11289</v>
      </c>
      <c r="F682" s="2" t="s">
        <v>70</v>
      </c>
      <c r="G682" s="6" t="s">
        <v>181</v>
      </c>
      <c r="H682" s="2" t="s">
        <v>1473</v>
      </c>
      <c r="I682" s="2" t="s">
        <v>1426</v>
      </c>
      <c r="J682" s="2" t="s">
        <v>19</v>
      </c>
      <c r="K682" s="2" t="s">
        <v>107</v>
      </c>
      <c r="L682" s="7" t="str">
        <f>HYPERLINK("http://slimages.macys.com/is/image/MCY/14825092 ")</f>
        <v xml:space="preserve">http://slimages.macys.com/is/image/MCY/14825092 </v>
      </c>
    </row>
    <row r="683" spans="1:12" ht="24.75" x14ac:dyDescent="0.25">
      <c r="A683" s="4" t="s">
        <v>11294</v>
      </c>
      <c r="B683" s="2" t="s">
        <v>11295</v>
      </c>
      <c r="C683" s="3">
        <v>2</v>
      </c>
      <c r="D683" s="5">
        <v>19.989999999999998</v>
      </c>
      <c r="E683" s="3" t="s">
        <v>11296</v>
      </c>
      <c r="F683" s="2" t="s">
        <v>417</v>
      </c>
      <c r="G683" s="6" t="s">
        <v>234</v>
      </c>
      <c r="H683" s="2" t="s">
        <v>1473</v>
      </c>
      <c r="I683" s="2" t="s">
        <v>1426</v>
      </c>
      <c r="J683" s="2" t="s">
        <v>19</v>
      </c>
      <c r="K683" s="2" t="s">
        <v>107</v>
      </c>
      <c r="L683" s="7" t="str">
        <f>HYPERLINK("http://slimages.macys.com/is/image/MCY/15071145 ")</f>
        <v xml:space="preserve">http://slimages.macys.com/is/image/MCY/15071145 </v>
      </c>
    </row>
    <row r="684" spans="1:12" ht="24.75" x14ac:dyDescent="0.25">
      <c r="A684" s="4" t="s">
        <v>11297</v>
      </c>
      <c r="B684" s="2" t="s">
        <v>11288</v>
      </c>
      <c r="C684" s="3">
        <v>1</v>
      </c>
      <c r="D684" s="5">
        <v>19.989999999999998</v>
      </c>
      <c r="E684" s="3" t="s">
        <v>11289</v>
      </c>
      <c r="F684" s="2" t="s">
        <v>74</v>
      </c>
      <c r="G684" s="6" t="s">
        <v>234</v>
      </c>
      <c r="H684" s="2" t="s">
        <v>1473</v>
      </c>
      <c r="I684" s="2" t="s">
        <v>1426</v>
      </c>
      <c r="J684" s="2" t="s">
        <v>19</v>
      </c>
      <c r="K684" s="2" t="s">
        <v>107</v>
      </c>
      <c r="L684" s="7" t="str">
        <f>HYPERLINK("http://slimages.macys.com/is/image/MCY/14825092 ")</f>
        <v xml:space="preserve">http://slimages.macys.com/is/image/MCY/14825092 </v>
      </c>
    </row>
    <row r="685" spans="1:12" ht="24.75" x14ac:dyDescent="0.25">
      <c r="A685" s="4" t="s">
        <v>11298</v>
      </c>
      <c r="B685" s="2" t="s">
        <v>11299</v>
      </c>
      <c r="C685" s="3">
        <v>1</v>
      </c>
      <c r="D685" s="5">
        <v>19.989999999999998</v>
      </c>
      <c r="E685" s="3" t="s">
        <v>11300</v>
      </c>
      <c r="F685" s="2" t="s">
        <v>26</v>
      </c>
      <c r="G685" s="6" t="s">
        <v>234</v>
      </c>
      <c r="H685" s="2" t="s">
        <v>1473</v>
      </c>
      <c r="I685" s="2" t="s">
        <v>1426</v>
      </c>
      <c r="J685" s="2" t="s">
        <v>19</v>
      </c>
      <c r="K685" s="2" t="s">
        <v>648</v>
      </c>
      <c r="L685" s="7" t="str">
        <f>HYPERLINK("http://slimages.macys.com/is/image/MCY/12064081 ")</f>
        <v xml:space="preserve">http://slimages.macys.com/is/image/MCY/12064081 </v>
      </c>
    </row>
    <row r="686" spans="1:12" ht="36.75" x14ac:dyDescent="0.25">
      <c r="A686" s="4" t="s">
        <v>11301</v>
      </c>
      <c r="B686" s="2" t="s">
        <v>5171</v>
      </c>
      <c r="C686" s="3">
        <v>2</v>
      </c>
      <c r="D686" s="5">
        <v>17.989999999999998</v>
      </c>
      <c r="E686" s="3" t="s">
        <v>5172</v>
      </c>
      <c r="F686" s="2" t="s">
        <v>413</v>
      </c>
      <c r="G686" s="6" t="s">
        <v>154</v>
      </c>
      <c r="H686" s="2" t="s">
        <v>1473</v>
      </c>
      <c r="I686" s="2" t="s">
        <v>1426</v>
      </c>
      <c r="J686" s="2" t="s">
        <v>19</v>
      </c>
      <c r="K686" s="2" t="s">
        <v>5173</v>
      </c>
      <c r="L686" s="7" t="str">
        <f>HYPERLINK("http://slimages.macys.com/is/image/MCY/12064389 ")</f>
        <v xml:space="preserve">http://slimages.macys.com/is/image/MCY/12064389 </v>
      </c>
    </row>
    <row r="687" spans="1:12" ht="24.75" x14ac:dyDescent="0.25">
      <c r="A687" s="4" t="s">
        <v>11302</v>
      </c>
      <c r="B687" s="2" t="s">
        <v>11303</v>
      </c>
      <c r="C687" s="3">
        <v>1</v>
      </c>
      <c r="D687" s="5">
        <v>19.989999999999998</v>
      </c>
      <c r="E687" s="3" t="s">
        <v>11304</v>
      </c>
      <c r="F687" s="2" t="s">
        <v>74</v>
      </c>
      <c r="G687" s="6" t="s">
        <v>234</v>
      </c>
      <c r="H687" s="2" t="s">
        <v>1473</v>
      </c>
      <c r="I687" s="2" t="s">
        <v>1426</v>
      </c>
      <c r="J687" s="2" t="s">
        <v>19</v>
      </c>
      <c r="K687" s="2" t="s">
        <v>648</v>
      </c>
      <c r="L687" s="7" t="str">
        <f>HYPERLINK("http://slimages.macys.com/is/image/MCY/14825246 ")</f>
        <v xml:space="preserve">http://slimages.macys.com/is/image/MCY/14825246 </v>
      </c>
    </row>
    <row r="688" spans="1:12" ht="24.75" x14ac:dyDescent="0.25">
      <c r="A688" s="4" t="s">
        <v>11305</v>
      </c>
      <c r="B688" s="2" t="s">
        <v>11306</v>
      </c>
      <c r="C688" s="3">
        <v>1</v>
      </c>
      <c r="D688" s="5">
        <v>17.989999999999998</v>
      </c>
      <c r="E688" s="3" t="s">
        <v>11307</v>
      </c>
      <c r="F688" s="2" t="s">
        <v>33</v>
      </c>
      <c r="G688" s="6" t="s">
        <v>181</v>
      </c>
      <c r="H688" s="2" t="s">
        <v>1522</v>
      </c>
      <c r="I688" s="2" t="s">
        <v>1469</v>
      </c>
      <c r="J688" s="2" t="s">
        <v>19</v>
      </c>
      <c r="K688" s="2" t="s">
        <v>495</v>
      </c>
      <c r="L688" s="7" t="str">
        <f>HYPERLINK("http://slimages.macys.com/is/image/MCY/13812518 ")</f>
        <v xml:space="preserve">http://slimages.macys.com/is/image/MCY/13812518 </v>
      </c>
    </row>
    <row r="689" spans="1:12" ht="24.75" x14ac:dyDescent="0.25">
      <c r="A689" s="4" t="s">
        <v>11308</v>
      </c>
      <c r="B689" s="2" t="s">
        <v>11306</v>
      </c>
      <c r="C689" s="3">
        <v>1</v>
      </c>
      <c r="D689" s="5">
        <v>17.989999999999998</v>
      </c>
      <c r="E689" s="3" t="s">
        <v>11307</v>
      </c>
      <c r="F689" s="2" t="s">
        <v>33</v>
      </c>
      <c r="G689" s="6" t="s">
        <v>234</v>
      </c>
      <c r="H689" s="2" t="s">
        <v>1522</v>
      </c>
      <c r="I689" s="2" t="s">
        <v>1469</v>
      </c>
      <c r="J689" s="2" t="s">
        <v>19</v>
      </c>
      <c r="K689" s="2" t="s">
        <v>495</v>
      </c>
      <c r="L689" s="7" t="str">
        <f>HYPERLINK("http://slimages.macys.com/is/image/MCY/13812518 ")</f>
        <v xml:space="preserve">http://slimages.macys.com/is/image/MCY/13812518 </v>
      </c>
    </row>
    <row r="690" spans="1:12" ht="24.75" x14ac:dyDescent="0.25">
      <c r="A690" s="4" t="s">
        <v>11309</v>
      </c>
      <c r="B690" s="2" t="s">
        <v>1876</v>
      </c>
      <c r="C690" s="3">
        <v>1</v>
      </c>
      <c r="D690" s="5">
        <v>17.989999999999998</v>
      </c>
      <c r="E690" s="3" t="s">
        <v>1877</v>
      </c>
      <c r="F690" s="2" t="s">
        <v>26</v>
      </c>
      <c r="G690" s="6" t="s">
        <v>156</v>
      </c>
      <c r="H690" s="2" t="s">
        <v>1473</v>
      </c>
      <c r="I690" s="2" t="s">
        <v>1426</v>
      </c>
      <c r="J690" s="2" t="s">
        <v>19</v>
      </c>
      <c r="K690" s="2" t="s">
        <v>495</v>
      </c>
      <c r="L690" s="7" t="str">
        <f>HYPERLINK("http://slimages.macys.com/is/image/MCY/12672802 ")</f>
        <v xml:space="preserve">http://slimages.macys.com/is/image/MCY/12672802 </v>
      </c>
    </row>
    <row r="691" spans="1:12" ht="24.75" x14ac:dyDescent="0.25">
      <c r="A691" s="4" t="s">
        <v>11310</v>
      </c>
      <c r="B691" s="2" t="s">
        <v>11311</v>
      </c>
      <c r="C691" s="3">
        <v>1</v>
      </c>
      <c r="D691" s="5">
        <v>19.989999999999998</v>
      </c>
      <c r="E691" s="3" t="s">
        <v>11312</v>
      </c>
      <c r="F691" s="2" t="s">
        <v>1322</v>
      </c>
      <c r="G691" s="6"/>
      <c r="H691" s="2" t="s">
        <v>1425</v>
      </c>
      <c r="I691" s="2" t="s">
        <v>1426</v>
      </c>
      <c r="J691" s="2" t="s">
        <v>19</v>
      </c>
      <c r="K691" s="2" t="s">
        <v>107</v>
      </c>
      <c r="L691" s="7" t="str">
        <f>HYPERLINK("http://slimages.macys.com/is/image/MCY/15254297 ")</f>
        <v xml:space="preserve">http://slimages.macys.com/is/image/MCY/15254297 </v>
      </c>
    </row>
    <row r="692" spans="1:12" ht="24.75" x14ac:dyDescent="0.25">
      <c r="A692" s="4" t="s">
        <v>11313</v>
      </c>
      <c r="B692" s="2" t="s">
        <v>11303</v>
      </c>
      <c r="C692" s="3">
        <v>1</v>
      </c>
      <c r="D692" s="5">
        <v>19.989999999999998</v>
      </c>
      <c r="E692" s="3" t="s">
        <v>11304</v>
      </c>
      <c r="F692" s="2" t="s">
        <v>74</v>
      </c>
      <c r="G692" s="6" t="s">
        <v>181</v>
      </c>
      <c r="H692" s="2" t="s">
        <v>1473</v>
      </c>
      <c r="I692" s="2" t="s">
        <v>1426</v>
      </c>
      <c r="J692" s="2" t="s">
        <v>19</v>
      </c>
      <c r="K692" s="2" t="s">
        <v>648</v>
      </c>
      <c r="L692" s="7" t="str">
        <f>HYPERLINK("http://slimages.macys.com/is/image/MCY/14825246 ")</f>
        <v xml:space="preserve">http://slimages.macys.com/is/image/MCY/14825246 </v>
      </c>
    </row>
    <row r="693" spans="1:12" ht="24.75" x14ac:dyDescent="0.25">
      <c r="A693" s="4" t="s">
        <v>6851</v>
      </c>
      <c r="B693" s="2" t="s">
        <v>1896</v>
      </c>
      <c r="C693" s="3">
        <v>1</v>
      </c>
      <c r="D693" s="5">
        <v>20.99</v>
      </c>
      <c r="E693" s="3" t="s">
        <v>1899</v>
      </c>
      <c r="F693" s="2" t="s">
        <v>252</v>
      </c>
      <c r="G693" s="6" t="s">
        <v>234</v>
      </c>
      <c r="H693" s="2" t="s">
        <v>1473</v>
      </c>
      <c r="I693" s="2" t="s">
        <v>1864</v>
      </c>
      <c r="J693" s="2" t="s">
        <v>19</v>
      </c>
      <c r="K693" s="2" t="s">
        <v>648</v>
      </c>
      <c r="L693" s="7" t="str">
        <f>HYPERLINK("http://slimages.macys.com/is/image/MCY/10787705 ")</f>
        <v xml:space="preserve">http://slimages.macys.com/is/image/MCY/10787705 </v>
      </c>
    </row>
    <row r="694" spans="1:12" ht="24.75" x14ac:dyDescent="0.25">
      <c r="A694" s="4" t="s">
        <v>11314</v>
      </c>
      <c r="B694" s="2" t="s">
        <v>1896</v>
      </c>
      <c r="C694" s="3">
        <v>1</v>
      </c>
      <c r="D694" s="5">
        <v>20.99</v>
      </c>
      <c r="E694" s="3" t="s">
        <v>1899</v>
      </c>
      <c r="F694" s="2" t="s">
        <v>1788</v>
      </c>
      <c r="G694" s="6" t="s">
        <v>154</v>
      </c>
      <c r="H694" s="2" t="s">
        <v>1473</v>
      </c>
      <c r="I694" s="2" t="s">
        <v>1864</v>
      </c>
      <c r="J694" s="2" t="s">
        <v>19</v>
      </c>
      <c r="K694" s="2" t="s">
        <v>648</v>
      </c>
      <c r="L694" s="7" t="str">
        <f>HYPERLINK("http://slimages.macys.com/is/image/MCY/10787705 ")</f>
        <v xml:space="preserve">http://slimages.macys.com/is/image/MCY/10787705 </v>
      </c>
    </row>
    <row r="695" spans="1:12" ht="24.75" x14ac:dyDescent="0.25">
      <c r="A695" s="4" t="s">
        <v>4157</v>
      </c>
      <c r="B695" s="2" t="s">
        <v>1892</v>
      </c>
      <c r="C695" s="3">
        <v>1</v>
      </c>
      <c r="D695" s="5">
        <v>20.99</v>
      </c>
      <c r="E695" s="3" t="s">
        <v>1901</v>
      </c>
      <c r="F695" s="2" t="s">
        <v>252</v>
      </c>
      <c r="G695" s="6" t="s">
        <v>234</v>
      </c>
      <c r="H695" s="2" t="s">
        <v>1473</v>
      </c>
      <c r="I695" s="2" t="s">
        <v>1864</v>
      </c>
      <c r="J695" s="2" t="s">
        <v>19</v>
      </c>
      <c r="K695" s="2" t="s">
        <v>648</v>
      </c>
      <c r="L695" s="7" t="str">
        <f>HYPERLINK("http://slimages.macys.com/is/image/MCY/11689284 ")</f>
        <v xml:space="preserve">http://slimages.macys.com/is/image/MCY/11689284 </v>
      </c>
    </row>
    <row r="696" spans="1:12" ht="24.75" x14ac:dyDescent="0.25">
      <c r="A696" s="4" t="s">
        <v>11315</v>
      </c>
      <c r="B696" s="2" t="s">
        <v>11316</v>
      </c>
      <c r="C696" s="3">
        <v>1</v>
      </c>
      <c r="D696" s="5">
        <v>29.63</v>
      </c>
      <c r="E696" s="3" t="s">
        <v>11317</v>
      </c>
      <c r="F696" s="2" t="s">
        <v>3267</v>
      </c>
      <c r="G696" s="6" t="s">
        <v>156</v>
      </c>
      <c r="H696" s="2" t="s">
        <v>284</v>
      </c>
      <c r="I696" s="2" t="s">
        <v>285</v>
      </c>
      <c r="J696" s="2" t="s">
        <v>19</v>
      </c>
      <c r="K696" s="2" t="s">
        <v>160</v>
      </c>
      <c r="L696" s="7" t="str">
        <f>HYPERLINK("http://slimages.macys.com/is/image/MCY/13401069 ")</f>
        <v xml:space="preserve">http://slimages.macys.com/is/image/MCY/13401069 </v>
      </c>
    </row>
    <row r="697" spans="1:12" ht="24.75" x14ac:dyDescent="0.25">
      <c r="A697" s="4" t="s">
        <v>11318</v>
      </c>
      <c r="B697" s="2" t="s">
        <v>11319</v>
      </c>
      <c r="C697" s="3">
        <v>1</v>
      </c>
      <c r="D697" s="5">
        <v>29.63</v>
      </c>
      <c r="E697" s="3" t="s">
        <v>11320</v>
      </c>
      <c r="F697" s="2" t="s">
        <v>15</v>
      </c>
      <c r="G697" s="6" t="s">
        <v>156</v>
      </c>
      <c r="H697" s="2" t="s">
        <v>284</v>
      </c>
      <c r="I697" s="2" t="s">
        <v>285</v>
      </c>
      <c r="J697" s="2" t="s">
        <v>19</v>
      </c>
      <c r="K697" s="2" t="s">
        <v>160</v>
      </c>
      <c r="L697" s="7" t="str">
        <f>HYPERLINK("http://slimages.macys.com/is/image/MCY/13401069 ")</f>
        <v xml:space="preserve">http://slimages.macys.com/is/image/MCY/13401069 </v>
      </c>
    </row>
    <row r="698" spans="1:12" ht="24.75" x14ac:dyDescent="0.25">
      <c r="A698" s="4" t="s">
        <v>9207</v>
      </c>
      <c r="B698" s="2" t="s">
        <v>1692</v>
      </c>
      <c r="C698" s="3">
        <v>1</v>
      </c>
      <c r="D698" s="5">
        <v>24.37</v>
      </c>
      <c r="E698" s="3" t="s">
        <v>9208</v>
      </c>
      <c r="F698" s="2" t="s">
        <v>74</v>
      </c>
      <c r="G698" s="6" t="s">
        <v>234</v>
      </c>
      <c r="H698" s="2" t="s">
        <v>194</v>
      </c>
      <c r="I698" s="2" t="s">
        <v>580</v>
      </c>
      <c r="J698" s="2" t="s">
        <v>19</v>
      </c>
      <c r="K698" s="2" t="s">
        <v>137</v>
      </c>
      <c r="L698" s="7" t="str">
        <f>HYPERLINK("http://slimages.macys.com/is/image/MCY/16404085 ")</f>
        <v xml:space="preserve">http://slimages.macys.com/is/image/MCY/16404085 </v>
      </c>
    </row>
    <row r="699" spans="1:12" ht="24.75" x14ac:dyDescent="0.25">
      <c r="A699" s="4" t="s">
        <v>11321</v>
      </c>
      <c r="B699" s="2" t="s">
        <v>11322</v>
      </c>
      <c r="C699" s="3">
        <v>1</v>
      </c>
      <c r="D699" s="5">
        <v>24.99</v>
      </c>
      <c r="E699" s="3">
        <v>100024030</v>
      </c>
      <c r="F699" s="2" t="s">
        <v>956</v>
      </c>
      <c r="G699" s="6" t="s">
        <v>156</v>
      </c>
      <c r="H699" s="2" t="s">
        <v>284</v>
      </c>
      <c r="I699" s="2" t="s">
        <v>285</v>
      </c>
      <c r="J699" s="2" t="s">
        <v>19</v>
      </c>
      <c r="K699" s="2" t="s">
        <v>247</v>
      </c>
      <c r="L699" s="7" t="str">
        <f>HYPERLINK("http://slimages.macys.com/is/image/MCY/14366698 ")</f>
        <v xml:space="preserve">http://slimages.macys.com/is/image/MCY/14366698 </v>
      </c>
    </row>
    <row r="700" spans="1:12" ht="24.75" x14ac:dyDescent="0.25">
      <c r="A700" s="4" t="s">
        <v>11323</v>
      </c>
      <c r="B700" s="2" t="s">
        <v>11322</v>
      </c>
      <c r="C700" s="3">
        <v>1</v>
      </c>
      <c r="D700" s="5">
        <v>24.99</v>
      </c>
      <c r="E700" s="3">
        <v>100024030</v>
      </c>
      <c r="F700" s="2" t="s">
        <v>956</v>
      </c>
      <c r="G700" s="6" t="s">
        <v>156</v>
      </c>
      <c r="H700" s="2" t="s">
        <v>284</v>
      </c>
      <c r="I700" s="2" t="s">
        <v>285</v>
      </c>
      <c r="J700" s="2" t="s">
        <v>19</v>
      </c>
      <c r="K700" s="2" t="s">
        <v>247</v>
      </c>
      <c r="L700" s="7" t="str">
        <f>HYPERLINK("http://slimages.macys.com/is/image/MCY/14366698 ")</f>
        <v xml:space="preserve">http://slimages.macys.com/is/image/MCY/14366698 </v>
      </c>
    </row>
    <row r="701" spans="1:12" ht="24.75" x14ac:dyDescent="0.25">
      <c r="A701" s="4" t="s">
        <v>11324</v>
      </c>
      <c r="B701" s="2" t="s">
        <v>11322</v>
      </c>
      <c r="C701" s="3">
        <v>1</v>
      </c>
      <c r="D701" s="5">
        <v>24.99</v>
      </c>
      <c r="E701" s="3">
        <v>100024030</v>
      </c>
      <c r="F701" s="2" t="s">
        <v>956</v>
      </c>
      <c r="G701" s="6" t="s">
        <v>154</v>
      </c>
      <c r="H701" s="2" t="s">
        <v>284</v>
      </c>
      <c r="I701" s="2" t="s">
        <v>285</v>
      </c>
      <c r="J701" s="2" t="s">
        <v>19</v>
      </c>
      <c r="K701" s="2" t="s">
        <v>247</v>
      </c>
      <c r="L701" s="7" t="str">
        <f>HYPERLINK("http://slimages.macys.com/is/image/MCY/14366698 ")</f>
        <v xml:space="preserve">http://slimages.macys.com/is/image/MCY/14366698 </v>
      </c>
    </row>
    <row r="702" spans="1:12" ht="24.75" x14ac:dyDescent="0.25">
      <c r="A702" s="4" t="s">
        <v>11325</v>
      </c>
      <c r="B702" s="2" t="s">
        <v>11322</v>
      </c>
      <c r="C702" s="3">
        <v>1</v>
      </c>
      <c r="D702" s="5">
        <v>24.99</v>
      </c>
      <c r="E702" s="3">
        <v>100024030</v>
      </c>
      <c r="F702" s="2" t="s">
        <v>956</v>
      </c>
      <c r="G702" s="6" t="s">
        <v>154</v>
      </c>
      <c r="H702" s="2" t="s">
        <v>284</v>
      </c>
      <c r="I702" s="2" t="s">
        <v>285</v>
      </c>
      <c r="J702" s="2" t="s">
        <v>19</v>
      </c>
      <c r="K702" s="2" t="s">
        <v>247</v>
      </c>
      <c r="L702" s="7" t="str">
        <f>HYPERLINK("http://slimages.macys.com/is/image/MCY/14366698 ")</f>
        <v xml:space="preserve">http://slimages.macys.com/is/image/MCY/14366698 </v>
      </c>
    </row>
    <row r="703" spans="1:12" ht="24.75" x14ac:dyDescent="0.25">
      <c r="A703" s="4" t="s">
        <v>3080</v>
      </c>
      <c r="B703" s="2" t="s">
        <v>3081</v>
      </c>
      <c r="C703" s="3">
        <v>1</v>
      </c>
      <c r="D703" s="5">
        <v>17.989999999999998</v>
      </c>
      <c r="E703" s="3" t="s">
        <v>3082</v>
      </c>
      <c r="F703" s="2" t="s">
        <v>26</v>
      </c>
      <c r="G703" s="6" t="s">
        <v>234</v>
      </c>
      <c r="H703" s="2" t="s">
        <v>1473</v>
      </c>
      <c r="I703" s="2" t="s">
        <v>1426</v>
      </c>
      <c r="J703" s="2" t="s">
        <v>19</v>
      </c>
      <c r="K703" s="2" t="s">
        <v>990</v>
      </c>
      <c r="L703" s="7" t="str">
        <f>HYPERLINK("http://slimages.macys.com/is/image/MCY/11882211 ")</f>
        <v xml:space="preserve">http://slimages.macys.com/is/image/MCY/11882211 </v>
      </c>
    </row>
    <row r="704" spans="1:12" ht="24.75" x14ac:dyDescent="0.25">
      <c r="A704" s="4" t="s">
        <v>11326</v>
      </c>
      <c r="B704" s="2" t="s">
        <v>11327</v>
      </c>
      <c r="C704" s="3">
        <v>1</v>
      </c>
      <c r="D704" s="5">
        <v>17.989999999999998</v>
      </c>
      <c r="E704" s="3" t="s">
        <v>11328</v>
      </c>
      <c r="F704" s="2" t="s">
        <v>15</v>
      </c>
      <c r="G704" s="6" t="s">
        <v>154</v>
      </c>
      <c r="H704" s="2" t="s">
        <v>1473</v>
      </c>
      <c r="I704" s="2" t="s">
        <v>1426</v>
      </c>
      <c r="J704" s="2" t="s">
        <v>19</v>
      </c>
      <c r="K704" s="2" t="s">
        <v>107</v>
      </c>
      <c r="L704" s="7" t="str">
        <f>HYPERLINK("http://slimages.macys.com/is/image/MCY/12773808 ")</f>
        <v xml:space="preserve">http://slimages.macys.com/is/image/MCY/12773808 </v>
      </c>
    </row>
    <row r="705" spans="1:12" ht="24.75" x14ac:dyDescent="0.25">
      <c r="A705" s="4" t="s">
        <v>11329</v>
      </c>
      <c r="B705" s="2" t="s">
        <v>11330</v>
      </c>
      <c r="C705" s="3">
        <v>1</v>
      </c>
      <c r="D705" s="5">
        <v>17.989999999999998</v>
      </c>
      <c r="E705" s="3" t="s">
        <v>11331</v>
      </c>
      <c r="F705" s="2" t="s">
        <v>417</v>
      </c>
      <c r="G705" s="6" t="s">
        <v>181</v>
      </c>
      <c r="H705" s="2" t="s">
        <v>1473</v>
      </c>
      <c r="I705" s="2" t="s">
        <v>1426</v>
      </c>
      <c r="J705" s="2" t="s">
        <v>19</v>
      </c>
      <c r="K705" s="2" t="s">
        <v>990</v>
      </c>
      <c r="L705" s="7" t="str">
        <f>HYPERLINK("http://slimages.macys.com/is/image/MCY/13634883 ")</f>
        <v xml:space="preserve">http://slimages.macys.com/is/image/MCY/13634883 </v>
      </c>
    </row>
    <row r="706" spans="1:12" ht="24.75" x14ac:dyDescent="0.25">
      <c r="A706" s="4" t="s">
        <v>11332</v>
      </c>
      <c r="B706" s="2" t="s">
        <v>11327</v>
      </c>
      <c r="C706" s="3">
        <v>1</v>
      </c>
      <c r="D706" s="5">
        <v>17.989999999999998</v>
      </c>
      <c r="E706" s="3" t="s">
        <v>11328</v>
      </c>
      <c r="F706" s="2" t="s">
        <v>15</v>
      </c>
      <c r="G706" s="6" t="s">
        <v>234</v>
      </c>
      <c r="H706" s="2" t="s">
        <v>1473</v>
      </c>
      <c r="I706" s="2" t="s">
        <v>1426</v>
      </c>
      <c r="J706" s="2" t="s">
        <v>19</v>
      </c>
      <c r="K706" s="2" t="s">
        <v>107</v>
      </c>
      <c r="L706" s="7" t="str">
        <f>HYPERLINK("http://slimages.macys.com/is/image/MCY/12773808 ")</f>
        <v xml:space="preserve">http://slimages.macys.com/is/image/MCY/12773808 </v>
      </c>
    </row>
    <row r="707" spans="1:12" ht="24.75" x14ac:dyDescent="0.25">
      <c r="A707" s="4" t="s">
        <v>11333</v>
      </c>
      <c r="B707" s="2" t="s">
        <v>11327</v>
      </c>
      <c r="C707" s="3">
        <v>1</v>
      </c>
      <c r="D707" s="5">
        <v>17.989999999999998</v>
      </c>
      <c r="E707" s="3" t="s">
        <v>11328</v>
      </c>
      <c r="F707" s="2" t="s">
        <v>15</v>
      </c>
      <c r="G707" s="6" t="s">
        <v>181</v>
      </c>
      <c r="H707" s="2" t="s">
        <v>1473</v>
      </c>
      <c r="I707" s="2" t="s">
        <v>1426</v>
      </c>
      <c r="J707" s="2" t="s">
        <v>19</v>
      </c>
      <c r="K707" s="2" t="s">
        <v>107</v>
      </c>
      <c r="L707" s="7" t="str">
        <f>HYPERLINK("http://slimages.macys.com/is/image/MCY/12773808 ")</f>
        <v xml:space="preserve">http://slimages.macys.com/is/image/MCY/12773808 </v>
      </c>
    </row>
    <row r="708" spans="1:12" ht="24.75" x14ac:dyDescent="0.25">
      <c r="A708" s="4" t="s">
        <v>11334</v>
      </c>
      <c r="B708" s="2" t="s">
        <v>11327</v>
      </c>
      <c r="C708" s="3">
        <v>1</v>
      </c>
      <c r="D708" s="5">
        <v>17.989999999999998</v>
      </c>
      <c r="E708" s="3" t="s">
        <v>11328</v>
      </c>
      <c r="F708" s="2" t="s">
        <v>15</v>
      </c>
      <c r="G708" s="6" t="s">
        <v>156</v>
      </c>
      <c r="H708" s="2" t="s">
        <v>1473</v>
      </c>
      <c r="I708" s="2" t="s">
        <v>1426</v>
      </c>
      <c r="J708" s="2" t="s">
        <v>19</v>
      </c>
      <c r="K708" s="2" t="s">
        <v>107</v>
      </c>
      <c r="L708" s="7" t="str">
        <f>HYPERLINK("http://slimages.macys.com/is/image/MCY/12773808 ")</f>
        <v xml:space="preserve">http://slimages.macys.com/is/image/MCY/12773808 </v>
      </c>
    </row>
    <row r="709" spans="1:12" ht="24.75" x14ac:dyDescent="0.25">
      <c r="A709" s="4" t="s">
        <v>11335</v>
      </c>
      <c r="B709" s="2" t="s">
        <v>11336</v>
      </c>
      <c r="C709" s="3">
        <v>1</v>
      </c>
      <c r="D709" s="5">
        <v>21.99</v>
      </c>
      <c r="E709" s="3" t="s">
        <v>11337</v>
      </c>
      <c r="F709" s="2" t="s">
        <v>15</v>
      </c>
      <c r="G709" s="6" t="s">
        <v>154</v>
      </c>
      <c r="H709" s="2" t="s">
        <v>284</v>
      </c>
      <c r="I709" s="2" t="s">
        <v>285</v>
      </c>
      <c r="J709" s="2" t="s">
        <v>19</v>
      </c>
      <c r="K709" s="2" t="s">
        <v>160</v>
      </c>
      <c r="L709" s="7" t="str">
        <f>HYPERLINK("http://slimages.macys.com/is/image/MCY/13925353 ")</f>
        <v xml:space="preserve">http://slimages.macys.com/is/image/MCY/13925353 </v>
      </c>
    </row>
    <row r="710" spans="1:12" ht="24.75" x14ac:dyDescent="0.25">
      <c r="A710" s="4" t="s">
        <v>11338</v>
      </c>
      <c r="B710" s="2" t="s">
        <v>11336</v>
      </c>
      <c r="C710" s="3">
        <v>1</v>
      </c>
      <c r="D710" s="5">
        <v>21.99</v>
      </c>
      <c r="E710" s="3" t="s">
        <v>11337</v>
      </c>
      <c r="F710" s="2" t="s">
        <v>15</v>
      </c>
      <c r="G710" s="6" t="s">
        <v>181</v>
      </c>
      <c r="H710" s="2" t="s">
        <v>284</v>
      </c>
      <c r="I710" s="2" t="s">
        <v>285</v>
      </c>
      <c r="J710" s="2" t="s">
        <v>19</v>
      </c>
      <c r="K710" s="2" t="s">
        <v>160</v>
      </c>
      <c r="L710" s="7" t="str">
        <f>HYPERLINK("http://slimages.macys.com/is/image/MCY/13925353 ")</f>
        <v xml:space="preserve">http://slimages.macys.com/is/image/MCY/13925353 </v>
      </c>
    </row>
    <row r="711" spans="1:12" ht="24.75" x14ac:dyDescent="0.25">
      <c r="A711" s="4" t="s">
        <v>11339</v>
      </c>
      <c r="B711" s="2" t="s">
        <v>3101</v>
      </c>
      <c r="C711" s="3">
        <v>1</v>
      </c>
      <c r="D711" s="5">
        <v>14.99</v>
      </c>
      <c r="E711" s="3" t="s">
        <v>3102</v>
      </c>
      <c r="F711" s="2" t="s">
        <v>64</v>
      </c>
      <c r="G711" s="6" t="s">
        <v>187</v>
      </c>
      <c r="H711" s="2" t="s">
        <v>1425</v>
      </c>
      <c r="I711" s="2" t="s">
        <v>1426</v>
      </c>
      <c r="J711" s="2"/>
      <c r="K711" s="2"/>
      <c r="L711" s="7" t="str">
        <f>HYPERLINK("http://slimages.macys.com/is/image/MCY/9931748 ")</f>
        <v xml:space="preserve">http://slimages.macys.com/is/image/MCY/9931748 </v>
      </c>
    </row>
    <row r="712" spans="1:12" ht="24.75" x14ac:dyDescent="0.25">
      <c r="A712" s="4" t="s">
        <v>4179</v>
      </c>
      <c r="B712" s="2" t="s">
        <v>1927</v>
      </c>
      <c r="C712" s="3">
        <v>1</v>
      </c>
      <c r="D712" s="5">
        <v>17.989999999999998</v>
      </c>
      <c r="E712" s="3" t="s">
        <v>3105</v>
      </c>
      <c r="F712" s="2" t="s">
        <v>15</v>
      </c>
      <c r="G712" s="6"/>
      <c r="H712" s="2" t="s">
        <v>1425</v>
      </c>
      <c r="I712" s="2" t="s">
        <v>1426</v>
      </c>
      <c r="J712" s="2" t="s">
        <v>19</v>
      </c>
      <c r="K712" s="2" t="s">
        <v>803</v>
      </c>
      <c r="L712" s="7" t="str">
        <f>HYPERLINK("http://slimages.macys.com/is/image/MCY/11882201 ")</f>
        <v xml:space="preserve">http://slimages.macys.com/is/image/MCY/11882201 </v>
      </c>
    </row>
    <row r="713" spans="1:12" ht="24.75" x14ac:dyDescent="0.25">
      <c r="A713" s="4" t="s">
        <v>11340</v>
      </c>
      <c r="B713" s="2" t="s">
        <v>11341</v>
      </c>
      <c r="C713" s="3">
        <v>1</v>
      </c>
      <c r="D713" s="5">
        <v>17.989999999999998</v>
      </c>
      <c r="E713" s="3" t="s">
        <v>11342</v>
      </c>
      <c r="F713" s="2" t="s">
        <v>53</v>
      </c>
      <c r="G713" s="6" t="s">
        <v>154</v>
      </c>
      <c r="H713" s="2" t="s">
        <v>1473</v>
      </c>
      <c r="I713" s="2" t="s">
        <v>1426</v>
      </c>
      <c r="J713" s="2" t="s">
        <v>19</v>
      </c>
      <c r="K713" s="2" t="s">
        <v>495</v>
      </c>
      <c r="L713" s="7" t="str">
        <f>HYPERLINK("http://slimages.macys.com/is/image/MCY/12671370 ")</f>
        <v xml:space="preserve">http://slimages.macys.com/is/image/MCY/12671370 </v>
      </c>
    </row>
    <row r="714" spans="1:12" ht="24.75" x14ac:dyDescent="0.25">
      <c r="A714" s="4" t="s">
        <v>11343</v>
      </c>
      <c r="B714" s="2" t="s">
        <v>11344</v>
      </c>
      <c r="C714" s="3">
        <v>1</v>
      </c>
      <c r="D714" s="5">
        <v>17.989999999999998</v>
      </c>
      <c r="E714" s="3" t="s">
        <v>11345</v>
      </c>
      <c r="F714" s="2" t="s">
        <v>820</v>
      </c>
      <c r="G714" s="6" t="s">
        <v>181</v>
      </c>
      <c r="H714" s="2" t="s">
        <v>1522</v>
      </c>
      <c r="I714" s="2" t="s">
        <v>1469</v>
      </c>
      <c r="J714" s="2" t="s">
        <v>19</v>
      </c>
      <c r="K714" s="2" t="s">
        <v>34</v>
      </c>
      <c r="L714" s="7" t="str">
        <f>HYPERLINK("http://slimages.macys.com/is/image/MCY/14400259 ")</f>
        <v xml:space="preserve">http://slimages.macys.com/is/image/MCY/14400259 </v>
      </c>
    </row>
    <row r="715" spans="1:12" ht="24.75" x14ac:dyDescent="0.25">
      <c r="A715" s="4" t="s">
        <v>11346</v>
      </c>
      <c r="B715" s="2" t="s">
        <v>11347</v>
      </c>
      <c r="C715" s="3">
        <v>1</v>
      </c>
      <c r="D715" s="5">
        <v>21.99</v>
      </c>
      <c r="E715" s="3" t="s">
        <v>11348</v>
      </c>
      <c r="F715" s="2" t="s">
        <v>26</v>
      </c>
      <c r="G715" s="6" t="s">
        <v>154</v>
      </c>
      <c r="H715" s="2" t="s">
        <v>284</v>
      </c>
      <c r="I715" s="2" t="s">
        <v>285</v>
      </c>
      <c r="J715" s="2" t="s">
        <v>19</v>
      </c>
      <c r="K715" s="2" t="s">
        <v>247</v>
      </c>
      <c r="L715" s="7" t="str">
        <f>HYPERLINK("http://slimages.macys.com/is/image/MCY/13401319 ")</f>
        <v xml:space="preserve">http://slimages.macys.com/is/image/MCY/13401319 </v>
      </c>
    </row>
    <row r="716" spans="1:12" ht="24.75" x14ac:dyDescent="0.25">
      <c r="A716" s="4" t="s">
        <v>11349</v>
      </c>
      <c r="B716" s="2" t="s">
        <v>11350</v>
      </c>
      <c r="C716" s="3">
        <v>1</v>
      </c>
      <c r="D716" s="5">
        <v>21.99</v>
      </c>
      <c r="E716" s="3" t="s">
        <v>11351</v>
      </c>
      <c r="F716" s="2" t="s">
        <v>15</v>
      </c>
      <c r="G716" s="6" t="s">
        <v>156</v>
      </c>
      <c r="H716" s="2" t="s">
        <v>284</v>
      </c>
      <c r="I716" s="2" t="s">
        <v>285</v>
      </c>
      <c r="J716" s="2" t="s">
        <v>19</v>
      </c>
      <c r="K716" s="2" t="s">
        <v>247</v>
      </c>
      <c r="L716" s="7" t="str">
        <f>HYPERLINK("http://slimages.macys.com/is/image/MCY/13401319 ")</f>
        <v xml:space="preserve">http://slimages.macys.com/is/image/MCY/13401319 </v>
      </c>
    </row>
    <row r="717" spans="1:12" ht="24.75" x14ac:dyDescent="0.25">
      <c r="A717" s="4" t="s">
        <v>11352</v>
      </c>
      <c r="B717" s="2" t="s">
        <v>1918</v>
      </c>
      <c r="C717" s="3">
        <v>1</v>
      </c>
      <c r="D717" s="5">
        <v>19.989999999999998</v>
      </c>
      <c r="E717" s="3" t="s">
        <v>3087</v>
      </c>
      <c r="F717" s="2" t="s">
        <v>417</v>
      </c>
      <c r="G717" s="6" t="s">
        <v>234</v>
      </c>
      <c r="H717" s="2" t="s">
        <v>246</v>
      </c>
      <c r="I717" s="2" t="s">
        <v>189</v>
      </c>
      <c r="J717" s="2" t="s">
        <v>19</v>
      </c>
      <c r="K717" s="2" t="s">
        <v>648</v>
      </c>
      <c r="L717" s="7" t="str">
        <f>HYPERLINK("http://slimages.macys.com/is/image/MCY/8123674 ")</f>
        <v xml:space="preserve">http://slimages.macys.com/is/image/MCY/8123674 </v>
      </c>
    </row>
    <row r="718" spans="1:12" ht="24.75" x14ac:dyDescent="0.25">
      <c r="A718" s="4" t="s">
        <v>11353</v>
      </c>
      <c r="B718" s="2" t="s">
        <v>1918</v>
      </c>
      <c r="C718" s="3">
        <v>1</v>
      </c>
      <c r="D718" s="5">
        <v>19.989999999999998</v>
      </c>
      <c r="E718" s="3" t="s">
        <v>3087</v>
      </c>
      <c r="F718" s="2" t="s">
        <v>89</v>
      </c>
      <c r="G718" s="6" t="s">
        <v>181</v>
      </c>
      <c r="H718" s="2" t="s">
        <v>246</v>
      </c>
      <c r="I718" s="2" t="s">
        <v>189</v>
      </c>
      <c r="J718" s="2" t="s">
        <v>19</v>
      </c>
      <c r="K718" s="2" t="s">
        <v>648</v>
      </c>
      <c r="L718" s="7" t="str">
        <f>HYPERLINK("http://slimages.macys.com/is/image/MCY/8123674 ")</f>
        <v xml:space="preserve">http://slimages.macys.com/is/image/MCY/8123674 </v>
      </c>
    </row>
    <row r="719" spans="1:12" ht="24.75" x14ac:dyDescent="0.25">
      <c r="A719" s="4" t="s">
        <v>11354</v>
      </c>
      <c r="B719" s="2" t="s">
        <v>1918</v>
      </c>
      <c r="C719" s="3">
        <v>1</v>
      </c>
      <c r="D719" s="5">
        <v>19.989999999999998</v>
      </c>
      <c r="E719" s="3" t="s">
        <v>3087</v>
      </c>
      <c r="F719" s="2" t="s">
        <v>89</v>
      </c>
      <c r="G719" s="6" t="s">
        <v>154</v>
      </c>
      <c r="H719" s="2" t="s">
        <v>246</v>
      </c>
      <c r="I719" s="2" t="s">
        <v>189</v>
      </c>
      <c r="J719" s="2" t="s">
        <v>19</v>
      </c>
      <c r="K719" s="2" t="s">
        <v>648</v>
      </c>
      <c r="L719" s="7" t="str">
        <f>HYPERLINK("http://slimages.macys.com/is/image/MCY/8123674 ")</f>
        <v xml:space="preserve">http://slimages.macys.com/is/image/MCY/8123674 </v>
      </c>
    </row>
    <row r="720" spans="1:12" ht="24.75" x14ac:dyDescent="0.25">
      <c r="A720" s="4" t="s">
        <v>11355</v>
      </c>
      <c r="B720" s="2" t="s">
        <v>11356</v>
      </c>
      <c r="C720" s="3">
        <v>1</v>
      </c>
      <c r="D720" s="5">
        <v>21.99</v>
      </c>
      <c r="E720" s="3" t="s">
        <v>11357</v>
      </c>
      <c r="F720" s="2" t="s">
        <v>566</v>
      </c>
      <c r="G720" s="6" t="s">
        <v>154</v>
      </c>
      <c r="H720" s="2" t="s">
        <v>284</v>
      </c>
      <c r="I720" s="2" t="s">
        <v>285</v>
      </c>
      <c r="J720" s="2" t="s">
        <v>19</v>
      </c>
      <c r="K720" s="2" t="s">
        <v>247</v>
      </c>
      <c r="L720" s="7" t="str">
        <f>HYPERLINK("http://slimages.macys.com/is/image/MCY/3894353 ")</f>
        <v xml:space="preserve">http://slimages.macys.com/is/image/MCY/3894353 </v>
      </c>
    </row>
    <row r="721" spans="1:12" ht="24.75" x14ac:dyDescent="0.25">
      <c r="A721" s="4" t="s">
        <v>11358</v>
      </c>
      <c r="B721" s="2" t="s">
        <v>1937</v>
      </c>
      <c r="C721" s="3">
        <v>1</v>
      </c>
      <c r="D721" s="5">
        <v>19.989999999999998</v>
      </c>
      <c r="E721" s="3" t="s">
        <v>1938</v>
      </c>
      <c r="F721" s="2" t="s">
        <v>1322</v>
      </c>
      <c r="G721" s="6" t="s">
        <v>234</v>
      </c>
      <c r="H721" s="2" t="s">
        <v>246</v>
      </c>
      <c r="I721" s="2" t="s">
        <v>1939</v>
      </c>
      <c r="J721" s="2" t="s">
        <v>19</v>
      </c>
      <c r="K721" s="2" t="s">
        <v>1940</v>
      </c>
      <c r="L721" s="7" t="str">
        <f>HYPERLINK("http://slimages.macys.com/is/image/MCY/11523112 ")</f>
        <v xml:space="preserve">http://slimages.macys.com/is/image/MCY/11523112 </v>
      </c>
    </row>
    <row r="722" spans="1:12" ht="24.75" x14ac:dyDescent="0.25">
      <c r="A722" s="4" t="s">
        <v>11359</v>
      </c>
      <c r="B722" s="2" t="s">
        <v>11360</v>
      </c>
      <c r="C722" s="3">
        <v>1</v>
      </c>
      <c r="D722" s="5">
        <v>9.99</v>
      </c>
      <c r="E722" s="3" t="s">
        <v>11361</v>
      </c>
      <c r="F722" s="2" t="s">
        <v>1322</v>
      </c>
      <c r="G722" s="6" t="s">
        <v>154</v>
      </c>
      <c r="H722" s="2" t="s">
        <v>1473</v>
      </c>
      <c r="I722" s="2" t="s">
        <v>1426</v>
      </c>
      <c r="J722" s="2" t="s">
        <v>19</v>
      </c>
      <c r="K722" s="2" t="s">
        <v>648</v>
      </c>
      <c r="L722" s="7" t="str">
        <f>HYPERLINK("http://slimages.macys.com/is/image/MCY/9888880 ")</f>
        <v xml:space="preserve">http://slimages.macys.com/is/image/MCY/9888880 </v>
      </c>
    </row>
    <row r="723" spans="1:12" ht="24.75" x14ac:dyDescent="0.25">
      <c r="A723" s="4" t="s">
        <v>11362</v>
      </c>
      <c r="B723" s="2" t="s">
        <v>1948</v>
      </c>
      <c r="C723" s="3">
        <v>1</v>
      </c>
      <c r="D723" s="5">
        <v>17.989999999999998</v>
      </c>
      <c r="E723" s="3" t="s">
        <v>1949</v>
      </c>
      <c r="F723" s="2" t="s">
        <v>15</v>
      </c>
      <c r="G723" s="6"/>
      <c r="H723" s="2" t="s">
        <v>1425</v>
      </c>
      <c r="I723" s="2" t="s">
        <v>1469</v>
      </c>
      <c r="J723" s="2" t="s">
        <v>19</v>
      </c>
      <c r="K723" s="2" t="s">
        <v>353</v>
      </c>
      <c r="L723" s="7" t="str">
        <f>HYPERLINK("http://slimages.macys.com/is/image/MCY/10743537 ")</f>
        <v xml:space="preserve">http://slimages.macys.com/is/image/MCY/10743537 </v>
      </c>
    </row>
    <row r="724" spans="1:12" ht="24.75" x14ac:dyDescent="0.25">
      <c r="A724" s="4" t="s">
        <v>11363</v>
      </c>
      <c r="B724" s="2" t="s">
        <v>4188</v>
      </c>
      <c r="C724" s="3">
        <v>1</v>
      </c>
      <c r="D724" s="5">
        <v>17.989999999999998</v>
      </c>
      <c r="E724" s="3" t="s">
        <v>4189</v>
      </c>
      <c r="F724" s="2"/>
      <c r="G724" s="6" t="s">
        <v>181</v>
      </c>
      <c r="H724" s="2" t="s">
        <v>1473</v>
      </c>
      <c r="I724" s="2" t="s">
        <v>1426</v>
      </c>
      <c r="J724" s="2" t="s">
        <v>19</v>
      </c>
      <c r="K724" s="2" t="s">
        <v>990</v>
      </c>
      <c r="L724" s="7" t="str">
        <f>HYPERLINK("http://slimages.macys.com/is/image/MCY/12877743 ")</f>
        <v xml:space="preserve">http://slimages.macys.com/is/image/MCY/12877743 </v>
      </c>
    </row>
    <row r="725" spans="1:12" ht="24.75" x14ac:dyDescent="0.25">
      <c r="A725" s="4" t="s">
        <v>11364</v>
      </c>
      <c r="B725" s="2" t="s">
        <v>4188</v>
      </c>
      <c r="C725" s="3">
        <v>1</v>
      </c>
      <c r="D725" s="5">
        <v>17.989999999999998</v>
      </c>
      <c r="E725" s="3" t="s">
        <v>4189</v>
      </c>
      <c r="F725" s="2" t="s">
        <v>64</v>
      </c>
      <c r="G725" s="6" t="s">
        <v>181</v>
      </c>
      <c r="H725" s="2" t="s">
        <v>1473</v>
      </c>
      <c r="I725" s="2" t="s">
        <v>1426</v>
      </c>
      <c r="J725" s="2" t="s">
        <v>19</v>
      </c>
      <c r="K725" s="2" t="s">
        <v>990</v>
      </c>
      <c r="L725" s="7" t="str">
        <f>HYPERLINK("http://slimages.macys.com/is/image/MCY/12877743 ")</f>
        <v xml:space="preserve">http://slimages.macys.com/is/image/MCY/12877743 </v>
      </c>
    </row>
    <row r="726" spans="1:12" ht="24.75" x14ac:dyDescent="0.25">
      <c r="A726" s="4" t="s">
        <v>11365</v>
      </c>
      <c r="B726" s="2" t="s">
        <v>4188</v>
      </c>
      <c r="C726" s="3">
        <v>1</v>
      </c>
      <c r="D726" s="5">
        <v>17.989999999999998</v>
      </c>
      <c r="E726" s="3" t="s">
        <v>4189</v>
      </c>
      <c r="F726" s="2"/>
      <c r="G726" s="6" t="s">
        <v>154</v>
      </c>
      <c r="H726" s="2" t="s">
        <v>1473</v>
      </c>
      <c r="I726" s="2" t="s">
        <v>1426</v>
      </c>
      <c r="J726" s="2" t="s">
        <v>19</v>
      </c>
      <c r="K726" s="2" t="s">
        <v>990</v>
      </c>
      <c r="L726" s="7" t="str">
        <f>HYPERLINK("http://slimages.macys.com/is/image/MCY/12877743 ")</f>
        <v xml:space="preserve">http://slimages.macys.com/is/image/MCY/12877743 </v>
      </c>
    </row>
    <row r="727" spans="1:12" ht="24.75" x14ac:dyDescent="0.25">
      <c r="A727" s="4" t="s">
        <v>6153</v>
      </c>
      <c r="B727" s="2" t="s">
        <v>1942</v>
      </c>
      <c r="C727" s="3">
        <v>1</v>
      </c>
      <c r="D727" s="5">
        <v>17.989999999999998</v>
      </c>
      <c r="E727" s="3" t="s">
        <v>1943</v>
      </c>
      <c r="F727" s="2" t="s">
        <v>15</v>
      </c>
      <c r="G727" s="6" t="s">
        <v>154</v>
      </c>
      <c r="H727" s="2" t="s">
        <v>1522</v>
      </c>
      <c r="I727" s="2" t="s">
        <v>1469</v>
      </c>
      <c r="J727" s="2" t="s">
        <v>19</v>
      </c>
      <c r="K727" s="2" t="s">
        <v>353</v>
      </c>
      <c r="L727" s="7" t="str">
        <f>HYPERLINK("http://slimages.macys.com/is/image/MCY/10743541 ")</f>
        <v xml:space="preserve">http://slimages.macys.com/is/image/MCY/10743541 </v>
      </c>
    </row>
    <row r="728" spans="1:12" ht="24.75" x14ac:dyDescent="0.25">
      <c r="A728" s="4" t="s">
        <v>11366</v>
      </c>
      <c r="B728" s="2" t="s">
        <v>4188</v>
      </c>
      <c r="C728" s="3">
        <v>1</v>
      </c>
      <c r="D728" s="5">
        <v>17.989999999999998</v>
      </c>
      <c r="E728" s="3" t="s">
        <v>4189</v>
      </c>
      <c r="F728" s="2" t="s">
        <v>70</v>
      </c>
      <c r="G728" s="6" t="s">
        <v>245</v>
      </c>
      <c r="H728" s="2" t="s">
        <v>1473</v>
      </c>
      <c r="I728" s="2" t="s">
        <v>1426</v>
      </c>
      <c r="J728" s="2" t="s">
        <v>19</v>
      </c>
      <c r="K728" s="2" t="s">
        <v>990</v>
      </c>
      <c r="L728" s="7" t="str">
        <f>HYPERLINK("http://slimages.macys.com/is/image/MCY/12877743 ")</f>
        <v xml:space="preserve">http://slimages.macys.com/is/image/MCY/12877743 </v>
      </c>
    </row>
    <row r="729" spans="1:12" ht="24.75" x14ac:dyDescent="0.25">
      <c r="A729" s="4" t="s">
        <v>11367</v>
      </c>
      <c r="B729" s="2" t="s">
        <v>3122</v>
      </c>
      <c r="C729" s="3">
        <v>1</v>
      </c>
      <c r="D729" s="5">
        <v>14.98</v>
      </c>
      <c r="E729" s="3" t="s">
        <v>3123</v>
      </c>
      <c r="F729" s="2" t="s">
        <v>252</v>
      </c>
      <c r="G729" s="6" t="s">
        <v>234</v>
      </c>
      <c r="H729" s="2" t="s">
        <v>1522</v>
      </c>
      <c r="I729" s="2" t="s">
        <v>1469</v>
      </c>
      <c r="J729" s="2" t="s">
        <v>19</v>
      </c>
      <c r="K729" s="2" t="s">
        <v>495</v>
      </c>
      <c r="L729" s="7" t="str">
        <f>HYPERLINK("http://slimages.macys.com/is/image/MCY/9957413 ")</f>
        <v xml:space="preserve">http://slimages.macys.com/is/image/MCY/9957413 </v>
      </c>
    </row>
    <row r="730" spans="1:12" ht="24.75" x14ac:dyDescent="0.25">
      <c r="A730" s="4" t="s">
        <v>11368</v>
      </c>
      <c r="B730" s="2" t="s">
        <v>6160</v>
      </c>
      <c r="C730" s="3">
        <v>1</v>
      </c>
      <c r="D730" s="5">
        <v>14.99</v>
      </c>
      <c r="E730" s="3" t="s">
        <v>11369</v>
      </c>
      <c r="F730" s="2" t="s">
        <v>94</v>
      </c>
      <c r="G730" s="6" t="s">
        <v>234</v>
      </c>
      <c r="H730" s="2" t="s">
        <v>1473</v>
      </c>
      <c r="I730" s="2" t="s">
        <v>1426</v>
      </c>
      <c r="J730" s="2" t="s">
        <v>19</v>
      </c>
      <c r="K730" s="2" t="s">
        <v>495</v>
      </c>
      <c r="L730" s="7" t="str">
        <f>HYPERLINK("http://slimages.macys.com/is/image/MCY/12033478 ")</f>
        <v xml:space="preserve">http://slimages.macys.com/is/image/MCY/12033478 </v>
      </c>
    </row>
    <row r="731" spans="1:12" ht="24.75" x14ac:dyDescent="0.25">
      <c r="A731" s="4" t="s">
        <v>11370</v>
      </c>
      <c r="B731" s="2" t="s">
        <v>3165</v>
      </c>
      <c r="C731" s="3">
        <v>1</v>
      </c>
      <c r="D731" s="5">
        <v>14.99</v>
      </c>
      <c r="E731" s="3" t="s">
        <v>3166</v>
      </c>
      <c r="F731" s="2" t="s">
        <v>64</v>
      </c>
      <c r="G731" s="6"/>
      <c r="H731" s="2" t="s">
        <v>1425</v>
      </c>
      <c r="I731" s="2" t="s">
        <v>1426</v>
      </c>
      <c r="J731" s="2" t="s">
        <v>19</v>
      </c>
      <c r="K731" s="2" t="s">
        <v>495</v>
      </c>
      <c r="L731" s="7" t="str">
        <f>HYPERLINK("http://slimages.macys.com/is/image/MCY/12672753 ")</f>
        <v xml:space="preserve">http://slimages.macys.com/is/image/MCY/12672753 </v>
      </c>
    </row>
    <row r="732" spans="1:12" ht="24.75" x14ac:dyDescent="0.25">
      <c r="A732" s="4" t="s">
        <v>11371</v>
      </c>
      <c r="B732" s="2" t="s">
        <v>3155</v>
      </c>
      <c r="C732" s="3">
        <v>1</v>
      </c>
      <c r="D732" s="5">
        <v>14.99</v>
      </c>
      <c r="E732" s="3" t="s">
        <v>8855</v>
      </c>
      <c r="F732" s="2" t="s">
        <v>413</v>
      </c>
      <c r="G732" s="6"/>
      <c r="H732" s="2" t="s">
        <v>1425</v>
      </c>
      <c r="I732" s="2" t="s">
        <v>1426</v>
      </c>
      <c r="J732" s="2" t="s">
        <v>19</v>
      </c>
      <c r="K732" s="2" t="s">
        <v>495</v>
      </c>
      <c r="L732" s="7" t="str">
        <f>HYPERLINK("http://slimages.macys.com/is/image/MCY/11832052 ")</f>
        <v xml:space="preserve">http://slimages.macys.com/is/image/MCY/11832052 </v>
      </c>
    </row>
    <row r="733" spans="1:12" ht="24.75" x14ac:dyDescent="0.25">
      <c r="A733" s="4" t="s">
        <v>11372</v>
      </c>
      <c r="B733" s="2" t="s">
        <v>6160</v>
      </c>
      <c r="C733" s="3">
        <v>1</v>
      </c>
      <c r="D733" s="5">
        <v>14.99</v>
      </c>
      <c r="E733" s="3" t="s">
        <v>6161</v>
      </c>
      <c r="F733" s="2" t="s">
        <v>94</v>
      </c>
      <c r="G733" s="6"/>
      <c r="H733" s="2" t="s">
        <v>1425</v>
      </c>
      <c r="I733" s="2" t="s">
        <v>1426</v>
      </c>
      <c r="J733" s="2" t="s">
        <v>19</v>
      </c>
      <c r="K733" s="2" t="s">
        <v>495</v>
      </c>
      <c r="L733" s="7" t="str">
        <f>HYPERLINK("http://slimages.macys.com/is/image/MCY/12033478 ")</f>
        <v xml:space="preserve">http://slimages.macys.com/is/image/MCY/12033478 </v>
      </c>
    </row>
    <row r="734" spans="1:12" ht="24.75" x14ac:dyDescent="0.25">
      <c r="A734" s="4" t="s">
        <v>11373</v>
      </c>
      <c r="B734" s="2" t="s">
        <v>6160</v>
      </c>
      <c r="C734" s="3">
        <v>1</v>
      </c>
      <c r="D734" s="5">
        <v>14.99</v>
      </c>
      <c r="E734" s="3" t="s">
        <v>11369</v>
      </c>
      <c r="F734" s="2" t="s">
        <v>70</v>
      </c>
      <c r="G734" s="6" t="s">
        <v>154</v>
      </c>
      <c r="H734" s="2" t="s">
        <v>1473</v>
      </c>
      <c r="I734" s="2" t="s">
        <v>1426</v>
      </c>
      <c r="J734" s="2" t="s">
        <v>19</v>
      </c>
      <c r="K734" s="2" t="s">
        <v>495</v>
      </c>
      <c r="L734" s="7" t="str">
        <f>HYPERLINK("http://slimages.macys.com/is/image/MCY/12033478 ")</f>
        <v xml:space="preserve">http://slimages.macys.com/is/image/MCY/12033478 </v>
      </c>
    </row>
    <row r="735" spans="1:12" ht="24.75" x14ac:dyDescent="0.25">
      <c r="A735" s="4" t="s">
        <v>11374</v>
      </c>
      <c r="B735" s="2" t="s">
        <v>3128</v>
      </c>
      <c r="C735" s="3">
        <v>1</v>
      </c>
      <c r="D735" s="5">
        <v>14.99</v>
      </c>
      <c r="E735" s="3" t="s">
        <v>3149</v>
      </c>
      <c r="F735" s="2" t="s">
        <v>26</v>
      </c>
      <c r="G735" s="6" t="s">
        <v>181</v>
      </c>
      <c r="H735" s="2" t="s">
        <v>1473</v>
      </c>
      <c r="I735" s="2" t="s">
        <v>1426</v>
      </c>
      <c r="J735" s="2" t="s">
        <v>19</v>
      </c>
      <c r="K735" s="2" t="s">
        <v>495</v>
      </c>
      <c r="L735" s="7" t="str">
        <f>HYPERLINK("http://slimages.macys.com/is/image/MCY/12064003 ")</f>
        <v xml:space="preserve">http://slimages.macys.com/is/image/MCY/12064003 </v>
      </c>
    </row>
    <row r="736" spans="1:12" ht="24.75" x14ac:dyDescent="0.25">
      <c r="A736" s="4" t="s">
        <v>11375</v>
      </c>
      <c r="B736" s="2" t="s">
        <v>11376</v>
      </c>
      <c r="C736" s="3">
        <v>1</v>
      </c>
      <c r="D736" s="5">
        <v>14.99</v>
      </c>
      <c r="E736" s="3" t="s">
        <v>11377</v>
      </c>
      <c r="F736" s="2" t="s">
        <v>1322</v>
      </c>
      <c r="G736" s="6" t="s">
        <v>156</v>
      </c>
      <c r="H736" s="2" t="s">
        <v>1473</v>
      </c>
      <c r="I736" s="2" t="s">
        <v>1426</v>
      </c>
      <c r="J736" s="2" t="s">
        <v>19</v>
      </c>
      <c r="K736" s="2" t="s">
        <v>495</v>
      </c>
      <c r="L736" s="7" t="str">
        <f>HYPERLINK("http://slimages.macys.com/is/image/MCY/13081847 ")</f>
        <v xml:space="preserve">http://slimages.macys.com/is/image/MCY/13081847 </v>
      </c>
    </row>
    <row r="737" spans="1:12" ht="24.75" x14ac:dyDescent="0.25">
      <c r="A737" s="4" t="s">
        <v>11378</v>
      </c>
      <c r="B737" s="2" t="s">
        <v>7683</v>
      </c>
      <c r="C737" s="3">
        <v>1</v>
      </c>
      <c r="D737" s="5">
        <v>18.38</v>
      </c>
      <c r="E737" s="3">
        <v>100018061</v>
      </c>
      <c r="F737" s="2" t="s">
        <v>464</v>
      </c>
      <c r="G737" s="6" t="s">
        <v>181</v>
      </c>
      <c r="H737" s="2" t="s">
        <v>194</v>
      </c>
      <c r="I737" s="2" t="s">
        <v>195</v>
      </c>
      <c r="J737" s="2" t="s">
        <v>19</v>
      </c>
      <c r="K737" s="2" t="s">
        <v>495</v>
      </c>
      <c r="L737" s="7" t="str">
        <f>HYPERLINK("http://slimages.macys.com/is/image/MCY/12950402 ")</f>
        <v xml:space="preserve">http://slimages.macys.com/is/image/MCY/12950402 </v>
      </c>
    </row>
    <row r="738" spans="1:12" ht="24.75" x14ac:dyDescent="0.25">
      <c r="A738" s="4" t="s">
        <v>11379</v>
      </c>
      <c r="B738" s="2" t="s">
        <v>1954</v>
      </c>
      <c r="C738" s="3">
        <v>1</v>
      </c>
      <c r="D738" s="5">
        <v>18.38</v>
      </c>
      <c r="E738" s="3" t="s">
        <v>1955</v>
      </c>
      <c r="F738" s="2" t="s">
        <v>74</v>
      </c>
      <c r="G738" s="6" t="s">
        <v>181</v>
      </c>
      <c r="H738" s="2" t="s">
        <v>194</v>
      </c>
      <c r="I738" s="2" t="s">
        <v>195</v>
      </c>
      <c r="J738" s="2" t="s">
        <v>19</v>
      </c>
      <c r="K738" s="2" t="s">
        <v>1108</v>
      </c>
      <c r="L738" s="7" t="str">
        <f>HYPERLINK("http://slimages.macys.com/is/image/MCY/13036276 ")</f>
        <v xml:space="preserve">http://slimages.macys.com/is/image/MCY/13036276 </v>
      </c>
    </row>
    <row r="739" spans="1:12" ht="24.75" x14ac:dyDescent="0.25">
      <c r="A739" s="4" t="s">
        <v>6885</v>
      </c>
      <c r="B739" s="2" t="s">
        <v>1954</v>
      </c>
      <c r="C739" s="3">
        <v>1</v>
      </c>
      <c r="D739" s="5">
        <v>18.38</v>
      </c>
      <c r="E739" s="3" t="s">
        <v>3173</v>
      </c>
      <c r="F739" s="2" t="s">
        <v>26</v>
      </c>
      <c r="G739" s="6" t="s">
        <v>181</v>
      </c>
      <c r="H739" s="2" t="s">
        <v>194</v>
      </c>
      <c r="I739" s="2" t="s">
        <v>195</v>
      </c>
      <c r="J739" s="2" t="s">
        <v>19</v>
      </c>
      <c r="K739" s="2" t="s">
        <v>1108</v>
      </c>
      <c r="L739" s="7" t="str">
        <f>HYPERLINK("http://slimages.macys.com/is/image/MCY/13036261 ")</f>
        <v xml:space="preserve">http://slimages.macys.com/is/image/MCY/13036261 </v>
      </c>
    </row>
    <row r="740" spans="1:12" ht="24.75" x14ac:dyDescent="0.25">
      <c r="A740" s="4" t="s">
        <v>11380</v>
      </c>
      <c r="B740" s="2" t="s">
        <v>1954</v>
      </c>
      <c r="C740" s="3">
        <v>1</v>
      </c>
      <c r="D740" s="5">
        <v>18.38</v>
      </c>
      <c r="E740" s="3" t="s">
        <v>1957</v>
      </c>
      <c r="F740" s="2" t="s">
        <v>15</v>
      </c>
      <c r="G740" s="6" t="s">
        <v>181</v>
      </c>
      <c r="H740" s="2" t="s">
        <v>194</v>
      </c>
      <c r="I740" s="2" t="s">
        <v>195</v>
      </c>
      <c r="J740" s="2" t="s">
        <v>19</v>
      </c>
      <c r="K740" s="2" t="s">
        <v>1108</v>
      </c>
      <c r="L740" s="7" t="str">
        <f>HYPERLINK("http://slimages.macys.com/is/image/MCY/13120664 ")</f>
        <v xml:space="preserve">http://slimages.macys.com/is/image/MCY/13120664 </v>
      </c>
    </row>
    <row r="741" spans="1:12" ht="24.75" x14ac:dyDescent="0.25">
      <c r="A741" s="4" t="s">
        <v>11381</v>
      </c>
      <c r="B741" s="2" t="s">
        <v>1954</v>
      </c>
      <c r="C741" s="3">
        <v>1</v>
      </c>
      <c r="D741" s="5">
        <v>18.38</v>
      </c>
      <c r="E741" s="3" t="s">
        <v>11382</v>
      </c>
      <c r="F741" s="2" t="s">
        <v>170</v>
      </c>
      <c r="G741" s="6" t="s">
        <v>200</v>
      </c>
      <c r="H741" s="2" t="s">
        <v>194</v>
      </c>
      <c r="I741" s="2" t="s">
        <v>195</v>
      </c>
      <c r="J741" s="2" t="s">
        <v>19</v>
      </c>
      <c r="K741" s="2" t="s">
        <v>1108</v>
      </c>
      <c r="L741" s="7" t="str">
        <f>HYPERLINK("http://slimages.macys.com/is/image/MCY/13120664 ")</f>
        <v xml:space="preserve">http://slimages.macys.com/is/image/MCY/13120664 </v>
      </c>
    </row>
    <row r="742" spans="1:12" ht="24.75" x14ac:dyDescent="0.25">
      <c r="A742" s="4" t="s">
        <v>11383</v>
      </c>
      <c r="B742" s="2" t="s">
        <v>1954</v>
      </c>
      <c r="C742" s="3">
        <v>1</v>
      </c>
      <c r="D742" s="5">
        <v>18.38</v>
      </c>
      <c r="E742" s="3" t="s">
        <v>11382</v>
      </c>
      <c r="F742" s="2" t="s">
        <v>170</v>
      </c>
      <c r="G742" s="6" t="s">
        <v>181</v>
      </c>
      <c r="H742" s="2" t="s">
        <v>194</v>
      </c>
      <c r="I742" s="2" t="s">
        <v>195</v>
      </c>
      <c r="J742" s="2" t="s">
        <v>19</v>
      </c>
      <c r="K742" s="2" t="s">
        <v>1108</v>
      </c>
      <c r="L742" s="7" t="str">
        <f>HYPERLINK("http://slimages.macys.com/is/image/MCY/13120664 ")</f>
        <v xml:space="preserve">http://slimages.macys.com/is/image/MCY/13120664 </v>
      </c>
    </row>
    <row r="743" spans="1:12" ht="24.75" x14ac:dyDescent="0.25">
      <c r="A743" s="4" t="s">
        <v>11384</v>
      </c>
      <c r="B743" s="2" t="s">
        <v>1954</v>
      </c>
      <c r="C743" s="3">
        <v>1</v>
      </c>
      <c r="D743" s="5">
        <v>18.38</v>
      </c>
      <c r="E743" s="3" t="s">
        <v>11382</v>
      </c>
      <c r="F743" s="2" t="s">
        <v>170</v>
      </c>
      <c r="G743" s="6" t="s">
        <v>245</v>
      </c>
      <c r="H743" s="2" t="s">
        <v>194</v>
      </c>
      <c r="I743" s="2" t="s">
        <v>195</v>
      </c>
      <c r="J743" s="2" t="s">
        <v>19</v>
      </c>
      <c r="K743" s="2" t="s">
        <v>1108</v>
      </c>
      <c r="L743" s="7" t="str">
        <f>HYPERLINK("http://slimages.macys.com/is/image/MCY/13120664 ")</f>
        <v xml:space="preserve">http://slimages.macys.com/is/image/MCY/13120664 </v>
      </c>
    </row>
    <row r="744" spans="1:12" ht="24.75" x14ac:dyDescent="0.25">
      <c r="A744" s="4" t="s">
        <v>9799</v>
      </c>
      <c r="B744" s="2" t="s">
        <v>1954</v>
      </c>
      <c r="C744" s="3">
        <v>1</v>
      </c>
      <c r="D744" s="5">
        <v>18.38</v>
      </c>
      <c r="E744" s="3" t="s">
        <v>5206</v>
      </c>
      <c r="F744" s="2" t="s">
        <v>79</v>
      </c>
      <c r="G744" s="6" t="s">
        <v>200</v>
      </c>
      <c r="H744" s="2" t="s">
        <v>194</v>
      </c>
      <c r="I744" s="2" t="s">
        <v>195</v>
      </c>
      <c r="J744" s="2" t="s">
        <v>19</v>
      </c>
      <c r="K744" s="2" t="s">
        <v>1108</v>
      </c>
      <c r="L744" s="7" t="str">
        <f>HYPERLINK("http://slimages.macys.com/is/image/MCY/13036261 ")</f>
        <v xml:space="preserve">http://slimages.macys.com/is/image/MCY/13036261 </v>
      </c>
    </row>
    <row r="745" spans="1:12" ht="24.75" x14ac:dyDescent="0.25">
      <c r="A745" s="4" t="s">
        <v>11385</v>
      </c>
      <c r="B745" s="2" t="s">
        <v>1954</v>
      </c>
      <c r="C745" s="3">
        <v>1</v>
      </c>
      <c r="D745" s="5">
        <v>18.38</v>
      </c>
      <c r="E745" s="3" t="s">
        <v>11386</v>
      </c>
      <c r="F745" s="2" t="s">
        <v>85</v>
      </c>
      <c r="G745" s="6" t="s">
        <v>234</v>
      </c>
      <c r="H745" s="2" t="s">
        <v>194</v>
      </c>
      <c r="I745" s="2" t="s">
        <v>195</v>
      </c>
      <c r="J745" s="2" t="s">
        <v>19</v>
      </c>
      <c r="K745" s="2" t="s">
        <v>1108</v>
      </c>
      <c r="L745" s="7" t="str">
        <f>HYPERLINK("http://slimages.macys.com/is/image/MCY/13036261 ")</f>
        <v xml:space="preserve">http://slimages.macys.com/is/image/MCY/13036261 </v>
      </c>
    </row>
    <row r="746" spans="1:12" ht="24.75" x14ac:dyDescent="0.25">
      <c r="A746" s="4" t="s">
        <v>3171</v>
      </c>
      <c r="B746" s="2" t="s">
        <v>1954</v>
      </c>
      <c r="C746" s="3">
        <v>1</v>
      </c>
      <c r="D746" s="5">
        <v>18.38</v>
      </c>
      <c r="E746" s="3" t="s">
        <v>1957</v>
      </c>
      <c r="F746" s="2" t="s">
        <v>15</v>
      </c>
      <c r="G746" s="6" t="s">
        <v>234</v>
      </c>
      <c r="H746" s="2" t="s">
        <v>194</v>
      </c>
      <c r="I746" s="2" t="s">
        <v>195</v>
      </c>
      <c r="J746" s="2" t="s">
        <v>19</v>
      </c>
      <c r="K746" s="2" t="s">
        <v>1108</v>
      </c>
      <c r="L746" s="7" t="str">
        <f>HYPERLINK("http://slimages.macys.com/is/image/MCY/13120664 ")</f>
        <v xml:space="preserve">http://slimages.macys.com/is/image/MCY/13120664 </v>
      </c>
    </row>
    <row r="747" spans="1:12" ht="24.75" x14ac:dyDescent="0.25">
      <c r="A747" s="4" t="s">
        <v>11387</v>
      </c>
      <c r="B747" s="2" t="s">
        <v>1962</v>
      </c>
      <c r="C747" s="3">
        <v>1</v>
      </c>
      <c r="D747" s="5">
        <v>21.99</v>
      </c>
      <c r="E747" s="3">
        <v>100017611</v>
      </c>
      <c r="F747" s="2" t="s">
        <v>170</v>
      </c>
      <c r="G747" s="6" t="s">
        <v>181</v>
      </c>
      <c r="H747" s="2" t="s">
        <v>284</v>
      </c>
      <c r="I747" s="2" t="s">
        <v>285</v>
      </c>
      <c r="J747" s="2" t="s">
        <v>19</v>
      </c>
      <c r="K747" s="2" t="s">
        <v>247</v>
      </c>
      <c r="L747" s="7" t="str">
        <f>HYPERLINK("http://slimages.macys.com/is/image/MCY/14013654 ")</f>
        <v xml:space="preserve">http://slimages.macys.com/is/image/MCY/14013654 </v>
      </c>
    </row>
    <row r="748" spans="1:12" ht="24.75" x14ac:dyDescent="0.25">
      <c r="A748" s="4" t="s">
        <v>7689</v>
      </c>
      <c r="B748" s="2" t="s">
        <v>1962</v>
      </c>
      <c r="C748" s="3">
        <v>1</v>
      </c>
      <c r="D748" s="5">
        <v>21.99</v>
      </c>
      <c r="E748" s="3">
        <v>100017611</v>
      </c>
      <c r="F748" s="2" t="s">
        <v>956</v>
      </c>
      <c r="G748" s="6" t="s">
        <v>181</v>
      </c>
      <c r="H748" s="2" t="s">
        <v>284</v>
      </c>
      <c r="I748" s="2" t="s">
        <v>285</v>
      </c>
      <c r="J748" s="2" t="s">
        <v>19</v>
      </c>
      <c r="K748" s="2" t="s">
        <v>247</v>
      </c>
      <c r="L748" s="7" t="str">
        <f>HYPERLINK("http://slimages.macys.com/is/image/MCY/14013654 ")</f>
        <v xml:space="preserve">http://slimages.macys.com/is/image/MCY/14013654 </v>
      </c>
    </row>
    <row r="749" spans="1:12" ht="24.75" x14ac:dyDescent="0.25">
      <c r="A749" s="4" t="s">
        <v>11388</v>
      </c>
      <c r="B749" s="2" t="s">
        <v>11389</v>
      </c>
      <c r="C749" s="3">
        <v>1</v>
      </c>
      <c r="D749" s="5">
        <v>19.989999999999998</v>
      </c>
      <c r="E749" s="3" t="s">
        <v>11390</v>
      </c>
      <c r="F749" s="2" t="s">
        <v>26</v>
      </c>
      <c r="G749" s="6" t="s">
        <v>200</v>
      </c>
      <c r="H749" s="2" t="s">
        <v>284</v>
      </c>
      <c r="I749" s="2" t="s">
        <v>285</v>
      </c>
      <c r="J749" s="2" t="s">
        <v>19</v>
      </c>
      <c r="K749" s="2" t="s">
        <v>160</v>
      </c>
      <c r="L749" s="7" t="str">
        <f>HYPERLINK("http://slimages.macys.com/is/image/MCY/13081198 ")</f>
        <v xml:space="preserve">http://slimages.macys.com/is/image/MCY/13081198 </v>
      </c>
    </row>
    <row r="750" spans="1:12" ht="24.75" x14ac:dyDescent="0.25">
      <c r="A750" s="4" t="s">
        <v>11391</v>
      </c>
      <c r="B750" s="2" t="s">
        <v>6890</v>
      </c>
      <c r="C750" s="3">
        <v>1</v>
      </c>
      <c r="D750" s="5">
        <v>19.989999999999998</v>
      </c>
      <c r="E750" s="3" t="s">
        <v>11392</v>
      </c>
      <c r="F750" s="2" t="s">
        <v>1584</v>
      </c>
      <c r="G750" s="6" t="s">
        <v>154</v>
      </c>
      <c r="H750" s="2" t="s">
        <v>246</v>
      </c>
      <c r="I750" s="2" t="s">
        <v>1939</v>
      </c>
      <c r="J750" s="2" t="s">
        <v>19</v>
      </c>
      <c r="K750" s="2" t="s">
        <v>648</v>
      </c>
      <c r="L750" s="7" t="str">
        <f>HYPERLINK("http://slimages.macys.com/is/image/MCY/12894550 ")</f>
        <v xml:space="preserve">http://slimages.macys.com/is/image/MCY/12894550 </v>
      </c>
    </row>
    <row r="751" spans="1:12" ht="24.75" x14ac:dyDescent="0.25">
      <c r="A751" s="4" t="s">
        <v>11393</v>
      </c>
      <c r="B751" s="2" t="s">
        <v>6890</v>
      </c>
      <c r="C751" s="3">
        <v>1</v>
      </c>
      <c r="D751" s="5">
        <v>19.989999999999998</v>
      </c>
      <c r="E751" s="3" t="s">
        <v>11392</v>
      </c>
      <c r="F751" s="2" t="s">
        <v>132</v>
      </c>
      <c r="G751" s="6" t="s">
        <v>154</v>
      </c>
      <c r="H751" s="2" t="s">
        <v>246</v>
      </c>
      <c r="I751" s="2" t="s">
        <v>1939</v>
      </c>
      <c r="J751" s="2" t="s">
        <v>19</v>
      </c>
      <c r="K751" s="2" t="s">
        <v>648</v>
      </c>
      <c r="L751" s="7" t="str">
        <f>HYPERLINK("http://slimages.macys.com/is/image/MCY/12894550 ")</f>
        <v xml:space="preserve">http://slimages.macys.com/is/image/MCY/12894550 </v>
      </c>
    </row>
    <row r="752" spans="1:12" ht="24.75" x14ac:dyDescent="0.25">
      <c r="A752" s="4" t="s">
        <v>11394</v>
      </c>
      <c r="B752" s="2" t="s">
        <v>1962</v>
      </c>
      <c r="C752" s="3">
        <v>2</v>
      </c>
      <c r="D752" s="5">
        <v>21.99</v>
      </c>
      <c r="E752" s="3">
        <v>100017611</v>
      </c>
      <c r="F752" s="2" t="s">
        <v>676</v>
      </c>
      <c r="G752" s="6" t="s">
        <v>234</v>
      </c>
      <c r="H752" s="2" t="s">
        <v>284</v>
      </c>
      <c r="I752" s="2" t="s">
        <v>285</v>
      </c>
      <c r="J752" s="2" t="s">
        <v>19</v>
      </c>
      <c r="K752" s="2" t="s">
        <v>247</v>
      </c>
      <c r="L752" s="7" t="str">
        <f>HYPERLINK("http://slimages.macys.com/is/image/MCY/14013654 ")</f>
        <v xml:space="preserve">http://slimages.macys.com/is/image/MCY/14013654 </v>
      </c>
    </row>
    <row r="753" spans="1:12" ht="24.75" x14ac:dyDescent="0.25">
      <c r="A753" s="4" t="s">
        <v>11395</v>
      </c>
      <c r="B753" s="2" t="s">
        <v>1962</v>
      </c>
      <c r="C753" s="3">
        <v>1</v>
      </c>
      <c r="D753" s="5">
        <v>21.99</v>
      </c>
      <c r="E753" s="3">
        <v>100017611</v>
      </c>
      <c r="F753" s="2" t="s">
        <v>676</v>
      </c>
      <c r="G753" s="6" t="s">
        <v>181</v>
      </c>
      <c r="H753" s="2" t="s">
        <v>284</v>
      </c>
      <c r="I753" s="2" t="s">
        <v>285</v>
      </c>
      <c r="J753" s="2" t="s">
        <v>19</v>
      </c>
      <c r="K753" s="2" t="s">
        <v>247</v>
      </c>
      <c r="L753" s="7" t="str">
        <f>HYPERLINK("http://slimages.macys.com/is/image/MCY/14013654 ")</f>
        <v xml:space="preserve">http://slimages.macys.com/is/image/MCY/14013654 </v>
      </c>
    </row>
    <row r="754" spans="1:12" ht="24.75" x14ac:dyDescent="0.25">
      <c r="A754" s="4" t="s">
        <v>11396</v>
      </c>
      <c r="B754" s="2" t="s">
        <v>1962</v>
      </c>
      <c r="C754" s="3">
        <v>1</v>
      </c>
      <c r="D754" s="5">
        <v>21.99</v>
      </c>
      <c r="E754" s="3">
        <v>100017611</v>
      </c>
      <c r="F754" s="2" t="s">
        <v>566</v>
      </c>
      <c r="G754" s="6" t="s">
        <v>234</v>
      </c>
      <c r="H754" s="2" t="s">
        <v>284</v>
      </c>
      <c r="I754" s="2" t="s">
        <v>285</v>
      </c>
      <c r="J754" s="2" t="s">
        <v>19</v>
      </c>
      <c r="K754" s="2" t="s">
        <v>247</v>
      </c>
      <c r="L754" s="7" t="str">
        <f>HYPERLINK("http://slimages.macys.com/is/image/MCY/14013654 ")</f>
        <v xml:space="preserve">http://slimages.macys.com/is/image/MCY/14013654 </v>
      </c>
    </row>
    <row r="755" spans="1:12" ht="24.75" x14ac:dyDescent="0.25">
      <c r="A755" s="4" t="s">
        <v>11397</v>
      </c>
      <c r="B755" s="2" t="s">
        <v>4027</v>
      </c>
      <c r="C755" s="3">
        <v>1</v>
      </c>
      <c r="D755" s="5">
        <v>24.99</v>
      </c>
      <c r="E755" s="3" t="s">
        <v>11398</v>
      </c>
      <c r="F755" s="2" t="s">
        <v>417</v>
      </c>
      <c r="G755" s="6" t="s">
        <v>234</v>
      </c>
      <c r="H755" s="2" t="s">
        <v>1473</v>
      </c>
      <c r="I755" s="2" t="s">
        <v>1426</v>
      </c>
      <c r="J755" s="2" t="s">
        <v>19</v>
      </c>
      <c r="K755" s="2" t="s">
        <v>648</v>
      </c>
      <c r="L755" s="7" t="str">
        <f>HYPERLINK("http://slimages.macys.com/is/image/MCY/12363729 ")</f>
        <v xml:space="preserve">http://slimages.macys.com/is/image/MCY/12363729 </v>
      </c>
    </row>
    <row r="756" spans="1:12" ht="24.75" x14ac:dyDescent="0.25">
      <c r="A756" s="4" t="s">
        <v>11399</v>
      </c>
      <c r="B756" s="2" t="s">
        <v>4027</v>
      </c>
      <c r="C756" s="3">
        <v>1</v>
      </c>
      <c r="D756" s="5">
        <v>24.99</v>
      </c>
      <c r="E756" s="3" t="s">
        <v>11398</v>
      </c>
      <c r="F756" s="2" t="s">
        <v>15</v>
      </c>
      <c r="G756" s="6" t="s">
        <v>154</v>
      </c>
      <c r="H756" s="2" t="s">
        <v>1473</v>
      </c>
      <c r="I756" s="2" t="s">
        <v>1426</v>
      </c>
      <c r="J756" s="2" t="s">
        <v>19</v>
      </c>
      <c r="K756" s="2" t="s">
        <v>648</v>
      </c>
      <c r="L756" s="7" t="str">
        <f>HYPERLINK("http://slimages.macys.com/is/image/MCY/11026714 ")</f>
        <v xml:space="preserve">http://slimages.macys.com/is/image/MCY/11026714 </v>
      </c>
    </row>
    <row r="757" spans="1:12" ht="24.75" x14ac:dyDescent="0.25">
      <c r="A757" s="4" t="s">
        <v>11400</v>
      </c>
      <c r="B757" s="2" t="s">
        <v>3026</v>
      </c>
      <c r="C757" s="3">
        <v>1</v>
      </c>
      <c r="D757" s="5">
        <v>21.99</v>
      </c>
      <c r="E757" s="3" t="s">
        <v>11401</v>
      </c>
      <c r="F757" s="2" t="s">
        <v>566</v>
      </c>
      <c r="G757" s="6" t="s">
        <v>181</v>
      </c>
      <c r="H757" s="2" t="s">
        <v>284</v>
      </c>
      <c r="I757" s="2" t="s">
        <v>285</v>
      </c>
      <c r="J757" s="2"/>
      <c r="K757" s="2"/>
      <c r="L757" s="7" t="str">
        <f>HYPERLINK("http://slimages.macys.com/is/image/MCY/11640364 ")</f>
        <v xml:space="preserve">http://slimages.macys.com/is/image/MCY/11640364 </v>
      </c>
    </row>
    <row r="758" spans="1:12" ht="24.75" x14ac:dyDescent="0.25">
      <c r="A758" s="4" t="s">
        <v>11402</v>
      </c>
      <c r="B758" s="2" t="s">
        <v>3181</v>
      </c>
      <c r="C758" s="3">
        <v>1</v>
      </c>
      <c r="D758" s="5">
        <v>14.99</v>
      </c>
      <c r="E758" s="3" t="s">
        <v>3182</v>
      </c>
      <c r="F758" s="2" t="s">
        <v>64</v>
      </c>
      <c r="G758" s="6"/>
      <c r="H758" s="2" t="s">
        <v>1425</v>
      </c>
      <c r="I758" s="2" t="s">
        <v>1469</v>
      </c>
      <c r="J758" s="2" t="s">
        <v>19</v>
      </c>
      <c r="K758" s="2" t="s">
        <v>353</v>
      </c>
      <c r="L758" s="7" t="str">
        <f>HYPERLINK("http://slimages.macys.com/is/image/MCY/10743852 ")</f>
        <v xml:space="preserve">http://slimages.macys.com/is/image/MCY/10743852 </v>
      </c>
    </row>
    <row r="759" spans="1:12" ht="24.75" x14ac:dyDescent="0.25">
      <c r="A759" s="4" t="s">
        <v>11403</v>
      </c>
      <c r="B759" s="2" t="s">
        <v>1970</v>
      </c>
      <c r="C759" s="3">
        <v>1</v>
      </c>
      <c r="D759" s="5">
        <v>14.99</v>
      </c>
      <c r="E759" s="3" t="s">
        <v>1971</v>
      </c>
      <c r="F759" s="2" t="s">
        <v>15</v>
      </c>
      <c r="G759" s="6" t="s">
        <v>154</v>
      </c>
      <c r="H759" s="2" t="s">
        <v>1522</v>
      </c>
      <c r="I759" s="2" t="s">
        <v>1469</v>
      </c>
      <c r="J759" s="2" t="s">
        <v>19</v>
      </c>
      <c r="K759" s="2" t="s">
        <v>353</v>
      </c>
      <c r="L759" s="7" t="str">
        <f>HYPERLINK("http://slimages.macys.com/is/image/MCY/13741861 ")</f>
        <v xml:space="preserve">http://slimages.macys.com/is/image/MCY/13741861 </v>
      </c>
    </row>
    <row r="760" spans="1:12" ht="24.75" x14ac:dyDescent="0.25">
      <c r="A760" s="4" t="s">
        <v>11404</v>
      </c>
      <c r="B760" s="2" t="s">
        <v>1988</v>
      </c>
      <c r="C760" s="3">
        <v>3</v>
      </c>
      <c r="D760" s="5">
        <v>14.99</v>
      </c>
      <c r="E760" s="3" t="s">
        <v>1991</v>
      </c>
      <c r="F760" s="2" t="s">
        <v>64</v>
      </c>
      <c r="G760" s="6" t="s">
        <v>154</v>
      </c>
      <c r="H760" s="2" t="s">
        <v>1473</v>
      </c>
      <c r="I760" s="2" t="s">
        <v>1426</v>
      </c>
      <c r="J760" s="2" t="s">
        <v>19</v>
      </c>
      <c r="K760" s="2" t="s">
        <v>648</v>
      </c>
      <c r="L760" s="7" t="str">
        <f>HYPERLINK("http://slimages.macys.com/is/image/MCY/12767912 ")</f>
        <v xml:space="preserve">http://slimages.macys.com/is/image/MCY/12767912 </v>
      </c>
    </row>
    <row r="761" spans="1:12" ht="24.75" x14ac:dyDescent="0.25">
      <c r="A761" s="4" t="s">
        <v>8370</v>
      </c>
      <c r="B761" s="2" t="s">
        <v>1988</v>
      </c>
      <c r="C761" s="3">
        <v>1</v>
      </c>
      <c r="D761" s="5">
        <v>14.99</v>
      </c>
      <c r="E761" s="3" t="s">
        <v>1991</v>
      </c>
      <c r="F761" s="2" t="s">
        <v>1322</v>
      </c>
      <c r="G761" s="6" t="s">
        <v>245</v>
      </c>
      <c r="H761" s="2" t="s">
        <v>1473</v>
      </c>
      <c r="I761" s="2" t="s">
        <v>1426</v>
      </c>
      <c r="J761" s="2" t="s">
        <v>19</v>
      </c>
      <c r="K761" s="2" t="s">
        <v>648</v>
      </c>
      <c r="L761" s="7" t="str">
        <f>HYPERLINK("http://slimages.macys.com/is/image/MCY/12767912 ")</f>
        <v xml:space="preserve">http://slimages.macys.com/is/image/MCY/12767912 </v>
      </c>
    </row>
    <row r="762" spans="1:12" ht="24.75" x14ac:dyDescent="0.25">
      <c r="A762" s="4" t="s">
        <v>4237</v>
      </c>
      <c r="B762" s="2" t="s">
        <v>1988</v>
      </c>
      <c r="C762" s="3">
        <v>1</v>
      </c>
      <c r="D762" s="5">
        <v>14.99</v>
      </c>
      <c r="E762" s="3" t="s">
        <v>1991</v>
      </c>
      <c r="F762" s="2" t="s">
        <v>26</v>
      </c>
      <c r="G762" s="6" t="s">
        <v>234</v>
      </c>
      <c r="H762" s="2" t="s">
        <v>1473</v>
      </c>
      <c r="I762" s="2" t="s">
        <v>1426</v>
      </c>
      <c r="J762" s="2" t="s">
        <v>19</v>
      </c>
      <c r="K762" s="2" t="s">
        <v>648</v>
      </c>
      <c r="L762" s="7" t="str">
        <f>HYPERLINK("http://slimages.macys.com/is/image/MCY/12767912 ")</f>
        <v xml:space="preserve">http://slimages.macys.com/is/image/MCY/12767912 </v>
      </c>
    </row>
    <row r="763" spans="1:12" ht="24.75" x14ac:dyDescent="0.25">
      <c r="A763" s="4" t="s">
        <v>11405</v>
      </c>
      <c r="B763" s="2" t="s">
        <v>1988</v>
      </c>
      <c r="C763" s="3">
        <v>1</v>
      </c>
      <c r="D763" s="5">
        <v>14.99</v>
      </c>
      <c r="E763" s="3" t="s">
        <v>1991</v>
      </c>
      <c r="F763" s="2" t="s">
        <v>3267</v>
      </c>
      <c r="G763" s="6" t="s">
        <v>156</v>
      </c>
      <c r="H763" s="2" t="s">
        <v>1473</v>
      </c>
      <c r="I763" s="2" t="s">
        <v>1426</v>
      </c>
      <c r="J763" s="2" t="s">
        <v>19</v>
      </c>
      <c r="K763" s="2" t="s">
        <v>648</v>
      </c>
      <c r="L763" s="7" t="str">
        <f>HYPERLINK("http://slimages.macys.com/is/image/MCY/11469193 ")</f>
        <v xml:space="preserve">http://slimages.macys.com/is/image/MCY/11469193 </v>
      </c>
    </row>
    <row r="764" spans="1:12" ht="24.75" x14ac:dyDescent="0.25">
      <c r="A764" s="4" t="s">
        <v>11406</v>
      </c>
      <c r="B764" s="2" t="s">
        <v>1988</v>
      </c>
      <c r="C764" s="3">
        <v>1</v>
      </c>
      <c r="D764" s="5">
        <v>14.99</v>
      </c>
      <c r="E764" s="3" t="s">
        <v>1991</v>
      </c>
      <c r="F764" s="2" t="s">
        <v>94</v>
      </c>
      <c r="G764" s="6" t="s">
        <v>181</v>
      </c>
      <c r="H764" s="2" t="s">
        <v>1473</v>
      </c>
      <c r="I764" s="2" t="s">
        <v>1426</v>
      </c>
      <c r="J764" s="2" t="s">
        <v>19</v>
      </c>
      <c r="K764" s="2" t="s">
        <v>648</v>
      </c>
      <c r="L764" s="7" t="str">
        <f>HYPERLINK("http://slimages.macys.com/is/image/MCY/12767912 ")</f>
        <v xml:space="preserve">http://slimages.macys.com/is/image/MCY/12767912 </v>
      </c>
    </row>
    <row r="765" spans="1:12" ht="24.75" x14ac:dyDescent="0.25">
      <c r="A765" s="4" t="s">
        <v>11407</v>
      </c>
      <c r="B765" s="2" t="s">
        <v>1988</v>
      </c>
      <c r="C765" s="3">
        <v>1</v>
      </c>
      <c r="D765" s="5">
        <v>14.99</v>
      </c>
      <c r="E765" s="3" t="s">
        <v>1989</v>
      </c>
      <c r="F765" s="2" t="s">
        <v>94</v>
      </c>
      <c r="G765" s="6"/>
      <c r="H765" s="2" t="s">
        <v>1425</v>
      </c>
      <c r="I765" s="2" t="s">
        <v>1426</v>
      </c>
      <c r="J765" s="2" t="s">
        <v>19</v>
      </c>
      <c r="K765" s="2" t="s">
        <v>648</v>
      </c>
      <c r="L765" s="7" t="str">
        <f>HYPERLINK("http://slimages.macys.com/is/image/MCY/11678994 ")</f>
        <v xml:space="preserve">http://slimages.macys.com/is/image/MCY/11678994 </v>
      </c>
    </row>
    <row r="766" spans="1:12" ht="24.75" x14ac:dyDescent="0.25">
      <c r="A766" s="4" t="s">
        <v>11408</v>
      </c>
      <c r="B766" s="2" t="s">
        <v>1988</v>
      </c>
      <c r="C766" s="3">
        <v>1</v>
      </c>
      <c r="D766" s="5">
        <v>14.99</v>
      </c>
      <c r="E766" s="3" t="s">
        <v>1989</v>
      </c>
      <c r="F766" s="2" t="s">
        <v>70</v>
      </c>
      <c r="G766" s="6"/>
      <c r="H766" s="2" t="s">
        <v>1425</v>
      </c>
      <c r="I766" s="2" t="s">
        <v>1426</v>
      </c>
      <c r="J766" s="2" t="s">
        <v>19</v>
      </c>
      <c r="K766" s="2" t="s">
        <v>648</v>
      </c>
      <c r="L766" s="7" t="str">
        <f>HYPERLINK("http://slimages.macys.com/is/image/MCY/11678994 ")</f>
        <v xml:space="preserve">http://slimages.macys.com/is/image/MCY/11678994 </v>
      </c>
    </row>
    <row r="767" spans="1:12" ht="24.75" x14ac:dyDescent="0.25">
      <c r="A767" s="4" t="s">
        <v>11409</v>
      </c>
      <c r="B767" s="2" t="s">
        <v>1988</v>
      </c>
      <c r="C767" s="3">
        <v>2</v>
      </c>
      <c r="D767" s="5">
        <v>14.99</v>
      </c>
      <c r="E767" s="3" t="s">
        <v>1991</v>
      </c>
      <c r="F767" s="2" t="s">
        <v>74</v>
      </c>
      <c r="G767" s="6" t="s">
        <v>181</v>
      </c>
      <c r="H767" s="2" t="s">
        <v>1473</v>
      </c>
      <c r="I767" s="2" t="s">
        <v>1426</v>
      </c>
      <c r="J767" s="2" t="s">
        <v>19</v>
      </c>
      <c r="K767" s="2" t="s">
        <v>648</v>
      </c>
      <c r="L767" s="7" t="str">
        <f>HYPERLINK("http://slimages.macys.com/is/image/MCY/12767912 ")</f>
        <v xml:space="preserve">http://slimages.macys.com/is/image/MCY/12767912 </v>
      </c>
    </row>
    <row r="768" spans="1:12" ht="24.75" x14ac:dyDescent="0.25">
      <c r="A768" s="4" t="s">
        <v>11410</v>
      </c>
      <c r="B768" s="2" t="s">
        <v>1988</v>
      </c>
      <c r="C768" s="3">
        <v>1</v>
      </c>
      <c r="D768" s="5">
        <v>14.99</v>
      </c>
      <c r="E768" s="3" t="s">
        <v>1991</v>
      </c>
      <c r="F768" s="2" t="s">
        <v>676</v>
      </c>
      <c r="G768" s="6" t="s">
        <v>156</v>
      </c>
      <c r="H768" s="2" t="s">
        <v>1473</v>
      </c>
      <c r="I768" s="2" t="s">
        <v>1426</v>
      </c>
      <c r="J768" s="2" t="s">
        <v>19</v>
      </c>
      <c r="K768" s="2" t="s">
        <v>648</v>
      </c>
      <c r="L768" s="7" t="str">
        <f>HYPERLINK("http://slimages.macys.com/is/image/MCY/11469193 ")</f>
        <v xml:space="preserve">http://slimages.macys.com/is/image/MCY/11469193 </v>
      </c>
    </row>
    <row r="769" spans="1:12" ht="24.75" x14ac:dyDescent="0.25">
      <c r="A769" s="4" t="s">
        <v>3203</v>
      </c>
      <c r="B769" s="2" t="s">
        <v>1988</v>
      </c>
      <c r="C769" s="3">
        <v>1</v>
      </c>
      <c r="D769" s="5">
        <v>14.99</v>
      </c>
      <c r="E769" s="3" t="s">
        <v>1989</v>
      </c>
      <c r="F769" s="2" t="s">
        <v>70</v>
      </c>
      <c r="G769" s="6"/>
      <c r="H769" s="2" t="s">
        <v>1425</v>
      </c>
      <c r="I769" s="2" t="s">
        <v>1426</v>
      </c>
      <c r="J769" s="2" t="s">
        <v>19</v>
      </c>
      <c r="K769" s="2" t="s">
        <v>648</v>
      </c>
      <c r="L769" s="7" t="str">
        <f>HYPERLINK("http://slimages.macys.com/is/image/MCY/11678994 ")</f>
        <v xml:space="preserve">http://slimages.macys.com/is/image/MCY/11678994 </v>
      </c>
    </row>
    <row r="770" spans="1:12" ht="24.75" x14ac:dyDescent="0.25">
      <c r="A770" s="4" t="s">
        <v>11411</v>
      </c>
      <c r="B770" s="2" t="s">
        <v>11412</v>
      </c>
      <c r="C770" s="3">
        <v>1</v>
      </c>
      <c r="D770" s="5">
        <v>9.99</v>
      </c>
      <c r="E770" s="3" t="s">
        <v>11413</v>
      </c>
      <c r="F770" s="2" t="s">
        <v>70</v>
      </c>
      <c r="G770" s="6" t="s">
        <v>181</v>
      </c>
      <c r="H770" s="2" t="s">
        <v>1473</v>
      </c>
      <c r="I770" s="2" t="s">
        <v>1426</v>
      </c>
      <c r="J770" s="2" t="s">
        <v>19</v>
      </c>
      <c r="K770" s="2" t="s">
        <v>648</v>
      </c>
      <c r="L770" s="7" t="str">
        <f>HYPERLINK("http://slimages.macys.com/is/image/MCY/9803162 ")</f>
        <v xml:space="preserve">http://slimages.macys.com/is/image/MCY/9803162 </v>
      </c>
    </row>
    <row r="771" spans="1:12" ht="24.75" x14ac:dyDescent="0.25">
      <c r="A771" s="4" t="s">
        <v>11414</v>
      </c>
      <c r="B771" s="2" t="s">
        <v>4321</v>
      </c>
      <c r="C771" s="3">
        <v>1</v>
      </c>
      <c r="D771" s="5">
        <v>12.99</v>
      </c>
      <c r="E771" s="3" t="s">
        <v>11415</v>
      </c>
      <c r="F771" s="2" t="s">
        <v>26</v>
      </c>
      <c r="G771" s="6" t="s">
        <v>156</v>
      </c>
      <c r="H771" s="2" t="s">
        <v>194</v>
      </c>
      <c r="I771" s="2" t="s">
        <v>195</v>
      </c>
      <c r="J771" s="2" t="s">
        <v>19</v>
      </c>
      <c r="K771" s="2" t="s">
        <v>648</v>
      </c>
      <c r="L771" s="7" t="str">
        <f>HYPERLINK("http://slimages.macys.com/is/image/MCY/8257383 ")</f>
        <v xml:space="preserve">http://slimages.macys.com/is/image/MCY/8257383 </v>
      </c>
    </row>
    <row r="772" spans="1:12" ht="24.75" x14ac:dyDescent="0.25">
      <c r="A772" s="4" t="s">
        <v>11416</v>
      </c>
      <c r="B772" s="2" t="s">
        <v>4321</v>
      </c>
      <c r="C772" s="3">
        <v>1</v>
      </c>
      <c r="D772" s="5">
        <v>12.99</v>
      </c>
      <c r="E772" s="3" t="s">
        <v>11415</v>
      </c>
      <c r="F772" s="2" t="s">
        <v>26</v>
      </c>
      <c r="G772" s="6" t="s">
        <v>154</v>
      </c>
      <c r="H772" s="2" t="s">
        <v>194</v>
      </c>
      <c r="I772" s="2" t="s">
        <v>195</v>
      </c>
      <c r="J772" s="2" t="s">
        <v>19</v>
      </c>
      <c r="K772" s="2" t="s">
        <v>648</v>
      </c>
      <c r="L772" s="7" t="str">
        <f>HYPERLINK("http://slimages.macys.com/is/image/MCY/8257383 ")</f>
        <v xml:space="preserve">http://slimages.macys.com/is/image/MCY/8257383 </v>
      </c>
    </row>
    <row r="773" spans="1:12" ht="24.75" x14ac:dyDescent="0.25">
      <c r="A773" s="4" t="s">
        <v>11417</v>
      </c>
      <c r="B773" s="2" t="s">
        <v>2000</v>
      </c>
      <c r="C773" s="3">
        <v>2</v>
      </c>
      <c r="D773" s="5">
        <v>21.99</v>
      </c>
      <c r="E773" s="3">
        <v>100015505</v>
      </c>
      <c r="F773" s="2" t="s">
        <v>676</v>
      </c>
      <c r="G773" s="6" t="s">
        <v>156</v>
      </c>
      <c r="H773" s="2" t="s">
        <v>284</v>
      </c>
      <c r="I773" s="2" t="s">
        <v>285</v>
      </c>
      <c r="J773" s="2" t="s">
        <v>19</v>
      </c>
      <c r="K773" s="2" t="s">
        <v>247</v>
      </c>
      <c r="L773" s="7" t="str">
        <f>HYPERLINK("http://slimages.macys.com/is/image/MCY/9858135 ")</f>
        <v xml:space="preserve">http://slimages.macys.com/is/image/MCY/9858135 </v>
      </c>
    </row>
    <row r="774" spans="1:12" ht="24.75" x14ac:dyDescent="0.25">
      <c r="A774" s="4" t="s">
        <v>11418</v>
      </c>
      <c r="B774" s="2" t="s">
        <v>2000</v>
      </c>
      <c r="C774" s="3">
        <v>1</v>
      </c>
      <c r="D774" s="5">
        <v>21.99</v>
      </c>
      <c r="E774" s="3">
        <v>100015505</v>
      </c>
      <c r="F774" s="2" t="s">
        <v>676</v>
      </c>
      <c r="G774" s="6" t="s">
        <v>234</v>
      </c>
      <c r="H774" s="2" t="s">
        <v>284</v>
      </c>
      <c r="I774" s="2" t="s">
        <v>285</v>
      </c>
      <c r="J774" s="2" t="s">
        <v>19</v>
      </c>
      <c r="K774" s="2" t="s">
        <v>247</v>
      </c>
      <c r="L774" s="7" t="str">
        <f>HYPERLINK("http://slimages.macys.com/is/image/MCY/9858135 ")</f>
        <v xml:space="preserve">http://slimages.macys.com/is/image/MCY/9858135 </v>
      </c>
    </row>
    <row r="775" spans="1:12" ht="24.75" x14ac:dyDescent="0.25">
      <c r="A775" s="4" t="s">
        <v>11419</v>
      </c>
      <c r="B775" s="2" t="s">
        <v>3216</v>
      </c>
      <c r="C775" s="3">
        <v>1</v>
      </c>
      <c r="D775" s="5">
        <v>21.99</v>
      </c>
      <c r="E775" s="3" t="s">
        <v>11420</v>
      </c>
      <c r="F775" s="2" t="s">
        <v>956</v>
      </c>
      <c r="G775" s="6" t="s">
        <v>234</v>
      </c>
      <c r="H775" s="2" t="s">
        <v>284</v>
      </c>
      <c r="I775" s="2" t="s">
        <v>285</v>
      </c>
      <c r="J775" s="2" t="s">
        <v>19</v>
      </c>
      <c r="K775" s="2" t="s">
        <v>247</v>
      </c>
      <c r="L775" s="7" t="str">
        <f>HYPERLINK("http://slimages.macys.com/is/image/MCY/15199324 ")</f>
        <v xml:space="preserve">http://slimages.macys.com/is/image/MCY/15199324 </v>
      </c>
    </row>
    <row r="776" spans="1:12" ht="24.75" x14ac:dyDescent="0.25">
      <c r="A776" s="4" t="s">
        <v>11421</v>
      </c>
      <c r="B776" s="2" t="s">
        <v>3216</v>
      </c>
      <c r="C776" s="3">
        <v>1</v>
      </c>
      <c r="D776" s="5">
        <v>21.99</v>
      </c>
      <c r="E776" s="3" t="s">
        <v>11422</v>
      </c>
      <c r="F776" s="2" t="s">
        <v>94</v>
      </c>
      <c r="G776" s="6" t="s">
        <v>234</v>
      </c>
      <c r="H776" s="2" t="s">
        <v>284</v>
      </c>
      <c r="I776" s="2" t="s">
        <v>285</v>
      </c>
      <c r="J776" s="2" t="s">
        <v>19</v>
      </c>
      <c r="K776" s="2" t="s">
        <v>247</v>
      </c>
      <c r="L776" s="7" t="str">
        <f>HYPERLINK("http://slimages.macys.com/is/image/MCY/9462994 ")</f>
        <v xml:space="preserve">http://slimages.macys.com/is/image/MCY/9462994 </v>
      </c>
    </row>
    <row r="777" spans="1:12" ht="24.75" x14ac:dyDescent="0.25">
      <c r="A777" s="4" t="s">
        <v>4244</v>
      </c>
      <c r="B777" s="2" t="s">
        <v>4245</v>
      </c>
      <c r="C777" s="3">
        <v>1</v>
      </c>
      <c r="D777" s="5">
        <v>12.99</v>
      </c>
      <c r="E777" s="3" t="s">
        <v>4246</v>
      </c>
      <c r="F777" s="2" t="s">
        <v>111</v>
      </c>
      <c r="G777" s="6" t="s">
        <v>245</v>
      </c>
      <c r="H777" s="2" t="s">
        <v>194</v>
      </c>
      <c r="I777" s="2" t="s">
        <v>195</v>
      </c>
      <c r="J777" s="2" t="s">
        <v>19</v>
      </c>
      <c r="K777" s="2" t="s">
        <v>990</v>
      </c>
      <c r="L777" s="7" t="str">
        <f>HYPERLINK("http://slimages.macys.com/is/image/MCY/11337064 ")</f>
        <v xml:space="preserve">http://slimages.macys.com/is/image/MCY/11337064 </v>
      </c>
    </row>
    <row r="778" spans="1:12" ht="24.75" x14ac:dyDescent="0.25">
      <c r="A778" s="4" t="s">
        <v>11423</v>
      </c>
      <c r="B778" s="2" t="s">
        <v>3216</v>
      </c>
      <c r="C778" s="3">
        <v>2</v>
      </c>
      <c r="D778" s="5">
        <v>21.99</v>
      </c>
      <c r="E778" s="3" t="s">
        <v>11424</v>
      </c>
      <c r="F778" s="2" t="s">
        <v>956</v>
      </c>
      <c r="G778" s="6" t="s">
        <v>181</v>
      </c>
      <c r="H778" s="2" t="s">
        <v>284</v>
      </c>
      <c r="I778" s="2" t="s">
        <v>285</v>
      </c>
      <c r="J778" s="2" t="s">
        <v>19</v>
      </c>
      <c r="K778" s="2" t="s">
        <v>247</v>
      </c>
      <c r="L778" s="7" t="str">
        <f>HYPERLINK("http://slimages.macys.com/is/image/MCY/9462994 ")</f>
        <v xml:space="preserve">http://slimages.macys.com/is/image/MCY/9462994 </v>
      </c>
    </row>
    <row r="779" spans="1:12" ht="24.75" x14ac:dyDescent="0.25">
      <c r="A779" s="4" t="s">
        <v>6189</v>
      </c>
      <c r="B779" s="2" t="s">
        <v>3216</v>
      </c>
      <c r="C779" s="3">
        <v>1</v>
      </c>
      <c r="D779" s="5">
        <v>21.99</v>
      </c>
      <c r="E779" s="3" t="s">
        <v>6190</v>
      </c>
      <c r="F779" s="2" t="s">
        <v>1584</v>
      </c>
      <c r="G779" s="6" t="s">
        <v>154</v>
      </c>
      <c r="H779" s="2" t="s">
        <v>284</v>
      </c>
      <c r="I779" s="2" t="s">
        <v>285</v>
      </c>
      <c r="J779" s="2" t="s">
        <v>19</v>
      </c>
      <c r="K779" s="2" t="s">
        <v>247</v>
      </c>
      <c r="L779" s="7" t="str">
        <f>HYPERLINK("http://slimages.macys.com/is/image/MCY/9462994 ")</f>
        <v xml:space="preserve">http://slimages.macys.com/is/image/MCY/9462994 </v>
      </c>
    </row>
    <row r="780" spans="1:12" ht="24.75" x14ac:dyDescent="0.25">
      <c r="A780" s="4" t="s">
        <v>3221</v>
      </c>
      <c r="B780" s="2" t="s">
        <v>3216</v>
      </c>
      <c r="C780" s="3">
        <v>1</v>
      </c>
      <c r="D780" s="5">
        <v>21.99</v>
      </c>
      <c r="E780" s="3" t="s">
        <v>3219</v>
      </c>
      <c r="F780" s="2" t="s">
        <v>566</v>
      </c>
      <c r="G780" s="6" t="s">
        <v>181</v>
      </c>
      <c r="H780" s="2" t="s">
        <v>284</v>
      </c>
      <c r="I780" s="2" t="s">
        <v>285</v>
      </c>
      <c r="J780" s="2" t="s">
        <v>19</v>
      </c>
      <c r="K780" s="2" t="s">
        <v>247</v>
      </c>
      <c r="L780" s="7" t="str">
        <f>HYPERLINK("http://slimages.macys.com/is/image/MCY/9462994 ")</f>
        <v xml:space="preserve">http://slimages.macys.com/is/image/MCY/9462994 </v>
      </c>
    </row>
    <row r="781" spans="1:12" ht="24.75" x14ac:dyDescent="0.25">
      <c r="A781" s="4" t="s">
        <v>11425</v>
      </c>
      <c r="B781" s="2" t="s">
        <v>3216</v>
      </c>
      <c r="C781" s="3">
        <v>1</v>
      </c>
      <c r="D781" s="5">
        <v>21.99</v>
      </c>
      <c r="E781" s="3" t="s">
        <v>11424</v>
      </c>
      <c r="F781" s="2" t="s">
        <v>956</v>
      </c>
      <c r="G781" s="6" t="s">
        <v>200</v>
      </c>
      <c r="H781" s="2" t="s">
        <v>284</v>
      </c>
      <c r="I781" s="2" t="s">
        <v>285</v>
      </c>
      <c r="J781" s="2" t="s">
        <v>19</v>
      </c>
      <c r="K781" s="2" t="s">
        <v>247</v>
      </c>
      <c r="L781" s="7" t="str">
        <f>HYPERLINK("http://slimages.macys.com/is/image/MCY/9462994 ")</f>
        <v xml:space="preserve">http://slimages.macys.com/is/image/MCY/9462994 </v>
      </c>
    </row>
    <row r="782" spans="1:12" ht="24.75" x14ac:dyDescent="0.25">
      <c r="A782" s="4" t="s">
        <v>11426</v>
      </c>
      <c r="B782" s="2" t="s">
        <v>4245</v>
      </c>
      <c r="C782" s="3">
        <v>1</v>
      </c>
      <c r="D782" s="5">
        <v>12.99</v>
      </c>
      <c r="E782" s="3" t="s">
        <v>4248</v>
      </c>
      <c r="F782" s="2" t="s">
        <v>1322</v>
      </c>
      <c r="G782" s="6" t="s">
        <v>245</v>
      </c>
      <c r="H782" s="2" t="s">
        <v>194</v>
      </c>
      <c r="I782" s="2" t="s">
        <v>195</v>
      </c>
      <c r="J782" s="2" t="s">
        <v>19</v>
      </c>
      <c r="K782" s="2" t="s">
        <v>648</v>
      </c>
      <c r="L782" s="7" t="str">
        <f>HYPERLINK("http://slimages.macys.com/is/image/MCY/11279167 ")</f>
        <v xml:space="preserve">http://slimages.macys.com/is/image/MCY/11279167 </v>
      </c>
    </row>
    <row r="783" spans="1:12" ht="24.75" x14ac:dyDescent="0.25">
      <c r="A783" s="4" t="s">
        <v>11427</v>
      </c>
      <c r="B783" s="2" t="s">
        <v>2002</v>
      </c>
      <c r="C783" s="3">
        <v>1</v>
      </c>
      <c r="D783" s="5">
        <v>12.99</v>
      </c>
      <c r="E783" s="3" t="s">
        <v>11428</v>
      </c>
      <c r="F783" s="2" t="s">
        <v>566</v>
      </c>
      <c r="G783" s="6" t="s">
        <v>200</v>
      </c>
      <c r="H783" s="2" t="s">
        <v>194</v>
      </c>
      <c r="I783" s="2" t="s">
        <v>195</v>
      </c>
      <c r="J783" s="2" t="s">
        <v>19</v>
      </c>
      <c r="K783" s="2" t="s">
        <v>648</v>
      </c>
      <c r="L783" s="7" t="str">
        <f>HYPERLINK("http://slimages.macys.com/is/image/MCY/11606177 ")</f>
        <v xml:space="preserve">http://slimages.macys.com/is/image/MCY/11606177 </v>
      </c>
    </row>
    <row r="784" spans="1:12" ht="24.75" x14ac:dyDescent="0.25">
      <c r="A784" s="4" t="s">
        <v>11429</v>
      </c>
      <c r="B784" s="2" t="s">
        <v>2002</v>
      </c>
      <c r="C784" s="3">
        <v>1</v>
      </c>
      <c r="D784" s="5">
        <v>12.99</v>
      </c>
      <c r="E784" s="3" t="s">
        <v>11430</v>
      </c>
      <c r="F784" s="2" t="s">
        <v>417</v>
      </c>
      <c r="G784" s="6" t="s">
        <v>154</v>
      </c>
      <c r="H784" s="2" t="s">
        <v>194</v>
      </c>
      <c r="I784" s="2" t="s">
        <v>195</v>
      </c>
      <c r="J784" s="2" t="s">
        <v>19</v>
      </c>
      <c r="K784" s="2" t="s">
        <v>648</v>
      </c>
      <c r="L784" s="7" t="str">
        <f>HYPERLINK("http://slimages.macys.com/is/image/MCY/12734307 ")</f>
        <v xml:space="preserve">http://slimages.macys.com/is/image/MCY/12734307 </v>
      </c>
    </row>
    <row r="785" spans="1:12" ht="24.75" x14ac:dyDescent="0.25">
      <c r="A785" s="4" t="s">
        <v>11431</v>
      </c>
      <c r="B785" s="2" t="s">
        <v>2002</v>
      </c>
      <c r="C785" s="3">
        <v>1</v>
      </c>
      <c r="D785" s="5">
        <v>12.99</v>
      </c>
      <c r="E785" s="3" t="s">
        <v>6192</v>
      </c>
      <c r="F785" s="2" t="s">
        <v>33</v>
      </c>
      <c r="G785" s="6" t="s">
        <v>181</v>
      </c>
      <c r="H785" s="2" t="s">
        <v>194</v>
      </c>
      <c r="I785" s="2" t="s">
        <v>195</v>
      </c>
      <c r="J785" s="2" t="s">
        <v>19</v>
      </c>
      <c r="K785" s="2" t="s">
        <v>648</v>
      </c>
      <c r="L785" s="7" t="str">
        <f>HYPERLINK("http://slimages.macys.com/is/image/MCY/11935294 ")</f>
        <v xml:space="preserve">http://slimages.macys.com/is/image/MCY/11935294 </v>
      </c>
    </row>
    <row r="786" spans="1:12" ht="24.75" x14ac:dyDescent="0.25">
      <c r="A786" s="4" t="s">
        <v>11432</v>
      </c>
      <c r="B786" s="2" t="s">
        <v>7702</v>
      </c>
      <c r="C786" s="3">
        <v>6</v>
      </c>
      <c r="D786" s="5">
        <v>12.99</v>
      </c>
      <c r="E786" s="3" t="s">
        <v>11433</v>
      </c>
      <c r="F786" s="2" t="s">
        <v>579</v>
      </c>
      <c r="G786" s="6"/>
      <c r="H786" s="2" t="s">
        <v>312</v>
      </c>
      <c r="I786" s="2" t="s">
        <v>195</v>
      </c>
      <c r="J786" s="2" t="s">
        <v>19</v>
      </c>
      <c r="K786" s="2" t="s">
        <v>648</v>
      </c>
      <c r="L786" s="7" t="str">
        <f>HYPERLINK("http://slimages.macys.com/is/image/MCY/8157256 ")</f>
        <v xml:space="preserve">http://slimages.macys.com/is/image/MCY/8157256 </v>
      </c>
    </row>
    <row r="787" spans="1:12" ht="24.75" x14ac:dyDescent="0.25">
      <c r="A787" s="4" t="s">
        <v>11434</v>
      </c>
      <c r="B787" s="2" t="s">
        <v>7702</v>
      </c>
      <c r="C787" s="3">
        <v>3</v>
      </c>
      <c r="D787" s="5">
        <v>12.99</v>
      </c>
      <c r="E787" s="3" t="s">
        <v>11433</v>
      </c>
      <c r="F787" s="2" t="s">
        <v>579</v>
      </c>
      <c r="G787" s="6"/>
      <c r="H787" s="2" t="s">
        <v>312</v>
      </c>
      <c r="I787" s="2" t="s">
        <v>195</v>
      </c>
      <c r="J787" s="2" t="s">
        <v>19</v>
      </c>
      <c r="K787" s="2" t="s">
        <v>648</v>
      </c>
      <c r="L787" s="7" t="str">
        <f>HYPERLINK("http://slimages.macys.com/is/image/MCY/8157256 ")</f>
        <v xml:space="preserve">http://slimages.macys.com/is/image/MCY/8157256 </v>
      </c>
    </row>
    <row r="788" spans="1:12" ht="24.75" x14ac:dyDescent="0.25">
      <c r="A788" s="4" t="s">
        <v>11435</v>
      </c>
      <c r="B788" s="2" t="s">
        <v>7702</v>
      </c>
      <c r="C788" s="3">
        <v>9</v>
      </c>
      <c r="D788" s="5">
        <v>12.99</v>
      </c>
      <c r="E788" s="3" t="s">
        <v>11433</v>
      </c>
      <c r="F788" s="2" t="s">
        <v>579</v>
      </c>
      <c r="G788" s="6"/>
      <c r="H788" s="2" t="s">
        <v>312</v>
      </c>
      <c r="I788" s="2" t="s">
        <v>195</v>
      </c>
      <c r="J788" s="2" t="s">
        <v>19</v>
      </c>
      <c r="K788" s="2" t="s">
        <v>648</v>
      </c>
      <c r="L788" s="7" t="str">
        <f>HYPERLINK("http://slimages.macys.com/is/image/MCY/8157256 ")</f>
        <v xml:space="preserve">http://slimages.macys.com/is/image/MCY/8157256 </v>
      </c>
    </row>
    <row r="789" spans="1:12" ht="24.75" x14ac:dyDescent="0.25">
      <c r="A789" s="4" t="s">
        <v>11436</v>
      </c>
      <c r="B789" s="2" t="s">
        <v>7702</v>
      </c>
      <c r="C789" s="3">
        <v>1</v>
      </c>
      <c r="D789" s="5">
        <v>12.99</v>
      </c>
      <c r="E789" s="3" t="s">
        <v>11433</v>
      </c>
      <c r="F789" s="2" t="s">
        <v>579</v>
      </c>
      <c r="G789" s="6"/>
      <c r="H789" s="2" t="s">
        <v>312</v>
      </c>
      <c r="I789" s="2" t="s">
        <v>195</v>
      </c>
      <c r="J789" s="2" t="s">
        <v>19</v>
      </c>
      <c r="K789" s="2" t="s">
        <v>648</v>
      </c>
      <c r="L789" s="7" t="str">
        <f>HYPERLINK("http://slimages.macys.com/is/image/MCY/8157256 ")</f>
        <v xml:space="preserve">http://slimages.macys.com/is/image/MCY/8157256 </v>
      </c>
    </row>
    <row r="790" spans="1:12" ht="24.75" x14ac:dyDescent="0.25">
      <c r="A790" s="4" t="s">
        <v>2014</v>
      </c>
      <c r="B790" s="2" t="s">
        <v>2005</v>
      </c>
      <c r="C790" s="3">
        <v>1</v>
      </c>
      <c r="D790" s="5">
        <v>14.99</v>
      </c>
      <c r="E790" s="3" t="s">
        <v>2006</v>
      </c>
      <c r="F790" s="2" t="s">
        <v>74</v>
      </c>
      <c r="G790" s="6" t="s">
        <v>245</v>
      </c>
      <c r="H790" s="2" t="s">
        <v>1522</v>
      </c>
      <c r="I790" s="2" t="s">
        <v>1469</v>
      </c>
      <c r="J790" s="2" t="s">
        <v>19</v>
      </c>
      <c r="K790" s="2" t="s">
        <v>353</v>
      </c>
      <c r="L790" s="7" t="str">
        <f>HYPERLINK("http://slimages.macys.com/is/image/MCY/10743611 ")</f>
        <v xml:space="preserve">http://slimages.macys.com/is/image/MCY/10743611 </v>
      </c>
    </row>
    <row r="791" spans="1:12" ht="24.75" x14ac:dyDescent="0.25">
      <c r="A791" s="4" t="s">
        <v>11437</v>
      </c>
      <c r="B791" s="2" t="s">
        <v>11438</v>
      </c>
      <c r="C791" s="3">
        <v>1</v>
      </c>
      <c r="D791" s="5">
        <v>19.989999999999998</v>
      </c>
      <c r="E791" s="3" t="s">
        <v>11439</v>
      </c>
      <c r="F791" s="2" t="s">
        <v>417</v>
      </c>
      <c r="G791" s="6" t="s">
        <v>200</v>
      </c>
      <c r="H791" s="2" t="s">
        <v>246</v>
      </c>
      <c r="I791" s="2" t="s">
        <v>1939</v>
      </c>
      <c r="J791" s="2" t="s">
        <v>19</v>
      </c>
      <c r="K791" s="2" t="s">
        <v>1940</v>
      </c>
      <c r="L791" s="7" t="str">
        <f t="shared" ref="L791:L798" si="4">HYPERLINK("http://slimages.macys.com/is/image/MCY/11523112 ")</f>
        <v xml:space="preserve">http://slimages.macys.com/is/image/MCY/11523112 </v>
      </c>
    </row>
    <row r="792" spans="1:12" ht="24.75" x14ac:dyDescent="0.25">
      <c r="A792" s="4" t="s">
        <v>11440</v>
      </c>
      <c r="B792" s="2" t="s">
        <v>11438</v>
      </c>
      <c r="C792" s="3">
        <v>1</v>
      </c>
      <c r="D792" s="5">
        <v>19.989999999999998</v>
      </c>
      <c r="E792" s="3" t="s">
        <v>11439</v>
      </c>
      <c r="F792" s="2" t="s">
        <v>417</v>
      </c>
      <c r="G792" s="6" t="s">
        <v>234</v>
      </c>
      <c r="H792" s="2" t="s">
        <v>246</v>
      </c>
      <c r="I792" s="2" t="s">
        <v>1939</v>
      </c>
      <c r="J792" s="2" t="s">
        <v>19</v>
      </c>
      <c r="K792" s="2" t="s">
        <v>1940</v>
      </c>
      <c r="L792" s="7" t="str">
        <f t="shared" si="4"/>
        <v xml:space="preserve">http://slimages.macys.com/is/image/MCY/11523112 </v>
      </c>
    </row>
    <row r="793" spans="1:12" ht="24.75" x14ac:dyDescent="0.25">
      <c r="A793" s="4" t="s">
        <v>11441</v>
      </c>
      <c r="B793" s="2" t="s">
        <v>11438</v>
      </c>
      <c r="C793" s="3">
        <v>1</v>
      </c>
      <c r="D793" s="5">
        <v>19.989999999999998</v>
      </c>
      <c r="E793" s="3" t="s">
        <v>11439</v>
      </c>
      <c r="F793" s="2" t="s">
        <v>48</v>
      </c>
      <c r="G793" s="6" t="s">
        <v>154</v>
      </c>
      <c r="H793" s="2" t="s">
        <v>246</v>
      </c>
      <c r="I793" s="2" t="s">
        <v>1939</v>
      </c>
      <c r="J793" s="2" t="s">
        <v>19</v>
      </c>
      <c r="K793" s="2" t="s">
        <v>1940</v>
      </c>
      <c r="L793" s="7" t="str">
        <f t="shared" si="4"/>
        <v xml:space="preserve">http://slimages.macys.com/is/image/MCY/11523112 </v>
      </c>
    </row>
    <row r="794" spans="1:12" ht="24.75" x14ac:dyDescent="0.25">
      <c r="A794" s="4" t="s">
        <v>11442</v>
      </c>
      <c r="B794" s="2" t="s">
        <v>11438</v>
      </c>
      <c r="C794" s="3">
        <v>2</v>
      </c>
      <c r="D794" s="5">
        <v>19.989999999999998</v>
      </c>
      <c r="E794" s="3" t="s">
        <v>11439</v>
      </c>
      <c r="F794" s="2" t="s">
        <v>64</v>
      </c>
      <c r="G794" s="6" t="s">
        <v>156</v>
      </c>
      <c r="H794" s="2" t="s">
        <v>246</v>
      </c>
      <c r="I794" s="2" t="s">
        <v>1939</v>
      </c>
      <c r="J794" s="2" t="s">
        <v>19</v>
      </c>
      <c r="K794" s="2" t="s">
        <v>1940</v>
      </c>
      <c r="L794" s="7" t="str">
        <f t="shared" si="4"/>
        <v xml:space="preserve">http://slimages.macys.com/is/image/MCY/11523112 </v>
      </c>
    </row>
    <row r="795" spans="1:12" ht="24.75" x14ac:dyDescent="0.25">
      <c r="A795" s="4" t="s">
        <v>11443</v>
      </c>
      <c r="B795" s="2" t="s">
        <v>11438</v>
      </c>
      <c r="C795" s="3">
        <v>1</v>
      </c>
      <c r="D795" s="5">
        <v>19.989999999999998</v>
      </c>
      <c r="E795" s="3" t="s">
        <v>11439</v>
      </c>
      <c r="F795" s="2" t="s">
        <v>417</v>
      </c>
      <c r="G795" s="6" t="s">
        <v>156</v>
      </c>
      <c r="H795" s="2" t="s">
        <v>246</v>
      </c>
      <c r="I795" s="2" t="s">
        <v>1939</v>
      </c>
      <c r="J795" s="2" t="s">
        <v>19</v>
      </c>
      <c r="K795" s="2" t="s">
        <v>1940</v>
      </c>
      <c r="L795" s="7" t="str">
        <f t="shared" si="4"/>
        <v xml:space="preserve">http://slimages.macys.com/is/image/MCY/11523112 </v>
      </c>
    </row>
    <row r="796" spans="1:12" ht="24.75" x14ac:dyDescent="0.25">
      <c r="A796" s="4" t="s">
        <v>11444</v>
      </c>
      <c r="B796" s="2" t="s">
        <v>11438</v>
      </c>
      <c r="C796" s="3">
        <v>1</v>
      </c>
      <c r="D796" s="5">
        <v>19.989999999999998</v>
      </c>
      <c r="E796" s="3" t="s">
        <v>11439</v>
      </c>
      <c r="F796" s="2" t="s">
        <v>64</v>
      </c>
      <c r="G796" s="6" t="s">
        <v>200</v>
      </c>
      <c r="H796" s="2" t="s">
        <v>246</v>
      </c>
      <c r="I796" s="2" t="s">
        <v>1939</v>
      </c>
      <c r="J796" s="2" t="s">
        <v>19</v>
      </c>
      <c r="K796" s="2" t="s">
        <v>1940</v>
      </c>
      <c r="L796" s="7" t="str">
        <f t="shared" si="4"/>
        <v xml:space="preserve">http://slimages.macys.com/is/image/MCY/11523112 </v>
      </c>
    </row>
    <row r="797" spans="1:12" ht="24.75" x14ac:dyDescent="0.25">
      <c r="A797" s="4" t="s">
        <v>11445</v>
      </c>
      <c r="B797" s="2" t="s">
        <v>11438</v>
      </c>
      <c r="C797" s="3">
        <v>1</v>
      </c>
      <c r="D797" s="5">
        <v>19.989999999999998</v>
      </c>
      <c r="E797" s="3" t="s">
        <v>11439</v>
      </c>
      <c r="F797" s="2" t="s">
        <v>417</v>
      </c>
      <c r="G797" s="6" t="s">
        <v>154</v>
      </c>
      <c r="H797" s="2" t="s">
        <v>246</v>
      </c>
      <c r="I797" s="2" t="s">
        <v>1939</v>
      </c>
      <c r="J797" s="2" t="s">
        <v>19</v>
      </c>
      <c r="K797" s="2" t="s">
        <v>1940</v>
      </c>
      <c r="L797" s="7" t="str">
        <f t="shared" si="4"/>
        <v xml:space="preserve">http://slimages.macys.com/is/image/MCY/11523112 </v>
      </c>
    </row>
    <row r="798" spans="1:12" ht="24.75" x14ac:dyDescent="0.25">
      <c r="A798" s="4" t="s">
        <v>11446</v>
      </c>
      <c r="B798" s="2" t="s">
        <v>11438</v>
      </c>
      <c r="C798" s="3">
        <v>1</v>
      </c>
      <c r="D798" s="5">
        <v>19.989999999999998</v>
      </c>
      <c r="E798" s="3" t="s">
        <v>11439</v>
      </c>
      <c r="F798" s="2" t="s">
        <v>417</v>
      </c>
      <c r="G798" s="6" t="s">
        <v>181</v>
      </c>
      <c r="H798" s="2" t="s">
        <v>246</v>
      </c>
      <c r="I798" s="2" t="s">
        <v>1939</v>
      </c>
      <c r="J798" s="2" t="s">
        <v>19</v>
      </c>
      <c r="K798" s="2" t="s">
        <v>1940</v>
      </c>
      <c r="L798" s="7" t="str">
        <f t="shared" si="4"/>
        <v xml:space="preserve">http://slimages.macys.com/is/image/MCY/11523112 </v>
      </c>
    </row>
    <row r="799" spans="1:12" ht="24.75" x14ac:dyDescent="0.25">
      <c r="A799" s="4" t="s">
        <v>11447</v>
      </c>
      <c r="B799" s="2" t="s">
        <v>1967</v>
      </c>
      <c r="C799" s="3">
        <v>1</v>
      </c>
      <c r="D799" s="5">
        <v>19.98</v>
      </c>
      <c r="E799" s="3" t="s">
        <v>11448</v>
      </c>
      <c r="F799" s="2" t="s">
        <v>74</v>
      </c>
      <c r="G799" s="6" t="s">
        <v>219</v>
      </c>
      <c r="H799" s="2" t="s">
        <v>188</v>
      </c>
      <c r="I799" s="2" t="s">
        <v>1939</v>
      </c>
      <c r="J799" s="2" t="s">
        <v>19</v>
      </c>
      <c r="K799" s="2" t="s">
        <v>1940</v>
      </c>
      <c r="L799" s="7" t="str">
        <f>HYPERLINK("http://slimages.macys.com/is/image/MCY/8616089 ")</f>
        <v xml:space="preserve">http://slimages.macys.com/is/image/MCY/8616089 </v>
      </c>
    </row>
    <row r="800" spans="1:12" ht="24.75" x14ac:dyDescent="0.25">
      <c r="A800" s="4" t="s">
        <v>11449</v>
      </c>
      <c r="B800" s="2" t="s">
        <v>2016</v>
      </c>
      <c r="C800" s="3">
        <v>1</v>
      </c>
      <c r="D800" s="5">
        <v>12.99</v>
      </c>
      <c r="E800" s="3" t="s">
        <v>2017</v>
      </c>
      <c r="F800" s="2" t="s">
        <v>566</v>
      </c>
      <c r="G800" s="6" t="s">
        <v>200</v>
      </c>
      <c r="H800" s="2" t="s">
        <v>194</v>
      </c>
      <c r="I800" s="2" t="s">
        <v>195</v>
      </c>
      <c r="J800" s="2" t="s">
        <v>19</v>
      </c>
      <c r="K800" s="2" t="s">
        <v>648</v>
      </c>
      <c r="L800" s="7" t="str">
        <f>HYPERLINK("http://slimages.macys.com/is/image/MCY/14887463 ")</f>
        <v xml:space="preserve">http://slimages.macys.com/is/image/MCY/14887463 </v>
      </c>
    </row>
    <row r="801" spans="1:12" ht="24.75" x14ac:dyDescent="0.25">
      <c r="A801" s="4" t="s">
        <v>7710</v>
      </c>
      <c r="B801" s="2" t="s">
        <v>2016</v>
      </c>
      <c r="C801" s="3">
        <v>1</v>
      </c>
      <c r="D801" s="5">
        <v>12.99</v>
      </c>
      <c r="E801" s="3" t="s">
        <v>2017</v>
      </c>
      <c r="F801" s="2" t="s">
        <v>125</v>
      </c>
      <c r="G801" s="6" t="s">
        <v>156</v>
      </c>
      <c r="H801" s="2" t="s">
        <v>194</v>
      </c>
      <c r="I801" s="2" t="s">
        <v>195</v>
      </c>
      <c r="J801" s="2" t="s">
        <v>19</v>
      </c>
      <c r="K801" s="2" t="s">
        <v>648</v>
      </c>
      <c r="L801" s="7" t="str">
        <f>HYPERLINK("http://slimages.macys.com/is/image/MCY/14887463 ")</f>
        <v xml:space="preserve">http://slimages.macys.com/is/image/MCY/14887463 </v>
      </c>
    </row>
    <row r="802" spans="1:12" ht="24.75" x14ac:dyDescent="0.25">
      <c r="A802" s="4" t="s">
        <v>11450</v>
      </c>
      <c r="B802" s="2" t="s">
        <v>2016</v>
      </c>
      <c r="C802" s="3">
        <v>1</v>
      </c>
      <c r="D802" s="5">
        <v>12.99</v>
      </c>
      <c r="E802" s="3" t="s">
        <v>2017</v>
      </c>
      <c r="F802" s="2" t="s">
        <v>3267</v>
      </c>
      <c r="G802" s="6" t="s">
        <v>234</v>
      </c>
      <c r="H802" s="2" t="s">
        <v>194</v>
      </c>
      <c r="I802" s="2" t="s">
        <v>195</v>
      </c>
      <c r="J802" s="2" t="s">
        <v>19</v>
      </c>
      <c r="K802" s="2" t="s">
        <v>648</v>
      </c>
      <c r="L802" s="7" t="str">
        <f>HYPERLINK("http://slimages.macys.com/is/image/MCY/14887463 ")</f>
        <v xml:space="preserve">http://slimages.macys.com/is/image/MCY/14887463 </v>
      </c>
    </row>
    <row r="803" spans="1:12" ht="24.75" x14ac:dyDescent="0.25">
      <c r="A803" s="4" t="s">
        <v>11451</v>
      </c>
      <c r="B803" s="2" t="s">
        <v>11452</v>
      </c>
      <c r="C803" s="3">
        <v>3</v>
      </c>
      <c r="D803" s="5">
        <v>9.99</v>
      </c>
      <c r="E803" s="3" t="s">
        <v>11453</v>
      </c>
      <c r="F803" s="2" t="s">
        <v>1945</v>
      </c>
      <c r="G803" s="6" t="s">
        <v>181</v>
      </c>
      <c r="H803" s="2" t="s">
        <v>1473</v>
      </c>
      <c r="I803" s="2" t="s">
        <v>1426</v>
      </c>
      <c r="J803" s="2" t="s">
        <v>19</v>
      </c>
      <c r="K803" s="2" t="s">
        <v>495</v>
      </c>
      <c r="L803" s="7" t="str">
        <f>HYPERLINK("http://slimages.macys.com/is/image/MCY/12671319 ")</f>
        <v xml:space="preserve">http://slimages.macys.com/is/image/MCY/12671319 </v>
      </c>
    </row>
    <row r="804" spans="1:12" ht="24.75" x14ac:dyDescent="0.25">
      <c r="A804" s="4" t="s">
        <v>11454</v>
      </c>
      <c r="B804" s="2" t="s">
        <v>11452</v>
      </c>
      <c r="C804" s="3">
        <v>3</v>
      </c>
      <c r="D804" s="5">
        <v>9.99</v>
      </c>
      <c r="E804" s="3" t="s">
        <v>11453</v>
      </c>
      <c r="F804" s="2" t="s">
        <v>1945</v>
      </c>
      <c r="G804" s="6" t="s">
        <v>154</v>
      </c>
      <c r="H804" s="2" t="s">
        <v>1473</v>
      </c>
      <c r="I804" s="2" t="s">
        <v>1426</v>
      </c>
      <c r="J804" s="2" t="s">
        <v>19</v>
      </c>
      <c r="K804" s="2" t="s">
        <v>495</v>
      </c>
      <c r="L804" s="7" t="str">
        <f>HYPERLINK("http://slimages.macys.com/is/image/MCY/12671319 ")</f>
        <v xml:space="preserve">http://slimages.macys.com/is/image/MCY/12671319 </v>
      </c>
    </row>
    <row r="805" spans="1:12" ht="24.75" x14ac:dyDescent="0.25">
      <c r="A805" s="4" t="s">
        <v>11455</v>
      </c>
      <c r="B805" s="2" t="s">
        <v>11456</v>
      </c>
      <c r="C805" s="3">
        <v>1</v>
      </c>
      <c r="D805" s="5">
        <v>9.99</v>
      </c>
      <c r="E805" s="3" t="s">
        <v>11457</v>
      </c>
      <c r="F805" s="2" t="s">
        <v>74</v>
      </c>
      <c r="G805" s="6" t="s">
        <v>200</v>
      </c>
      <c r="H805" s="2" t="s">
        <v>1473</v>
      </c>
      <c r="I805" s="2" t="s">
        <v>1426</v>
      </c>
      <c r="J805" s="2" t="s">
        <v>19</v>
      </c>
      <c r="K805" s="2" t="s">
        <v>495</v>
      </c>
      <c r="L805" s="7" t="str">
        <f>HYPERLINK("http://slimages.macys.com/is/image/MCY/12549055 ")</f>
        <v xml:space="preserve">http://slimages.macys.com/is/image/MCY/12549055 </v>
      </c>
    </row>
    <row r="806" spans="1:12" ht="24.75" x14ac:dyDescent="0.25">
      <c r="A806" s="4" t="s">
        <v>11458</v>
      </c>
      <c r="B806" s="2" t="s">
        <v>11452</v>
      </c>
      <c r="C806" s="3">
        <v>2</v>
      </c>
      <c r="D806" s="5">
        <v>9.99</v>
      </c>
      <c r="E806" s="3" t="s">
        <v>11453</v>
      </c>
      <c r="F806" s="2" t="s">
        <v>1945</v>
      </c>
      <c r="G806" s="6" t="s">
        <v>234</v>
      </c>
      <c r="H806" s="2" t="s">
        <v>1473</v>
      </c>
      <c r="I806" s="2" t="s">
        <v>1426</v>
      </c>
      <c r="J806" s="2" t="s">
        <v>19</v>
      </c>
      <c r="K806" s="2" t="s">
        <v>495</v>
      </c>
      <c r="L806" s="7" t="str">
        <f>HYPERLINK("http://slimages.macys.com/is/image/MCY/12671319 ")</f>
        <v xml:space="preserve">http://slimages.macys.com/is/image/MCY/12671319 </v>
      </c>
    </row>
    <row r="807" spans="1:12" ht="24.75" x14ac:dyDescent="0.25">
      <c r="A807" s="4" t="s">
        <v>11459</v>
      </c>
      <c r="B807" s="2" t="s">
        <v>11456</v>
      </c>
      <c r="C807" s="3">
        <v>2</v>
      </c>
      <c r="D807" s="5">
        <v>9.99</v>
      </c>
      <c r="E807" s="3" t="s">
        <v>11457</v>
      </c>
      <c r="F807" s="2" t="s">
        <v>74</v>
      </c>
      <c r="G807" s="6" t="s">
        <v>181</v>
      </c>
      <c r="H807" s="2" t="s">
        <v>1473</v>
      </c>
      <c r="I807" s="2" t="s">
        <v>1426</v>
      </c>
      <c r="J807" s="2" t="s">
        <v>19</v>
      </c>
      <c r="K807" s="2" t="s">
        <v>495</v>
      </c>
      <c r="L807" s="7" t="str">
        <f>HYPERLINK("http://slimages.macys.com/is/image/MCY/12549055 ")</f>
        <v xml:space="preserve">http://slimages.macys.com/is/image/MCY/12549055 </v>
      </c>
    </row>
    <row r="808" spans="1:12" ht="24.75" x14ac:dyDescent="0.25">
      <c r="A808" s="4" t="s">
        <v>11460</v>
      </c>
      <c r="B808" s="2" t="s">
        <v>11456</v>
      </c>
      <c r="C808" s="3">
        <v>1</v>
      </c>
      <c r="D808" s="5">
        <v>9.99</v>
      </c>
      <c r="E808" s="3" t="s">
        <v>11457</v>
      </c>
      <c r="F808" s="2" t="s">
        <v>74</v>
      </c>
      <c r="G808" s="6" t="s">
        <v>156</v>
      </c>
      <c r="H808" s="2" t="s">
        <v>1473</v>
      </c>
      <c r="I808" s="2" t="s">
        <v>1426</v>
      </c>
      <c r="J808" s="2" t="s">
        <v>19</v>
      </c>
      <c r="K808" s="2" t="s">
        <v>495</v>
      </c>
      <c r="L808" s="7" t="str">
        <f>HYPERLINK("http://slimages.macys.com/is/image/MCY/12549055 ")</f>
        <v xml:space="preserve">http://slimages.macys.com/is/image/MCY/12549055 </v>
      </c>
    </row>
    <row r="809" spans="1:12" ht="24.75" x14ac:dyDescent="0.25">
      <c r="A809" s="4" t="s">
        <v>6212</v>
      </c>
      <c r="B809" s="2" t="s">
        <v>6213</v>
      </c>
      <c r="C809" s="3">
        <v>1</v>
      </c>
      <c r="D809" s="5">
        <v>9.99</v>
      </c>
      <c r="E809" s="3" t="s">
        <v>6214</v>
      </c>
      <c r="F809" s="2" t="s">
        <v>64</v>
      </c>
      <c r="G809" s="6"/>
      <c r="H809" s="2" t="s">
        <v>1425</v>
      </c>
      <c r="I809" s="2" t="s">
        <v>1426</v>
      </c>
      <c r="J809" s="2" t="s">
        <v>19</v>
      </c>
      <c r="K809" s="2" t="s">
        <v>495</v>
      </c>
      <c r="L809" s="7" t="str">
        <f>HYPERLINK("http://slimages.macys.com/is/image/MCY/12671964 ")</f>
        <v xml:space="preserve">http://slimages.macys.com/is/image/MCY/12671964 </v>
      </c>
    </row>
    <row r="810" spans="1:12" ht="24.75" x14ac:dyDescent="0.25">
      <c r="A810" s="4" t="s">
        <v>11461</v>
      </c>
      <c r="B810" s="2" t="s">
        <v>11456</v>
      </c>
      <c r="C810" s="3">
        <v>1</v>
      </c>
      <c r="D810" s="5">
        <v>9.99</v>
      </c>
      <c r="E810" s="3" t="s">
        <v>11457</v>
      </c>
      <c r="F810" s="2" t="s">
        <v>74</v>
      </c>
      <c r="G810" s="6" t="s">
        <v>234</v>
      </c>
      <c r="H810" s="2" t="s">
        <v>1473</v>
      </c>
      <c r="I810" s="2" t="s">
        <v>1426</v>
      </c>
      <c r="J810" s="2" t="s">
        <v>19</v>
      </c>
      <c r="K810" s="2" t="s">
        <v>495</v>
      </c>
      <c r="L810" s="7" t="str">
        <f>HYPERLINK("http://slimages.macys.com/is/image/MCY/12549055 ")</f>
        <v xml:space="preserve">http://slimages.macys.com/is/image/MCY/12549055 </v>
      </c>
    </row>
    <row r="811" spans="1:12" ht="24.75" x14ac:dyDescent="0.25">
      <c r="A811" s="4" t="s">
        <v>11462</v>
      </c>
      <c r="B811" s="2" t="s">
        <v>11456</v>
      </c>
      <c r="C811" s="3">
        <v>1</v>
      </c>
      <c r="D811" s="5">
        <v>9.99</v>
      </c>
      <c r="E811" s="3" t="s">
        <v>11457</v>
      </c>
      <c r="F811" s="2" t="s">
        <v>74</v>
      </c>
      <c r="G811" s="6" t="s">
        <v>154</v>
      </c>
      <c r="H811" s="2" t="s">
        <v>1473</v>
      </c>
      <c r="I811" s="2" t="s">
        <v>1426</v>
      </c>
      <c r="J811" s="2" t="s">
        <v>19</v>
      </c>
      <c r="K811" s="2" t="s">
        <v>495</v>
      </c>
      <c r="L811" s="7" t="str">
        <f>HYPERLINK("http://slimages.macys.com/is/image/MCY/12549055 ")</f>
        <v xml:space="preserve">http://slimages.macys.com/is/image/MCY/12549055 </v>
      </c>
    </row>
    <row r="812" spans="1:12" ht="24.75" x14ac:dyDescent="0.25">
      <c r="A812" s="4" t="s">
        <v>11463</v>
      </c>
      <c r="B812" s="2" t="s">
        <v>11464</v>
      </c>
      <c r="C812" s="3">
        <v>1</v>
      </c>
      <c r="D812" s="5">
        <v>9.99</v>
      </c>
      <c r="E812" s="3" t="s">
        <v>11465</v>
      </c>
      <c r="F812" s="2" t="s">
        <v>26</v>
      </c>
      <c r="G812" s="6" t="s">
        <v>156</v>
      </c>
      <c r="H812" s="2" t="s">
        <v>1473</v>
      </c>
      <c r="I812" s="2" t="s">
        <v>1426</v>
      </c>
      <c r="J812" s="2" t="s">
        <v>19</v>
      </c>
      <c r="K812" s="2" t="s">
        <v>495</v>
      </c>
      <c r="L812" s="7" t="str">
        <f>HYPERLINK("http://slimages.macys.com/is/image/MCY/13635175 ")</f>
        <v xml:space="preserve">http://slimages.macys.com/is/image/MCY/13635175 </v>
      </c>
    </row>
    <row r="813" spans="1:12" ht="24.75" x14ac:dyDescent="0.25">
      <c r="A813" s="4" t="s">
        <v>11466</v>
      </c>
      <c r="B813" s="2" t="s">
        <v>10313</v>
      </c>
      <c r="C813" s="3">
        <v>1</v>
      </c>
      <c r="D813" s="5">
        <v>19.989999999999998</v>
      </c>
      <c r="E813" s="3" t="s">
        <v>10314</v>
      </c>
      <c r="F813" s="2" t="s">
        <v>1584</v>
      </c>
      <c r="G813" s="6" t="s">
        <v>181</v>
      </c>
      <c r="H813" s="2" t="s">
        <v>246</v>
      </c>
      <c r="I813" s="2" t="s">
        <v>189</v>
      </c>
      <c r="J813" s="2" t="s">
        <v>19</v>
      </c>
      <c r="K813" s="2" t="s">
        <v>648</v>
      </c>
      <c r="L813" s="7" t="str">
        <f>HYPERLINK("http://slimages.macys.com/is/image/MCY/8123674 ")</f>
        <v xml:space="preserve">http://slimages.macys.com/is/image/MCY/8123674 </v>
      </c>
    </row>
    <row r="814" spans="1:12" ht="24.75" x14ac:dyDescent="0.25">
      <c r="A814" s="4" t="s">
        <v>11467</v>
      </c>
      <c r="B814" s="2" t="s">
        <v>10313</v>
      </c>
      <c r="C814" s="3">
        <v>1</v>
      </c>
      <c r="D814" s="5">
        <v>19.989999999999998</v>
      </c>
      <c r="E814" s="3" t="s">
        <v>10314</v>
      </c>
      <c r="F814" s="2" t="s">
        <v>1584</v>
      </c>
      <c r="G814" s="6" t="s">
        <v>154</v>
      </c>
      <c r="H814" s="2" t="s">
        <v>246</v>
      </c>
      <c r="I814" s="2" t="s">
        <v>189</v>
      </c>
      <c r="J814" s="2" t="s">
        <v>19</v>
      </c>
      <c r="K814" s="2" t="s">
        <v>648</v>
      </c>
      <c r="L814" s="7" t="str">
        <f>HYPERLINK("http://slimages.macys.com/is/image/MCY/8123674 ")</f>
        <v xml:space="preserve">http://slimages.macys.com/is/image/MCY/8123674 </v>
      </c>
    </row>
    <row r="815" spans="1:12" ht="24.75" x14ac:dyDescent="0.25">
      <c r="A815" s="4" t="s">
        <v>11468</v>
      </c>
      <c r="B815" s="2" t="s">
        <v>4270</v>
      </c>
      <c r="C815" s="3">
        <v>1</v>
      </c>
      <c r="D815" s="5">
        <v>12.99</v>
      </c>
      <c r="E815" s="3" t="s">
        <v>4271</v>
      </c>
      <c r="F815" s="2" t="s">
        <v>111</v>
      </c>
      <c r="G815" s="6" t="s">
        <v>156</v>
      </c>
      <c r="H815" s="2" t="s">
        <v>194</v>
      </c>
      <c r="I815" s="2" t="s">
        <v>195</v>
      </c>
      <c r="J815" s="2" t="s">
        <v>19</v>
      </c>
      <c r="K815" s="2" t="s">
        <v>495</v>
      </c>
      <c r="L815" s="7" t="str">
        <f>HYPERLINK("http://slimages.macys.com/is/image/MCY/3565245 ")</f>
        <v xml:space="preserve">http://slimages.macys.com/is/image/MCY/3565245 </v>
      </c>
    </row>
    <row r="816" spans="1:12" ht="24.75" x14ac:dyDescent="0.25">
      <c r="A816" s="4" t="s">
        <v>11469</v>
      </c>
      <c r="B816" s="2" t="s">
        <v>2016</v>
      </c>
      <c r="C816" s="3">
        <v>1</v>
      </c>
      <c r="D816" s="5">
        <v>12.99</v>
      </c>
      <c r="E816" s="3" t="s">
        <v>2017</v>
      </c>
      <c r="F816" s="2" t="s">
        <v>170</v>
      </c>
      <c r="G816" s="6" t="s">
        <v>181</v>
      </c>
      <c r="H816" s="2" t="s">
        <v>194</v>
      </c>
      <c r="I816" s="2" t="s">
        <v>195</v>
      </c>
      <c r="J816" s="2" t="s">
        <v>19</v>
      </c>
      <c r="K816" s="2" t="s">
        <v>648</v>
      </c>
      <c r="L816" s="7" t="str">
        <f>HYPERLINK("http://slimages.macys.com/is/image/MCY/14887463 ")</f>
        <v xml:space="preserve">http://slimages.macys.com/is/image/MCY/14887463 </v>
      </c>
    </row>
    <row r="817" spans="1:12" ht="24.75" x14ac:dyDescent="0.25">
      <c r="A817" s="4" t="s">
        <v>11470</v>
      </c>
      <c r="B817" s="2" t="s">
        <v>2016</v>
      </c>
      <c r="C817" s="3">
        <v>1</v>
      </c>
      <c r="D817" s="5">
        <v>12.99</v>
      </c>
      <c r="E817" s="3" t="s">
        <v>2017</v>
      </c>
      <c r="F817" s="2" t="s">
        <v>170</v>
      </c>
      <c r="G817" s="6" t="s">
        <v>156</v>
      </c>
      <c r="H817" s="2" t="s">
        <v>194</v>
      </c>
      <c r="I817" s="2" t="s">
        <v>195</v>
      </c>
      <c r="J817" s="2" t="s">
        <v>19</v>
      </c>
      <c r="K817" s="2" t="s">
        <v>648</v>
      </c>
      <c r="L817" s="7" t="str">
        <f>HYPERLINK("http://slimages.macys.com/is/image/MCY/14887463 ")</f>
        <v xml:space="preserve">http://slimages.macys.com/is/image/MCY/14887463 </v>
      </c>
    </row>
    <row r="818" spans="1:12" ht="24.75" x14ac:dyDescent="0.25">
      <c r="A818" s="4" t="s">
        <v>11471</v>
      </c>
      <c r="B818" s="2" t="s">
        <v>11472</v>
      </c>
      <c r="C818" s="3">
        <v>1</v>
      </c>
      <c r="D818" s="5">
        <v>12.99</v>
      </c>
      <c r="E818" s="3" t="s">
        <v>11473</v>
      </c>
      <c r="F818" s="2" t="s">
        <v>15</v>
      </c>
      <c r="G818" s="6" t="s">
        <v>156</v>
      </c>
      <c r="H818" s="2" t="s">
        <v>1473</v>
      </c>
      <c r="I818" s="2" t="s">
        <v>1426</v>
      </c>
      <c r="J818" s="2" t="s">
        <v>19</v>
      </c>
      <c r="K818" s="2" t="s">
        <v>648</v>
      </c>
      <c r="L818" s="7" t="str">
        <f>HYPERLINK("http://slimages.macys.com/is/image/MCY/9897922 ")</f>
        <v xml:space="preserve">http://slimages.macys.com/is/image/MCY/9897922 </v>
      </c>
    </row>
    <row r="819" spans="1:12" ht="24.75" x14ac:dyDescent="0.25">
      <c r="A819" s="4" t="s">
        <v>11474</v>
      </c>
      <c r="B819" s="2" t="s">
        <v>11472</v>
      </c>
      <c r="C819" s="3">
        <v>1</v>
      </c>
      <c r="D819" s="5">
        <v>12.99</v>
      </c>
      <c r="E819" s="3" t="s">
        <v>11473</v>
      </c>
      <c r="F819" s="2" t="s">
        <v>15</v>
      </c>
      <c r="G819" s="6" t="s">
        <v>245</v>
      </c>
      <c r="H819" s="2" t="s">
        <v>1473</v>
      </c>
      <c r="I819" s="2" t="s">
        <v>1426</v>
      </c>
      <c r="J819" s="2" t="s">
        <v>19</v>
      </c>
      <c r="K819" s="2" t="s">
        <v>648</v>
      </c>
      <c r="L819" s="7" t="str">
        <f>HYPERLINK("http://slimages.macys.com/is/image/MCY/9897922 ")</f>
        <v xml:space="preserve">http://slimages.macys.com/is/image/MCY/9897922 </v>
      </c>
    </row>
    <row r="820" spans="1:12" ht="24.75" x14ac:dyDescent="0.25">
      <c r="A820" s="4" t="s">
        <v>11475</v>
      </c>
      <c r="B820" s="2" t="s">
        <v>11472</v>
      </c>
      <c r="C820" s="3">
        <v>1</v>
      </c>
      <c r="D820" s="5">
        <v>12.99</v>
      </c>
      <c r="E820" s="3" t="s">
        <v>11473</v>
      </c>
      <c r="F820" s="2" t="s">
        <v>53</v>
      </c>
      <c r="G820" s="6" t="s">
        <v>245</v>
      </c>
      <c r="H820" s="2" t="s">
        <v>1473</v>
      </c>
      <c r="I820" s="2" t="s">
        <v>1426</v>
      </c>
      <c r="J820" s="2" t="s">
        <v>19</v>
      </c>
      <c r="K820" s="2" t="s">
        <v>648</v>
      </c>
      <c r="L820" s="7" t="str">
        <f>HYPERLINK("http://slimages.macys.com/is/image/MCY/9897922 ")</f>
        <v xml:space="preserve">http://slimages.macys.com/is/image/MCY/9897922 </v>
      </c>
    </row>
    <row r="821" spans="1:12" ht="24.75" x14ac:dyDescent="0.25">
      <c r="A821" s="4" t="s">
        <v>3235</v>
      </c>
      <c r="B821" s="2" t="s">
        <v>2021</v>
      </c>
      <c r="C821" s="3">
        <v>1</v>
      </c>
      <c r="D821" s="5">
        <v>18.38</v>
      </c>
      <c r="E821" s="3">
        <v>100018061</v>
      </c>
      <c r="F821" s="2" t="s">
        <v>64</v>
      </c>
      <c r="G821" s="6" t="s">
        <v>181</v>
      </c>
      <c r="H821" s="2" t="s">
        <v>194</v>
      </c>
      <c r="I821" s="2" t="s">
        <v>195</v>
      </c>
      <c r="J821" s="2" t="s">
        <v>19</v>
      </c>
      <c r="K821" s="2" t="s">
        <v>495</v>
      </c>
      <c r="L821" s="7" t="str">
        <f>HYPERLINK("http://slimages.macys.com/is/image/MCY/12950402 ")</f>
        <v xml:space="preserve">http://slimages.macys.com/is/image/MCY/12950402 </v>
      </c>
    </row>
    <row r="822" spans="1:12" ht="24.75" x14ac:dyDescent="0.25">
      <c r="A822" s="4" t="s">
        <v>11476</v>
      </c>
      <c r="B822" s="2" t="s">
        <v>11477</v>
      </c>
      <c r="C822" s="3">
        <v>1</v>
      </c>
      <c r="D822" s="5">
        <v>12.99</v>
      </c>
      <c r="E822" s="3" t="s">
        <v>11478</v>
      </c>
      <c r="F822" s="2" t="s">
        <v>64</v>
      </c>
      <c r="G822" s="6" t="s">
        <v>181</v>
      </c>
      <c r="H822" s="2" t="s">
        <v>194</v>
      </c>
      <c r="I822" s="2" t="s">
        <v>195</v>
      </c>
      <c r="J822" s="2" t="s">
        <v>19</v>
      </c>
      <c r="K822" s="2" t="s">
        <v>495</v>
      </c>
      <c r="L822" s="7" t="str">
        <f>HYPERLINK("http://slimages.macys.com/is/image/MCY/12849830 ")</f>
        <v xml:space="preserve">http://slimages.macys.com/is/image/MCY/12849830 </v>
      </c>
    </row>
    <row r="823" spans="1:12" ht="24.75" x14ac:dyDescent="0.25">
      <c r="A823" s="4" t="s">
        <v>11479</v>
      </c>
      <c r="B823" s="2" t="s">
        <v>11477</v>
      </c>
      <c r="C823" s="3">
        <v>1</v>
      </c>
      <c r="D823" s="5">
        <v>12.99</v>
      </c>
      <c r="E823" s="3" t="s">
        <v>11478</v>
      </c>
      <c r="F823" s="2" t="s">
        <v>70</v>
      </c>
      <c r="G823" s="6" t="s">
        <v>245</v>
      </c>
      <c r="H823" s="2" t="s">
        <v>194</v>
      </c>
      <c r="I823" s="2" t="s">
        <v>195</v>
      </c>
      <c r="J823" s="2" t="s">
        <v>19</v>
      </c>
      <c r="K823" s="2" t="s">
        <v>495</v>
      </c>
      <c r="L823" s="7" t="str">
        <f>HYPERLINK("http://slimages.macys.com/is/image/MCY/12849830 ")</f>
        <v xml:space="preserve">http://slimages.macys.com/is/image/MCY/12849830 </v>
      </c>
    </row>
    <row r="824" spans="1:12" ht="24.75" x14ac:dyDescent="0.25">
      <c r="A824" s="4" t="s">
        <v>11480</v>
      </c>
      <c r="B824" s="2" t="s">
        <v>4367</v>
      </c>
      <c r="C824" s="3">
        <v>1</v>
      </c>
      <c r="D824" s="5">
        <v>9.99</v>
      </c>
      <c r="E824" s="3" t="s">
        <v>4368</v>
      </c>
      <c r="F824" s="2" t="s">
        <v>74</v>
      </c>
      <c r="G824" s="6" t="s">
        <v>245</v>
      </c>
      <c r="H824" s="2" t="s">
        <v>194</v>
      </c>
      <c r="I824" s="2" t="s">
        <v>195</v>
      </c>
      <c r="J824" s="2" t="s">
        <v>19</v>
      </c>
      <c r="K824" s="2" t="s">
        <v>247</v>
      </c>
      <c r="L824" s="7" t="str">
        <f>HYPERLINK("http://slimages.macys.com/is/image/MCY/13368198 ")</f>
        <v xml:space="preserve">http://slimages.macys.com/is/image/MCY/13368198 </v>
      </c>
    </row>
    <row r="825" spans="1:12" ht="24.75" x14ac:dyDescent="0.25">
      <c r="A825" s="4" t="s">
        <v>11481</v>
      </c>
      <c r="B825" s="2" t="s">
        <v>1964</v>
      </c>
      <c r="C825" s="3">
        <v>1</v>
      </c>
      <c r="D825" s="5">
        <v>19.989999999999998</v>
      </c>
      <c r="E825" s="3" t="s">
        <v>11482</v>
      </c>
      <c r="F825" s="2" t="s">
        <v>74</v>
      </c>
      <c r="G825" s="6"/>
      <c r="H825" s="2" t="s">
        <v>632</v>
      </c>
      <c r="I825" s="2" t="s">
        <v>285</v>
      </c>
      <c r="J825" s="2" t="s">
        <v>19</v>
      </c>
      <c r="K825" s="2" t="s">
        <v>247</v>
      </c>
      <c r="L825" s="7" t="str">
        <f>HYPERLINK("http://slimages.macys.com/is/image/MCY/11721629 ")</f>
        <v xml:space="preserve">http://slimages.macys.com/is/image/MCY/11721629 </v>
      </c>
    </row>
    <row r="826" spans="1:12" ht="24.75" x14ac:dyDescent="0.25">
      <c r="A826" s="4" t="s">
        <v>11483</v>
      </c>
      <c r="B826" s="2" t="s">
        <v>4367</v>
      </c>
      <c r="C826" s="3">
        <v>1</v>
      </c>
      <c r="D826" s="5">
        <v>9.99</v>
      </c>
      <c r="E826" s="3" t="s">
        <v>4368</v>
      </c>
      <c r="F826" s="2" t="s">
        <v>48</v>
      </c>
      <c r="G826" s="6" t="s">
        <v>154</v>
      </c>
      <c r="H826" s="2" t="s">
        <v>194</v>
      </c>
      <c r="I826" s="2" t="s">
        <v>195</v>
      </c>
      <c r="J826" s="2" t="s">
        <v>19</v>
      </c>
      <c r="K826" s="2" t="s">
        <v>247</v>
      </c>
      <c r="L826" s="7" t="str">
        <f>HYPERLINK("http://slimages.macys.com/is/image/MCY/13368198 ")</f>
        <v xml:space="preserve">http://slimages.macys.com/is/image/MCY/13368198 </v>
      </c>
    </row>
    <row r="827" spans="1:12" ht="24.75" x14ac:dyDescent="0.25">
      <c r="A827" s="4" t="s">
        <v>11484</v>
      </c>
      <c r="B827" s="2" t="s">
        <v>4277</v>
      </c>
      <c r="C827" s="3">
        <v>1</v>
      </c>
      <c r="D827" s="5">
        <v>12.99</v>
      </c>
      <c r="E827" s="3" t="s">
        <v>4278</v>
      </c>
      <c r="F827" s="2" t="s">
        <v>53</v>
      </c>
      <c r="G827" s="6" t="s">
        <v>156</v>
      </c>
      <c r="H827" s="2" t="s">
        <v>1473</v>
      </c>
      <c r="I827" s="2" t="s">
        <v>1426</v>
      </c>
      <c r="J827" s="2" t="s">
        <v>19</v>
      </c>
      <c r="K827" s="2" t="s">
        <v>648</v>
      </c>
      <c r="L827" s="7" t="str">
        <f>HYPERLINK("http://slimages.macys.com/is/image/MCY/9770425 ")</f>
        <v xml:space="preserve">http://slimages.macys.com/is/image/MCY/9770425 </v>
      </c>
    </row>
    <row r="828" spans="1:12" ht="24.75" x14ac:dyDescent="0.25">
      <c r="A828" s="4" t="s">
        <v>11485</v>
      </c>
      <c r="B828" s="2" t="s">
        <v>4277</v>
      </c>
      <c r="C828" s="3">
        <v>1</v>
      </c>
      <c r="D828" s="5">
        <v>12.99</v>
      </c>
      <c r="E828" s="3" t="s">
        <v>4278</v>
      </c>
      <c r="F828" s="2" t="s">
        <v>199</v>
      </c>
      <c r="G828" s="6" t="s">
        <v>181</v>
      </c>
      <c r="H828" s="2" t="s">
        <v>1473</v>
      </c>
      <c r="I828" s="2" t="s">
        <v>1426</v>
      </c>
      <c r="J828" s="2" t="s">
        <v>19</v>
      </c>
      <c r="K828" s="2" t="s">
        <v>648</v>
      </c>
      <c r="L828" s="7" t="str">
        <f>HYPERLINK("http://slimages.macys.com/is/image/MCY/9770425 ")</f>
        <v xml:space="preserve">http://slimages.macys.com/is/image/MCY/9770425 </v>
      </c>
    </row>
    <row r="829" spans="1:12" ht="24.75" x14ac:dyDescent="0.25">
      <c r="A829" s="4" t="s">
        <v>11486</v>
      </c>
      <c r="B829" s="2" t="s">
        <v>4277</v>
      </c>
      <c r="C829" s="3">
        <v>1</v>
      </c>
      <c r="D829" s="5">
        <v>12.99</v>
      </c>
      <c r="E829" s="3" t="s">
        <v>4278</v>
      </c>
      <c r="F829" s="2" t="s">
        <v>136</v>
      </c>
      <c r="G829" s="6" t="s">
        <v>200</v>
      </c>
      <c r="H829" s="2" t="s">
        <v>1473</v>
      </c>
      <c r="I829" s="2" t="s">
        <v>1426</v>
      </c>
      <c r="J829" s="2" t="s">
        <v>19</v>
      </c>
      <c r="K829" s="2" t="s">
        <v>648</v>
      </c>
      <c r="L829" s="7" t="str">
        <f>HYPERLINK("http://slimages.macys.com/is/image/MCY/9770425 ")</f>
        <v xml:space="preserve">http://slimages.macys.com/is/image/MCY/9770425 </v>
      </c>
    </row>
    <row r="830" spans="1:12" ht="24.75" x14ac:dyDescent="0.25">
      <c r="A830" s="4" t="s">
        <v>8381</v>
      </c>
      <c r="B830" s="2" t="s">
        <v>4277</v>
      </c>
      <c r="C830" s="3">
        <v>1</v>
      </c>
      <c r="D830" s="5">
        <v>12.99</v>
      </c>
      <c r="E830" s="3" t="s">
        <v>4278</v>
      </c>
      <c r="F830" s="2" t="s">
        <v>74</v>
      </c>
      <c r="G830" s="6" t="s">
        <v>200</v>
      </c>
      <c r="H830" s="2" t="s">
        <v>1473</v>
      </c>
      <c r="I830" s="2" t="s">
        <v>1426</v>
      </c>
      <c r="J830" s="2" t="s">
        <v>19</v>
      </c>
      <c r="K830" s="2" t="s">
        <v>648</v>
      </c>
      <c r="L830" s="7" t="str">
        <f>HYPERLINK("http://slimages.macys.com/is/image/MCY/9770425 ")</f>
        <v xml:space="preserve">http://slimages.macys.com/is/image/MCY/9770425 </v>
      </c>
    </row>
    <row r="831" spans="1:12" ht="24.75" x14ac:dyDescent="0.25">
      <c r="A831" s="4" t="s">
        <v>11487</v>
      </c>
      <c r="B831" s="2" t="s">
        <v>2027</v>
      </c>
      <c r="C831" s="3">
        <v>2</v>
      </c>
      <c r="D831" s="5">
        <v>12.98</v>
      </c>
      <c r="E831" s="3" t="s">
        <v>2028</v>
      </c>
      <c r="F831" s="2" t="s">
        <v>26</v>
      </c>
      <c r="G831" s="6" t="s">
        <v>234</v>
      </c>
      <c r="H831" s="2" t="s">
        <v>2029</v>
      </c>
      <c r="I831" s="2" t="s">
        <v>2030</v>
      </c>
      <c r="J831" s="2" t="s">
        <v>19</v>
      </c>
      <c r="K831" s="2" t="s">
        <v>332</v>
      </c>
      <c r="L831" s="7" t="str">
        <f>HYPERLINK("http://slimages.macys.com/is/image/MCY/9887265 ")</f>
        <v xml:space="preserve">http://slimages.macys.com/is/image/MCY/9887265 </v>
      </c>
    </row>
    <row r="832" spans="1:12" ht="24.75" x14ac:dyDescent="0.25">
      <c r="A832" s="4" t="s">
        <v>11488</v>
      </c>
      <c r="B832" s="2" t="s">
        <v>2027</v>
      </c>
      <c r="C832" s="3">
        <v>1</v>
      </c>
      <c r="D832" s="5">
        <v>12.98</v>
      </c>
      <c r="E832" s="3" t="s">
        <v>2028</v>
      </c>
      <c r="F832" s="2" t="s">
        <v>26</v>
      </c>
      <c r="G832" s="6" t="s">
        <v>154</v>
      </c>
      <c r="H832" s="2" t="s">
        <v>2029</v>
      </c>
      <c r="I832" s="2" t="s">
        <v>2030</v>
      </c>
      <c r="J832" s="2" t="s">
        <v>19</v>
      </c>
      <c r="K832" s="2" t="s">
        <v>332</v>
      </c>
      <c r="L832" s="7" t="str">
        <f>HYPERLINK("http://slimages.macys.com/is/image/MCY/9887265 ")</f>
        <v xml:space="preserve">http://slimages.macys.com/is/image/MCY/9887265 </v>
      </c>
    </row>
    <row r="833" spans="1:12" ht="24.75" x14ac:dyDescent="0.25">
      <c r="A833" s="4" t="s">
        <v>11489</v>
      </c>
      <c r="B833" s="2" t="s">
        <v>11490</v>
      </c>
      <c r="C833" s="3">
        <v>1</v>
      </c>
      <c r="D833" s="5">
        <v>14.99</v>
      </c>
      <c r="E833" s="3" t="s">
        <v>11491</v>
      </c>
      <c r="F833" s="2" t="s">
        <v>417</v>
      </c>
      <c r="G833" s="6" t="s">
        <v>154</v>
      </c>
      <c r="H833" s="2" t="s">
        <v>1522</v>
      </c>
      <c r="I833" s="2" t="s">
        <v>1469</v>
      </c>
      <c r="J833" s="2" t="s">
        <v>19</v>
      </c>
      <c r="K833" s="2" t="s">
        <v>495</v>
      </c>
      <c r="L833" s="7" t="str">
        <f>HYPERLINK("http://slimages.macys.com/is/image/MCY/16094481 ")</f>
        <v xml:space="preserve">http://slimages.macys.com/is/image/MCY/16094481 </v>
      </c>
    </row>
    <row r="834" spans="1:12" ht="24.75" x14ac:dyDescent="0.25">
      <c r="A834" s="4" t="s">
        <v>11492</v>
      </c>
      <c r="B834" s="2" t="s">
        <v>11360</v>
      </c>
      <c r="C834" s="3">
        <v>1</v>
      </c>
      <c r="D834" s="5">
        <v>9.99</v>
      </c>
      <c r="E834" s="3" t="s">
        <v>11361</v>
      </c>
      <c r="F834" s="2" t="s">
        <v>15</v>
      </c>
      <c r="G834" s="6" t="s">
        <v>181</v>
      </c>
      <c r="H834" s="2" t="s">
        <v>1473</v>
      </c>
      <c r="I834" s="2" t="s">
        <v>1426</v>
      </c>
      <c r="J834" s="2" t="s">
        <v>19</v>
      </c>
      <c r="K834" s="2" t="s">
        <v>648</v>
      </c>
      <c r="L834" s="7" t="str">
        <f>HYPERLINK("http://slimages.macys.com/is/image/MCY/9888880 ")</f>
        <v xml:space="preserve">http://slimages.macys.com/is/image/MCY/9888880 </v>
      </c>
    </row>
    <row r="835" spans="1:12" ht="24.75" x14ac:dyDescent="0.25">
      <c r="A835" s="4" t="s">
        <v>11493</v>
      </c>
      <c r="B835" s="2" t="s">
        <v>4280</v>
      </c>
      <c r="C835" s="3">
        <v>1</v>
      </c>
      <c r="D835" s="5">
        <v>9.99</v>
      </c>
      <c r="E835" s="3" t="s">
        <v>4281</v>
      </c>
      <c r="F835" s="2" t="s">
        <v>79</v>
      </c>
      <c r="G835" s="6" t="s">
        <v>200</v>
      </c>
      <c r="H835" s="2" t="s">
        <v>1473</v>
      </c>
      <c r="I835" s="2" t="s">
        <v>1426</v>
      </c>
      <c r="J835" s="2" t="s">
        <v>19</v>
      </c>
      <c r="K835" s="2" t="s">
        <v>648</v>
      </c>
      <c r="L835" s="7" t="str">
        <f>HYPERLINK("http://slimages.macys.com/is/image/MCY/11456814 ")</f>
        <v xml:space="preserve">http://slimages.macys.com/is/image/MCY/11456814 </v>
      </c>
    </row>
    <row r="836" spans="1:12" ht="24.75" x14ac:dyDescent="0.25">
      <c r="A836" s="4" t="s">
        <v>11494</v>
      </c>
      <c r="B836" s="2" t="s">
        <v>4280</v>
      </c>
      <c r="C836" s="3">
        <v>1</v>
      </c>
      <c r="D836" s="5">
        <v>9.99</v>
      </c>
      <c r="E836" s="3" t="s">
        <v>4281</v>
      </c>
      <c r="F836" s="2" t="s">
        <v>1322</v>
      </c>
      <c r="G836" s="6" t="s">
        <v>234</v>
      </c>
      <c r="H836" s="2" t="s">
        <v>1473</v>
      </c>
      <c r="I836" s="2" t="s">
        <v>1426</v>
      </c>
      <c r="J836" s="2" t="s">
        <v>19</v>
      </c>
      <c r="K836" s="2" t="s">
        <v>648</v>
      </c>
      <c r="L836" s="7" t="str">
        <f>HYPERLINK("http://slimages.macys.com/is/image/MCY/11456814 ")</f>
        <v xml:space="preserve">http://slimages.macys.com/is/image/MCY/11456814 </v>
      </c>
    </row>
    <row r="837" spans="1:12" ht="24.75" x14ac:dyDescent="0.25">
      <c r="A837" s="4" t="s">
        <v>11495</v>
      </c>
      <c r="B837" s="2" t="s">
        <v>4280</v>
      </c>
      <c r="C837" s="3">
        <v>1</v>
      </c>
      <c r="D837" s="5">
        <v>9.99</v>
      </c>
      <c r="E837" s="3" t="s">
        <v>4281</v>
      </c>
      <c r="F837" s="2" t="s">
        <v>1322</v>
      </c>
      <c r="G837" s="6" t="s">
        <v>156</v>
      </c>
      <c r="H837" s="2" t="s">
        <v>1473</v>
      </c>
      <c r="I837" s="2" t="s">
        <v>1426</v>
      </c>
      <c r="J837" s="2" t="s">
        <v>19</v>
      </c>
      <c r="K837" s="2" t="s">
        <v>648</v>
      </c>
      <c r="L837" s="7" t="str">
        <f>HYPERLINK("http://slimages.macys.com/is/image/MCY/11456814 ")</f>
        <v xml:space="preserve">http://slimages.macys.com/is/image/MCY/11456814 </v>
      </c>
    </row>
    <row r="838" spans="1:12" ht="24.75" x14ac:dyDescent="0.25">
      <c r="A838" s="4" t="s">
        <v>11496</v>
      </c>
      <c r="B838" s="2" t="s">
        <v>11360</v>
      </c>
      <c r="C838" s="3">
        <v>1</v>
      </c>
      <c r="D838" s="5">
        <v>9.99</v>
      </c>
      <c r="E838" s="3" t="s">
        <v>11361</v>
      </c>
      <c r="F838" s="2" t="s">
        <v>64</v>
      </c>
      <c r="G838" s="6" t="s">
        <v>154</v>
      </c>
      <c r="H838" s="2" t="s">
        <v>1473</v>
      </c>
      <c r="I838" s="2" t="s">
        <v>1426</v>
      </c>
      <c r="J838" s="2" t="s">
        <v>19</v>
      </c>
      <c r="K838" s="2" t="s">
        <v>648</v>
      </c>
      <c r="L838" s="7" t="str">
        <f>HYPERLINK("http://slimages.macys.com/is/image/MCY/9888880 ")</f>
        <v xml:space="preserve">http://slimages.macys.com/is/image/MCY/9888880 </v>
      </c>
    </row>
    <row r="839" spans="1:12" ht="24.75" x14ac:dyDescent="0.25">
      <c r="A839" s="4" t="s">
        <v>11497</v>
      </c>
      <c r="B839" s="2" t="s">
        <v>4280</v>
      </c>
      <c r="C839" s="3">
        <v>1</v>
      </c>
      <c r="D839" s="5">
        <v>9.99</v>
      </c>
      <c r="E839" s="3" t="s">
        <v>4281</v>
      </c>
      <c r="F839" s="2" t="s">
        <v>1322</v>
      </c>
      <c r="G839" s="6" t="s">
        <v>200</v>
      </c>
      <c r="H839" s="2" t="s">
        <v>1473</v>
      </c>
      <c r="I839" s="2" t="s">
        <v>1426</v>
      </c>
      <c r="J839" s="2" t="s">
        <v>19</v>
      </c>
      <c r="K839" s="2" t="s">
        <v>648</v>
      </c>
      <c r="L839" s="7" t="str">
        <f>HYPERLINK("http://slimages.macys.com/is/image/MCY/11456814 ")</f>
        <v xml:space="preserve">http://slimages.macys.com/is/image/MCY/11456814 </v>
      </c>
    </row>
    <row r="840" spans="1:12" ht="24.75" x14ac:dyDescent="0.25">
      <c r="A840" s="4" t="s">
        <v>4287</v>
      </c>
      <c r="B840" s="2" t="s">
        <v>3237</v>
      </c>
      <c r="C840" s="3">
        <v>1</v>
      </c>
      <c r="D840" s="5">
        <v>9.99</v>
      </c>
      <c r="E840" s="3" t="s">
        <v>3238</v>
      </c>
      <c r="F840" s="2" t="s">
        <v>413</v>
      </c>
      <c r="G840" s="6" t="s">
        <v>234</v>
      </c>
      <c r="H840" s="2" t="s">
        <v>194</v>
      </c>
      <c r="I840" s="2" t="s">
        <v>195</v>
      </c>
      <c r="J840" s="2" t="s">
        <v>19</v>
      </c>
      <c r="K840" s="2" t="s">
        <v>247</v>
      </c>
      <c r="L840" s="7" t="str">
        <f>HYPERLINK("http://slimages.macys.com/is/image/MCY/15522855 ")</f>
        <v xml:space="preserve">http://slimages.macys.com/is/image/MCY/15522855 </v>
      </c>
    </row>
    <row r="841" spans="1:12" ht="24.75" x14ac:dyDescent="0.25">
      <c r="A841" s="4" t="s">
        <v>11498</v>
      </c>
      <c r="B841" s="2" t="s">
        <v>7716</v>
      </c>
      <c r="C841" s="3">
        <v>2</v>
      </c>
      <c r="D841" s="5">
        <v>12.99</v>
      </c>
      <c r="E841" s="3" t="s">
        <v>7717</v>
      </c>
      <c r="F841" s="2"/>
      <c r="G841" s="6" t="s">
        <v>234</v>
      </c>
      <c r="H841" s="2" t="s">
        <v>1473</v>
      </c>
      <c r="I841" s="2" t="s">
        <v>1426</v>
      </c>
      <c r="J841" s="2" t="s">
        <v>19</v>
      </c>
      <c r="K841" s="2" t="s">
        <v>495</v>
      </c>
      <c r="L841" s="7" t="str">
        <f>HYPERLINK("http://slimages.macys.com/is/image/MCY/13758050 ")</f>
        <v xml:space="preserve">http://slimages.macys.com/is/image/MCY/13758050 </v>
      </c>
    </row>
    <row r="842" spans="1:12" ht="24.75" x14ac:dyDescent="0.25">
      <c r="A842" s="4" t="s">
        <v>11499</v>
      </c>
      <c r="B842" s="2" t="s">
        <v>7716</v>
      </c>
      <c r="C842" s="3">
        <v>1</v>
      </c>
      <c r="D842" s="5">
        <v>12.99</v>
      </c>
      <c r="E842" s="3" t="s">
        <v>7717</v>
      </c>
      <c r="F842" s="2"/>
      <c r="G842" s="6" t="s">
        <v>181</v>
      </c>
      <c r="H842" s="2" t="s">
        <v>1473</v>
      </c>
      <c r="I842" s="2" t="s">
        <v>1426</v>
      </c>
      <c r="J842" s="2" t="s">
        <v>19</v>
      </c>
      <c r="K842" s="2" t="s">
        <v>495</v>
      </c>
      <c r="L842" s="7" t="str">
        <f>HYPERLINK("http://slimages.macys.com/is/image/MCY/13758050 ")</f>
        <v xml:space="preserve">http://slimages.macys.com/is/image/MCY/13758050 </v>
      </c>
    </row>
    <row r="843" spans="1:12" ht="24.75" x14ac:dyDescent="0.25">
      <c r="A843" s="4" t="s">
        <v>11500</v>
      </c>
      <c r="B843" s="2" t="s">
        <v>6920</v>
      </c>
      <c r="C843" s="3">
        <v>1</v>
      </c>
      <c r="D843" s="5">
        <v>9.99</v>
      </c>
      <c r="E843" s="3" t="s">
        <v>6921</v>
      </c>
      <c r="F843" s="2" t="s">
        <v>26</v>
      </c>
      <c r="G843" s="6" t="s">
        <v>154</v>
      </c>
      <c r="H843" s="2" t="s">
        <v>1473</v>
      </c>
      <c r="I843" s="2" t="s">
        <v>1426</v>
      </c>
      <c r="J843" s="2" t="s">
        <v>19</v>
      </c>
      <c r="K843" s="2" t="s">
        <v>803</v>
      </c>
      <c r="L843" s="7" t="str">
        <f>HYPERLINK("http://slimages.macys.com/is/image/MCY/11632973 ")</f>
        <v xml:space="preserve">http://slimages.macys.com/is/image/MCY/11632973 </v>
      </c>
    </row>
    <row r="844" spans="1:12" ht="24.75" x14ac:dyDescent="0.25">
      <c r="A844" s="4" t="s">
        <v>6919</v>
      </c>
      <c r="B844" s="2" t="s">
        <v>6920</v>
      </c>
      <c r="C844" s="3">
        <v>1</v>
      </c>
      <c r="D844" s="5">
        <v>9.99</v>
      </c>
      <c r="E844" s="3" t="s">
        <v>6921</v>
      </c>
      <c r="F844" s="2" t="s">
        <v>26</v>
      </c>
      <c r="G844" s="6" t="s">
        <v>181</v>
      </c>
      <c r="H844" s="2" t="s">
        <v>1473</v>
      </c>
      <c r="I844" s="2" t="s">
        <v>1426</v>
      </c>
      <c r="J844" s="2" t="s">
        <v>19</v>
      </c>
      <c r="K844" s="2" t="s">
        <v>803</v>
      </c>
      <c r="L844" s="7" t="str">
        <f>HYPERLINK("http://slimages.macys.com/is/image/MCY/11632973 ")</f>
        <v xml:space="preserve">http://slimages.macys.com/is/image/MCY/11632973 </v>
      </c>
    </row>
    <row r="845" spans="1:12" ht="24.75" x14ac:dyDescent="0.25">
      <c r="A845" s="4" t="s">
        <v>8386</v>
      </c>
      <c r="B845" s="2" t="s">
        <v>3237</v>
      </c>
      <c r="C845" s="3">
        <v>3</v>
      </c>
      <c r="D845" s="5">
        <v>9.99</v>
      </c>
      <c r="E845" s="3" t="s">
        <v>3238</v>
      </c>
      <c r="F845" s="2" t="s">
        <v>956</v>
      </c>
      <c r="G845" s="6" t="s">
        <v>154</v>
      </c>
      <c r="H845" s="2" t="s">
        <v>194</v>
      </c>
      <c r="I845" s="2" t="s">
        <v>195</v>
      </c>
      <c r="J845" s="2" t="s">
        <v>19</v>
      </c>
      <c r="K845" s="2" t="s">
        <v>247</v>
      </c>
      <c r="L845" s="7" t="str">
        <f>HYPERLINK("http://slimages.macys.com/is/image/MCY/15522855 ")</f>
        <v xml:space="preserve">http://slimages.macys.com/is/image/MCY/15522855 </v>
      </c>
    </row>
    <row r="846" spans="1:12" ht="24.75" x14ac:dyDescent="0.25">
      <c r="A846" s="4" t="s">
        <v>3239</v>
      </c>
      <c r="B846" s="2" t="s">
        <v>3237</v>
      </c>
      <c r="C846" s="3">
        <v>1</v>
      </c>
      <c r="D846" s="5">
        <v>9.99</v>
      </c>
      <c r="E846" s="3" t="s">
        <v>3238</v>
      </c>
      <c r="F846" s="2" t="s">
        <v>170</v>
      </c>
      <c r="G846" s="6" t="s">
        <v>154</v>
      </c>
      <c r="H846" s="2" t="s">
        <v>194</v>
      </c>
      <c r="I846" s="2" t="s">
        <v>195</v>
      </c>
      <c r="J846" s="2" t="s">
        <v>19</v>
      </c>
      <c r="K846" s="2" t="s">
        <v>247</v>
      </c>
      <c r="L846" s="7" t="str">
        <f>HYPERLINK("http://slimages.macys.com/is/image/MCY/15522855 ")</f>
        <v xml:space="preserve">http://slimages.macys.com/is/image/MCY/15522855 </v>
      </c>
    </row>
    <row r="847" spans="1:12" ht="24.75" x14ac:dyDescent="0.25">
      <c r="A847" s="4" t="s">
        <v>11501</v>
      </c>
      <c r="B847" s="2" t="s">
        <v>6926</v>
      </c>
      <c r="C847" s="3">
        <v>1</v>
      </c>
      <c r="D847" s="5">
        <v>12.99</v>
      </c>
      <c r="E847" s="3" t="s">
        <v>11502</v>
      </c>
      <c r="F847" s="2" t="s">
        <v>956</v>
      </c>
      <c r="G847" s="6"/>
      <c r="H847" s="2" t="s">
        <v>312</v>
      </c>
      <c r="I847" s="2" t="s">
        <v>195</v>
      </c>
      <c r="J847" s="2" t="s">
        <v>19</v>
      </c>
      <c r="K847" s="2" t="s">
        <v>495</v>
      </c>
      <c r="L847" s="7" t="str">
        <f>HYPERLINK("http://slimages.macys.com/is/image/MCY/11606786 ")</f>
        <v xml:space="preserve">http://slimages.macys.com/is/image/MCY/11606786 </v>
      </c>
    </row>
    <row r="848" spans="1:12" ht="24.75" x14ac:dyDescent="0.25">
      <c r="A848" s="4" t="s">
        <v>11503</v>
      </c>
      <c r="B848" s="2" t="s">
        <v>2036</v>
      </c>
      <c r="C848" s="3">
        <v>3</v>
      </c>
      <c r="D848" s="5">
        <v>12.99</v>
      </c>
      <c r="E848" s="3" t="s">
        <v>2037</v>
      </c>
      <c r="F848" s="2" t="s">
        <v>48</v>
      </c>
      <c r="G848" s="6" t="s">
        <v>154</v>
      </c>
      <c r="H848" s="2" t="s">
        <v>194</v>
      </c>
      <c r="I848" s="2" t="s">
        <v>195</v>
      </c>
      <c r="J848" s="2" t="s">
        <v>19</v>
      </c>
      <c r="K848" s="2" t="s">
        <v>495</v>
      </c>
      <c r="L848" s="7" t="str">
        <f>HYPERLINK("http://slimages.macys.com/is/image/MCY/13828817 ")</f>
        <v xml:space="preserve">http://slimages.macys.com/is/image/MCY/13828817 </v>
      </c>
    </row>
    <row r="849" spans="1:12" ht="24.75" x14ac:dyDescent="0.25">
      <c r="A849" s="4" t="s">
        <v>11504</v>
      </c>
      <c r="B849" s="2" t="s">
        <v>2036</v>
      </c>
      <c r="C849" s="3">
        <v>1</v>
      </c>
      <c r="D849" s="5">
        <v>12.99</v>
      </c>
      <c r="E849" s="3" t="s">
        <v>2037</v>
      </c>
      <c r="F849" s="2" t="s">
        <v>956</v>
      </c>
      <c r="G849" s="6" t="s">
        <v>156</v>
      </c>
      <c r="H849" s="2" t="s">
        <v>194</v>
      </c>
      <c r="I849" s="2" t="s">
        <v>195</v>
      </c>
      <c r="J849" s="2" t="s">
        <v>19</v>
      </c>
      <c r="K849" s="2" t="s">
        <v>495</v>
      </c>
      <c r="L849" s="7" t="str">
        <f>HYPERLINK("http://slimages.macys.com/is/image/MCY/10191342 ")</f>
        <v xml:space="preserve">http://slimages.macys.com/is/image/MCY/10191342 </v>
      </c>
    </row>
    <row r="850" spans="1:12" ht="24.75" x14ac:dyDescent="0.25">
      <c r="A850" s="4" t="s">
        <v>11505</v>
      </c>
      <c r="B850" s="2" t="s">
        <v>2036</v>
      </c>
      <c r="C850" s="3">
        <v>5</v>
      </c>
      <c r="D850" s="5">
        <v>12.99</v>
      </c>
      <c r="E850" s="3" t="s">
        <v>2037</v>
      </c>
      <c r="F850" s="2" t="s">
        <v>48</v>
      </c>
      <c r="G850" s="6" t="s">
        <v>181</v>
      </c>
      <c r="H850" s="2" t="s">
        <v>194</v>
      </c>
      <c r="I850" s="2" t="s">
        <v>195</v>
      </c>
      <c r="J850" s="2" t="s">
        <v>19</v>
      </c>
      <c r="K850" s="2" t="s">
        <v>495</v>
      </c>
      <c r="L850" s="7" t="str">
        <f>HYPERLINK("http://slimages.macys.com/is/image/MCY/13828817 ")</f>
        <v xml:space="preserve">http://slimages.macys.com/is/image/MCY/13828817 </v>
      </c>
    </row>
    <row r="851" spans="1:12" ht="24.75" x14ac:dyDescent="0.25">
      <c r="A851" s="4" t="s">
        <v>11506</v>
      </c>
      <c r="B851" s="2" t="s">
        <v>2036</v>
      </c>
      <c r="C851" s="3">
        <v>1</v>
      </c>
      <c r="D851" s="5">
        <v>12.99</v>
      </c>
      <c r="E851" s="3" t="s">
        <v>2037</v>
      </c>
      <c r="F851" s="2" t="s">
        <v>48</v>
      </c>
      <c r="G851" s="6" t="s">
        <v>156</v>
      </c>
      <c r="H851" s="2" t="s">
        <v>194</v>
      </c>
      <c r="I851" s="2" t="s">
        <v>195</v>
      </c>
      <c r="J851" s="2" t="s">
        <v>19</v>
      </c>
      <c r="K851" s="2" t="s">
        <v>495</v>
      </c>
      <c r="L851" s="7" t="str">
        <f>HYPERLINK("http://slimages.macys.com/is/image/MCY/13828817 ")</f>
        <v xml:space="preserve">http://slimages.macys.com/is/image/MCY/13828817 </v>
      </c>
    </row>
    <row r="852" spans="1:12" ht="24.75" x14ac:dyDescent="0.25">
      <c r="A852" s="4" t="s">
        <v>11507</v>
      </c>
      <c r="B852" s="2" t="s">
        <v>2036</v>
      </c>
      <c r="C852" s="3">
        <v>2</v>
      </c>
      <c r="D852" s="5">
        <v>12.99</v>
      </c>
      <c r="E852" s="3" t="s">
        <v>2037</v>
      </c>
      <c r="F852" s="2" t="s">
        <v>48</v>
      </c>
      <c r="G852" s="6" t="s">
        <v>200</v>
      </c>
      <c r="H852" s="2" t="s">
        <v>194</v>
      </c>
      <c r="I852" s="2" t="s">
        <v>195</v>
      </c>
      <c r="J852" s="2" t="s">
        <v>19</v>
      </c>
      <c r="K852" s="2" t="s">
        <v>495</v>
      </c>
      <c r="L852" s="7" t="str">
        <f>HYPERLINK("http://slimages.macys.com/is/image/MCY/13828817 ")</f>
        <v xml:space="preserve">http://slimages.macys.com/is/image/MCY/13828817 </v>
      </c>
    </row>
    <row r="853" spans="1:12" ht="24.75" x14ac:dyDescent="0.25">
      <c r="A853" s="4" t="s">
        <v>11508</v>
      </c>
      <c r="B853" s="2" t="s">
        <v>11509</v>
      </c>
      <c r="C853" s="3">
        <v>2</v>
      </c>
      <c r="D853" s="5">
        <v>9.99</v>
      </c>
      <c r="E853" s="3" t="s">
        <v>11510</v>
      </c>
      <c r="F853" s="2" t="s">
        <v>26</v>
      </c>
      <c r="G853" s="6" t="s">
        <v>200</v>
      </c>
      <c r="H853" s="2" t="s">
        <v>1473</v>
      </c>
      <c r="I853" s="2" t="s">
        <v>1426</v>
      </c>
      <c r="J853" s="2" t="s">
        <v>19</v>
      </c>
      <c r="K853" s="2" t="s">
        <v>107</v>
      </c>
      <c r="L853" s="7" t="str">
        <f>HYPERLINK("http://slimages.macys.com/is/image/MCY/11632990 ")</f>
        <v xml:space="preserve">http://slimages.macys.com/is/image/MCY/11632990 </v>
      </c>
    </row>
    <row r="854" spans="1:12" ht="24.75" x14ac:dyDescent="0.25">
      <c r="A854" s="4" t="s">
        <v>11511</v>
      </c>
      <c r="B854" s="2" t="s">
        <v>11512</v>
      </c>
      <c r="C854" s="3">
        <v>1</v>
      </c>
      <c r="D854" s="5">
        <v>9.99</v>
      </c>
      <c r="E854" s="3" t="s">
        <v>11513</v>
      </c>
      <c r="F854" s="2" t="s">
        <v>94</v>
      </c>
      <c r="G854" s="6" t="s">
        <v>156</v>
      </c>
      <c r="H854" s="2" t="s">
        <v>1473</v>
      </c>
      <c r="I854" s="2" t="s">
        <v>1426</v>
      </c>
      <c r="J854" s="2" t="s">
        <v>19</v>
      </c>
      <c r="K854" s="2" t="s">
        <v>495</v>
      </c>
      <c r="L854" s="7" t="str">
        <f>HYPERLINK("http://slimages.macys.com/is/image/MCY/12645139 ")</f>
        <v xml:space="preserve">http://slimages.macys.com/is/image/MCY/12645139 </v>
      </c>
    </row>
    <row r="855" spans="1:12" ht="24.75" x14ac:dyDescent="0.25">
      <c r="A855" s="4" t="s">
        <v>11514</v>
      </c>
      <c r="B855" s="2" t="s">
        <v>2058</v>
      </c>
      <c r="C855" s="3">
        <v>1</v>
      </c>
      <c r="D855" s="5">
        <v>9.99</v>
      </c>
      <c r="E855" s="3" t="s">
        <v>2059</v>
      </c>
      <c r="F855" s="2" t="s">
        <v>64</v>
      </c>
      <c r="G855" s="6" t="s">
        <v>154</v>
      </c>
      <c r="H855" s="2" t="s">
        <v>1473</v>
      </c>
      <c r="I855" s="2" t="s">
        <v>1426</v>
      </c>
      <c r="J855" s="2" t="s">
        <v>19</v>
      </c>
      <c r="K855" s="2" t="s">
        <v>495</v>
      </c>
      <c r="L855" s="7" t="str">
        <f>HYPERLINK("http://slimages.macys.com/is/image/MCY/12645133 ")</f>
        <v xml:space="preserve">http://slimages.macys.com/is/image/MCY/12645133 </v>
      </c>
    </row>
    <row r="856" spans="1:12" ht="24.75" x14ac:dyDescent="0.25">
      <c r="A856" s="4" t="s">
        <v>11515</v>
      </c>
      <c r="B856" s="2" t="s">
        <v>11516</v>
      </c>
      <c r="C856" s="3">
        <v>1</v>
      </c>
      <c r="D856" s="5">
        <v>9.99</v>
      </c>
      <c r="E856" s="3" t="s">
        <v>11517</v>
      </c>
      <c r="F856" s="2" t="s">
        <v>74</v>
      </c>
      <c r="G856" s="6" t="s">
        <v>154</v>
      </c>
      <c r="H856" s="2" t="s">
        <v>1473</v>
      </c>
      <c r="I856" s="2" t="s">
        <v>1426</v>
      </c>
      <c r="J856" s="2" t="s">
        <v>19</v>
      </c>
      <c r="K856" s="2" t="s">
        <v>495</v>
      </c>
      <c r="L856" s="7" t="str">
        <f>HYPERLINK("http://slimages.macys.com/is/image/MCY/12775080 ")</f>
        <v xml:space="preserve">http://slimages.macys.com/is/image/MCY/12775080 </v>
      </c>
    </row>
    <row r="857" spans="1:12" ht="24.75" x14ac:dyDescent="0.25">
      <c r="A857" s="4" t="s">
        <v>11518</v>
      </c>
      <c r="B857" s="2" t="s">
        <v>11516</v>
      </c>
      <c r="C857" s="3">
        <v>3</v>
      </c>
      <c r="D857" s="5">
        <v>9.99</v>
      </c>
      <c r="E857" s="3" t="s">
        <v>11517</v>
      </c>
      <c r="F857" s="2" t="s">
        <v>70</v>
      </c>
      <c r="G857" s="6" t="s">
        <v>154</v>
      </c>
      <c r="H857" s="2" t="s">
        <v>1473</v>
      </c>
      <c r="I857" s="2" t="s">
        <v>1426</v>
      </c>
      <c r="J857" s="2" t="s">
        <v>19</v>
      </c>
      <c r="K857" s="2" t="s">
        <v>495</v>
      </c>
      <c r="L857" s="7" t="str">
        <f>HYPERLINK("http://slimages.macys.com/is/image/MCY/12775080 ")</f>
        <v xml:space="preserve">http://slimages.macys.com/is/image/MCY/12775080 </v>
      </c>
    </row>
    <row r="858" spans="1:12" ht="24.75" x14ac:dyDescent="0.25">
      <c r="A858" s="4" t="s">
        <v>11519</v>
      </c>
      <c r="B858" s="2" t="s">
        <v>2058</v>
      </c>
      <c r="C858" s="3">
        <v>1</v>
      </c>
      <c r="D858" s="5">
        <v>9.99</v>
      </c>
      <c r="E858" s="3" t="s">
        <v>2059</v>
      </c>
      <c r="F858" s="2" t="s">
        <v>64</v>
      </c>
      <c r="G858" s="6" t="s">
        <v>234</v>
      </c>
      <c r="H858" s="2" t="s">
        <v>1473</v>
      </c>
      <c r="I858" s="2" t="s">
        <v>1426</v>
      </c>
      <c r="J858" s="2" t="s">
        <v>19</v>
      </c>
      <c r="K858" s="2" t="s">
        <v>495</v>
      </c>
      <c r="L858" s="7" t="str">
        <f>HYPERLINK("http://slimages.macys.com/is/image/MCY/12645133 ")</f>
        <v xml:space="preserve">http://slimages.macys.com/is/image/MCY/12645133 </v>
      </c>
    </row>
    <row r="859" spans="1:12" ht="24.75" x14ac:dyDescent="0.25">
      <c r="A859" s="4" t="s">
        <v>11520</v>
      </c>
      <c r="B859" s="2" t="s">
        <v>2061</v>
      </c>
      <c r="C859" s="3">
        <v>3</v>
      </c>
      <c r="D859" s="5">
        <v>9.99</v>
      </c>
      <c r="E859" s="3" t="s">
        <v>4306</v>
      </c>
      <c r="F859" s="2" t="s">
        <v>331</v>
      </c>
      <c r="G859" s="6" t="s">
        <v>181</v>
      </c>
      <c r="H859" s="2" t="s">
        <v>1473</v>
      </c>
      <c r="I859" s="2" t="s">
        <v>1426</v>
      </c>
      <c r="J859" s="2" t="s">
        <v>19</v>
      </c>
      <c r="K859" s="2" t="s">
        <v>495</v>
      </c>
      <c r="L859" s="7" t="str">
        <f>HYPERLINK("http://slimages.macys.com/is/image/MCY/11915620 ")</f>
        <v xml:space="preserve">http://slimages.macys.com/is/image/MCY/11915620 </v>
      </c>
    </row>
    <row r="860" spans="1:12" ht="24.75" x14ac:dyDescent="0.25">
      <c r="A860" s="4" t="s">
        <v>11521</v>
      </c>
      <c r="B860" s="2" t="s">
        <v>11516</v>
      </c>
      <c r="C860" s="3">
        <v>3</v>
      </c>
      <c r="D860" s="5">
        <v>9.99</v>
      </c>
      <c r="E860" s="3" t="s">
        <v>11517</v>
      </c>
      <c r="F860" s="2" t="s">
        <v>70</v>
      </c>
      <c r="G860" s="6" t="s">
        <v>181</v>
      </c>
      <c r="H860" s="2" t="s">
        <v>1473</v>
      </c>
      <c r="I860" s="2" t="s">
        <v>1426</v>
      </c>
      <c r="J860" s="2" t="s">
        <v>19</v>
      </c>
      <c r="K860" s="2" t="s">
        <v>495</v>
      </c>
      <c r="L860" s="7" t="str">
        <f>HYPERLINK("http://slimages.macys.com/is/image/MCY/12775080 ")</f>
        <v xml:space="preserve">http://slimages.macys.com/is/image/MCY/12775080 </v>
      </c>
    </row>
    <row r="861" spans="1:12" ht="24.75" x14ac:dyDescent="0.25">
      <c r="A861" s="4" t="s">
        <v>10332</v>
      </c>
      <c r="B861" s="2" t="s">
        <v>2040</v>
      </c>
      <c r="C861" s="3">
        <v>1</v>
      </c>
      <c r="D861" s="5">
        <v>9.99</v>
      </c>
      <c r="E861" s="3" t="s">
        <v>2041</v>
      </c>
      <c r="F861" s="2" t="s">
        <v>26</v>
      </c>
      <c r="G861" s="6" t="s">
        <v>200</v>
      </c>
      <c r="H861" s="2" t="s">
        <v>1473</v>
      </c>
      <c r="I861" s="2" t="s">
        <v>1426</v>
      </c>
      <c r="J861" s="2" t="s">
        <v>19</v>
      </c>
      <c r="K861" s="2" t="s">
        <v>495</v>
      </c>
      <c r="L861" s="7" t="str">
        <f>HYPERLINK("http://slimages.macys.com/is/image/MCY/11515405 ")</f>
        <v xml:space="preserve">http://slimages.macys.com/is/image/MCY/11515405 </v>
      </c>
    </row>
    <row r="862" spans="1:12" ht="24.75" x14ac:dyDescent="0.25">
      <c r="A862" s="4" t="s">
        <v>11522</v>
      </c>
      <c r="B862" s="2" t="s">
        <v>11512</v>
      </c>
      <c r="C862" s="3">
        <v>2</v>
      </c>
      <c r="D862" s="5">
        <v>9.99</v>
      </c>
      <c r="E862" s="3" t="s">
        <v>11513</v>
      </c>
      <c r="F862" s="2" t="s">
        <v>94</v>
      </c>
      <c r="G862" s="6" t="s">
        <v>154</v>
      </c>
      <c r="H862" s="2" t="s">
        <v>1473</v>
      </c>
      <c r="I862" s="2" t="s">
        <v>1426</v>
      </c>
      <c r="J862" s="2" t="s">
        <v>19</v>
      </c>
      <c r="K862" s="2" t="s">
        <v>495</v>
      </c>
      <c r="L862" s="7" t="str">
        <f>HYPERLINK("http://slimages.macys.com/is/image/MCY/12645139 ")</f>
        <v xml:space="preserve">http://slimages.macys.com/is/image/MCY/12645139 </v>
      </c>
    </row>
    <row r="863" spans="1:12" ht="24.75" x14ac:dyDescent="0.25">
      <c r="A863" s="4" t="s">
        <v>11523</v>
      </c>
      <c r="B863" s="2" t="s">
        <v>11512</v>
      </c>
      <c r="C863" s="3">
        <v>1</v>
      </c>
      <c r="D863" s="5">
        <v>9.99</v>
      </c>
      <c r="E863" s="3" t="s">
        <v>11513</v>
      </c>
      <c r="F863" s="2" t="s">
        <v>94</v>
      </c>
      <c r="G863" s="6" t="s">
        <v>200</v>
      </c>
      <c r="H863" s="2" t="s">
        <v>1473</v>
      </c>
      <c r="I863" s="2" t="s">
        <v>1426</v>
      </c>
      <c r="J863" s="2" t="s">
        <v>19</v>
      </c>
      <c r="K863" s="2" t="s">
        <v>495</v>
      </c>
      <c r="L863" s="7" t="str">
        <f>HYPERLINK("http://slimages.macys.com/is/image/MCY/12645139 ")</f>
        <v xml:space="preserve">http://slimages.macys.com/is/image/MCY/12645139 </v>
      </c>
    </row>
    <row r="864" spans="1:12" ht="24.75" x14ac:dyDescent="0.25">
      <c r="A864" s="4" t="s">
        <v>11524</v>
      </c>
      <c r="B864" s="2" t="s">
        <v>11512</v>
      </c>
      <c r="C864" s="3">
        <v>2</v>
      </c>
      <c r="D864" s="5">
        <v>9.99</v>
      </c>
      <c r="E864" s="3" t="s">
        <v>11513</v>
      </c>
      <c r="F864" s="2" t="s">
        <v>94</v>
      </c>
      <c r="G864" s="6" t="s">
        <v>234</v>
      </c>
      <c r="H864" s="2" t="s">
        <v>1473</v>
      </c>
      <c r="I864" s="2" t="s">
        <v>1426</v>
      </c>
      <c r="J864" s="2" t="s">
        <v>19</v>
      </c>
      <c r="K864" s="2" t="s">
        <v>495</v>
      </c>
      <c r="L864" s="7" t="str">
        <f>HYPERLINK("http://slimages.macys.com/is/image/MCY/12645139 ")</f>
        <v xml:space="preserve">http://slimages.macys.com/is/image/MCY/12645139 </v>
      </c>
    </row>
    <row r="865" spans="1:12" ht="24.75" x14ac:dyDescent="0.25">
      <c r="A865" s="4" t="s">
        <v>11525</v>
      </c>
      <c r="B865" s="2" t="s">
        <v>11512</v>
      </c>
      <c r="C865" s="3">
        <v>3</v>
      </c>
      <c r="D865" s="5">
        <v>9.99</v>
      </c>
      <c r="E865" s="3" t="s">
        <v>11513</v>
      </c>
      <c r="F865" s="2" t="s">
        <v>94</v>
      </c>
      <c r="G865" s="6" t="s">
        <v>181</v>
      </c>
      <c r="H865" s="2" t="s">
        <v>1473</v>
      </c>
      <c r="I865" s="2" t="s">
        <v>1426</v>
      </c>
      <c r="J865" s="2" t="s">
        <v>19</v>
      </c>
      <c r="K865" s="2" t="s">
        <v>495</v>
      </c>
      <c r="L865" s="7" t="str">
        <f>HYPERLINK("http://slimages.macys.com/is/image/MCY/12645139 ")</f>
        <v xml:space="preserve">http://slimages.macys.com/is/image/MCY/12645139 </v>
      </c>
    </row>
    <row r="866" spans="1:12" ht="24.75" x14ac:dyDescent="0.25">
      <c r="A866" s="4" t="s">
        <v>11526</v>
      </c>
      <c r="B866" s="2" t="s">
        <v>11527</v>
      </c>
      <c r="C866" s="3">
        <v>1</v>
      </c>
      <c r="D866" s="5">
        <v>9.99</v>
      </c>
      <c r="E866" s="3" t="s">
        <v>11528</v>
      </c>
      <c r="F866" s="2" t="s">
        <v>74</v>
      </c>
      <c r="G866" s="6" t="s">
        <v>154</v>
      </c>
      <c r="H866" s="2" t="s">
        <v>1473</v>
      </c>
      <c r="I866" s="2" t="s">
        <v>1426</v>
      </c>
      <c r="J866" s="2" t="s">
        <v>19</v>
      </c>
      <c r="K866" s="2" t="s">
        <v>495</v>
      </c>
      <c r="L866" s="7" t="str">
        <f>HYPERLINK("http://slimages.macys.com/is/image/MCY/14770331 ")</f>
        <v xml:space="preserve">http://slimages.macys.com/is/image/MCY/14770331 </v>
      </c>
    </row>
    <row r="867" spans="1:12" ht="24.75" x14ac:dyDescent="0.25">
      <c r="A867" s="4" t="s">
        <v>11529</v>
      </c>
      <c r="B867" s="2" t="s">
        <v>11530</v>
      </c>
      <c r="C867" s="3">
        <v>1</v>
      </c>
      <c r="D867" s="5">
        <v>9.99</v>
      </c>
      <c r="E867" s="3" t="s">
        <v>11531</v>
      </c>
      <c r="F867" s="2" t="s">
        <v>38</v>
      </c>
      <c r="G867" s="6" t="s">
        <v>181</v>
      </c>
      <c r="H867" s="2" t="s">
        <v>1473</v>
      </c>
      <c r="I867" s="2" t="s">
        <v>1426</v>
      </c>
      <c r="J867" s="2" t="s">
        <v>19</v>
      </c>
      <c r="K867" s="2" t="s">
        <v>495</v>
      </c>
      <c r="L867" s="7" t="str">
        <f>HYPERLINK("http://slimages.macys.com/is/image/MCY/14661035 ")</f>
        <v xml:space="preserve">http://slimages.macys.com/is/image/MCY/14661035 </v>
      </c>
    </row>
    <row r="868" spans="1:12" ht="24.75" x14ac:dyDescent="0.25">
      <c r="A868" s="4" t="s">
        <v>11532</v>
      </c>
      <c r="B868" s="2" t="s">
        <v>7731</v>
      </c>
      <c r="C868" s="3">
        <v>1</v>
      </c>
      <c r="D868" s="5">
        <v>9.99</v>
      </c>
      <c r="E868" s="3" t="s">
        <v>7732</v>
      </c>
      <c r="F868" s="2" t="s">
        <v>74</v>
      </c>
      <c r="G868" s="6" t="s">
        <v>234</v>
      </c>
      <c r="H868" s="2" t="s">
        <v>1473</v>
      </c>
      <c r="I868" s="2" t="s">
        <v>1426</v>
      </c>
      <c r="J868" s="2" t="s">
        <v>19</v>
      </c>
      <c r="K868" s="2" t="s">
        <v>495</v>
      </c>
      <c r="L868" s="7" t="str">
        <f>HYPERLINK("http://slimages.macys.com/is/image/MCY/12072278 ")</f>
        <v xml:space="preserve">http://slimages.macys.com/is/image/MCY/12072278 </v>
      </c>
    </row>
    <row r="869" spans="1:12" ht="24.75" x14ac:dyDescent="0.25">
      <c r="A869" s="4" t="s">
        <v>11533</v>
      </c>
      <c r="B869" s="2" t="s">
        <v>11516</v>
      </c>
      <c r="C869" s="3">
        <v>1</v>
      </c>
      <c r="D869" s="5">
        <v>9.99</v>
      </c>
      <c r="E869" s="3" t="s">
        <v>11517</v>
      </c>
      <c r="F869" s="2" t="s">
        <v>74</v>
      </c>
      <c r="G869" s="6" t="s">
        <v>200</v>
      </c>
      <c r="H869" s="2" t="s">
        <v>1473</v>
      </c>
      <c r="I869" s="2" t="s">
        <v>1426</v>
      </c>
      <c r="J869" s="2" t="s">
        <v>19</v>
      </c>
      <c r="K869" s="2" t="s">
        <v>495</v>
      </c>
      <c r="L869" s="7" t="str">
        <f>HYPERLINK("http://slimages.macys.com/is/image/MCY/12775080 ")</f>
        <v xml:space="preserve">http://slimages.macys.com/is/image/MCY/12775080 </v>
      </c>
    </row>
    <row r="870" spans="1:12" ht="24.75" x14ac:dyDescent="0.25">
      <c r="A870" s="4" t="s">
        <v>11534</v>
      </c>
      <c r="B870" s="2" t="s">
        <v>2036</v>
      </c>
      <c r="C870" s="3">
        <v>1</v>
      </c>
      <c r="D870" s="5">
        <v>12.99</v>
      </c>
      <c r="E870" s="3" t="s">
        <v>2037</v>
      </c>
      <c r="F870" s="2" t="s">
        <v>2619</v>
      </c>
      <c r="G870" s="6" t="s">
        <v>181</v>
      </c>
      <c r="H870" s="2" t="s">
        <v>194</v>
      </c>
      <c r="I870" s="2" t="s">
        <v>195</v>
      </c>
      <c r="J870" s="2" t="s">
        <v>19</v>
      </c>
      <c r="K870" s="2" t="s">
        <v>495</v>
      </c>
      <c r="L870" s="7" t="str">
        <f>HYPERLINK("http://slimages.macys.com/is/image/MCY/9344781 ")</f>
        <v xml:space="preserve">http://slimages.macys.com/is/image/MCY/9344781 </v>
      </c>
    </row>
    <row r="871" spans="1:12" ht="24.75" x14ac:dyDescent="0.25">
      <c r="A871" s="4" t="s">
        <v>11535</v>
      </c>
      <c r="B871" s="2" t="s">
        <v>2036</v>
      </c>
      <c r="C871" s="3">
        <v>1</v>
      </c>
      <c r="D871" s="5">
        <v>12.99</v>
      </c>
      <c r="E871" s="3" t="s">
        <v>2037</v>
      </c>
      <c r="F871" s="2" t="s">
        <v>2619</v>
      </c>
      <c r="G871" s="6" t="s">
        <v>154</v>
      </c>
      <c r="H871" s="2" t="s">
        <v>194</v>
      </c>
      <c r="I871" s="2" t="s">
        <v>195</v>
      </c>
      <c r="J871" s="2" t="s">
        <v>19</v>
      </c>
      <c r="K871" s="2" t="s">
        <v>495</v>
      </c>
      <c r="L871" s="7" t="str">
        <f>HYPERLINK("http://slimages.macys.com/is/image/MCY/9344781 ")</f>
        <v xml:space="preserve">http://slimages.macys.com/is/image/MCY/9344781 </v>
      </c>
    </row>
    <row r="872" spans="1:12" ht="24.75" x14ac:dyDescent="0.25">
      <c r="A872" s="4" t="s">
        <v>11536</v>
      </c>
      <c r="B872" s="2" t="s">
        <v>2036</v>
      </c>
      <c r="C872" s="3">
        <v>1</v>
      </c>
      <c r="D872" s="5">
        <v>12.99</v>
      </c>
      <c r="E872" s="3" t="s">
        <v>2037</v>
      </c>
      <c r="F872" s="2" t="s">
        <v>2619</v>
      </c>
      <c r="G872" s="6" t="s">
        <v>200</v>
      </c>
      <c r="H872" s="2" t="s">
        <v>194</v>
      </c>
      <c r="I872" s="2" t="s">
        <v>195</v>
      </c>
      <c r="J872" s="2" t="s">
        <v>19</v>
      </c>
      <c r="K872" s="2" t="s">
        <v>495</v>
      </c>
      <c r="L872" s="7" t="str">
        <f>HYPERLINK("http://slimages.macys.com/is/image/MCY/9344781 ")</f>
        <v xml:space="preserve">http://slimages.macys.com/is/image/MCY/9344781 </v>
      </c>
    </row>
    <row r="873" spans="1:12" ht="24.75" x14ac:dyDescent="0.25">
      <c r="A873" s="4" t="s">
        <v>11537</v>
      </c>
      <c r="B873" s="2" t="s">
        <v>2064</v>
      </c>
      <c r="C873" s="3">
        <v>2</v>
      </c>
      <c r="D873" s="5">
        <v>9.99</v>
      </c>
      <c r="E873" s="3" t="s">
        <v>3279</v>
      </c>
      <c r="F873" s="2" t="s">
        <v>3267</v>
      </c>
      <c r="G873" s="6" t="s">
        <v>234</v>
      </c>
      <c r="H873" s="2" t="s">
        <v>1473</v>
      </c>
      <c r="I873" s="2" t="s">
        <v>1426</v>
      </c>
      <c r="J873" s="2" t="s">
        <v>19</v>
      </c>
      <c r="K873" s="2" t="s">
        <v>990</v>
      </c>
      <c r="L873" s="7" t="str">
        <f>HYPERLINK("http://slimages.macys.com/is/image/MCY/11130625 ")</f>
        <v xml:space="preserve">http://slimages.macys.com/is/image/MCY/11130625 </v>
      </c>
    </row>
    <row r="874" spans="1:12" ht="24.75" x14ac:dyDescent="0.25">
      <c r="A874" s="4" t="s">
        <v>5276</v>
      </c>
      <c r="B874" s="2" t="s">
        <v>2064</v>
      </c>
      <c r="C874" s="3">
        <v>2</v>
      </c>
      <c r="D874" s="5">
        <v>9.99</v>
      </c>
      <c r="E874" s="3" t="s">
        <v>3279</v>
      </c>
      <c r="F874" s="2" t="s">
        <v>1914</v>
      </c>
      <c r="G874" s="6" t="s">
        <v>181</v>
      </c>
      <c r="H874" s="2" t="s">
        <v>1473</v>
      </c>
      <c r="I874" s="2" t="s">
        <v>1426</v>
      </c>
      <c r="J874" s="2" t="s">
        <v>19</v>
      </c>
      <c r="K874" s="2" t="s">
        <v>990</v>
      </c>
      <c r="L874" s="7" t="str">
        <f>HYPERLINK("http://slimages.macys.com/is/image/MCY/11130625 ")</f>
        <v xml:space="preserve">http://slimages.macys.com/is/image/MCY/11130625 </v>
      </c>
    </row>
    <row r="875" spans="1:12" ht="24.75" x14ac:dyDescent="0.25">
      <c r="A875" s="4" t="s">
        <v>8393</v>
      </c>
      <c r="B875" s="2" t="s">
        <v>2064</v>
      </c>
      <c r="C875" s="3">
        <v>2</v>
      </c>
      <c r="D875" s="5">
        <v>9.99</v>
      </c>
      <c r="E875" s="3" t="s">
        <v>3279</v>
      </c>
      <c r="F875" s="2" t="s">
        <v>1914</v>
      </c>
      <c r="G875" s="6" t="s">
        <v>234</v>
      </c>
      <c r="H875" s="2" t="s">
        <v>1473</v>
      </c>
      <c r="I875" s="2" t="s">
        <v>1426</v>
      </c>
      <c r="J875" s="2" t="s">
        <v>19</v>
      </c>
      <c r="K875" s="2" t="s">
        <v>990</v>
      </c>
      <c r="L875" s="7" t="str">
        <f>HYPERLINK("http://slimages.macys.com/is/image/MCY/11130625 ")</f>
        <v xml:space="preserve">http://slimages.macys.com/is/image/MCY/11130625 </v>
      </c>
    </row>
    <row r="876" spans="1:12" ht="24.75" x14ac:dyDescent="0.25">
      <c r="A876" s="4" t="s">
        <v>11538</v>
      </c>
      <c r="B876" s="2" t="s">
        <v>2068</v>
      </c>
      <c r="C876" s="3">
        <v>1</v>
      </c>
      <c r="D876" s="5">
        <v>12.99</v>
      </c>
      <c r="E876" s="3" t="s">
        <v>2069</v>
      </c>
      <c r="F876" s="2" t="s">
        <v>111</v>
      </c>
      <c r="G876" s="6" t="s">
        <v>154</v>
      </c>
      <c r="H876" s="2" t="s">
        <v>194</v>
      </c>
      <c r="I876" s="2" t="s">
        <v>195</v>
      </c>
      <c r="J876" s="2" t="s">
        <v>19</v>
      </c>
      <c r="K876" s="2" t="s">
        <v>648</v>
      </c>
      <c r="L876" s="7" t="str">
        <f>HYPERLINK("http://slimages.macys.com/is/image/MCY/12316464 ")</f>
        <v xml:space="preserve">http://slimages.macys.com/is/image/MCY/12316464 </v>
      </c>
    </row>
    <row r="877" spans="1:12" ht="24.75" x14ac:dyDescent="0.25">
      <c r="A877" s="4" t="s">
        <v>6951</v>
      </c>
      <c r="B877" s="2" t="s">
        <v>2068</v>
      </c>
      <c r="C877" s="3">
        <v>1</v>
      </c>
      <c r="D877" s="5">
        <v>12.99</v>
      </c>
      <c r="E877" s="3" t="s">
        <v>2069</v>
      </c>
      <c r="F877" s="2" t="s">
        <v>111</v>
      </c>
      <c r="G877" s="6" t="s">
        <v>181</v>
      </c>
      <c r="H877" s="2" t="s">
        <v>194</v>
      </c>
      <c r="I877" s="2" t="s">
        <v>195</v>
      </c>
      <c r="J877" s="2" t="s">
        <v>19</v>
      </c>
      <c r="K877" s="2" t="s">
        <v>648</v>
      </c>
      <c r="L877" s="7" t="str">
        <f>HYPERLINK("http://slimages.macys.com/is/image/MCY/12316464 ")</f>
        <v xml:space="preserve">http://slimages.macys.com/is/image/MCY/12316464 </v>
      </c>
    </row>
    <row r="878" spans="1:12" ht="24.75" x14ac:dyDescent="0.25">
      <c r="A878" s="4" t="s">
        <v>7734</v>
      </c>
      <c r="B878" s="2" t="s">
        <v>2064</v>
      </c>
      <c r="C878" s="3">
        <v>1</v>
      </c>
      <c r="D878" s="5">
        <v>9.99</v>
      </c>
      <c r="E878" s="3" t="s">
        <v>3279</v>
      </c>
      <c r="F878" s="2" t="s">
        <v>1914</v>
      </c>
      <c r="G878" s="6" t="s">
        <v>154</v>
      </c>
      <c r="H878" s="2" t="s">
        <v>1473</v>
      </c>
      <c r="I878" s="2" t="s">
        <v>1426</v>
      </c>
      <c r="J878" s="2" t="s">
        <v>19</v>
      </c>
      <c r="K878" s="2" t="s">
        <v>990</v>
      </c>
      <c r="L878" s="7" t="str">
        <f>HYPERLINK("http://slimages.macys.com/is/image/MCY/11130625 ")</f>
        <v xml:space="preserve">http://slimages.macys.com/is/image/MCY/11130625 </v>
      </c>
    </row>
    <row r="879" spans="1:12" ht="24.75" x14ac:dyDescent="0.25">
      <c r="A879" s="4" t="s">
        <v>11539</v>
      </c>
      <c r="B879" s="2" t="s">
        <v>2064</v>
      </c>
      <c r="C879" s="3">
        <v>1</v>
      </c>
      <c r="D879" s="5">
        <v>9.99</v>
      </c>
      <c r="E879" s="3" t="s">
        <v>3279</v>
      </c>
      <c r="F879" s="2" t="s">
        <v>70</v>
      </c>
      <c r="G879" s="6" t="s">
        <v>156</v>
      </c>
      <c r="H879" s="2" t="s">
        <v>1473</v>
      </c>
      <c r="I879" s="2" t="s">
        <v>1426</v>
      </c>
      <c r="J879" s="2" t="s">
        <v>19</v>
      </c>
      <c r="K879" s="2" t="s">
        <v>990</v>
      </c>
      <c r="L879" s="7" t="str">
        <f>HYPERLINK("http://slimages.macys.com/is/image/MCY/11130625 ")</f>
        <v xml:space="preserve">http://slimages.macys.com/is/image/MCY/11130625 </v>
      </c>
    </row>
    <row r="880" spans="1:12" ht="24.75" x14ac:dyDescent="0.25">
      <c r="A880" s="4" t="s">
        <v>11540</v>
      </c>
      <c r="B880" s="2" t="s">
        <v>11541</v>
      </c>
      <c r="C880" s="3">
        <v>1</v>
      </c>
      <c r="D880" s="5">
        <v>12.98</v>
      </c>
      <c r="E880" s="3" t="s">
        <v>11542</v>
      </c>
      <c r="F880" s="2" t="s">
        <v>26</v>
      </c>
      <c r="G880" s="6" t="s">
        <v>154</v>
      </c>
      <c r="H880" s="2" t="s">
        <v>2029</v>
      </c>
      <c r="I880" s="2" t="s">
        <v>2030</v>
      </c>
      <c r="J880" s="2" t="s">
        <v>19</v>
      </c>
      <c r="K880" s="2" t="s">
        <v>1108</v>
      </c>
      <c r="L880" s="7" t="str">
        <f>HYPERLINK("http://slimages.macys.com/is/image/MCY/11302317 ")</f>
        <v xml:space="preserve">http://slimages.macys.com/is/image/MCY/11302317 </v>
      </c>
    </row>
    <row r="881" spans="1:12" ht="24.75" x14ac:dyDescent="0.25">
      <c r="A881" s="4" t="s">
        <v>11543</v>
      </c>
      <c r="B881" s="2" t="s">
        <v>11541</v>
      </c>
      <c r="C881" s="3">
        <v>1</v>
      </c>
      <c r="D881" s="5">
        <v>12.98</v>
      </c>
      <c r="E881" s="3" t="s">
        <v>11542</v>
      </c>
      <c r="F881" s="2" t="s">
        <v>26</v>
      </c>
      <c r="G881" s="6" t="s">
        <v>181</v>
      </c>
      <c r="H881" s="2" t="s">
        <v>2029</v>
      </c>
      <c r="I881" s="2" t="s">
        <v>2030</v>
      </c>
      <c r="J881" s="2" t="s">
        <v>19</v>
      </c>
      <c r="K881" s="2" t="s">
        <v>1108</v>
      </c>
      <c r="L881" s="7" t="str">
        <f>HYPERLINK("http://slimages.macys.com/is/image/MCY/11302317 ")</f>
        <v xml:space="preserve">http://slimages.macys.com/is/image/MCY/11302317 </v>
      </c>
    </row>
    <row r="882" spans="1:12" ht="24.75" x14ac:dyDescent="0.25">
      <c r="A882" s="4" t="s">
        <v>11544</v>
      </c>
      <c r="B882" s="2" t="s">
        <v>11541</v>
      </c>
      <c r="C882" s="3">
        <v>2</v>
      </c>
      <c r="D882" s="5">
        <v>12.98</v>
      </c>
      <c r="E882" s="3" t="s">
        <v>11542</v>
      </c>
      <c r="F882" s="2" t="s">
        <v>26</v>
      </c>
      <c r="G882" s="6" t="s">
        <v>234</v>
      </c>
      <c r="H882" s="2" t="s">
        <v>2029</v>
      </c>
      <c r="I882" s="2" t="s">
        <v>2030</v>
      </c>
      <c r="J882" s="2" t="s">
        <v>19</v>
      </c>
      <c r="K882" s="2" t="s">
        <v>1108</v>
      </c>
      <c r="L882" s="7" t="str">
        <f>HYPERLINK("http://slimages.macys.com/is/image/MCY/11302317 ")</f>
        <v xml:space="preserve">http://slimages.macys.com/is/image/MCY/11302317 </v>
      </c>
    </row>
    <row r="883" spans="1:12" ht="24.75" x14ac:dyDescent="0.25">
      <c r="A883" s="4" t="s">
        <v>5278</v>
      </c>
      <c r="B883" s="2" t="s">
        <v>5279</v>
      </c>
      <c r="C883" s="3">
        <v>1</v>
      </c>
      <c r="D883" s="5">
        <v>9.98</v>
      </c>
      <c r="E883" s="3" t="s">
        <v>5280</v>
      </c>
      <c r="F883" s="2" t="s">
        <v>26</v>
      </c>
      <c r="G883" s="6" t="s">
        <v>154</v>
      </c>
      <c r="H883" s="2" t="s">
        <v>1473</v>
      </c>
      <c r="I883" s="2" t="s">
        <v>1426</v>
      </c>
      <c r="J883" s="2" t="s">
        <v>19</v>
      </c>
      <c r="K883" s="2" t="s">
        <v>648</v>
      </c>
      <c r="L883" s="7" t="str">
        <f>HYPERLINK("http://slimages.macys.com/is/image/MCY/10006106 ")</f>
        <v xml:space="preserve">http://slimages.macys.com/is/image/MCY/10006106 </v>
      </c>
    </row>
    <row r="884" spans="1:12" ht="24.75" x14ac:dyDescent="0.25">
      <c r="A884" s="4" t="s">
        <v>11545</v>
      </c>
      <c r="B884" s="2" t="s">
        <v>4318</v>
      </c>
      <c r="C884" s="3">
        <v>1</v>
      </c>
      <c r="D884" s="5">
        <v>9.99</v>
      </c>
      <c r="E884" s="3" t="s">
        <v>4319</v>
      </c>
      <c r="F884" s="2" t="s">
        <v>1945</v>
      </c>
      <c r="G884" s="6" t="s">
        <v>181</v>
      </c>
      <c r="H884" s="2" t="s">
        <v>1473</v>
      </c>
      <c r="I884" s="2" t="s">
        <v>1426</v>
      </c>
      <c r="J884" s="2" t="s">
        <v>19</v>
      </c>
      <c r="K884" s="2" t="s">
        <v>648</v>
      </c>
      <c r="L884" s="7" t="str">
        <f>HYPERLINK("http://slimages.macys.com/is/image/MCY/13301237 ")</f>
        <v xml:space="preserve">http://slimages.macys.com/is/image/MCY/13301237 </v>
      </c>
    </row>
    <row r="885" spans="1:12" ht="24.75" x14ac:dyDescent="0.25">
      <c r="A885" s="4" t="s">
        <v>11546</v>
      </c>
      <c r="B885" s="2" t="s">
        <v>4318</v>
      </c>
      <c r="C885" s="3">
        <v>1</v>
      </c>
      <c r="D885" s="5">
        <v>9.99</v>
      </c>
      <c r="E885" s="3" t="s">
        <v>4319</v>
      </c>
      <c r="F885" s="2" t="s">
        <v>1945</v>
      </c>
      <c r="G885" s="6" t="s">
        <v>154</v>
      </c>
      <c r="H885" s="2" t="s">
        <v>1473</v>
      </c>
      <c r="I885" s="2" t="s">
        <v>1426</v>
      </c>
      <c r="J885" s="2" t="s">
        <v>19</v>
      </c>
      <c r="K885" s="2" t="s">
        <v>648</v>
      </c>
      <c r="L885" s="7" t="str">
        <f>HYPERLINK("http://slimages.macys.com/is/image/MCY/13301237 ")</f>
        <v xml:space="preserve">http://slimages.macys.com/is/image/MCY/13301237 </v>
      </c>
    </row>
    <row r="886" spans="1:12" ht="24.75" x14ac:dyDescent="0.25">
      <c r="A886" s="4" t="s">
        <v>11547</v>
      </c>
      <c r="B886" s="2" t="s">
        <v>11548</v>
      </c>
      <c r="C886" s="3">
        <v>1</v>
      </c>
      <c r="D886" s="5">
        <v>12.99</v>
      </c>
      <c r="E886" s="3" t="s">
        <v>11549</v>
      </c>
      <c r="F886" s="2" t="s">
        <v>64</v>
      </c>
      <c r="G886" s="6"/>
      <c r="H886" s="2" t="s">
        <v>312</v>
      </c>
      <c r="I886" s="2" t="s">
        <v>195</v>
      </c>
      <c r="J886" s="2" t="s">
        <v>19</v>
      </c>
      <c r="K886" s="2" t="s">
        <v>648</v>
      </c>
      <c r="L886" s="7" t="str">
        <f>HYPERLINK("http://slimages.macys.com/is/image/MCY/8157256 ")</f>
        <v xml:space="preserve">http://slimages.macys.com/is/image/MCY/8157256 </v>
      </c>
    </row>
    <row r="887" spans="1:12" ht="24.75" x14ac:dyDescent="0.25">
      <c r="A887" s="4" t="s">
        <v>4320</v>
      </c>
      <c r="B887" s="2" t="s">
        <v>4321</v>
      </c>
      <c r="C887" s="3">
        <v>1</v>
      </c>
      <c r="D887" s="5">
        <v>12.99</v>
      </c>
      <c r="E887" s="3" t="s">
        <v>4322</v>
      </c>
      <c r="F887" s="2" t="s">
        <v>887</v>
      </c>
      <c r="G887" s="6"/>
      <c r="H887" s="2" t="s">
        <v>312</v>
      </c>
      <c r="I887" s="2" t="s">
        <v>195</v>
      </c>
      <c r="J887" s="2" t="s">
        <v>19</v>
      </c>
      <c r="K887" s="2" t="s">
        <v>648</v>
      </c>
      <c r="L887" s="7" t="str">
        <f>HYPERLINK("http://slimages.macys.com/is/image/MCY/8157256 ")</f>
        <v xml:space="preserve">http://slimages.macys.com/is/image/MCY/8157256 </v>
      </c>
    </row>
    <row r="888" spans="1:12" ht="24.75" x14ac:dyDescent="0.25">
      <c r="A888" s="4" t="s">
        <v>9245</v>
      </c>
      <c r="B888" s="2" t="s">
        <v>4326</v>
      </c>
      <c r="C888" s="3">
        <v>1</v>
      </c>
      <c r="D888" s="5">
        <v>9.99</v>
      </c>
      <c r="E888" s="3" t="s">
        <v>4327</v>
      </c>
      <c r="F888" s="2" t="s">
        <v>26</v>
      </c>
      <c r="G888" s="6" t="s">
        <v>181</v>
      </c>
      <c r="H888" s="2" t="s">
        <v>1473</v>
      </c>
      <c r="I888" s="2" t="s">
        <v>1426</v>
      </c>
      <c r="J888" s="2" t="s">
        <v>19</v>
      </c>
      <c r="K888" s="2" t="s">
        <v>495</v>
      </c>
      <c r="L888" s="7" t="str">
        <f>HYPERLINK("http://slimages.macys.com/is/image/MCY/10742489 ")</f>
        <v xml:space="preserve">http://slimages.macys.com/is/image/MCY/10742489 </v>
      </c>
    </row>
    <row r="889" spans="1:12" ht="24.75" x14ac:dyDescent="0.25">
      <c r="A889" s="4" t="s">
        <v>11550</v>
      </c>
      <c r="B889" s="2" t="s">
        <v>4326</v>
      </c>
      <c r="C889" s="3">
        <v>1</v>
      </c>
      <c r="D889" s="5">
        <v>9.99</v>
      </c>
      <c r="E889" s="3" t="s">
        <v>4327</v>
      </c>
      <c r="F889" s="2" t="s">
        <v>26</v>
      </c>
      <c r="G889" s="6" t="s">
        <v>156</v>
      </c>
      <c r="H889" s="2" t="s">
        <v>1473</v>
      </c>
      <c r="I889" s="2" t="s">
        <v>1426</v>
      </c>
      <c r="J889" s="2" t="s">
        <v>19</v>
      </c>
      <c r="K889" s="2" t="s">
        <v>495</v>
      </c>
      <c r="L889" s="7" t="str">
        <f>HYPERLINK("http://slimages.macys.com/is/image/MCY/10742489 ")</f>
        <v xml:space="preserve">http://slimages.macys.com/is/image/MCY/10742489 </v>
      </c>
    </row>
    <row r="890" spans="1:12" ht="24.75" x14ac:dyDescent="0.25">
      <c r="A890" s="4" t="s">
        <v>11551</v>
      </c>
      <c r="B890" s="2" t="s">
        <v>4326</v>
      </c>
      <c r="C890" s="3">
        <v>1</v>
      </c>
      <c r="D890" s="5">
        <v>9.99</v>
      </c>
      <c r="E890" s="3" t="s">
        <v>4327</v>
      </c>
      <c r="F890" s="2" t="s">
        <v>79</v>
      </c>
      <c r="G890" s="6" t="s">
        <v>156</v>
      </c>
      <c r="H890" s="2" t="s">
        <v>1473</v>
      </c>
      <c r="I890" s="2" t="s">
        <v>1426</v>
      </c>
      <c r="J890" s="2" t="s">
        <v>19</v>
      </c>
      <c r="K890" s="2" t="s">
        <v>495</v>
      </c>
      <c r="L890" s="7" t="str">
        <f>HYPERLINK("http://slimages.macys.com/is/image/MCY/10742489 ")</f>
        <v xml:space="preserve">http://slimages.macys.com/is/image/MCY/10742489 </v>
      </c>
    </row>
    <row r="891" spans="1:12" ht="24.75" x14ac:dyDescent="0.25">
      <c r="A891" s="4" t="s">
        <v>11552</v>
      </c>
      <c r="B891" s="2" t="s">
        <v>4326</v>
      </c>
      <c r="C891" s="3">
        <v>1</v>
      </c>
      <c r="D891" s="5">
        <v>9.99</v>
      </c>
      <c r="E891" s="3" t="s">
        <v>4327</v>
      </c>
      <c r="F891" s="2" t="s">
        <v>74</v>
      </c>
      <c r="G891" s="6" t="s">
        <v>154</v>
      </c>
      <c r="H891" s="2" t="s">
        <v>1473</v>
      </c>
      <c r="I891" s="2" t="s">
        <v>1426</v>
      </c>
      <c r="J891" s="2" t="s">
        <v>19</v>
      </c>
      <c r="K891" s="2" t="s">
        <v>495</v>
      </c>
      <c r="L891" s="7" t="str">
        <f>HYPERLINK("http://slimages.macys.com/is/image/MCY/10742489 ")</f>
        <v xml:space="preserve">http://slimages.macys.com/is/image/MCY/10742489 </v>
      </c>
    </row>
    <row r="892" spans="1:12" ht="24.75" x14ac:dyDescent="0.25">
      <c r="A892" s="4" t="s">
        <v>11553</v>
      </c>
      <c r="B892" s="2" t="s">
        <v>4326</v>
      </c>
      <c r="C892" s="3">
        <v>2</v>
      </c>
      <c r="D892" s="5">
        <v>9.99</v>
      </c>
      <c r="E892" s="3" t="s">
        <v>8890</v>
      </c>
      <c r="F892" s="2" t="s">
        <v>74</v>
      </c>
      <c r="G892" s="6"/>
      <c r="H892" s="2" t="s">
        <v>1425</v>
      </c>
      <c r="I892" s="2" t="s">
        <v>1426</v>
      </c>
      <c r="J892" s="2" t="s">
        <v>19</v>
      </c>
      <c r="K892" s="2" t="s">
        <v>107</v>
      </c>
      <c r="L892" s="7" t="str">
        <f>HYPERLINK("http://slimages.macys.com/is/image/MCY/10742492 ")</f>
        <v xml:space="preserve">http://slimages.macys.com/is/image/MCY/10742492 </v>
      </c>
    </row>
    <row r="893" spans="1:12" ht="24.75" x14ac:dyDescent="0.25">
      <c r="A893" s="4" t="s">
        <v>9832</v>
      </c>
      <c r="B893" s="2" t="s">
        <v>2075</v>
      </c>
      <c r="C893" s="3">
        <v>1</v>
      </c>
      <c r="D893" s="5">
        <v>9.99</v>
      </c>
      <c r="E893" s="3" t="s">
        <v>2076</v>
      </c>
      <c r="F893" s="2" t="s">
        <v>74</v>
      </c>
      <c r="G893" s="6" t="s">
        <v>156</v>
      </c>
      <c r="H893" s="2" t="s">
        <v>1473</v>
      </c>
      <c r="I893" s="2" t="s">
        <v>1426</v>
      </c>
      <c r="J893" s="2" t="s">
        <v>19</v>
      </c>
      <c r="K893" s="2" t="s">
        <v>990</v>
      </c>
      <c r="L893" s="7" t="str">
        <f t="shared" ref="L893:L898" si="5">HYPERLINK("http://slimages.macys.com/is/image/MCY/15161436 ")</f>
        <v xml:space="preserve">http://slimages.macys.com/is/image/MCY/15161436 </v>
      </c>
    </row>
    <row r="894" spans="1:12" ht="24.75" x14ac:dyDescent="0.25">
      <c r="A894" s="4" t="s">
        <v>7742</v>
      </c>
      <c r="B894" s="2" t="s">
        <v>2075</v>
      </c>
      <c r="C894" s="3">
        <v>2</v>
      </c>
      <c r="D894" s="5">
        <v>9.99</v>
      </c>
      <c r="E894" s="3" t="s">
        <v>2076</v>
      </c>
      <c r="F894" s="2" t="s">
        <v>74</v>
      </c>
      <c r="G894" s="6" t="s">
        <v>181</v>
      </c>
      <c r="H894" s="2" t="s">
        <v>1473</v>
      </c>
      <c r="I894" s="2" t="s">
        <v>1426</v>
      </c>
      <c r="J894" s="2" t="s">
        <v>19</v>
      </c>
      <c r="K894" s="2" t="s">
        <v>990</v>
      </c>
      <c r="L894" s="7" t="str">
        <f t="shared" si="5"/>
        <v xml:space="preserve">http://slimages.macys.com/is/image/MCY/15161436 </v>
      </c>
    </row>
    <row r="895" spans="1:12" ht="24.75" x14ac:dyDescent="0.25">
      <c r="A895" s="4" t="s">
        <v>4333</v>
      </c>
      <c r="B895" s="2" t="s">
        <v>2075</v>
      </c>
      <c r="C895" s="3">
        <v>1</v>
      </c>
      <c r="D895" s="5">
        <v>9.99</v>
      </c>
      <c r="E895" s="3" t="s">
        <v>2076</v>
      </c>
      <c r="F895" s="2" t="s">
        <v>74</v>
      </c>
      <c r="G895" s="6" t="s">
        <v>234</v>
      </c>
      <c r="H895" s="2" t="s">
        <v>1473</v>
      </c>
      <c r="I895" s="2" t="s">
        <v>1426</v>
      </c>
      <c r="J895" s="2" t="s">
        <v>19</v>
      </c>
      <c r="K895" s="2" t="s">
        <v>990</v>
      </c>
      <c r="L895" s="7" t="str">
        <f t="shared" si="5"/>
        <v xml:space="preserve">http://slimages.macys.com/is/image/MCY/15161436 </v>
      </c>
    </row>
    <row r="896" spans="1:12" ht="24.75" x14ac:dyDescent="0.25">
      <c r="A896" s="4" t="s">
        <v>3245</v>
      </c>
      <c r="B896" s="2" t="s">
        <v>2075</v>
      </c>
      <c r="C896" s="3">
        <v>2</v>
      </c>
      <c r="D896" s="5">
        <v>9.99</v>
      </c>
      <c r="E896" s="3" t="s">
        <v>2076</v>
      </c>
      <c r="F896" s="2" t="s">
        <v>26</v>
      </c>
      <c r="G896" s="6" t="s">
        <v>234</v>
      </c>
      <c r="H896" s="2" t="s">
        <v>1473</v>
      </c>
      <c r="I896" s="2" t="s">
        <v>1426</v>
      </c>
      <c r="J896" s="2" t="s">
        <v>19</v>
      </c>
      <c r="K896" s="2" t="s">
        <v>990</v>
      </c>
      <c r="L896" s="7" t="str">
        <f t="shared" si="5"/>
        <v xml:space="preserve">http://slimages.macys.com/is/image/MCY/15161436 </v>
      </c>
    </row>
    <row r="897" spans="1:12" ht="24.75" x14ac:dyDescent="0.25">
      <c r="A897" s="4" t="s">
        <v>3246</v>
      </c>
      <c r="B897" s="2" t="s">
        <v>2075</v>
      </c>
      <c r="C897" s="3">
        <v>1</v>
      </c>
      <c r="D897" s="5">
        <v>9.99</v>
      </c>
      <c r="E897" s="3" t="s">
        <v>2076</v>
      </c>
      <c r="F897" s="2" t="s">
        <v>26</v>
      </c>
      <c r="G897" s="6" t="s">
        <v>181</v>
      </c>
      <c r="H897" s="2" t="s">
        <v>1473</v>
      </c>
      <c r="I897" s="2" t="s">
        <v>1426</v>
      </c>
      <c r="J897" s="2" t="s">
        <v>19</v>
      </c>
      <c r="K897" s="2" t="s">
        <v>990</v>
      </c>
      <c r="L897" s="7" t="str">
        <f t="shared" si="5"/>
        <v xml:space="preserve">http://slimages.macys.com/is/image/MCY/15161436 </v>
      </c>
    </row>
    <row r="898" spans="1:12" ht="24.75" x14ac:dyDescent="0.25">
      <c r="A898" s="4" t="s">
        <v>8395</v>
      </c>
      <c r="B898" s="2" t="s">
        <v>2075</v>
      </c>
      <c r="C898" s="3">
        <v>1</v>
      </c>
      <c r="D898" s="5">
        <v>9.99</v>
      </c>
      <c r="E898" s="3" t="s">
        <v>2076</v>
      </c>
      <c r="F898" s="2" t="s">
        <v>417</v>
      </c>
      <c r="G898" s="6" t="s">
        <v>234</v>
      </c>
      <c r="H898" s="2" t="s">
        <v>1473</v>
      </c>
      <c r="I898" s="2" t="s">
        <v>1426</v>
      </c>
      <c r="J898" s="2" t="s">
        <v>19</v>
      </c>
      <c r="K898" s="2" t="s">
        <v>990</v>
      </c>
      <c r="L898" s="7" t="str">
        <f t="shared" si="5"/>
        <v xml:space="preserve">http://slimages.macys.com/is/image/MCY/15161436 </v>
      </c>
    </row>
    <row r="899" spans="1:12" ht="24.75" x14ac:dyDescent="0.25">
      <c r="A899" s="4" t="s">
        <v>11554</v>
      </c>
      <c r="B899" s="2" t="s">
        <v>11412</v>
      </c>
      <c r="C899" s="3">
        <v>1</v>
      </c>
      <c r="D899" s="5">
        <v>9.99</v>
      </c>
      <c r="E899" s="3" t="s">
        <v>11413</v>
      </c>
      <c r="F899" s="2" t="s">
        <v>64</v>
      </c>
      <c r="G899" s="6" t="s">
        <v>181</v>
      </c>
      <c r="H899" s="2" t="s">
        <v>1473</v>
      </c>
      <c r="I899" s="2" t="s">
        <v>1426</v>
      </c>
      <c r="J899" s="2" t="s">
        <v>19</v>
      </c>
      <c r="K899" s="2" t="s">
        <v>648</v>
      </c>
      <c r="L899" s="7" t="str">
        <f>HYPERLINK("http://slimages.macys.com/is/image/MCY/9803162 ")</f>
        <v xml:space="preserve">http://slimages.macys.com/is/image/MCY/9803162 </v>
      </c>
    </row>
    <row r="900" spans="1:12" ht="24.75" x14ac:dyDescent="0.25">
      <c r="A900" s="4" t="s">
        <v>11555</v>
      </c>
      <c r="B900" s="2" t="s">
        <v>11412</v>
      </c>
      <c r="C900" s="3">
        <v>1</v>
      </c>
      <c r="D900" s="5">
        <v>9.99</v>
      </c>
      <c r="E900" s="3" t="s">
        <v>11413</v>
      </c>
      <c r="F900" s="2" t="s">
        <v>5457</v>
      </c>
      <c r="G900" s="6" t="s">
        <v>181</v>
      </c>
      <c r="H900" s="2" t="s">
        <v>1473</v>
      </c>
      <c r="I900" s="2" t="s">
        <v>1426</v>
      </c>
      <c r="J900" s="2" t="s">
        <v>19</v>
      </c>
      <c r="K900" s="2" t="s">
        <v>648</v>
      </c>
      <c r="L900" s="7" t="str">
        <f>HYPERLINK("http://slimages.macys.com/is/image/MCY/9803162 ")</f>
        <v xml:space="preserve">http://slimages.macys.com/is/image/MCY/9803162 </v>
      </c>
    </row>
    <row r="901" spans="1:12" ht="24.75" x14ac:dyDescent="0.25">
      <c r="A901" s="4" t="s">
        <v>11556</v>
      </c>
      <c r="B901" s="2" t="s">
        <v>11412</v>
      </c>
      <c r="C901" s="3">
        <v>1</v>
      </c>
      <c r="D901" s="5">
        <v>9.99</v>
      </c>
      <c r="E901" s="3" t="s">
        <v>11413</v>
      </c>
      <c r="F901" s="2" t="s">
        <v>1322</v>
      </c>
      <c r="G901" s="6" t="s">
        <v>245</v>
      </c>
      <c r="H901" s="2" t="s">
        <v>1473</v>
      </c>
      <c r="I901" s="2" t="s">
        <v>1426</v>
      </c>
      <c r="J901" s="2" t="s">
        <v>19</v>
      </c>
      <c r="K901" s="2" t="s">
        <v>648</v>
      </c>
      <c r="L901" s="7" t="str">
        <f>HYPERLINK("http://slimages.macys.com/is/image/MCY/9803162 ")</f>
        <v xml:space="preserve">http://slimages.macys.com/is/image/MCY/9803162 </v>
      </c>
    </row>
    <row r="902" spans="1:12" ht="24.75" x14ac:dyDescent="0.25">
      <c r="A902" s="4" t="s">
        <v>11557</v>
      </c>
      <c r="B902" s="2" t="s">
        <v>11412</v>
      </c>
      <c r="C902" s="3">
        <v>2</v>
      </c>
      <c r="D902" s="5">
        <v>9.99</v>
      </c>
      <c r="E902" s="3" t="s">
        <v>11413</v>
      </c>
      <c r="F902" s="2" t="s">
        <v>15</v>
      </c>
      <c r="G902" s="6" t="s">
        <v>245</v>
      </c>
      <c r="H902" s="2" t="s">
        <v>1473</v>
      </c>
      <c r="I902" s="2" t="s">
        <v>1426</v>
      </c>
      <c r="J902" s="2" t="s">
        <v>19</v>
      </c>
      <c r="K902" s="2" t="s">
        <v>648</v>
      </c>
      <c r="L902" s="7" t="str">
        <f>HYPERLINK("http://slimages.macys.com/is/image/MCY/9803162 ")</f>
        <v xml:space="preserve">http://slimages.macys.com/is/image/MCY/9803162 </v>
      </c>
    </row>
    <row r="903" spans="1:12" ht="24.75" x14ac:dyDescent="0.25">
      <c r="A903" s="4" t="s">
        <v>11558</v>
      </c>
      <c r="B903" s="2" t="s">
        <v>2087</v>
      </c>
      <c r="C903" s="3">
        <v>1</v>
      </c>
      <c r="D903" s="5">
        <v>9.99</v>
      </c>
      <c r="E903" s="3" t="s">
        <v>2088</v>
      </c>
      <c r="F903" s="2" t="s">
        <v>1945</v>
      </c>
      <c r="G903" s="6" t="s">
        <v>154</v>
      </c>
      <c r="H903" s="2" t="s">
        <v>1473</v>
      </c>
      <c r="I903" s="2" t="s">
        <v>1426</v>
      </c>
      <c r="J903" s="2" t="s">
        <v>19</v>
      </c>
      <c r="K903" s="2" t="s">
        <v>648</v>
      </c>
      <c r="L903" s="7" t="str">
        <f>HYPERLINK("http://slimages.macys.com/is/image/MCY/3559834 ")</f>
        <v xml:space="preserve">http://slimages.macys.com/is/image/MCY/3559834 </v>
      </c>
    </row>
    <row r="904" spans="1:12" ht="24.75" x14ac:dyDescent="0.25">
      <c r="A904" s="4" t="s">
        <v>11559</v>
      </c>
      <c r="B904" s="2" t="s">
        <v>11560</v>
      </c>
      <c r="C904" s="3">
        <v>1</v>
      </c>
      <c r="D904" s="5">
        <v>9.98</v>
      </c>
      <c r="E904" s="3" t="s">
        <v>11561</v>
      </c>
      <c r="F904" s="2" t="s">
        <v>74</v>
      </c>
      <c r="G904" s="6" t="s">
        <v>181</v>
      </c>
      <c r="H904" s="2" t="s">
        <v>1473</v>
      </c>
      <c r="I904" s="2" t="s">
        <v>1426</v>
      </c>
      <c r="J904" s="2"/>
      <c r="K904" s="2"/>
      <c r="L904" s="7" t="str">
        <f>HYPERLINK("http://slimages.macys.com/is/image/MCY/9803159 ")</f>
        <v xml:space="preserve">http://slimages.macys.com/is/image/MCY/9803159 </v>
      </c>
    </row>
    <row r="905" spans="1:12" ht="24.75" x14ac:dyDescent="0.25">
      <c r="A905" s="4" t="s">
        <v>11562</v>
      </c>
      <c r="B905" s="2" t="s">
        <v>6242</v>
      </c>
      <c r="C905" s="3">
        <v>1</v>
      </c>
      <c r="D905" s="5">
        <v>9.99</v>
      </c>
      <c r="E905" s="3" t="s">
        <v>7746</v>
      </c>
      <c r="F905" s="2" t="s">
        <v>33</v>
      </c>
      <c r="G905" s="6" t="s">
        <v>156</v>
      </c>
      <c r="H905" s="2" t="s">
        <v>1473</v>
      </c>
      <c r="I905" s="2" t="s">
        <v>1426</v>
      </c>
      <c r="J905" s="2" t="s">
        <v>19</v>
      </c>
      <c r="K905" s="2" t="s">
        <v>648</v>
      </c>
      <c r="L905" s="7" t="str">
        <f>HYPERLINK("http://slimages.macys.com/is/image/MCY/12672003 ")</f>
        <v xml:space="preserve">http://slimages.macys.com/is/image/MCY/12672003 </v>
      </c>
    </row>
    <row r="906" spans="1:12" ht="24.75" x14ac:dyDescent="0.25">
      <c r="A906" s="4" t="s">
        <v>11563</v>
      </c>
      <c r="B906" s="2" t="s">
        <v>11560</v>
      </c>
      <c r="C906" s="3">
        <v>1</v>
      </c>
      <c r="D906" s="5">
        <v>9.98</v>
      </c>
      <c r="E906" s="3" t="s">
        <v>11561</v>
      </c>
      <c r="F906" s="2" t="s">
        <v>74</v>
      </c>
      <c r="G906" s="6" t="s">
        <v>234</v>
      </c>
      <c r="H906" s="2" t="s">
        <v>1473</v>
      </c>
      <c r="I906" s="2" t="s">
        <v>1426</v>
      </c>
      <c r="J906" s="2"/>
      <c r="K906" s="2"/>
      <c r="L906" s="7" t="str">
        <f>HYPERLINK("http://slimages.macys.com/is/image/MCY/9803159 ")</f>
        <v xml:space="preserve">http://slimages.macys.com/is/image/MCY/9803159 </v>
      </c>
    </row>
    <row r="907" spans="1:12" ht="24.75" x14ac:dyDescent="0.25">
      <c r="A907" s="4" t="s">
        <v>11564</v>
      </c>
      <c r="B907" s="2" t="s">
        <v>2087</v>
      </c>
      <c r="C907" s="3">
        <v>2</v>
      </c>
      <c r="D907" s="5">
        <v>9.99</v>
      </c>
      <c r="E907" s="3" t="s">
        <v>2088</v>
      </c>
      <c r="F907" s="2" t="s">
        <v>74</v>
      </c>
      <c r="G907" s="6" t="s">
        <v>200</v>
      </c>
      <c r="H907" s="2" t="s">
        <v>1473</v>
      </c>
      <c r="I907" s="2" t="s">
        <v>1426</v>
      </c>
      <c r="J907" s="2" t="s">
        <v>19</v>
      </c>
      <c r="K907" s="2" t="s">
        <v>648</v>
      </c>
      <c r="L907" s="7" t="str">
        <f>HYPERLINK("http://slimages.macys.com/is/image/MCY/3559834 ")</f>
        <v xml:space="preserve">http://slimages.macys.com/is/image/MCY/3559834 </v>
      </c>
    </row>
    <row r="908" spans="1:12" ht="24.75" x14ac:dyDescent="0.25">
      <c r="A908" s="4" t="s">
        <v>11565</v>
      </c>
      <c r="B908" s="2" t="s">
        <v>11412</v>
      </c>
      <c r="C908" s="3">
        <v>1</v>
      </c>
      <c r="D908" s="5">
        <v>9.99</v>
      </c>
      <c r="E908" s="3" t="s">
        <v>11413</v>
      </c>
      <c r="F908" s="2" t="s">
        <v>1296</v>
      </c>
      <c r="G908" s="6" t="s">
        <v>245</v>
      </c>
      <c r="H908" s="2" t="s">
        <v>1473</v>
      </c>
      <c r="I908" s="2" t="s">
        <v>1426</v>
      </c>
      <c r="J908" s="2" t="s">
        <v>19</v>
      </c>
      <c r="K908" s="2" t="s">
        <v>648</v>
      </c>
      <c r="L908" s="7" t="str">
        <f>HYPERLINK("http://slimages.macys.com/is/image/MCY/9803162 ")</f>
        <v xml:space="preserve">http://slimages.macys.com/is/image/MCY/9803162 </v>
      </c>
    </row>
    <row r="909" spans="1:12" ht="24.75" x14ac:dyDescent="0.25">
      <c r="A909" s="4" t="s">
        <v>11566</v>
      </c>
      <c r="B909" s="2" t="s">
        <v>6248</v>
      </c>
      <c r="C909" s="3">
        <v>1</v>
      </c>
      <c r="D909" s="5">
        <v>9.99</v>
      </c>
      <c r="E909" s="3" t="s">
        <v>6249</v>
      </c>
      <c r="F909" s="2" t="s">
        <v>417</v>
      </c>
      <c r="G909" s="6" t="s">
        <v>154</v>
      </c>
      <c r="H909" s="2" t="s">
        <v>1473</v>
      </c>
      <c r="I909" s="2" t="s">
        <v>1426</v>
      </c>
      <c r="J909" s="2" t="s">
        <v>19</v>
      </c>
      <c r="K909" s="2" t="s">
        <v>495</v>
      </c>
      <c r="L909" s="7" t="str">
        <f>HYPERLINK("http://slimages.macys.com/is/image/MCY/11517436 ")</f>
        <v xml:space="preserve">http://slimages.macys.com/is/image/MCY/11517436 </v>
      </c>
    </row>
    <row r="910" spans="1:12" ht="24.75" x14ac:dyDescent="0.25">
      <c r="A910" s="4" t="s">
        <v>8407</v>
      </c>
      <c r="B910" s="2" t="s">
        <v>8404</v>
      </c>
      <c r="C910" s="3">
        <v>1</v>
      </c>
      <c r="D910" s="5">
        <v>9.99</v>
      </c>
      <c r="E910" s="3" t="s">
        <v>8405</v>
      </c>
      <c r="F910" s="2" t="s">
        <v>26</v>
      </c>
      <c r="G910" s="6" t="s">
        <v>154</v>
      </c>
      <c r="H910" s="2" t="s">
        <v>1473</v>
      </c>
      <c r="I910" s="2" t="s">
        <v>1426</v>
      </c>
      <c r="J910" s="2" t="s">
        <v>19</v>
      </c>
      <c r="K910" s="2" t="s">
        <v>495</v>
      </c>
      <c r="L910" s="7" t="str">
        <f>HYPERLINK("http://slimages.macys.com/is/image/MCY/11884631 ")</f>
        <v xml:space="preserve">http://slimages.macys.com/is/image/MCY/11884631 </v>
      </c>
    </row>
    <row r="911" spans="1:12" ht="24.75" x14ac:dyDescent="0.25">
      <c r="A911" s="4" t="s">
        <v>11567</v>
      </c>
      <c r="B911" s="2" t="s">
        <v>11568</v>
      </c>
      <c r="C911" s="3">
        <v>1</v>
      </c>
      <c r="D911" s="5">
        <v>9.99</v>
      </c>
      <c r="E911" s="3" t="s">
        <v>11569</v>
      </c>
      <c r="F911" s="2" t="s">
        <v>820</v>
      </c>
      <c r="G911" s="6"/>
      <c r="H911" s="2" t="s">
        <v>1425</v>
      </c>
      <c r="I911" s="2" t="s">
        <v>1426</v>
      </c>
      <c r="J911" s="2" t="s">
        <v>19</v>
      </c>
      <c r="K911" s="2" t="s">
        <v>495</v>
      </c>
      <c r="L911" s="7" t="str">
        <f>HYPERLINK("http://slimages.macys.com/is/image/MCY/11633101 ")</f>
        <v xml:space="preserve">http://slimages.macys.com/is/image/MCY/11633101 </v>
      </c>
    </row>
    <row r="912" spans="1:12" ht="24.75" x14ac:dyDescent="0.25">
      <c r="A912" s="4" t="s">
        <v>11570</v>
      </c>
      <c r="B912" s="2" t="s">
        <v>2083</v>
      </c>
      <c r="C912" s="3">
        <v>1</v>
      </c>
      <c r="D912" s="5">
        <v>9.99</v>
      </c>
      <c r="E912" s="3" t="s">
        <v>3251</v>
      </c>
      <c r="F912" s="2" t="s">
        <v>74</v>
      </c>
      <c r="G912" s="6" t="s">
        <v>219</v>
      </c>
      <c r="H912" s="2" t="s">
        <v>1425</v>
      </c>
      <c r="I912" s="2" t="s">
        <v>1426</v>
      </c>
      <c r="J912" s="2" t="s">
        <v>19</v>
      </c>
      <c r="K912" s="2" t="s">
        <v>648</v>
      </c>
      <c r="L912" s="7" t="str">
        <f>HYPERLINK("http://slimages.macys.com/is/image/MCY/12315459 ")</f>
        <v xml:space="preserve">http://slimages.macys.com/is/image/MCY/12315459 </v>
      </c>
    </row>
    <row r="913" spans="1:12" ht="24.75" x14ac:dyDescent="0.25">
      <c r="A913" s="4" t="s">
        <v>11571</v>
      </c>
      <c r="B913" s="2" t="s">
        <v>11572</v>
      </c>
      <c r="C913" s="3">
        <v>1</v>
      </c>
      <c r="D913" s="5">
        <v>9.99</v>
      </c>
      <c r="E913" s="3" t="s">
        <v>11573</v>
      </c>
      <c r="F913" s="2" t="s">
        <v>74</v>
      </c>
      <c r="G913" s="6" t="s">
        <v>156</v>
      </c>
      <c r="H913" s="2" t="s">
        <v>1473</v>
      </c>
      <c r="I913" s="2" t="s">
        <v>1426</v>
      </c>
      <c r="J913" s="2" t="s">
        <v>19</v>
      </c>
      <c r="K913" s="2" t="s">
        <v>648</v>
      </c>
      <c r="L913" s="7" t="str">
        <f>HYPERLINK("http://slimages.macys.com/is/image/MCY/3559834 ")</f>
        <v xml:space="preserve">http://slimages.macys.com/is/image/MCY/3559834 </v>
      </c>
    </row>
    <row r="914" spans="1:12" ht="24.75" x14ac:dyDescent="0.25">
      <c r="A914" s="4" t="s">
        <v>11574</v>
      </c>
      <c r="B914" s="2" t="s">
        <v>11572</v>
      </c>
      <c r="C914" s="3">
        <v>1</v>
      </c>
      <c r="D914" s="5">
        <v>9.99</v>
      </c>
      <c r="E914" s="3" t="s">
        <v>4348</v>
      </c>
      <c r="F914" s="2" t="s">
        <v>26</v>
      </c>
      <c r="G914" s="6" t="s">
        <v>154</v>
      </c>
      <c r="H914" s="2" t="s">
        <v>1473</v>
      </c>
      <c r="I914" s="2" t="s">
        <v>1426</v>
      </c>
      <c r="J914" s="2" t="s">
        <v>19</v>
      </c>
      <c r="K914" s="2" t="s">
        <v>648</v>
      </c>
      <c r="L914" s="7" t="str">
        <f>HYPERLINK("http://slimages.macys.com/is/image/MCY/3559834 ")</f>
        <v xml:space="preserve">http://slimages.macys.com/is/image/MCY/3559834 </v>
      </c>
    </row>
    <row r="915" spans="1:12" ht="24.75" x14ac:dyDescent="0.25">
      <c r="A915" s="4" t="s">
        <v>11575</v>
      </c>
      <c r="B915" s="2" t="s">
        <v>11572</v>
      </c>
      <c r="C915" s="3">
        <v>6</v>
      </c>
      <c r="D915" s="5">
        <v>9.99</v>
      </c>
      <c r="E915" s="3" t="s">
        <v>11573</v>
      </c>
      <c r="F915" s="2" t="s">
        <v>26</v>
      </c>
      <c r="G915" s="6" t="s">
        <v>154</v>
      </c>
      <c r="H915" s="2" t="s">
        <v>1473</v>
      </c>
      <c r="I915" s="2" t="s">
        <v>1426</v>
      </c>
      <c r="J915" s="2" t="s">
        <v>19</v>
      </c>
      <c r="K915" s="2" t="s">
        <v>648</v>
      </c>
      <c r="L915" s="7" t="str">
        <f>HYPERLINK("http://slimages.macys.com/is/image/MCY/3559834 ")</f>
        <v xml:space="preserve">http://slimages.macys.com/is/image/MCY/3559834 </v>
      </c>
    </row>
    <row r="916" spans="1:12" ht="24.75" x14ac:dyDescent="0.25">
      <c r="A916" s="4" t="s">
        <v>11576</v>
      </c>
      <c r="B916" s="2" t="s">
        <v>11577</v>
      </c>
      <c r="C916" s="3">
        <v>1</v>
      </c>
      <c r="D916" s="5">
        <v>9.99</v>
      </c>
      <c r="E916" s="3" t="s">
        <v>11578</v>
      </c>
      <c r="F916" s="2" t="s">
        <v>26</v>
      </c>
      <c r="G916" s="6" t="s">
        <v>154</v>
      </c>
      <c r="H916" s="2" t="s">
        <v>1473</v>
      </c>
      <c r="I916" s="2" t="s">
        <v>1426</v>
      </c>
      <c r="J916" s="2" t="s">
        <v>19</v>
      </c>
      <c r="K916" s="2" t="s">
        <v>495</v>
      </c>
      <c r="L916" s="7" t="str">
        <f>HYPERLINK("http://slimages.macys.com/is/image/MCY/11517430 ")</f>
        <v xml:space="preserve">http://slimages.macys.com/is/image/MCY/11517430 </v>
      </c>
    </row>
    <row r="917" spans="1:12" ht="24.75" x14ac:dyDescent="0.25">
      <c r="A917" s="4" t="s">
        <v>11579</v>
      </c>
      <c r="B917" s="2" t="s">
        <v>3259</v>
      </c>
      <c r="C917" s="3">
        <v>1</v>
      </c>
      <c r="D917" s="5">
        <v>9.99</v>
      </c>
      <c r="E917" s="3" t="s">
        <v>3260</v>
      </c>
      <c r="F917" s="2" t="s">
        <v>33</v>
      </c>
      <c r="G917" s="6" t="s">
        <v>154</v>
      </c>
      <c r="H917" s="2" t="s">
        <v>1473</v>
      </c>
      <c r="I917" s="2" t="s">
        <v>1426</v>
      </c>
      <c r="J917" s="2" t="s">
        <v>19</v>
      </c>
      <c r="K917" s="2" t="s">
        <v>495</v>
      </c>
      <c r="L917" s="7" t="str">
        <f>HYPERLINK("http://slimages.macys.com/is/image/MCY/11532821 ")</f>
        <v xml:space="preserve">http://slimages.macys.com/is/image/MCY/11532821 </v>
      </c>
    </row>
    <row r="918" spans="1:12" ht="24.75" x14ac:dyDescent="0.25">
      <c r="A918" s="4" t="s">
        <v>11580</v>
      </c>
      <c r="B918" s="2" t="s">
        <v>3270</v>
      </c>
      <c r="C918" s="3">
        <v>1</v>
      </c>
      <c r="D918" s="5">
        <v>9.99</v>
      </c>
      <c r="E918" s="3" t="s">
        <v>3271</v>
      </c>
      <c r="F918" s="2" t="s">
        <v>331</v>
      </c>
      <c r="G918" s="6" t="s">
        <v>154</v>
      </c>
      <c r="H918" s="2" t="s">
        <v>1473</v>
      </c>
      <c r="I918" s="2" t="s">
        <v>1426</v>
      </c>
      <c r="J918" s="2" t="s">
        <v>19</v>
      </c>
      <c r="K918" s="2" t="s">
        <v>495</v>
      </c>
      <c r="L918" s="7" t="str">
        <f>HYPERLINK("http://slimages.macys.com/is/image/MCY/11774711 ")</f>
        <v xml:space="preserve">http://slimages.macys.com/is/image/MCY/11774711 </v>
      </c>
    </row>
    <row r="919" spans="1:12" ht="24.75" x14ac:dyDescent="0.25">
      <c r="A919" s="4" t="s">
        <v>11581</v>
      </c>
      <c r="B919" s="2" t="s">
        <v>2093</v>
      </c>
      <c r="C919" s="3">
        <v>1</v>
      </c>
      <c r="D919" s="5">
        <v>9.99</v>
      </c>
      <c r="E919" s="3" t="s">
        <v>2094</v>
      </c>
      <c r="F919" s="2" t="s">
        <v>79</v>
      </c>
      <c r="G919" s="6" t="s">
        <v>154</v>
      </c>
      <c r="H919" s="2" t="s">
        <v>1473</v>
      </c>
      <c r="I919" s="2" t="s">
        <v>1426</v>
      </c>
      <c r="J919" s="2" t="s">
        <v>19</v>
      </c>
      <c r="K919" s="2" t="s">
        <v>495</v>
      </c>
      <c r="L919" s="7" t="str">
        <f>HYPERLINK("http://slimages.macys.com/is/image/MCY/10464865 ")</f>
        <v xml:space="preserve">http://slimages.macys.com/is/image/MCY/10464865 </v>
      </c>
    </row>
    <row r="920" spans="1:12" ht="24.75" x14ac:dyDescent="0.25">
      <c r="A920" s="4" t="s">
        <v>8413</v>
      </c>
      <c r="B920" s="2" t="s">
        <v>2100</v>
      </c>
      <c r="C920" s="3">
        <v>1</v>
      </c>
      <c r="D920" s="5">
        <v>9.99</v>
      </c>
      <c r="E920" s="3" t="s">
        <v>2101</v>
      </c>
      <c r="F920" s="2" t="s">
        <v>26</v>
      </c>
      <c r="G920" s="6" t="s">
        <v>156</v>
      </c>
      <c r="H920" s="2" t="s">
        <v>1473</v>
      </c>
      <c r="I920" s="2" t="s">
        <v>1426</v>
      </c>
      <c r="J920" s="2" t="s">
        <v>19</v>
      </c>
      <c r="K920" s="2" t="s">
        <v>495</v>
      </c>
      <c r="L920" s="7" t="str">
        <f>HYPERLINK("http://slimages.macys.com/is/image/MCY/11774903 ")</f>
        <v xml:space="preserve">http://slimages.macys.com/is/image/MCY/11774903 </v>
      </c>
    </row>
    <row r="921" spans="1:12" ht="24.75" x14ac:dyDescent="0.25">
      <c r="A921" s="4" t="s">
        <v>11582</v>
      </c>
      <c r="B921" s="2" t="s">
        <v>5316</v>
      </c>
      <c r="C921" s="3">
        <v>1</v>
      </c>
      <c r="D921" s="5">
        <v>9.99</v>
      </c>
      <c r="E921" s="3" t="s">
        <v>5317</v>
      </c>
      <c r="F921" s="2" t="s">
        <v>33</v>
      </c>
      <c r="G921" s="6" t="s">
        <v>234</v>
      </c>
      <c r="H921" s="2" t="s">
        <v>1473</v>
      </c>
      <c r="I921" s="2" t="s">
        <v>1426</v>
      </c>
      <c r="J921" s="2" t="s">
        <v>19</v>
      </c>
      <c r="K921" s="2" t="s">
        <v>495</v>
      </c>
      <c r="L921" s="7" t="str">
        <f>HYPERLINK("http://slimages.macys.com/is/image/MCY/12269156 ")</f>
        <v xml:space="preserve">http://slimages.macys.com/is/image/MCY/12269156 </v>
      </c>
    </row>
    <row r="922" spans="1:12" ht="24.75" x14ac:dyDescent="0.25">
      <c r="A922" s="4" t="s">
        <v>2105</v>
      </c>
      <c r="B922" s="2" t="s">
        <v>2093</v>
      </c>
      <c r="C922" s="3">
        <v>1</v>
      </c>
      <c r="D922" s="5">
        <v>9.99</v>
      </c>
      <c r="E922" s="3" t="s">
        <v>2094</v>
      </c>
      <c r="F922" s="2" t="s">
        <v>74</v>
      </c>
      <c r="G922" s="6" t="s">
        <v>181</v>
      </c>
      <c r="H922" s="2" t="s">
        <v>1473</v>
      </c>
      <c r="I922" s="2" t="s">
        <v>1426</v>
      </c>
      <c r="J922" s="2" t="s">
        <v>19</v>
      </c>
      <c r="K922" s="2" t="s">
        <v>495</v>
      </c>
      <c r="L922" s="7" t="str">
        <f>HYPERLINK("http://slimages.macys.com/is/image/MCY/10464865 ")</f>
        <v xml:space="preserve">http://slimages.macys.com/is/image/MCY/10464865 </v>
      </c>
    </row>
    <row r="923" spans="1:12" ht="24.75" x14ac:dyDescent="0.25">
      <c r="A923" s="4" t="s">
        <v>11583</v>
      </c>
      <c r="B923" s="2" t="s">
        <v>11584</v>
      </c>
      <c r="C923" s="3">
        <v>1</v>
      </c>
      <c r="D923" s="5">
        <v>12.99</v>
      </c>
      <c r="E923" s="3" t="s">
        <v>11585</v>
      </c>
      <c r="F923" s="2" t="s">
        <v>15</v>
      </c>
      <c r="G923" s="6" t="s">
        <v>200</v>
      </c>
      <c r="H923" s="2" t="s">
        <v>2029</v>
      </c>
      <c r="I923" s="2" t="s">
        <v>2030</v>
      </c>
      <c r="J923" s="2" t="s">
        <v>19</v>
      </c>
      <c r="K923" s="2" t="s">
        <v>495</v>
      </c>
      <c r="L923" s="7" t="str">
        <f>HYPERLINK("http://slimages.macys.com/is/image/MCY/12892674 ")</f>
        <v xml:space="preserve">http://slimages.macys.com/is/image/MCY/12892674 </v>
      </c>
    </row>
    <row r="924" spans="1:12" ht="24.75" x14ac:dyDescent="0.25">
      <c r="A924" s="4" t="s">
        <v>11586</v>
      </c>
      <c r="B924" s="2" t="s">
        <v>11584</v>
      </c>
      <c r="C924" s="3">
        <v>1</v>
      </c>
      <c r="D924" s="5">
        <v>12.99</v>
      </c>
      <c r="E924" s="3" t="s">
        <v>11585</v>
      </c>
      <c r="F924" s="2" t="s">
        <v>15</v>
      </c>
      <c r="G924" s="6" t="s">
        <v>234</v>
      </c>
      <c r="H924" s="2" t="s">
        <v>2029</v>
      </c>
      <c r="I924" s="2" t="s">
        <v>2030</v>
      </c>
      <c r="J924" s="2" t="s">
        <v>19</v>
      </c>
      <c r="K924" s="2" t="s">
        <v>495</v>
      </c>
      <c r="L924" s="7" t="str">
        <f>HYPERLINK("http://slimages.macys.com/is/image/MCY/12892674 ")</f>
        <v xml:space="preserve">http://slimages.macys.com/is/image/MCY/12892674 </v>
      </c>
    </row>
    <row r="925" spans="1:12" x14ac:dyDescent="0.25">
      <c r="A925" s="4" t="s">
        <v>11587</v>
      </c>
      <c r="B925" s="2" t="s">
        <v>11588</v>
      </c>
      <c r="C925" s="3">
        <v>1</v>
      </c>
      <c r="D925" s="5">
        <v>39.979999999999997</v>
      </c>
      <c r="E925" s="3" t="s">
        <v>11589</v>
      </c>
      <c r="F925" s="2" t="s">
        <v>11590</v>
      </c>
      <c r="G925" s="6" t="s">
        <v>156</v>
      </c>
      <c r="H925" s="2" t="s">
        <v>11591</v>
      </c>
      <c r="I925" s="2" t="s">
        <v>11592</v>
      </c>
      <c r="J925" s="2" t="s">
        <v>19</v>
      </c>
      <c r="K925" s="2" t="s">
        <v>353</v>
      </c>
      <c r="L925" s="7" t="str">
        <f>HYPERLINK("http://slimages.macys.com/is/image/MCY/11589039 ")</f>
        <v xml:space="preserve">http://slimages.macys.com/is/image/MCY/11589039 </v>
      </c>
    </row>
    <row r="926" spans="1:12" ht="24.75" x14ac:dyDescent="0.25">
      <c r="A926" s="4" t="s">
        <v>11593</v>
      </c>
      <c r="B926" s="2" t="s">
        <v>11584</v>
      </c>
      <c r="C926" s="3">
        <v>1</v>
      </c>
      <c r="D926" s="5">
        <v>12.99</v>
      </c>
      <c r="E926" s="3" t="s">
        <v>11585</v>
      </c>
      <c r="F926" s="2" t="s">
        <v>74</v>
      </c>
      <c r="G926" s="6" t="s">
        <v>154</v>
      </c>
      <c r="H926" s="2" t="s">
        <v>2029</v>
      </c>
      <c r="I926" s="2" t="s">
        <v>2030</v>
      </c>
      <c r="J926" s="2" t="s">
        <v>19</v>
      </c>
      <c r="K926" s="2" t="s">
        <v>495</v>
      </c>
      <c r="L926" s="7" t="str">
        <f>HYPERLINK("http://slimages.macys.com/is/image/MCY/12892674 ")</f>
        <v xml:space="preserve">http://slimages.macys.com/is/image/MCY/12892674 </v>
      </c>
    </row>
    <row r="927" spans="1:12" ht="24.75" x14ac:dyDescent="0.25">
      <c r="A927" s="4" t="s">
        <v>11594</v>
      </c>
      <c r="B927" s="2" t="s">
        <v>11584</v>
      </c>
      <c r="C927" s="3">
        <v>1</v>
      </c>
      <c r="D927" s="5">
        <v>12.99</v>
      </c>
      <c r="E927" s="3" t="s">
        <v>11585</v>
      </c>
      <c r="F927" s="2" t="s">
        <v>74</v>
      </c>
      <c r="G927" s="6" t="s">
        <v>200</v>
      </c>
      <c r="H927" s="2" t="s">
        <v>2029</v>
      </c>
      <c r="I927" s="2" t="s">
        <v>2030</v>
      </c>
      <c r="J927" s="2" t="s">
        <v>19</v>
      </c>
      <c r="K927" s="2" t="s">
        <v>495</v>
      </c>
      <c r="L927" s="7" t="str">
        <f>HYPERLINK("http://slimages.macys.com/is/image/MCY/12892674 ")</f>
        <v xml:space="preserve">http://slimages.macys.com/is/image/MCY/12892674 </v>
      </c>
    </row>
    <row r="928" spans="1:12" ht="24.75" x14ac:dyDescent="0.25">
      <c r="A928" s="4" t="s">
        <v>11595</v>
      </c>
      <c r="B928" s="2" t="s">
        <v>11584</v>
      </c>
      <c r="C928" s="3">
        <v>2</v>
      </c>
      <c r="D928" s="5">
        <v>12.99</v>
      </c>
      <c r="E928" s="3" t="s">
        <v>11585</v>
      </c>
      <c r="F928" s="2" t="s">
        <v>74</v>
      </c>
      <c r="G928" s="6" t="s">
        <v>245</v>
      </c>
      <c r="H928" s="2" t="s">
        <v>2029</v>
      </c>
      <c r="I928" s="2" t="s">
        <v>2030</v>
      </c>
      <c r="J928" s="2" t="s">
        <v>19</v>
      </c>
      <c r="K928" s="2" t="s">
        <v>495</v>
      </c>
      <c r="L928" s="7" t="str">
        <f>HYPERLINK("http://slimages.macys.com/is/image/MCY/12892674 ")</f>
        <v xml:space="preserve">http://slimages.macys.com/is/image/MCY/12892674 </v>
      </c>
    </row>
    <row r="929" spans="1:12" ht="24.75" x14ac:dyDescent="0.25">
      <c r="A929" s="4" t="s">
        <v>11596</v>
      </c>
      <c r="B929" s="2" t="s">
        <v>2072</v>
      </c>
      <c r="C929" s="3">
        <v>1</v>
      </c>
      <c r="D929" s="5">
        <v>9.99</v>
      </c>
      <c r="E929" s="3" t="s">
        <v>6956</v>
      </c>
      <c r="F929" s="2" t="s">
        <v>94</v>
      </c>
      <c r="G929" s="6" t="s">
        <v>154</v>
      </c>
      <c r="H929" s="2" t="s">
        <v>1473</v>
      </c>
      <c r="I929" s="2" t="s">
        <v>1426</v>
      </c>
      <c r="J929" s="2" t="s">
        <v>19</v>
      </c>
      <c r="K929" s="2" t="s">
        <v>648</v>
      </c>
      <c r="L929" s="7" t="str">
        <f>HYPERLINK("http://slimages.macys.com/is/image/MCY/10741447 ")</f>
        <v xml:space="preserve">http://slimages.macys.com/is/image/MCY/10741447 </v>
      </c>
    </row>
    <row r="930" spans="1:12" ht="24.75" x14ac:dyDescent="0.25">
      <c r="A930" s="4" t="s">
        <v>11597</v>
      </c>
      <c r="B930" s="2" t="s">
        <v>11598</v>
      </c>
      <c r="C930" s="3">
        <v>1</v>
      </c>
      <c r="D930" s="5">
        <v>12.99</v>
      </c>
      <c r="E930" s="3" t="s">
        <v>11599</v>
      </c>
      <c r="F930" s="2" t="s">
        <v>74</v>
      </c>
      <c r="G930" s="6" t="s">
        <v>154</v>
      </c>
      <c r="H930" s="2" t="s">
        <v>2029</v>
      </c>
      <c r="I930" s="2" t="s">
        <v>2030</v>
      </c>
      <c r="J930" s="2" t="s">
        <v>19</v>
      </c>
      <c r="K930" s="2" t="s">
        <v>495</v>
      </c>
      <c r="L930" s="7" t="str">
        <f t="shared" ref="L930:L935" si="6">HYPERLINK("http://slimages.macys.com/is/image/MCY/11751780 ")</f>
        <v xml:space="preserve">http://slimages.macys.com/is/image/MCY/11751780 </v>
      </c>
    </row>
    <row r="931" spans="1:12" ht="24.75" x14ac:dyDescent="0.25">
      <c r="A931" s="4" t="s">
        <v>11600</v>
      </c>
      <c r="B931" s="2" t="s">
        <v>11598</v>
      </c>
      <c r="C931" s="3">
        <v>1</v>
      </c>
      <c r="D931" s="5">
        <v>12.99</v>
      </c>
      <c r="E931" s="3" t="s">
        <v>11599</v>
      </c>
      <c r="F931" s="2" t="s">
        <v>74</v>
      </c>
      <c r="G931" s="6" t="s">
        <v>200</v>
      </c>
      <c r="H931" s="2" t="s">
        <v>2029</v>
      </c>
      <c r="I931" s="2" t="s">
        <v>2030</v>
      </c>
      <c r="J931" s="2" t="s">
        <v>19</v>
      </c>
      <c r="K931" s="2" t="s">
        <v>495</v>
      </c>
      <c r="L931" s="7" t="str">
        <f t="shared" si="6"/>
        <v xml:space="preserve">http://slimages.macys.com/is/image/MCY/11751780 </v>
      </c>
    </row>
    <row r="932" spans="1:12" ht="24.75" x14ac:dyDescent="0.25">
      <c r="A932" s="4" t="s">
        <v>11601</v>
      </c>
      <c r="B932" s="2" t="s">
        <v>11598</v>
      </c>
      <c r="C932" s="3">
        <v>7</v>
      </c>
      <c r="D932" s="5">
        <v>12.99</v>
      </c>
      <c r="E932" s="3" t="s">
        <v>11599</v>
      </c>
      <c r="F932" s="2" t="s">
        <v>74</v>
      </c>
      <c r="G932" s="6" t="s">
        <v>234</v>
      </c>
      <c r="H932" s="2" t="s">
        <v>2029</v>
      </c>
      <c r="I932" s="2" t="s">
        <v>2030</v>
      </c>
      <c r="J932" s="2" t="s">
        <v>19</v>
      </c>
      <c r="K932" s="2" t="s">
        <v>495</v>
      </c>
      <c r="L932" s="7" t="str">
        <f t="shared" si="6"/>
        <v xml:space="preserve">http://slimages.macys.com/is/image/MCY/11751780 </v>
      </c>
    </row>
    <row r="933" spans="1:12" ht="24.75" x14ac:dyDescent="0.25">
      <c r="A933" s="4" t="s">
        <v>11602</v>
      </c>
      <c r="B933" s="2" t="s">
        <v>11598</v>
      </c>
      <c r="C933" s="3">
        <v>5</v>
      </c>
      <c r="D933" s="5">
        <v>12.99</v>
      </c>
      <c r="E933" s="3" t="s">
        <v>11599</v>
      </c>
      <c r="F933" s="2" t="s">
        <v>74</v>
      </c>
      <c r="G933" s="6" t="s">
        <v>156</v>
      </c>
      <c r="H933" s="2" t="s">
        <v>2029</v>
      </c>
      <c r="I933" s="2" t="s">
        <v>2030</v>
      </c>
      <c r="J933" s="2" t="s">
        <v>19</v>
      </c>
      <c r="K933" s="2" t="s">
        <v>495</v>
      </c>
      <c r="L933" s="7" t="str">
        <f t="shared" si="6"/>
        <v xml:space="preserve">http://slimages.macys.com/is/image/MCY/11751780 </v>
      </c>
    </row>
    <row r="934" spans="1:12" ht="24.75" x14ac:dyDescent="0.25">
      <c r="A934" s="4" t="s">
        <v>11603</v>
      </c>
      <c r="B934" s="2" t="s">
        <v>11598</v>
      </c>
      <c r="C934" s="3">
        <v>2</v>
      </c>
      <c r="D934" s="5">
        <v>12.99</v>
      </c>
      <c r="E934" s="3" t="s">
        <v>11599</v>
      </c>
      <c r="F934" s="2" t="s">
        <v>74</v>
      </c>
      <c r="G934" s="6" t="s">
        <v>245</v>
      </c>
      <c r="H934" s="2" t="s">
        <v>2029</v>
      </c>
      <c r="I934" s="2" t="s">
        <v>2030</v>
      </c>
      <c r="J934" s="2" t="s">
        <v>19</v>
      </c>
      <c r="K934" s="2" t="s">
        <v>495</v>
      </c>
      <c r="L934" s="7" t="str">
        <f t="shared" si="6"/>
        <v xml:space="preserve">http://slimages.macys.com/is/image/MCY/11751780 </v>
      </c>
    </row>
    <row r="935" spans="1:12" ht="24.75" x14ac:dyDescent="0.25">
      <c r="A935" s="4" t="s">
        <v>11604</v>
      </c>
      <c r="B935" s="2" t="s">
        <v>11598</v>
      </c>
      <c r="C935" s="3">
        <v>1</v>
      </c>
      <c r="D935" s="5">
        <v>12.99</v>
      </c>
      <c r="E935" s="3" t="s">
        <v>11599</v>
      </c>
      <c r="F935" s="2" t="s">
        <v>53</v>
      </c>
      <c r="G935" s="6" t="s">
        <v>154</v>
      </c>
      <c r="H935" s="2" t="s">
        <v>2029</v>
      </c>
      <c r="I935" s="2" t="s">
        <v>2030</v>
      </c>
      <c r="J935" s="2" t="s">
        <v>19</v>
      </c>
      <c r="K935" s="2" t="s">
        <v>495</v>
      </c>
      <c r="L935" s="7" t="str">
        <f t="shared" si="6"/>
        <v xml:space="preserve">http://slimages.macys.com/is/image/MCY/11751780 </v>
      </c>
    </row>
    <row r="936" spans="1:12" ht="24.75" x14ac:dyDescent="0.25">
      <c r="A936" s="4" t="s">
        <v>11605</v>
      </c>
      <c r="B936" s="2" t="s">
        <v>7764</v>
      </c>
      <c r="C936" s="3">
        <v>1</v>
      </c>
      <c r="D936" s="5">
        <v>12.99</v>
      </c>
      <c r="E936" s="3" t="s">
        <v>7765</v>
      </c>
      <c r="F936" s="2" t="s">
        <v>15</v>
      </c>
      <c r="G936" s="6" t="s">
        <v>200</v>
      </c>
      <c r="H936" s="2" t="s">
        <v>2029</v>
      </c>
      <c r="I936" s="2" t="s">
        <v>2030</v>
      </c>
      <c r="J936" s="2" t="s">
        <v>19</v>
      </c>
      <c r="K936" s="2" t="s">
        <v>495</v>
      </c>
      <c r="L936" s="7" t="str">
        <f>HYPERLINK("http://slimages.macys.com/is/image/MCY/11753159 ")</f>
        <v xml:space="preserve">http://slimages.macys.com/is/image/MCY/11753159 </v>
      </c>
    </row>
    <row r="937" spans="1:12" ht="24.75" x14ac:dyDescent="0.25">
      <c r="A937" s="4" t="s">
        <v>11606</v>
      </c>
      <c r="B937" s="2" t="s">
        <v>7013</v>
      </c>
      <c r="C937" s="3">
        <v>1</v>
      </c>
      <c r="D937" s="5">
        <v>9.98</v>
      </c>
      <c r="E937" s="3" t="s">
        <v>7014</v>
      </c>
      <c r="F937" s="2" t="s">
        <v>26</v>
      </c>
      <c r="G937" s="6" t="s">
        <v>234</v>
      </c>
      <c r="H937" s="2" t="s">
        <v>1473</v>
      </c>
      <c r="I937" s="2" t="s">
        <v>1426</v>
      </c>
      <c r="J937" s="2"/>
      <c r="K937" s="2"/>
      <c r="L937" s="7" t="str">
        <f>HYPERLINK("http://slimages.macys.com/is/image/MCY/8076960 ")</f>
        <v xml:space="preserve">http://slimages.macys.com/is/image/MCY/8076960 </v>
      </c>
    </row>
    <row r="938" spans="1:12" ht="24.75" x14ac:dyDescent="0.25">
      <c r="A938" s="4" t="s">
        <v>11607</v>
      </c>
      <c r="B938" s="2" t="s">
        <v>7768</v>
      </c>
      <c r="C938" s="3">
        <v>1</v>
      </c>
      <c r="D938" s="5">
        <v>9.99</v>
      </c>
      <c r="E938" s="3">
        <v>100007638</v>
      </c>
      <c r="F938" s="2" t="s">
        <v>676</v>
      </c>
      <c r="G938" s="6" t="s">
        <v>234</v>
      </c>
      <c r="H938" s="2" t="s">
        <v>2029</v>
      </c>
      <c r="I938" s="2" t="s">
        <v>2030</v>
      </c>
      <c r="J938" s="2" t="s">
        <v>19</v>
      </c>
      <c r="K938" s="2" t="s">
        <v>201</v>
      </c>
      <c r="L938" s="7" t="str">
        <f>HYPERLINK("http://slimages.macys.com/is/image/MCY/9494762 ")</f>
        <v xml:space="preserve">http://slimages.macys.com/is/image/MCY/9494762 </v>
      </c>
    </row>
    <row r="939" spans="1:12" ht="24.75" x14ac:dyDescent="0.25">
      <c r="A939" s="4" t="s">
        <v>11608</v>
      </c>
      <c r="B939" s="2" t="s">
        <v>7768</v>
      </c>
      <c r="C939" s="3">
        <v>1</v>
      </c>
      <c r="D939" s="5">
        <v>9.99</v>
      </c>
      <c r="E939" s="3">
        <v>100007638</v>
      </c>
      <c r="F939" s="2" t="s">
        <v>676</v>
      </c>
      <c r="G939" s="6" t="s">
        <v>200</v>
      </c>
      <c r="H939" s="2" t="s">
        <v>2029</v>
      </c>
      <c r="I939" s="2" t="s">
        <v>2030</v>
      </c>
      <c r="J939" s="2" t="s">
        <v>19</v>
      </c>
      <c r="K939" s="2" t="s">
        <v>201</v>
      </c>
      <c r="L939" s="7" t="str">
        <f>HYPERLINK("http://slimages.macys.com/is/image/MCY/9494762 ")</f>
        <v xml:space="preserve">http://slimages.macys.com/is/image/MCY/9494762 </v>
      </c>
    </row>
    <row r="940" spans="1:12" ht="24.75" x14ac:dyDescent="0.25">
      <c r="A940" s="4" t="s">
        <v>11609</v>
      </c>
      <c r="B940" s="2" t="s">
        <v>7768</v>
      </c>
      <c r="C940" s="3">
        <v>1</v>
      </c>
      <c r="D940" s="5">
        <v>9.99</v>
      </c>
      <c r="E940" s="3">
        <v>100007638</v>
      </c>
      <c r="F940" s="2" t="s">
        <v>676</v>
      </c>
      <c r="G940" s="6" t="s">
        <v>245</v>
      </c>
      <c r="H940" s="2" t="s">
        <v>2029</v>
      </c>
      <c r="I940" s="2" t="s">
        <v>2030</v>
      </c>
      <c r="J940" s="2" t="s">
        <v>19</v>
      </c>
      <c r="K940" s="2" t="s">
        <v>201</v>
      </c>
      <c r="L940" s="7" t="str">
        <f>HYPERLINK("http://slimages.macys.com/is/image/MCY/9494762 ")</f>
        <v xml:space="preserve">http://slimages.macys.com/is/image/MCY/9494762 </v>
      </c>
    </row>
    <row r="941" spans="1:12" ht="24.75" x14ac:dyDescent="0.25">
      <c r="A941" s="4" t="s">
        <v>11610</v>
      </c>
      <c r="B941" s="2" t="s">
        <v>7768</v>
      </c>
      <c r="C941" s="3">
        <v>1</v>
      </c>
      <c r="D941" s="5">
        <v>9.99</v>
      </c>
      <c r="E941" s="3">
        <v>100007638</v>
      </c>
      <c r="F941" s="2" t="s">
        <v>53</v>
      </c>
      <c r="G941" s="6" t="s">
        <v>200</v>
      </c>
      <c r="H941" s="2" t="s">
        <v>2029</v>
      </c>
      <c r="I941" s="2" t="s">
        <v>2030</v>
      </c>
      <c r="J941" s="2" t="s">
        <v>19</v>
      </c>
      <c r="K941" s="2" t="s">
        <v>201</v>
      </c>
      <c r="L941" s="7" t="str">
        <f>HYPERLINK("http://slimages.macys.com/is/image/MCY/9494762 ")</f>
        <v xml:space="preserve">http://slimages.macys.com/is/image/MCY/9494762 </v>
      </c>
    </row>
    <row r="942" spans="1:12" ht="24.75" x14ac:dyDescent="0.25">
      <c r="A942" s="4" t="s">
        <v>5298</v>
      </c>
      <c r="B942" s="2" t="s">
        <v>2083</v>
      </c>
      <c r="C942" s="3">
        <v>1</v>
      </c>
      <c r="D942" s="5">
        <v>9.99</v>
      </c>
      <c r="E942" s="3" t="s">
        <v>2084</v>
      </c>
      <c r="F942" s="2" t="s">
        <v>74</v>
      </c>
      <c r="G942" s="6" t="s">
        <v>154</v>
      </c>
      <c r="H942" s="2" t="s">
        <v>1473</v>
      </c>
      <c r="I942" s="2" t="s">
        <v>1426</v>
      </c>
      <c r="J942" s="2" t="s">
        <v>19</v>
      </c>
      <c r="K942" s="2" t="s">
        <v>648</v>
      </c>
      <c r="L942" s="7" t="str">
        <f t="shared" ref="L942:L947" si="7">HYPERLINK("http://slimages.macys.com/is/image/MCY/10703349 ")</f>
        <v xml:space="preserve">http://slimages.macys.com/is/image/MCY/10703349 </v>
      </c>
    </row>
    <row r="943" spans="1:12" ht="24.75" x14ac:dyDescent="0.25">
      <c r="A943" s="4" t="s">
        <v>10345</v>
      </c>
      <c r="B943" s="2" t="s">
        <v>2083</v>
      </c>
      <c r="C943" s="3">
        <v>1</v>
      </c>
      <c r="D943" s="5">
        <v>9.99</v>
      </c>
      <c r="E943" s="3" t="s">
        <v>2084</v>
      </c>
      <c r="F943" s="2" t="s">
        <v>74</v>
      </c>
      <c r="G943" s="6" t="s">
        <v>181</v>
      </c>
      <c r="H943" s="2" t="s">
        <v>1473</v>
      </c>
      <c r="I943" s="2" t="s">
        <v>1426</v>
      </c>
      <c r="J943" s="2" t="s">
        <v>19</v>
      </c>
      <c r="K943" s="2" t="s">
        <v>648</v>
      </c>
      <c r="L943" s="7" t="str">
        <f t="shared" si="7"/>
        <v xml:space="preserve">http://slimages.macys.com/is/image/MCY/10703349 </v>
      </c>
    </row>
    <row r="944" spans="1:12" ht="24.75" x14ac:dyDescent="0.25">
      <c r="A944" s="4" t="s">
        <v>3255</v>
      </c>
      <c r="B944" s="2" t="s">
        <v>2083</v>
      </c>
      <c r="C944" s="3">
        <v>1</v>
      </c>
      <c r="D944" s="5">
        <v>9.99</v>
      </c>
      <c r="E944" s="3" t="s">
        <v>2084</v>
      </c>
      <c r="F944" s="2" t="s">
        <v>136</v>
      </c>
      <c r="G944" s="6" t="s">
        <v>200</v>
      </c>
      <c r="H944" s="2" t="s">
        <v>1473</v>
      </c>
      <c r="I944" s="2" t="s">
        <v>1426</v>
      </c>
      <c r="J944" s="2" t="s">
        <v>19</v>
      </c>
      <c r="K944" s="2" t="s">
        <v>648</v>
      </c>
      <c r="L944" s="7" t="str">
        <f t="shared" si="7"/>
        <v xml:space="preserve">http://slimages.macys.com/is/image/MCY/10703349 </v>
      </c>
    </row>
    <row r="945" spans="1:12" ht="24.75" x14ac:dyDescent="0.25">
      <c r="A945" s="4" t="s">
        <v>11611</v>
      </c>
      <c r="B945" s="2" t="s">
        <v>2083</v>
      </c>
      <c r="C945" s="3">
        <v>1</v>
      </c>
      <c r="D945" s="5">
        <v>9.99</v>
      </c>
      <c r="E945" s="3" t="s">
        <v>2084</v>
      </c>
      <c r="F945" s="2" t="s">
        <v>820</v>
      </c>
      <c r="G945" s="6" t="s">
        <v>156</v>
      </c>
      <c r="H945" s="2" t="s">
        <v>1473</v>
      </c>
      <c r="I945" s="2" t="s">
        <v>1426</v>
      </c>
      <c r="J945" s="2" t="s">
        <v>19</v>
      </c>
      <c r="K945" s="2" t="s">
        <v>648</v>
      </c>
      <c r="L945" s="7" t="str">
        <f t="shared" si="7"/>
        <v xml:space="preserve">http://slimages.macys.com/is/image/MCY/10703349 </v>
      </c>
    </row>
    <row r="946" spans="1:12" ht="24.75" x14ac:dyDescent="0.25">
      <c r="A946" s="4" t="s">
        <v>11612</v>
      </c>
      <c r="B946" s="2" t="s">
        <v>2083</v>
      </c>
      <c r="C946" s="3">
        <v>1</v>
      </c>
      <c r="D946" s="5">
        <v>9.99</v>
      </c>
      <c r="E946" s="3" t="s">
        <v>2084</v>
      </c>
      <c r="F946" s="2" t="s">
        <v>331</v>
      </c>
      <c r="G946" s="6" t="s">
        <v>156</v>
      </c>
      <c r="H946" s="2" t="s">
        <v>1473</v>
      </c>
      <c r="I946" s="2" t="s">
        <v>1426</v>
      </c>
      <c r="J946" s="2" t="s">
        <v>19</v>
      </c>
      <c r="K946" s="2" t="s">
        <v>648</v>
      </c>
      <c r="L946" s="7" t="str">
        <f t="shared" si="7"/>
        <v xml:space="preserve">http://slimages.macys.com/is/image/MCY/10703349 </v>
      </c>
    </row>
    <row r="947" spans="1:12" ht="24.75" x14ac:dyDescent="0.25">
      <c r="A947" s="4" t="s">
        <v>4343</v>
      </c>
      <c r="B947" s="2" t="s">
        <v>2083</v>
      </c>
      <c r="C947" s="3">
        <v>2</v>
      </c>
      <c r="D947" s="5">
        <v>9.99</v>
      </c>
      <c r="E947" s="3" t="s">
        <v>2084</v>
      </c>
      <c r="F947" s="2" t="s">
        <v>15</v>
      </c>
      <c r="G947" s="6" t="s">
        <v>234</v>
      </c>
      <c r="H947" s="2" t="s">
        <v>1473</v>
      </c>
      <c r="I947" s="2" t="s">
        <v>1426</v>
      </c>
      <c r="J947" s="2" t="s">
        <v>19</v>
      </c>
      <c r="K947" s="2" t="s">
        <v>648</v>
      </c>
      <c r="L947" s="7" t="str">
        <f t="shared" si="7"/>
        <v xml:space="preserve">http://slimages.macys.com/is/image/MCY/10703349 </v>
      </c>
    </row>
    <row r="948" spans="1:12" ht="24.75" x14ac:dyDescent="0.25">
      <c r="A948" s="4" t="s">
        <v>11613</v>
      </c>
      <c r="B948" s="2" t="s">
        <v>11614</v>
      </c>
      <c r="C948" s="3">
        <v>1</v>
      </c>
      <c r="D948" s="5">
        <v>12.99</v>
      </c>
      <c r="E948" s="3" t="s">
        <v>11615</v>
      </c>
      <c r="F948" s="2" t="s">
        <v>111</v>
      </c>
      <c r="G948" s="6" t="s">
        <v>156</v>
      </c>
      <c r="H948" s="2" t="s">
        <v>2029</v>
      </c>
      <c r="I948" s="2" t="s">
        <v>2030</v>
      </c>
      <c r="J948" s="2" t="s">
        <v>19</v>
      </c>
      <c r="K948" s="2" t="s">
        <v>495</v>
      </c>
      <c r="L948" s="7" t="str">
        <f>HYPERLINK("http://slimages.macys.com/is/image/MCY/9494712 ")</f>
        <v xml:space="preserve">http://slimages.macys.com/is/image/MCY/9494712 </v>
      </c>
    </row>
    <row r="949" spans="1:12" ht="24.75" x14ac:dyDescent="0.25">
      <c r="A949" s="4" t="s">
        <v>11616</v>
      </c>
      <c r="B949" s="2" t="s">
        <v>11614</v>
      </c>
      <c r="C949" s="3">
        <v>1</v>
      </c>
      <c r="D949" s="5">
        <v>12.99</v>
      </c>
      <c r="E949" s="3" t="s">
        <v>11615</v>
      </c>
      <c r="F949" s="2" t="s">
        <v>111</v>
      </c>
      <c r="G949" s="6" t="s">
        <v>181</v>
      </c>
      <c r="H949" s="2" t="s">
        <v>2029</v>
      </c>
      <c r="I949" s="2" t="s">
        <v>2030</v>
      </c>
      <c r="J949" s="2" t="s">
        <v>19</v>
      </c>
      <c r="K949" s="2" t="s">
        <v>495</v>
      </c>
      <c r="L949" s="7" t="str">
        <f>HYPERLINK("http://slimages.macys.com/is/image/MCY/9494712 ")</f>
        <v xml:space="preserve">http://slimages.macys.com/is/image/MCY/9494712 </v>
      </c>
    </row>
    <row r="950" spans="1:12" ht="24.75" x14ac:dyDescent="0.25">
      <c r="A950" s="4" t="s">
        <v>11617</v>
      </c>
      <c r="B950" s="2" t="s">
        <v>11614</v>
      </c>
      <c r="C950" s="3">
        <v>2</v>
      </c>
      <c r="D950" s="5">
        <v>12.99</v>
      </c>
      <c r="E950" s="3" t="s">
        <v>11615</v>
      </c>
      <c r="F950" s="2" t="s">
        <v>1584</v>
      </c>
      <c r="G950" s="6" t="s">
        <v>234</v>
      </c>
      <c r="H950" s="2" t="s">
        <v>2029</v>
      </c>
      <c r="I950" s="2" t="s">
        <v>2030</v>
      </c>
      <c r="J950" s="2" t="s">
        <v>19</v>
      </c>
      <c r="K950" s="2" t="s">
        <v>495</v>
      </c>
      <c r="L950" s="7" t="str">
        <f>HYPERLINK("http://slimages.macys.com/is/image/MCY/9494712 ")</f>
        <v xml:space="preserve">http://slimages.macys.com/is/image/MCY/9494712 </v>
      </c>
    </row>
    <row r="951" spans="1:12" ht="24.75" x14ac:dyDescent="0.25">
      <c r="A951" s="4" t="s">
        <v>11618</v>
      </c>
      <c r="B951" s="2" t="s">
        <v>9769</v>
      </c>
      <c r="C951" s="3">
        <v>1</v>
      </c>
      <c r="D951" s="5">
        <v>48</v>
      </c>
      <c r="E951" s="3" t="s">
        <v>11619</v>
      </c>
      <c r="F951" s="2" t="s">
        <v>15</v>
      </c>
      <c r="G951" s="6" t="s">
        <v>9417</v>
      </c>
      <c r="H951" s="2" t="s">
        <v>447</v>
      </c>
      <c r="I951" s="2" t="s">
        <v>3409</v>
      </c>
      <c r="J951" s="2"/>
      <c r="K951" s="2"/>
      <c r="L951" s="7"/>
    </row>
    <row r="952" spans="1:12" ht="24.75" x14ac:dyDescent="0.25">
      <c r="A952" s="4" t="s">
        <v>11620</v>
      </c>
      <c r="B952" s="2" t="s">
        <v>11621</v>
      </c>
      <c r="C952" s="3">
        <v>1</v>
      </c>
      <c r="D952" s="5">
        <v>48</v>
      </c>
      <c r="E952" s="3" t="s">
        <v>11622</v>
      </c>
      <c r="F952" s="2" t="s">
        <v>15</v>
      </c>
      <c r="G952" s="6"/>
      <c r="H952" s="2" t="s">
        <v>447</v>
      </c>
      <c r="I952" s="2" t="s">
        <v>3409</v>
      </c>
      <c r="J952" s="2"/>
      <c r="K952" s="2"/>
      <c r="L952" s="7"/>
    </row>
    <row r="953" spans="1:12" ht="24.75" x14ac:dyDescent="0.25">
      <c r="A953" s="4" t="s">
        <v>8429</v>
      </c>
      <c r="B953" s="2" t="s">
        <v>2116</v>
      </c>
      <c r="C953" s="3">
        <v>1</v>
      </c>
      <c r="D953" s="5">
        <v>37.130000000000003</v>
      </c>
      <c r="E953" s="3" t="s">
        <v>2117</v>
      </c>
      <c r="F953" s="2" t="s">
        <v>572</v>
      </c>
      <c r="G953" s="6" t="s">
        <v>22</v>
      </c>
      <c r="H953" s="2" t="s">
        <v>246</v>
      </c>
      <c r="I953" s="2" t="s">
        <v>487</v>
      </c>
      <c r="J953" s="2"/>
      <c r="K953" s="2"/>
      <c r="L953" s="7"/>
    </row>
    <row r="954" spans="1:12" ht="24.75" x14ac:dyDescent="0.25">
      <c r="A954" s="4" t="s">
        <v>10352</v>
      </c>
      <c r="B954" s="2" t="s">
        <v>2116</v>
      </c>
      <c r="C954" s="3">
        <v>2</v>
      </c>
      <c r="D954" s="5">
        <v>37.130000000000003</v>
      </c>
      <c r="E954" s="3" t="s">
        <v>2117</v>
      </c>
      <c r="F954" s="2" t="s">
        <v>572</v>
      </c>
      <c r="G954" s="6" t="s">
        <v>27</v>
      </c>
      <c r="H954" s="2" t="s">
        <v>246</v>
      </c>
      <c r="I954" s="2" t="s">
        <v>487</v>
      </c>
      <c r="J954" s="2"/>
      <c r="K954" s="2"/>
      <c r="L954" s="7"/>
    </row>
    <row r="955" spans="1:12" ht="24.75" x14ac:dyDescent="0.25">
      <c r="A955" s="4" t="s">
        <v>10353</v>
      </c>
      <c r="B955" s="2" t="s">
        <v>2116</v>
      </c>
      <c r="C955" s="3">
        <v>1</v>
      </c>
      <c r="D955" s="5">
        <v>37.130000000000003</v>
      </c>
      <c r="E955" s="3" t="s">
        <v>2117</v>
      </c>
      <c r="F955" s="2" t="s">
        <v>572</v>
      </c>
      <c r="G955" s="6" t="s">
        <v>16</v>
      </c>
      <c r="H955" s="2" t="s">
        <v>246</v>
      </c>
      <c r="I955" s="2" t="s">
        <v>487</v>
      </c>
      <c r="J955" s="2"/>
      <c r="K955" s="2"/>
      <c r="L955" s="7"/>
    </row>
    <row r="956" spans="1:12" ht="24.75" x14ac:dyDescent="0.25">
      <c r="A956" s="4" t="s">
        <v>11623</v>
      </c>
      <c r="B956" s="2" t="s">
        <v>3820</v>
      </c>
      <c r="C956" s="3">
        <v>1</v>
      </c>
      <c r="D956" s="5">
        <v>24.99</v>
      </c>
      <c r="E956" s="3" t="s">
        <v>11624</v>
      </c>
      <c r="F956" s="2" t="s">
        <v>111</v>
      </c>
      <c r="G956" s="6" t="s">
        <v>200</v>
      </c>
      <c r="H956" s="2" t="s">
        <v>284</v>
      </c>
      <c r="I956" s="2" t="s">
        <v>285</v>
      </c>
      <c r="J956" s="2"/>
      <c r="K956" s="2"/>
      <c r="L956" s="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5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.5703125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11625</v>
      </c>
      <c r="B2" s="2" t="s">
        <v>11626</v>
      </c>
      <c r="C2" s="3">
        <v>1</v>
      </c>
      <c r="D2" s="5">
        <v>138</v>
      </c>
      <c r="E2" s="3" t="s">
        <v>11627</v>
      </c>
      <c r="F2" s="2" t="s">
        <v>74</v>
      </c>
      <c r="G2" s="6" t="s">
        <v>141</v>
      </c>
      <c r="H2" s="2" t="s">
        <v>17</v>
      </c>
      <c r="I2" s="2" t="s">
        <v>18</v>
      </c>
      <c r="J2" s="2" t="s">
        <v>19</v>
      </c>
      <c r="K2" s="2" t="s">
        <v>258</v>
      </c>
      <c r="L2" s="7" t="str">
        <f>HYPERLINK("http://slimages.macys.com/is/image/MCY/11504121 ")</f>
        <v xml:space="preserve">http://slimages.macys.com/is/image/MCY/11504121 </v>
      </c>
    </row>
    <row r="3" spans="1:12" ht="36.75" x14ac:dyDescent="0.25">
      <c r="A3" s="4" t="s">
        <v>11628</v>
      </c>
      <c r="B3" s="2" t="s">
        <v>10366</v>
      </c>
      <c r="C3" s="3">
        <v>1</v>
      </c>
      <c r="D3" s="5">
        <v>138</v>
      </c>
      <c r="E3" s="3" t="s">
        <v>10367</v>
      </c>
      <c r="F3" s="2" t="s">
        <v>64</v>
      </c>
      <c r="G3" s="6" t="s">
        <v>58</v>
      </c>
      <c r="H3" s="2" t="s">
        <v>17</v>
      </c>
      <c r="I3" s="2" t="s">
        <v>18</v>
      </c>
      <c r="J3" s="2" t="s">
        <v>19</v>
      </c>
      <c r="K3" s="2" t="s">
        <v>2419</v>
      </c>
      <c r="L3" s="7" t="str">
        <f>HYPERLINK("http://slimages.macys.com/is/image/MCY/12874085 ")</f>
        <v xml:space="preserve">http://slimages.macys.com/is/image/MCY/12874085 </v>
      </c>
    </row>
    <row r="4" spans="1:12" ht="24.75" x14ac:dyDescent="0.25">
      <c r="A4" s="4" t="s">
        <v>11629</v>
      </c>
      <c r="B4" s="2" t="s">
        <v>11630</v>
      </c>
      <c r="C4" s="3">
        <v>1</v>
      </c>
      <c r="D4" s="5">
        <v>119</v>
      </c>
      <c r="E4" s="3">
        <v>10717548</v>
      </c>
      <c r="F4" s="2" t="s">
        <v>74</v>
      </c>
      <c r="G4" s="6" t="s">
        <v>181</v>
      </c>
      <c r="H4" s="2" t="s">
        <v>2154</v>
      </c>
      <c r="I4" s="2" t="s">
        <v>2155</v>
      </c>
      <c r="J4" s="2" t="s">
        <v>19</v>
      </c>
      <c r="K4" s="2" t="s">
        <v>11631</v>
      </c>
      <c r="L4" s="7" t="str">
        <f>HYPERLINK("http://slimages.macys.com/is/image/MCY/11626919 ")</f>
        <v xml:space="preserve">http://slimages.macys.com/is/image/MCY/11626919 </v>
      </c>
    </row>
    <row r="5" spans="1:12" ht="24.75" x14ac:dyDescent="0.25">
      <c r="A5" s="4" t="s">
        <v>11632</v>
      </c>
      <c r="B5" s="2" t="s">
        <v>11630</v>
      </c>
      <c r="C5" s="3">
        <v>2</v>
      </c>
      <c r="D5" s="5">
        <v>119</v>
      </c>
      <c r="E5" s="3">
        <v>10717548</v>
      </c>
      <c r="F5" s="2" t="s">
        <v>74</v>
      </c>
      <c r="G5" s="6" t="s">
        <v>154</v>
      </c>
      <c r="H5" s="2" t="s">
        <v>2154</v>
      </c>
      <c r="I5" s="2" t="s">
        <v>2155</v>
      </c>
      <c r="J5" s="2" t="s">
        <v>19</v>
      </c>
      <c r="K5" s="2" t="s">
        <v>11631</v>
      </c>
      <c r="L5" s="7" t="str">
        <f>HYPERLINK("http://slimages.macys.com/is/image/MCY/11626919 ")</f>
        <v xml:space="preserve">http://slimages.macys.com/is/image/MCY/11626919 </v>
      </c>
    </row>
    <row r="6" spans="1:12" ht="36.75" x14ac:dyDescent="0.25">
      <c r="A6" s="4" t="s">
        <v>11633</v>
      </c>
      <c r="B6" s="2" t="s">
        <v>9881</v>
      </c>
      <c r="C6" s="3">
        <v>1</v>
      </c>
      <c r="D6" s="5">
        <v>119</v>
      </c>
      <c r="E6" s="3" t="s">
        <v>9882</v>
      </c>
      <c r="F6" s="2" t="s">
        <v>53</v>
      </c>
      <c r="G6" s="6" t="s">
        <v>116</v>
      </c>
      <c r="H6" s="2" t="s">
        <v>17</v>
      </c>
      <c r="I6" s="2" t="s">
        <v>117</v>
      </c>
      <c r="J6" s="2" t="s">
        <v>19</v>
      </c>
      <c r="K6" s="2" t="s">
        <v>2419</v>
      </c>
      <c r="L6" s="7" t="str">
        <f>HYPERLINK("http://slimages.macys.com/is/image/MCY/9803016 ")</f>
        <v xml:space="preserve">http://slimages.macys.com/is/image/MCY/9803016 </v>
      </c>
    </row>
    <row r="7" spans="1:12" ht="36.75" x14ac:dyDescent="0.25">
      <c r="A7" s="4" t="s">
        <v>11634</v>
      </c>
      <c r="B7" s="2" t="s">
        <v>9881</v>
      </c>
      <c r="C7" s="3">
        <v>1</v>
      </c>
      <c r="D7" s="5">
        <v>119</v>
      </c>
      <c r="E7" s="3" t="s">
        <v>9882</v>
      </c>
      <c r="F7" s="2" t="s">
        <v>15</v>
      </c>
      <c r="G7" s="6" t="s">
        <v>116</v>
      </c>
      <c r="H7" s="2" t="s">
        <v>17</v>
      </c>
      <c r="I7" s="2" t="s">
        <v>117</v>
      </c>
      <c r="J7" s="2" t="s">
        <v>19</v>
      </c>
      <c r="K7" s="2" t="s">
        <v>2419</v>
      </c>
      <c r="L7" s="7" t="str">
        <f>HYPERLINK("http://slimages.macys.com/is/image/MCY/9803016 ")</f>
        <v xml:space="preserve">http://slimages.macys.com/is/image/MCY/9803016 </v>
      </c>
    </row>
    <row r="8" spans="1:12" ht="24.75" x14ac:dyDescent="0.25">
      <c r="A8" s="4" t="s">
        <v>11635</v>
      </c>
      <c r="B8" s="2" t="s">
        <v>11636</v>
      </c>
      <c r="C8" s="3">
        <v>1</v>
      </c>
      <c r="D8" s="5">
        <v>129.99</v>
      </c>
      <c r="E8" s="3" t="s">
        <v>11637</v>
      </c>
      <c r="F8" s="2" t="s">
        <v>136</v>
      </c>
      <c r="G8" s="6" t="s">
        <v>154</v>
      </c>
      <c r="H8" s="2" t="s">
        <v>5344</v>
      </c>
      <c r="I8" s="2" t="s">
        <v>189</v>
      </c>
      <c r="J8" s="2" t="s">
        <v>19</v>
      </c>
      <c r="K8" s="2" t="s">
        <v>11638</v>
      </c>
      <c r="L8" s="7" t="str">
        <f>HYPERLINK("http://slimages.macys.com/is/image/MCY/9726481 ")</f>
        <v xml:space="preserve">http://slimages.macys.com/is/image/MCY/9726481 </v>
      </c>
    </row>
    <row r="9" spans="1:12" ht="24.75" x14ac:dyDescent="0.25">
      <c r="A9" s="4" t="s">
        <v>11639</v>
      </c>
      <c r="B9" s="2" t="s">
        <v>72</v>
      </c>
      <c r="C9" s="3">
        <v>1</v>
      </c>
      <c r="D9" s="5">
        <v>128</v>
      </c>
      <c r="E9" s="3" t="s">
        <v>73</v>
      </c>
      <c r="F9" s="2" t="s">
        <v>74</v>
      </c>
      <c r="G9" s="6" t="s">
        <v>58</v>
      </c>
      <c r="H9" s="2" t="s">
        <v>17</v>
      </c>
      <c r="I9" s="2" t="s">
        <v>18</v>
      </c>
      <c r="J9" s="2" t="s">
        <v>19</v>
      </c>
      <c r="K9" s="2" t="s">
        <v>75</v>
      </c>
      <c r="L9" s="7" t="str">
        <f>HYPERLINK("http://slimages.macys.com/is/image/MCY/12646967 ")</f>
        <v xml:space="preserve">http://slimages.macys.com/is/image/MCY/12646967 </v>
      </c>
    </row>
    <row r="10" spans="1:12" ht="24.75" x14ac:dyDescent="0.25">
      <c r="A10" s="4" t="s">
        <v>11640</v>
      </c>
      <c r="B10" s="2" t="s">
        <v>7030</v>
      </c>
      <c r="C10" s="3">
        <v>1</v>
      </c>
      <c r="D10" s="5">
        <v>128</v>
      </c>
      <c r="E10" s="3" t="s">
        <v>7031</v>
      </c>
      <c r="F10" s="2" t="s">
        <v>48</v>
      </c>
      <c r="G10" s="6" t="s">
        <v>106</v>
      </c>
      <c r="H10" s="2" t="s">
        <v>17</v>
      </c>
      <c r="I10" s="2" t="s">
        <v>18</v>
      </c>
      <c r="J10" s="2" t="s">
        <v>19</v>
      </c>
      <c r="K10" s="2" t="s">
        <v>75</v>
      </c>
      <c r="L10" s="7" t="str">
        <f>HYPERLINK("http://slimages.macys.com/is/image/MCY/12649026 ")</f>
        <v xml:space="preserve">http://slimages.macys.com/is/image/MCY/12649026 </v>
      </c>
    </row>
    <row r="11" spans="1:12" ht="36.75" x14ac:dyDescent="0.25">
      <c r="A11" s="4" t="s">
        <v>11641</v>
      </c>
      <c r="B11" s="2" t="s">
        <v>11642</v>
      </c>
      <c r="C11" s="3">
        <v>1</v>
      </c>
      <c r="D11" s="5">
        <v>128</v>
      </c>
      <c r="E11" s="3" t="s">
        <v>11643</v>
      </c>
      <c r="F11" s="2" t="s">
        <v>26</v>
      </c>
      <c r="G11" s="6" t="s">
        <v>58</v>
      </c>
      <c r="H11" s="2" t="s">
        <v>17</v>
      </c>
      <c r="I11" s="2" t="s">
        <v>18</v>
      </c>
      <c r="J11" s="2" t="s">
        <v>19</v>
      </c>
      <c r="K11" s="2" t="s">
        <v>11644</v>
      </c>
      <c r="L11" s="7" t="str">
        <f>HYPERLINK("http://slimages.macys.com/is/image/MCY/12649546 ")</f>
        <v xml:space="preserve">http://slimages.macys.com/is/image/MCY/12649546 </v>
      </c>
    </row>
    <row r="12" spans="1:12" ht="24.75" x14ac:dyDescent="0.25">
      <c r="A12" s="4" t="s">
        <v>11645</v>
      </c>
      <c r="B12" s="2" t="s">
        <v>11646</v>
      </c>
      <c r="C12" s="3">
        <v>1</v>
      </c>
      <c r="D12" s="5">
        <v>138</v>
      </c>
      <c r="E12" s="3" t="s">
        <v>11647</v>
      </c>
      <c r="F12" s="2" t="s">
        <v>15</v>
      </c>
      <c r="G12" s="6" t="s">
        <v>147</v>
      </c>
      <c r="H12" s="2" t="s">
        <v>17</v>
      </c>
      <c r="I12" s="2" t="s">
        <v>5356</v>
      </c>
      <c r="J12" s="2" t="s">
        <v>19</v>
      </c>
      <c r="K12" s="2" t="s">
        <v>160</v>
      </c>
      <c r="L12" s="7" t="str">
        <f>HYPERLINK("http://slimages.macys.com/is/image/MCY/11723826 ")</f>
        <v xml:space="preserve">http://slimages.macys.com/is/image/MCY/11723826 </v>
      </c>
    </row>
    <row r="13" spans="1:12" ht="24.75" x14ac:dyDescent="0.25">
      <c r="A13" s="4" t="s">
        <v>11648</v>
      </c>
      <c r="B13" s="2" t="s">
        <v>11649</v>
      </c>
      <c r="C13" s="3">
        <v>1</v>
      </c>
      <c r="D13" s="5">
        <v>118</v>
      </c>
      <c r="E13" s="3" t="s">
        <v>11650</v>
      </c>
      <c r="F13" s="2" t="s">
        <v>101</v>
      </c>
      <c r="G13" s="6" t="s">
        <v>3309</v>
      </c>
      <c r="H13" s="2" t="s">
        <v>17</v>
      </c>
      <c r="I13" s="2" t="s">
        <v>5356</v>
      </c>
      <c r="J13" s="2" t="s">
        <v>19</v>
      </c>
      <c r="K13" s="2" t="s">
        <v>208</v>
      </c>
      <c r="L13" s="7" t="str">
        <f>HYPERLINK("http://slimages.macys.com/is/image/MCY/11398913 ")</f>
        <v xml:space="preserve">http://slimages.macys.com/is/image/MCY/11398913 </v>
      </c>
    </row>
    <row r="14" spans="1:12" ht="24.75" x14ac:dyDescent="0.25">
      <c r="A14" s="4" t="s">
        <v>11651</v>
      </c>
      <c r="B14" s="2" t="s">
        <v>11652</v>
      </c>
      <c r="C14" s="3">
        <v>1</v>
      </c>
      <c r="D14" s="5">
        <v>118</v>
      </c>
      <c r="E14" s="3" t="s">
        <v>11653</v>
      </c>
      <c r="F14" s="2" t="s">
        <v>26</v>
      </c>
      <c r="G14" s="6" t="s">
        <v>3309</v>
      </c>
      <c r="H14" s="2" t="s">
        <v>17</v>
      </c>
      <c r="I14" s="2" t="s">
        <v>117</v>
      </c>
      <c r="J14" s="2" t="s">
        <v>19</v>
      </c>
      <c r="K14" s="2" t="s">
        <v>66</v>
      </c>
      <c r="L14" s="7" t="str">
        <f>HYPERLINK("http://slimages.macys.com/is/image/MCY/11466453 ")</f>
        <v xml:space="preserve">http://slimages.macys.com/is/image/MCY/11466453 </v>
      </c>
    </row>
    <row r="15" spans="1:12" ht="24.75" x14ac:dyDescent="0.25">
      <c r="A15" s="4" t="s">
        <v>10382</v>
      </c>
      <c r="B15" s="2" t="s">
        <v>3300</v>
      </c>
      <c r="C15" s="3">
        <v>1</v>
      </c>
      <c r="D15" s="5">
        <v>108</v>
      </c>
      <c r="E15" s="3" t="s">
        <v>3301</v>
      </c>
      <c r="F15" s="2" t="s">
        <v>26</v>
      </c>
      <c r="G15" s="6" t="s">
        <v>58</v>
      </c>
      <c r="H15" s="2" t="s">
        <v>17</v>
      </c>
      <c r="I15" s="2" t="s">
        <v>18</v>
      </c>
      <c r="J15" s="2" t="s">
        <v>19</v>
      </c>
      <c r="K15" s="2" t="s">
        <v>75</v>
      </c>
      <c r="L15" s="7" t="str">
        <f>HYPERLINK("http://slimages.macys.com/is/image/MCY/13288538 ")</f>
        <v xml:space="preserve">http://slimages.macys.com/is/image/MCY/13288538 </v>
      </c>
    </row>
    <row r="16" spans="1:12" ht="24.75" x14ac:dyDescent="0.25">
      <c r="A16" s="4" t="s">
        <v>11654</v>
      </c>
      <c r="B16" s="2" t="s">
        <v>3300</v>
      </c>
      <c r="C16" s="3">
        <v>1</v>
      </c>
      <c r="D16" s="5">
        <v>108</v>
      </c>
      <c r="E16" s="3" t="s">
        <v>3301</v>
      </c>
      <c r="F16" s="2" t="s">
        <v>26</v>
      </c>
      <c r="G16" s="6" t="s">
        <v>16</v>
      </c>
      <c r="H16" s="2" t="s">
        <v>17</v>
      </c>
      <c r="I16" s="2" t="s">
        <v>18</v>
      </c>
      <c r="J16" s="2" t="s">
        <v>19</v>
      </c>
      <c r="K16" s="2" t="s">
        <v>75</v>
      </c>
      <c r="L16" s="7" t="str">
        <f>HYPERLINK("http://slimages.macys.com/is/image/MCY/13288538 ")</f>
        <v xml:space="preserve">http://slimages.macys.com/is/image/MCY/13288538 </v>
      </c>
    </row>
    <row r="17" spans="1:12" ht="24.75" x14ac:dyDescent="0.25">
      <c r="A17" s="4" t="s">
        <v>11655</v>
      </c>
      <c r="B17" s="2" t="s">
        <v>3300</v>
      </c>
      <c r="C17" s="3">
        <v>1</v>
      </c>
      <c r="D17" s="5">
        <v>108</v>
      </c>
      <c r="E17" s="3" t="s">
        <v>3301</v>
      </c>
      <c r="F17" s="2" t="s">
        <v>26</v>
      </c>
      <c r="G17" s="6" t="s">
        <v>27</v>
      </c>
      <c r="H17" s="2" t="s">
        <v>17</v>
      </c>
      <c r="I17" s="2" t="s">
        <v>18</v>
      </c>
      <c r="J17" s="2" t="s">
        <v>19</v>
      </c>
      <c r="K17" s="2" t="s">
        <v>75</v>
      </c>
      <c r="L17" s="7" t="str">
        <f>HYPERLINK("http://slimages.macys.com/is/image/MCY/13288538 ")</f>
        <v xml:space="preserve">http://slimages.macys.com/is/image/MCY/13288538 </v>
      </c>
    </row>
    <row r="18" spans="1:12" ht="36.75" x14ac:dyDescent="0.25">
      <c r="A18" s="4" t="s">
        <v>11656</v>
      </c>
      <c r="B18" s="2" t="s">
        <v>11657</v>
      </c>
      <c r="C18" s="3">
        <v>1</v>
      </c>
      <c r="D18" s="5">
        <v>99</v>
      </c>
      <c r="E18" s="3" t="s">
        <v>11658</v>
      </c>
      <c r="F18" s="2" t="s">
        <v>74</v>
      </c>
      <c r="G18" s="6" t="s">
        <v>1085</v>
      </c>
      <c r="H18" s="2" t="s">
        <v>17</v>
      </c>
      <c r="I18" s="2" t="s">
        <v>117</v>
      </c>
      <c r="J18" s="2" t="s">
        <v>19</v>
      </c>
      <c r="K18" s="2" t="s">
        <v>2419</v>
      </c>
      <c r="L18" s="7" t="str">
        <f>HYPERLINK("http://slimages.macys.com/is/image/MCY/9866677 ")</f>
        <v xml:space="preserve">http://slimages.macys.com/is/image/MCY/9866677 </v>
      </c>
    </row>
    <row r="19" spans="1:12" ht="24.75" x14ac:dyDescent="0.25">
      <c r="A19" s="4" t="s">
        <v>11659</v>
      </c>
      <c r="B19" s="2" t="s">
        <v>11660</v>
      </c>
      <c r="C19" s="3">
        <v>1</v>
      </c>
      <c r="D19" s="5">
        <v>99</v>
      </c>
      <c r="E19" s="3" t="s">
        <v>11661</v>
      </c>
      <c r="F19" s="2" t="s">
        <v>887</v>
      </c>
      <c r="G19" s="6" t="s">
        <v>147</v>
      </c>
      <c r="H19" s="2" t="s">
        <v>17</v>
      </c>
      <c r="I19" s="2" t="s">
        <v>117</v>
      </c>
      <c r="J19" s="2" t="s">
        <v>19</v>
      </c>
      <c r="K19" s="2" t="s">
        <v>75</v>
      </c>
      <c r="L19" s="7" t="str">
        <f>HYPERLINK("http://slimages.macys.com/is/image/MCY/12936406 ")</f>
        <v xml:space="preserve">http://slimages.macys.com/is/image/MCY/12936406 </v>
      </c>
    </row>
    <row r="20" spans="1:12" ht="24.75" x14ac:dyDescent="0.25">
      <c r="A20" s="4" t="s">
        <v>3303</v>
      </c>
      <c r="B20" s="2" t="s">
        <v>114</v>
      </c>
      <c r="C20" s="3">
        <v>1</v>
      </c>
      <c r="D20" s="5">
        <v>99</v>
      </c>
      <c r="E20" s="3" t="s">
        <v>115</v>
      </c>
      <c r="F20" s="2" t="s">
        <v>26</v>
      </c>
      <c r="G20" s="6" t="s">
        <v>147</v>
      </c>
      <c r="H20" s="2" t="s">
        <v>17</v>
      </c>
      <c r="I20" s="2" t="s">
        <v>117</v>
      </c>
      <c r="J20" s="2" t="s">
        <v>19</v>
      </c>
      <c r="K20" s="2" t="s">
        <v>118</v>
      </c>
      <c r="L20" s="7" t="str">
        <f>HYPERLINK("http://slimages.macys.com/is/image/MCY/12669592 ")</f>
        <v xml:space="preserve">http://slimages.macys.com/is/image/MCY/12669592 </v>
      </c>
    </row>
    <row r="21" spans="1:12" ht="24.75" x14ac:dyDescent="0.25">
      <c r="A21" s="4" t="s">
        <v>11662</v>
      </c>
      <c r="B21" s="2" t="s">
        <v>10388</v>
      </c>
      <c r="C21" s="3">
        <v>1</v>
      </c>
      <c r="D21" s="5">
        <v>99.5</v>
      </c>
      <c r="E21" s="3">
        <v>10722284</v>
      </c>
      <c r="F21" s="2" t="s">
        <v>15</v>
      </c>
      <c r="G21" s="6" t="s">
        <v>65</v>
      </c>
      <c r="H21" s="2" t="s">
        <v>17</v>
      </c>
      <c r="I21" s="2" t="s">
        <v>121</v>
      </c>
      <c r="J21" s="2" t="s">
        <v>19</v>
      </c>
      <c r="K21" s="2" t="s">
        <v>34</v>
      </c>
      <c r="L21" s="7" t="str">
        <f>HYPERLINK("http://slimages.macys.com/is/image/MCY/12338265 ")</f>
        <v xml:space="preserve">http://slimages.macys.com/is/image/MCY/12338265 </v>
      </c>
    </row>
    <row r="22" spans="1:12" ht="24.75" x14ac:dyDescent="0.25">
      <c r="A22" s="4" t="s">
        <v>11663</v>
      </c>
      <c r="B22" s="2" t="s">
        <v>11664</v>
      </c>
      <c r="C22" s="3">
        <v>1</v>
      </c>
      <c r="D22" s="5">
        <v>99</v>
      </c>
      <c r="E22" s="3" t="s">
        <v>11665</v>
      </c>
      <c r="F22" s="2" t="s">
        <v>26</v>
      </c>
      <c r="G22" s="6" t="s">
        <v>4401</v>
      </c>
      <c r="H22" s="2" t="s">
        <v>17</v>
      </c>
      <c r="I22" s="2" t="s">
        <v>5356</v>
      </c>
      <c r="J22" s="2" t="s">
        <v>19</v>
      </c>
      <c r="K22" s="2" t="s">
        <v>11666</v>
      </c>
      <c r="L22" s="7" t="str">
        <f>HYPERLINK("http://slimages.macys.com/is/image/MCY/12645036 ")</f>
        <v xml:space="preserve">http://slimages.macys.com/is/image/MCY/12645036 </v>
      </c>
    </row>
    <row r="23" spans="1:12" ht="24.75" x14ac:dyDescent="0.25">
      <c r="A23" s="4" t="s">
        <v>11667</v>
      </c>
      <c r="B23" s="2" t="s">
        <v>10399</v>
      </c>
      <c r="C23" s="3">
        <v>1</v>
      </c>
      <c r="D23" s="5">
        <v>99</v>
      </c>
      <c r="E23" s="3" t="s">
        <v>10400</v>
      </c>
      <c r="F23" s="2" t="s">
        <v>887</v>
      </c>
      <c r="G23" s="6" t="s">
        <v>3309</v>
      </c>
      <c r="H23" s="2" t="s">
        <v>17</v>
      </c>
      <c r="I23" s="2" t="s">
        <v>145</v>
      </c>
      <c r="J23" s="2" t="s">
        <v>19</v>
      </c>
      <c r="K23" s="2" t="s">
        <v>75</v>
      </c>
      <c r="L23" s="7" t="str">
        <f>HYPERLINK("http://slimages.macys.com/is/image/MCY/11407685 ")</f>
        <v xml:space="preserve">http://slimages.macys.com/is/image/MCY/11407685 </v>
      </c>
    </row>
    <row r="24" spans="1:12" ht="24.75" x14ac:dyDescent="0.25">
      <c r="A24" s="4" t="s">
        <v>11668</v>
      </c>
      <c r="B24" s="2" t="s">
        <v>10399</v>
      </c>
      <c r="C24" s="3">
        <v>1</v>
      </c>
      <c r="D24" s="5">
        <v>99</v>
      </c>
      <c r="E24" s="3" t="s">
        <v>10400</v>
      </c>
      <c r="F24" s="2" t="s">
        <v>887</v>
      </c>
      <c r="G24" s="6" t="s">
        <v>147</v>
      </c>
      <c r="H24" s="2" t="s">
        <v>17</v>
      </c>
      <c r="I24" s="2" t="s">
        <v>145</v>
      </c>
      <c r="J24" s="2" t="s">
        <v>19</v>
      </c>
      <c r="K24" s="2" t="s">
        <v>75</v>
      </c>
      <c r="L24" s="7" t="str">
        <f>HYPERLINK("http://slimages.macys.com/is/image/MCY/11407685 ")</f>
        <v xml:space="preserve">http://slimages.macys.com/is/image/MCY/11407685 </v>
      </c>
    </row>
    <row r="25" spans="1:12" ht="24.75" x14ac:dyDescent="0.25">
      <c r="A25" s="4" t="s">
        <v>10398</v>
      </c>
      <c r="B25" s="2" t="s">
        <v>10399</v>
      </c>
      <c r="C25" s="3">
        <v>1</v>
      </c>
      <c r="D25" s="5">
        <v>99</v>
      </c>
      <c r="E25" s="3" t="s">
        <v>10400</v>
      </c>
      <c r="F25" s="2" t="s">
        <v>887</v>
      </c>
      <c r="G25" s="6" t="s">
        <v>4401</v>
      </c>
      <c r="H25" s="2" t="s">
        <v>17</v>
      </c>
      <c r="I25" s="2" t="s">
        <v>145</v>
      </c>
      <c r="J25" s="2" t="s">
        <v>19</v>
      </c>
      <c r="K25" s="2" t="s">
        <v>75</v>
      </c>
      <c r="L25" s="7" t="str">
        <f>HYPERLINK("http://slimages.macys.com/is/image/MCY/11407685 ")</f>
        <v xml:space="preserve">http://slimages.macys.com/is/image/MCY/11407685 </v>
      </c>
    </row>
    <row r="26" spans="1:12" ht="24.75" x14ac:dyDescent="0.25">
      <c r="A26" s="4" t="s">
        <v>11669</v>
      </c>
      <c r="B26" s="2" t="s">
        <v>11670</v>
      </c>
      <c r="C26" s="3">
        <v>1</v>
      </c>
      <c r="D26" s="5">
        <v>52.8</v>
      </c>
      <c r="E26" s="3" t="s">
        <v>11671</v>
      </c>
      <c r="F26" s="2" t="s">
        <v>1322</v>
      </c>
      <c r="G26" s="6" t="s">
        <v>154</v>
      </c>
      <c r="H26" s="2" t="s">
        <v>10225</v>
      </c>
      <c r="I26" s="2" t="s">
        <v>10420</v>
      </c>
      <c r="J26" s="2" t="s">
        <v>19</v>
      </c>
      <c r="K26" s="2" t="s">
        <v>160</v>
      </c>
      <c r="L26" s="7" t="str">
        <f>HYPERLINK("http://slimages.macys.com/is/image/MCY/9943489 ")</f>
        <v xml:space="preserve">http://slimages.macys.com/is/image/MCY/9943489 </v>
      </c>
    </row>
    <row r="27" spans="1:12" ht="24.75" x14ac:dyDescent="0.25">
      <c r="A27" s="4" t="s">
        <v>11672</v>
      </c>
      <c r="B27" s="2" t="s">
        <v>11673</v>
      </c>
      <c r="C27" s="3">
        <v>1</v>
      </c>
      <c r="D27" s="5">
        <v>88</v>
      </c>
      <c r="E27" s="3">
        <v>72048775919</v>
      </c>
      <c r="F27" s="2" t="s">
        <v>3267</v>
      </c>
      <c r="G27" s="6" t="s">
        <v>27</v>
      </c>
      <c r="H27" s="2" t="s">
        <v>10225</v>
      </c>
      <c r="I27" s="2" t="s">
        <v>10420</v>
      </c>
      <c r="J27" s="2" t="s">
        <v>19</v>
      </c>
      <c r="K27" s="2" t="s">
        <v>201</v>
      </c>
      <c r="L27" s="7" t="str">
        <f>HYPERLINK("http://slimages.macys.com/is/image/MCY/12338789 ")</f>
        <v xml:space="preserve">http://slimages.macys.com/is/image/MCY/12338789 </v>
      </c>
    </row>
    <row r="28" spans="1:12" ht="24.75" x14ac:dyDescent="0.25">
      <c r="A28" s="4" t="s">
        <v>2160</v>
      </c>
      <c r="B28" s="2" t="s">
        <v>153</v>
      </c>
      <c r="C28" s="3">
        <v>1</v>
      </c>
      <c r="D28" s="5">
        <v>79.5</v>
      </c>
      <c r="E28" s="3">
        <v>10719732</v>
      </c>
      <c r="F28" s="2" t="s">
        <v>33</v>
      </c>
      <c r="G28" s="6" t="s">
        <v>234</v>
      </c>
      <c r="H28" s="2" t="s">
        <v>17</v>
      </c>
      <c r="I28" s="2" t="s">
        <v>121</v>
      </c>
      <c r="J28" s="2" t="s">
        <v>19</v>
      </c>
      <c r="K28" s="2" t="s">
        <v>34</v>
      </c>
      <c r="L28" s="7" t="str">
        <f>HYPERLINK("http://slimages.macys.com/is/image/MCY/10534487 ")</f>
        <v xml:space="preserve">http://slimages.macys.com/is/image/MCY/10534487 </v>
      </c>
    </row>
    <row r="29" spans="1:12" ht="48.75" x14ac:dyDescent="0.25">
      <c r="A29" s="4" t="s">
        <v>11674</v>
      </c>
      <c r="B29" s="2" t="s">
        <v>162</v>
      </c>
      <c r="C29" s="3">
        <v>1</v>
      </c>
      <c r="D29" s="5">
        <v>99.5</v>
      </c>
      <c r="E29" s="3" t="s">
        <v>163</v>
      </c>
      <c r="F29" s="2" t="s">
        <v>464</v>
      </c>
      <c r="G29" s="6" t="s">
        <v>126</v>
      </c>
      <c r="H29" s="2" t="s">
        <v>127</v>
      </c>
      <c r="I29" s="2" t="s">
        <v>128</v>
      </c>
      <c r="J29" s="2" t="s">
        <v>19</v>
      </c>
      <c r="K29" s="2" t="s">
        <v>166</v>
      </c>
      <c r="L29" s="7" t="str">
        <f>HYPERLINK("http://slimages.macys.com/is/image/MCY/13386163 ")</f>
        <v xml:space="preserve">http://slimages.macys.com/is/image/MCY/13386163 </v>
      </c>
    </row>
    <row r="30" spans="1:12" x14ac:dyDescent="0.25">
      <c r="A30" s="4" t="s">
        <v>11675</v>
      </c>
      <c r="B30" s="2" t="s">
        <v>10407</v>
      </c>
      <c r="C30" s="3">
        <v>1</v>
      </c>
      <c r="D30" s="5">
        <v>99.5</v>
      </c>
      <c r="E30" s="3">
        <v>100064244</v>
      </c>
      <c r="F30" s="2" t="s">
        <v>252</v>
      </c>
      <c r="G30" s="6" t="s">
        <v>27</v>
      </c>
      <c r="H30" s="2" t="s">
        <v>386</v>
      </c>
      <c r="I30" s="2" t="s">
        <v>207</v>
      </c>
      <c r="J30" s="2" t="s">
        <v>19</v>
      </c>
      <c r="K30" s="2" t="s">
        <v>353</v>
      </c>
      <c r="L30" s="7" t="str">
        <f>HYPERLINK("http://slimages.macys.com/is/image/MCY/12282267 ")</f>
        <v xml:space="preserve">http://slimages.macys.com/is/image/MCY/12282267 </v>
      </c>
    </row>
    <row r="31" spans="1:12" ht="24.75" x14ac:dyDescent="0.25">
      <c r="A31" s="4" t="s">
        <v>11676</v>
      </c>
      <c r="B31" s="2" t="s">
        <v>10409</v>
      </c>
      <c r="C31" s="3">
        <v>1</v>
      </c>
      <c r="D31" s="5">
        <v>99.5</v>
      </c>
      <c r="E31" s="3">
        <v>100050164</v>
      </c>
      <c r="F31" s="2" t="s">
        <v>64</v>
      </c>
      <c r="G31" s="6" t="s">
        <v>27</v>
      </c>
      <c r="H31" s="2" t="s">
        <v>386</v>
      </c>
      <c r="I31" s="2" t="s">
        <v>337</v>
      </c>
      <c r="J31" s="2" t="s">
        <v>19</v>
      </c>
      <c r="K31" s="2" t="s">
        <v>338</v>
      </c>
      <c r="L31" s="7" t="str">
        <f>HYPERLINK("http://slimages.macys.com/is/image/MCY/12387580 ")</f>
        <v xml:space="preserve">http://slimages.macys.com/is/image/MCY/12387580 </v>
      </c>
    </row>
    <row r="32" spans="1:12" ht="24.75" x14ac:dyDescent="0.25">
      <c r="A32" s="4" t="s">
        <v>10410</v>
      </c>
      <c r="B32" s="2" t="s">
        <v>10411</v>
      </c>
      <c r="C32" s="3">
        <v>1</v>
      </c>
      <c r="D32" s="5">
        <v>74.5</v>
      </c>
      <c r="E32" s="3" t="s">
        <v>10412</v>
      </c>
      <c r="F32" s="2" t="s">
        <v>74</v>
      </c>
      <c r="G32" s="6" t="s">
        <v>219</v>
      </c>
      <c r="H32" s="2" t="s">
        <v>127</v>
      </c>
      <c r="I32" s="2" t="s">
        <v>128</v>
      </c>
      <c r="J32" s="2" t="s">
        <v>19</v>
      </c>
      <c r="K32" s="2" t="s">
        <v>353</v>
      </c>
      <c r="L32" s="7" t="str">
        <f>HYPERLINK("http://slimages.macys.com/is/image/MCY/13384308 ")</f>
        <v xml:space="preserve">http://slimages.macys.com/is/image/MCY/13384308 </v>
      </c>
    </row>
    <row r="33" spans="1:12" ht="24.75" x14ac:dyDescent="0.25">
      <c r="A33" s="4" t="s">
        <v>11677</v>
      </c>
      <c r="B33" s="2" t="s">
        <v>11678</v>
      </c>
      <c r="C33" s="3">
        <v>1</v>
      </c>
      <c r="D33" s="5">
        <v>99.5</v>
      </c>
      <c r="E33" s="3" t="s">
        <v>11679</v>
      </c>
      <c r="F33" s="2" t="s">
        <v>887</v>
      </c>
      <c r="G33" s="6" t="s">
        <v>205</v>
      </c>
      <c r="H33" s="2" t="s">
        <v>127</v>
      </c>
      <c r="I33" s="2" t="s">
        <v>128</v>
      </c>
      <c r="J33" s="2" t="s">
        <v>19</v>
      </c>
      <c r="K33" s="2" t="s">
        <v>11680</v>
      </c>
      <c r="L33" s="7" t="str">
        <f>HYPERLINK("http://slimages.macys.com/is/image/MCY/12343234 ")</f>
        <v xml:space="preserve">http://slimages.macys.com/is/image/MCY/12343234 </v>
      </c>
    </row>
    <row r="34" spans="1:12" ht="24.75" x14ac:dyDescent="0.25">
      <c r="A34" s="4" t="s">
        <v>11681</v>
      </c>
      <c r="B34" s="2" t="s">
        <v>10414</v>
      </c>
      <c r="C34" s="3">
        <v>1</v>
      </c>
      <c r="D34" s="5">
        <v>89.5</v>
      </c>
      <c r="E34" s="3" t="s">
        <v>10415</v>
      </c>
      <c r="F34" s="2" t="s">
        <v>15</v>
      </c>
      <c r="G34" s="6" t="s">
        <v>219</v>
      </c>
      <c r="H34" s="2" t="s">
        <v>127</v>
      </c>
      <c r="I34" s="2" t="s">
        <v>128</v>
      </c>
      <c r="J34" s="2" t="s">
        <v>19</v>
      </c>
      <c r="K34" s="2" t="s">
        <v>160</v>
      </c>
      <c r="L34" s="7" t="str">
        <f>HYPERLINK("http://slimages.macys.com/is/image/MCY/12950587 ")</f>
        <v xml:space="preserve">http://slimages.macys.com/is/image/MCY/12950587 </v>
      </c>
    </row>
    <row r="35" spans="1:12" ht="36.75" x14ac:dyDescent="0.25">
      <c r="A35" s="4" t="s">
        <v>11682</v>
      </c>
      <c r="B35" s="2" t="s">
        <v>11683</v>
      </c>
      <c r="C35" s="3">
        <v>1</v>
      </c>
      <c r="D35" s="5">
        <v>79.5</v>
      </c>
      <c r="E35" s="3" t="s">
        <v>11684</v>
      </c>
      <c r="F35" s="2" t="s">
        <v>64</v>
      </c>
      <c r="G35" s="6" t="s">
        <v>39</v>
      </c>
      <c r="H35" s="2" t="s">
        <v>386</v>
      </c>
      <c r="I35" s="2" t="s">
        <v>207</v>
      </c>
      <c r="J35" s="2" t="s">
        <v>19</v>
      </c>
      <c r="K35" s="2" t="s">
        <v>11685</v>
      </c>
      <c r="L35" s="7" t="str">
        <f>HYPERLINK("http://slimages.macys.com/is/image/MCY/10001449 ")</f>
        <v xml:space="preserve">http://slimages.macys.com/is/image/MCY/10001449 </v>
      </c>
    </row>
    <row r="36" spans="1:12" ht="24.75" x14ac:dyDescent="0.25">
      <c r="A36" s="4" t="s">
        <v>11686</v>
      </c>
      <c r="B36" s="2" t="s">
        <v>10409</v>
      </c>
      <c r="C36" s="3">
        <v>1</v>
      </c>
      <c r="D36" s="5">
        <v>99.5</v>
      </c>
      <c r="E36" s="3">
        <v>100058337</v>
      </c>
      <c r="F36" s="2" t="s">
        <v>252</v>
      </c>
      <c r="G36" s="6" t="s">
        <v>16</v>
      </c>
      <c r="H36" s="2" t="s">
        <v>386</v>
      </c>
      <c r="I36" s="2" t="s">
        <v>337</v>
      </c>
      <c r="J36" s="2" t="s">
        <v>19</v>
      </c>
      <c r="K36" s="2" t="s">
        <v>338</v>
      </c>
      <c r="L36" s="7" t="str">
        <f>HYPERLINK("http://slimages.macys.com/is/image/MCY/12387580 ")</f>
        <v xml:space="preserve">http://slimages.macys.com/is/image/MCY/12387580 </v>
      </c>
    </row>
    <row r="37" spans="1:12" ht="24.75" x14ac:dyDescent="0.25">
      <c r="A37" s="4" t="s">
        <v>3336</v>
      </c>
      <c r="B37" s="2" t="s">
        <v>3334</v>
      </c>
      <c r="C37" s="3">
        <v>1</v>
      </c>
      <c r="D37" s="5">
        <v>67.5</v>
      </c>
      <c r="E37" s="3" t="s">
        <v>3335</v>
      </c>
      <c r="F37" s="2" t="s">
        <v>74</v>
      </c>
      <c r="G37" s="6" t="s">
        <v>187</v>
      </c>
      <c r="H37" s="2" t="s">
        <v>127</v>
      </c>
      <c r="I37" s="2" t="s">
        <v>128</v>
      </c>
      <c r="J37" s="2" t="s">
        <v>19</v>
      </c>
      <c r="K37" s="2" t="s">
        <v>1480</v>
      </c>
      <c r="L37" s="7" t="str">
        <f>HYPERLINK("http://slimages.macys.com/is/image/MCY/11832694 ")</f>
        <v xml:space="preserve">http://slimages.macys.com/is/image/MCY/11832694 </v>
      </c>
    </row>
    <row r="38" spans="1:12" ht="48.75" x14ac:dyDescent="0.25">
      <c r="A38" s="4" t="s">
        <v>191</v>
      </c>
      <c r="B38" s="2" t="s">
        <v>192</v>
      </c>
      <c r="C38" s="3">
        <v>1</v>
      </c>
      <c r="D38" s="5">
        <v>59.5</v>
      </c>
      <c r="E38" s="3">
        <v>100036287</v>
      </c>
      <c r="F38" s="2" t="s">
        <v>193</v>
      </c>
      <c r="G38" s="6" t="s">
        <v>181</v>
      </c>
      <c r="H38" s="2" t="s">
        <v>194</v>
      </c>
      <c r="I38" s="2" t="s">
        <v>195</v>
      </c>
      <c r="J38" s="2" t="s">
        <v>19</v>
      </c>
      <c r="K38" s="2" t="s">
        <v>196</v>
      </c>
      <c r="L38" s="7" t="str">
        <f>HYPERLINK("http://slimages.macys.com/is/image/MCY/13121038 ")</f>
        <v xml:space="preserve">http://slimages.macys.com/is/image/MCY/13121038 </v>
      </c>
    </row>
    <row r="39" spans="1:12" ht="48.75" x14ac:dyDescent="0.25">
      <c r="A39" s="4" t="s">
        <v>11687</v>
      </c>
      <c r="B39" s="2" t="s">
        <v>192</v>
      </c>
      <c r="C39" s="3">
        <v>1</v>
      </c>
      <c r="D39" s="5">
        <v>59.5</v>
      </c>
      <c r="E39" s="3">
        <v>100036287</v>
      </c>
      <c r="F39" s="2" t="s">
        <v>136</v>
      </c>
      <c r="G39" s="6" t="s">
        <v>154</v>
      </c>
      <c r="H39" s="2" t="s">
        <v>194</v>
      </c>
      <c r="I39" s="2" t="s">
        <v>195</v>
      </c>
      <c r="J39" s="2" t="s">
        <v>19</v>
      </c>
      <c r="K39" s="2" t="s">
        <v>196</v>
      </c>
      <c r="L39" s="7" t="str">
        <f>HYPERLINK("http://slimages.macys.com/is/image/MCY/13121038 ")</f>
        <v xml:space="preserve">http://slimages.macys.com/is/image/MCY/13121038 </v>
      </c>
    </row>
    <row r="40" spans="1:12" x14ac:dyDescent="0.25">
      <c r="A40" s="4" t="s">
        <v>11688</v>
      </c>
      <c r="B40" s="2" t="s">
        <v>11689</v>
      </c>
      <c r="C40" s="3">
        <v>1</v>
      </c>
      <c r="D40" s="5">
        <v>89.5</v>
      </c>
      <c r="E40" s="3">
        <v>100058438</v>
      </c>
      <c r="F40" s="2" t="s">
        <v>64</v>
      </c>
      <c r="G40" s="6" t="s">
        <v>2208</v>
      </c>
      <c r="H40" s="2" t="s">
        <v>386</v>
      </c>
      <c r="I40" s="2" t="s">
        <v>337</v>
      </c>
      <c r="J40" s="2" t="s">
        <v>19</v>
      </c>
      <c r="K40" s="2" t="s">
        <v>353</v>
      </c>
      <c r="L40" s="7" t="str">
        <f>HYPERLINK("http://slimages.macys.com/is/image/MCY/12065705 ")</f>
        <v xml:space="preserve">http://slimages.macys.com/is/image/MCY/12065705 </v>
      </c>
    </row>
    <row r="41" spans="1:12" ht="24.75" x14ac:dyDescent="0.25">
      <c r="A41" s="4" t="s">
        <v>11690</v>
      </c>
      <c r="B41" s="2" t="s">
        <v>11691</v>
      </c>
      <c r="C41" s="3">
        <v>1</v>
      </c>
      <c r="D41" s="5">
        <v>59.63</v>
      </c>
      <c r="E41" s="3">
        <v>100053416</v>
      </c>
      <c r="F41" s="2" t="s">
        <v>111</v>
      </c>
      <c r="G41" s="6" t="s">
        <v>234</v>
      </c>
      <c r="H41" s="2" t="s">
        <v>194</v>
      </c>
      <c r="I41" s="2" t="s">
        <v>195</v>
      </c>
      <c r="J41" s="2" t="s">
        <v>19</v>
      </c>
      <c r="K41" s="2" t="s">
        <v>546</v>
      </c>
      <c r="L41" s="7" t="str">
        <f>HYPERLINK("http://slimages.macys.com/is/image/MCY/12316818 ")</f>
        <v xml:space="preserve">http://slimages.macys.com/is/image/MCY/12316818 </v>
      </c>
    </row>
    <row r="42" spans="1:12" ht="24.75" x14ac:dyDescent="0.25">
      <c r="A42" s="4" t="s">
        <v>3342</v>
      </c>
      <c r="B42" s="2" t="s">
        <v>198</v>
      </c>
      <c r="C42" s="3">
        <v>1</v>
      </c>
      <c r="D42" s="5">
        <v>52.13</v>
      </c>
      <c r="E42" s="3">
        <v>100054438</v>
      </c>
      <c r="F42" s="2" t="s">
        <v>199</v>
      </c>
      <c r="G42" s="6" t="s">
        <v>181</v>
      </c>
      <c r="H42" s="2" t="s">
        <v>194</v>
      </c>
      <c r="I42" s="2" t="s">
        <v>195</v>
      </c>
      <c r="J42" s="2" t="s">
        <v>19</v>
      </c>
      <c r="K42" s="2" t="s">
        <v>201</v>
      </c>
      <c r="L42" s="7" t="str">
        <f>HYPERLINK("http://slimages.macys.com/is/image/MCY/12316594 ")</f>
        <v xml:space="preserve">http://slimages.macys.com/is/image/MCY/12316594 </v>
      </c>
    </row>
    <row r="43" spans="1:12" ht="24.75" x14ac:dyDescent="0.25">
      <c r="A43" s="4" t="s">
        <v>11692</v>
      </c>
      <c r="B43" s="2" t="s">
        <v>11693</v>
      </c>
      <c r="C43" s="3">
        <v>1</v>
      </c>
      <c r="D43" s="5">
        <v>67.13</v>
      </c>
      <c r="E43" s="3" t="s">
        <v>11694</v>
      </c>
      <c r="F43" s="2" t="s">
        <v>64</v>
      </c>
      <c r="G43" s="6" t="s">
        <v>58</v>
      </c>
      <c r="H43" s="2" t="s">
        <v>246</v>
      </c>
      <c r="I43" s="2" t="s">
        <v>189</v>
      </c>
      <c r="J43" s="2" t="s">
        <v>19</v>
      </c>
      <c r="K43" s="2" t="s">
        <v>118</v>
      </c>
      <c r="L43" s="7" t="str">
        <f>HYPERLINK("http://slimages.macys.com/is/image/MCY/11808221 ")</f>
        <v xml:space="preserve">http://slimages.macys.com/is/image/MCY/11808221 </v>
      </c>
    </row>
    <row r="44" spans="1:12" ht="24.75" x14ac:dyDescent="0.25">
      <c r="A44" s="4" t="s">
        <v>11695</v>
      </c>
      <c r="B44" s="2" t="s">
        <v>11693</v>
      </c>
      <c r="C44" s="3">
        <v>1</v>
      </c>
      <c r="D44" s="5">
        <v>67.13</v>
      </c>
      <c r="E44" s="3" t="s">
        <v>11694</v>
      </c>
      <c r="F44" s="2" t="s">
        <v>48</v>
      </c>
      <c r="G44" s="6" t="s">
        <v>58</v>
      </c>
      <c r="H44" s="2" t="s">
        <v>246</v>
      </c>
      <c r="I44" s="2" t="s">
        <v>189</v>
      </c>
      <c r="J44" s="2" t="s">
        <v>19</v>
      </c>
      <c r="K44" s="2" t="s">
        <v>118</v>
      </c>
      <c r="L44" s="7" t="str">
        <f>HYPERLINK("http://slimages.macys.com/is/image/MCY/11808221 ")</f>
        <v xml:space="preserve">http://slimages.macys.com/is/image/MCY/11808221 </v>
      </c>
    </row>
    <row r="45" spans="1:12" ht="24.75" x14ac:dyDescent="0.25">
      <c r="A45" s="4" t="s">
        <v>11696</v>
      </c>
      <c r="B45" s="2" t="s">
        <v>11697</v>
      </c>
      <c r="C45" s="3">
        <v>1</v>
      </c>
      <c r="D45" s="5">
        <v>99.5</v>
      </c>
      <c r="E45" s="3">
        <v>100068171</v>
      </c>
      <c r="F45" s="2" t="s">
        <v>64</v>
      </c>
      <c r="G45" s="6" t="s">
        <v>106</v>
      </c>
      <c r="H45" s="2" t="s">
        <v>386</v>
      </c>
      <c r="I45" s="2" t="s">
        <v>391</v>
      </c>
      <c r="J45" s="2" t="s">
        <v>19</v>
      </c>
      <c r="K45" s="2" t="s">
        <v>230</v>
      </c>
      <c r="L45" s="7" t="str">
        <f>HYPERLINK("http://slimages.macys.com/is/image/MCY/13331705 ")</f>
        <v xml:space="preserve">http://slimages.macys.com/is/image/MCY/13331705 </v>
      </c>
    </row>
    <row r="46" spans="1:12" ht="24.75" x14ac:dyDescent="0.25">
      <c r="A46" s="4" t="s">
        <v>10424</v>
      </c>
      <c r="B46" s="2" t="s">
        <v>10425</v>
      </c>
      <c r="C46" s="3">
        <v>1</v>
      </c>
      <c r="D46" s="5">
        <v>99.5</v>
      </c>
      <c r="E46" s="3">
        <v>100034686</v>
      </c>
      <c r="F46" s="2" t="s">
        <v>64</v>
      </c>
      <c r="G46" s="6" t="s">
        <v>141</v>
      </c>
      <c r="H46" s="2" t="s">
        <v>386</v>
      </c>
      <c r="I46" s="2" t="s">
        <v>337</v>
      </c>
      <c r="J46" s="2" t="s">
        <v>19</v>
      </c>
      <c r="K46" s="2" t="s">
        <v>353</v>
      </c>
      <c r="L46" s="7" t="str">
        <f>HYPERLINK("http://slimages.macys.com/is/image/MCY/9973588 ")</f>
        <v xml:space="preserve">http://slimages.macys.com/is/image/MCY/9973588 </v>
      </c>
    </row>
    <row r="47" spans="1:12" ht="24.75" x14ac:dyDescent="0.25">
      <c r="A47" s="4" t="s">
        <v>10428</v>
      </c>
      <c r="B47" s="2" t="s">
        <v>7069</v>
      </c>
      <c r="C47" s="3">
        <v>1</v>
      </c>
      <c r="D47" s="5">
        <v>52.13</v>
      </c>
      <c r="E47" s="3" t="s">
        <v>10427</v>
      </c>
      <c r="F47" s="2" t="s">
        <v>376</v>
      </c>
      <c r="G47" s="6" t="s">
        <v>181</v>
      </c>
      <c r="H47" s="2" t="s">
        <v>194</v>
      </c>
      <c r="I47" s="2" t="s">
        <v>195</v>
      </c>
      <c r="J47" s="2" t="s">
        <v>19</v>
      </c>
      <c r="K47" s="2" t="s">
        <v>160</v>
      </c>
      <c r="L47" s="7" t="str">
        <f>HYPERLINK("http://slimages.macys.com/is/image/MCY/12316659 ")</f>
        <v xml:space="preserve">http://slimages.macys.com/is/image/MCY/12316659 </v>
      </c>
    </row>
    <row r="48" spans="1:12" ht="24.75" x14ac:dyDescent="0.25">
      <c r="A48" s="4" t="s">
        <v>10429</v>
      </c>
      <c r="B48" s="2" t="s">
        <v>7069</v>
      </c>
      <c r="C48" s="3">
        <v>3</v>
      </c>
      <c r="D48" s="5">
        <v>52.13</v>
      </c>
      <c r="E48" s="3" t="s">
        <v>10427</v>
      </c>
      <c r="F48" s="2" t="s">
        <v>376</v>
      </c>
      <c r="G48" s="6" t="s">
        <v>154</v>
      </c>
      <c r="H48" s="2" t="s">
        <v>194</v>
      </c>
      <c r="I48" s="2" t="s">
        <v>195</v>
      </c>
      <c r="J48" s="2" t="s">
        <v>19</v>
      </c>
      <c r="K48" s="2" t="s">
        <v>160</v>
      </c>
      <c r="L48" s="7" t="str">
        <f>HYPERLINK("http://slimages.macys.com/is/image/MCY/12316659 ")</f>
        <v xml:space="preserve">http://slimages.macys.com/is/image/MCY/12316659 </v>
      </c>
    </row>
    <row r="49" spans="1:12" ht="24.75" x14ac:dyDescent="0.25">
      <c r="A49" s="4" t="s">
        <v>11698</v>
      </c>
      <c r="B49" s="2" t="s">
        <v>11699</v>
      </c>
      <c r="C49" s="3">
        <v>1</v>
      </c>
      <c r="D49" s="5">
        <v>98</v>
      </c>
      <c r="E49" s="3" t="s">
        <v>11700</v>
      </c>
      <c r="F49" s="2" t="s">
        <v>74</v>
      </c>
      <c r="G49" s="6"/>
      <c r="H49" s="2" t="s">
        <v>447</v>
      </c>
      <c r="I49" s="2" t="s">
        <v>10806</v>
      </c>
      <c r="J49" s="2" t="s">
        <v>19</v>
      </c>
      <c r="K49" s="2" t="s">
        <v>11701</v>
      </c>
      <c r="L49" s="7" t="str">
        <f>HYPERLINK("http://slimages.macys.com/is/image/MCY/10069124 ")</f>
        <v xml:space="preserve">http://slimages.macys.com/is/image/MCY/10069124 </v>
      </c>
    </row>
    <row r="50" spans="1:12" ht="24.75" x14ac:dyDescent="0.25">
      <c r="A50" s="4" t="s">
        <v>11702</v>
      </c>
      <c r="B50" s="2" t="s">
        <v>11703</v>
      </c>
      <c r="C50" s="3">
        <v>1</v>
      </c>
      <c r="D50" s="5">
        <v>89.5</v>
      </c>
      <c r="E50" s="3">
        <v>100061818</v>
      </c>
      <c r="F50" s="2" t="s">
        <v>64</v>
      </c>
      <c r="G50" s="6" t="s">
        <v>58</v>
      </c>
      <c r="H50" s="2" t="s">
        <v>386</v>
      </c>
      <c r="I50" s="2" t="s">
        <v>207</v>
      </c>
      <c r="J50" s="2" t="s">
        <v>19</v>
      </c>
      <c r="K50" s="2" t="s">
        <v>338</v>
      </c>
      <c r="L50" s="7" t="str">
        <f>HYPERLINK("http://slimages.macys.com/is/image/MCY/13585477 ")</f>
        <v xml:space="preserve">http://slimages.macys.com/is/image/MCY/13585477 </v>
      </c>
    </row>
    <row r="51" spans="1:12" ht="24.75" x14ac:dyDescent="0.25">
      <c r="A51" s="4" t="s">
        <v>11704</v>
      </c>
      <c r="B51" s="2" t="s">
        <v>2176</v>
      </c>
      <c r="C51" s="3">
        <v>1</v>
      </c>
      <c r="D51" s="5">
        <v>51.75</v>
      </c>
      <c r="E51" s="3">
        <v>100053415</v>
      </c>
      <c r="F51" s="2" t="s">
        <v>15</v>
      </c>
      <c r="G51" s="6" t="s">
        <v>154</v>
      </c>
      <c r="H51" s="2" t="s">
        <v>228</v>
      </c>
      <c r="I51" s="2" t="s">
        <v>229</v>
      </c>
      <c r="J51" s="2" t="s">
        <v>19</v>
      </c>
      <c r="K51" s="2" t="s">
        <v>230</v>
      </c>
      <c r="L51" s="7" t="str">
        <f>HYPERLINK("http://slimages.macys.com/is/image/MCY/12317942 ")</f>
        <v xml:space="preserve">http://slimages.macys.com/is/image/MCY/12317942 </v>
      </c>
    </row>
    <row r="52" spans="1:12" ht="24.75" x14ac:dyDescent="0.25">
      <c r="A52" s="4" t="s">
        <v>11705</v>
      </c>
      <c r="B52" s="2" t="s">
        <v>4455</v>
      </c>
      <c r="C52" s="3">
        <v>1</v>
      </c>
      <c r="D52" s="5">
        <v>59.63</v>
      </c>
      <c r="E52" s="3" t="s">
        <v>4456</v>
      </c>
      <c r="F52" s="2" t="s">
        <v>1584</v>
      </c>
      <c r="G52" s="6" t="s">
        <v>156</v>
      </c>
      <c r="H52" s="2" t="s">
        <v>246</v>
      </c>
      <c r="I52" s="2" t="s">
        <v>189</v>
      </c>
      <c r="J52" s="2" t="s">
        <v>19</v>
      </c>
      <c r="K52" s="2" t="s">
        <v>798</v>
      </c>
      <c r="L52" s="7" t="str">
        <f>HYPERLINK("http://slimages.macys.com/is/image/MCY/10678558 ")</f>
        <v xml:space="preserve">http://slimages.macys.com/is/image/MCY/10678558 </v>
      </c>
    </row>
    <row r="53" spans="1:12" ht="36.75" x14ac:dyDescent="0.25">
      <c r="A53" s="4" t="s">
        <v>11706</v>
      </c>
      <c r="B53" s="2" t="s">
        <v>11707</v>
      </c>
      <c r="C53" s="3">
        <v>2</v>
      </c>
      <c r="D53" s="5">
        <v>99.5</v>
      </c>
      <c r="E53" s="3" t="s">
        <v>11708</v>
      </c>
      <c r="F53" s="2" t="s">
        <v>26</v>
      </c>
      <c r="G53" s="6" t="s">
        <v>3715</v>
      </c>
      <c r="H53" s="2" t="s">
        <v>206</v>
      </c>
      <c r="I53" s="2" t="s">
        <v>207</v>
      </c>
      <c r="J53" s="2" t="s">
        <v>19</v>
      </c>
      <c r="K53" s="2" t="s">
        <v>11709</v>
      </c>
      <c r="L53" s="7" t="str">
        <f>HYPERLINK("http://slimages.macys.com/is/image/MCY/12285366 ")</f>
        <v xml:space="preserve">http://slimages.macys.com/is/image/MCY/12285366 </v>
      </c>
    </row>
    <row r="54" spans="1:12" ht="36.75" x14ac:dyDescent="0.25">
      <c r="A54" s="4" t="s">
        <v>11710</v>
      </c>
      <c r="B54" s="2" t="s">
        <v>11707</v>
      </c>
      <c r="C54" s="3">
        <v>1</v>
      </c>
      <c r="D54" s="5">
        <v>99.5</v>
      </c>
      <c r="E54" s="3" t="s">
        <v>11708</v>
      </c>
      <c r="F54" s="2" t="s">
        <v>26</v>
      </c>
      <c r="G54" s="6" t="s">
        <v>336</v>
      </c>
      <c r="H54" s="2" t="s">
        <v>206</v>
      </c>
      <c r="I54" s="2" t="s">
        <v>207</v>
      </c>
      <c r="J54" s="2" t="s">
        <v>19</v>
      </c>
      <c r="K54" s="2" t="s">
        <v>11709</v>
      </c>
      <c r="L54" s="7" t="str">
        <f>HYPERLINK("http://slimages.macys.com/is/image/MCY/12285366 ")</f>
        <v xml:space="preserve">http://slimages.macys.com/is/image/MCY/12285366 </v>
      </c>
    </row>
    <row r="55" spans="1:12" ht="36.75" x14ac:dyDescent="0.25">
      <c r="A55" s="4" t="s">
        <v>11711</v>
      </c>
      <c r="B55" s="2" t="s">
        <v>11707</v>
      </c>
      <c r="C55" s="3">
        <v>1</v>
      </c>
      <c r="D55" s="5">
        <v>99.5</v>
      </c>
      <c r="E55" s="3" t="s">
        <v>11708</v>
      </c>
      <c r="F55" s="2" t="s">
        <v>26</v>
      </c>
      <c r="G55" s="6" t="s">
        <v>363</v>
      </c>
      <c r="H55" s="2" t="s">
        <v>206</v>
      </c>
      <c r="I55" s="2" t="s">
        <v>207</v>
      </c>
      <c r="J55" s="2" t="s">
        <v>19</v>
      </c>
      <c r="K55" s="2" t="s">
        <v>11709</v>
      </c>
      <c r="L55" s="7" t="str">
        <f>HYPERLINK("http://slimages.macys.com/is/image/MCY/12285366 ")</f>
        <v xml:space="preserve">http://slimages.macys.com/is/image/MCY/12285366 </v>
      </c>
    </row>
    <row r="56" spans="1:12" ht="24.75" x14ac:dyDescent="0.25">
      <c r="A56" s="4" t="s">
        <v>11712</v>
      </c>
      <c r="B56" s="2" t="s">
        <v>11713</v>
      </c>
      <c r="C56" s="3">
        <v>1</v>
      </c>
      <c r="D56" s="5">
        <v>59.63</v>
      </c>
      <c r="E56" s="3" t="s">
        <v>11714</v>
      </c>
      <c r="F56" s="2" t="s">
        <v>89</v>
      </c>
      <c r="G56" s="6" t="s">
        <v>154</v>
      </c>
      <c r="H56" s="2" t="s">
        <v>213</v>
      </c>
      <c r="I56" s="2" t="s">
        <v>214</v>
      </c>
      <c r="J56" s="2" t="s">
        <v>19</v>
      </c>
      <c r="K56" s="2" t="s">
        <v>253</v>
      </c>
      <c r="L56" s="7" t="str">
        <f>HYPERLINK("http://slimages.macys.com/is/image/MCY/16386330 ")</f>
        <v xml:space="preserve">http://slimages.macys.com/is/image/MCY/16386330 </v>
      </c>
    </row>
    <row r="57" spans="1:12" ht="24.75" x14ac:dyDescent="0.25">
      <c r="A57" s="4" t="s">
        <v>11715</v>
      </c>
      <c r="B57" s="2" t="s">
        <v>11716</v>
      </c>
      <c r="C57" s="3">
        <v>1</v>
      </c>
      <c r="D57" s="5">
        <v>59.63</v>
      </c>
      <c r="E57" s="3" t="s">
        <v>11717</v>
      </c>
      <c r="F57" s="2" t="s">
        <v>26</v>
      </c>
      <c r="G57" s="6" t="s">
        <v>156</v>
      </c>
      <c r="H57" s="2" t="s">
        <v>246</v>
      </c>
      <c r="I57" s="2" t="s">
        <v>189</v>
      </c>
      <c r="J57" s="2" t="s">
        <v>19</v>
      </c>
      <c r="K57" s="2" t="s">
        <v>648</v>
      </c>
      <c r="L57" s="7" t="str">
        <f>HYPERLINK("http://slimages.macys.com/is/image/MCY/12934925 ")</f>
        <v xml:space="preserve">http://slimages.macys.com/is/image/MCY/12934925 </v>
      </c>
    </row>
    <row r="58" spans="1:12" ht="24.75" x14ac:dyDescent="0.25">
      <c r="A58" s="4" t="s">
        <v>11718</v>
      </c>
      <c r="B58" s="2" t="s">
        <v>7837</v>
      </c>
      <c r="C58" s="3">
        <v>2</v>
      </c>
      <c r="D58" s="5">
        <v>69.5</v>
      </c>
      <c r="E58" s="3" t="s">
        <v>7838</v>
      </c>
      <c r="F58" s="2" t="s">
        <v>376</v>
      </c>
      <c r="G58" s="6"/>
      <c r="H58" s="2" t="s">
        <v>127</v>
      </c>
      <c r="I58" s="2" t="s">
        <v>128</v>
      </c>
      <c r="J58" s="2" t="s">
        <v>19</v>
      </c>
      <c r="K58" s="2" t="s">
        <v>7839</v>
      </c>
      <c r="L58" s="7" t="str">
        <f>HYPERLINK("http://slimages.macys.com/is/image/MCY/13036871 ")</f>
        <v xml:space="preserve">http://slimages.macys.com/is/image/MCY/13036871 </v>
      </c>
    </row>
    <row r="59" spans="1:12" ht="24.75" x14ac:dyDescent="0.25">
      <c r="A59" s="4" t="s">
        <v>11719</v>
      </c>
      <c r="B59" s="2" t="s">
        <v>11720</v>
      </c>
      <c r="C59" s="3">
        <v>1</v>
      </c>
      <c r="D59" s="5">
        <v>44.63</v>
      </c>
      <c r="E59" s="3" t="s">
        <v>11721</v>
      </c>
      <c r="F59" s="2" t="s">
        <v>820</v>
      </c>
      <c r="G59" s="6" t="s">
        <v>181</v>
      </c>
      <c r="H59" s="2" t="s">
        <v>284</v>
      </c>
      <c r="I59" s="2" t="s">
        <v>285</v>
      </c>
      <c r="J59" s="2" t="s">
        <v>19</v>
      </c>
      <c r="K59" s="2" t="s">
        <v>11722</v>
      </c>
      <c r="L59" s="7" t="str">
        <f>HYPERLINK("http://slimages.macys.com/is/image/MCY/15142006 ")</f>
        <v xml:space="preserve">http://slimages.macys.com/is/image/MCY/15142006 </v>
      </c>
    </row>
    <row r="60" spans="1:12" ht="24.75" x14ac:dyDescent="0.25">
      <c r="A60" s="4" t="s">
        <v>7846</v>
      </c>
      <c r="B60" s="2" t="s">
        <v>7847</v>
      </c>
      <c r="C60" s="3">
        <v>1</v>
      </c>
      <c r="D60" s="5">
        <v>51.75</v>
      </c>
      <c r="E60" s="3">
        <v>100019102</v>
      </c>
      <c r="F60" s="2" t="s">
        <v>252</v>
      </c>
      <c r="G60" s="6" t="s">
        <v>65</v>
      </c>
      <c r="H60" s="2" t="s">
        <v>228</v>
      </c>
      <c r="I60" s="2" t="s">
        <v>229</v>
      </c>
      <c r="J60" s="2" t="s">
        <v>19</v>
      </c>
      <c r="K60" s="2" t="s">
        <v>253</v>
      </c>
      <c r="L60" s="7" t="str">
        <f>HYPERLINK("http://slimages.macys.com/is/image/MCY/12316717 ")</f>
        <v xml:space="preserve">http://slimages.macys.com/is/image/MCY/12316717 </v>
      </c>
    </row>
    <row r="61" spans="1:12" ht="24.75" x14ac:dyDescent="0.25">
      <c r="A61" s="4" t="s">
        <v>11723</v>
      </c>
      <c r="B61" s="2" t="s">
        <v>9938</v>
      </c>
      <c r="C61" s="3">
        <v>1</v>
      </c>
      <c r="D61" s="5">
        <v>69.5</v>
      </c>
      <c r="E61" s="3">
        <v>100041094</v>
      </c>
      <c r="F61" s="2" t="s">
        <v>572</v>
      </c>
      <c r="G61" s="6" t="s">
        <v>39</v>
      </c>
      <c r="H61" s="2" t="s">
        <v>386</v>
      </c>
      <c r="I61" s="2" t="s">
        <v>391</v>
      </c>
      <c r="J61" s="2" t="s">
        <v>19</v>
      </c>
      <c r="K61" s="2" t="s">
        <v>253</v>
      </c>
      <c r="L61" s="7" t="str">
        <f>HYPERLINK("http://slimages.macys.com/is/image/MCY/9973627 ")</f>
        <v xml:space="preserve">http://slimages.macys.com/is/image/MCY/9973627 </v>
      </c>
    </row>
    <row r="62" spans="1:12" ht="24.75" x14ac:dyDescent="0.25">
      <c r="A62" s="4" t="s">
        <v>11724</v>
      </c>
      <c r="B62" s="2" t="s">
        <v>10446</v>
      </c>
      <c r="C62" s="3">
        <v>1</v>
      </c>
      <c r="D62" s="5">
        <v>65</v>
      </c>
      <c r="E62" s="3" t="s">
        <v>10447</v>
      </c>
      <c r="F62" s="2" t="s">
        <v>15</v>
      </c>
      <c r="G62" s="6" t="s">
        <v>112</v>
      </c>
      <c r="H62" s="2" t="s">
        <v>716</v>
      </c>
      <c r="I62" s="2" t="s">
        <v>717</v>
      </c>
      <c r="J62" s="2" t="s">
        <v>19</v>
      </c>
      <c r="K62" s="2" t="s">
        <v>648</v>
      </c>
      <c r="L62" s="7" t="str">
        <f>HYPERLINK("http://slimages.macys.com/is/image/MCY/11531939 ")</f>
        <v xml:space="preserve">http://slimages.macys.com/is/image/MCY/11531939 </v>
      </c>
    </row>
    <row r="63" spans="1:12" x14ac:dyDescent="0.25">
      <c r="A63" s="4" t="s">
        <v>11725</v>
      </c>
      <c r="B63" s="2" t="s">
        <v>11726</v>
      </c>
      <c r="C63" s="3">
        <v>1</v>
      </c>
      <c r="D63" s="5">
        <v>69.5</v>
      </c>
      <c r="E63" s="3">
        <v>100062066</v>
      </c>
      <c r="F63" s="2" t="s">
        <v>64</v>
      </c>
      <c r="G63" s="6" t="s">
        <v>27</v>
      </c>
      <c r="H63" s="2" t="s">
        <v>386</v>
      </c>
      <c r="I63" s="2" t="s">
        <v>337</v>
      </c>
      <c r="J63" s="2" t="s">
        <v>19</v>
      </c>
      <c r="K63" s="2" t="s">
        <v>353</v>
      </c>
      <c r="L63" s="7" t="str">
        <f>HYPERLINK("http://slimages.macys.com/is/image/MCY/11943137 ")</f>
        <v xml:space="preserve">http://slimages.macys.com/is/image/MCY/11943137 </v>
      </c>
    </row>
    <row r="64" spans="1:12" ht="24.75" x14ac:dyDescent="0.25">
      <c r="A64" s="4" t="s">
        <v>11727</v>
      </c>
      <c r="B64" s="2" t="s">
        <v>10453</v>
      </c>
      <c r="C64" s="3">
        <v>1</v>
      </c>
      <c r="D64" s="5">
        <v>52.13</v>
      </c>
      <c r="E64" s="3" t="s">
        <v>10454</v>
      </c>
      <c r="F64" s="2" t="s">
        <v>417</v>
      </c>
      <c r="G64" s="6" t="s">
        <v>200</v>
      </c>
      <c r="H64" s="2" t="s">
        <v>194</v>
      </c>
      <c r="I64" s="2" t="s">
        <v>195</v>
      </c>
      <c r="J64" s="2" t="s">
        <v>19</v>
      </c>
      <c r="K64" s="2" t="s">
        <v>438</v>
      </c>
      <c r="L64" s="7" t="str">
        <f>HYPERLINK("http://slimages.macys.com/is/image/MCY/12279959 ")</f>
        <v xml:space="preserve">http://slimages.macys.com/is/image/MCY/12279959 </v>
      </c>
    </row>
    <row r="65" spans="1:12" ht="24.75" x14ac:dyDescent="0.25">
      <c r="A65" s="4" t="s">
        <v>11728</v>
      </c>
      <c r="B65" s="2" t="s">
        <v>10453</v>
      </c>
      <c r="C65" s="3">
        <v>3</v>
      </c>
      <c r="D65" s="5">
        <v>52.13</v>
      </c>
      <c r="E65" s="3" t="s">
        <v>10454</v>
      </c>
      <c r="F65" s="2" t="s">
        <v>417</v>
      </c>
      <c r="G65" s="6" t="s">
        <v>181</v>
      </c>
      <c r="H65" s="2" t="s">
        <v>194</v>
      </c>
      <c r="I65" s="2" t="s">
        <v>195</v>
      </c>
      <c r="J65" s="2" t="s">
        <v>19</v>
      </c>
      <c r="K65" s="2" t="s">
        <v>438</v>
      </c>
      <c r="L65" s="7" t="str">
        <f>HYPERLINK("http://slimages.macys.com/is/image/MCY/12279959 ")</f>
        <v xml:space="preserve">http://slimages.macys.com/is/image/MCY/12279959 </v>
      </c>
    </row>
    <row r="66" spans="1:12" ht="24.75" x14ac:dyDescent="0.25">
      <c r="A66" s="4" t="s">
        <v>10452</v>
      </c>
      <c r="B66" s="2" t="s">
        <v>10453</v>
      </c>
      <c r="C66" s="3">
        <v>3</v>
      </c>
      <c r="D66" s="5">
        <v>52.13</v>
      </c>
      <c r="E66" s="3" t="s">
        <v>10454</v>
      </c>
      <c r="F66" s="2" t="s">
        <v>417</v>
      </c>
      <c r="G66" s="6" t="s">
        <v>154</v>
      </c>
      <c r="H66" s="2" t="s">
        <v>194</v>
      </c>
      <c r="I66" s="2" t="s">
        <v>195</v>
      </c>
      <c r="J66" s="2" t="s">
        <v>19</v>
      </c>
      <c r="K66" s="2" t="s">
        <v>438</v>
      </c>
      <c r="L66" s="7" t="str">
        <f>HYPERLINK("http://slimages.macys.com/is/image/MCY/12279959 ")</f>
        <v xml:space="preserve">http://slimages.macys.com/is/image/MCY/12279959 </v>
      </c>
    </row>
    <row r="67" spans="1:12" ht="24.75" x14ac:dyDescent="0.25">
      <c r="A67" s="4" t="s">
        <v>11729</v>
      </c>
      <c r="B67" s="2" t="s">
        <v>297</v>
      </c>
      <c r="C67" s="3">
        <v>1</v>
      </c>
      <c r="D67" s="5">
        <v>59.63</v>
      </c>
      <c r="E67" s="3" t="s">
        <v>298</v>
      </c>
      <c r="F67" s="2" t="s">
        <v>64</v>
      </c>
      <c r="G67" s="6" t="s">
        <v>22</v>
      </c>
      <c r="H67" s="2" t="s">
        <v>246</v>
      </c>
      <c r="I67" s="2" t="s">
        <v>189</v>
      </c>
      <c r="J67" s="2" t="s">
        <v>19</v>
      </c>
      <c r="K67" s="2" t="s">
        <v>208</v>
      </c>
      <c r="L67" s="7" t="str">
        <f>HYPERLINK("http://slimages.macys.com/is/image/MCY/12158412 ")</f>
        <v xml:space="preserve">http://slimages.macys.com/is/image/MCY/12158412 </v>
      </c>
    </row>
    <row r="68" spans="1:12" ht="24.75" x14ac:dyDescent="0.25">
      <c r="A68" s="4" t="s">
        <v>10458</v>
      </c>
      <c r="B68" s="2" t="s">
        <v>288</v>
      </c>
      <c r="C68" s="3">
        <v>1</v>
      </c>
      <c r="D68" s="5">
        <v>52.13</v>
      </c>
      <c r="E68" s="3" t="s">
        <v>10459</v>
      </c>
      <c r="F68" s="2" t="s">
        <v>64</v>
      </c>
      <c r="G68" s="6"/>
      <c r="H68" s="2" t="s">
        <v>312</v>
      </c>
      <c r="I68" s="2" t="s">
        <v>195</v>
      </c>
      <c r="J68" s="2" t="s">
        <v>19</v>
      </c>
      <c r="K68" s="2" t="s">
        <v>247</v>
      </c>
      <c r="L68" s="7" t="str">
        <f>HYPERLINK("http://slimages.macys.com/is/image/MCY/12849992 ")</f>
        <v xml:space="preserve">http://slimages.macys.com/is/image/MCY/12849992 </v>
      </c>
    </row>
    <row r="69" spans="1:12" ht="24.75" x14ac:dyDescent="0.25">
      <c r="A69" s="4" t="s">
        <v>11730</v>
      </c>
      <c r="B69" s="2" t="s">
        <v>288</v>
      </c>
      <c r="C69" s="3">
        <v>2</v>
      </c>
      <c r="D69" s="5">
        <v>52.13</v>
      </c>
      <c r="E69" s="3" t="s">
        <v>10459</v>
      </c>
      <c r="F69" s="2" t="s">
        <v>64</v>
      </c>
      <c r="G69" s="6"/>
      <c r="H69" s="2" t="s">
        <v>312</v>
      </c>
      <c r="I69" s="2" t="s">
        <v>195</v>
      </c>
      <c r="J69" s="2" t="s">
        <v>19</v>
      </c>
      <c r="K69" s="2" t="s">
        <v>247</v>
      </c>
      <c r="L69" s="7" t="str">
        <f>HYPERLINK("http://slimages.macys.com/is/image/MCY/12849992 ")</f>
        <v xml:space="preserve">http://slimages.macys.com/is/image/MCY/12849992 </v>
      </c>
    </row>
    <row r="70" spans="1:12" ht="24.75" x14ac:dyDescent="0.25">
      <c r="A70" s="4" t="s">
        <v>11731</v>
      </c>
      <c r="B70" s="2" t="s">
        <v>11732</v>
      </c>
      <c r="C70" s="3">
        <v>1</v>
      </c>
      <c r="D70" s="5">
        <v>69.5</v>
      </c>
      <c r="E70" s="3" t="s">
        <v>11733</v>
      </c>
      <c r="F70" s="2" t="s">
        <v>376</v>
      </c>
      <c r="G70" s="6"/>
      <c r="H70" s="2" t="s">
        <v>127</v>
      </c>
      <c r="I70" s="2" t="s">
        <v>128</v>
      </c>
      <c r="J70" s="2" t="s">
        <v>19</v>
      </c>
      <c r="K70" s="2" t="s">
        <v>34</v>
      </c>
      <c r="L70" s="7" t="str">
        <f>HYPERLINK("http://slimages.macys.com/is/image/MCY/12672557 ")</f>
        <v xml:space="preserve">http://slimages.macys.com/is/image/MCY/12672557 </v>
      </c>
    </row>
    <row r="71" spans="1:12" ht="24.75" x14ac:dyDescent="0.25">
      <c r="A71" s="4" t="s">
        <v>11734</v>
      </c>
      <c r="B71" s="2" t="s">
        <v>2258</v>
      </c>
      <c r="C71" s="3">
        <v>1</v>
      </c>
      <c r="D71" s="5">
        <v>48.38</v>
      </c>
      <c r="E71" s="3" t="s">
        <v>11735</v>
      </c>
      <c r="F71" s="2" t="s">
        <v>15</v>
      </c>
      <c r="G71" s="6" t="s">
        <v>348</v>
      </c>
      <c r="H71" s="2" t="s">
        <v>349</v>
      </c>
      <c r="I71" s="2" t="s">
        <v>285</v>
      </c>
      <c r="J71" s="2" t="s">
        <v>19</v>
      </c>
      <c r="K71" s="2" t="s">
        <v>8904</v>
      </c>
      <c r="L71" s="7" t="str">
        <f>HYPERLINK("http://slimages.macys.com/is/image/MCY/12807637 ")</f>
        <v xml:space="preserve">http://slimages.macys.com/is/image/MCY/12807637 </v>
      </c>
    </row>
    <row r="72" spans="1:12" ht="36.75" x14ac:dyDescent="0.25">
      <c r="A72" s="4" t="s">
        <v>11736</v>
      </c>
      <c r="B72" s="2" t="s">
        <v>11737</v>
      </c>
      <c r="C72" s="3">
        <v>1</v>
      </c>
      <c r="D72" s="5">
        <v>52.13</v>
      </c>
      <c r="E72" s="3" t="s">
        <v>11738</v>
      </c>
      <c r="F72" s="2" t="s">
        <v>74</v>
      </c>
      <c r="G72" s="6" t="s">
        <v>234</v>
      </c>
      <c r="H72" s="2" t="s">
        <v>284</v>
      </c>
      <c r="I72" s="2" t="s">
        <v>285</v>
      </c>
      <c r="J72" s="2" t="s">
        <v>19</v>
      </c>
      <c r="K72" s="2" t="s">
        <v>430</v>
      </c>
      <c r="L72" s="7" t="str">
        <f>HYPERLINK("http://slimages.macys.com/is/image/MCY/13761965 ")</f>
        <v xml:space="preserve">http://slimages.macys.com/is/image/MCY/13761965 </v>
      </c>
    </row>
    <row r="73" spans="1:12" ht="24.75" x14ac:dyDescent="0.25">
      <c r="A73" s="4" t="s">
        <v>11739</v>
      </c>
      <c r="B73" s="2" t="s">
        <v>11740</v>
      </c>
      <c r="C73" s="3">
        <v>1</v>
      </c>
      <c r="D73" s="5">
        <v>48.38</v>
      </c>
      <c r="E73" s="3" t="s">
        <v>11741</v>
      </c>
      <c r="F73" s="2" t="s">
        <v>64</v>
      </c>
      <c r="G73" s="6" t="s">
        <v>181</v>
      </c>
      <c r="H73" s="2" t="s">
        <v>246</v>
      </c>
      <c r="I73" s="2" t="s">
        <v>189</v>
      </c>
      <c r="J73" s="2" t="s">
        <v>19</v>
      </c>
      <c r="K73" s="2" t="s">
        <v>3423</v>
      </c>
      <c r="L73" s="7" t="str">
        <f>HYPERLINK("http://slimages.macys.com/is/image/MCY/10676216 ")</f>
        <v xml:space="preserve">http://slimages.macys.com/is/image/MCY/10676216 </v>
      </c>
    </row>
    <row r="74" spans="1:12" ht="24.75" x14ac:dyDescent="0.25">
      <c r="A74" s="4" t="s">
        <v>11742</v>
      </c>
      <c r="B74" s="2" t="s">
        <v>11743</v>
      </c>
      <c r="C74" s="3">
        <v>1</v>
      </c>
      <c r="D74" s="5">
        <v>52.13</v>
      </c>
      <c r="E74" s="3" t="s">
        <v>11744</v>
      </c>
      <c r="F74" s="2" t="s">
        <v>26</v>
      </c>
      <c r="G74" s="6" t="s">
        <v>27</v>
      </c>
      <c r="H74" s="2" t="s">
        <v>213</v>
      </c>
      <c r="I74" s="2" t="s">
        <v>214</v>
      </c>
      <c r="J74" s="2" t="s">
        <v>19</v>
      </c>
      <c r="K74" s="2" t="s">
        <v>353</v>
      </c>
      <c r="L74" s="7" t="str">
        <f>HYPERLINK("http://slimages.macys.com/is/image/MCY/12326832 ")</f>
        <v xml:space="preserve">http://slimages.macys.com/is/image/MCY/12326832 </v>
      </c>
    </row>
    <row r="75" spans="1:12" x14ac:dyDescent="0.25">
      <c r="A75" s="4" t="s">
        <v>11745</v>
      </c>
      <c r="B75" s="2" t="s">
        <v>11746</v>
      </c>
      <c r="C75" s="3">
        <v>1</v>
      </c>
      <c r="D75" s="5">
        <v>79.5</v>
      </c>
      <c r="E75" s="3" t="s">
        <v>11747</v>
      </c>
      <c r="F75" s="2" t="s">
        <v>74</v>
      </c>
      <c r="G75" s="6"/>
      <c r="H75" s="2" t="s">
        <v>206</v>
      </c>
      <c r="I75" s="2" t="s">
        <v>207</v>
      </c>
      <c r="J75" s="2" t="s">
        <v>19</v>
      </c>
      <c r="K75" s="2" t="s">
        <v>160</v>
      </c>
      <c r="L75" s="7" t="str">
        <f>HYPERLINK("http://slimages.macys.com/is/image/MCY/13583755 ")</f>
        <v xml:space="preserve">http://slimages.macys.com/is/image/MCY/13583755 </v>
      </c>
    </row>
    <row r="76" spans="1:12" ht="24.75" x14ac:dyDescent="0.25">
      <c r="A76" s="4" t="s">
        <v>11748</v>
      </c>
      <c r="B76" s="2" t="s">
        <v>334</v>
      </c>
      <c r="C76" s="3">
        <v>1</v>
      </c>
      <c r="D76" s="5">
        <v>79.5</v>
      </c>
      <c r="E76" s="3" t="s">
        <v>335</v>
      </c>
      <c r="F76" s="2" t="s">
        <v>64</v>
      </c>
      <c r="G76" s="6" t="s">
        <v>363</v>
      </c>
      <c r="H76" s="2" t="s">
        <v>206</v>
      </c>
      <c r="I76" s="2" t="s">
        <v>337</v>
      </c>
      <c r="J76" s="2" t="s">
        <v>19</v>
      </c>
      <c r="K76" s="2" t="s">
        <v>338</v>
      </c>
      <c r="L76" s="7" t="str">
        <f>HYPERLINK("http://slimages.macys.com/is/image/MCY/12231410 ")</f>
        <v xml:space="preserve">http://slimages.macys.com/is/image/MCY/12231410 </v>
      </c>
    </row>
    <row r="77" spans="1:12" ht="24.75" x14ac:dyDescent="0.25">
      <c r="A77" s="4" t="s">
        <v>3380</v>
      </c>
      <c r="B77" s="2" t="s">
        <v>340</v>
      </c>
      <c r="C77" s="3">
        <v>1</v>
      </c>
      <c r="D77" s="5">
        <v>44.63</v>
      </c>
      <c r="E77" s="3" t="s">
        <v>341</v>
      </c>
      <c r="F77" s="2" t="s">
        <v>15</v>
      </c>
      <c r="G77" s="6" t="s">
        <v>234</v>
      </c>
      <c r="H77" s="2" t="s">
        <v>194</v>
      </c>
      <c r="I77" s="2" t="s">
        <v>195</v>
      </c>
      <c r="J77" s="2" t="s">
        <v>19</v>
      </c>
      <c r="K77" s="2" t="s">
        <v>201</v>
      </c>
      <c r="L77" s="7" t="str">
        <f>HYPERLINK("http://slimages.macys.com/is/image/MCY/12794062 ")</f>
        <v xml:space="preserve">http://slimages.macys.com/is/image/MCY/12794062 </v>
      </c>
    </row>
    <row r="78" spans="1:12" ht="24.75" x14ac:dyDescent="0.25">
      <c r="A78" s="4" t="s">
        <v>11749</v>
      </c>
      <c r="B78" s="2" t="s">
        <v>10479</v>
      </c>
      <c r="C78" s="3">
        <v>2</v>
      </c>
      <c r="D78" s="5">
        <v>48.38</v>
      </c>
      <c r="E78" s="3" t="s">
        <v>10480</v>
      </c>
      <c r="F78" s="2" t="s">
        <v>26</v>
      </c>
      <c r="G78" s="6" t="s">
        <v>348</v>
      </c>
      <c r="H78" s="2" t="s">
        <v>349</v>
      </c>
      <c r="I78" s="2" t="s">
        <v>408</v>
      </c>
      <c r="J78" s="2" t="s">
        <v>19</v>
      </c>
      <c r="K78" s="2" t="s">
        <v>409</v>
      </c>
      <c r="L78" s="7" t="str">
        <f>HYPERLINK("http://slimages.macys.com/is/image/MCY/13534883 ")</f>
        <v xml:space="preserve">http://slimages.macys.com/is/image/MCY/13534883 </v>
      </c>
    </row>
    <row r="79" spans="1:12" ht="24.75" x14ac:dyDescent="0.25">
      <c r="A79" s="4" t="s">
        <v>11750</v>
      </c>
      <c r="B79" s="2" t="s">
        <v>10479</v>
      </c>
      <c r="C79" s="3">
        <v>2</v>
      </c>
      <c r="D79" s="5">
        <v>48.38</v>
      </c>
      <c r="E79" s="3" t="s">
        <v>10480</v>
      </c>
      <c r="F79" s="2" t="s">
        <v>26</v>
      </c>
      <c r="G79" s="6" t="s">
        <v>2276</v>
      </c>
      <c r="H79" s="2" t="s">
        <v>349</v>
      </c>
      <c r="I79" s="2" t="s">
        <v>408</v>
      </c>
      <c r="J79" s="2" t="s">
        <v>19</v>
      </c>
      <c r="K79" s="2" t="s">
        <v>409</v>
      </c>
      <c r="L79" s="7" t="str">
        <f>HYPERLINK("http://slimages.macys.com/is/image/MCY/13534883 ")</f>
        <v xml:space="preserve">http://slimages.macys.com/is/image/MCY/13534883 </v>
      </c>
    </row>
    <row r="80" spans="1:12" ht="24.75" x14ac:dyDescent="0.25">
      <c r="A80" s="4" t="s">
        <v>11751</v>
      </c>
      <c r="B80" s="2" t="s">
        <v>2227</v>
      </c>
      <c r="C80" s="3">
        <v>1</v>
      </c>
      <c r="D80" s="5">
        <v>79.5</v>
      </c>
      <c r="E80" s="3">
        <v>100050172</v>
      </c>
      <c r="F80" s="2" t="s">
        <v>64</v>
      </c>
      <c r="G80" s="6" t="s">
        <v>141</v>
      </c>
      <c r="H80" s="2" t="s">
        <v>386</v>
      </c>
      <c r="I80" s="2" t="s">
        <v>391</v>
      </c>
      <c r="J80" s="2" t="s">
        <v>19</v>
      </c>
      <c r="K80" s="2" t="s">
        <v>392</v>
      </c>
      <c r="L80" s="7" t="str">
        <f>HYPERLINK("http://slimages.macys.com/is/image/MCY/12067831 ")</f>
        <v xml:space="preserve">http://slimages.macys.com/is/image/MCY/12067831 </v>
      </c>
    </row>
    <row r="81" spans="1:12" ht="24.75" x14ac:dyDescent="0.25">
      <c r="A81" s="4" t="s">
        <v>11752</v>
      </c>
      <c r="B81" s="2" t="s">
        <v>10479</v>
      </c>
      <c r="C81" s="3">
        <v>1</v>
      </c>
      <c r="D81" s="5">
        <v>48.38</v>
      </c>
      <c r="E81" s="3" t="s">
        <v>10480</v>
      </c>
      <c r="F81" s="2" t="s">
        <v>26</v>
      </c>
      <c r="G81" s="6" t="s">
        <v>746</v>
      </c>
      <c r="H81" s="2" t="s">
        <v>349</v>
      </c>
      <c r="I81" s="2" t="s">
        <v>408</v>
      </c>
      <c r="J81" s="2" t="s">
        <v>19</v>
      </c>
      <c r="K81" s="2" t="s">
        <v>409</v>
      </c>
      <c r="L81" s="7" t="str">
        <f>HYPERLINK("http://slimages.macys.com/is/image/MCY/13534883 ")</f>
        <v xml:space="preserve">http://slimages.macys.com/is/image/MCY/13534883 </v>
      </c>
    </row>
    <row r="82" spans="1:12" ht="24.75" x14ac:dyDescent="0.25">
      <c r="A82" s="4" t="s">
        <v>11753</v>
      </c>
      <c r="B82" s="2" t="s">
        <v>2227</v>
      </c>
      <c r="C82" s="3">
        <v>1</v>
      </c>
      <c r="D82" s="5">
        <v>79.5</v>
      </c>
      <c r="E82" s="3">
        <v>100050172</v>
      </c>
      <c r="F82" s="2" t="s">
        <v>64</v>
      </c>
      <c r="G82" s="6" t="s">
        <v>106</v>
      </c>
      <c r="H82" s="2" t="s">
        <v>386</v>
      </c>
      <c r="I82" s="2" t="s">
        <v>391</v>
      </c>
      <c r="J82" s="2" t="s">
        <v>19</v>
      </c>
      <c r="K82" s="2" t="s">
        <v>392</v>
      </c>
      <c r="L82" s="7" t="str">
        <f>HYPERLINK("http://slimages.macys.com/is/image/MCY/12067831 ")</f>
        <v xml:space="preserve">http://slimages.macys.com/is/image/MCY/12067831 </v>
      </c>
    </row>
    <row r="83" spans="1:12" ht="24.75" x14ac:dyDescent="0.25">
      <c r="A83" s="4" t="s">
        <v>4490</v>
      </c>
      <c r="B83" s="2" t="s">
        <v>4491</v>
      </c>
      <c r="C83" s="3">
        <v>1</v>
      </c>
      <c r="D83" s="5">
        <v>44.63</v>
      </c>
      <c r="E83" s="3" t="s">
        <v>4492</v>
      </c>
      <c r="F83" s="2" t="s">
        <v>252</v>
      </c>
      <c r="G83" s="6" t="s">
        <v>106</v>
      </c>
      <c r="H83" s="2" t="s">
        <v>213</v>
      </c>
      <c r="I83" s="2" t="s">
        <v>214</v>
      </c>
      <c r="J83" s="2" t="s">
        <v>19</v>
      </c>
      <c r="K83" s="2" t="s">
        <v>253</v>
      </c>
      <c r="L83" s="7" t="str">
        <f>HYPERLINK("http://slimages.macys.com/is/image/MCY/12773239 ")</f>
        <v xml:space="preserve">http://slimages.macys.com/is/image/MCY/12773239 </v>
      </c>
    </row>
    <row r="84" spans="1:12" ht="24.75" x14ac:dyDescent="0.25">
      <c r="A84" s="4" t="s">
        <v>11754</v>
      </c>
      <c r="B84" s="2" t="s">
        <v>2236</v>
      </c>
      <c r="C84" s="3">
        <v>1</v>
      </c>
      <c r="D84" s="5">
        <v>48.38</v>
      </c>
      <c r="E84" s="3" t="s">
        <v>2237</v>
      </c>
      <c r="F84" s="2" t="s">
        <v>53</v>
      </c>
      <c r="G84" s="6" t="s">
        <v>234</v>
      </c>
      <c r="H84" s="2" t="s">
        <v>246</v>
      </c>
      <c r="I84" s="2" t="s">
        <v>189</v>
      </c>
      <c r="J84" s="2" t="s">
        <v>19</v>
      </c>
      <c r="K84" s="2" t="s">
        <v>241</v>
      </c>
      <c r="L84" s="7" t="str">
        <f>HYPERLINK("http://slimages.macys.com/is/image/MCY/11938495 ")</f>
        <v xml:space="preserve">http://slimages.macys.com/is/image/MCY/11938495 </v>
      </c>
    </row>
    <row r="85" spans="1:12" x14ac:dyDescent="0.25">
      <c r="A85" s="4" t="s">
        <v>11755</v>
      </c>
      <c r="B85" s="2" t="s">
        <v>7864</v>
      </c>
      <c r="C85" s="3">
        <v>1</v>
      </c>
      <c r="D85" s="5">
        <v>69.5</v>
      </c>
      <c r="E85" s="3" t="s">
        <v>7865</v>
      </c>
      <c r="F85" s="2" t="s">
        <v>26</v>
      </c>
      <c r="G85" s="6"/>
      <c r="H85" s="2" t="s">
        <v>206</v>
      </c>
      <c r="I85" s="2" t="s">
        <v>207</v>
      </c>
      <c r="J85" s="2" t="s">
        <v>19</v>
      </c>
      <c r="K85" s="2" t="s">
        <v>107</v>
      </c>
      <c r="L85" s="7" t="str">
        <f>HYPERLINK("http://slimages.macys.com/is/image/MCY/13638673 ")</f>
        <v xml:space="preserve">http://slimages.macys.com/is/image/MCY/13638673 </v>
      </c>
    </row>
    <row r="86" spans="1:12" ht="24.75" x14ac:dyDescent="0.25">
      <c r="A86" s="4" t="s">
        <v>354</v>
      </c>
      <c r="B86" s="2" t="s">
        <v>355</v>
      </c>
      <c r="C86" s="3">
        <v>1</v>
      </c>
      <c r="D86" s="5">
        <v>48</v>
      </c>
      <c r="E86" s="3">
        <v>100053387</v>
      </c>
      <c r="F86" s="2" t="s">
        <v>111</v>
      </c>
      <c r="G86" s="6" t="s">
        <v>27</v>
      </c>
      <c r="H86" s="2" t="s">
        <v>228</v>
      </c>
      <c r="I86" s="2" t="s">
        <v>229</v>
      </c>
      <c r="J86" s="2" t="s">
        <v>19</v>
      </c>
      <c r="K86" s="2" t="s">
        <v>338</v>
      </c>
      <c r="L86" s="7" t="str">
        <f>HYPERLINK("http://slimages.macys.com/is/image/MCY/13829477 ")</f>
        <v xml:space="preserve">http://slimages.macys.com/is/image/MCY/13829477 </v>
      </c>
    </row>
    <row r="87" spans="1:12" ht="24.75" x14ac:dyDescent="0.25">
      <c r="A87" s="4" t="s">
        <v>11756</v>
      </c>
      <c r="B87" s="2" t="s">
        <v>11757</v>
      </c>
      <c r="C87" s="3">
        <v>2</v>
      </c>
      <c r="D87" s="5">
        <v>44.63</v>
      </c>
      <c r="E87" s="3" t="s">
        <v>11758</v>
      </c>
      <c r="F87" s="2" t="s">
        <v>15</v>
      </c>
      <c r="G87" s="6" t="s">
        <v>234</v>
      </c>
      <c r="H87" s="2" t="s">
        <v>284</v>
      </c>
      <c r="I87" s="2" t="s">
        <v>285</v>
      </c>
      <c r="J87" s="2" t="s">
        <v>19</v>
      </c>
      <c r="K87" s="2" t="s">
        <v>75</v>
      </c>
      <c r="L87" s="7" t="str">
        <f>HYPERLINK("http://slimages.macys.com/is/image/MCY/12717430 ")</f>
        <v xml:space="preserve">http://slimages.macys.com/is/image/MCY/12717430 </v>
      </c>
    </row>
    <row r="88" spans="1:12" ht="24.75" x14ac:dyDescent="0.25">
      <c r="A88" s="4" t="s">
        <v>11759</v>
      </c>
      <c r="B88" s="2" t="s">
        <v>614</v>
      </c>
      <c r="C88" s="3">
        <v>1</v>
      </c>
      <c r="D88" s="5">
        <v>48.38</v>
      </c>
      <c r="E88" s="3" t="s">
        <v>11760</v>
      </c>
      <c r="F88" s="2" t="s">
        <v>26</v>
      </c>
      <c r="G88" s="6"/>
      <c r="H88" s="2" t="s">
        <v>349</v>
      </c>
      <c r="I88" s="2" t="s">
        <v>408</v>
      </c>
      <c r="J88" s="2" t="s">
        <v>19</v>
      </c>
      <c r="K88" s="2" t="s">
        <v>409</v>
      </c>
      <c r="L88" s="7" t="str">
        <f>HYPERLINK("http://slimages.macys.com/is/image/MCY/13053403 ")</f>
        <v xml:space="preserve">http://slimages.macys.com/is/image/MCY/13053403 </v>
      </c>
    </row>
    <row r="89" spans="1:12" ht="24.75" x14ac:dyDescent="0.25">
      <c r="A89" s="4" t="s">
        <v>11761</v>
      </c>
      <c r="B89" s="2" t="s">
        <v>10491</v>
      </c>
      <c r="C89" s="3">
        <v>1</v>
      </c>
      <c r="D89" s="5">
        <v>55</v>
      </c>
      <c r="E89" s="3" t="s">
        <v>10492</v>
      </c>
      <c r="F89" s="2" t="s">
        <v>887</v>
      </c>
      <c r="G89" s="6"/>
      <c r="H89" s="2" t="s">
        <v>716</v>
      </c>
      <c r="I89" s="2" t="s">
        <v>717</v>
      </c>
      <c r="J89" s="2" t="s">
        <v>19</v>
      </c>
      <c r="K89" s="2" t="s">
        <v>648</v>
      </c>
      <c r="L89" s="7" t="str">
        <f>HYPERLINK("http://slimages.macys.com/is/image/MCY/11536348 ")</f>
        <v xml:space="preserve">http://slimages.macys.com/is/image/MCY/11536348 </v>
      </c>
    </row>
    <row r="90" spans="1:12" ht="24.75" x14ac:dyDescent="0.25">
      <c r="A90" s="4" t="s">
        <v>11762</v>
      </c>
      <c r="B90" s="2" t="s">
        <v>10491</v>
      </c>
      <c r="C90" s="3">
        <v>1</v>
      </c>
      <c r="D90" s="5">
        <v>55</v>
      </c>
      <c r="E90" s="3" t="s">
        <v>10492</v>
      </c>
      <c r="F90" s="2" t="s">
        <v>74</v>
      </c>
      <c r="G90" s="6"/>
      <c r="H90" s="2" t="s">
        <v>716</v>
      </c>
      <c r="I90" s="2" t="s">
        <v>717</v>
      </c>
      <c r="J90" s="2" t="s">
        <v>19</v>
      </c>
      <c r="K90" s="2" t="s">
        <v>648</v>
      </c>
      <c r="L90" s="7" t="str">
        <f>HYPERLINK("http://slimages.macys.com/is/image/MCY/11536348 ")</f>
        <v xml:space="preserve">http://slimages.macys.com/is/image/MCY/11536348 </v>
      </c>
    </row>
    <row r="91" spans="1:12" ht="24.75" x14ac:dyDescent="0.25">
      <c r="A91" s="4" t="s">
        <v>11763</v>
      </c>
      <c r="B91" s="2" t="s">
        <v>10495</v>
      </c>
      <c r="C91" s="3">
        <v>1</v>
      </c>
      <c r="D91" s="5">
        <v>48.38</v>
      </c>
      <c r="E91" s="3" t="s">
        <v>10496</v>
      </c>
      <c r="F91" s="2" t="s">
        <v>413</v>
      </c>
      <c r="G91" s="6" t="s">
        <v>156</v>
      </c>
      <c r="H91" s="2" t="s">
        <v>246</v>
      </c>
      <c r="I91" s="2" t="s">
        <v>189</v>
      </c>
      <c r="J91" s="2" t="s">
        <v>19</v>
      </c>
      <c r="K91" s="2" t="s">
        <v>263</v>
      </c>
      <c r="L91" s="7" t="str">
        <f>HYPERLINK("http://slimages.macys.com/is/image/MCY/11808373 ")</f>
        <v xml:space="preserve">http://slimages.macys.com/is/image/MCY/11808373 </v>
      </c>
    </row>
    <row r="92" spans="1:12" ht="24.75" x14ac:dyDescent="0.25">
      <c r="A92" s="4" t="s">
        <v>11764</v>
      </c>
      <c r="B92" s="2" t="s">
        <v>10495</v>
      </c>
      <c r="C92" s="3">
        <v>1</v>
      </c>
      <c r="D92" s="5">
        <v>48.38</v>
      </c>
      <c r="E92" s="3" t="s">
        <v>10496</v>
      </c>
      <c r="F92" s="2" t="s">
        <v>413</v>
      </c>
      <c r="G92" s="6" t="s">
        <v>154</v>
      </c>
      <c r="H92" s="2" t="s">
        <v>246</v>
      </c>
      <c r="I92" s="2" t="s">
        <v>189</v>
      </c>
      <c r="J92" s="2" t="s">
        <v>19</v>
      </c>
      <c r="K92" s="2" t="s">
        <v>263</v>
      </c>
      <c r="L92" s="7" t="str">
        <f>HYPERLINK("http://slimages.macys.com/is/image/MCY/11808373 ")</f>
        <v xml:space="preserve">http://slimages.macys.com/is/image/MCY/11808373 </v>
      </c>
    </row>
    <row r="93" spans="1:12" ht="24.75" x14ac:dyDescent="0.25">
      <c r="A93" s="4" t="s">
        <v>11765</v>
      </c>
      <c r="B93" s="2" t="s">
        <v>11766</v>
      </c>
      <c r="C93" s="3">
        <v>3</v>
      </c>
      <c r="D93" s="5">
        <v>52.13</v>
      </c>
      <c r="E93" s="3" t="s">
        <v>11767</v>
      </c>
      <c r="F93" s="2" t="s">
        <v>74</v>
      </c>
      <c r="G93" s="6" t="s">
        <v>154</v>
      </c>
      <c r="H93" s="2" t="s">
        <v>284</v>
      </c>
      <c r="I93" s="2" t="s">
        <v>285</v>
      </c>
      <c r="J93" s="2" t="s">
        <v>19</v>
      </c>
      <c r="K93" s="2" t="s">
        <v>160</v>
      </c>
      <c r="L93" s="7" t="str">
        <f>HYPERLINK("http://slimages.macys.com/is/image/MCY/10384075 ")</f>
        <v xml:space="preserve">http://slimages.macys.com/is/image/MCY/10384075 </v>
      </c>
    </row>
    <row r="94" spans="1:12" ht="24.75" x14ac:dyDescent="0.25">
      <c r="A94" s="4" t="s">
        <v>11768</v>
      </c>
      <c r="B94" s="2" t="s">
        <v>11766</v>
      </c>
      <c r="C94" s="3">
        <v>2</v>
      </c>
      <c r="D94" s="5">
        <v>52.13</v>
      </c>
      <c r="E94" s="3" t="s">
        <v>11767</v>
      </c>
      <c r="F94" s="2" t="s">
        <v>74</v>
      </c>
      <c r="G94" s="6" t="s">
        <v>234</v>
      </c>
      <c r="H94" s="2" t="s">
        <v>284</v>
      </c>
      <c r="I94" s="2" t="s">
        <v>285</v>
      </c>
      <c r="J94" s="2" t="s">
        <v>19</v>
      </c>
      <c r="K94" s="2" t="s">
        <v>160</v>
      </c>
      <c r="L94" s="7" t="str">
        <f>HYPERLINK("http://slimages.macys.com/is/image/MCY/10384075 ")</f>
        <v xml:space="preserve">http://slimages.macys.com/is/image/MCY/10384075 </v>
      </c>
    </row>
    <row r="95" spans="1:12" ht="36.75" x14ac:dyDescent="0.25">
      <c r="A95" s="4" t="s">
        <v>11769</v>
      </c>
      <c r="B95" s="2" t="s">
        <v>11770</v>
      </c>
      <c r="C95" s="3">
        <v>1</v>
      </c>
      <c r="D95" s="5">
        <v>44.63</v>
      </c>
      <c r="E95" s="3" t="s">
        <v>11771</v>
      </c>
      <c r="F95" s="2" t="s">
        <v>38</v>
      </c>
      <c r="G95" s="6" t="s">
        <v>499</v>
      </c>
      <c r="H95" s="2" t="s">
        <v>349</v>
      </c>
      <c r="I95" s="2" t="s">
        <v>408</v>
      </c>
      <c r="J95" s="2" t="s">
        <v>19</v>
      </c>
      <c r="K95" s="2" t="s">
        <v>500</v>
      </c>
      <c r="L95" s="7" t="str">
        <f>HYPERLINK("http://slimages.macys.com/is/image/MCY/9468308 ")</f>
        <v xml:space="preserve">http://slimages.macys.com/is/image/MCY/9468308 </v>
      </c>
    </row>
    <row r="96" spans="1:12" ht="36.75" x14ac:dyDescent="0.25">
      <c r="A96" s="4" t="s">
        <v>3383</v>
      </c>
      <c r="B96" s="2" t="s">
        <v>2248</v>
      </c>
      <c r="C96" s="3">
        <v>1</v>
      </c>
      <c r="D96" s="5">
        <v>43.5</v>
      </c>
      <c r="E96" s="3" t="s">
        <v>3384</v>
      </c>
      <c r="F96" s="2" t="s">
        <v>64</v>
      </c>
      <c r="G96" s="6" t="s">
        <v>3385</v>
      </c>
      <c r="H96" s="2" t="s">
        <v>349</v>
      </c>
      <c r="I96" s="2" t="s">
        <v>408</v>
      </c>
      <c r="J96" s="2" t="s">
        <v>19</v>
      </c>
      <c r="K96" s="2" t="s">
        <v>500</v>
      </c>
      <c r="L96" s="7" t="str">
        <f>HYPERLINK("http://slimages.macys.com/is/image/MCY/9468308 ")</f>
        <v xml:space="preserve">http://slimages.macys.com/is/image/MCY/9468308 </v>
      </c>
    </row>
    <row r="97" spans="1:12" ht="24.75" x14ac:dyDescent="0.25">
      <c r="A97" s="4" t="s">
        <v>11772</v>
      </c>
      <c r="B97" s="2" t="s">
        <v>5423</v>
      </c>
      <c r="C97" s="3">
        <v>1</v>
      </c>
      <c r="D97" s="5">
        <v>69.5</v>
      </c>
      <c r="E97" s="3" t="s">
        <v>5424</v>
      </c>
      <c r="F97" s="2" t="s">
        <v>464</v>
      </c>
      <c r="G97" s="6" t="s">
        <v>336</v>
      </c>
      <c r="H97" s="2" t="s">
        <v>127</v>
      </c>
      <c r="I97" s="2" t="s">
        <v>128</v>
      </c>
      <c r="J97" s="2" t="s">
        <v>19</v>
      </c>
      <c r="K97" s="2" t="s">
        <v>361</v>
      </c>
      <c r="L97" s="7" t="str">
        <f>HYPERLINK("http://slimages.macys.com/is/image/MCY/9777982 ")</f>
        <v xml:space="preserve">http://slimages.macys.com/is/image/MCY/9777982 </v>
      </c>
    </row>
    <row r="98" spans="1:12" ht="24.75" x14ac:dyDescent="0.25">
      <c r="A98" s="4" t="s">
        <v>5422</v>
      </c>
      <c r="B98" s="2" t="s">
        <v>5423</v>
      </c>
      <c r="C98" s="3">
        <v>1</v>
      </c>
      <c r="D98" s="5">
        <v>69.5</v>
      </c>
      <c r="E98" s="3" t="s">
        <v>5424</v>
      </c>
      <c r="F98" s="2" t="s">
        <v>464</v>
      </c>
      <c r="G98" s="6" t="s">
        <v>363</v>
      </c>
      <c r="H98" s="2" t="s">
        <v>127</v>
      </c>
      <c r="I98" s="2" t="s">
        <v>128</v>
      </c>
      <c r="J98" s="2" t="s">
        <v>19</v>
      </c>
      <c r="K98" s="2" t="s">
        <v>361</v>
      </c>
      <c r="L98" s="7" t="str">
        <f>HYPERLINK("http://slimages.macys.com/is/image/MCY/9777982 ")</f>
        <v xml:space="preserve">http://slimages.macys.com/is/image/MCY/9777982 </v>
      </c>
    </row>
    <row r="99" spans="1:12" ht="24.75" x14ac:dyDescent="0.25">
      <c r="A99" s="4" t="s">
        <v>11773</v>
      </c>
      <c r="B99" s="2" t="s">
        <v>368</v>
      </c>
      <c r="C99" s="3">
        <v>1</v>
      </c>
      <c r="D99" s="5">
        <v>52.13</v>
      </c>
      <c r="E99" s="3" t="s">
        <v>369</v>
      </c>
      <c r="F99" s="2" t="s">
        <v>26</v>
      </c>
      <c r="G99" s="6" t="s">
        <v>154</v>
      </c>
      <c r="H99" s="2" t="s">
        <v>246</v>
      </c>
      <c r="I99" s="2" t="s">
        <v>189</v>
      </c>
      <c r="J99" s="2" t="s">
        <v>19</v>
      </c>
      <c r="K99" s="2" t="s">
        <v>263</v>
      </c>
      <c r="L99" s="7" t="str">
        <f>HYPERLINK("http://slimages.macys.com/is/image/MCY/11471005 ")</f>
        <v xml:space="preserve">http://slimages.macys.com/is/image/MCY/11471005 </v>
      </c>
    </row>
    <row r="100" spans="1:12" ht="24.75" x14ac:dyDescent="0.25">
      <c r="A100" s="4" t="s">
        <v>11774</v>
      </c>
      <c r="B100" s="2" t="s">
        <v>11775</v>
      </c>
      <c r="C100" s="3">
        <v>1</v>
      </c>
      <c r="D100" s="5">
        <v>52.13</v>
      </c>
      <c r="E100" s="3" t="s">
        <v>11776</v>
      </c>
      <c r="F100" s="2" t="s">
        <v>26</v>
      </c>
      <c r="G100" s="6" t="s">
        <v>245</v>
      </c>
      <c r="H100" s="2" t="s">
        <v>246</v>
      </c>
      <c r="I100" s="2" t="s">
        <v>189</v>
      </c>
      <c r="J100" s="2" t="s">
        <v>19</v>
      </c>
      <c r="K100" s="2" t="s">
        <v>2180</v>
      </c>
      <c r="L100" s="7" t="str">
        <f>HYPERLINK("http://slimages.macys.com/is/image/MCY/11940193 ")</f>
        <v xml:space="preserve">http://slimages.macys.com/is/image/MCY/11940193 </v>
      </c>
    </row>
    <row r="101" spans="1:12" ht="24.75" x14ac:dyDescent="0.25">
      <c r="A101" s="4" t="s">
        <v>11777</v>
      </c>
      <c r="B101" s="2" t="s">
        <v>9404</v>
      </c>
      <c r="C101" s="3">
        <v>1</v>
      </c>
      <c r="D101" s="5">
        <v>44.63</v>
      </c>
      <c r="E101" s="3" t="s">
        <v>11778</v>
      </c>
      <c r="F101" s="2" t="s">
        <v>26</v>
      </c>
      <c r="G101" s="6" t="s">
        <v>2276</v>
      </c>
      <c r="H101" s="2" t="s">
        <v>349</v>
      </c>
      <c r="I101" s="2" t="s">
        <v>408</v>
      </c>
      <c r="J101" s="2" t="s">
        <v>19</v>
      </c>
      <c r="K101" s="2" t="s">
        <v>409</v>
      </c>
      <c r="L101" s="7" t="str">
        <f>HYPERLINK("http://slimages.macys.com/is/image/MCY/13534758 ")</f>
        <v xml:space="preserve">http://slimages.macys.com/is/image/MCY/13534758 </v>
      </c>
    </row>
    <row r="102" spans="1:12" ht="24.75" x14ac:dyDescent="0.25">
      <c r="A102" s="4" t="s">
        <v>11779</v>
      </c>
      <c r="B102" s="2" t="s">
        <v>9404</v>
      </c>
      <c r="C102" s="3">
        <v>1</v>
      </c>
      <c r="D102" s="5">
        <v>44.63</v>
      </c>
      <c r="E102" s="3" t="s">
        <v>11778</v>
      </c>
      <c r="F102" s="2" t="s">
        <v>26</v>
      </c>
      <c r="G102" s="6" t="s">
        <v>348</v>
      </c>
      <c r="H102" s="2" t="s">
        <v>349</v>
      </c>
      <c r="I102" s="2" t="s">
        <v>408</v>
      </c>
      <c r="J102" s="2" t="s">
        <v>19</v>
      </c>
      <c r="K102" s="2" t="s">
        <v>409</v>
      </c>
      <c r="L102" s="7" t="str">
        <f>HYPERLINK("http://slimages.macys.com/is/image/MCY/13534758 ")</f>
        <v xml:space="preserve">http://slimages.macys.com/is/image/MCY/13534758 </v>
      </c>
    </row>
    <row r="103" spans="1:12" ht="24.75" x14ac:dyDescent="0.25">
      <c r="A103" s="4" t="s">
        <v>11780</v>
      </c>
      <c r="B103" s="2" t="s">
        <v>9334</v>
      </c>
      <c r="C103" s="3">
        <v>1</v>
      </c>
      <c r="D103" s="5">
        <v>79.5</v>
      </c>
      <c r="E103" s="3" t="s">
        <v>11781</v>
      </c>
      <c r="F103" s="2" t="s">
        <v>64</v>
      </c>
      <c r="G103" s="6" t="s">
        <v>39</v>
      </c>
      <c r="H103" s="2" t="s">
        <v>386</v>
      </c>
      <c r="I103" s="2" t="s">
        <v>337</v>
      </c>
      <c r="J103" s="2" t="s">
        <v>19</v>
      </c>
      <c r="K103" s="2" t="s">
        <v>338</v>
      </c>
      <c r="L103" s="7" t="str">
        <f>HYPERLINK("http://slimages.macys.com/is/image/MCY/8693729 ")</f>
        <v xml:space="preserve">http://slimages.macys.com/is/image/MCY/8693729 </v>
      </c>
    </row>
    <row r="104" spans="1:12" ht="24.75" x14ac:dyDescent="0.25">
      <c r="A104" s="4" t="s">
        <v>11782</v>
      </c>
      <c r="B104" s="2" t="s">
        <v>11783</v>
      </c>
      <c r="C104" s="3">
        <v>1</v>
      </c>
      <c r="D104" s="5">
        <v>67.13</v>
      </c>
      <c r="E104" s="3" t="s">
        <v>11784</v>
      </c>
      <c r="F104" s="2" t="s">
        <v>64</v>
      </c>
      <c r="G104" s="6" t="s">
        <v>154</v>
      </c>
      <c r="H104" s="2" t="s">
        <v>246</v>
      </c>
      <c r="I104" s="2" t="s">
        <v>189</v>
      </c>
      <c r="J104" s="2" t="s">
        <v>19</v>
      </c>
      <c r="K104" s="2" t="s">
        <v>160</v>
      </c>
      <c r="L104" s="7" t="str">
        <f>HYPERLINK("http://slimages.macys.com/is/image/MCY/11516454 ")</f>
        <v xml:space="preserve">http://slimages.macys.com/is/image/MCY/11516454 </v>
      </c>
    </row>
    <row r="105" spans="1:12" ht="24.75" x14ac:dyDescent="0.25">
      <c r="A105" s="4" t="s">
        <v>11785</v>
      </c>
      <c r="B105" s="2" t="s">
        <v>5429</v>
      </c>
      <c r="C105" s="3">
        <v>1</v>
      </c>
      <c r="D105" s="5">
        <v>79.5</v>
      </c>
      <c r="E105" s="3" t="s">
        <v>5430</v>
      </c>
      <c r="F105" s="2" t="s">
        <v>464</v>
      </c>
      <c r="G105" s="6" t="s">
        <v>802</v>
      </c>
      <c r="H105" s="2" t="s">
        <v>127</v>
      </c>
      <c r="I105" s="2" t="s">
        <v>128</v>
      </c>
      <c r="J105" s="2" t="s">
        <v>19</v>
      </c>
      <c r="K105" s="2" t="s">
        <v>34</v>
      </c>
      <c r="L105" s="7" t="str">
        <f>HYPERLINK("http://slimages.macys.com/is/image/MCY/14608028 ")</f>
        <v xml:space="preserve">http://slimages.macys.com/is/image/MCY/14608028 </v>
      </c>
    </row>
    <row r="106" spans="1:12" ht="24.75" x14ac:dyDescent="0.25">
      <c r="A106" s="4" t="s">
        <v>11786</v>
      </c>
      <c r="B106" s="2" t="s">
        <v>2252</v>
      </c>
      <c r="C106" s="3">
        <v>1</v>
      </c>
      <c r="D106" s="5">
        <v>48</v>
      </c>
      <c r="E106" s="3">
        <v>100050014</v>
      </c>
      <c r="F106" s="2" t="s">
        <v>111</v>
      </c>
      <c r="G106" s="6" t="s">
        <v>16</v>
      </c>
      <c r="H106" s="2" t="s">
        <v>228</v>
      </c>
      <c r="I106" s="2" t="s">
        <v>229</v>
      </c>
      <c r="J106" s="2" t="s">
        <v>19</v>
      </c>
      <c r="K106" s="2" t="s">
        <v>387</v>
      </c>
      <c r="L106" s="7" t="str">
        <f>HYPERLINK("http://slimages.macys.com/is/image/MCY/11804490 ")</f>
        <v xml:space="preserve">http://slimages.macys.com/is/image/MCY/11804490 </v>
      </c>
    </row>
    <row r="107" spans="1:12" ht="24.75" x14ac:dyDescent="0.25">
      <c r="A107" s="4" t="s">
        <v>11787</v>
      </c>
      <c r="B107" s="2" t="s">
        <v>5423</v>
      </c>
      <c r="C107" s="3">
        <v>1</v>
      </c>
      <c r="D107" s="5">
        <v>69.5</v>
      </c>
      <c r="E107" s="3" t="s">
        <v>5424</v>
      </c>
      <c r="F107" s="2" t="s">
        <v>164</v>
      </c>
      <c r="G107" s="6" t="s">
        <v>363</v>
      </c>
      <c r="H107" s="2" t="s">
        <v>127</v>
      </c>
      <c r="I107" s="2" t="s">
        <v>128</v>
      </c>
      <c r="J107" s="2" t="s">
        <v>19</v>
      </c>
      <c r="K107" s="2" t="s">
        <v>361</v>
      </c>
      <c r="L107" s="7" t="str">
        <f>HYPERLINK("http://slimages.macys.com/is/image/MCY/9784382 ")</f>
        <v xml:space="preserve">http://slimages.macys.com/is/image/MCY/9784382 </v>
      </c>
    </row>
    <row r="108" spans="1:12" ht="24.75" x14ac:dyDescent="0.25">
      <c r="A108" s="4" t="s">
        <v>11788</v>
      </c>
      <c r="B108" s="2" t="s">
        <v>11789</v>
      </c>
      <c r="C108" s="3">
        <v>1</v>
      </c>
      <c r="D108" s="5">
        <v>52.13</v>
      </c>
      <c r="E108" s="3" t="s">
        <v>11790</v>
      </c>
      <c r="F108" s="2" t="s">
        <v>15</v>
      </c>
      <c r="G108" s="6" t="s">
        <v>200</v>
      </c>
      <c r="H108" s="2" t="s">
        <v>284</v>
      </c>
      <c r="I108" s="2" t="s">
        <v>285</v>
      </c>
      <c r="J108" s="2" t="s">
        <v>19</v>
      </c>
      <c r="K108" s="2" t="s">
        <v>160</v>
      </c>
      <c r="L108" s="7" t="str">
        <f>HYPERLINK("http://slimages.macys.com/is/image/MCY/13980606 ")</f>
        <v xml:space="preserve">http://slimages.macys.com/is/image/MCY/13980606 </v>
      </c>
    </row>
    <row r="109" spans="1:12" ht="24.75" x14ac:dyDescent="0.25">
      <c r="A109" s="4" t="s">
        <v>11791</v>
      </c>
      <c r="B109" s="2" t="s">
        <v>11792</v>
      </c>
      <c r="C109" s="3">
        <v>5</v>
      </c>
      <c r="D109" s="5">
        <v>69.5</v>
      </c>
      <c r="E109" s="3" t="s">
        <v>11793</v>
      </c>
      <c r="F109" s="2" t="s">
        <v>252</v>
      </c>
      <c r="G109" s="6" t="s">
        <v>2208</v>
      </c>
      <c r="H109" s="2" t="s">
        <v>386</v>
      </c>
      <c r="I109" s="2" t="s">
        <v>207</v>
      </c>
      <c r="J109" s="2" t="s">
        <v>19</v>
      </c>
      <c r="K109" s="2" t="s">
        <v>929</v>
      </c>
      <c r="L109" s="7" t="str">
        <f>HYPERLINK("http://slimages.macys.com/is/image/MCY/3962661 ")</f>
        <v xml:space="preserve">http://slimages.macys.com/is/image/MCY/3962661 </v>
      </c>
    </row>
    <row r="110" spans="1:12" ht="24.75" x14ac:dyDescent="0.25">
      <c r="A110" s="4" t="s">
        <v>5435</v>
      </c>
      <c r="B110" s="2" t="s">
        <v>5433</v>
      </c>
      <c r="C110" s="3">
        <v>1</v>
      </c>
      <c r="D110" s="5">
        <v>59.5</v>
      </c>
      <c r="E110" s="3" t="s">
        <v>5436</v>
      </c>
      <c r="F110" s="2" t="s">
        <v>74</v>
      </c>
      <c r="G110" s="6" t="s">
        <v>205</v>
      </c>
      <c r="H110" s="2" t="s">
        <v>127</v>
      </c>
      <c r="I110" s="2" t="s">
        <v>128</v>
      </c>
      <c r="J110" s="2"/>
      <c r="K110" s="2"/>
      <c r="L110" s="7" t="str">
        <f>HYPERLINK("http://slimages.macys.com/is/image/MCY/10000265 ")</f>
        <v xml:space="preserve">http://slimages.macys.com/is/image/MCY/10000265 </v>
      </c>
    </row>
    <row r="111" spans="1:12" ht="36.75" x14ac:dyDescent="0.25">
      <c r="A111" s="4" t="s">
        <v>11794</v>
      </c>
      <c r="B111" s="2" t="s">
        <v>374</v>
      </c>
      <c r="C111" s="3">
        <v>1</v>
      </c>
      <c r="D111" s="5">
        <v>52.13</v>
      </c>
      <c r="E111" s="3" t="s">
        <v>394</v>
      </c>
      <c r="F111" s="2" t="s">
        <v>74</v>
      </c>
      <c r="G111" s="6" t="s">
        <v>336</v>
      </c>
      <c r="H111" s="2" t="s">
        <v>188</v>
      </c>
      <c r="I111" s="2" t="s">
        <v>189</v>
      </c>
      <c r="J111" s="2" t="s">
        <v>19</v>
      </c>
      <c r="K111" s="2" t="s">
        <v>395</v>
      </c>
      <c r="L111" s="7" t="str">
        <f>HYPERLINK("http://slimages.macys.com/is/image/MCY/11626905 ")</f>
        <v xml:space="preserve">http://slimages.macys.com/is/image/MCY/11626905 </v>
      </c>
    </row>
    <row r="112" spans="1:12" ht="24.75" x14ac:dyDescent="0.25">
      <c r="A112" s="4" t="s">
        <v>11795</v>
      </c>
      <c r="B112" s="2" t="s">
        <v>4519</v>
      </c>
      <c r="C112" s="3">
        <v>1</v>
      </c>
      <c r="D112" s="5">
        <v>69.5</v>
      </c>
      <c r="E112" s="3" t="s">
        <v>10501</v>
      </c>
      <c r="F112" s="2" t="s">
        <v>74</v>
      </c>
      <c r="G112" s="6"/>
      <c r="H112" s="2" t="s">
        <v>127</v>
      </c>
      <c r="I112" s="2" t="s">
        <v>128</v>
      </c>
      <c r="J112" s="2" t="s">
        <v>19</v>
      </c>
      <c r="K112" s="2" t="s">
        <v>34</v>
      </c>
      <c r="L112" s="7" t="str">
        <f>HYPERLINK("http://slimages.macys.com/is/image/MCY/13786983 ")</f>
        <v xml:space="preserve">http://slimages.macys.com/is/image/MCY/13786983 </v>
      </c>
    </row>
    <row r="113" spans="1:12" ht="24.75" x14ac:dyDescent="0.25">
      <c r="A113" s="4" t="s">
        <v>414</v>
      </c>
      <c r="B113" s="2" t="s">
        <v>415</v>
      </c>
      <c r="C113" s="3">
        <v>1</v>
      </c>
      <c r="D113" s="5">
        <v>44.5</v>
      </c>
      <c r="E113" s="3" t="s">
        <v>416</v>
      </c>
      <c r="F113" s="2" t="s">
        <v>417</v>
      </c>
      <c r="G113" s="6" t="s">
        <v>418</v>
      </c>
      <c r="H113" s="2" t="s">
        <v>188</v>
      </c>
      <c r="I113" s="2" t="s">
        <v>214</v>
      </c>
      <c r="J113" s="2" t="s">
        <v>19</v>
      </c>
      <c r="K113" s="2" t="s">
        <v>253</v>
      </c>
      <c r="L113" s="7" t="str">
        <f>HYPERLINK("http://slimages.macys.com/is/image/MCY/9886576 ")</f>
        <v xml:space="preserve">http://slimages.macys.com/is/image/MCY/9886576 </v>
      </c>
    </row>
    <row r="114" spans="1:12" x14ac:dyDescent="0.25">
      <c r="A114" s="4" t="s">
        <v>7125</v>
      </c>
      <c r="B114" s="2" t="s">
        <v>7126</v>
      </c>
      <c r="C114" s="3">
        <v>1</v>
      </c>
      <c r="D114" s="5">
        <v>79.5</v>
      </c>
      <c r="E114" s="3">
        <v>100068167</v>
      </c>
      <c r="F114" s="2" t="s">
        <v>74</v>
      </c>
      <c r="G114" s="6" t="s">
        <v>106</v>
      </c>
      <c r="H114" s="2" t="s">
        <v>386</v>
      </c>
      <c r="I114" s="2" t="s">
        <v>207</v>
      </c>
      <c r="J114" s="2" t="s">
        <v>19</v>
      </c>
      <c r="K114" s="2" t="s">
        <v>353</v>
      </c>
      <c r="L114" s="7" t="str">
        <f>HYPERLINK("http://slimages.macys.com/is/image/MCY/13080526 ")</f>
        <v xml:space="preserve">http://slimages.macys.com/is/image/MCY/13080526 </v>
      </c>
    </row>
    <row r="115" spans="1:12" x14ac:dyDescent="0.25">
      <c r="A115" s="4" t="s">
        <v>11796</v>
      </c>
      <c r="B115" s="2" t="s">
        <v>2265</v>
      </c>
      <c r="C115" s="3">
        <v>1</v>
      </c>
      <c r="D115" s="5">
        <v>79.5</v>
      </c>
      <c r="E115" s="3">
        <v>100060510</v>
      </c>
      <c r="F115" s="2" t="s">
        <v>74</v>
      </c>
      <c r="G115" s="6" t="s">
        <v>27</v>
      </c>
      <c r="H115" s="2" t="s">
        <v>386</v>
      </c>
      <c r="I115" s="2" t="s">
        <v>207</v>
      </c>
      <c r="J115" s="2" t="s">
        <v>19</v>
      </c>
      <c r="K115" s="2" t="s">
        <v>353</v>
      </c>
      <c r="L115" s="7" t="str">
        <f>HYPERLINK("http://slimages.macys.com/is/image/MCY/12792713 ")</f>
        <v xml:space="preserve">http://slimages.macys.com/is/image/MCY/12792713 </v>
      </c>
    </row>
    <row r="116" spans="1:12" ht="24.75" x14ac:dyDescent="0.25">
      <c r="A116" s="4" t="s">
        <v>11797</v>
      </c>
      <c r="B116" s="2" t="s">
        <v>10510</v>
      </c>
      <c r="C116" s="3">
        <v>1</v>
      </c>
      <c r="D116" s="5">
        <v>44.63</v>
      </c>
      <c r="E116" s="3" t="s">
        <v>10511</v>
      </c>
      <c r="F116" s="2" t="s">
        <v>74</v>
      </c>
      <c r="G116" s="6" t="s">
        <v>348</v>
      </c>
      <c r="H116" s="2" t="s">
        <v>349</v>
      </c>
      <c r="I116" s="2" t="s">
        <v>408</v>
      </c>
      <c r="J116" s="2" t="s">
        <v>19</v>
      </c>
      <c r="K116" s="2" t="s">
        <v>1480</v>
      </c>
      <c r="L116" s="7" t="str">
        <f>HYPERLINK("http://slimages.macys.com/is/image/MCY/13535202 ")</f>
        <v xml:space="preserve">http://slimages.macys.com/is/image/MCY/13535202 </v>
      </c>
    </row>
    <row r="117" spans="1:12" ht="24.75" x14ac:dyDescent="0.25">
      <c r="A117" s="4" t="s">
        <v>11798</v>
      </c>
      <c r="B117" s="2" t="s">
        <v>5452</v>
      </c>
      <c r="C117" s="3">
        <v>1</v>
      </c>
      <c r="D117" s="5">
        <v>39.5</v>
      </c>
      <c r="E117" s="3">
        <v>100054428</v>
      </c>
      <c r="F117" s="2" t="s">
        <v>74</v>
      </c>
      <c r="G117" s="6" t="s">
        <v>156</v>
      </c>
      <c r="H117" s="2" t="s">
        <v>194</v>
      </c>
      <c r="I117" s="2" t="s">
        <v>503</v>
      </c>
      <c r="J117" s="2" t="s">
        <v>19</v>
      </c>
      <c r="K117" s="2" t="s">
        <v>5453</v>
      </c>
      <c r="L117" s="7" t="str">
        <f>HYPERLINK("http://slimages.macys.com/is/image/MCY/15299160 ")</f>
        <v xml:space="preserve">http://slimages.macys.com/is/image/MCY/15299160 </v>
      </c>
    </row>
    <row r="118" spans="1:12" ht="24.75" x14ac:dyDescent="0.25">
      <c r="A118" s="4" t="s">
        <v>11799</v>
      </c>
      <c r="B118" s="2" t="s">
        <v>11800</v>
      </c>
      <c r="C118" s="3">
        <v>1</v>
      </c>
      <c r="D118" s="5">
        <v>44.63</v>
      </c>
      <c r="E118" s="3" t="s">
        <v>11801</v>
      </c>
      <c r="F118" s="2" t="s">
        <v>820</v>
      </c>
      <c r="G118" s="6" t="s">
        <v>794</v>
      </c>
      <c r="H118" s="2" t="s">
        <v>632</v>
      </c>
      <c r="I118" s="2" t="s">
        <v>285</v>
      </c>
      <c r="J118" s="2" t="s">
        <v>19</v>
      </c>
      <c r="K118" s="2" t="s">
        <v>11802</v>
      </c>
      <c r="L118" s="7" t="str">
        <f>HYPERLINK("http://slimages.macys.com/is/image/MCY/10225979 ")</f>
        <v xml:space="preserve">http://slimages.macys.com/is/image/MCY/10225979 </v>
      </c>
    </row>
    <row r="119" spans="1:12" ht="24.75" x14ac:dyDescent="0.25">
      <c r="A119" s="4" t="s">
        <v>2267</v>
      </c>
      <c r="B119" s="2" t="s">
        <v>2268</v>
      </c>
      <c r="C119" s="3">
        <v>1</v>
      </c>
      <c r="D119" s="5">
        <v>44.63</v>
      </c>
      <c r="E119" s="3" t="s">
        <v>2269</v>
      </c>
      <c r="F119" s="2" t="s">
        <v>94</v>
      </c>
      <c r="G119" s="6" t="s">
        <v>348</v>
      </c>
      <c r="H119" s="2" t="s">
        <v>349</v>
      </c>
      <c r="I119" s="2" t="s">
        <v>285</v>
      </c>
      <c r="J119" s="2" t="s">
        <v>19</v>
      </c>
      <c r="K119" s="2" t="s">
        <v>160</v>
      </c>
      <c r="L119" s="7" t="str">
        <f>HYPERLINK("http://slimages.macys.com/is/image/MCY/13039993 ")</f>
        <v xml:space="preserve">http://slimages.macys.com/is/image/MCY/13039993 </v>
      </c>
    </row>
    <row r="120" spans="1:12" ht="24.75" x14ac:dyDescent="0.25">
      <c r="A120" s="4" t="s">
        <v>11803</v>
      </c>
      <c r="B120" s="2" t="s">
        <v>11804</v>
      </c>
      <c r="C120" s="3">
        <v>1</v>
      </c>
      <c r="D120" s="5">
        <v>52.13</v>
      </c>
      <c r="E120" s="3" t="s">
        <v>11805</v>
      </c>
      <c r="F120" s="2" t="s">
        <v>64</v>
      </c>
      <c r="G120" s="6" t="s">
        <v>154</v>
      </c>
      <c r="H120" s="2" t="s">
        <v>246</v>
      </c>
      <c r="I120" s="2" t="s">
        <v>189</v>
      </c>
      <c r="J120" s="2" t="s">
        <v>19</v>
      </c>
      <c r="K120" s="2" t="s">
        <v>220</v>
      </c>
      <c r="L120" s="7" t="str">
        <f>HYPERLINK("http://slimages.macys.com/is/image/MCY/12266883 ")</f>
        <v xml:space="preserve">http://slimages.macys.com/is/image/MCY/12266883 </v>
      </c>
    </row>
    <row r="121" spans="1:12" ht="24.75" x14ac:dyDescent="0.25">
      <c r="A121" s="4" t="s">
        <v>11806</v>
      </c>
      <c r="B121" s="2" t="s">
        <v>11807</v>
      </c>
      <c r="C121" s="3">
        <v>2</v>
      </c>
      <c r="D121" s="5">
        <v>48.38</v>
      </c>
      <c r="E121" s="3" t="s">
        <v>11808</v>
      </c>
      <c r="F121" s="2" t="s">
        <v>64</v>
      </c>
      <c r="G121" s="6" t="s">
        <v>499</v>
      </c>
      <c r="H121" s="2" t="s">
        <v>349</v>
      </c>
      <c r="I121" s="2" t="s">
        <v>408</v>
      </c>
      <c r="J121" s="2" t="s">
        <v>19</v>
      </c>
      <c r="K121" s="2" t="s">
        <v>409</v>
      </c>
      <c r="L121" s="7" t="str">
        <f>HYPERLINK("http://slimages.macys.com/is/image/MCY/14607313 ")</f>
        <v xml:space="preserve">http://slimages.macys.com/is/image/MCY/14607313 </v>
      </c>
    </row>
    <row r="122" spans="1:12" ht="24.75" x14ac:dyDescent="0.25">
      <c r="A122" s="4" t="s">
        <v>11809</v>
      </c>
      <c r="B122" s="2" t="s">
        <v>461</v>
      </c>
      <c r="C122" s="3">
        <v>1</v>
      </c>
      <c r="D122" s="5">
        <v>59.5</v>
      </c>
      <c r="E122" s="3" t="s">
        <v>462</v>
      </c>
      <c r="F122" s="2" t="s">
        <v>26</v>
      </c>
      <c r="G122" s="6"/>
      <c r="H122" s="2" t="s">
        <v>127</v>
      </c>
      <c r="I122" s="2" t="s">
        <v>128</v>
      </c>
      <c r="J122" s="2" t="s">
        <v>19</v>
      </c>
      <c r="K122" s="2" t="s">
        <v>160</v>
      </c>
      <c r="L122" s="7" t="str">
        <f>HYPERLINK("http://slimages.macys.com/is/image/MCY/13758855 ")</f>
        <v xml:space="preserve">http://slimages.macys.com/is/image/MCY/13758855 </v>
      </c>
    </row>
    <row r="123" spans="1:12" ht="24.75" x14ac:dyDescent="0.25">
      <c r="A123" s="4" t="s">
        <v>11810</v>
      </c>
      <c r="B123" s="2" t="s">
        <v>461</v>
      </c>
      <c r="C123" s="3">
        <v>1</v>
      </c>
      <c r="D123" s="5">
        <v>59.5</v>
      </c>
      <c r="E123" s="3" t="s">
        <v>462</v>
      </c>
      <c r="F123" s="2" t="s">
        <v>26</v>
      </c>
      <c r="G123" s="6"/>
      <c r="H123" s="2" t="s">
        <v>127</v>
      </c>
      <c r="I123" s="2" t="s">
        <v>128</v>
      </c>
      <c r="J123" s="2" t="s">
        <v>19</v>
      </c>
      <c r="K123" s="2" t="s">
        <v>160</v>
      </c>
      <c r="L123" s="7" t="str">
        <f>HYPERLINK("http://slimages.macys.com/is/image/MCY/13758855 ")</f>
        <v xml:space="preserve">http://slimages.macys.com/is/image/MCY/13758855 </v>
      </c>
    </row>
    <row r="124" spans="1:12" ht="24.75" x14ac:dyDescent="0.25">
      <c r="A124" s="4" t="s">
        <v>11811</v>
      </c>
      <c r="B124" s="2" t="s">
        <v>9989</v>
      </c>
      <c r="C124" s="3">
        <v>1</v>
      </c>
      <c r="D124" s="5">
        <v>40.880000000000003</v>
      </c>
      <c r="E124" s="3" t="s">
        <v>9990</v>
      </c>
      <c r="F124" s="2" t="s">
        <v>26</v>
      </c>
      <c r="G124" s="6" t="s">
        <v>234</v>
      </c>
      <c r="H124" s="2" t="s">
        <v>284</v>
      </c>
      <c r="I124" s="2" t="s">
        <v>408</v>
      </c>
      <c r="J124" s="2" t="s">
        <v>19</v>
      </c>
      <c r="K124" s="2" t="s">
        <v>409</v>
      </c>
      <c r="L124" s="7" t="str">
        <f>HYPERLINK("http://slimages.macys.com/is/image/MCY/12342861 ")</f>
        <v xml:space="preserve">http://slimages.macys.com/is/image/MCY/12342861 </v>
      </c>
    </row>
    <row r="125" spans="1:12" ht="24.75" x14ac:dyDescent="0.25">
      <c r="A125" s="4" t="s">
        <v>11812</v>
      </c>
      <c r="B125" s="2" t="s">
        <v>11813</v>
      </c>
      <c r="C125" s="3">
        <v>1</v>
      </c>
      <c r="D125" s="5">
        <v>52.13</v>
      </c>
      <c r="E125" s="3" t="s">
        <v>11814</v>
      </c>
      <c r="F125" s="2" t="s">
        <v>64</v>
      </c>
      <c r="G125" s="6" t="s">
        <v>245</v>
      </c>
      <c r="H125" s="2" t="s">
        <v>246</v>
      </c>
      <c r="I125" s="2" t="s">
        <v>189</v>
      </c>
      <c r="J125" s="2" t="s">
        <v>19</v>
      </c>
      <c r="K125" s="2" t="s">
        <v>3423</v>
      </c>
      <c r="L125" s="7" t="str">
        <f>HYPERLINK("http://slimages.macys.com/is/image/MCY/13382492 ")</f>
        <v xml:space="preserve">http://slimages.macys.com/is/image/MCY/13382492 </v>
      </c>
    </row>
    <row r="126" spans="1:12" ht="24.75" x14ac:dyDescent="0.25">
      <c r="A126" s="4" t="s">
        <v>11815</v>
      </c>
      <c r="B126" s="2" t="s">
        <v>9989</v>
      </c>
      <c r="C126" s="3">
        <v>2</v>
      </c>
      <c r="D126" s="5">
        <v>40.880000000000003</v>
      </c>
      <c r="E126" s="3" t="s">
        <v>9990</v>
      </c>
      <c r="F126" s="2" t="s">
        <v>26</v>
      </c>
      <c r="G126" s="6" t="s">
        <v>181</v>
      </c>
      <c r="H126" s="2" t="s">
        <v>284</v>
      </c>
      <c r="I126" s="2" t="s">
        <v>408</v>
      </c>
      <c r="J126" s="2" t="s">
        <v>19</v>
      </c>
      <c r="K126" s="2" t="s">
        <v>409</v>
      </c>
      <c r="L126" s="7" t="str">
        <f>HYPERLINK("http://slimages.macys.com/is/image/MCY/12342861 ")</f>
        <v xml:space="preserve">http://slimages.macys.com/is/image/MCY/12342861 </v>
      </c>
    </row>
    <row r="127" spans="1:12" ht="24.75" x14ac:dyDescent="0.25">
      <c r="A127" s="4" t="s">
        <v>9991</v>
      </c>
      <c r="B127" s="2" t="s">
        <v>9989</v>
      </c>
      <c r="C127" s="3">
        <v>1</v>
      </c>
      <c r="D127" s="5">
        <v>40.880000000000003</v>
      </c>
      <c r="E127" s="3" t="s">
        <v>9990</v>
      </c>
      <c r="F127" s="2" t="s">
        <v>74</v>
      </c>
      <c r="G127" s="6" t="s">
        <v>154</v>
      </c>
      <c r="H127" s="2" t="s">
        <v>284</v>
      </c>
      <c r="I127" s="2" t="s">
        <v>408</v>
      </c>
      <c r="J127" s="2" t="s">
        <v>19</v>
      </c>
      <c r="K127" s="2" t="s">
        <v>409</v>
      </c>
      <c r="L127" s="7" t="str">
        <f>HYPERLINK("http://slimages.macys.com/is/image/MCY/12342861 ")</f>
        <v xml:space="preserve">http://slimages.macys.com/is/image/MCY/12342861 </v>
      </c>
    </row>
    <row r="128" spans="1:12" ht="24.75" x14ac:dyDescent="0.25">
      <c r="A128" s="4" t="s">
        <v>11816</v>
      </c>
      <c r="B128" s="2" t="s">
        <v>11817</v>
      </c>
      <c r="C128" s="3">
        <v>1</v>
      </c>
      <c r="D128" s="5">
        <v>44.63</v>
      </c>
      <c r="E128" s="3" t="s">
        <v>11818</v>
      </c>
      <c r="F128" s="2" t="s">
        <v>74</v>
      </c>
      <c r="G128" s="6" t="s">
        <v>234</v>
      </c>
      <c r="H128" s="2" t="s">
        <v>284</v>
      </c>
      <c r="I128" s="2" t="s">
        <v>285</v>
      </c>
      <c r="J128" s="2" t="s">
        <v>19</v>
      </c>
      <c r="K128" s="2" t="s">
        <v>160</v>
      </c>
      <c r="L128" s="7" t="str">
        <f>HYPERLINK("http://slimages.macys.com/is/image/MCY/11535883 ")</f>
        <v xml:space="preserve">http://slimages.macys.com/is/image/MCY/11535883 </v>
      </c>
    </row>
    <row r="129" spans="1:12" ht="36.75" x14ac:dyDescent="0.25">
      <c r="A129" s="4" t="s">
        <v>11819</v>
      </c>
      <c r="B129" s="2" t="s">
        <v>2278</v>
      </c>
      <c r="C129" s="3">
        <v>1</v>
      </c>
      <c r="D129" s="5">
        <v>44.5</v>
      </c>
      <c r="E129" s="3" t="s">
        <v>2279</v>
      </c>
      <c r="F129" s="2" t="s">
        <v>956</v>
      </c>
      <c r="G129" s="6" t="s">
        <v>234</v>
      </c>
      <c r="H129" s="2" t="s">
        <v>194</v>
      </c>
      <c r="I129" s="2" t="s">
        <v>195</v>
      </c>
      <c r="J129" s="2" t="s">
        <v>19</v>
      </c>
      <c r="K129" s="2" t="s">
        <v>2280</v>
      </c>
      <c r="L129" s="7" t="str">
        <f>HYPERLINK("http://slimages.macys.com/is/image/MCY/11804478 ")</f>
        <v xml:space="preserve">http://slimages.macys.com/is/image/MCY/11804478 </v>
      </c>
    </row>
    <row r="130" spans="1:12" ht="24.75" x14ac:dyDescent="0.25">
      <c r="A130" s="4" t="s">
        <v>11820</v>
      </c>
      <c r="B130" s="2" t="s">
        <v>11821</v>
      </c>
      <c r="C130" s="3">
        <v>1</v>
      </c>
      <c r="D130" s="5">
        <v>48.38</v>
      </c>
      <c r="E130" s="3" t="s">
        <v>11822</v>
      </c>
      <c r="F130" s="2" t="s">
        <v>252</v>
      </c>
      <c r="G130" s="6" t="s">
        <v>141</v>
      </c>
      <c r="H130" s="2" t="s">
        <v>213</v>
      </c>
      <c r="I130" s="2" t="s">
        <v>214</v>
      </c>
      <c r="J130" s="2" t="s">
        <v>19</v>
      </c>
      <c r="K130" s="2" t="s">
        <v>2231</v>
      </c>
      <c r="L130" s="7" t="str">
        <f>HYPERLINK("http://slimages.macys.com/is/image/MCY/11939924 ")</f>
        <v xml:space="preserve">http://slimages.macys.com/is/image/MCY/11939924 </v>
      </c>
    </row>
    <row r="131" spans="1:12" ht="24.75" x14ac:dyDescent="0.25">
      <c r="A131" s="4" t="s">
        <v>11823</v>
      </c>
      <c r="B131" s="2" t="s">
        <v>11824</v>
      </c>
      <c r="C131" s="3">
        <v>1</v>
      </c>
      <c r="D131" s="5">
        <v>69.5</v>
      </c>
      <c r="E131" s="3" t="s">
        <v>11825</v>
      </c>
      <c r="F131" s="2" t="s">
        <v>74</v>
      </c>
      <c r="G131" s="6"/>
      <c r="H131" s="2" t="s">
        <v>206</v>
      </c>
      <c r="I131" s="2" t="s">
        <v>207</v>
      </c>
      <c r="J131" s="2" t="s">
        <v>19</v>
      </c>
      <c r="K131" s="2" t="s">
        <v>66</v>
      </c>
      <c r="L131" s="7" t="str">
        <f>HYPERLINK("http://slimages.macys.com/is/image/MCY/12147828 ")</f>
        <v xml:space="preserve">http://slimages.macys.com/is/image/MCY/12147828 </v>
      </c>
    </row>
    <row r="132" spans="1:12" ht="24.75" x14ac:dyDescent="0.25">
      <c r="A132" s="4" t="s">
        <v>4551</v>
      </c>
      <c r="B132" s="2" t="s">
        <v>3418</v>
      </c>
      <c r="C132" s="3">
        <v>1</v>
      </c>
      <c r="D132" s="5">
        <v>59.5</v>
      </c>
      <c r="E132" s="3" t="s">
        <v>3419</v>
      </c>
      <c r="F132" s="2" t="s">
        <v>74</v>
      </c>
      <c r="G132" s="6"/>
      <c r="H132" s="2" t="s">
        <v>127</v>
      </c>
      <c r="I132" s="2" t="s">
        <v>128</v>
      </c>
      <c r="J132" s="2" t="s">
        <v>19</v>
      </c>
      <c r="K132" s="2" t="s">
        <v>160</v>
      </c>
      <c r="L132" s="7" t="str">
        <f>HYPERLINK("http://slimages.macys.com/is/image/MCY/13786793 ")</f>
        <v xml:space="preserve">http://slimages.macys.com/is/image/MCY/13786793 </v>
      </c>
    </row>
    <row r="133" spans="1:12" ht="24.75" x14ac:dyDescent="0.25">
      <c r="A133" s="4" t="s">
        <v>10517</v>
      </c>
      <c r="B133" s="2" t="s">
        <v>10518</v>
      </c>
      <c r="C133" s="3">
        <v>1</v>
      </c>
      <c r="D133" s="5">
        <v>48.38</v>
      </c>
      <c r="E133" s="3" t="s">
        <v>10519</v>
      </c>
      <c r="F133" s="2" t="s">
        <v>413</v>
      </c>
      <c r="G133" s="6" t="s">
        <v>434</v>
      </c>
      <c r="H133" s="2" t="s">
        <v>349</v>
      </c>
      <c r="I133" s="2" t="s">
        <v>285</v>
      </c>
      <c r="J133" s="2" t="s">
        <v>19</v>
      </c>
      <c r="K133" s="2" t="s">
        <v>10520</v>
      </c>
      <c r="L133" s="7" t="str">
        <f>HYPERLINK("http://slimages.macys.com/is/image/MCY/13962309 ")</f>
        <v xml:space="preserve">http://slimages.macys.com/is/image/MCY/13962309 </v>
      </c>
    </row>
    <row r="134" spans="1:12" ht="24.75" x14ac:dyDescent="0.25">
      <c r="A134" s="4" t="s">
        <v>2284</v>
      </c>
      <c r="B134" s="2" t="s">
        <v>492</v>
      </c>
      <c r="C134" s="3">
        <v>1</v>
      </c>
      <c r="D134" s="5">
        <v>44.5</v>
      </c>
      <c r="E134" s="3" t="s">
        <v>493</v>
      </c>
      <c r="F134" s="2" t="s">
        <v>494</v>
      </c>
      <c r="G134" s="6" t="s">
        <v>181</v>
      </c>
      <c r="H134" s="2" t="s">
        <v>194</v>
      </c>
      <c r="I134" s="2" t="s">
        <v>195</v>
      </c>
      <c r="J134" s="2" t="s">
        <v>19</v>
      </c>
      <c r="K134" s="2" t="s">
        <v>495</v>
      </c>
      <c r="L134" s="7" t="str">
        <f>HYPERLINK("http://slimages.macys.com/is/image/MCY/11937857 ")</f>
        <v xml:space="preserve">http://slimages.macys.com/is/image/MCY/11937857 </v>
      </c>
    </row>
    <row r="135" spans="1:12" ht="24.75" x14ac:dyDescent="0.25">
      <c r="A135" s="4" t="s">
        <v>11826</v>
      </c>
      <c r="B135" s="2" t="s">
        <v>11827</v>
      </c>
      <c r="C135" s="3">
        <v>1</v>
      </c>
      <c r="D135" s="5">
        <v>65</v>
      </c>
      <c r="E135" s="3" t="s">
        <v>11828</v>
      </c>
      <c r="F135" s="2" t="s">
        <v>74</v>
      </c>
      <c r="G135" s="6"/>
      <c r="H135" s="2" t="s">
        <v>716</v>
      </c>
      <c r="I135" s="2" t="s">
        <v>717</v>
      </c>
      <c r="J135" s="2" t="s">
        <v>19</v>
      </c>
      <c r="K135" s="2" t="s">
        <v>495</v>
      </c>
      <c r="L135" s="7" t="str">
        <f>HYPERLINK("http://slimages.macys.com/is/image/MCY/11523570 ")</f>
        <v xml:space="preserve">http://slimages.macys.com/is/image/MCY/11523570 </v>
      </c>
    </row>
    <row r="136" spans="1:12" ht="24.75" x14ac:dyDescent="0.25">
      <c r="A136" s="4" t="s">
        <v>11829</v>
      </c>
      <c r="B136" s="2" t="s">
        <v>773</v>
      </c>
      <c r="C136" s="3">
        <v>1</v>
      </c>
      <c r="D136" s="5">
        <v>44.63</v>
      </c>
      <c r="E136" s="3" t="s">
        <v>10527</v>
      </c>
      <c r="F136" s="2" t="s">
        <v>74</v>
      </c>
      <c r="G136" s="6" t="s">
        <v>847</v>
      </c>
      <c r="H136" s="2" t="s">
        <v>349</v>
      </c>
      <c r="I136" s="2" t="s">
        <v>408</v>
      </c>
      <c r="J136" s="2" t="s">
        <v>19</v>
      </c>
      <c r="K136" s="2" t="s">
        <v>409</v>
      </c>
      <c r="L136" s="7" t="str">
        <f>HYPERLINK("http://slimages.macys.com/is/image/MCY/13535080 ")</f>
        <v xml:space="preserve">http://slimages.macys.com/is/image/MCY/13535080 </v>
      </c>
    </row>
    <row r="137" spans="1:12" ht="24.75" x14ac:dyDescent="0.25">
      <c r="A137" s="4" t="s">
        <v>11830</v>
      </c>
      <c r="B137" s="2" t="s">
        <v>10530</v>
      </c>
      <c r="C137" s="3">
        <v>1</v>
      </c>
      <c r="D137" s="5">
        <v>44.63</v>
      </c>
      <c r="E137" s="3">
        <v>100063472</v>
      </c>
      <c r="F137" s="2" t="s">
        <v>15</v>
      </c>
      <c r="G137" s="6" t="s">
        <v>234</v>
      </c>
      <c r="H137" s="2" t="s">
        <v>194</v>
      </c>
      <c r="I137" s="2" t="s">
        <v>195</v>
      </c>
      <c r="J137" s="2" t="s">
        <v>19</v>
      </c>
      <c r="K137" s="2" t="s">
        <v>107</v>
      </c>
      <c r="L137" s="7" t="str">
        <f>HYPERLINK("http://slimages.macys.com/is/image/MCY/12851426 ")</f>
        <v xml:space="preserve">http://slimages.macys.com/is/image/MCY/12851426 </v>
      </c>
    </row>
    <row r="138" spans="1:12" ht="24.75" x14ac:dyDescent="0.25">
      <c r="A138" s="4" t="s">
        <v>10531</v>
      </c>
      <c r="B138" s="2" t="s">
        <v>2328</v>
      </c>
      <c r="C138" s="3">
        <v>1</v>
      </c>
      <c r="D138" s="5">
        <v>44.63</v>
      </c>
      <c r="E138" s="3">
        <v>100060780</v>
      </c>
      <c r="F138" s="2" t="s">
        <v>199</v>
      </c>
      <c r="G138" s="6" t="s">
        <v>200</v>
      </c>
      <c r="H138" s="2" t="s">
        <v>194</v>
      </c>
      <c r="I138" s="2" t="s">
        <v>503</v>
      </c>
      <c r="J138" s="2" t="s">
        <v>19</v>
      </c>
      <c r="K138" s="2" t="s">
        <v>201</v>
      </c>
      <c r="L138" s="7" t="str">
        <f>HYPERLINK("http://slimages.macys.com/is/image/MCY/12279791 ")</f>
        <v xml:space="preserve">http://slimages.macys.com/is/image/MCY/12279791 </v>
      </c>
    </row>
    <row r="139" spans="1:12" ht="24.75" x14ac:dyDescent="0.25">
      <c r="A139" s="4" t="s">
        <v>11831</v>
      </c>
      <c r="B139" s="2" t="s">
        <v>2328</v>
      </c>
      <c r="C139" s="3">
        <v>1</v>
      </c>
      <c r="D139" s="5">
        <v>44.63</v>
      </c>
      <c r="E139" s="3">
        <v>100060780</v>
      </c>
      <c r="F139" s="2" t="s">
        <v>199</v>
      </c>
      <c r="G139" s="6" t="s">
        <v>156</v>
      </c>
      <c r="H139" s="2" t="s">
        <v>194</v>
      </c>
      <c r="I139" s="2" t="s">
        <v>503</v>
      </c>
      <c r="J139" s="2" t="s">
        <v>19</v>
      </c>
      <c r="K139" s="2" t="s">
        <v>201</v>
      </c>
      <c r="L139" s="7" t="str">
        <f>HYPERLINK("http://slimages.macys.com/is/image/MCY/12279791 ")</f>
        <v xml:space="preserve">http://slimages.macys.com/is/image/MCY/12279791 </v>
      </c>
    </row>
    <row r="140" spans="1:12" ht="24.75" x14ac:dyDescent="0.25">
      <c r="A140" s="4" t="s">
        <v>11832</v>
      </c>
      <c r="B140" s="2" t="s">
        <v>2328</v>
      </c>
      <c r="C140" s="3">
        <v>2</v>
      </c>
      <c r="D140" s="5">
        <v>44.63</v>
      </c>
      <c r="E140" s="3">
        <v>100060780</v>
      </c>
      <c r="F140" s="2" t="s">
        <v>199</v>
      </c>
      <c r="G140" s="6" t="s">
        <v>154</v>
      </c>
      <c r="H140" s="2" t="s">
        <v>194</v>
      </c>
      <c r="I140" s="2" t="s">
        <v>503</v>
      </c>
      <c r="J140" s="2" t="s">
        <v>19</v>
      </c>
      <c r="K140" s="2" t="s">
        <v>201</v>
      </c>
      <c r="L140" s="7" t="str">
        <f>HYPERLINK("http://slimages.macys.com/is/image/MCY/12279791 ")</f>
        <v xml:space="preserve">http://slimages.macys.com/is/image/MCY/12279791 </v>
      </c>
    </row>
    <row r="141" spans="1:12" ht="24.75" x14ac:dyDescent="0.25">
      <c r="A141" s="4" t="s">
        <v>11833</v>
      </c>
      <c r="B141" s="2" t="s">
        <v>2328</v>
      </c>
      <c r="C141" s="3">
        <v>2</v>
      </c>
      <c r="D141" s="5">
        <v>44.63</v>
      </c>
      <c r="E141" s="3">
        <v>100060780</v>
      </c>
      <c r="F141" s="2" t="s">
        <v>199</v>
      </c>
      <c r="G141" s="6" t="s">
        <v>234</v>
      </c>
      <c r="H141" s="2" t="s">
        <v>194</v>
      </c>
      <c r="I141" s="2" t="s">
        <v>503</v>
      </c>
      <c r="J141" s="2" t="s">
        <v>19</v>
      </c>
      <c r="K141" s="2" t="s">
        <v>201</v>
      </c>
      <c r="L141" s="7" t="str">
        <f>HYPERLINK("http://slimages.macys.com/is/image/MCY/12279791 ")</f>
        <v xml:space="preserve">http://slimages.macys.com/is/image/MCY/12279791 </v>
      </c>
    </row>
    <row r="142" spans="1:12" ht="24.75" x14ac:dyDescent="0.25">
      <c r="A142" s="4" t="s">
        <v>11834</v>
      </c>
      <c r="B142" s="2" t="s">
        <v>9999</v>
      </c>
      <c r="C142" s="3">
        <v>1</v>
      </c>
      <c r="D142" s="5">
        <v>48.38</v>
      </c>
      <c r="E142" s="3" t="s">
        <v>10000</v>
      </c>
      <c r="F142" s="2" t="s">
        <v>89</v>
      </c>
      <c r="G142" s="6" t="s">
        <v>336</v>
      </c>
      <c r="H142" s="2" t="s">
        <v>188</v>
      </c>
      <c r="I142" s="2" t="s">
        <v>214</v>
      </c>
      <c r="J142" s="2" t="s">
        <v>19</v>
      </c>
      <c r="K142" s="2" t="s">
        <v>353</v>
      </c>
      <c r="L142" s="7" t="str">
        <f>HYPERLINK("http://slimages.macys.com/is/image/MCY/11939853 ")</f>
        <v xml:space="preserve">http://slimages.macys.com/is/image/MCY/11939853 </v>
      </c>
    </row>
    <row r="143" spans="1:12" ht="24.75" x14ac:dyDescent="0.25">
      <c r="A143" s="4" t="s">
        <v>9998</v>
      </c>
      <c r="B143" s="2" t="s">
        <v>9999</v>
      </c>
      <c r="C143" s="3">
        <v>1</v>
      </c>
      <c r="D143" s="5">
        <v>48.38</v>
      </c>
      <c r="E143" s="3" t="s">
        <v>10000</v>
      </c>
      <c r="F143" s="2" t="s">
        <v>89</v>
      </c>
      <c r="G143" s="6" t="s">
        <v>363</v>
      </c>
      <c r="H143" s="2" t="s">
        <v>188</v>
      </c>
      <c r="I143" s="2" t="s">
        <v>214</v>
      </c>
      <c r="J143" s="2" t="s">
        <v>19</v>
      </c>
      <c r="K143" s="2" t="s">
        <v>353</v>
      </c>
      <c r="L143" s="7" t="str">
        <f>HYPERLINK("http://slimages.macys.com/is/image/MCY/11939853 ")</f>
        <v xml:space="preserve">http://slimages.macys.com/is/image/MCY/11939853 </v>
      </c>
    </row>
    <row r="144" spans="1:12" ht="24.75" x14ac:dyDescent="0.25">
      <c r="A144" s="4" t="s">
        <v>11835</v>
      </c>
      <c r="B144" s="2" t="s">
        <v>9999</v>
      </c>
      <c r="C144" s="3">
        <v>1</v>
      </c>
      <c r="D144" s="5">
        <v>48.38</v>
      </c>
      <c r="E144" s="3" t="s">
        <v>10000</v>
      </c>
      <c r="F144" s="2" t="s">
        <v>89</v>
      </c>
      <c r="G144" s="6" t="s">
        <v>934</v>
      </c>
      <c r="H144" s="2" t="s">
        <v>188</v>
      </c>
      <c r="I144" s="2" t="s">
        <v>214</v>
      </c>
      <c r="J144" s="2" t="s">
        <v>19</v>
      </c>
      <c r="K144" s="2" t="s">
        <v>353</v>
      </c>
      <c r="L144" s="7" t="str">
        <f>HYPERLINK("http://slimages.macys.com/is/image/MCY/11939853 ")</f>
        <v xml:space="preserve">http://slimages.macys.com/is/image/MCY/11939853 </v>
      </c>
    </row>
    <row r="145" spans="1:12" ht="24.75" x14ac:dyDescent="0.25">
      <c r="A145" s="4" t="s">
        <v>11836</v>
      </c>
      <c r="B145" s="2" t="s">
        <v>11837</v>
      </c>
      <c r="C145" s="3">
        <v>1</v>
      </c>
      <c r="D145" s="5">
        <v>47.5</v>
      </c>
      <c r="E145" s="3">
        <v>100037395</v>
      </c>
      <c r="F145" s="2" t="s">
        <v>111</v>
      </c>
      <c r="G145" s="6" t="s">
        <v>58</v>
      </c>
      <c r="H145" s="2" t="s">
        <v>228</v>
      </c>
      <c r="I145" s="2" t="s">
        <v>229</v>
      </c>
      <c r="J145" s="2" t="s">
        <v>19</v>
      </c>
      <c r="K145" s="2" t="s">
        <v>952</v>
      </c>
      <c r="L145" s="7" t="str">
        <f>HYPERLINK("http://slimages.macys.com/is/image/MCY/11266301 ")</f>
        <v xml:space="preserve">http://slimages.macys.com/is/image/MCY/11266301 </v>
      </c>
    </row>
    <row r="146" spans="1:12" ht="36.75" x14ac:dyDescent="0.25">
      <c r="A146" s="4" t="s">
        <v>10536</v>
      </c>
      <c r="B146" s="2" t="s">
        <v>4572</v>
      </c>
      <c r="C146" s="3">
        <v>1</v>
      </c>
      <c r="D146" s="5">
        <v>48.38</v>
      </c>
      <c r="E146" s="3" t="s">
        <v>10537</v>
      </c>
      <c r="F146" s="2" t="s">
        <v>64</v>
      </c>
      <c r="G146" s="6" t="s">
        <v>154</v>
      </c>
      <c r="H146" s="2" t="s">
        <v>246</v>
      </c>
      <c r="I146" s="2" t="s">
        <v>189</v>
      </c>
      <c r="J146" s="2" t="s">
        <v>19</v>
      </c>
      <c r="K146" s="2" t="s">
        <v>2419</v>
      </c>
      <c r="L146" s="7" t="str">
        <f>HYPERLINK("http://slimages.macys.com/is/image/MCY/12894516 ")</f>
        <v xml:space="preserve">http://slimages.macys.com/is/image/MCY/12894516 </v>
      </c>
    </row>
    <row r="147" spans="1:12" ht="36.75" x14ac:dyDescent="0.25">
      <c r="A147" s="4" t="s">
        <v>11838</v>
      </c>
      <c r="B147" s="2" t="s">
        <v>4572</v>
      </c>
      <c r="C147" s="3">
        <v>1</v>
      </c>
      <c r="D147" s="5">
        <v>48.38</v>
      </c>
      <c r="E147" s="3" t="s">
        <v>10537</v>
      </c>
      <c r="F147" s="2" t="s">
        <v>64</v>
      </c>
      <c r="G147" s="6" t="s">
        <v>245</v>
      </c>
      <c r="H147" s="2" t="s">
        <v>246</v>
      </c>
      <c r="I147" s="2" t="s">
        <v>189</v>
      </c>
      <c r="J147" s="2" t="s">
        <v>19</v>
      </c>
      <c r="K147" s="2" t="s">
        <v>2419</v>
      </c>
      <c r="L147" s="7" t="str">
        <f>HYPERLINK("http://slimages.macys.com/is/image/MCY/12894516 ")</f>
        <v xml:space="preserve">http://slimages.macys.com/is/image/MCY/12894516 </v>
      </c>
    </row>
    <row r="148" spans="1:12" ht="24.75" x14ac:dyDescent="0.25">
      <c r="A148" s="4" t="s">
        <v>7158</v>
      </c>
      <c r="B148" s="2" t="s">
        <v>502</v>
      </c>
      <c r="C148" s="3">
        <v>1</v>
      </c>
      <c r="D148" s="5">
        <v>39.5</v>
      </c>
      <c r="E148" s="3" t="s">
        <v>516</v>
      </c>
      <c r="F148" s="2" t="s">
        <v>79</v>
      </c>
      <c r="G148" s="6" t="s">
        <v>165</v>
      </c>
      <c r="H148" s="2" t="s">
        <v>312</v>
      </c>
      <c r="I148" s="2" t="s">
        <v>195</v>
      </c>
      <c r="J148" s="2" t="s">
        <v>19</v>
      </c>
      <c r="K148" s="2" t="s">
        <v>517</v>
      </c>
      <c r="L148" s="7" t="str">
        <f>HYPERLINK("http://slimages.macys.com/is/image/MCY/12272685 ")</f>
        <v xml:space="preserve">http://slimages.macys.com/is/image/MCY/12272685 </v>
      </c>
    </row>
    <row r="149" spans="1:12" ht="24.75" x14ac:dyDescent="0.25">
      <c r="A149" s="4" t="s">
        <v>7911</v>
      </c>
      <c r="B149" s="2" t="s">
        <v>4581</v>
      </c>
      <c r="C149" s="3">
        <v>1</v>
      </c>
      <c r="D149" s="5">
        <v>49</v>
      </c>
      <c r="E149" s="3" t="s">
        <v>4582</v>
      </c>
      <c r="F149" s="2" t="s">
        <v>15</v>
      </c>
      <c r="G149" s="6" t="s">
        <v>234</v>
      </c>
      <c r="H149" s="2" t="s">
        <v>17</v>
      </c>
      <c r="I149" s="2" t="s">
        <v>145</v>
      </c>
      <c r="J149" s="2" t="s">
        <v>19</v>
      </c>
      <c r="K149" s="2" t="s">
        <v>442</v>
      </c>
      <c r="L149" s="7" t="str">
        <f>HYPERLINK("http://slimages.macys.com/is/image/MCY/11690489 ")</f>
        <v xml:space="preserve">http://slimages.macys.com/is/image/MCY/11690489 </v>
      </c>
    </row>
    <row r="150" spans="1:12" ht="36.75" x14ac:dyDescent="0.25">
      <c r="A150" s="4" t="s">
        <v>11839</v>
      </c>
      <c r="B150" s="2" t="s">
        <v>3436</v>
      </c>
      <c r="C150" s="3">
        <v>1</v>
      </c>
      <c r="D150" s="5">
        <v>37.130000000000003</v>
      </c>
      <c r="E150" s="3" t="s">
        <v>3449</v>
      </c>
      <c r="F150" s="2" t="s">
        <v>26</v>
      </c>
      <c r="G150" s="6" t="s">
        <v>234</v>
      </c>
      <c r="H150" s="2" t="s">
        <v>284</v>
      </c>
      <c r="I150" s="2" t="s">
        <v>285</v>
      </c>
      <c r="J150" s="2" t="s">
        <v>19</v>
      </c>
      <c r="K150" s="2" t="s">
        <v>2419</v>
      </c>
      <c r="L150" s="7" t="str">
        <f>HYPERLINK("http://slimages.macys.com/is/image/MCY/13041127 ")</f>
        <v xml:space="preserve">http://slimages.macys.com/is/image/MCY/13041127 </v>
      </c>
    </row>
    <row r="151" spans="1:12" ht="24.75" x14ac:dyDescent="0.25">
      <c r="A151" s="4" t="s">
        <v>11840</v>
      </c>
      <c r="B151" s="2" t="s">
        <v>5499</v>
      </c>
      <c r="C151" s="3">
        <v>1</v>
      </c>
      <c r="D151" s="5">
        <v>37.130000000000003</v>
      </c>
      <c r="E151" s="3" t="s">
        <v>5500</v>
      </c>
      <c r="F151" s="2" t="s">
        <v>74</v>
      </c>
      <c r="G151" s="6" t="s">
        <v>200</v>
      </c>
      <c r="H151" s="2" t="s">
        <v>284</v>
      </c>
      <c r="I151" s="2" t="s">
        <v>408</v>
      </c>
      <c r="J151" s="2" t="s">
        <v>19</v>
      </c>
      <c r="K151" s="2" t="s">
        <v>409</v>
      </c>
      <c r="L151" s="7" t="str">
        <f>HYPERLINK("http://slimages.macys.com/is/image/MCY/12877285 ")</f>
        <v xml:space="preserve">http://slimages.macys.com/is/image/MCY/12877285 </v>
      </c>
    </row>
    <row r="152" spans="1:12" ht="24.75" x14ac:dyDescent="0.25">
      <c r="A152" s="4" t="s">
        <v>2320</v>
      </c>
      <c r="B152" s="2" t="s">
        <v>530</v>
      </c>
      <c r="C152" s="3">
        <v>1</v>
      </c>
      <c r="D152" s="5">
        <v>44.63</v>
      </c>
      <c r="E152" s="3" t="s">
        <v>531</v>
      </c>
      <c r="F152" s="2" t="s">
        <v>532</v>
      </c>
      <c r="G152" s="6" t="s">
        <v>154</v>
      </c>
      <c r="H152" s="2" t="s">
        <v>194</v>
      </c>
      <c r="I152" s="2" t="s">
        <v>195</v>
      </c>
      <c r="J152" s="2" t="s">
        <v>19</v>
      </c>
      <c r="K152" s="2" t="s">
        <v>533</v>
      </c>
      <c r="L152" s="7" t="str">
        <f>HYPERLINK("http://slimages.macys.com/is/image/MCY/12316730 ")</f>
        <v xml:space="preserve">http://slimages.macys.com/is/image/MCY/12316730 </v>
      </c>
    </row>
    <row r="153" spans="1:12" ht="24.75" x14ac:dyDescent="0.25">
      <c r="A153" s="4" t="s">
        <v>11841</v>
      </c>
      <c r="B153" s="2" t="s">
        <v>535</v>
      </c>
      <c r="C153" s="3">
        <v>1</v>
      </c>
      <c r="D153" s="5">
        <v>52.13</v>
      </c>
      <c r="E153" s="3" t="s">
        <v>536</v>
      </c>
      <c r="F153" s="2" t="s">
        <v>74</v>
      </c>
      <c r="G153" s="6" t="s">
        <v>234</v>
      </c>
      <c r="H153" s="2" t="s">
        <v>246</v>
      </c>
      <c r="I153" s="2" t="s">
        <v>189</v>
      </c>
      <c r="J153" s="2" t="s">
        <v>19</v>
      </c>
      <c r="K153" s="2" t="s">
        <v>537</v>
      </c>
      <c r="L153" s="7" t="str">
        <f>HYPERLINK("http://slimages.macys.com/is/image/MCY/11884249 ")</f>
        <v xml:space="preserve">http://slimages.macys.com/is/image/MCY/11884249 </v>
      </c>
    </row>
    <row r="154" spans="1:12" ht="48.75" x14ac:dyDescent="0.25">
      <c r="A154" s="4" t="s">
        <v>8963</v>
      </c>
      <c r="B154" s="2" t="s">
        <v>8962</v>
      </c>
      <c r="C154" s="3">
        <v>1</v>
      </c>
      <c r="D154" s="5">
        <v>48</v>
      </c>
      <c r="E154" s="3">
        <v>100010021</v>
      </c>
      <c r="F154" s="2" t="s">
        <v>417</v>
      </c>
      <c r="G154" s="6" t="s">
        <v>200</v>
      </c>
      <c r="H154" s="2" t="s">
        <v>228</v>
      </c>
      <c r="I154" s="2" t="s">
        <v>229</v>
      </c>
      <c r="J154" s="2" t="s">
        <v>19</v>
      </c>
      <c r="K154" s="2" t="s">
        <v>552</v>
      </c>
      <c r="L154" s="7" t="str">
        <f>HYPERLINK("http://slimages.macys.com/is/image/MCY/12158587 ")</f>
        <v xml:space="preserve">http://slimages.macys.com/is/image/MCY/12158587 </v>
      </c>
    </row>
    <row r="155" spans="1:12" ht="24.75" x14ac:dyDescent="0.25">
      <c r="A155" s="4" t="s">
        <v>11842</v>
      </c>
      <c r="B155" s="2">
        <v>10046</v>
      </c>
      <c r="C155" s="3">
        <v>1</v>
      </c>
      <c r="D155" s="5">
        <v>69.5</v>
      </c>
      <c r="E155" s="3">
        <v>100055242</v>
      </c>
      <c r="F155" s="2" t="s">
        <v>64</v>
      </c>
      <c r="G155" s="6" t="s">
        <v>141</v>
      </c>
      <c r="H155" s="2" t="s">
        <v>386</v>
      </c>
      <c r="I155" s="2" t="s">
        <v>337</v>
      </c>
      <c r="J155" s="2" t="s">
        <v>19</v>
      </c>
      <c r="K155" s="2" t="s">
        <v>387</v>
      </c>
      <c r="L155" s="7" t="str">
        <f>HYPERLINK("http://slimages.macys.com/is/image/MCY/11535562 ")</f>
        <v xml:space="preserve">http://slimages.macys.com/is/image/MCY/11535562 </v>
      </c>
    </row>
    <row r="156" spans="1:12" ht="24.75" x14ac:dyDescent="0.25">
      <c r="A156" s="4" t="s">
        <v>10552</v>
      </c>
      <c r="B156" s="2">
        <v>10046</v>
      </c>
      <c r="C156" s="3">
        <v>1</v>
      </c>
      <c r="D156" s="5">
        <v>69.5</v>
      </c>
      <c r="E156" s="3">
        <v>100055242</v>
      </c>
      <c r="F156" s="2" t="s">
        <v>64</v>
      </c>
      <c r="G156" s="6" t="s">
        <v>39</v>
      </c>
      <c r="H156" s="2" t="s">
        <v>386</v>
      </c>
      <c r="I156" s="2" t="s">
        <v>337</v>
      </c>
      <c r="J156" s="2" t="s">
        <v>19</v>
      </c>
      <c r="K156" s="2" t="s">
        <v>387</v>
      </c>
      <c r="L156" s="7" t="str">
        <f>HYPERLINK("http://slimages.macys.com/is/image/MCY/11535562 ")</f>
        <v xml:space="preserve">http://slimages.macys.com/is/image/MCY/11535562 </v>
      </c>
    </row>
    <row r="157" spans="1:12" ht="24.75" x14ac:dyDescent="0.25">
      <c r="A157" s="4" t="s">
        <v>11843</v>
      </c>
      <c r="B157" s="2">
        <v>10046</v>
      </c>
      <c r="C157" s="3">
        <v>1</v>
      </c>
      <c r="D157" s="5">
        <v>69.5</v>
      </c>
      <c r="E157" s="3">
        <v>100055242</v>
      </c>
      <c r="F157" s="2" t="s">
        <v>64</v>
      </c>
      <c r="G157" s="6" t="s">
        <v>65</v>
      </c>
      <c r="H157" s="2" t="s">
        <v>386</v>
      </c>
      <c r="I157" s="2" t="s">
        <v>337</v>
      </c>
      <c r="J157" s="2" t="s">
        <v>19</v>
      </c>
      <c r="K157" s="2" t="s">
        <v>387</v>
      </c>
      <c r="L157" s="7" t="str">
        <f>HYPERLINK("http://slimages.macys.com/is/image/MCY/11535562 ")</f>
        <v xml:space="preserve">http://slimages.macys.com/is/image/MCY/11535562 </v>
      </c>
    </row>
    <row r="158" spans="1:12" ht="24.75" x14ac:dyDescent="0.25">
      <c r="A158" s="4" t="s">
        <v>2333</v>
      </c>
      <c r="B158" s="2" t="s">
        <v>2334</v>
      </c>
      <c r="C158" s="3">
        <v>1</v>
      </c>
      <c r="D158" s="5">
        <v>59.5</v>
      </c>
      <c r="E158" s="3" t="s">
        <v>2335</v>
      </c>
      <c r="F158" s="2" t="s">
        <v>74</v>
      </c>
      <c r="G158" s="6" t="s">
        <v>187</v>
      </c>
      <c r="H158" s="2" t="s">
        <v>127</v>
      </c>
      <c r="I158" s="2" t="s">
        <v>128</v>
      </c>
      <c r="J158" s="2" t="s">
        <v>19</v>
      </c>
      <c r="K158" s="2" t="s">
        <v>160</v>
      </c>
      <c r="L158" s="7" t="str">
        <f>HYPERLINK("http://slimages.macys.com/is/image/MCY/9599934 ")</f>
        <v xml:space="preserve">http://slimages.macys.com/is/image/MCY/9599934 </v>
      </c>
    </row>
    <row r="159" spans="1:12" ht="24.75" x14ac:dyDescent="0.25">
      <c r="A159" s="4" t="s">
        <v>11844</v>
      </c>
      <c r="B159" s="2" t="s">
        <v>11845</v>
      </c>
      <c r="C159" s="3">
        <v>1</v>
      </c>
      <c r="D159" s="5">
        <v>48</v>
      </c>
      <c r="E159" s="3">
        <v>100031022</v>
      </c>
      <c r="F159" s="2" t="s">
        <v>417</v>
      </c>
      <c r="G159" s="6" t="s">
        <v>27</v>
      </c>
      <c r="H159" s="2" t="s">
        <v>228</v>
      </c>
      <c r="I159" s="2" t="s">
        <v>857</v>
      </c>
      <c r="J159" s="2" t="s">
        <v>19</v>
      </c>
      <c r="K159" s="2" t="s">
        <v>387</v>
      </c>
      <c r="L159" s="7" t="str">
        <f>HYPERLINK("http://slimages.macys.com/is/image/MCY/10022828 ")</f>
        <v xml:space="preserve">http://slimages.macys.com/is/image/MCY/10022828 </v>
      </c>
    </row>
    <row r="160" spans="1:12" ht="24.75" x14ac:dyDescent="0.25">
      <c r="A160" s="4" t="s">
        <v>10026</v>
      </c>
      <c r="B160" s="2" t="s">
        <v>577</v>
      </c>
      <c r="C160" s="3">
        <v>1</v>
      </c>
      <c r="D160" s="5">
        <v>44.63</v>
      </c>
      <c r="E160" s="3" t="s">
        <v>578</v>
      </c>
      <c r="F160" s="2" t="s">
        <v>15</v>
      </c>
      <c r="G160" s="6" t="s">
        <v>156</v>
      </c>
      <c r="H160" s="2" t="s">
        <v>194</v>
      </c>
      <c r="I160" s="2" t="s">
        <v>580</v>
      </c>
      <c r="J160" s="2" t="s">
        <v>19</v>
      </c>
      <c r="K160" s="2" t="s">
        <v>247</v>
      </c>
      <c r="L160" s="7" t="str">
        <f>HYPERLINK("http://slimages.macys.com/is/image/MCY/12743841 ")</f>
        <v xml:space="preserve">http://slimages.macys.com/is/image/MCY/12743841 </v>
      </c>
    </row>
    <row r="161" spans="1:12" ht="24.75" x14ac:dyDescent="0.25">
      <c r="A161" s="4" t="s">
        <v>11846</v>
      </c>
      <c r="B161" s="2" t="s">
        <v>570</v>
      </c>
      <c r="C161" s="3">
        <v>1</v>
      </c>
      <c r="D161" s="5">
        <v>40.880000000000003</v>
      </c>
      <c r="E161" s="3" t="s">
        <v>571</v>
      </c>
      <c r="F161" s="2" t="s">
        <v>74</v>
      </c>
      <c r="G161" s="6" t="s">
        <v>141</v>
      </c>
      <c r="H161" s="2" t="s">
        <v>246</v>
      </c>
      <c r="I161" s="2" t="s">
        <v>525</v>
      </c>
      <c r="J161" s="2" t="s">
        <v>19</v>
      </c>
      <c r="K161" s="2" t="s">
        <v>338</v>
      </c>
      <c r="L161" s="7" t="str">
        <f>HYPERLINK("http://slimages.macys.com/is/image/MCY/11746434 ")</f>
        <v xml:space="preserve">http://slimages.macys.com/is/image/MCY/11746434 </v>
      </c>
    </row>
    <row r="162" spans="1:12" ht="24.75" x14ac:dyDescent="0.25">
      <c r="A162" s="4" t="s">
        <v>581</v>
      </c>
      <c r="B162" s="2" t="s">
        <v>577</v>
      </c>
      <c r="C162" s="3">
        <v>1</v>
      </c>
      <c r="D162" s="5">
        <v>44.63</v>
      </c>
      <c r="E162" s="3" t="s">
        <v>578</v>
      </c>
      <c r="F162" s="2" t="s">
        <v>579</v>
      </c>
      <c r="G162" s="6" t="s">
        <v>181</v>
      </c>
      <c r="H162" s="2" t="s">
        <v>194</v>
      </c>
      <c r="I162" s="2" t="s">
        <v>580</v>
      </c>
      <c r="J162" s="2" t="s">
        <v>19</v>
      </c>
      <c r="K162" s="2" t="s">
        <v>247</v>
      </c>
      <c r="L162" s="7" t="str">
        <f>HYPERLINK("http://slimages.macys.com/is/image/MCY/12743841 ")</f>
        <v xml:space="preserve">http://slimages.macys.com/is/image/MCY/12743841 </v>
      </c>
    </row>
    <row r="163" spans="1:12" ht="24.75" x14ac:dyDescent="0.25">
      <c r="A163" s="4" t="s">
        <v>11847</v>
      </c>
      <c r="B163" s="2" t="s">
        <v>590</v>
      </c>
      <c r="C163" s="3">
        <v>1</v>
      </c>
      <c r="D163" s="5">
        <v>44.25</v>
      </c>
      <c r="E163" s="3">
        <v>100037392</v>
      </c>
      <c r="F163" s="2" t="s">
        <v>74</v>
      </c>
      <c r="G163" s="6" t="s">
        <v>106</v>
      </c>
      <c r="H163" s="2" t="s">
        <v>228</v>
      </c>
      <c r="I163" s="2" t="s">
        <v>229</v>
      </c>
      <c r="J163" s="2" t="s">
        <v>19</v>
      </c>
      <c r="K163" s="2" t="s">
        <v>338</v>
      </c>
      <c r="L163" s="7" t="str">
        <f>HYPERLINK("http://slimages.macys.com/is/image/MCY/10888725 ")</f>
        <v xml:space="preserve">http://slimages.macys.com/is/image/MCY/10888725 </v>
      </c>
    </row>
    <row r="164" spans="1:12" ht="24.75" x14ac:dyDescent="0.25">
      <c r="A164" s="4" t="s">
        <v>11848</v>
      </c>
      <c r="B164" s="2" t="s">
        <v>6387</v>
      </c>
      <c r="C164" s="3">
        <v>1</v>
      </c>
      <c r="D164" s="5">
        <v>44.5</v>
      </c>
      <c r="E164" s="3" t="s">
        <v>6388</v>
      </c>
      <c r="F164" s="2" t="s">
        <v>64</v>
      </c>
      <c r="G164" s="6"/>
      <c r="H164" s="2" t="s">
        <v>188</v>
      </c>
      <c r="I164" s="2" t="s">
        <v>189</v>
      </c>
      <c r="J164" s="2" t="s">
        <v>19</v>
      </c>
      <c r="K164" s="2" t="s">
        <v>1230</v>
      </c>
      <c r="L164" s="7" t="str">
        <f>HYPERLINK("http://slimages.macys.com/is/image/MCY/11516881 ")</f>
        <v xml:space="preserve">http://slimages.macys.com/is/image/MCY/11516881 </v>
      </c>
    </row>
    <row r="165" spans="1:12" ht="24.75" x14ac:dyDescent="0.25">
      <c r="A165" s="4" t="s">
        <v>11849</v>
      </c>
      <c r="B165" s="2" t="s">
        <v>9389</v>
      </c>
      <c r="C165" s="3">
        <v>1</v>
      </c>
      <c r="D165" s="5">
        <v>37.130000000000003</v>
      </c>
      <c r="E165" s="3" t="s">
        <v>9390</v>
      </c>
      <c r="F165" s="2" t="s">
        <v>74</v>
      </c>
      <c r="G165" s="6" t="s">
        <v>181</v>
      </c>
      <c r="H165" s="2" t="s">
        <v>284</v>
      </c>
      <c r="I165" s="2" t="s">
        <v>408</v>
      </c>
      <c r="J165" s="2" t="s">
        <v>19</v>
      </c>
      <c r="K165" s="2" t="s">
        <v>409</v>
      </c>
      <c r="L165" s="7" t="str">
        <f>HYPERLINK("http://slimages.macys.com/is/image/MCY/11943155 ")</f>
        <v xml:space="preserve">http://slimages.macys.com/is/image/MCY/11943155 </v>
      </c>
    </row>
    <row r="166" spans="1:12" ht="24.75" x14ac:dyDescent="0.25">
      <c r="A166" s="4" t="s">
        <v>597</v>
      </c>
      <c r="B166" s="2" t="s">
        <v>595</v>
      </c>
      <c r="C166" s="3">
        <v>1</v>
      </c>
      <c r="D166" s="5">
        <v>44.63</v>
      </c>
      <c r="E166" s="3">
        <v>100018127</v>
      </c>
      <c r="F166" s="2" t="s">
        <v>579</v>
      </c>
      <c r="G166" s="6" t="s">
        <v>181</v>
      </c>
      <c r="H166" s="2" t="s">
        <v>194</v>
      </c>
      <c r="I166" s="2" t="s">
        <v>195</v>
      </c>
      <c r="J166" s="2" t="s">
        <v>19</v>
      </c>
      <c r="K166" s="2" t="s">
        <v>34</v>
      </c>
      <c r="L166" s="7" t="str">
        <f>HYPERLINK("http://slimages.macys.com/is/image/MCY/9694255 ")</f>
        <v xml:space="preserve">http://slimages.macys.com/is/image/MCY/9694255 </v>
      </c>
    </row>
    <row r="167" spans="1:12" ht="24.75" x14ac:dyDescent="0.25">
      <c r="A167" s="4" t="s">
        <v>2339</v>
      </c>
      <c r="B167" s="2" t="s">
        <v>2340</v>
      </c>
      <c r="C167" s="3">
        <v>1</v>
      </c>
      <c r="D167" s="5">
        <v>37.130000000000003</v>
      </c>
      <c r="E167" s="3" t="s">
        <v>2341</v>
      </c>
      <c r="F167" s="2" t="s">
        <v>111</v>
      </c>
      <c r="G167" s="6" t="s">
        <v>154</v>
      </c>
      <c r="H167" s="2" t="s">
        <v>194</v>
      </c>
      <c r="I167" s="2" t="s">
        <v>195</v>
      </c>
      <c r="J167" s="2" t="s">
        <v>19</v>
      </c>
      <c r="K167" s="2" t="s">
        <v>201</v>
      </c>
      <c r="L167" s="7" t="str">
        <f>HYPERLINK("http://slimages.macys.com/is/image/MCY/11804343 ")</f>
        <v xml:space="preserve">http://slimages.macys.com/is/image/MCY/11804343 </v>
      </c>
    </row>
    <row r="168" spans="1:12" ht="24.75" x14ac:dyDescent="0.25">
      <c r="A168" s="4" t="s">
        <v>11850</v>
      </c>
      <c r="B168" s="2" t="s">
        <v>606</v>
      </c>
      <c r="C168" s="3">
        <v>1</v>
      </c>
      <c r="D168" s="5">
        <v>37.130000000000003</v>
      </c>
      <c r="E168" s="3">
        <v>100054430</v>
      </c>
      <c r="F168" s="2" t="s">
        <v>579</v>
      </c>
      <c r="G168" s="6" t="s">
        <v>65</v>
      </c>
      <c r="H168" s="2" t="s">
        <v>194</v>
      </c>
      <c r="I168" s="2" t="s">
        <v>503</v>
      </c>
      <c r="J168" s="2" t="s">
        <v>19</v>
      </c>
      <c r="K168" s="2" t="s">
        <v>607</v>
      </c>
      <c r="L168" s="7" t="str">
        <f>HYPERLINK("http://slimages.macys.com/is/image/MCY/12063680 ")</f>
        <v xml:space="preserve">http://slimages.macys.com/is/image/MCY/12063680 </v>
      </c>
    </row>
    <row r="169" spans="1:12" ht="48.75" x14ac:dyDescent="0.25">
      <c r="A169" s="4" t="s">
        <v>11851</v>
      </c>
      <c r="B169" s="2" t="s">
        <v>599</v>
      </c>
      <c r="C169" s="3">
        <v>1</v>
      </c>
      <c r="D169" s="5">
        <v>37.130000000000003</v>
      </c>
      <c r="E169" s="3" t="s">
        <v>600</v>
      </c>
      <c r="F169" s="2" t="s">
        <v>15</v>
      </c>
      <c r="G169" s="6" t="s">
        <v>234</v>
      </c>
      <c r="H169" s="2" t="s">
        <v>194</v>
      </c>
      <c r="I169" s="2" t="s">
        <v>195</v>
      </c>
      <c r="J169" s="2" t="s">
        <v>19</v>
      </c>
      <c r="K169" s="2" t="s">
        <v>601</v>
      </c>
      <c r="L169" s="7" t="str">
        <f>HYPERLINK("http://slimages.macys.com/is/image/MCY/12734338 ")</f>
        <v xml:space="preserve">http://slimages.macys.com/is/image/MCY/12734338 </v>
      </c>
    </row>
    <row r="170" spans="1:12" ht="24.75" x14ac:dyDescent="0.25">
      <c r="A170" s="4" t="s">
        <v>11852</v>
      </c>
      <c r="B170" s="2" t="s">
        <v>10479</v>
      </c>
      <c r="C170" s="3">
        <v>1</v>
      </c>
      <c r="D170" s="5">
        <v>40.880000000000003</v>
      </c>
      <c r="E170" s="3" t="s">
        <v>10574</v>
      </c>
      <c r="F170" s="2" t="s">
        <v>26</v>
      </c>
      <c r="G170" s="6" t="s">
        <v>200</v>
      </c>
      <c r="H170" s="2" t="s">
        <v>284</v>
      </c>
      <c r="I170" s="2" t="s">
        <v>408</v>
      </c>
      <c r="J170" s="2" t="s">
        <v>19</v>
      </c>
      <c r="K170" s="2" t="s">
        <v>409</v>
      </c>
      <c r="L170" s="7" t="str">
        <f>HYPERLINK("http://slimages.macys.com/is/image/MCY/13382940 ")</f>
        <v xml:space="preserve">http://slimages.macys.com/is/image/MCY/13382940 </v>
      </c>
    </row>
    <row r="171" spans="1:12" ht="48.75" x14ac:dyDescent="0.25">
      <c r="A171" s="4" t="s">
        <v>11853</v>
      </c>
      <c r="B171" s="2" t="s">
        <v>784</v>
      </c>
      <c r="C171" s="3">
        <v>1</v>
      </c>
      <c r="D171" s="5">
        <v>34.99</v>
      </c>
      <c r="E171" s="3" t="s">
        <v>7186</v>
      </c>
      <c r="F171" s="2" t="s">
        <v>1296</v>
      </c>
      <c r="G171" s="6" t="s">
        <v>11854</v>
      </c>
      <c r="H171" s="2" t="s">
        <v>349</v>
      </c>
      <c r="I171" s="2" t="s">
        <v>408</v>
      </c>
      <c r="J171" s="2" t="s">
        <v>19</v>
      </c>
      <c r="K171" s="2" t="s">
        <v>787</v>
      </c>
      <c r="L171" s="7" t="str">
        <f>HYPERLINK("http://slimages.macys.com/is/image/MCY/9789681 ")</f>
        <v xml:space="preserve">http://slimages.macys.com/is/image/MCY/9789681 </v>
      </c>
    </row>
    <row r="172" spans="1:12" ht="24.75" x14ac:dyDescent="0.25">
      <c r="A172" s="4" t="s">
        <v>11855</v>
      </c>
      <c r="B172" s="2" t="s">
        <v>606</v>
      </c>
      <c r="C172" s="3">
        <v>1</v>
      </c>
      <c r="D172" s="5">
        <v>37.130000000000003</v>
      </c>
      <c r="E172" s="3" t="s">
        <v>8972</v>
      </c>
      <c r="F172" s="2" t="s">
        <v>579</v>
      </c>
      <c r="G172" s="6" t="s">
        <v>802</v>
      </c>
      <c r="H172" s="2" t="s">
        <v>312</v>
      </c>
      <c r="I172" s="2" t="s">
        <v>503</v>
      </c>
      <c r="J172" s="2" t="s">
        <v>19</v>
      </c>
      <c r="K172" s="2" t="s">
        <v>607</v>
      </c>
      <c r="L172" s="7" t="str">
        <f>HYPERLINK("http://slimages.macys.com/is/image/MCY/12063680 ")</f>
        <v xml:space="preserve">http://slimages.macys.com/is/image/MCY/12063680 </v>
      </c>
    </row>
    <row r="173" spans="1:12" ht="48.75" x14ac:dyDescent="0.25">
      <c r="A173" s="4" t="s">
        <v>11856</v>
      </c>
      <c r="B173" s="2" t="s">
        <v>784</v>
      </c>
      <c r="C173" s="3">
        <v>2</v>
      </c>
      <c r="D173" s="5">
        <v>34.99</v>
      </c>
      <c r="E173" s="3" t="s">
        <v>7186</v>
      </c>
      <c r="F173" s="2" t="s">
        <v>1296</v>
      </c>
      <c r="G173" s="6" t="s">
        <v>786</v>
      </c>
      <c r="H173" s="2" t="s">
        <v>349</v>
      </c>
      <c r="I173" s="2" t="s">
        <v>408</v>
      </c>
      <c r="J173" s="2" t="s">
        <v>19</v>
      </c>
      <c r="K173" s="2" t="s">
        <v>787</v>
      </c>
      <c r="L173" s="7" t="str">
        <f>HYPERLINK("http://slimages.macys.com/is/image/MCY/9789681 ")</f>
        <v xml:space="preserve">http://slimages.macys.com/is/image/MCY/9789681 </v>
      </c>
    </row>
    <row r="174" spans="1:12" ht="48.75" x14ac:dyDescent="0.25">
      <c r="A174" s="4" t="s">
        <v>7185</v>
      </c>
      <c r="B174" s="2" t="s">
        <v>784</v>
      </c>
      <c r="C174" s="3">
        <v>2</v>
      </c>
      <c r="D174" s="5">
        <v>34.99</v>
      </c>
      <c r="E174" s="3" t="s">
        <v>7186</v>
      </c>
      <c r="F174" s="2" t="s">
        <v>1296</v>
      </c>
      <c r="G174" s="6" t="s">
        <v>2250</v>
      </c>
      <c r="H174" s="2" t="s">
        <v>349</v>
      </c>
      <c r="I174" s="2" t="s">
        <v>408</v>
      </c>
      <c r="J174" s="2" t="s">
        <v>19</v>
      </c>
      <c r="K174" s="2" t="s">
        <v>787</v>
      </c>
      <c r="L174" s="7" t="str">
        <f>HYPERLINK("http://slimages.macys.com/is/image/MCY/9789681 ")</f>
        <v xml:space="preserve">http://slimages.macys.com/is/image/MCY/9789681 </v>
      </c>
    </row>
    <row r="175" spans="1:12" ht="48.75" x14ac:dyDescent="0.25">
      <c r="A175" s="4" t="s">
        <v>11857</v>
      </c>
      <c r="B175" s="2" t="s">
        <v>784</v>
      </c>
      <c r="C175" s="3">
        <v>1</v>
      </c>
      <c r="D175" s="5">
        <v>34.99</v>
      </c>
      <c r="E175" s="3" t="s">
        <v>7186</v>
      </c>
      <c r="F175" s="2" t="s">
        <v>1296</v>
      </c>
      <c r="G175" s="6" t="s">
        <v>3385</v>
      </c>
      <c r="H175" s="2" t="s">
        <v>349</v>
      </c>
      <c r="I175" s="2" t="s">
        <v>408</v>
      </c>
      <c r="J175" s="2" t="s">
        <v>19</v>
      </c>
      <c r="K175" s="2" t="s">
        <v>787</v>
      </c>
      <c r="L175" s="7" t="str">
        <f>HYPERLINK("http://slimages.macys.com/is/image/MCY/9789681 ")</f>
        <v xml:space="preserve">http://slimages.macys.com/is/image/MCY/9789681 </v>
      </c>
    </row>
    <row r="176" spans="1:12" ht="24.75" x14ac:dyDescent="0.25">
      <c r="A176" s="4" t="s">
        <v>11858</v>
      </c>
      <c r="B176" s="2" t="s">
        <v>623</v>
      </c>
      <c r="C176" s="3">
        <v>1</v>
      </c>
      <c r="D176" s="5">
        <v>44.63</v>
      </c>
      <c r="E176" s="3" t="s">
        <v>624</v>
      </c>
      <c r="F176" s="2" t="s">
        <v>15</v>
      </c>
      <c r="G176" s="6" t="s">
        <v>156</v>
      </c>
      <c r="H176" s="2" t="s">
        <v>194</v>
      </c>
      <c r="I176" s="2" t="s">
        <v>195</v>
      </c>
      <c r="J176" s="2" t="s">
        <v>19</v>
      </c>
      <c r="K176" s="2" t="s">
        <v>495</v>
      </c>
      <c r="L176" s="7" t="str">
        <f>HYPERLINK("http://slimages.macys.com/is/image/MCY/12950234 ")</f>
        <v xml:space="preserve">http://slimages.macys.com/is/image/MCY/12950234 </v>
      </c>
    </row>
    <row r="177" spans="1:12" ht="24.75" x14ac:dyDescent="0.25">
      <c r="A177" s="4" t="s">
        <v>11859</v>
      </c>
      <c r="B177" s="2" t="s">
        <v>11860</v>
      </c>
      <c r="C177" s="3">
        <v>1</v>
      </c>
      <c r="D177" s="5">
        <v>69.5</v>
      </c>
      <c r="E177" s="3" t="s">
        <v>11861</v>
      </c>
      <c r="F177" s="2" t="s">
        <v>64</v>
      </c>
      <c r="G177" s="6" t="s">
        <v>106</v>
      </c>
      <c r="H177" s="2" t="s">
        <v>386</v>
      </c>
      <c r="I177" s="2" t="s">
        <v>337</v>
      </c>
      <c r="J177" s="2" t="s">
        <v>19</v>
      </c>
      <c r="K177" s="2" t="s">
        <v>387</v>
      </c>
      <c r="L177" s="7" t="str">
        <f>HYPERLINK("http://slimages.macys.com/is/image/MCY/11535562 ")</f>
        <v xml:space="preserve">http://slimages.macys.com/is/image/MCY/11535562 </v>
      </c>
    </row>
    <row r="178" spans="1:12" ht="24.75" x14ac:dyDescent="0.25">
      <c r="A178" s="4" t="s">
        <v>11862</v>
      </c>
      <c r="B178" s="2" t="s">
        <v>11863</v>
      </c>
      <c r="C178" s="3">
        <v>1</v>
      </c>
      <c r="D178" s="5">
        <v>44.63</v>
      </c>
      <c r="E178" s="3">
        <v>100056109</v>
      </c>
      <c r="F178" s="2" t="s">
        <v>680</v>
      </c>
      <c r="G178" s="6" t="s">
        <v>234</v>
      </c>
      <c r="H178" s="2" t="s">
        <v>194</v>
      </c>
      <c r="I178" s="2" t="s">
        <v>195</v>
      </c>
      <c r="J178" s="2" t="s">
        <v>19</v>
      </c>
      <c r="K178" s="2" t="s">
        <v>247</v>
      </c>
      <c r="L178" s="7" t="str">
        <f>HYPERLINK("http://slimages.macys.com/is/image/MCY/12734286 ")</f>
        <v xml:space="preserve">http://slimages.macys.com/is/image/MCY/12734286 </v>
      </c>
    </row>
    <row r="179" spans="1:12" ht="24.75" x14ac:dyDescent="0.25">
      <c r="A179" s="4" t="s">
        <v>10584</v>
      </c>
      <c r="B179" s="2" t="s">
        <v>10585</v>
      </c>
      <c r="C179" s="3">
        <v>4</v>
      </c>
      <c r="D179" s="5">
        <v>44.63</v>
      </c>
      <c r="E179" s="3" t="s">
        <v>10586</v>
      </c>
      <c r="F179" s="2" t="s">
        <v>48</v>
      </c>
      <c r="G179" s="6" t="s">
        <v>234</v>
      </c>
      <c r="H179" s="2" t="s">
        <v>194</v>
      </c>
      <c r="I179" s="2" t="s">
        <v>195</v>
      </c>
      <c r="J179" s="2" t="s">
        <v>19</v>
      </c>
      <c r="K179" s="2" t="s">
        <v>648</v>
      </c>
      <c r="L179" s="7" t="str">
        <f>HYPERLINK("http://slimages.macys.com/is/image/MCY/13120803 ")</f>
        <v xml:space="preserve">http://slimages.macys.com/is/image/MCY/13120803 </v>
      </c>
    </row>
    <row r="180" spans="1:12" ht="24.75" x14ac:dyDescent="0.25">
      <c r="A180" s="4" t="s">
        <v>10588</v>
      </c>
      <c r="B180" s="2" t="s">
        <v>10585</v>
      </c>
      <c r="C180" s="3">
        <v>1</v>
      </c>
      <c r="D180" s="5">
        <v>44.63</v>
      </c>
      <c r="E180" s="3" t="s">
        <v>10586</v>
      </c>
      <c r="F180" s="2" t="s">
        <v>48</v>
      </c>
      <c r="G180" s="6" t="s">
        <v>156</v>
      </c>
      <c r="H180" s="2" t="s">
        <v>194</v>
      </c>
      <c r="I180" s="2" t="s">
        <v>195</v>
      </c>
      <c r="J180" s="2" t="s">
        <v>19</v>
      </c>
      <c r="K180" s="2" t="s">
        <v>648</v>
      </c>
      <c r="L180" s="7" t="str">
        <f>HYPERLINK("http://slimages.macys.com/is/image/MCY/13120803 ")</f>
        <v xml:space="preserve">http://slimages.macys.com/is/image/MCY/13120803 </v>
      </c>
    </row>
    <row r="181" spans="1:12" ht="24.75" x14ac:dyDescent="0.25">
      <c r="A181" s="4" t="s">
        <v>10587</v>
      </c>
      <c r="B181" s="2" t="s">
        <v>10585</v>
      </c>
      <c r="C181" s="3">
        <v>2</v>
      </c>
      <c r="D181" s="5">
        <v>44.63</v>
      </c>
      <c r="E181" s="3" t="s">
        <v>10586</v>
      </c>
      <c r="F181" s="2" t="s">
        <v>48</v>
      </c>
      <c r="G181" s="6" t="s">
        <v>181</v>
      </c>
      <c r="H181" s="2" t="s">
        <v>194</v>
      </c>
      <c r="I181" s="2" t="s">
        <v>195</v>
      </c>
      <c r="J181" s="2" t="s">
        <v>19</v>
      </c>
      <c r="K181" s="2" t="s">
        <v>648</v>
      </c>
      <c r="L181" s="7" t="str">
        <f>HYPERLINK("http://slimages.macys.com/is/image/MCY/13120803 ")</f>
        <v xml:space="preserve">http://slimages.macys.com/is/image/MCY/13120803 </v>
      </c>
    </row>
    <row r="182" spans="1:12" ht="24.75" x14ac:dyDescent="0.25">
      <c r="A182" s="4" t="s">
        <v>11864</v>
      </c>
      <c r="B182" s="2" t="s">
        <v>11865</v>
      </c>
      <c r="C182" s="3">
        <v>1</v>
      </c>
      <c r="D182" s="5">
        <v>44.63</v>
      </c>
      <c r="E182" s="3" t="s">
        <v>11866</v>
      </c>
      <c r="F182" s="2" t="s">
        <v>125</v>
      </c>
      <c r="G182" s="6" t="s">
        <v>234</v>
      </c>
      <c r="H182" s="2" t="s">
        <v>194</v>
      </c>
      <c r="I182" s="2" t="s">
        <v>195</v>
      </c>
      <c r="J182" s="2" t="s">
        <v>19</v>
      </c>
      <c r="K182" s="2" t="s">
        <v>438</v>
      </c>
      <c r="L182" s="7" t="str">
        <f>HYPERLINK("http://slimages.macys.com/is/image/MCY/12279907 ")</f>
        <v xml:space="preserve">http://slimages.macys.com/is/image/MCY/12279907 </v>
      </c>
    </row>
    <row r="183" spans="1:12" ht="24.75" x14ac:dyDescent="0.25">
      <c r="A183" s="4" t="s">
        <v>11867</v>
      </c>
      <c r="B183" s="2" t="s">
        <v>7189</v>
      </c>
      <c r="C183" s="3">
        <v>1</v>
      </c>
      <c r="D183" s="5">
        <v>69.5</v>
      </c>
      <c r="E183" s="3" t="s">
        <v>7190</v>
      </c>
      <c r="F183" s="2" t="s">
        <v>74</v>
      </c>
      <c r="G183" s="6"/>
      <c r="H183" s="2" t="s">
        <v>127</v>
      </c>
      <c r="I183" s="2" t="s">
        <v>128</v>
      </c>
      <c r="J183" s="2" t="s">
        <v>19</v>
      </c>
      <c r="K183" s="2" t="s">
        <v>160</v>
      </c>
      <c r="L183" s="7" t="str">
        <f>HYPERLINK("http://slimages.macys.com/is/image/MCY/14313187 ")</f>
        <v xml:space="preserve">http://slimages.macys.com/is/image/MCY/14313187 </v>
      </c>
    </row>
    <row r="184" spans="1:12" ht="48.75" x14ac:dyDescent="0.25">
      <c r="A184" s="4" t="s">
        <v>11868</v>
      </c>
      <c r="B184" s="2" t="s">
        <v>10590</v>
      </c>
      <c r="C184" s="3">
        <v>1</v>
      </c>
      <c r="D184" s="5">
        <v>40.880000000000003</v>
      </c>
      <c r="E184" s="3" t="s">
        <v>10591</v>
      </c>
      <c r="F184" s="2" t="s">
        <v>74</v>
      </c>
      <c r="G184" s="6" t="s">
        <v>154</v>
      </c>
      <c r="H184" s="2" t="s">
        <v>284</v>
      </c>
      <c r="I184" s="2" t="s">
        <v>408</v>
      </c>
      <c r="J184" s="2" t="s">
        <v>19</v>
      </c>
      <c r="K184" s="2" t="s">
        <v>10592</v>
      </c>
      <c r="L184" s="7" t="str">
        <f>HYPERLINK("http://slimages.macys.com/is/image/MCY/12034583 ")</f>
        <v xml:space="preserve">http://slimages.macys.com/is/image/MCY/12034583 </v>
      </c>
    </row>
    <row r="185" spans="1:12" ht="24.75" x14ac:dyDescent="0.25">
      <c r="A185" s="4" t="s">
        <v>11869</v>
      </c>
      <c r="B185" s="2" t="s">
        <v>11870</v>
      </c>
      <c r="C185" s="3">
        <v>1</v>
      </c>
      <c r="D185" s="5">
        <v>40.880000000000003</v>
      </c>
      <c r="E185" s="3" t="s">
        <v>11871</v>
      </c>
      <c r="F185" s="2" t="s">
        <v>74</v>
      </c>
      <c r="G185" s="6" t="s">
        <v>156</v>
      </c>
      <c r="H185" s="2" t="s">
        <v>284</v>
      </c>
      <c r="I185" s="2" t="s">
        <v>408</v>
      </c>
      <c r="J185" s="2" t="s">
        <v>19</v>
      </c>
      <c r="K185" s="2" t="s">
        <v>409</v>
      </c>
      <c r="L185" s="7" t="str">
        <f>HYPERLINK("http://slimages.macys.com/is/image/MCY/11939905 ")</f>
        <v xml:space="preserve">http://slimages.macys.com/is/image/MCY/11939905 </v>
      </c>
    </row>
    <row r="186" spans="1:12" ht="48.75" x14ac:dyDescent="0.25">
      <c r="A186" s="4" t="s">
        <v>10589</v>
      </c>
      <c r="B186" s="2" t="s">
        <v>10590</v>
      </c>
      <c r="C186" s="3">
        <v>1</v>
      </c>
      <c r="D186" s="5">
        <v>40.880000000000003</v>
      </c>
      <c r="E186" s="3" t="s">
        <v>10591</v>
      </c>
      <c r="F186" s="2" t="s">
        <v>74</v>
      </c>
      <c r="G186" s="6" t="s">
        <v>181</v>
      </c>
      <c r="H186" s="2" t="s">
        <v>284</v>
      </c>
      <c r="I186" s="2" t="s">
        <v>408</v>
      </c>
      <c r="J186" s="2" t="s">
        <v>19</v>
      </c>
      <c r="K186" s="2" t="s">
        <v>10592</v>
      </c>
      <c r="L186" s="7" t="str">
        <f>HYPERLINK("http://slimages.macys.com/is/image/MCY/12034583 ")</f>
        <v xml:space="preserve">http://slimages.macys.com/is/image/MCY/12034583 </v>
      </c>
    </row>
    <row r="187" spans="1:12" ht="24.75" x14ac:dyDescent="0.25">
      <c r="A187" s="4" t="s">
        <v>11872</v>
      </c>
      <c r="B187" s="2" t="s">
        <v>11870</v>
      </c>
      <c r="C187" s="3">
        <v>1</v>
      </c>
      <c r="D187" s="5">
        <v>40.880000000000003</v>
      </c>
      <c r="E187" s="3" t="s">
        <v>11871</v>
      </c>
      <c r="F187" s="2" t="s">
        <v>74</v>
      </c>
      <c r="G187" s="6" t="s">
        <v>234</v>
      </c>
      <c r="H187" s="2" t="s">
        <v>284</v>
      </c>
      <c r="I187" s="2" t="s">
        <v>408</v>
      </c>
      <c r="J187" s="2" t="s">
        <v>19</v>
      </c>
      <c r="K187" s="2" t="s">
        <v>409</v>
      </c>
      <c r="L187" s="7" t="str">
        <f>HYPERLINK("http://slimages.macys.com/is/image/MCY/11939905 ")</f>
        <v xml:space="preserve">http://slimages.macys.com/is/image/MCY/11939905 </v>
      </c>
    </row>
    <row r="188" spans="1:12" ht="24.75" x14ac:dyDescent="0.25">
      <c r="A188" s="4" t="s">
        <v>11873</v>
      </c>
      <c r="B188" s="2" t="s">
        <v>11874</v>
      </c>
      <c r="C188" s="3">
        <v>2</v>
      </c>
      <c r="D188" s="5">
        <v>40.880000000000003</v>
      </c>
      <c r="E188" s="3" t="s">
        <v>11875</v>
      </c>
      <c r="F188" s="2" t="s">
        <v>15</v>
      </c>
      <c r="G188" s="6" t="s">
        <v>181</v>
      </c>
      <c r="H188" s="2" t="s">
        <v>284</v>
      </c>
      <c r="I188" s="2" t="s">
        <v>285</v>
      </c>
      <c r="J188" s="2" t="s">
        <v>19</v>
      </c>
      <c r="K188" s="2" t="s">
        <v>160</v>
      </c>
      <c r="L188" s="7" t="str">
        <f>HYPERLINK("http://slimages.macys.com/is/image/MCY/10527076 ")</f>
        <v xml:space="preserve">http://slimages.macys.com/is/image/MCY/10527076 </v>
      </c>
    </row>
    <row r="189" spans="1:12" ht="24.75" x14ac:dyDescent="0.25">
      <c r="A189" s="4" t="s">
        <v>11876</v>
      </c>
      <c r="B189" s="2" t="s">
        <v>11874</v>
      </c>
      <c r="C189" s="3">
        <v>3</v>
      </c>
      <c r="D189" s="5">
        <v>40.880000000000003</v>
      </c>
      <c r="E189" s="3" t="s">
        <v>11875</v>
      </c>
      <c r="F189" s="2" t="s">
        <v>15</v>
      </c>
      <c r="G189" s="6" t="s">
        <v>154</v>
      </c>
      <c r="H189" s="2" t="s">
        <v>284</v>
      </c>
      <c r="I189" s="2" t="s">
        <v>285</v>
      </c>
      <c r="J189" s="2" t="s">
        <v>19</v>
      </c>
      <c r="K189" s="2" t="s">
        <v>160</v>
      </c>
      <c r="L189" s="7" t="str">
        <f>HYPERLINK("http://slimages.macys.com/is/image/MCY/10527076 ")</f>
        <v xml:space="preserve">http://slimages.macys.com/is/image/MCY/10527076 </v>
      </c>
    </row>
    <row r="190" spans="1:12" ht="24.75" x14ac:dyDescent="0.25">
      <c r="A190" s="4" t="s">
        <v>11877</v>
      </c>
      <c r="B190" s="2" t="s">
        <v>11874</v>
      </c>
      <c r="C190" s="3">
        <v>1</v>
      </c>
      <c r="D190" s="5">
        <v>40.880000000000003</v>
      </c>
      <c r="E190" s="3" t="s">
        <v>11875</v>
      </c>
      <c r="F190" s="2" t="s">
        <v>15</v>
      </c>
      <c r="G190" s="6" t="s">
        <v>234</v>
      </c>
      <c r="H190" s="2" t="s">
        <v>284</v>
      </c>
      <c r="I190" s="2" t="s">
        <v>285</v>
      </c>
      <c r="J190" s="2" t="s">
        <v>19</v>
      </c>
      <c r="K190" s="2" t="s">
        <v>160</v>
      </c>
      <c r="L190" s="7" t="str">
        <f>HYPERLINK("http://slimages.macys.com/is/image/MCY/10527076 ")</f>
        <v xml:space="preserve">http://slimages.macys.com/is/image/MCY/10527076 </v>
      </c>
    </row>
    <row r="191" spans="1:12" ht="48.75" x14ac:dyDescent="0.25">
      <c r="A191" s="4" t="s">
        <v>11878</v>
      </c>
      <c r="B191" s="2" t="s">
        <v>11879</v>
      </c>
      <c r="C191" s="3">
        <v>3</v>
      </c>
      <c r="D191" s="5">
        <v>40.880000000000003</v>
      </c>
      <c r="E191" s="3" t="s">
        <v>11880</v>
      </c>
      <c r="F191" s="2" t="s">
        <v>26</v>
      </c>
      <c r="G191" s="6" t="s">
        <v>181</v>
      </c>
      <c r="H191" s="2" t="s">
        <v>194</v>
      </c>
      <c r="I191" s="2" t="s">
        <v>195</v>
      </c>
      <c r="J191" s="2" t="s">
        <v>19</v>
      </c>
      <c r="K191" s="2" t="s">
        <v>11881</v>
      </c>
      <c r="L191" s="7" t="str">
        <f>HYPERLINK("http://slimages.macys.com/is/image/MCY/12794057 ")</f>
        <v xml:space="preserve">http://slimages.macys.com/is/image/MCY/12794057 </v>
      </c>
    </row>
    <row r="192" spans="1:12" ht="48.75" x14ac:dyDescent="0.25">
      <c r="A192" s="4" t="s">
        <v>11882</v>
      </c>
      <c r="B192" s="2" t="s">
        <v>841</v>
      </c>
      <c r="C192" s="3">
        <v>1</v>
      </c>
      <c r="D192" s="5">
        <v>34.99</v>
      </c>
      <c r="E192" s="3" t="s">
        <v>842</v>
      </c>
      <c r="F192" s="2" t="s">
        <v>26</v>
      </c>
      <c r="G192" s="6" t="s">
        <v>9319</v>
      </c>
      <c r="H192" s="2" t="s">
        <v>349</v>
      </c>
      <c r="I192" s="2" t="s">
        <v>408</v>
      </c>
      <c r="J192" s="2" t="s">
        <v>19</v>
      </c>
      <c r="K192" s="2" t="s">
        <v>787</v>
      </c>
      <c r="L192" s="7" t="str">
        <f>HYPERLINK("http://slimages.macys.com/is/image/MCY/3935281 ")</f>
        <v xml:space="preserve">http://slimages.macys.com/is/image/MCY/3935281 </v>
      </c>
    </row>
    <row r="193" spans="1:12" ht="24.75" x14ac:dyDescent="0.25">
      <c r="A193" s="4" t="s">
        <v>643</v>
      </c>
      <c r="B193" s="2" t="s">
        <v>641</v>
      </c>
      <c r="C193" s="3">
        <v>4</v>
      </c>
      <c r="D193" s="5">
        <v>34.99</v>
      </c>
      <c r="E193" s="3" t="s">
        <v>644</v>
      </c>
      <c r="F193" s="2" t="s">
        <v>26</v>
      </c>
      <c r="G193" s="6" t="s">
        <v>348</v>
      </c>
      <c r="H193" s="2" t="s">
        <v>349</v>
      </c>
      <c r="I193" s="2" t="s">
        <v>408</v>
      </c>
      <c r="J193" s="2" t="s">
        <v>19</v>
      </c>
      <c r="K193" s="2" t="s">
        <v>409</v>
      </c>
      <c r="L193" s="7" t="str">
        <f>HYPERLINK("http://slimages.macys.com/is/image/MCY/9420343 ")</f>
        <v xml:space="preserve">http://slimages.macys.com/is/image/MCY/9420343 </v>
      </c>
    </row>
    <row r="194" spans="1:12" ht="24.75" x14ac:dyDescent="0.25">
      <c r="A194" s="4" t="s">
        <v>7197</v>
      </c>
      <c r="B194" s="2" t="s">
        <v>641</v>
      </c>
      <c r="C194" s="3">
        <v>11</v>
      </c>
      <c r="D194" s="5">
        <v>34.99</v>
      </c>
      <c r="E194" s="3" t="s">
        <v>644</v>
      </c>
      <c r="F194" s="2" t="s">
        <v>26</v>
      </c>
      <c r="G194" s="6" t="s">
        <v>2276</v>
      </c>
      <c r="H194" s="2" t="s">
        <v>349</v>
      </c>
      <c r="I194" s="2" t="s">
        <v>408</v>
      </c>
      <c r="J194" s="2" t="s">
        <v>19</v>
      </c>
      <c r="K194" s="2" t="s">
        <v>409</v>
      </c>
      <c r="L194" s="7" t="str">
        <f>HYPERLINK("http://slimages.macys.com/is/image/MCY/9420343 ")</f>
        <v xml:space="preserve">http://slimages.macys.com/is/image/MCY/9420343 </v>
      </c>
    </row>
    <row r="195" spans="1:12" ht="24.75" x14ac:dyDescent="0.25">
      <c r="A195" s="4" t="s">
        <v>3503</v>
      </c>
      <c r="B195" s="2" t="s">
        <v>641</v>
      </c>
      <c r="C195" s="3">
        <v>1</v>
      </c>
      <c r="D195" s="5">
        <v>34.99</v>
      </c>
      <c r="E195" s="3" t="s">
        <v>642</v>
      </c>
      <c r="F195" s="2" t="s">
        <v>64</v>
      </c>
      <c r="G195" s="6" t="s">
        <v>2276</v>
      </c>
      <c r="H195" s="2" t="s">
        <v>349</v>
      </c>
      <c r="I195" s="2" t="s">
        <v>408</v>
      </c>
      <c r="J195" s="2" t="s">
        <v>19</v>
      </c>
      <c r="K195" s="2" t="s">
        <v>409</v>
      </c>
      <c r="L195" s="7" t="str">
        <f>HYPERLINK("http://slimages.macys.com/is/image/MCY/9297288 ")</f>
        <v xml:space="preserve">http://slimages.macys.com/is/image/MCY/9297288 </v>
      </c>
    </row>
    <row r="196" spans="1:12" ht="24.75" x14ac:dyDescent="0.25">
      <c r="A196" s="4" t="s">
        <v>11883</v>
      </c>
      <c r="B196" s="2" t="s">
        <v>641</v>
      </c>
      <c r="C196" s="3">
        <v>11</v>
      </c>
      <c r="D196" s="5">
        <v>34.99</v>
      </c>
      <c r="E196" s="3" t="s">
        <v>644</v>
      </c>
      <c r="F196" s="2" t="s">
        <v>26</v>
      </c>
      <c r="G196" s="6" t="s">
        <v>746</v>
      </c>
      <c r="H196" s="2" t="s">
        <v>349</v>
      </c>
      <c r="I196" s="2" t="s">
        <v>408</v>
      </c>
      <c r="J196" s="2" t="s">
        <v>19</v>
      </c>
      <c r="K196" s="2" t="s">
        <v>409</v>
      </c>
      <c r="L196" s="7" t="str">
        <f>HYPERLINK("http://slimages.macys.com/is/image/MCY/9420343 ")</f>
        <v xml:space="preserve">http://slimages.macys.com/is/image/MCY/9420343 </v>
      </c>
    </row>
    <row r="197" spans="1:12" ht="48.75" x14ac:dyDescent="0.25">
      <c r="A197" s="4" t="s">
        <v>11884</v>
      </c>
      <c r="B197" s="2" t="s">
        <v>11885</v>
      </c>
      <c r="C197" s="3">
        <v>1</v>
      </c>
      <c r="D197" s="5">
        <v>40.880000000000003</v>
      </c>
      <c r="E197" s="3" t="s">
        <v>11886</v>
      </c>
      <c r="F197" s="2" t="s">
        <v>74</v>
      </c>
      <c r="G197" s="6" t="s">
        <v>234</v>
      </c>
      <c r="H197" s="2" t="s">
        <v>284</v>
      </c>
      <c r="I197" s="2" t="s">
        <v>736</v>
      </c>
      <c r="J197" s="2" t="s">
        <v>19</v>
      </c>
      <c r="K197" s="2" t="s">
        <v>11887</v>
      </c>
      <c r="L197" s="7" t="str">
        <f>HYPERLINK("http://slimages.macys.com/is/image/MCY/12461047 ")</f>
        <v xml:space="preserve">http://slimages.macys.com/is/image/MCY/12461047 </v>
      </c>
    </row>
    <row r="198" spans="1:12" ht="24.75" x14ac:dyDescent="0.25">
      <c r="A198" s="4" t="s">
        <v>11888</v>
      </c>
      <c r="B198" s="2" t="s">
        <v>8543</v>
      </c>
      <c r="C198" s="3">
        <v>1</v>
      </c>
      <c r="D198" s="5">
        <v>69.5</v>
      </c>
      <c r="E198" s="3" t="s">
        <v>7808</v>
      </c>
      <c r="F198" s="2" t="s">
        <v>15</v>
      </c>
      <c r="G198" s="6" t="s">
        <v>3715</v>
      </c>
      <c r="H198" s="2" t="s">
        <v>206</v>
      </c>
      <c r="I198" s="2" t="s">
        <v>207</v>
      </c>
      <c r="J198" s="2" t="s">
        <v>19</v>
      </c>
      <c r="K198" s="2" t="s">
        <v>7809</v>
      </c>
      <c r="L198" s="7" t="str">
        <f>HYPERLINK("http://slimages.macys.com/is/image/MCY/9381169 ")</f>
        <v xml:space="preserve">http://slimages.macys.com/is/image/MCY/9381169 </v>
      </c>
    </row>
    <row r="199" spans="1:12" ht="24.75" x14ac:dyDescent="0.25">
      <c r="A199" s="4" t="s">
        <v>11889</v>
      </c>
      <c r="B199" s="2" t="s">
        <v>11890</v>
      </c>
      <c r="C199" s="3">
        <v>1</v>
      </c>
      <c r="D199" s="5">
        <v>24.98</v>
      </c>
      <c r="E199" s="3">
        <v>9101</v>
      </c>
      <c r="F199" s="2" t="s">
        <v>494</v>
      </c>
      <c r="G199" s="6" t="s">
        <v>3744</v>
      </c>
      <c r="H199" s="2" t="s">
        <v>3402</v>
      </c>
      <c r="I199" s="2" t="s">
        <v>3409</v>
      </c>
      <c r="J199" s="2" t="s">
        <v>19</v>
      </c>
      <c r="K199" s="2" t="s">
        <v>34</v>
      </c>
      <c r="L199" s="7" t="str">
        <f>HYPERLINK("http://slimages.macys.com/is/image/MCY/3542180 ")</f>
        <v xml:space="preserve">http://slimages.macys.com/is/image/MCY/3542180 </v>
      </c>
    </row>
    <row r="200" spans="1:12" ht="24.75" x14ac:dyDescent="0.25">
      <c r="A200" s="4" t="s">
        <v>11891</v>
      </c>
      <c r="B200" s="2" t="s">
        <v>4928</v>
      </c>
      <c r="C200" s="3">
        <v>1</v>
      </c>
      <c r="D200" s="5">
        <v>24.98</v>
      </c>
      <c r="E200" s="3">
        <v>9300</v>
      </c>
      <c r="F200" s="2" t="s">
        <v>74</v>
      </c>
      <c r="G200" s="6" t="s">
        <v>9417</v>
      </c>
      <c r="H200" s="2" t="s">
        <v>447</v>
      </c>
      <c r="I200" s="2" t="s">
        <v>3409</v>
      </c>
      <c r="J200" s="2" t="s">
        <v>19</v>
      </c>
      <c r="K200" s="2" t="s">
        <v>34</v>
      </c>
      <c r="L200" s="7" t="str">
        <f>HYPERLINK("http://slimages.macys.com/is/image/MCY/663496 ")</f>
        <v xml:space="preserve">http://slimages.macys.com/is/image/MCY/663496 </v>
      </c>
    </row>
    <row r="201" spans="1:12" ht="24.75" x14ac:dyDescent="0.25">
      <c r="A201" s="4" t="s">
        <v>11892</v>
      </c>
      <c r="B201" s="2" t="s">
        <v>11893</v>
      </c>
      <c r="C201" s="3">
        <v>1</v>
      </c>
      <c r="D201" s="5">
        <v>24.98</v>
      </c>
      <c r="E201" s="3">
        <v>9100</v>
      </c>
      <c r="F201" s="2" t="s">
        <v>26</v>
      </c>
      <c r="G201" s="6" t="s">
        <v>4873</v>
      </c>
      <c r="H201" s="2" t="s">
        <v>3402</v>
      </c>
      <c r="I201" s="2" t="s">
        <v>3409</v>
      </c>
      <c r="J201" s="2" t="s">
        <v>19</v>
      </c>
      <c r="K201" s="2" t="s">
        <v>34</v>
      </c>
      <c r="L201" s="7" t="str">
        <f>HYPERLINK("http://slimages.macys.com/is/image/MCY/3542180 ")</f>
        <v xml:space="preserve">http://slimages.macys.com/is/image/MCY/3542180 </v>
      </c>
    </row>
    <row r="202" spans="1:12" ht="24.75" x14ac:dyDescent="0.25">
      <c r="A202" s="4" t="s">
        <v>11894</v>
      </c>
      <c r="B202" s="2" t="s">
        <v>11895</v>
      </c>
      <c r="C202" s="3">
        <v>3</v>
      </c>
      <c r="D202" s="5">
        <v>40.880000000000003</v>
      </c>
      <c r="E202" s="3">
        <v>100011937</v>
      </c>
      <c r="F202" s="2" t="s">
        <v>74</v>
      </c>
      <c r="G202" s="6" t="s">
        <v>234</v>
      </c>
      <c r="H202" s="2" t="s">
        <v>284</v>
      </c>
      <c r="I202" s="2" t="s">
        <v>285</v>
      </c>
      <c r="J202" s="2" t="s">
        <v>19</v>
      </c>
      <c r="K202" s="2" t="s">
        <v>11896</v>
      </c>
      <c r="L202" s="7" t="str">
        <f>HYPERLINK("http://slimages.macys.com/is/image/MCY/10703930 ")</f>
        <v xml:space="preserve">http://slimages.macys.com/is/image/MCY/10703930 </v>
      </c>
    </row>
    <row r="203" spans="1:12" ht="24.75" x14ac:dyDescent="0.25">
      <c r="A203" s="4" t="s">
        <v>10603</v>
      </c>
      <c r="B203" s="2" t="s">
        <v>7918</v>
      </c>
      <c r="C203" s="3">
        <v>1</v>
      </c>
      <c r="D203" s="5">
        <v>40.880000000000003</v>
      </c>
      <c r="E203" s="3" t="s">
        <v>10602</v>
      </c>
      <c r="F203" s="2" t="s">
        <v>33</v>
      </c>
      <c r="G203" s="6" t="s">
        <v>154</v>
      </c>
      <c r="H203" s="2" t="s">
        <v>194</v>
      </c>
      <c r="I203" s="2" t="s">
        <v>195</v>
      </c>
      <c r="J203" s="2" t="s">
        <v>19</v>
      </c>
      <c r="K203" s="2" t="s">
        <v>7920</v>
      </c>
      <c r="L203" s="7" t="str">
        <f>HYPERLINK("http://slimages.macys.com/is/image/MCY/12950227 ")</f>
        <v xml:space="preserve">http://slimages.macys.com/is/image/MCY/12950227 </v>
      </c>
    </row>
    <row r="204" spans="1:12" ht="24.75" x14ac:dyDescent="0.25">
      <c r="A204" s="4" t="s">
        <v>10604</v>
      </c>
      <c r="B204" s="2" t="s">
        <v>10605</v>
      </c>
      <c r="C204" s="3">
        <v>1</v>
      </c>
      <c r="D204" s="5">
        <v>52.13</v>
      </c>
      <c r="E204" s="3" t="s">
        <v>10606</v>
      </c>
      <c r="F204" s="2" t="s">
        <v>15</v>
      </c>
      <c r="G204" s="6" t="s">
        <v>154</v>
      </c>
      <c r="H204" s="2" t="s">
        <v>194</v>
      </c>
      <c r="I204" s="2" t="s">
        <v>580</v>
      </c>
      <c r="J204" s="2" t="s">
        <v>19</v>
      </c>
      <c r="K204" s="2" t="s">
        <v>160</v>
      </c>
      <c r="L204" s="7" t="str">
        <f>HYPERLINK("http://slimages.macys.com/is/image/MCY/12316632 ")</f>
        <v xml:space="preserve">http://slimages.macys.com/is/image/MCY/12316632 </v>
      </c>
    </row>
    <row r="205" spans="1:12" ht="24.75" x14ac:dyDescent="0.25">
      <c r="A205" s="4" t="s">
        <v>11897</v>
      </c>
      <c r="B205" s="2" t="s">
        <v>10605</v>
      </c>
      <c r="C205" s="3">
        <v>2</v>
      </c>
      <c r="D205" s="5">
        <v>52.13</v>
      </c>
      <c r="E205" s="3" t="s">
        <v>10606</v>
      </c>
      <c r="F205" s="2" t="s">
        <v>15</v>
      </c>
      <c r="G205" s="6" t="s">
        <v>200</v>
      </c>
      <c r="H205" s="2" t="s">
        <v>194</v>
      </c>
      <c r="I205" s="2" t="s">
        <v>580</v>
      </c>
      <c r="J205" s="2" t="s">
        <v>19</v>
      </c>
      <c r="K205" s="2" t="s">
        <v>160</v>
      </c>
      <c r="L205" s="7" t="str">
        <f>HYPERLINK("http://slimages.macys.com/is/image/MCY/12316632 ")</f>
        <v xml:space="preserve">http://slimages.macys.com/is/image/MCY/12316632 </v>
      </c>
    </row>
    <row r="206" spans="1:12" ht="24.75" x14ac:dyDescent="0.25">
      <c r="A206" s="4" t="s">
        <v>11898</v>
      </c>
      <c r="B206" s="2" t="s">
        <v>11899</v>
      </c>
      <c r="C206" s="3">
        <v>1</v>
      </c>
      <c r="D206" s="5">
        <v>40.880000000000003</v>
      </c>
      <c r="E206" s="3" t="s">
        <v>11900</v>
      </c>
      <c r="F206" s="2" t="s">
        <v>74</v>
      </c>
      <c r="G206" s="6" t="s">
        <v>200</v>
      </c>
      <c r="H206" s="2" t="s">
        <v>284</v>
      </c>
      <c r="I206" s="2" t="s">
        <v>285</v>
      </c>
      <c r="J206" s="2" t="s">
        <v>19</v>
      </c>
      <c r="K206" s="2" t="s">
        <v>11802</v>
      </c>
      <c r="L206" s="7" t="str">
        <f>HYPERLINK("http://slimages.macys.com/is/image/MCY/12271026 ")</f>
        <v xml:space="preserve">http://slimages.macys.com/is/image/MCY/12271026 </v>
      </c>
    </row>
    <row r="207" spans="1:12" ht="24.75" x14ac:dyDescent="0.25">
      <c r="A207" s="4" t="s">
        <v>11901</v>
      </c>
      <c r="B207" s="2" t="s">
        <v>11902</v>
      </c>
      <c r="C207" s="3">
        <v>1</v>
      </c>
      <c r="D207" s="5">
        <v>37.130000000000003</v>
      </c>
      <c r="E207" s="3" t="s">
        <v>11903</v>
      </c>
      <c r="F207" s="2" t="s">
        <v>70</v>
      </c>
      <c r="G207" s="6" t="s">
        <v>156</v>
      </c>
      <c r="H207" s="2" t="s">
        <v>194</v>
      </c>
      <c r="I207" s="2" t="s">
        <v>195</v>
      </c>
      <c r="J207" s="2" t="s">
        <v>19</v>
      </c>
      <c r="K207" s="2" t="s">
        <v>201</v>
      </c>
      <c r="L207" s="7" t="str">
        <f>HYPERLINK("http://slimages.macys.com/is/image/MCY/13924516 ")</f>
        <v xml:space="preserve">http://slimages.macys.com/is/image/MCY/13924516 </v>
      </c>
    </row>
    <row r="208" spans="1:12" ht="24.75" x14ac:dyDescent="0.25">
      <c r="A208" s="4" t="s">
        <v>11904</v>
      </c>
      <c r="B208" s="2" t="s">
        <v>11905</v>
      </c>
      <c r="C208" s="3">
        <v>2</v>
      </c>
      <c r="D208" s="5">
        <v>40.880000000000003</v>
      </c>
      <c r="E208" s="3" t="s">
        <v>11906</v>
      </c>
      <c r="F208" s="2" t="s">
        <v>74</v>
      </c>
      <c r="G208" s="6"/>
      <c r="H208" s="2" t="s">
        <v>312</v>
      </c>
      <c r="I208" s="2" t="s">
        <v>195</v>
      </c>
      <c r="J208" s="2" t="s">
        <v>19</v>
      </c>
      <c r="K208" s="2" t="s">
        <v>11907</v>
      </c>
      <c r="L208" s="7" t="str">
        <f>HYPERLINK("http://slimages.macys.com/is/image/MCY/13758514 ")</f>
        <v xml:space="preserve">http://slimages.macys.com/is/image/MCY/13758514 </v>
      </c>
    </row>
    <row r="209" spans="1:12" ht="24.75" x14ac:dyDescent="0.25">
      <c r="A209" s="4" t="s">
        <v>11908</v>
      </c>
      <c r="B209" s="2" t="s">
        <v>11909</v>
      </c>
      <c r="C209" s="3">
        <v>1</v>
      </c>
      <c r="D209" s="5">
        <v>69.5</v>
      </c>
      <c r="E209" s="3">
        <v>100068492</v>
      </c>
      <c r="F209" s="2" t="s">
        <v>53</v>
      </c>
      <c r="G209" s="6" t="s">
        <v>141</v>
      </c>
      <c r="H209" s="2" t="s">
        <v>386</v>
      </c>
      <c r="I209" s="2" t="s">
        <v>207</v>
      </c>
      <c r="J209" s="2" t="s">
        <v>19</v>
      </c>
      <c r="K209" s="2" t="s">
        <v>353</v>
      </c>
      <c r="L209" s="7" t="str">
        <f>HYPERLINK("http://slimages.macys.com/is/image/MCY/14476578 ")</f>
        <v xml:space="preserve">http://slimages.macys.com/is/image/MCY/14476578 </v>
      </c>
    </row>
    <row r="210" spans="1:12" ht="24.75" x14ac:dyDescent="0.25">
      <c r="A210" s="4" t="s">
        <v>11910</v>
      </c>
      <c r="B210" s="2" t="s">
        <v>4784</v>
      </c>
      <c r="C210" s="3">
        <v>1</v>
      </c>
      <c r="D210" s="5">
        <v>40.880000000000003</v>
      </c>
      <c r="E210" s="3" t="s">
        <v>11911</v>
      </c>
      <c r="F210" s="2" t="s">
        <v>74</v>
      </c>
      <c r="G210" s="6"/>
      <c r="H210" s="2" t="s">
        <v>349</v>
      </c>
      <c r="I210" s="2" t="s">
        <v>285</v>
      </c>
      <c r="J210" s="2" t="s">
        <v>19</v>
      </c>
      <c r="K210" s="2" t="s">
        <v>160</v>
      </c>
      <c r="L210" s="7" t="str">
        <f>HYPERLINK("http://slimages.macys.com/is/image/MCY/10124893 ")</f>
        <v xml:space="preserve">http://slimages.macys.com/is/image/MCY/10124893 </v>
      </c>
    </row>
    <row r="211" spans="1:12" ht="24.75" x14ac:dyDescent="0.25">
      <c r="A211" s="4" t="s">
        <v>11912</v>
      </c>
      <c r="B211" s="2" t="s">
        <v>4784</v>
      </c>
      <c r="C211" s="3">
        <v>1</v>
      </c>
      <c r="D211" s="5">
        <v>40.880000000000003</v>
      </c>
      <c r="E211" s="3" t="s">
        <v>11911</v>
      </c>
      <c r="F211" s="2" t="s">
        <v>74</v>
      </c>
      <c r="G211" s="6" t="s">
        <v>2276</v>
      </c>
      <c r="H211" s="2" t="s">
        <v>349</v>
      </c>
      <c r="I211" s="2" t="s">
        <v>285</v>
      </c>
      <c r="J211" s="2" t="s">
        <v>19</v>
      </c>
      <c r="K211" s="2" t="s">
        <v>160</v>
      </c>
      <c r="L211" s="7" t="str">
        <f>HYPERLINK("http://slimages.macys.com/is/image/MCY/10124893 ")</f>
        <v xml:space="preserve">http://slimages.macys.com/is/image/MCY/10124893 </v>
      </c>
    </row>
    <row r="212" spans="1:12" ht="24.75" x14ac:dyDescent="0.25">
      <c r="A212" s="4" t="s">
        <v>11913</v>
      </c>
      <c r="B212" s="2" t="s">
        <v>10041</v>
      </c>
      <c r="C212" s="3">
        <v>1</v>
      </c>
      <c r="D212" s="5">
        <v>44.63</v>
      </c>
      <c r="E212" s="3" t="s">
        <v>10042</v>
      </c>
      <c r="F212" s="2" t="s">
        <v>74</v>
      </c>
      <c r="G212" s="6" t="s">
        <v>65</v>
      </c>
      <c r="H212" s="2" t="s">
        <v>246</v>
      </c>
      <c r="I212" s="2" t="s">
        <v>487</v>
      </c>
      <c r="J212" s="2" t="s">
        <v>19</v>
      </c>
      <c r="K212" s="2" t="s">
        <v>10043</v>
      </c>
      <c r="L212" s="7" t="str">
        <f>HYPERLINK("http://slimages.macys.com/is/image/MCY/9258175 ")</f>
        <v xml:space="preserve">http://slimages.macys.com/is/image/MCY/9258175 </v>
      </c>
    </row>
    <row r="213" spans="1:12" ht="24.75" x14ac:dyDescent="0.25">
      <c r="A213" s="4" t="s">
        <v>7961</v>
      </c>
      <c r="B213" s="2" t="s">
        <v>707</v>
      </c>
      <c r="C213" s="3">
        <v>1</v>
      </c>
      <c r="D213" s="5">
        <v>40.880000000000003</v>
      </c>
      <c r="E213" s="3">
        <v>100047657</v>
      </c>
      <c r="F213" s="2" t="s">
        <v>376</v>
      </c>
      <c r="G213" s="6" t="s">
        <v>27</v>
      </c>
      <c r="H213" s="2" t="s">
        <v>194</v>
      </c>
      <c r="I213" s="2" t="s">
        <v>195</v>
      </c>
      <c r="J213" s="2" t="s">
        <v>19</v>
      </c>
      <c r="K213" s="2" t="s">
        <v>546</v>
      </c>
      <c r="L213" s="7" t="str">
        <f>HYPERLINK("http://slimages.macys.com/is/image/MCY/12143636 ")</f>
        <v xml:space="preserve">http://slimages.macys.com/is/image/MCY/12143636 </v>
      </c>
    </row>
    <row r="214" spans="1:12" ht="24.75" x14ac:dyDescent="0.25">
      <c r="A214" s="4" t="s">
        <v>2390</v>
      </c>
      <c r="B214" s="2" t="s">
        <v>707</v>
      </c>
      <c r="C214" s="3">
        <v>1</v>
      </c>
      <c r="D214" s="5">
        <v>40.880000000000003</v>
      </c>
      <c r="E214" s="3">
        <v>100047657</v>
      </c>
      <c r="F214" s="2" t="s">
        <v>376</v>
      </c>
      <c r="G214" s="6" t="s">
        <v>65</v>
      </c>
      <c r="H214" s="2" t="s">
        <v>194</v>
      </c>
      <c r="I214" s="2" t="s">
        <v>195</v>
      </c>
      <c r="J214" s="2" t="s">
        <v>19</v>
      </c>
      <c r="K214" s="2" t="s">
        <v>546</v>
      </c>
      <c r="L214" s="7" t="str">
        <f>HYPERLINK("http://slimages.macys.com/is/image/MCY/12143636 ")</f>
        <v xml:space="preserve">http://slimages.macys.com/is/image/MCY/12143636 </v>
      </c>
    </row>
    <row r="215" spans="1:12" ht="24.75" x14ac:dyDescent="0.25">
      <c r="A215" s="4" t="s">
        <v>10627</v>
      </c>
      <c r="B215" s="2" t="s">
        <v>10628</v>
      </c>
      <c r="C215" s="3">
        <v>1</v>
      </c>
      <c r="D215" s="5">
        <v>40.880000000000003</v>
      </c>
      <c r="E215" s="3" t="s">
        <v>10629</v>
      </c>
      <c r="F215" s="2" t="s">
        <v>26</v>
      </c>
      <c r="G215" s="6" t="s">
        <v>181</v>
      </c>
      <c r="H215" s="2" t="s">
        <v>194</v>
      </c>
      <c r="I215" s="2" t="s">
        <v>195</v>
      </c>
      <c r="J215" s="2" t="s">
        <v>19</v>
      </c>
      <c r="K215" s="2" t="s">
        <v>107</v>
      </c>
      <c r="L215" s="7" t="str">
        <f>HYPERLINK("http://slimages.macys.com/is/image/MCY/12802461 ")</f>
        <v xml:space="preserve">http://slimages.macys.com/is/image/MCY/12802461 </v>
      </c>
    </row>
    <row r="216" spans="1:12" ht="24.75" x14ac:dyDescent="0.25">
      <c r="A216" s="4" t="s">
        <v>11914</v>
      </c>
      <c r="B216" s="2" t="s">
        <v>11915</v>
      </c>
      <c r="C216" s="3">
        <v>1</v>
      </c>
      <c r="D216" s="5">
        <v>37.130000000000003</v>
      </c>
      <c r="E216" s="3" t="s">
        <v>11916</v>
      </c>
      <c r="F216" s="2" t="s">
        <v>376</v>
      </c>
      <c r="G216" s="6" t="s">
        <v>200</v>
      </c>
      <c r="H216" s="2" t="s">
        <v>284</v>
      </c>
      <c r="I216" s="2" t="s">
        <v>458</v>
      </c>
      <c r="J216" s="2" t="s">
        <v>19</v>
      </c>
      <c r="K216" s="2" t="s">
        <v>459</v>
      </c>
      <c r="L216" s="7" t="str">
        <f>HYPERLINK("http://slimages.macys.com/is/image/MCY/11713629 ")</f>
        <v xml:space="preserve">http://slimages.macys.com/is/image/MCY/11713629 </v>
      </c>
    </row>
    <row r="217" spans="1:12" ht="24.75" x14ac:dyDescent="0.25">
      <c r="A217" s="4" t="s">
        <v>11917</v>
      </c>
      <c r="B217" s="2" t="s">
        <v>11918</v>
      </c>
      <c r="C217" s="3">
        <v>1</v>
      </c>
      <c r="D217" s="5">
        <v>44.63</v>
      </c>
      <c r="E217" s="3" t="s">
        <v>11919</v>
      </c>
      <c r="F217" s="2" t="s">
        <v>64</v>
      </c>
      <c r="G217" s="6" t="s">
        <v>181</v>
      </c>
      <c r="H217" s="2" t="s">
        <v>246</v>
      </c>
      <c r="I217" s="2" t="s">
        <v>189</v>
      </c>
      <c r="J217" s="2" t="s">
        <v>19</v>
      </c>
      <c r="K217" s="2" t="s">
        <v>648</v>
      </c>
      <c r="L217" s="7" t="str">
        <f>HYPERLINK("http://slimages.macys.com/is/image/MCY/11915451 ")</f>
        <v xml:space="preserve">http://slimages.macys.com/is/image/MCY/11915451 </v>
      </c>
    </row>
    <row r="218" spans="1:12" ht="36.75" x14ac:dyDescent="0.25">
      <c r="A218" s="4" t="s">
        <v>11920</v>
      </c>
      <c r="B218" s="2" t="s">
        <v>3545</v>
      </c>
      <c r="C218" s="3">
        <v>1</v>
      </c>
      <c r="D218" s="5">
        <v>36.99</v>
      </c>
      <c r="E218" s="3" t="s">
        <v>3546</v>
      </c>
      <c r="F218" s="2" t="s">
        <v>53</v>
      </c>
      <c r="G218" s="6" t="s">
        <v>234</v>
      </c>
      <c r="H218" s="2" t="s">
        <v>284</v>
      </c>
      <c r="I218" s="2" t="s">
        <v>285</v>
      </c>
      <c r="J218" s="2" t="s">
        <v>19</v>
      </c>
      <c r="K218" s="2" t="s">
        <v>3554</v>
      </c>
      <c r="L218" s="7" t="str">
        <f>HYPERLINK("http://slimages.macys.com/is/image/MCY/13041414 ")</f>
        <v xml:space="preserve">http://slimages.macys.com/is/image/MCY/13041414 </v>
      </c>
    </row>
    <row r="219" spans="1:12" ht="24.75" x14ac:dyDescent="0.25">
      <c r="A219" s="4" t="s">
        <v>11921</v>
      </c>
      <c r="B219" s="2" t="s">
        <v>11922</v>
      </c>
      <c r="C219" s="3">
        <v>1</v>
      </c>
      <c r="D219" s="5">
        <v>48.38</v>
      </c>
      <c r="E219" s="3" t="s">
        <v>11923</v>
      </c>
      <c r="F219" s="2" t="s">
        <v>15</v>
      </c>
      <c r="G219" s="6" t="s">
        <v>2276</v>
      </c>
      <c r="H219" s="2" t="s">
        <v>349</v>
      </c>
      <c r="I219" s="2" t="s">
        <v>285</v>
      </c>
      <c r="J219" s="2" t="s">
        <v>19</v>
      </c>
      <c r="K219" s="2" t="s">
        <v>160</v>
      </c>
      <c r="L219" s="7" t="str">
        <f>HYPERLINK("http://slimages.macys.com/is/image/MCY/13534841 ")</f>
        <v xml:space="preserve">http://slimages.macys.com/is/image/MCY/13534841 </v>
      </c>
    </row>
    <row r="220" spans="1:12" ht="24.75" x14ac:dyDescent="0.25">
      <c r="A220" s="4" t="s">
        <v>7972</v>
      </c>
      <c r="B220" s="2" t="s">
        <v>7973</v>
      </c>
      <c r="C220" s="3">
        <v>1</v>
      </c>
      <c r="D220" s="5">
        <v>69.5</v>
      </c>
      <c r="E220" s="3" t="s">
        <v>7974</v>
      </c>
      <c r="F220" s="2" t="s">
        <v>64</v>
      </c>
      <c r="G220" s="6" t="s">
        <v>2208</v>
      </c>
      <c r="H220" s="2" t="s">
        <v>386</v>
      </c>
      <c r="I220" s="2" t="s">
        <v>207</v>
      </c>
      <c r="J220" s="2" t="s">
        <v>19</v>
      </c>
      <c r="K220" s="2" t="s">
        <v>338</v>
      </c>
      <c r="L220" s="7" t="str">
        <f>HYPERLINK("http://slimages.macys.com/is/image/MCY/2818350 ")</f>
        <v xml:space="preserve">http://slimages.macys.com/is/image/MCY/2818350 </v>
      </c>
    </row>
    <row r="221" spans="1:12" ht="24.75" x14ac:dyDescent="0.25">
      <c r="A221" s="4" t="s">
        <v>756</v>
      </c>
      <c r="B221" s="2" t="s">
        <v>757</v>
      </c>
      <c r="C221" s="3">
        <v>1</v>
      </c>
      <c r="D221" s="5">
        <v>37.130000000000003</v>
      </c>
      <c r="E221" s="3" t="s">
        <v>758</v>
      </c>
      <c r="F221" s="2" t="s">
        <v>48</v>
      </c>
      <c r="G221" s="6" t="s">
        <v>154</v>
      </c>
      <c r="H221" s="2" t="s">
        <v>194</v>
      </c>
      <c r="I221" s="2" t="s">
        <v>503</v>
      </c>
      <c r="J221" s="2" t="s">
        <v>19</v>
      </c>
      <c r="K221" s="2" t="s">
        <v>546</v>
      </c>
      <c r="L221" s="7" t="str">
        <f>HYPERLINK("http://slimages.macys.com/is/image/MCY/12851524 ")</f>
        <v xml:space="preserve">http://slimages.macys.com/is/image/MCY/12851524 </v>
      </c>
    </row>
    <row r="222" spans="1:12" ht="24.75" x14ac:dyDescent="0.25">
      <c r="A222" s="4" t="s">
        <v>11924</v>
      </c>
      <c r="B222" s="2" t="s">
        <v>4674</v>
      </c>
      <c r="C222" s="3">
        <v>1</v>
      </c>
      <c r="D222" s="5">
        <v>34.5</v>
      </c>
      <c r="E222" s="3" t="s">
        <v>5601</v>
      </c>
      <c r="F222" s="2" t="s">
        <v>64</v>
      </c>
      <c r="G222" s="6" t="s">
        <v>1134</v>
      </c>
      <c r="H222" s="2" t="s">
        <v>228</v>
      </c>
      <c r="I222" s="2" t="s">
        <v>863</v>
      </c>
      <c r="J222" s="2" t="s">
        <v>19</v>
      </c>
      <c r="K222" s="2" t="s">
        <v>253</v>
      </c>
      <c r="L222" s="7" t="str">
        <f>HYPERLINK("http://slimages.macys.com/is/image/MCY/3650197 ")</f>
        <v xml:space="preserve">http://slimages.macys.com/is/image/MCY/3650197 </v>
      </c>
    </row>
    <row r="223" spans="1:12" ht="24.75" x14ac:dyDescent="0.25">
      <c r="A223" s="4" t="s">
        <v>11925</v>
      </c>
      <c r="B223" s="2" t="s">
        <v>4674</v>
      </c>
      <c r="C223" s="3">
        <v>1</v>
      </c>
      <c r="D223" s="5">
        <v>34.5</v>
      </c>
      <c r="E223" s="3" t="s">
        <v>4675</v>
      </c>
      <c r="F223" s="2" t="s">
        <v>417</v>
      </c>
      <c r="G223" s="6" t="s">
        <v>1165</v>
      </c>
      <c r="H223" s="2" t="s">
        <v>228</v>
      </c>
      <c r="I223" s="2" t="s">
        <v>863</v>
      </c>
      <c r="J223" s="2" t="s">
        <v>19</v>
      </c>
      <c r="K223" s="2" t="s">
        <v>253</v>
      </c>
      <c r="L223" s="7" t="str">
        <f>HYPERLINK("http://slimages.macys.com/is/image/MCY/3650197 ")</f>
        <v xml:space="preserve">http://slimages.macys.com/is/image/MCY/3650197 </v>
      </c>
    </row>
    <row r="224" spans="1:12" ht="36.75" x14ac:dyDescent="0.25">
      <c r="A224" s="4" t="s">
        <v>11926</v>
      </c>
      <c r="B224" s="2" t="s">
        <v>764</v>
      </c>
      <c r="C224" s="3">
        <v>1</v>
      </c>
      <c r="D224" s="5">
        <v>37.130000000000003</v>
      </c>
      <c r="E224" s="3" t="s">
        <v>765</v>
      </c>
      <c r="F224" s="2" t="s">
        <v>376</v>
      </c>
      <c r="G224" s="6" t="s">
        <v>200</v>
      </c>
      <c r="H224" s="2" t="s">
        <v>284</v>
      </c>
      <c r="I224" s="2" t="s">
        <v>458</v>
      </c>
      <c r="J224" s="2" t="s">
        <v>19</v>
      </c>
      <c r="K224" s="2" t="s">
        <v>514</v>
      </c>
      <c r="L224" s="7" t="str">
        <f>HYPERLINK("http://slimages.macys.com/is/image/MCY/13804604 ")</f>
        <v xml:space="preserve">http://slimages.macys.com/is/image/MCY/13804604 </v>
      </c>
    </row>
    <row r="225" spans="1:12" ht="24.75" x14ac:dyDescent="0.25">
      <c r="A225" s="4" t="s">
        <v>11927</v>
      </c>
      <c r="B225" s="2" t="s">
        <v>4674</v>
      </c>
      <c r="C225" s="3">
        <v>1</v>
      </c>
      <c r="D225" s="5">
        <v>34.5</v>
      </c>
      <c r="E225" s="3" t="s">
        <v>4675</v>
      </c>
      <c r="F225" s="2" t="s">
        <v>417</v>
      </c>
      <c r="G225" s="6" t="s">
        <v>3866</v>
      </c>
      <c r="H225" s="2" t="s">
        <v>228</v>
      </c>
      <c r="I225" s="2" t="s">
        <v>863</v>
      </c>
      <c r="J225" s="2" t="s">
        <v>19</v>
      </c>
      <c r="K225" s="2" t="s">
        <v>253</v>
      </c>
      <c r="L225" s="7" t="str">
        <f>HYPERLINK("http://slimages.macys.com/is/image/MCY/3650197 ")</f>
        <v xml:space="preserve">http://slimages.macys.com/is/image/MCY/3650197 </v>
      </c>
    </row>
    <row r="226" spans="1:12" ht="36.75" x14ac:dyDescent="0.25">
      <c r="A226" s="4" t="s">
        <v>4676</v>
      </c>
      <c r="B226" s="2" t="s">
        <v>764</v>
      </c>
      <c r="C226" s="3">
        <v>1</v>
      </c>
      <c r="D226" s="5">
        <v>37.130000000000003</v>
      </c>
      <c r="E226" s="3" t="s">
        <v>765</v>
      </c>
      <c r="F226" s="2" t="s">
        <v>566</v>
      </c>
      <c r="G226" s="6" t="s">
        <v>234</v>
      </c>
      <c r="H226" s="2" t="s">
        <v>284</v>
      </c>
      <c r="I226" s="2" t="s">
        <v>458</v>
      </c>
      <c r="J226" s="2" t="s">
        <v>19</v>
      </c>
      <c r="K226" s="2" t="s">
        <v>514</v>
      </c>
      <c r="L226" s="7" t="str">
        <f>HYPERLINK("http://slimages.macys.com/is/image/MCY/13804604 ")</f>
        <v xml:space="preserve">http://slimages.macys.com/is/image/MCY/13804604 </v>
      </c>
    </row>
    <row r="227" spans="1:12" ht="24.75" x14ac:dyDescent="0.25">
      <c r="A227" s="4" t="s">
        <v>11928</v>
      </c>
      <c r="B227" s="2" t="s">
        <v>10650</v>
      </c>
      <c r="C227" s="3">
        <v>1</v>
      </c>
      <c r="D227" s="5">
        <v>37.130000000000003</v>
      </c>
      <c r="E227" s="3">
        <v>100065799</v>
      </c>
      <c r="F227" s="2" t="s">
        <v>676</v>
      </c>
      <c r="G227" s="6" t="s">
        <v>16</v>
      </c>
      <c r="H227" s="2" t="s">
        <v>194</v>
      </c>
      <c r="I227" s="2" t="s">
        <v>919</v>
      </c>
      <c r="J227" s="2" t="s">
        <v>19</v>
      </c>
      <c r="K227" s="2" t="s">
        <v>137</v>
      </c>
      <c r="L227" s="7" t="str">
        <f>HYPERLINK("http://slimages.macys.com/is/image/MCY/13829864 ")</f>
        <v xml:space="preserve">http://slimages.macys.com/is/image/MCY/13829864 </v>
      </c>
    </row>
    <row r="228" spans="1:12" ht="24.75" x14ac:dyDescent="0.25">
      <c r="A228" s="4" t="s">
        <v>11929</v>
      </c>
      <c r="B228" s="2" t="s">
        <v>10650</v>
      </c>
      <c r="C228" s="3">
        <v>1</v>
      </c>
      <c r="D228" s="5">
        <v>37.130000000000003</v>
      </c>
      <c r="E228" s="3">
        <v>100065799</v>
      </c>
      <c r="F228" s="2" t="s">
        <v>676</v>
      </c>
      <c r="G228" s="6" t="s">
        <v>22</v>
      </c>
      <c r="H228" s="2" t="s">
        <v>194</v>
      </c>
      <c r="I228" s="2" t="s">
        <v>919</v>
      </c>
      <c r="J228" s="2" t="s">
        <v>19</v>
      </c>
      <c r="K228" s="2" t="s">
        <v>137</v>
      </c>
      <c r="L228" s="7" t="str">
        <f>HYPERLINK("http://slimages.macys.com/is/image/MCY/13829864 ")</f>
        <v xml:space="preserve">http://slimages.macys.com/is/image/MCY/13829864 </v>
      </c>
    </row>
    <row r="229" spans="1:12" ht="24.75" x14ac:dyDescent="0.25">
      <c r="A229" s="4" t="s">
        <v>11930</v>
      </c>
      <c r="B229" s="2" t="s">
        <v>10650</v>
      </c>
      <c r="C229" s="3">
        <v>1</v>
      </c>
      <c r="D229" s="5">
        <v>37.130000000000003</v>
      </c>
      <c r="E229" s="3">
        <v>100065799</v>
      </c>
      <c r="F229" s="2" t="s">
        <v>417</v>
      </c>
      <c r="G229" s="6" t="s">
        <v>112</v>
      </c>
      <c r="H229" s="2" t="s">
        <v>194</v>
      </c>
      <c r="I229" s="2" t="s">
        <v>919</v>
      </c>
      <c r="J229" s="2" t="s">
        <v>19</v>
      </c>
      <c r="K229" s="2" t="s">
        <v>137</v>
      </c>
      <c r="L229" s="7" t="str">
        <f>HYPERLINK("http://slimages.macys.com/is/image/MCY/13829864 ")</f>
        <v xml:space="preserve">http://slimages.macys.com/is/image/MCY/13829864 </v>
      </c>
    </row>
    <row r="230" spans="1:12" ht="24.75" x14ac:dyDescent="0.25">
      <c r="A230" s="4" t="s">
        <v>11931</v>
      </c>
      <c r="B230" s="2" t="s">
        <v>10650</v>
      </c>
      <c r="C230" s="3">
        <v>1</v>
      </c>
      <c r="D230" s="5">
        <v>37.130000000000003</v>
      </c>
      <c r="E230" s="3">
        <v>100065799</v>
      </c>
      <c r="F230" s="2" t="s">
        <v>676</v>
      </c>
      <c r="G230" s="6" t="s">
        <v>112</v>
      </c>
      <c r="H230" s="2" t="s">
        <v>194</v>
      </c>
      <c r="I230" s="2" t="s">
        <v>919</v>
      </c>
      <c r="J230" s="2" t="s">
        <v>19</v>
      </c>
      <c r="K230" s="2" t="s">
        <v>137</v>
      </c>
      <c r="L230" s="7" t="str">
        <f>HYPERLINK("http://slimages.macys.com/is/image/MCY/13829864 ")</f>
        <v xml:space="preserve">http://slimages.macys.com/is/image/MCY/13829864 </v>
      </c>
    </row>
    <row r="231" spans="1:12" ht="24.75" x14ac:dyDescent="0.25">
      <c r="A231" s="4" t="s">
        <v>11932</v>
      </c>
      <c r="B231" s="2" t="s">
        <v>3567</v>
      </c>
      <c r="C231" s="3">
        <v>1</v>
      </c>
      <c r="D231" s="5">
        <v>40.880000000000003</v>
      </c>
      <c r="E231" s="3" t="s">
        <v>11933</v>
      </c>
      <c r="F231" s="2" t="s">
        <v>64</v>
      </c>
      <c r="G231" s="6" t="s">
        <v>65</v>
      </c>
      <c r="H231" s="2" t="s">
        <v>213</v>
      </c>
      <c r="I231" s="2" t="s">
        <v>214</v>
      </c>
      <c r="J231" s="2" t="s">
        <v>19</v>
      </c>
      <c r="K231" s="2" t="s">
        <v>215</v>
      </c>
      <c r="L231" s="7" t="str">
        <f>HYPERLINK("http://slimages.macys.com/is/image/MCY/11699651 ")</f>
        <v xml:space="preserve">http://slimages.macys.com/is/image/MCY/11699651 </v>
      </c>
    </row>
    <row r="232" spans="1:12" ht="36.75" x14ac:dyDescent="0.25">
      <c r="A232" s="4" t="s">
        <v>11934</v>
      </c>
      <c r="B232" s="2" t="s">
        <v>2211</v>
      </c>
      <c r="C232" s="3">
        <v>1</v>
      </c>
      <c r="D232" s="5">
        <v>59.5</v>
      </c>
      <c r="E232" s="3" t="s">
        <v>2212</v>
      </c>
      <c r="F232" s="2" t="s">
        <v>136</v>
      </c>
      <c r="G232" s="6" t="s">
        <v>3715</v>
      </c>
      <c r="H232" s="2" t="s">
        <v>127</v>
      </c>
      <c r="I232" s="2" t="s">
        <v>128</v>
      </c>
      <c r="J232" s="2" t="s">
        <v>19</v>
      </c>
      <c r="K232" s="2" t="s">
        <v>2213</v>
      </c>
      <c r="L232" s="7" t="str">
        <f>HYPERLINK("http://slimages.macys.com/is/image/MCY/11074772 ")</f>
        <v xml:space="preserve">http://slimages.macys.com/is/image/MCY/11074772 </v>
      </c>
    </row>
    <row r="233" spans="1:12" ht="24.75" x14ac:dyDescent="0.25">
      <c r="A233" s="4" t="s">
        <v>11935</v>
      </c>
      <c r="B233" s="2" t="s">
        <v>10653</v>
      </c>
      <c r="C233" s="3">
        <v>1</v>
      </c>
      <c r="D233" s="5">
        <v>40.880000000000003</v>
      </c>
      <c r="E233" s="3" t="s">
        <v>10654</v>
      </c>
      <c r="F233" s="2" t="s">
        <v>33</v>
      </c>
      <c r="G233" s="6" t="s">
        <v>16</v>
      </c>
      <c r="H233" s="2" t="s">
        <v>213</v>
      </c>
      <c r="I233" s="2" t="s">
        <v>214</v>
      </c>
      <c r="J233" s="2" t="s">
        <v>19</v>
      </c>
      <c r="K233" s="2" t="s">
        <v>215</v>
      </c>
      <c r="L233" s="7" t="str">
        <f>HYPERLINK("http://slimages.macys.com/is/image/MCY/11699651 ")</f>
        <v xml:space="preserve">http://slimages.macys.com/is/image/MCY/11699651 </v>
      </c>
    </row>
    <row r="234" spans="1:12" ht="36.75" x14ac:dyDescent="0.25">
      <c r="A234" s="4" t="s">
        <v>11936</v>
      </c>
      <c r="B234" s="2" t="s">
        <v>3572</v>
      </c>
      <c r="C234" s="3">
        <v>1</v>
      </c>
      <c r="D234" s="5">
        <v>34.979999999999997</v>
      </c>
      <c r="E234" s="3" t="s">
        <v>3573</v>
      </c>
      <c r="F234" s="2" t="s">
        <v>74</v>
      </c>
      <c r="G234" s="6" t="s">
        <v>407</v>
      </c>
      <c r="H234" s="2" t="s">
        <v>349</v>
      </c>
      <c r="I234" s="2" t="s">
        <v>408</v>
      </c>
      <c r="J234" s="2" t="s">
        <v>19</v>
      </c>
      <c r="K234" s="2" t="s">
        <v>3579</v>
      </c>
      <c r="L234" s="7" t="str">
        <f>HYPERLINK("http://slimages.macys.com/is/image/MCY/1697450 ")</f>
        <v xml:space="preserve">http://slimages.macys.com/is/image/MCY/1697450 </v>
      </c>
    </row>
    <row r="235" spans="1:12" ht="36.75" x14ac:dyDescent="0.25">
      <c r="A235" s="4" t="s">
        <v>11937</v>
      </c>
      <c r="B235" s="2" t="s">
        <v>7903</v>
      </c>
      <c r="C235" s="3">
        <v>1</v>
      </c>
      <c r="D235" s="5">
        <v>44.63</v>
      </c>
      <c r="E235" s="3" t="s">
        <v>11938</v>
      </c>
      <c r="F235" s="2" t="s">
        <v>1584</v>
      </c>
      <c r="G235" s="6" t="s">
        <v>234</v>
      </c>
      <c r="H235" s="2" t="s">
        <v>284</v>
      </c>
      <c r="I235" s="2" t="s">
        <v>285</v>
      </c>
      <c r="J235" s="2" t="s">
        <v>19</v>
      </c>
      <c r="K235" s="2" t="s">
        <v>2419</v>
      </c>
      <c r="L235" s="7" t="str">
        <f>HYPERLINK("http://slimages.macys.com/is/image/MCY/13401476 ")</f>
        <v xml:space="preserve">http://slimages.macys.com/is/image/MCY/13401476 </v>
      </c>
    </row>
    <row r="236" spans="1:12" ht="48.75" x14ac:dyDescent="0.25">
      <c r="A236" s="4" t="s">
        <v>11939</v>
      </c>
      <c r="B236" s="2" t="s">
        <v>784</v>
      </c>
      <c r="C236" s="3">
        <v>1</v>
      </c>
      <c r="D236" s="5">
        <v>34.99</v>
      </c>
      <c r="E236" s="3" t="s">
        <v>785</v>
      </c>
      <c r="F236" s="2" t="s">
        <v>33</v>
      </c>
      <c r="G236" s="6" t="s">
        <v>3385</v>
      </c>
      <c r="H236" s="2" t="s">
        <v>349</v>
      </c>
      <c r="I236" s="2" t="s">
        <v>408</v>
      </c>
      <c r="J236" s="2" t="s">
        <v>19</v>
      </c>
      <c r="K236" s="2" t="s">
        <v>787</v>
      </c>
      <c r="L236" s="7" t="str">
        <f>HYPERLINK("http://slimages.macys.com/is/image/MCY/3935281 ")</f>
        <v xml:space="preserve">http://slimages.macys.com/is/image/MCY/3935281 </v>
      </c>
    </row>
    <row r="237" spans="1:12" ht="48.75" x14ac:dyDescent="0.25">
      <c r="A237" s="4" t="s">
        <v>11940</v>
      </c>
      <c r="B237" s="2" t="s">
        <v>784</v>
      </c>
      <c r="C237" s="3">
        <v>1</v>
      </c>
      <c r="D237" s="5">
        <v>34.99</v>
      </c>
      <c r="E237" s="3" t="s">
        <v>7186</v>
      </c>
      <c r="F237" s="2" t="s">
        <v>1296</v>
      </c>
      <c r="G237" s="6" t="s">
        <v>11941</v>
      </c>
      <c r="H237" s="2" t="s">
        <v>349</v>
      </c>
      <c r="I237" s="2" t="s">
        <v>408</v>
      </c>
      <c r="J237" s="2" t="s">
        <v>19</v>
      </c>
      <c r="K237" s="2" t="s">
        <v>787</v>
      </c>
      <c r="L237" s="7" t="str">
        <f>HYPERLINK("http://slimages.macys.com/is/image/MCY/9789681 ")</f>
        <v xml:space="preserve">http://slimages.macys.com/is/image/MCY/9789681 </v>
      </c>
    </row>
    <row r="238" spans="1:12" ht="36.75" x14ac:dyDescent="0.25">
      <c r="A238" s="4" t="s">
        <v>11942</v>
      </c>
      <c r="B238" s="2" t="s">
        <v>4602</v>
      </c>
      <c r="C238" s="3">
        <v>1</v>
      </c>
      <c r="D238" s="5">
        <v>69.5</v>
      </c>
      <c r="E238" s="3">
        <v>100056409</v>
      </c>
      <c r="F238" s="2" t="s">
        <v>252</v>
      </c>
      <c r="G238" s="6" t="s">
        <v>106</v>
      </c>
      <c r="H238" s="2" t="s">
        <v>386</v>
      </c>
      <c r="I238" s="2" t="s">
        <v>337</v>
      </c>
      <c r="J238" s="2" t="s">
        <v>19</v>
      </c>
      <c r="K238" s="2" t="s">
        <v>4603</v>
      </c>
      <c r="L238" s="7" t="str">
        <f>HYPERLINK("http://slimages.macys.com/is/image/MCY/11647055 ")</f>
        <v xml:space="preserve">http://slimages.macys.com/is/image/MCY/11647055 </v>
      </c>
    </row>
    <row r="239" spans="1:12" ht="24.75" x14ac:dyDescent="0.25">
      <c r="A239" s="4" t="s">
        <v>7984</v>
      </c>
      <c r="B239" s="2" t="s">
        <v>7985</v>
      </c>
      <c r="C239" s="3">
        <v>1</v>
      </c>
      <c r="D239" s="5">
        <v>45</v>
      </c>
      <c r="E239" s="3" t="s">
        <v>7986</v>
      </c>
      <c r="F239" s="2" t="s">
        <v>74</v>
      </c>
      <c r="G239" s="6"/>
      <c r="H239" s="2" t="s">
        <v>447</v>
      </c>
      <c r="I239" s="2" t="s">
        <v>792</v>
      </c>
      <c r="J239" s="2" t="s">
        <v>19</v>
      </c>
      <c r="K239" s="2" t="s">
        <v>160</v>
      </c>
      <c r="L239" s="7" t="str">
        <f>HYPERLINK("http://slimages.macys.com/is/image/MCY/8252064 ")</f>
        <v xml:space="preserve">http://slimages.macys.com/is/image/MCY/8252064 </v>
      </c>
    </row>
    <row r="240" spans="1:12" ht="24.75" x14ac:dyDescent="0.25">
      <c r="A240" s="4" t="s">
        <v>7987</v>
      </c>
      <c r="B240" s="2" t="s">
        <v>7985</v>
      </c>
      <c r="C240" s="3">
        <v>1</v>
      </c>
      <c r="D240" s="5">
        <v>45</v>
      </c>
      <c r="E240" s="3" t="s">
        <v>7986</v>
      </c>
      <c r="F240" s="2" t="s">
        <v>74</v>
      </c>
      <c r="G240" s="6" t="s">
        <v>791</v>
      </c>
      <c r="H240" s="2" t="s">
        <v>447</v>
      </c>
      <c r="I240" s="2" t="s">
        <v>792</v>
      </c>
      <c r="J240" s="2" t="s">
        <v>19</v>
      </c>
      <c r="K240" s="2" t="s">
        <v>160</v>
      </c>
      <c r="L240" s="7" t="str">
        <f>HYPERLINK("http://slimages.macys.com/is/image/MCY/8252064 ")</f>
        <v xml:space="preserve">http://slimages.macys.com/is/image/MCY/8252064 </v>
      </c>
    </row>
    <row r="241" spans="1:12" ht="24.75" x14ac:dyDescent="0.25">
      <c r="A241" s="4" t="s">
        <v>10661</v>
      </c>
      <c r="B241" s="2" t="s">
        <v>10662</v>
      </c>
      <c r="C241" s="3">
        <v>1</v>
      </c>
      <c r="D241" s="5">
        <v>40.880000000000003</v>
      </c>
      <c r="E241" s="3">
        <v>100010009</v>
      </c>
      <c r="F241" s="2" t="s">
        <v>15</v>
      </c>
      <c r="G241" s="6" t="s">
        <v>156</v>
      </c>
      <c r="H241" s="2" t="s">
        <v>284</v>
      </c>
      <c r="I241" s="2" t="s">
        <v>285</v>
      </c>
      <c r="J241" s="2" t="s">
        <v>19</v>
      </c>
      <c r="K241" s="2" t="s">
        <v>160</v>
      </c>
      <c r="L241" s="7" t="str">
        <f>HYPERLINK("http://slimages.macys.com/is/image/MCY/9863989 ")</f>
        <v xml:space="preserve">http://slimages.macys.com/is/image/MCY/9863989 </v>
      </c>
    </row>
    <row r="242" spans="1:12" ht="24.75" x14ac:dyDescent="0.25">
      <c r="A242" s="4" t="s">
        <v>11943</v>
      </c>
      <c r="B242" s="2" t="s">
        <v>11944</v>
      </c>
      <c r="C242" s="3">
        <v>1</v>
      </c>
      <c r="D242" s="5">
        <v>34</v>
      </c>
      <c r="E242" s="3">
        <v>9320</v>
      </c>
      <c r="F242" s="2" t="s">
        <v>26</v>
      </c>
      <c r="G242" s="6" t="s">
        <v>238</v>
      </c>
      <c r="H242" s="2" t="s">
        <v>447</v>
      </c>
      <c r="I242" s="2" t="s">
        <v>3409</v>
      </c>
      <c r="J242" s="2" t="s">
        <v>19</v>
      </c>
      <c r="K242" s="2" t="s">
        <v>34</v>
      </c>
      <c r="L242" s="7" t="str">
        <f>HYPERLINK("http://slimages.macys.com/is/image/MCY/3945360 ")</f>
        <v xml:space="preserve">http://slimages.macys.com/is/image/MCY/3945360 </v>
      </c>
    </row>
    <row r="243" spans="1:12" ht="24.75" x14ac:dyDescent="0.25">
      <c r="A243" s="4" t="s">
        <v>11945</v>
      </c>
      <c r="B243" s="2" t="s">
        <v>3582</v>
      </c>
      <c r="C243" s="3">
        <v>1</v>
      </c>
      <c r="D243" s="5">
        <v>34</v>
      </c>
      <c r="E243" s="3">
        <v>9729</v>
      </c>
      <c r="F243" s="2" t="s">
        <v>417</v>
      </c>
      <c r="G243" s="6" t="s">
        <v>238</v>
      </c>
      <c r="H243" s="2" t="s">
        <v>447</v>
      </c>
      <c r="I243" s="2" t="s">
        <v>3409</v>
      </c>
      <c r="J243" s="2" t="s">
        <v>19</v>
      </c>
      <c r="K243" s="2" t="s">
        <v>353</v>
      </c>
      <c r="L243" s="7" t="str">
        <f>HYPERLINK("http://slimages.macys.com/is/image/MCY/9560756 ")</f>
        <v xml:space="preserve">http://slimages.macys.com/is/image/MCY/9560756 </v>
      </c>
    </row>
    <row r="244" spans="1:12" ht="24.75" x14ac:dyDescent="0.25">
      <c r="A244" s="4" t="s">
        <v>3586</v>
      </c>
      <c r="B244" s="2" t="s">
        <v>796</v>
      </c>
      <c r="C244" s="3">
        <v>1</v>
      </c>
      <c r="D244" s="5">
        <v>40.880000000000003</v>
      </c>
      <c r="E244" s="3" t="s">
        <v>797</v>
      </c>
      <c r="F244" s="2" t="s">
        <v>26</v>
      </c>
      <c r="G244" s="6" t="s">
        <v>181</v>
      </c>
      <c r="H244" s="2" t="s">
        <v>194</v>
      </c>
      <c r="I244" s="2" t="s">
        <v>195</v>
      </c>
      <c r="J244" s="2" t="s">
        <v>19</v>
      </c>
      <c r="K244" s="2" t="s">
        <v>798</v>
      </c>
      <c r="L244" s="7" t="str">
        <f>HYPERLINK("http://slimages.macys.com/is/image/MCY/12950259 ")</f>
        <v xml:space="preserve">http://slimages.macys.com/is/image/MCY/12950259 </v>
      </c>
    </row>
    <row r="245" spans="1:12" ht="24.75" x14ac:dyDescent="0.25">
      <c r="A245" s="4" t="s">
        <v>11946</v>
      </c>
      <c r="B245" s="2" t="s">
        <v>800</v>
      </c>
      <c r="C245" s="3">
        <v>1</v>
      </c>
      <c r="D245" s="5">
        <v>37.130000000000003</v>
      </c>
      <c r="E245" s="3" t="s">
        <v>8571</v>
      </c>
      <c r="F245" s="2" t="s">
        <v>64</v>
      </c>
      <c r="G245" s="6" t="s">
        <v>16</v>
      </c>
      <c r="H245" s="2" t="s">
        <v>246</v>
      </c>
      <c r="I245" s="2" t="s">
        <v>189</v>
      </c>
      <c r="J245" s="2" t="s">
        <v>19</v>
      </c>
      <c r="K245" s="2" t="s">
        <v>546</v>
      </c>
      <c r="L245" s="7" t="str">
        <f>HYPERLINK("http://slimages.macys.com/is/image/MCY/12048352 ")</f>
        <v xml:space="preserve">http://slimages.macys.com/is/image/MCY/12048352 </v>
      </c>
    </row>
    <row r="246" spans="1:12" ht="24.75" x14ac:dyDescent="0.25">
      <c r="A246" s="4" t="s">
        <v>11947</v>
      </c>
      <c r="B246" s="2" t="s">
        <v>808</v>
      </c>
      <c r="C246" s="3">
        <v>1</v>
      </c>
      <c r="D246" s="5">
        <v>37.130000000000003</v>
      </c>
      <c r="E246" s="3">
        <v>100013676</v>
      </c>
      <c r="F246" s="2" t="s">
        <v>566</v>
      </c>
      <c r="G246" s="6" t="s">
        <v>181</v>
      </c>
      <c r="H246" s="2" t="s">
        <v>194</v>
      </c>
      <c r="I246" s="2" t="s">
        <v>503</v>
      </c>
      <c r="J246" s="2" t="s">
        <v>19</v>
      </c>
      <c r="K246" s="2" t="s">
        <v>546</v>
      </c>
      <c r="L246" s="7" t="str">
        <f>HYPERLINK("http://slimages.macys.com/is/image/MCY/9340718 ")</f>
        <v xml:space="preserve">http://slimages.macys.com/is/image/MCY/9340718 </v>
      </c>
    </row>
    <row r="247" spans="1:12" ht="24.75" x14ac:dyDescent="0.25">
      <c r="A247" s="4" t="s">
        <v>10675</v>
      </c>
      <c r="B247" s="2" t="s">
        <v>10671</v>
      </c>
      <c r="C247" s="3">
        <v>1</v>
      </c>
      <c r="D247" s="5">
        <v>37.130000000000003</v>
      </c>
      <c r="E247" s="3" t="s">
        <v>10672</v>
      </c>
      <c r="F247" s="2" t="s">
        <v>15</v>
      </c>
      <c r="G247" s="6" t="s">
        <v>234</v>
      </c>
      <c r="H247" s="2" t="s">
        <v>194</v>
      </c>
      <c r="I247" s="2" t="s">
        <v>195</v>
      </c>
      <c r="J247" s="2" t="s">
        <v>19</v>
      </c>
      <c r="K247" s="2" t="s">
        <v>201</v>
      </c>
      <c r="L247" s="7" t="str">
        <f>HYPERLINK("http://slimages.macys.com/is/image/MCY/12794071 ")</f>
        <v xml:space="preserve">http://slimages.macys.com/is/image/MCY/12794071 </v>
      </c>
    </row>
    <row r="248" spans="1:12" ht="24.75" x14ac:dyDescent="0.25">
      <c r="A248" s="4" t="s">
        <v>10670</v>
      </c>
      <c r="B248" s="2" t="s">
        <v>10671</v>
      </c>
      <c r="C248" s="3">
        <v>1</v>
      </c>
      <c r="D248" s="5">
        <v>37.130000000000003</v>
      </c>
      <c r="E248" s="3" t="s">
        <v>10672</v>
      </c>
      <c r="F248" s="2" t="s">
        <v>15</v>
      </c>
      <c r="G248" s="6" t="s">
        <v>200</v>
      </c>
      <c r="H248" s="2" t="s">
        <v>194</v>
      </c>
      <c r="I248" s="2" t="s">
        <v>195</v>
      </c>
      <c r="J248" s="2" t="s">
        <v>19</v>
      </c>
      <c r="K248" s="2" t="s">
        <v>201</v>
      </c>
      <c r="L248" s="7" t="str">
        <f>HYPERLINK("http://slimages.macys.com/is/image/MCY/12794071 ")</f>
        <v xml:space="preserve">http://slimages.macys.com/is/image/MCY/12794071 </v>
      </c>
    </row>
    <row r="249" spans="1:12" ht="24.75" x14ac:dyDescent="0.25">
      <c r="A249" s="4" t="s">
        <v>10674</v>
      </c>
      <c r="B249" s="2" t="s">
        <v>10671</v>
      </c>
      <c r="C249" s="3">
        <v>1</v>
      </c>
      <c r="D249" s="5">
        <v>37.130000000000003</v>
      </c>
      <c r="E249" s="3" t="s">
        <v>10672</v>
      </c>
      <c r="F249" s="2" t="s">
        <v>15</v>
      </c>
      <c r="G249" s="6" t="s">
        <v>156</v>
      </c>
      <c r="H249" s="2" t="s">
        <v>194</v>
      </c>
      <c r="I249" s="2" t="s">
        <v>195</v>
      </c>
      <c r="J249" s="2" t="s">
        <v>19</v>
      </c>
      <c r="K249" s="2" t="s">
        <v>201</v>
      </c>
      <c r="L249" s="7" t="str">
        <f>HYPERLINK("http://slimages.macys.com/is/image/MCY/12794071 ")</f>
        <v xml:space="preserve">http://slimages.macys.com/is/image/MCY/12794071 </v>
      </c>
    </row>
    <row r="250" spans="1:12" ht="24.75" x14ac:dyDescent="0.25">
      <c r="A250" s="4" t="s">
        <v>10676</v>
      </c>
      <c r="B250" s="2" t="s">
        <v>10671</v>
      </c>
      <c r="C250" s="3">
        <v>1</v>
      </c>
      <c r="D250" s="5">
        <v>37.130000000000003</v>
      </c>
      <c r="E250" s="3" t="s">
        <v>10672</v>
      </c>
      <c r="F250" s="2" t="s">
        <v>15</v>
      </c>
      <c r="G250" s="6" t="s">
        <v>154</v>
      </c>
      <c r="H250" s="2" t="s">
        <v>194</v>
      </c>
      <c r="I250" s="2" t="s">
        <v>195</v>
      </c>
      <c r="J250" s="2" t="s">
        <v>19</v>
      </c>
      <c r="K250" s="2" t="s">
        <v>201</v>
      </c>
      <c r="L250" s="7" t="str">
        <f>HYPERLINK("http://slimages.macys.com/is/image/MCY/12794071 ")</f>
        <v xml:space="preserve">http://slimages.macys.com/is/image/MCY/12794071 </v>
      </c>
    </row>
    <row r="251" spans="1:12" ht="24.75" x14ac:dyDescent="0.25">
      <c r="A251" s="4" t="s">
        <v>821</v>
      </c>
      <c r="B251" s="2" t="s">
        <v>818</v>
      </c>
      <c r="C251" s="3">
        <v>1</v>
      </c>
      <c r="D251" s="5">
        <v>36.5</v>
      </c>
      <c r="E251" s="3" t="s">
        <v>819</v>
      </c>
      <c r="F251" s="2" t="s">
        <v>820</v>
      </c>
      <c r="G251" s="6" t="s">
        <v>154</v>
      </c>
      <c r="H251" s="2" t="s">
        <v>194</v>
      </c>
      <c r="I251" s="2" t="s">
        <v>195</v>
      </c>
      <c r="J251" s="2" t="s">
        <v>19</v>
      </c>
      <c r="K251" s="2" t="s">
        <v>201</v>
      </c>
      <c r="L251" s="7" t="str">
        <f>HYPERLINK("http://slimages.macys.com/is/image/MCY/11935616 ")</f>
        <v xml:space="preserve">http://slimages.macys.com/is/image/MCY/11935616 </v>
      </c>
    </row>
    <row r="252" spans="1:12" ht="24.75" x14ac:dyDescent="0.25">
      <c r="A252" s="4" t="s">
        <v>10677</v>
      </c>
      <c r="B252" s="2" t="s">
        <v>8573</v>
      </c>
      <c r="C252" s="3">
        <v>1</v>
      </c>
      <c r="D252" s="5">
        <v>40.880000000000003</v>
      </c>
      <c r="E252" s="3" t="s">
        <v>8574</v>
      </c>
      <c r="F252" s="2" t="s">
        <v>572</v>
      </c>
      <c r="G252" s="6" t="s">
        <v>156</v>
      </c>
      <c r="H252" s="2" t="s">
        <v>246</v>
      </c>
      <c r="I252" s="2" t="s">
        <v>189</v>
      </c>
      <c r="J252" s="2" t="s">
        <v>19</v>
      </c>
      <c r="K252" s="2" t="s">
        <v>75</v>
      </c>
      <c r="L252" s="7" t="str">
        <f>HYPERLINK("http://slimages.macys.com/is/image/MCY/11995542 ")</f>
        <v xml:space="preserve">http://slimages.macys.com/is/image/MCY/11995542 </v>
      </c>
    </row>
    <row r="253" spans="1:12" ht="24.75" x14ac:dyDescent="0.25">
      <c r="A253" s="4" t="s">
        <v>9474</v>
      </c>
      <c r="B253" s="2" t="s">
        <v>5617</v>
      </c>
      <c r="C253" s="3">
        <v>1</v>
      </c>
      <c r="D253" s="5">
        <v>37.130000000000003</v>
      </c>
      <c r="E253" s="3" t="s">
        <v>5618</v>
      </c>
      <c r="F253" s="2" t="s">
        <v>64</v>
      </c>
      <c r="G253" s="6" t="s">
        <v>154</v>
      </c>
      <c r="H253" s="2" t="s">
        <v>284</v>
      </c>
      <c r="I253" s="2" t="s">
        <v>285</v>
      </c>
      <c r="J253" s="2" t="s">
        <v>19</v>
      </c>
      <c r="K253" s="2" t="s">
        <v>160</v>
      </c>
      <c r="L253" s="7" t="str">
        <f>HYPERLINK("http://slimages.macys.com/is/image/MCY/12671643 ")</f>
        <v xml:space="preserve">http://slimages.macys.com/is/image/MCY/12671643 </v>
      </c>
    </row>
    <row r="254" spans="1:12" ht="24.75" x14ac:dyDescent="0.25">
      <c r="A254" s="4" t="s">
        <v>11948</v>
      </c>
      <c r="B254" s="2" t="s">
        <v>11949</v>
      </c>
      <c r="C254" s="3">
        <v>1</v>
      </c>
      <c r="D254" s="5">
        <v>37.130000000000003</v>
      </c>
      <c r="E254" s="3" t="s">
        <v>11950</v>
      </c>
      <c r="F254" s="2" t="s">
        <v>26</v>
      </c>
      <c r="G254" s="6" t="s">
        <v>200</v>
      </c>
      <c r="H254" s="2" t="s">
        <v>246</v>
      </c>
      <c r="I254" s="2" t="s">
        <v>189</v>
      </c>
      <c r="J254" s="2" t="s">
        <v>19</v>
      </c>
      <c r="K254" s="2" t="s">
        <v>990</v>
      </c>
      <c r="L254" s="7" t="str">
        <f>HYPERLINK("http://slimages.macys.com/is/image/MCY/12048367 ")</f>
        <v xml:space="preserve">http://slimages.macys.com/is/image/MCY/12048367 </v>
      </c>
    </row>
    <row r="255" spans="1:12" ht="24.75" x14ac:dyDescent="0.25">
      <c r="A255" s="4" t="s">
        <v>11951</v>
      </c>
      <c r="B255" s="2" t="s">
        <v>827</v>
      </c>
      <c r="C255" s="3">
        <v>1</v>
      </c>
      <c r="D255" s="5">
        <v>37.130000000000003</v>
      </c>
      <c r="E255" s="3">
        <v>100009535</v>
      </c>
      <c r="F255" s="2" t="s">
        <v>74</v>
      </c>
      <c r="G255" s="6" t="s">
        <v>106</v>
      </c>
      <c r="H255" s="2" t="s">
        <v>194</v>
      </c>
      <c r="I255" s="2" t="s">
        <v>503</v>
      </c>
      <c r="J255" s="2" t="s">
        <v>19</v>
      </c>
      <c r="K255" s="2" t="s">
        <v>353</v>
      </c>
      <c r="L255" s="7" t="str">
        <f>HYPERLINK("http://slimages.macys.com/is/image/MCY/9340634 ")</f>
        <v xml:space="preserve">http://slimages.macys.com/is/image/MCY/9340634 </v>
      </c>
    </row>
    <row r="256" spans="1:12" ht="24.75" x14ac:dyDescent="0.25">
      <c r="A256" s="4" t="s">
        <v>11952</v>
      </c>
      <c r="B256" s="2" t="s">
        <v>827</v>
      </c>
      <c r="C256" s="3">
        <v>1</v>
      </c>
      <c r="D256" s="5">
        <v>37.130000000000003</v>
      </c>
      <c r="E256" s="3">
        <v>100009535</v>
      </c>
      <c r="F256" s="2" t="s">
        <v>74</v>
      </c>
      <c r="G256" s="6" t="s">
        <v>58</v>
      </c>
      <c r="H256" s="2" t="s">
        <v>194</v>
      </c>
      <c r="I256" s="2" t="s">
        <v>503</v>
      </c>
      <c r="J256" s="2" t="s">
        <v>19</v>
      </c>
      <c r="K256" s="2" t="s">
        <v>353</v>
      </c>
      <c r="L256" s="7" t="str">
        <f>HYPERLINK("http://slimages.macys.com/is/image/MCY/9340634 ")</f>
        <v xml:space="preserve">http://slimages.macys.com/is/image/MCY/9340634 </v>
      </c>
    </row>
    <row r="257" spans="1:12" ht="24.75" x14ac:dyDescent="0.25">
      <c r="A257" s="4" t="s">
        <v>5623</v>
      </c>
      <c r="B257" s="2" t="s">
        <v>827</v>
      </c>
      <c r="C257" s="3">
        <v>1</v>
      </c>
      <c r="D257" s="5">
        <v>37.130000000000003</v>
      </c>
      <c r="E257" s="3">
        <v>100009535</v>
      </c>
      <c r="F257" s="2" t="s">
        <v>376</v>
      </c>
      <c r="G257" s="6" t="s">
        <v>16</v>
      </c>
      <c r="H257" s="2" t="s">
        <v>194</v>
      </c>
      <c r="I257" s="2" t="s">
        <v>503</v>
      </c>
      <c r="J257" s="2" t="s">
        <v>19</v>
      </c>
      <c r="K257" s="2" t="s">
        <v>353</v>
      </c>
      <c r="L257" s="7" t="str">
        <f>HYPERLINK("http://slimages.macys.com/is/image/MCY/9340634 ")</f>
        <v xml:space="preserve">http://slimages.macys.com/is/image/MCY/9340634 </v>
      </c>
    </row>
    <row r="258" spans="1:12" ht="24.75" x14ac:dyDescent="0.25">
      <c r="A258" s="4" t="s">
        <v>830</v>
      </c>
      <c r="B258" s="2" t="s">
        <v>827</v>
      </c>
      <c r="C258" s="3">
        <v>1</v>
      </c>
      <c r="D258" s="5">
        <v>37.130000000000003</v>
      </c>
      <c r="E258" s="3">
        <v>100009535</v>
      </c>
      <c r="F258" s="2" t="s">
        <v>376</v>
      </c>
      <c r="G258" s="6" t="s">
        <v>22</v>
      </c>
      <c r="H258" s="2" t="s">
        <v>194</v>
      </c>
      <c r="I258" s="2" t="s">
        <v>503</v>
      </c>
      <c r="J258" s="2" t="s">
        <v>19</v>
      </c>
      <c r="K258" s="2" t="s">
        <v>353</v>
      </c>
      <c r="L258" s="7" t="str">
        <f>HYPERLINK("http://slimages.macys.com/is/image/MCY/9340634 ")</f>
        <v xml:space="preserve">http://slimages.macys.com/is/image/MCY/9340634 </v>
      </c>
    </row>
    <row r="259" spans="1:12" ht="24.75" x14ac:dyDescent="0.25">
      <c r="A259" s="4" t="s">
        <v>11953</v>
      </c>
      <c r="B259" s="2" t="s">
        <v>11954</v>
      </c>
      <c r="C259" s="3">
        <v>1</v>
      </c>
      <c r="D259" s="5">
        <v>59.5</v>
      </c>
      <c r="E259" s="3">
        <v>100068374</v>
      </c>
      <c r="F259" s="2" t="s">
        <v>64</v>
      </c>
      <c r="G259" s="6" t="s">
        <v>39</v>
      </c>
      <c r="H259" s="2" t="s">
        <v>386</v>
      </c>
      <c r="I259" s="2" t="s">
        <v>207</v>
      </c>
      <c r="J259" s="2" t="s">
        <v>19</v>
      </c>
      <c r="K259" s="2" t="s">
        <v>338</v>
      </c>
      <c r="L259" s="7" t="str">
        <f>HYPERLINK("http://slimages.macys.com/is/image/MCY/12792782 ")</f>
        <v xml:space="preserve">http://slimages.macys.com/is/image/MCY/12792782 </v>
      </c>
    </row>
    <row r="260" spans="1:12" ht="24.75" x14ac:dyDescent="0.25">
      <c r="A260" s="4" t="s">
        <v>11955</v>
      </c>
      <c r="B260" s="2" t="s">
        <v>2449</v>
      </c>
      <c r="C260" s="3">
        <v>1</v>
      </c>
      <c r="D260" s="5">
        <v>40.880000000000003</v>
      </c>
      <c r="E260" s="3" t="s">
        <v>2450</v>
      </c>
      <c r="F260" s="2" t="s">
        <v>53</v>
      </c>
      <c r="G260" s="6" t="s">
        <v>234</v>
      </c>
      <c r="H260" s="2" t="s">
        <v>284</v>
      </c>
      <c r="I260" s="2" t="s">
        <v>285</v>
      </c>
      <c r="J260" s="2" t="s">
        <v>19</v>
      </c>
      <c r="K260" s="2" t="s">
        <v>160</v>
      </c>
      <c r="L260" s="7" t="str">
        <f>HYPERLINK("http://slimages.macys.com/is/image/MCY/13338892 ")</f>
        <v xml:space="preserve">http://slimages.macys.com/is/image/MCY/13338892 </v>
      </c>
    </row>
    <row r="261" spans="1:12" ht="24.75" x14ac:dyDescent="0.25">
      <c r="A261" s="4" t="s">
        <v>11956</v>
      </c>
      <c r="B261" s="2" t="s">
        <v>11957</v>
      </c>
      <c r="C261" s="3">
        <v>1</v>
      </c>
      <c r="D261" s="5">
        <v>40.880000000000003</v>
      </c>
      <c r="E261" s="3" t="s">
        <v>11958</v>
      </c>
      <c r="F261" s="2" t="s">
        <v>26</v>
      </c>
      <c r="G261" s="6" t="s">
        <v>234</v>
      </c>
      <c r="H261" s="2" t="s">
        <v>246</v>
      </c>
      <c r="I261" s="2" t="s">
        <v>189</v>
      </c>
      <c r="J261" s="2" t="s">
        <v>19</v>
      </c>
      <c r="K261" s="2" t="s">
        <v>1108</v>
      </c>
      <c r="L261" s="7" t="str">
        <f>HYPERLINK("http://slimages.macys.com/is/image/MCY/13963288 ")</f>
        <v xml:space="preserve">http://slimages.macys.com/is/image/MCY/13963288 </v>
      </c>
    </row>
    <row r="262" spans="1:12" ht="24.75" x14ac:dyDescent="0.25">
      <c r="A262" s="4" t="s">
        <v>10695</v>
      </c>
      <c r="B262" s="2" t="s">
        <v>10696</v>
      </c>
      <c r="C262" s="3">
        <v>1</v>
      </c>
      <c r="D262" s="5">
        <v>40.880000000000003</v>
      </c>
      <c r="E262" s="3" t="s">
        <v>10697</v>
      </c>
      <c r="F262" s="2" t="s">
        <v>26</v>
      </c>
      <c r="G262" s="6" t="s">
        <v>181</v>
      </c>
      <c r="H262" s="2" t="s">
        <v>194</v>
      </c>
      <c r="I262" s="2" t="s">
        <v>195</v>
      </c>
      <c r="J262" s="2" t="s">
        <v>19</v>
      </c>
      <c r="K262" s="2" t="s">
        <v>201</v>
      </c>
      <c r="L262" s="7" t="str">
        <f>HYPERLINK("http://slimages.macys.com/is/image/MCY/12950223 ")</f>
        <v xml:space="preserve">http://slimages.macys.com/is/image/MCY/12950223 </v>
      </c>
    </row>
    <row r="263" spans="1:12" ht="24.75" x14ac:dyDescent="0.25">
      <c r="A263" s="4" t="s">
        <v>11959</v>
      </c>
      <c r="B263" s="2" t="s">
        <v>2403</v>
      </c>
      <c r="C263" s="3">
        <v>1</v>
      </c>
      <c r="D263" s="5">
        <v>36.75</v>
      </c>
      <c r="E263" s="3">
        <v>100009360</v>
      </c>
      <c r="F263" s="2" t="s">
        <v>15</v>
      </c>
      <c r="G263" s="6" t="s">
        <v>200</v>
      </c>
      <c r="H263" s="2" t="s">
        <v>194</v>
      </c>
      <c r="I263" s="2" t="s">
        <v>503</v>
      </c>
      <c r="J263" s="2" t="s">
        <v>19</v>
      </c>
      <c r="K263" s="2" t="s">
        <v>160</v>
      </c>
      <c r="L263" s="7" t="str">
        <f>HYPERLINK("http://slimages.macys.com/is/image/MCY/12734522 ")</f>
        <v xml:space="preserve">http://slimages.macys.com/is/image/MCY/12734522 </v>
      </c>
    </row>
    <row r="264" spans="1:12" ht="24.75" x14ac:dyDescent="0.25">
      <c r="A264" s="4" t="s">
        <v>11960</v>
      </c>
      <c r="B264" s="2" t="s">
        <v>2403</v>
      </c>
      <c r="C264" s="3">
        <v>1</v>
      </c>
      <c r="D264" s="5">
        <v>36.75</v>
      </c>
      <c r="E264" s="3">
        <v>100009360</v>
      </c>
      <c r="F264" s="2" t="s">
        <v>15</v>
      </c>
      <c r="G264" s="6" t="s">
        <v>154</v>
      </c>
      <c r="H264" s="2" t="s">
        <v>194</v>
      </c>
      <c r="I264" s="2" t="s">
        <v>503</v>
      </c>
      <c r="J264" s="2" t="s">
        <v>19</v>
      </c>
      <c r="K264" s="2" t="s">
        <v>160</v>
      </c>
      <c r="L264" s="7" t="str">
        <f>HYPERLINK("http://slimages.macys.com/is/image/MCY/12734522 ")</f>
        <v xml:space="preserve">http://slimages.macys.com/is/image/MCY/12734522 </v>
      </c>
    </row>
    <row r="265" spans="1:12" ht="24.75" x14ac:dyDescent="0.25">
      <c r="A265" s="4" t="s">
        <v>11961</v>
      </c>
      <c r="B265" s="2" t="s">
        <v>2403</v>
      </c>
      <c r="C265" s="3">
        <v>1</v>
      </c>
      <c r="D265" s="5">
        <v>36.75</v>
      </c>
      <c r="E265" s="3">
        <v>100009360</v>
      </c>
      <c r="F265" s="2" t="s">
        <v>15</v>
      </c>
      <c r="G265" s="6" t="s">
        <v>156</v>
      </c>
      <c r="H265" s="2" t="s">
        <v>194</v>
      </c>
      <c r="I265" s="2" t="s">
        <v>503</v>
      </c>
      <c r="J265" s="2" t="s">
        <v>19</v>
      </c>
      <c r="K265" s="2" t="s">
        <v>160</v>
      </c>
      <c r="L265" s="7" t="str">
        <f>HYPERLINK("http://slimages.macys.com/is/image/MCY/12734522 ")</f>
        <v xml:space="preserve">http://slimages.macys.com/is/image/MCY/12734522 </v>
      </c>
    </row>
    <row r="266" spans="1:12" ht="24.75" x14ac:dyDescent="0.25">
      <c r="A266" s="4" t="s">
        <v>4513</v>
      </c>
      <c r="B266" s="2" t="s">
        <v>374</v>
      </c>
      <c r="C266" s="3">
        <v>3</v>
      </c>
      <c r="D266" s="5">
        <v>52.13</v>
      </c>
      <c r="E266" s="3" t="s">
        <v>375</v>
      </c>
      <c r="F266" s="2" t="s">
        <v>331</v>
      </c>
      <c r="G266" s="6" t="s">
        <v>58</v>
      </c>
      <c r="H266" s="2" t="s">
        <v>246</v>
      </c>
      <c r="I266" s="2" t="s">
        <v>189</v>
      </c>
      <c r="J266" s="2" t="s">
        <v>19</v>
      </c>
      <c r="K266" s="2" t="s">
        <v>361</v>
      </c>
      <c r="L266" s="7" t="str">
        <f>HYPERLINK("http://slimages.macys.com/is/image/MCY/10676355 ")</f>
        <v xml:space="preserve">http://slimages.macys.com/is/image/MCY/10676355 </v>
      </c>
    </row>
    <row r="267" spans="1:12" ht="24.75" x14ac:dyDescent="0.25">
      <c r="A267" s="4" t="s">
        <v>11962</v>
      </c>
      <c r="B267" s="2" t="s">
        <v>374</v>
      </c>
      <c r="C267" s="3">
        <v>1</v>
      </c>
      <c r="D267" s="5">
        <v>52.13</v>
      </c>
      <c r="E267" s="3" t="s">
        <v>375</v>
      </c>
      <c r="F267" s="2" t="s">
        <v>57</v>
      </c>
      <c r="G267" s="6" t="s">
        <v>16</v>
      </c>
      <c r="H267" s="2" t="s">
        <v>246</v>
      </c>
      <c r="I267" s="2" t="s">
        <v>189</v>
      </c>
      <c r="J267" s="2" t="s">
        <v>19</v>
      </c>
      <c r="K267" s="2" t="s">
        <v>361</v>
      </c>
      <c r="L267" s="7" t="str">
        <f>HYPERLINK("http://slimages.macys.com/is/image/MCY/10676355 ")</f>
        <v xml:space="preserve">http://slimages.macys.com/is/image/MCY/10676355 </v>
      </c>
    </row>
    <row r="268" spans="1:12" ht="36.75" x14ac:dyDescent="0.25">
      <c r="A268" s="4" t="s">
        <v>11963</v>
      </c>
      <c r="B268" s="2" t="s">
        <v>5632</v>
      </c>
      <c r="C268" s="3">
        <v>1</v>
      </c>
      <c r="D268" s="5">
        <v>37.130000000000003</v>
      </c>
      <c r="E268" s="3">
        <v>100022657</v>
      </c>
      <c r="F268" s="2" t="s">
        <v>26</v>
      </c>
      <c r="G268" s="6" t="s">
        <v>200</v>
      </c>
      <c r="H268" s="2" t="s">
        <v>284</v>
      </c>
      <c r="I268" s="2" t="s">
        <v>408</v>
      </c>
      <c r="J268" s="2" t="s">
        <v>19</v>
      </c>
      <c r="K268" s="2" t="s">
        <v>500</v>
      </c>
      <c r="L268" s="7" t="str">
        <f>HYPERLINK("http://slimages.macys.com/is/image/MCY/9449861 ")</f>
        <v xml:space="preserve">http://slimages.macys.com/is/image/MCY/9449861 </v>
      </c>
    </row>
    <row r="269" spans="1:12" ht="24.75" x14ac:dyDescent="0.25">
      <c r="A269" s="4" t="s">
        <v>4720</v>
      </c>
      <c r="B269" s="2" t="s">
        <v>861</v>
      </c>
      <c r="C269" s="3">
        <v>1</v>
      </c>
      <c r="D269" s="5">
        <v>34.5</v>
      </c>
      <c r="E269" s="3" t="s">
        <v>862</v>
      </c>
      <c r="F269" s="2" t="s">
        <v>64</v>
      </c>
      <c r="G269" s="6"/>
      <c r="H269" s="2" t="s">
        <v>228</v>
      </c>
      <c r="I269" s="2" t="s">
        <v>863</v>
      </c>
      <c r="J269" s="2" t="s">
        <v>19</v>
      </c>
      <c r="K269" s="2" t="s">
        <v>253</v>
      </c>
      <c r="L269" s="7" t="str">
        <f>HYPERLINK("http://slimages.macys.com/is/image/MCY/3650197 ")</f>
        <v xml:space="preserve">http://slimages.macys.com/is/image/MCY/3650197 </v>
      </c>
    </row>
    <row r="270" spans="1:12" ht="24.75" x14ac:dyDescent="0.25">
      <c r="A270" s="4" t="s">
        <v>11964</v>
      </c>
      <c r="B270" s="2" t="s">
        <v>861</v>
      </c>
      <c r="C270" s="3">
        <v>1</v>
      </c>
      <c r="D270" s="5">
        <v>34.5</v>
      </c>
      <c r="E270" s="3" t="s">
        <v>862</v>
      </c>
      <c r="F270" s="2" t="s">
        <v>64</v>
      </c>
      <c r="G270" s="6" t="s">
        <v>58</v>
      </c>
      <c r="H270" s="2" t="s">
        <v>228</v>
      </c>
      <c r="I270" s="2" t="s">
        <v>863</v>
      </c>
      <c r="J270" s="2" t="s">
        <v>19</v>
      </c>
      <c r="K270" s="2" t="s">
        <v>253</v>
      </c>
      <c r="L270" s="7" t="str">
        <f>HYPERLINK("http://slimages.macys.com/is/image/MCY/3650197 ")</f>
        <v xml:space="preserve">http://slimages.macys.com/is/image/MCY/3650197 </v>
      </c>
    </row>
    <row r="271" spans="1:12" ht="24.75" x14ac:dyDescent="0.25">
      <c r="A271" s="4" t="s">
        <v>2475</v>
      </c>
      <c r="B271" s="2" t="s">
        <v>2476</v>
      </c>
      <c r="C271" s="3">
        <v>1</v>
      </c>
      <c r="D271" s="5">
        <v>40.880000000000003</v>
      </c>
      <c r="E271" s="3" t="s">
        <v>2477</v>
      </c>
      <c r="F271" s="2" t="s">
        <v>752</v>
      </c>
      <c r="G271" s="6" t="s">
        <v>154</v>
      </c>
      <c r="H271" s="2" t="s">
        <v>194</v>
      </c>
      <c r="I271" s="2" t="s">
        <v>195</v>
      </c>
      <c r="J271" s="2" t="s">
        <v>19</v>
      </c>
      <c r="K271" s="2" t="s">
        <v>34</v>
      </c>
      <c r="L271" s="7" t="str">
        <f>HYPERLINK("http://slimages.macys.com/is/image/MCY/12279885 ")</f>
        <v xml:space="preserve">http://slimages.macys.com/is/image/MCY/12279885 </v>
      </c>
    </row>
    <row r="272" spans="1:12" ht="24.75" x14ac:dyDescent="0.25">
      <c r="A272" s="4" t="s">
        <v>10702</v>
      </c>
      <c r="B272" s="2" t="s">
        <v>913</v>
      </c>
      <c r="C272" s="3">
        <v>2</v>
      </c>
      <c r="D272" s="5">
        <v>40.880000000000003</v>
      </c>
      <c r="E272" s="3" t="s">
        <v>10703</v>
      </c>
      <c r="F272" s="2" t="s">
        <v>15</v>
      </c>
      <c r="G272" s="6" t="s">
        <v>154</v>
      </c>
      <c r="H272" s="2" t="s">
        <v>194</v>
      </c>
      <c r="I272" s="2" t="s">
        <v>195</v>
      </c>
      <c r="J272" s="2" t="s">
        <v>19</v>
      </c>
      <c r="K272" s="2" t="s">
        <v>34</v>
      </c>
      <c r="L272" s="7" t="str">
        <f>HYPERLINK("http://slimages.macys.com/is/image/MCY/12279885 ")</f>
        <v xml:space="preserve">http://slimages.macys.com/is/image/MCY/12279885 </v>
      </c>
    </row>
    <row r="273" spans="1:12" ht="24.75" x14ac:dyDescent="0.25">
      <c r="A273" s="4" t="s">
        <v>875</v>
      </c>
      <c r="B273" s="2" t="s">
        <v>876</v>
      </c>
      <c r="C273" s="3">
        <v>1</v>
      </c>
      <c r="D273" s="5">
        <v>34.5</v>
      </c>
      <c r="E273" s="3" t="s">
        <v>877</v>
      </c>
      <c r="F273" s="2" t="s">
        <v>878</v>
      </c>
      <c r="G273" s="6" t="s">
        <v>802</v>
      </c>
      <c r="H273" s="2" t="s">
        <v>426</v>
      </c>
      <c r="I273" s="2" t="s">
        <v>229</v>
      </c>
      <c r="J273" s="2" t="s">
        <v>19</v>
      </c>
      <c r="K273" s="2" t="s">
        <v>253</v>
      </c>
      <c r="L273" s="7" t="str">
        <f>HYPERLINK("http://slimages.macys.com/is/image/MCY/1290325 ")</f>
        <v xml:space="preserve">http://slimages.macys.com/is/image/MCY/1290325 </v>
      </c>
    </row>
    <row r="274" spans="1:12" ht="24.75" x14ac:dyDescent="0.25">
      <c r="A274" s="4" t="s">
        <v>882</v>
      </c>
      <c r="B274" s="2" t="s">
        <v>11965</v>
      </c>
      <c r="C274" s="3">
        <v>1</v>
      </c>
      <c r="D274" s="5">
        <v>34.5</v>
      </c>
      <c r="E274" s="3">
        <v>100040729</v>
      </c>
      <c r="F274" s="2" t="s">
        <v>252</v>
      </c>
      <c r="G274" s="6" t="s">
        <v>27</v>
      </c>
      <c r="H274" s="2" t="s">
        <v>228</v>
      </c>
      <c r="I274" s="2" t="s">
        <v>229</v>
      </c>
      <c r="J274" s="2" t="s">
        <v>19</v>
      </c>
      <c r="K274" s="2" t="s">
        <v>230</v>
      </c>
      <c r="L274" s="7" t="str">
        <f>HYPERLINK("http://slimages.macys.com/is/image/MCY/3650189 ")</f>
        <v xml:space="preserve">http://slimages.macys.com/is/image/MCY/3650189 </v>
      </c>
    </row>
    <row r="275" spans="1:12" ht="24.75" x14ac:dyDescent="0.25">
      <c r="A275" s="4" t="s">
        <v>11966</v>
      </c>
      <c r="B275" s="2" t="s">
        <v>880</v>
      </c>
      <c r="C275" s="3">
        <v>1</v>
      </c>
      <c r="D275" s="5">
        <v>34.5</v>
      </c>
      <c r="E275" s="3" t="s">
        <v>11967</v>
      </c>
      <c r="F275" s="2" t="s">
        <v>252</v>
      </c>
      <c r="G275" s="6" t="s">
        <v>238</v>
      </c>
      <c r="H275" s="2" t="s">
        <v>426</v>
      </c>
      <c r="I275" s="2" t="s">
        <v>229</v>
      </c>
      <c r="J275" s="2" t="s">
        <v>19</v>
      </c>
      <c r="K275" s="2" t="s">
        <v>230</v>
      </c>
      <c r="L275" s="7" t="str">
        <f>HYPERLINK("http://slimages.macys.com/is/image/MCY/11148448 ")</f>
        <v xml:space="preserve">http://slimages.macys.com/is/image/MCY/11148448 </v>
      </c>
    </row>
    <row r="276" spans="1:12" ht="24.75" x14ac:dyDescent="0.25">
      <c r="A276" s="4" t="s">
        <v>11968</v>
      </c>
      <c r="B276" s="2" t="s">
        <v>1093</v>
      </c>
      <c r="C276" s="3">
        <v>1</v>
      </c>
      <c r="D276" s="5">
        <v>37.130000000000003</v>
      </c>
      <c r="E276" s="3">
        <v>100018042</v>
      </c>
      <c r="F276" s="2" t="s">
        <v>26</v>
      </c>
      <c r="G276" s="6" t="s">
        <v>27</v>
      </c>
      <c r="H276" s="2" t="s">
        <v>194</v>
      </c>
      <c r="I276" s="2" t="s">
        <v>195</v>
      </c>
      <c r="J276" s="2" t="s">
        <v>19</v>
      </c>
      <c r="K276" s="2" t="s">
        <v>353</v>
      </c>
      <c r="L276" s="7" t="str">
        <f>HYPERLINK("http://slimages.macys.com/is/image/MCY/9693642 ")</f>
        <v xml:space="preserve">http://slimages.macys.com/is/image/MCY/9693642 </v>
      </c>
    </row>
    <row r="277" spans="1:12" ht="24.75" x14ac:dyDescent="0.25">
      <c r="A277" s="4" t="s">
        <v>6466</v>
      </c>
      <c r="B277" s="2" t="s">
        <v>2483</v>
      </c>
      <c r="C277" s="3">
        <v>1</v>
      </c>
      <c r="D277" s="5">
        <v>34.880000000000003</v>
      </c>
      <c r="E277" s="3">
        <v>100058189</v>
      </c>
      <c r="F277" s="2" t="s">
        <v>15</v>
      </c>
      <c r="G277" s="6" t="s">
        <v>16</v>
      </c>
      <c r="H277" s="2" t="s">
        <v>194</v>
      </c>
      <c r="I277" s="2" t="s">
        <v>195</v>
      </c>
      <c r="J277" s="2" t="s">
        <v>19</v>
      </c>
      <c r="K277" s="2" t="s">
        <v>648</v>
      </c>
      <c r="L277" s="7" t="str">
        <f>HYPERLINK("http://slimages.macys.com/is/image/MCY/12802459 ")</f>
        <v xml:space="preserve">http://slimages.macys.com/is/image/MCY/12802459 </v>
      </c>
    </row>
    <row r="278" spans="1:12" ht="24.75" x14ac:dyDescent="0.25">
      <c r="A278" s="4" t="s">
        <v>2482</v>
      </c>
      <c r="B278" s="2" t="s">
        <v>2483</v>
      </c>
      <c r="C278" s="3">
        <v>2</v>
      </c>
      <c r="D278" s="5">
        <v>34.880000000000003</v>
      </c>
      <c r="E278" s="3">
        <v>100058189</v>
      </c>
      <c r="F278" s="2" t="s">
        <v>15</v>
      </c>
      <c r="G278" s="6" t="s">
        <v>27</v>
      </c>
      <c r="H278" s="2" t="s">
        <v>194</v>
      </c>
      <c r="I278" s="2" t="s">
        <v>195</v>
      </c>
      <c r="J278" s="2" t="s">
        <v>19</v>
      </c>
      <c r="K278" s="2" t="s">
        <v>648</v>
      </c>
      <c r="L278" s="7" t="str">
        <f>HYPERLINK("http://slimages.macys.com/is/image/MCY/12802459 ")</f>
        <v xml:space="preserve">http://slimages.macys.com/is/image/MCY/12802459 </v>
      </c>
    </row>
    <row r="279" spans="1:12" ht="24.75" x14ac:dyDescent="0.25">
      <c r="A279" s="4" t="s">
        <v>11969</v>
      </c>
      <c r="B279" s="2" t="s">
        <v>926</v>
      </c>
      <c r="C279" s="3">
        <v>3</v>
      </c>
      <c r="D279" s="5">
        <v>37.130000000000003</v>
      </c>
      <c r="E279" s="3">
        <v>100009311</v>
      </c>
      <c r="F279" s="2" t="s">
        <v>506</v>
      </c>
      <c r="G279" s="6" t="s">
        <v>112</v>
      </c>
      <c r="H279" s="2" t="s">
        <v>194</v>
      </c>
      <c r="I279" s="2" t="s">
        <v>928</v>
      </c>
      <c r="J279" s="2" t="s">
        <v>19</v>
      </c>
      <c r="K279" s="2" t="s">
        <v>929</v>
      </c>
      <c r="L279" s="7" t="str">
        <f>HYPERLINK("http://slimages.macys.com/is/image/MCY/10249270 ")</f>
        <v xml:space="preserve">http://slimages.macys.com/is/image/MCY/10249270 </v>
      </c>
    </row>
    <row r="280" spans="1:12" ht="24.75" x14ac:dyDescent="0.25">
      <c r="A280" s="4" t="s">
        <v>4726</v>
      </c>
      <c r="B280" s="2" t="s">
        <v>890</v>
      </c>
      <c r="C280" s="3">
        <v>1</v>
      </c>
      <c r="D280" s="5">
        <v>34.5</v>
      </c>
      <c r="E280" s="3" t="s">
        <v>891</v>
      </c>
      <c r="F280" s="2" t="s">
        <v>64</v>
      </c>
      <c r="G280" s="6" t="s">
        <v>58</v>
      </c>
      <c r="H280" s="2" t="s">
        <v>228</v>
      </c>
      <c r="I280" s="2" t="s">
        <v>229</v>
      </c>
      <c r="J280" s="2" t="s">
        <v>19</v>
      </c>
      <c r="K280" s="2" t="s">
        <v>253</v>
      </c>
      <c r="L280" s="7" t="str">
        <f>HYPERLINK("http://slimages.macys.com/is/image/MCY/3623510 ")</f>
        <v xml:space="preserve">http://slimages.macys.com/is/image/MCY/3623510 </v>
      </c>
    </row>
    <row r="281" spans="1:12" ht="24.75" x14ac:dyDescent="0.25">
      <c r="A281" s="4" t="s">
        <v>11970</v>
      </c>
      <c r="B281" s="2" t="s">
        <v>3640</v>
      </c>
      <c r="C281" s="3">
        <v>1</v>
      </c>
      <c r="D281" s="5">
        <v>44.63</v>
      </c>
      <c r="E281" s="3" t="s">
        <v>3641</v>
      </c>
      <c r="F281" s="2" t="s">
        <v>26</v>
      </c>
      <c r="G281" s="6" t="s">
        <v>7472</v>
      </c>
      <c r="H281" s="2" t="s">
        <v>246</v>
      </c>
      <c r="I281" s="2" t="s">
        <v>487</v>
      </c>
      <c r="J281" s="2" t="s">
        <v>19</v>
      </c>
      <c r="K281" s="2" t="s">
        <v>409</v>
      </c>
      <c r="L281" s="7" t="str">
        <f>HYPERLINK("http://slimages.macys.com/is/image/MCY/11699445 ")</f>
        <v xml:space="preserve">http://slimages.macys.com/is/image/MCY/11699445 </v>
      </c>
    </row>
    <row r="282" spans="1:12" ht="24.75" x14ac:dyDescent="0.25">
      <c r="A282" s="4" t="s">
        <v>7290</v>
      </c>
      <c r="B282" s="2" t="s">
        <v>890</v>
      </c>
      <c r="C282" s="3">
        <v>3</v>
      </c>
      <c r="D282" s="5">
        <v>34.5</v>
      </c>
      <c r="E282" s="3" t="s">
        <v>891</v>
      </c>
      <c r="F282" s="2" t="s">
        <v>64</v>
      </c>
      <c r="G282" s="6" t="s">
        <v>65</v>
      </c>
      <c r="H282" s="2" t="s">
        <v>228</v>
      </c>
      <c r="I282" s="2" t="s">
        <v>229</v>
      </c>
      <c r="J282" s="2" t="s">
        <v>19</v>
      </c>
      <c r="K282" s="2" t="s">
        <v>253</v>
      </c>
      <c r="L282" s="7" t="str">
        <f>HYPERLINK("http://slimages.macys.com/is/image/MCY/3623510 ")</f>
        <v xml:space="preserve">http://slimages.macys.com/is/image/MCY/3623510 </v>
      </c>
    </row>
    <row r="283" spans="1:12" ht="24.75" x14ac:dyDescent="0.25">
      <c r="A283" s="4" t="s">
        <v>11971</v>
      </c>
      <c r="B283" s="2" t="s">
        <v>4728</v>
      </c>
      <c r="C283" s="3">
        <v>1</v>
      </c>
      <c r="D283" s="5">
        <v>36.75</v>
      </c>
      <c r="E283" s="3">
        <v>100065042</v>
      </c>
      <c r="F283" s="2" t="s">
        <v>225</v>
      </c>
      <c r="G283" s="6" t="s">
        <v>154</v>
      </c>
      <c r="H283" s="2" t="s">
        <v>228</v>
      </c>
      <c r="I283" s="2" t="s">
        <v>229</v>
      </c>
      <c r="J283" s="2" t="s">
        <v>19</v>
      </c>
      <c r="K283" s="2" t="s">
        <v>230</v>
      </c>
      <c r="L283" s="7" t="str">
        <f>HYPERLINK("http://slimages.macys.com/is/image/MCY/12316776 ")</f>
        <v xml:space="preserve">http://slimages.macys.com/is/image/MCY/12316776 </v>
      </c>
    </row>
    <row r="284" spans="1:12" ht="24.75" x14ac:dyDescent="0.25">
      <c r="A284" s="4" t="s">
        <v>2492</v>
      </c>
      <c r="B284" s="2" t="s">
        <v>904</v>
      </c>
      <c r="C284" s="3">
        <v>1</v>
      </c>
      <c r="D284" s="5">
        <v>34.5</v>
      </c>
      <c r="E284" s="3" t="s">
        <v>905</v>
      </c>
      <c r="F284" s="2" t="s">
        <v>74</v>
      </c>
      <c r="G284" s="6" t="s">
        <v>154</v>
      </c>
      <c r="H284" s="2" t="s">
        <v>228</v>
      </c>
      <c r="I284" s="2" t="s">
        <v>229</v>
      </c>
      <c r="J284" s="2" t="s">
        <v>19</v>
      </c>
      <c r="K284" s="2" t="s">
        <v>253</v>
      </c>
      <c r="L284" s="7" t="str">
        <f>HYPERLINK("http://slimages.macys.com/is/image/MCY/12794164 ")</f>
        <v xml:space="preserve">http://slimages.macys.com/is/image/MCY/12794164 </v>
      </c>
    </row>
    <row r="285" spans="1:12" ht="24.75" x14ac:dyDescent="0.25">
      <c r="A285" s="4" t="s">
        <v>903</v>
      </c>
      <c r="B285" s="2" t="s">
        <v>904</v>
      </c>
      <c r="C285" s="3">
        <v>1</v>
      </c>
      <c r="D285" s="5">
        <v>34.5</v>
      </c>
      <c r="E285" s="3" t="s">
        <v>905</v>
      </c>
      <c r="F285" s="2" t="s">
        <v>74</v>
      </c>
      <c r="G285" s="6" t="s">
        <v>234</v>
      </c>
      <c r="H285" s="2" t="s">
        <v>228</v>
      </c>
      <c r="I285" s="2" t="s">
        <v>229</v>
      </c>
      <c r="J285" s="2" t="s">
        <v>19</v>
      </c>
      <c r="K285" s="2" t="s">
        <v>253</v>
      </c>
      <c r="L285" s="7" t="str">
        <f>HYPERLINK("http://slimages.macys.com/is/image/MCY/12794164 ")</f>
        <v xml:space="preserve">http://slimages.macys.com/is/image/MCY/12794164 </v>
      </c>
    </row>
    <row r="286" spans="1:12" ht="24.75" x14ac:dyDescent="0.25">
      <c r="A286" s="4" t="s">
        <v>11972</v>
      </c>
      <c r="B286" s="2" t="s">
        <v>8598</v>
      </c>
      <c r="C286" s="3">
        <v>1</v>
      </c>
      <c r="D286" s="5">
        <v>44.63</v>
      </c>
      <c r="E286" s="3" t="s">
        <v>8599</v>
      </c>
      <c r="F286" s="2" t="s">
        <v>26</v>
      </c>
      <c r="G286" s="6"/>
      <c r="H286" s="2" t="s">
        <v>188</v>
      </c>
      <c r="I286" s="2" t="s">
        <v>189</v>
      </c>
      <c r="J286" s="2" t="s">
        <v>19</v>
      </c>
      <c r="K286" s="2" t="s">
        <v>107</v>
      </c>
      <c r="L286" s="7" t="str">
        <f>HYPERLINK("http://slimages.macys.com/is/image/MCY/13330168 ")</f>
        <v xml:space="preserve">http://slimages.macys.com/is/image/MCY/13330168 </v>
      </c>
    </row>
    <row r="287" spans="1:12" ht="24.75" x14ac:dyDescent="0.25">
      <c r="A287" s="4" t="s">
        <v>11973</v>
      </c>
      <c r="B287" s="2" t="s">
        <v>11974</v>
      </c>
      <c r="C287" s="3">
        <v>1</v>
      </c>
      <c r="D287" s="5">
        <v>60</v>
      </c>
      <c r="E287" s="3" t="s">
        <v>11975</v>
      </c>
      <c r="F287" s="2" t="s">
        <v>15</v>
      </c>
      <c r="G287" s="6" t="s">
        <v>156</v>
      </c>
      <c r="H287" s="2" t="s">
        <v>10225</v>
      </c>
      <c r="I287" s="2" t="s">
        <v>10226</v>
      </c>
      <c r="J287" s="2" t="s">
        <v>19</v>
      </c>
      <c r="K287" s="2" t="s">
        <v>160</v>
      </c>
      <c r="L287" s="7" t="str">
        <f>HYPERLINK("http://slimages.macys.com/is/image/MCY/13898718 ")</f>
        <v xml:space="preserve">http://slimages.macys.com/is/image/MCY/13898718 </v>
      </c>
    </row>
    <row r="288" spans="1:12" ht="24.75" x14ac:dyDescent="0.25">
      <c r="A288" s="4" t="s">
        <v>10717</v>
      </c>
      <c r="B288" s="2" t="s">
        <v>945</v>
      </c>
      <c r="C288" s="3">
        <v>1</v>
      </c>
      <c r="D288" s="5">
        <v>44.63</v>
      </c>
      <c r="E288" s="3">
        <v>72068</v>
      </c>
      <c r="F288" s="2" t="s">
        <v>676</v>
      </c>
      <c r="G288" s="6" t="s">
        <v>245</v>
      </c>
      <c r="H288" s="2" t="s">
        <v>194</v>
      </c>
      <c r="I288" s="2" t="s">
        <v>195</v>
      </c>
      <c r="J288" s="2" t="s">
        <v>19</v>
      </c>
      <c r="K288" s="2" t="s">
        <v>247</v>
      </c>
      <c r="L288" s="7" t="str">
        <f>HYPERLINK("http://slimages.macys.com/is/image/MCY/8263757 ")</f>
        <v xml:space="preserve">http://slimages.macys.com/is/image/MCY/8263757 </v>
      </c>
    </row>
    <row r="289" spans="1:12" ht="24.75" x14ac:dyDescent="0.25">
      <c r="A289" s="4" t="s">
        <v>11976</v>
      </c>
      <c r="B289" s="2" t="s">
        <v>945</v>
      </c>
      <c r="C289" s="3">
        <v>1</v>
      </c>
      <c r="D289" s="5">
        <v>44.63</v>
      </c>
      <c r="E289" s="3">
        <v>72068</v>
      </c>
      <c r="F289" s="2" t="s">
        <v>676</v>
      </c>
      <c r="G289" s="6" t="s">
        <v>156</v>
      </c>
      <c r="H289" s="2" t="s">
        <v>194</v>
      </c>
      <c r="I289" s="2" t="s">
        <v>195</v>
      </c>
      <c r="J289" s="2" t="s">
        <v>19</v>
      </c>
      <c r="K289" s="2" t="s">
        <v>247</v>
      </c>
      <c r="L289" s="7" t="str">
        <f>HYPERLINK("http://slimages.macys.com/is/image/MCY/8263757 ")</f>
        <v xml:space="preserve">http://slimages.macys.com/is/image/MCY/8263757 </v>
      </c>
    </row>
    <row r="290" spans="1:12" ht="24.75" x14ac:dyDescent="0.25">
      <c r="A290" s="4" t="s">
        <v>11977</v>
      </c>
      <c r="B290" s="2" t="s">
        <v>5653</v>
      </c>
      <c r="C290" s="3">
        <v>1</v>
      </c>
      <c r="D290" s="5">
        <v>52.13</v>
      </c>
      <c r="E290" s="3" t="s">
        <v>5654</v>
      </c>
      <c r="F290" s="2" t="s">
        <v>5655</v>
      </c>
      <c r="G290" s="6" t="s">
        <v>363</v>
      </c>
      <c r="H290" s="2" t="s">
        <v>188</v>
      </c>
      <c r="I290" s="2" t="s">
        <v>487</v>
      </c>
      <c r="J290" s="2" t="s">
        <v>19</v>
      </c>
      <c r="K290" s="2" t="s">
        <v>409</v>
      </c>
      <c r="L290" s="7" t="str">
        <f>HYPERLINK("http://slimages.macys.com/is/image/MCY/12894162 ")</f>
        <v xml:space="preserve">http://slimages.macys.com/is/image/MCY/12894162 </v>
      </c>
    </row>
    <row r="291" spans="1:12" ht="24.75" x14ac:dyDescent="0.25">
      <c r="A291" s="4" t="s">
        <v>11978</v>
      </c>
      <c r="B291" s="2" t="s">
        <v>808</v>
      </c>
      <c r="C291" s="3">
        <v>1</v>
      </c>
      <c r="D291" s="5">
        <v>37.130000000000003</v>
      </c>
      <c r="E291" s="3">
        <v>100013676</v>
      </c>
      <c r="F291" s="2" t="s">
        <v>170</v>
      </c>
      <c r="G291" s="6" t="s">
        <v>156</v>
      </c>
      <c r="H291" s="2" t="s">
        <v>194</v>
      </c>
      <c r="I291" s="2" t="s">
        <v>503</v>
      </c>
      <c r="J291" s="2" t="s">
        <v>19</v>
      </c>
      <c r="K291" s="2" t="s">
        <v>546</v>
      </c>
      <c r="L291" s="7" t="str">
        <f>HYPERLINK("http://slimages.macys.com/is/image/MCY/13785844 ")</f>
        <v xml:space="preserve">http://slimages.macys.com/is/image/MCY/13785844 </v>
      </c>
    </row>
    <row r="292" spans="1:12" ht="24.75" x14ac:dyDescent="0.25">
      <c r="A292" s="4" t="s">
        <v>11979</v>
      </c>
      <c r="B292" s="2" t="s">
        <v>10724</v>
      </c>
      <c r="C292" s="3">
        <v>2</v>
      </c>
      <c r="D292" s="5">
        <v>37.130000000000003</v>
      </c>
      <c r="E292" s="3">
        <v>100013675</v>
      </c>
      <c r="F292" s="2" t="s">
        <v>33</v>
      </c>
      <c r="G292" s="6" t="s">
        <v>156</v>
      </c>
      <c r="H292" s="2" t="s">
        <v>194</v>
      </c>
      <c r="I292" s="2" t="s">
        <v>503</v>
      </c>
      <c r="J292" s="2" t="s">
        <v>19</v>
      </c>
      <c r="K292" s="2" t="s">
        <v>546</v>
      </c>
      <c r="L292" s="7" t="str">
        <f t="shared" ref="L292:L297" si="0">HYPERLINK("http://slimages.macys.com/is/image/MCY/9340718 ")</f>
        <v xml:space="preserve">http://slimages.macys.com/is/image/MCY/9340718 </v>
      </c>
    </row>
    <row r="293" spans="1:12" ht="24.75" x14ac:dyDescent="0.25">
      <c r="A293" s="4" t="s">
        <v>10723</v>
      </c>
      <c r="B293" s="2" t="s">
        <v>10724</v>
      </c>
      <c r="C293" s="3">
        <v>1</v>
      </c>
      <c r="D293" s="5">
        <v>37.130000000000003</v>
      </c>
      <c r="E293" s="3">
        <v>100013675</v>
      </c>
      <c r="F293" s="2" t="s">
        <v>111</v>
      </c>
      <c r="G293" s="6" t="s">
        <v>181</v>
      </c>
      <c r="H293" s="2" t="s">
        <v>194</v>
      </c>
      <c r="I293" s="2" t="s">
        <v>503</v>
      </c>
      <c r="J293" s="2" t="s">
        <v>19</v>
      </c>
      <c r="K293" s="2" t="s">
        <v>546</v>
      </c>
      <c r="L293" s="7" t="str">
        <f t="shared" si="0"/>
        <v xml:space="preserve">http://slimages.macys.com/is/image/MCY/9340718 </v>
      </c>
    </row>
    <row r="294" spans="1:12" ht="24.75" x14ac:dyDescent="0.25">
      <c r="A294" s="4" t="s">
        <v>11980</v>
      </c>
      <c r="B294" s="2" t="s">
        <v>10724</v>
      </c>
      <c r="C294" s="3">
        <v>1</v>
      </c>
      <c r="D294" s="5">
        <v>37.130000000000003</v>
      </c>
      <c r="E294" s="3">
        <v>100013675</v>
      </c>
      <c r="F294" s="2" t="s">
        <v>111</v>
      </c>
      <c r="G294" s="6" t="s">
        <v>156</v>
      </c>
      <c r="H294" s="2" t="s">
        <v>194</v>
      </c>
      <c r="I294" s="2" t="s">
        <v>503</v>
      </c>
      <c r="J294" s="2" t="s">
        <v>19</v>
      </c>
      <c r="K294" s="2" t="s">
        <v>546</v>
      </c>
      <c r="L294" s="7" t="str">
        <f t="shared" si="0"/>
        <v xml:space="preserve">http://slimages.macys.com/is/image/MCY/9340718 </v>
      </c>
    </row>
    <row r="295" spans="1:12" ht="24.75" x14ac:dyDescent="0.25">
      <c r="A295" s="4" t="s">
        <v>10729</v>
      </c>
      <c r="B295" s="2" t="s">
        <v>10724</v>
      </c>
      <c r="C295" s="3">
        <v>1</v>
      </c>
      <c r="D295" s="5">
        <v>37.130000000000003</v>
      </c>
      <c r="E295" s="3">
        <v>100013675</v>
      </c>
      <c r="F295" s="2" t="s">
        <v>111</v>
      </c>
      <c r="G295" s="6" t="s">
        <v>234</v>
      </c>
      <c r="H295" s="2" t="s">
        <v>194</v>
      </c>
      <c r="I295" s="2" t="s">
        <v>503</v>
      </c>
      <c r="J295" s="2" t="s">
        <v>19</v>
      </c>
      <c r="K295" s="2" t="s">
        <v>546</v>
      </c>
      <c r="L295" s="7" t="str">
        <f t="shared" si="0"/>
        <v xml:space="preserve">http://slimages.macys.com/is/image/MCY/9340718 </v>
      </c>
    </row>
    <row r="296" spans="1:12" ht="24.75" x14ac:dyDescent="0.25">
      <c r="A296" s="4" t="s">
        <v>11981</v>
      </c>
      <c r="B296" s="2" t="s">
        <v>10724</v>
      </c>
      <c r="C296" s="3">
        <v>2</v>
      </c>
      <c r="D296" s="5">
        <v>37.130000000000003</v>
      </c>
      <c r="E296" s="3">
        <v>100013675</v>
      </c>
      <c r="F296" s="2" t="s">
        <v>33</v>
      </c>
      <c r="G296" s="6" t="s">
        <v>234</v>
      </c>
      <c r="H296" s="2" t="s">
        <v>194</v>
      </c>
      <c r="I296" s="2" t="s">
        <v>503</v>
      </c>
      <c r="J296" s="2" t="s">
        <v>19</v>
      </c>
      <c r="K296" s="2" t="s">
        <v>546</v>
      </c>
      <c r="L296" s="7" t="str">
        <f t="shared" si="0"/>
        <v xml:space="preserve">http://slimages.macys.com/is/image/MCY/9340718 </v>
      </c>
    </row>
    <row r="297" spans="1:12" ht="24.75" x14ac:dyDescent="0.25">
      <c r="A297" s="4" t="s">
        <v>10725</v>
      </c>
      <c r="B297" s="2" t="s">
        <v>10724</v>
      </c>
      <c r="C297" s="3">
        <v>1</v>
      </c>
      <c r="D297" s="5">
        <v>37.130000000000003</v>
      </c>
      <c r="E297" s="3">
        <v>100013675</v>
      </c>
      <c r="F297" s="2" t="s">
        <v>111</v>
      </c>
      <c r="G297" s="6" t="s">
        <v>245</v>
      </c>
      <c r="H297" s="2" t="s">
        <v>194</v>
      </c>
      <c r="I297" s="2" t="s">
        <v>503</v>
      </c>
      <c r="J297" s="2" t="s">
        <v>19</v>
      </c>
      <c r="K297" s="2" t="s">
        <v>546</v>
      </c>
      <c r="L297" s="7" t="str">
        <f t="shared" si="0"/>
        <v xml:space="preserve">http://slimages.macys.com/is/image/MCY/9340718 </v>
      </c>
    </row>
    <row r="298" spans="1:12" ht="24.75" x14ac:dyDescent="0.25">
      <c r="A298" s="4" t="s">
        <v>5679</v>
      </c>
      <c r="B298" s="2" t="s">
        <v>808</v>
      </c>
      <c r="C298" s="3">
        <v>1</v>
      </c>
      <c r="D298" s="5">
        <v>37.130000000000003</v>
      </c>
      <c r="E298" s="3" t="s">
        <v>5680</v>
      </c>
      <c r="F298" s="2" t="s">
        <v>170</v>
      </c>
      <c r="G298" s="6"/>
      <c r="H298" s="2" t="s">
        <v>312</v>
      </c>
      <c r="I298" s="2" t="s">
        <v>503</v>
      </c>
      <c r="J298" s="2" t="s">
        <v>19</v>
      </c>
      <c r="K298" s="2" t="s">
        <v>546</v>
      </c>
      <c r="L298" s="7" t="str">
        <f>HYPERLINK("http://slimages.macys.com/is/image/MCY/12144056 ")</f>
        <v xml:space="preserve">http://slimages.macys.com/is/image/MCY/12144056 </v>
      </c>
    </row>
    <row r="299" spans="1:12" ht="24.75" x14ac:dyDescent="0.25">
      <c r="A299" s="4" t="s">
        <v>7308</v>
      </c>
      <c r="B299" s="2" t="s">
        <v>808</v>
      </c>
      <c r="C299" s="3">
        <v>1</v>
      </c>
      <c r="D299" s="5">
        <v>37.130000000000003</v>
      </c>
      <c r="E299" s="3" t="s">
        <v>5680</v>
      </c>
      <c r="F299" s="2" t="s">
        <v>170</v>
      </c>
      <c r="G299" s="6"/>
      <c r="H299" s="2" t="s">
        <v>312</v>
      </c>
      <c r="I299" s="2" t="s">
        <v>503</v>
      </c>
      <c r="J299" s="2" t="s">
        <v>19</v>
      </c>
      <c r="K299" s="2" t="s">
        <v>546</v>
      </c>
      <c r="L299" s="7" t="str">
        <f>HYPERLINK("http://slimages.macys.com/is/image/MCY/12144056 ")</f>
        <v xml:space="preserve">http://slimages.macys.com/is/image/MCY/12144056 </v>
      </c>
    </row>
    <row r="300" spans="1:12" ht="24.75" x14ac:dyDescent="0.25">
      <c r="A300" s="4" t="s">
        <v>11982</v>
      </c>
      <c r="B300" s="2" t="s">
        <v>890</v>
      </c>
      <c r="C300" s="3">
        <v>1</v>
      </c>
      <c r="D300" s="5">
        <v>34.5</v>
      </c>
      <c r="E300" s="3" t="s">
        <v>3670</v>
      </c>
      <c r="F300" s="2" t="s">
        <v>15</v>
      </c>
      <c r="G300" s="6" t="s">
        <v>1335</v>
      </c>
      <c r="H300" s="2" t="s">
        <v>228</v>
      </c>
      <c r="I300" s="2" t="s">
        <v>863</v>
      </c>
      <c r="J300" s="2" t="s">
        <v>19</v>
      </c>
      <c r="K300" s="2" t="s">
        <v>253</v>
      </c>
      <c r="L300" s="7" t="str">
        <f>HYPERLINK("http://slimages.macys.com/is/image/MCY/9864908 ")</f>
        <v xml:space="preserve">http://slimages.macys.com/is/image/MCY/9864908 </v>
      </c>
    </row>
    <row r="301" spans="1:12" ht="36.75" x14ac:dyDescent="0.25">
      <c r="A301" s="4" t="s">
        <v>11983</v>
      </c>
      <c r="B301" s="2" t="s">
        <v>964</v>
      </c>
      <c r="C301" s="3">
        <v>3</v>
      </c>
      <c r="D301" s="5">
        <v>37.130000000000003</v>
      </c>
      <c r="E301" s="3">
        <v>100026210</v>
      </c>
      <c r="F301" s="2" t="s">
        <v>376</v>
      </c>
      <c r="G301" s="6" t="s">
        <v>154</v>
      </c>
      <c r="H301" s="2" t="s">
        <v>194</v>
      </c>
      <c r="I301" s="2" t="s">
        <v>195</v>
      </c>
      <c r="J301" s="2" t="s">
        <v>19</v>
      </c>
      <c r="K301" s="2" t="s">
        <v>965</v>
      </c>
      <c r="L301" s="7" t="str">
        <f>HYPERLINK("http://slimages.macys.com/is/image/MCY/10049790 ")</f>
        <v xml:space="preserve">http://slimages.macys.com/is/image/MCY/10049790 </v>
      </c>
    </row>
    <row r="302" spans="1:12" ht="36.75" x14ac:dyDescent="0.25">
      <c r="A302" s="4" t="s">
        <v>11984</v>
      </c>
      <c r="B302" s="2" t="s">
        <v>964</v>
      </c>
      <c r="C302" s="3">
        <v>1</v>
      </c>
      <c r="D302" s="5">
        <v>37.130000000000003</v>
      </c>
      <c r="E302" s="3">
        <v>100026210</v>
      </c>
      <c r="F302" s="2" t="s">
        <v>376</v>
      </c>
      <c r="G302" s="6" t="s">
        <v>156</v>
      </c>
      <c r="H302" s="2" t="s">
        <v>194</v>
      </c>
      <c r="I302" s="2" t="s">
        <v>195</v>
      </c>
      <c r="J302" s="2" t="s">
        <v>19</v>
      </c>
      <c r="K302" s="2" t="s">
        <v>965</v>
      </c>
      <c r="L302" s="7" t="str">
        <f>HYPERLINK("http://slimages.macys.com/is/image/MCY/10049790 ")</f>
        <v xml:space="preserve">http://slimages.macys.com/is/image/MCY/10049790 </v>
      </c>
    </row>
    <row r="303" spans="1:12" ht="24.75" x14ac:dyDescent="0.25">
      <c r="A303" s="4" t="s">
        <v>11985</v>
      </c>
      <c r="B303" s="2" t="s">
        <v>7316</v>
      </c>
      <c r="C303" s="3">
        <v>1</v>
      </c>
      <c r="D303" s="5">
        <v>44.5</v>
      </c>
      <c r="E303" s="3" t="s">
        <v>7317</v>
      </c>
      <c r="F303" s="2" t="s">
        <v>70</v>
      </c>
      <c r="G303" s="6" t="s">
        <v>234</v>
      </c>
      <c r="H303" s="2" t="s">
        <v>246</v>
      </c>
      <c r="I303" s="2" t="s">
        <v>189</v>
      </c>
      <c r="J303" s="2" t="s">
        <v>19</v>
      </c>
      <c r="K303" s="2" t="s">
        <v>648</v>
      </c>
      <c r="L303" s="7" t="str">
        <f>HYPERLINK("http://slimages.macys.com/is/image/MCY/11621549 ")</f>
        <v xml:space="preserve">http://slimages.macys.com/is/image/MCY/11621549 </v>
      </c>
    </row>
    <row r="304" spans="1:12" ht="24.75" x14ac:dyDescent="0.25">
      <c r="A304" s="4" t="s">
        <v>11986</v>
      </c>
      <c r="B304" s="2" t="s">
        <v>7316</v>
      </c>
      <c r="C304" s="3">
        <v>1</v>
      </c>
      <c r="D304" s="5">
        <v>44.63</v>
      </c>
      <c r="E304" s="3" t="s">
        <v>7317</v>
      </c>
      <c r="F304" s="2"/>
      <c r="G304" s="6" t="s">
        <v>154</v>
      </c>
      <c r="H304" s="2" t="s">
        <v>246</v>
      </c>
      <c r="I304" s="2" t="s">
        <v>189</v>
      </c>
      <c r="J304" s="2" t="s">
        <v>19</v>
      </c>
      <c r="K304" s="2" t="s">
        <v>648</v>
      </c>
      <c r="L304" s="7" t="str">
        <f>HYPERLINK("http://slimages.macys.com/is/image/MCY/11621549 ")</f>
        <v xml:space="preserve">http://slimages.macys.com/is/image/MCY/11621549 </v>
      </c>
    </row>
    <row r="305" spans="1:12" ht="24.75" x14ac:dyDescent="0.25">
      <c r="A305" s="4" t="s">
        <v>10740</v>
      </c>
      <c r="B305" s="2" t="s">
        <v>1002</v>
      </c>
      <c r="C305" s="3">
        <v>5</v>
      </c>
      <c r="D305" s="5">
        <v>44.63</v>
      </c>
      <c r="E305" s="3">
        <v>100015592</v>
      </c>
      <c r="F305" s="2" t="s">
        <v>15</v>
      </c>
      <c r="G305" s="6" t="s">
        <v>154</v>
      </c>
      <c r="H305" s="2" t="s">
        <v>194</v>
      </c>
      <c r="I305" s="2" t="s">
        <v>195</v>
      </c>
      <c r="J305" s="2" t="s">
        <v>19</v>
      </c>
      <c r="K305" s="2" t="s">
        <v>137</v>
      </c>
      <c r="L305" s="7" t="str">
        <f>HYPERLINK("http://slimages.macys.com/is/image/MCY/9653304 ")</f>
        <v xml:space="preserve">http://slimages.macys.com/is/image/MCY/9653304 </v>
      </c>
    </row>
    <row r="306" spans="1:12" ht="24.75" x14ac:dyDescent="0.25">
      <c r="A306" s="4" t="s">
        <v>11987</v>
      </c>
      <c r="B306" s="2" t="s">
        <v>1002</v>
      </c>
      <c r="C306" s="3">
        <v>1</v>
      </c>
      <c r="D306" s="5">
        <v>44.63</v>
      </c>
      <c r="E306" s="3">
        <v>100015592</v>
      </c>
      <c r="F306" s="2" t="s">
        <v>15</v>
      </c>
      <c r="G306" s="6" t="s">
        <v>245</v>
      </c>
      <c r="H306" s="2" t="s">
        <v>194</v>
      </c>
      <c r="I306" s="2" t="s">
        <v>195</v>
      </c>
      <c r="J306" s="2" t="s">
        <v>19</v>
      </c>
      <c r="K306" s="2" t="s">
        <v>137</v>
      </c>
      <c r="L306" s="7" t="str">
        <f>HYPERLINK("http://slimages.macys.com/is/image/MCY/9653304 ")</f>
        <v xml:space="preserve">http://slimages.macys.com/is/image/MCY/9653304 </v>
      </c>
    </row>
    <row r="307" spans="1:12" ht="24.75" x14ac:dyDescent="0.25">
      <c r="A307" s="4" t="s">
        <v>10739</v>
      </c>
      <c r="B307" s="2" t="s">
        <v>1002</v>
      </c>
      <c r="C307" s="3">
        <v>3</v>
      </c>
      <c r="D307" s="5">
        <v>44.63</v>
      </c>
      <c r="E307" s="3">
        <v>100015592</v>
      </c>
      <c r="F307" s="2" t="s">
        <v>15</v>
      </c>
      <c r="G307" s="6" t="s">
        <v>181</v>
      </c>
      <c r="H307" s="2" t="s">
        <v>194</v>
      </c>
      <c r="I307" s="2" t="s">
        <v>195</v>
      </c>
      <c r="J307" s="2" t="s">
        <v>19</v>
      </c>
      <c r="K307" s="2" t="s">
        <v>137</v>
      </c>
      <c r="L307" s="7" t="str">
        <f>HYPERLINK("http://slimages.macys.com/is/image/MCY/9653304 ")</f>
        <v xml:space="preserve">http://slimages.macys.com/is/image/MCY/9653304 </v>
      </c>
    </row>
    <row r="308" spans="1:12" ht="24.75" x14ac:dyDescent="0.25">
      <c r="A308" s="4" t="s">
        <v>10737</v>
      </c>
      <c r="B308" s="2" t="s">
        <v>1002</v>
      </c>
      <c r="C308" s="3">
        <v>1</v>
      </c>
      <c r="D308" s="5">
        <v>44.63</v>
      </c>
      <c r="E308" s="3">
        <v>100015592</v>
      </c>
      <c r="F308" s="2" t="s">
        <v>15</v>
      </c>
      <c r="G308" s="6" t="s">
        <v>234</v>
      </c>
      <c r="H308" s="2" t="s">
        <v>194</v>
      </c>
      <c r="I308" s="2" t="s">
        <v>195</v>
      </c>
      <c r="J308" s="2" t="s">
        <v>19</v>
      </c>
      <c r="K308" s="2" t="s">
        <v>137</v>
      </c>
      <c r="L308" s="7" t="str">
        <f>HYPERLINK("http://slimages.macys.com/is/image/MCY/9653304 ")</f>
        <v xml:space="preserve">http://slimages.macys.com/is/image/MCY/9653304 </v>
      </c>
    </row>
    <row r="309" spans="1:12" ht="24.75" x14ac:dyDescent="0.25">
      <c r="A309" s="4" t="s">
        <v>980</v>
      </c>
      <c r="B309" s="2" t="s">
        <v>641</v>
      </c>
      <c r="C309" s="3">
        <v>1</v>
      </c>
      <c r="D309" s="5">
        <v>29.99</v>
      </c>
      <c r="E309" s="3" t="s">
        <v>977</v>
      </c>
      <c r="F309" s="2" t="s">
        <v>74</v>
      </c>
      <c r="G309" s="6" t="s">
        <v>181</v>
      </c>
      <c r="H309" s="2" t="s">
        <v>284</v>
      </c>
      <c r="I309" s="2" t="s">
        <v>408</v>
      </c>
      <c r="J309" s="2" t="s">
        <v>19</v>
      </c>
      <c r="K309" s="2" t="s">
        <v>409</v>
      </c>
      <c r="L309" s="7" t="str">
        <f>HYPERLINK("http://slimages.macys.com/is/image/MCY/9387631 ")</f>
        <v xml:space="preserve">http://slimages.macys.com/is/image/MCY/9387631 </v>
      </c>
    </row>
    <row r="310" spans="1:12" ht="24.75" x14ac:dyDescent="0.25">
      <c r="A310" s="4" t="s">
        <v>11988</v>
      </c>
      <c r="B310" s="2" t="s">
        <v>693</v>
      </c>
      <c r="C310" s="3">
        <v>1</v>
      </c>
      <c r="D310" s="5">
        <v>29.99</v>
      </c>
      <c r="E310" s="3" t="s">
        <v>11989</v>
      </c>
      <c r="F310" s="2" t="s">
        <v>70</v>
      </c>
      <c r="G310" s="6" t="s">
        <v>234</v>
      </c>
      <c r="H310" s="2" t="s">
        <v>284</v>
      </c>
      <c r="I310" s="2" t="s">
        <v>408</v>
      </c>
      <c r="J310" s="2" t="s">
        <v>19</v>
      </c>
      <c r="K310" s="2" t="s">
        <v>409</v>
      </c>
      <c r="L310" s="7" t="str">
        <f>HYPERLINK("http://slimages.macys.com/is/image/MCY/9387631 ")</f>
        <v xml:space="preserve">http://slimages.macys.com/is/image/MCY/9387631 </v>
      </c>
    </row>
    <row r="311" spans="1:12" ht="24.75" x14ac:dyDescent="0.25">
      <c r="A311" s="4" t="s">
        <v>11990</v>
      </c>
      <c r="B311" s="2" t="s">
        <v>744</v>
      </c>
      <c r="C311" s="3">
        <v>2</v>
      </c>
      <c r="D311" s="5">
        <v>34.99</v>
      </c>
      <c r="E311" s="3" t="s">
        <v>4749</v>
      </c>
      <c r="F311" s="2" t="s">
        <v>64</v>
      </c>
      <c r="G311" s="6" t="s">
        <v>234</v>
      </c>
      <c r="H311" s="2" t="s">
        <v>284</v>
      </c>
      <c r="I311" s="2" t="s">
        <v>285</v>
      </c>
      <c r="J311" s="2" t="s">
        <v>19</v>
      </c>
      <c r="K311" s="2" t="s">
        <v>34</v>
      </c>
      <c r="L311" s="7" t="str">
        <f>HYPERLINK("http://slimages.macys.com/is/image/MCY/9723880 ")</f>
        <v xml:space="preserve">http://slimages.macys.com/is/image/MCY/9723880 </v>
      </c>
    </row>
    <row r="312" spans="1:12" ht="24.75" x14ac:dyDescent="0.25">
      <c r="A312" s="4" t="s">
        <v>11991</v>
      </c>
      <c r="B312" s="2" t="s">
        <v>641</v>
      </c>
      <c r="C312" s="3">
        <v>1</v>
      </c>
      <c r="D312" s="5">
        <v>29.99</v>
      </c>
      <c r="E312" s="3" t="s">
        <v>2506</v>
      </c>
      <c r="F312" s="2" t="s">
        <v>26</v>
      </c>
      <c r="G312" s="6" t="s">
        <v>234</v>
      </c>
      <c r="H312" s="2" t="s">
        <v>284</v>
      </c>
      <c r="I312" s="2" t="s">
        <v>408</v>
      </c>
      <c r="J312" s="2" t="s">
        <v>19</v>
      </c>
      <c r="K312" s="2" t="s">
        <v>409</v>
      </c>
      <c r="L312" s="7" t="str">
        <f>HYPERLINK("http://slimages.macys.com/is/image/MCY/9387631 ")</f>
        <v xml:space="preserve">http://slimages.macys.com/is/image/MCY/9387631 </v>
      </c>
    </row>
    <row r="313" spans="1:12" ht="24.75" x14ac:dyDescent="0.25">
      <c r="A313" s="4" t="s">
        <v>11992</v>
      </c>
      <c r="B313" s="2" t="s">
        <v>11993</v>
      </c>
      <c r="C313" s="3">
        <v>1</v>
      </c>
      <c r="D313" s="5">
        <v>60</v>
      </c>
      <c r="E313" s="3" t="s">
        <v>11994</v>
      </c>
      <c r="F313" s="2" t="s">
        <v>15</v>
      </c>
      <c r="G313" s="6" t="s">
        <v>181</v>
      </c>
      <c r="H313" s="2" t="s">
        <v>10225</v>
      </c>
      <c r="I313" s="2" t="s">
        <v>10226</v>
      </c>
      <c r="J313" s="2" t="s">
        <v>19</v>
      </c>
      <c r="K313" s="2" t="s">
        <v>160</v>
      </c>
      <c r="L313" s="7" t="str">
        <f>HYPERLINK("http://slimages.macys.com/is/image/MCY/13972673 ")</f>
        <v xml:space="preserve">http://slimages.macys.com/is/image/MCY/13972673 </v>
      </c>
    </row>
    <row r="314" spans="1:12" ht="24.75" x14ac:dyDescent="0.25">
      <c r="A314" s="4" t="s">
        <v>11995</v>
      </c>
      <c r="B314" s="2" t="s">
        <v>641</v>
      </c>
      <c r="C314" s="3">
        <v>1</v>
      </c>
      <c r="D314" s="5">
        <v>29.99</v>
      </c>
      <c r="E314" s="3" t="s">
        <v>11996</v>
      </c>
      <c r="F314" s="2" t="s">
        <v>136</v>
      </c>
      <c r="G314" s="6" t="s">
        <v>234</v>
      </c>
      <c r="H314" s="2" t="s">
        <v>284</v>
      </c>
      <c r="I314" s="2" t="s">
        <v>408</v>
      </c>
      <c r="J314" s="2" t="s">
        <v>19</v>
      </c>
      <c r="K314" s="2" t="s">
        <v>409</v>
      </c>
      <c r="L314" s="7" t="str">
        <f>HYPERLINK("http://slimages.macys.com/is/image/MCY/9387631 ")</f>
        <v xml:space="preserve">http://slimages.macys.com/is/image/MCY/9387631 </v>
      </c>
    </row>
    <row r="315" spans="1:12" ht="24.75" x14ac:dyDescent="0.25">
      <c r="A315" s="4" t="s">
        <v>11997</v>
      </c>
      <c r="B315" s="2" t="s">
        <v>10751</v>
      </c>
      <c r="C315" s="3">
        <v>1</v>
      </c>
      <c r="D315" s="5">
        <v>34.880000000000003</v>
      </c>
      <c r="E315" s="3">
        <v>100018048</v>
      </c>
      <c r="F315" s="2" t="s">
        <v>566</v>
      </c>
      <c r="G315" s="6" t="s">
        <v>16</v>
      </c>
      <c r="H315" s="2" t="s">
        <v>194</v>
      </c>
      <c r="I315" s="2" t="s">
        <v>503</v>
      </c>
      <c r="J315" s="2" t="s">
        <v>19</v>
      </c>
      <c r="K315" s="2" t="s">
        <v>353</v>
      </c>
      <c r="L315" s="7" t="str">
        <f>HYPERLINK("http://slimages.macys.com/is/image/MCY/9864796 ")</f>
        <v xml:space="preserve">http://slimages.macys.com/is/image/MCY/9864796 </v>
      </c>
    </row>
    <row r="316" spans="1:12" ht="24.75" x14ac:dyDescent="0.25">
      <c r="A316" s="4" t="s">
        <v>10752</v>
      </c>
      <c r="B316" s="2" t="s">
        <v>10751</v>
      </c>
      <c r="C316" s="3">
        <v>2</v>
      </c>
      <c r="D316" s="5">
        <v>34.880000000000003</v>
      </c>
      <c r="E316" s="3">
        <v>100018048</v>
      </c>
      <c r="F316" s="2" t="s">
        <v>74</v>
      </c>
      <c r="G316" s="6" t="s">
        <v>65</v>
      </c>
      <c r="H316" s="2" t="s">
        <v>194</v>
      </c>
      <c r="I316" s="2" t="s">
        <v>503</v>
      </c>
      <c r="J316" s="2" t="s">
        <v>19</v>
      </c>
      <c r="K316" s="2" t="s">
        <v>353</v>
      </c>
      <c r="L316" s="7" t="str">
        <f>HYPERLINK("http://slimages.macys.com/is/image/MCY/9864796 ")</f>
        <v xml:space="preserve">http://slimages.macys.com/is/image/MCY/9864796 </v>
      </c>
    </row>
    <row r="317" spans="1:12" ht="24.75" x14ac:dyDescent="0.25">
      <c r="A317" s="4" t="s">
        <v>10750</v>
      </c>
      <c r="B317" s="2" t="s">
        <v>10751</v>
      </c>
      <c r="C317" s="3">
        <v>1</v>
      </c>
      <c r="D317" s="5">
        <v>34.880000000000003</v>
      </c>
      <c r="E317" s="3">
        <v>100018048</v>
      </c>
      <c r="F317" s="2" t="s">
        <v>26</v>
      </c>
      <c r="G317" s="6" t="s">
        <v>27</v>
      </c>
      <c r="H317" s="2" t="s">
        <v>194</v>
      </c>
      <c r="I317" s="2" t="s">
        <v>503</v>
      </c>
      <c r="J317" s="2" t="s">
        <v>19</v>
      </c>
      <c r="K317" s="2" t="s">
        <v>353</v>
      </c>
      <c r="L317" s="7" t="str">
        <f>HYPERLINK("http://slimages.macys.com/is/image/MCY/9864796 ")</f>
        <v xml:space="preserve">http://slimages.macys.com/is/image/MCY/9864796 </v>
      </c>
    </row>
    <row r="318" spans="1:12" ht="24.75" x14ac:dyDescent="0.25">
      <c r="A318" s="4" t="s">
        <v>5692</v>
      </c>
      <c r="B318" s="2" t="s">
        <v>936</v>
      </c>
      <c r="C318" s="3">
        <v>1</v>
      </c>
      <c r="D318" s="5">
        <v>34.5</v>
      </c>
      <c r="E318" s="3">
        <v>100040726</v>
      </c>
      <c r="F318" s="2" t="s">
        <v>417</v>
      </c>
      <c r="G318" s="6" t="s">
        <v>106</v>
      </c>
      <c r="H318" s="2" t="s">
        <v>228</v>
      </c>
      <c r="I318" s="2" t="s">
        <v>229</v>
      </c>
      <c r="J318" s="2" t="s">
        <v>19</v>
      </c>
      <c r="K318" s="2" t="s">
        <v>230</v>
      </c>
      <c r="L318" s="7" t="str">
        <f>HYPERLINK("http://slimages.macys.com/is/image/MCY/10985237 ")</f>
        <v xml:space="preserve">http://slimages.macys.com/is/image/MCY/10985237 </v>
      </c>
    </row>
    <row r="319" spans="1:12" ht="24.75" x14ac:dyDescent="0.25">
      <c r="A319" s="4" t="s">
        <v>6514</v>
      </c>
      <c r="B319" s="2" t="s">
        <v>6511</v>
      </c>
      <c r="C319" s="3">
        <v>1</v>
      </c>
      <c r="D319" s="5">
        <v>34.99</v>
      </c>
      <c r="E319" s="3" t="s">
        <v>6512</v>
      </c>
      <c r="F319" s="2" t="s">
        <v>53</v>
      </c>
      <c r="G319" s="6" t="s">
        <v>794</v>
      </c>
      <c r="H319" s="2" t="s">
        <v>632</v>
      </c>
      <c r="I319" s="2" t="s">
        <v>285</v>
      </c>
      <c r="J319" s="2" t="s">
        <v>19</v>
      </c>
      <c r="K319" s="2" t="s">
        <v>442</v>
      </c>
      <c r="L319" s="7" t="str">
        <f>HYPERLINK("http://slimages.macys.com/is/image/MCY/3730991 ")</f>
        <v xml:space="preserve">http://slimages.macys.com/is/image/MCY/3730991 </v>
      </c>
    </row>
    <row r="320" spans="1:12" ht="24.75" x14ac:dyDescent="0.25">
      <c r="A320" s="4" t="s">
        <v>11998</v>
      </c>
      <c r="B320" s="2" t="s">
        <v>904</v>
      </c>
      <c r="C320" s="3">
        <v>1</v>
      </c>
      <c r="D320" s="5">
        <v>34.5</v>
      </c>
      <c r="E320" s="3" t="s">
        <v>5707</v>
      </c>
      <c r="F320" s="2" t="s">
        <v>33</v>
      </c>
      <c r="G320" s="6" t="s">
        <v>187</v>
      </c>
      <c r="H320" s="2" t="s">
        <v>426</v>
      </c>
      <c r="I320" s="2" t="s">
        <v>229</v>
      </c>
      <c r="J320" s="2" t="s">
        <v>19</v>
      </c>
      <c r="K320" s="2" t="s">
        <v>353</v>
      </c>
      <c r="L320" s="7" t="str">
        <f>HYPERLINK("http://slimages.macys.com/is/image/MCY/11934830 ")</f>
        <v xml:space="preserve">http://slimages.macys.com/is/image/MCY/11934830 </v>
      </c>
    </row>
    <row r="321" spans="1:12" ht="24.75" x14ac:dyDescent="0.25">
      <c r="A321" s="4" t="s">
        <v>10771</v>
      </c>
      <c r="B321" s="2" t="s">
        <v>2524</v>
      </c>
      <c r="C321" s="3">
        <v>2</v>
      </c>
      <c r="D321" s="5">
        <v>33.380000000000003</v>
      </c>
      <c r="E321" s="3" t="s">
        <v>10770</v>
      </c>
      <c r="F321" s="2" t="s">
        <v>26</v>
      </c>
      <c r="G321" s="6" t="s">
        <v>154</v>
      </c>
      <c r="H321" s="2" t="s">
        <v>194</v>
      </c>
      <c r="I321" s="2" t="s">
        <v>1398</v>
      </c>
      <c r="J321" s="2" t="s">
        <v>19</v>
      </c>
      <c r="K321" s="2" t="s">
        <v>247</v>
      </c>
      <c r="L321" s="7" t="str">
        <f>HYPERLINK("http://slimages.macys.com/is/image/MCY/13368039 ")</f>
        <v xml:space="preserve">http://slimages.macys.com/is/image/MCY/13368039 </v>
      </c>
    </row>
    <row r="322" spans="1:12" ht="24.75" x14ac:dyDescent="0.25">
      <c r="A322" s="4" t="s">
        <v>11999</v>
      </c>
      <c r="B322" s="2" t="s">
        <v>9508</v>
      </c>
      <c r="C322" s="3">
        <v>1</v>
      </c>
      <c r="D322" s="5">
        <v>27.99</v>
      </c>
      <c r="E322" s="3">
        <v>100011587</v>
      </c>
      <c r="F322" s="2" t="s">
        <v>64</v>
      </c>
      <c r="G322" s="6" t="s">
        <v>200</v>
      </c>
      <c r="H322" s="2" t="s">
        <v>194</v>
      </c>
      <c r="I322" s="2" t="s">
        <v>1922</v>
      </c>
      <c r="J322" s="2" t="s">
        <v>19</v>
      </c>
      <c r="K322" s="2" t="s">
        <v>338</v>
      </c>
      <c r="L322" s="7" t="str">
        <f>HYPERLINK("http://slimages.macys.com/is/image/MCY/9029329 ")</f>
        <v xml:space="preserve">http://slimages.macys.com/is/image/MCY/9029329 </v>
      </c>
    </row>
    <row r="323" spans="1:12" ht="24.75" x14ac:dyDescent="0.25">
      <c r="A323" s="4" t="s">
        <v>12000</v>
      </c>
      <c r="B323" s="2" t="s">
        <v>9508</v>
      </c>
      <c r="C323" s="3">
        <v>2</v>
      </c>
      <c r="D323" s="5">
        <v>27.99</v>
      </c>
      <c r="E323" s="3">
        <v>100011587</v>
      </c>
      <c r="F323" s="2" t="s">
        <v>64</v>
      </c>
      <c r="G323" s="6" t="s">
        <v>154</v>
      </c>
      <c r="H323" s="2" t="s">
        <v>194</v>
      </c>
      <c r="I323" s="2" t="s">
        <v>1922</v>
      </c>
      <c r="J323" s="2" t="s">
        <v>19</v>
      </c>
      <c r="K323" s="2" t="s">
        <v>338</v>
      </c>
      <c r="L323" s="7" t="str">
        <f>HYPERLINK("http://slimages.macys.com/is/image/MCY/9029329 ")</f>
        <v xml:space="preserve">http://slimages.macys.com/is/image/MCY/9029329 </v>
      </c>
    </row>
    <row r="324" spans="1:12" ht="24.75" x14ac:dyDescent="0.25">
      <c r="A324" s="4" t="s">
        <v>12001</v>
      </c>
      <c r="B324" s="2" t="s">
        <v>12002</v>
      </c>
      <c r="C324" s="3">
        <v>1</v>
      </c>
      <c r="D324" s="5">
        <v>40.880000000000003</v>
      </c>
      <c r="E324" s="3" t="s">
        <v>12003</v>
      </c>
      <c r="F324" s="2" t="s">
        <v>257</v>
      </c>
      <c r="G324" s="6"/>
      <c r="H324" s="2" t="s">
        <v>312</v>
      </c>
      <c r="I324" s="2" t="s">
        <v>195</v>
      </c>
      <c r="J324" s="2" t="s">
        <v>19</v>
      </c>
      <c r="K324" s="2" t="s">
        <v>160</v>
      </c>
      <c r="L324" s="7" t="str">
        <f>HYPERLINK("http://slimages.macys.com/is/image/MCY/13766392 ")</f>
        <v xml:space="preserve">http://slimages.macys.com/is/image/MCY/13766392 </v>
      </c>
    </row>
    <row r="325" spans="1:12" ht="24.75" x14ac:dyDescent="0.25">
      <c r="A325" s="4" t="s">
        <v>12004</v>
      </c>
      <c r="B325" s="2" t="s">
        <v>12002</v>
      </c>
      <c r="C325" s="3">
        <v>1</v>
      </c>
      <c r="D325" s="5">
        <v>40.880000000000003</v>
      </c>
      <c r="E325" s="3" t="s">
        <v>12003</v>
      </c>
      <c r="F325" s="2" t="s">
        <v>566</v>
      </c>
      <c r="G325" s="6"/>
      <c r="H325" s="2" t="s">
        <v>312</v>
      </c>
      <c r="I325" s="2" t="s">
        <v>195</v>
      </c>
      <c r="J325" s="2" t="s">
        <v>19</v>
      </c>
      <c r="K325" s="2" t="s">
        <v>160</v>
      </c>
      <c r="L325" s="7" t="str">
        <f>HYPERLINK("http://slimages.macys.com/is/image/MCY/13766392 ")</f>
        <v xml:space="preserve">http://slimages.macys.com/is/image/MCY/13766392 </v>
      </c>
    </row>
    <row r="326" spans="1:12" ht="24.75" x14ac:dyDescent="0.25">
      <c r="A326" s="4" t="s">
        <v>12005</v>
      </c>
      <c r="B326" s="2" t="s">
        <v>2515</v>
      </c>
      <c r="C326" s="3">
        <v>1</v>
      </c>
      <c r="D326" s="5">
        <v>37.130000000000003</v>
      </c>
      <c r="E326" s="3" t="s">
        <v>2516</v>
      </c>
      <c r="F326" s="2" t="s">
        <v>64</v>
      </c>
      <c r="G326" s="6" t="s">
        <v>165</v>
      </c>
      <c r="H326" s="2" t="s">
        <v>188</v>
      </c>
      <c r="I326" s="2" t="s">
        <v>214</v>
      </c>
      <c r="J326" s="2" t="s">
        <v>19</v>
      </c>
      <c r="K326" s="2" t="s">
        <v>353</v>
      </c>
      <c r="L326" s="7" t="str">
        <f>HYPERLINK("http://slimages.macys.com/is/image/MCY/10679372 ")</f>
        <v xml:space="preserve">http://slimages.macys.com/is/image/MCY/10679372 </v>
      </c>
    </row>
    <row r="327" spans="1:12" ht="24.75" x14ac:dyDescent="0.25">
      <c r="A327" s="4" t="s">
        <v>3713</v>
      </c>
      <c r="B327" s="2" t="s">
        <v>2515</v>
      </c>
      <c r="C327" s="3">
        <v>2</v>
      </c>
      <c r="D327" s="5">
        <v>37.130000000000003</v>
      </c>
      <c r="E327" s="3" t="s">
        <v>2516</v>
      </c>
      <c r="F327" s="2" t="s">
        <v>494</v>
      </c>
      <c r="G327" s="6" t="s">
        <v>336</v>
      </c>
      <c r="H327" s="2" t="s">
        <v>188</v>
      </c>
      <c r="I327" s="2" t="s">
        <v>214</v>
      </c>
      <c r="J327" s="2" t="s">
        <v>19</v>
      </c>
      <c r="K327" s="2" t="s">
        <v>353</v>
      </c>
      <c r="L327" s="7" t="str">
        <f>HYPERLINK("http://slimages.macys.com/is/image/MCY/10679372 ")</f>
        <v xml:space="preserve">http://slimages.macys.com/is/image/MCY/10679372 </v>
      </c>
    </row>
    <row r="328" spans="1:12" x14ac:dyDescent="0.25">
      <c r="A328" s="4" t="s">
        <v>12006</v>
      </c>
      <c r="B328" s="2" t="s">
        <v>1294</v>
      </c>
      <c r="C328" s="3">
        <v>1</v>
      </c>
      <c r="D328" s="5">
        <v>35.5</v>
      </c>
      <c r="E328" s="3" t="s">
        <v>10779</v>
      </c>
      <c r="F328" s="2" t="s">
        <v>64</v>
      </c>
      <c r="G328" s="6" t="s">
        <v>2276</v>
      </c>
      <c r="H328" s="2" t="s">
        <v>349</v>
      </c>
      <c r="I328" s="2" t="s">
        <v>285</v>
      </c>
      <c r="J328" s="2" t="s">
        <v>19</v>
      </c>
      <c r="K328" s="2" t="s">
        <v>160</v>
      </c>
      <c r="L328" s="7" t="str">
        <f>HYPERLINK("http://slimages.macys.com/is/image/MCY/9270120 ")</f>
        <v xml:space="preserve">http://slimages.macys.com/is/image/MCY/9270120 </v>
      </c>
    </row>
    <row r="329" spans="1:12" ht="24.75" x14ac:dyDescent="0.25">
      <c r="A329" s="4" t="s">
        <v>12007</v>
      </c>
      <c r="B329" s="2" t="s">
        <v>2515</v>
      </c>
      <c r="C329" s="3">
        <v>1</v>
      </c>
      <c r="D329" s="5">
        <v>37.130000000000003</v>
      </c>
      <c r="E329" s="3" t="s">
        <v>2516</v>
      </c>
      <c r="F329" s="2" t="s">
        <v>64</v>
      </c>
      <c r="G329" s="6" t="s">
        <v>336</v>
      </c>
      <c r="H329" s="2" t="s">
        <v>188</v>
      </c>
      <c r="I329" s="2" t="s">
        <v>214</v>
      </c>
      <c r="J329" s="2" t="s">
        <v>19</v>
      </c>
      <c r="K329" s="2" t="s">
        <v>353</v>
      </c>
      <c r="L329" s="7" t="str">
        <f>HYPERLINK("http://slimages.macys.com/is/image/MCY/10679372 ")</f>
        <v xml:space="preserve">http://slimages.macys.com/is/image/MCY/10679372 </v>
      </c>
    </row>
    <row r="330" spans="1:12" ht="24.75" x14ac:dyDescent="0.25">
      <c r="A330" s="4" t="s">
        <v>12008</v>
      </c>
      <c r="B330" s="2" t="s">
        <v>2515</v>
      </c>
      <c r="C330" s="3">
        <v>1</v>
      </c>
      <c r="D330" s="5">
        <v>37.130000000000003</v>
      </c>
      <c r="E330" s="3" t="s">
        <v>2516</v>
      </c>
      <c r="F330" s="2" t="s">
        <v>26</v>
      </c>
      <c r="G330" s="6" t="s">
        <v>336</v>
      </c>
      <c r="H330" s="2" t="s">
        <v>188</v>
      </c>
      <c r="I330" s="2" t="s">
        <v>214</v>
      </c>
      <c r="J330" s="2" t="s">
        <v>19</v>
      </c>
      <c r="K330" s="2" t="s">
        <v>353</v>
      </c>
      <c r="L330" s="7" t="str">
        <f>HYPERLINK("http://slimages.macys.com/is/image/MCY/10679372 ")</f>
        <v xml:space="preserve">http://slimages.macys.com/is/image/MCY/10679372 </v>
      </c>
    </row>
    <row r="331" spans="1:12" ht="24.75" x14ac:dyDescent="0.25">
      <c r="A331" s="4" t="s">
        <v>12009</v>
      </c>
      <c r="B331" s="2" t="s">
        <v>12010</v>
      </c>
      <c r="C331" s="3">
        <v>3</v>
      </c>
      <c r="D331" s="5">
        <v>37.130000000000003</v>
      </c>
      <c r="E331" s="3" t="s">
        <v>12011</v>
      </c>
      <c r="F331" s="2" t="s">
        <v>26</v>
      </c>
      <c r="G331" s="6" t="s">
        <v>154</v>
      </c>
      <c r="H331" s="2" t="s">
        <v>194</v>
      </c>
      <c r="I331" s="2" t="s">
        <v>195</v>
      </c>
      <c r="J331" s="2" t="s">
        <v>19</v>
      </c>
      <c r="K331" s="2" t="s">
        <v>107</v>
      </c>
      <c r="L331" s="7" t="str">
        <f>HYPERLINK("http://slimages.macys.com/is/image/MCY/12316735 ")</f>
        <v xml:space="preserve">http://slimages.macys.com/is/image/MCY/12316735 </v>
      </c>
    </row>
    <row r="332" spans="1:12" ht="24.75" x14ac:dyDescent="0.25">
      <c r="A332" s="4" t="s">
        <v>12012</v>
      </c>
      <c r="B332" s="2" t="s">
        <v>12013</v>
      </c>
      <c r="C332" s="3">
        <v>1</v>
      </c>
      <c r="D332" s="5">
        <v>40.880000000000003</v>
      </c>
      <c r="E332" s="3" t="s">
        <v>12014</v>
      </c>
      <c r="F332" s="2" t="s">
        <v>70</v>
      </c>
      <c r="G332" s="6" t="s">
        <v>200</v>
      </c>
      <c r="H332" s="2" t="s">
        <v>284</v>
      </c>
      <c r="I332" s="2" t="s">
        <v>285</v>
      </c>
      <c r="J332" s="2" t="s">
        <v>19</v>
      </c>
      <c r="K332" s="2" t="s">
        <v>160</v>
      </c>
      <c r="L332" s="7" t="str">
        <f>HYPERLINK("http://slimages.macys.com/is/image/MCY/14788639 ")</f>
        <v xml:space="preserve">http://slimages.macys.com/is/image/MCY/14788639 </v>
      </c>
    </row>
    <row r="333" spans="1:12" ht="24.75" x14ac:dyDescent="0.25">
      <c r="A333" s="4" t="s">
        <v>12015</v>
      </c>
      <c r="B333" s="2" t="s">
        <v>744</v>
      </c>
      <c r="C333" s="3">
        <v>1</v>
      </c>
      <c r="D333" s="5">
        <v>34.99</v>
      </c>
      <c r="E333" s="3" t="s">
        <v>4781</v>
      </c>
      <c r="F333" s="2" t="s">
        <v>252</v>
      </c>
      <c r="G333" s="6" t="s">
        <v>181</v>
      </c>
      <c r="H333" s="2" t="s">
        <v>284</v>
      </c>
      <c r="I333" s="2" t="s">
        <v>285</v>
      </c>
      <c r="J333" s="2" t="s">
        <v>19</v>
      </c>
      <c r="K333" s="2" t="s">
        <v>34</v>
      </c>
      <c r="L333" s="7" t="str">
        <f>HYPERLINK("http://slimages.macys.com/is/image/MCY/9723880 ")</f>
        <v xml:space="preserve">http://slimages.macys.com/is/image/MCY/9723880 </v>
      </c>
    </row>
    <row r="334" spans="1:12" ht="24.75" x14ac:dyDescent="0.25">
      <c r="A334" s="4" t="s">
        <v>12016</v>
      </c>
      <c r="B334" s="2" t="s">
        <v>12017</v>
      </c>
      <c r="C334" s="3">
        <v>1</v>
      </c>
      <c r="D334" s="5">
        <v>40.880000000000003</v>
      </c>
      <c r="E334" s="3" t="s">
        <v>12018</v>
      </c>
      <c r="F334" s="2" t="s">
        <v>417</v>
      </c>
      <c r="G334" s="6" t="s">
        <v>156</v>
      </c>
      <c r="H334" s="2" t="s">
        <v>284</v>
      </c>
      <c r="I334" s="2" t="s">
        <v>285</v>
      </c>
      <c r="J334" s="2" t="s">
        <v>19</v>
      </c>
      <c r="K334" s="2" t="s">
        <v>160</v>
      </c>
      <c r="L334" s="7" t="str">
        <f>HYPERLINK("http://slimages.macys.com/is/image/MCY/10452367 ")</f>
        <v xml:space="preserve">http://slimages.macys.com/is/image/MCY/10452367 </v>
      </c>
    </row>
    <row r="335" spans="1:12" ht="24.75" x14ac:dyDescent="0.25">
      <c r="A335" s="4" t="s">
        <v>12019</v>
      </c>
      <c r="B335" s="2" t="s">
        <v>12017</v>
      </c>
      <c r="C335" s="3">
        <v>4</v>
      </c>
      <c r="D335" s="5">
        <v>40.880000000000003</v>
      </c>
      <c r="E335" s="3" t="s">
        <v>12018</v>
      </c>
      <c r="F335" s="2" t="s">
        <v>417</v>
      </c>
      <c r="G335" s="6" t="s">
        <v>154</v>
      </c>
      <c r="H335" s="2" t="s">
        <v>284</v>
      </c>
      <c r="I335" s="2" t="s">
        <v>285</v>
      </c>
      <c r="J335" s="2" t="s">
        <v>19</v>
      </c>
      <c r="K335" s="2" t="s">
        <v>160</v>
      </c>
      <c r="L335" s="7" t="str">
        <f>HYPERLINK("http://slimages.macys.com/is/image/MCY/10452367 ")</f>
        <v xml:space="preserve">http://slimages.macys.com/is/image/MCY/10452367 </v>
      </c>
    </row>
    <row r="336" spans="1:12" ht="24.75" x14ac:dyDescent="0.25">
      <c r="A336" s="4" t="s">
        <v>12020</v>
      </c>
      <c r="B336" s="2" t="s">
        <v>12017</v>
      </c>
      <c r="C336" s="3">
        <v>4</v>
      </c>
      <c r="D336" s="5">
        <v>40.880000000000003</v>
      </c>
      <c r="E336" s="3" t="s">
        <v>12018</v>
      </c>
      <c r="F336" s="2" t="s">
        <v>417</v>
      </c>
      <c r="G336" s="6" t="s">
        <v>181</v>
      </c>
      <c r="H336" s="2" t="s">
        <v>284</v>
      </c>
      <c r="I336" s="2" t="s">
        <v>285</v>
      </c>
      <c r="J336" s="2" t="s">
        <v>19</v>
      </c>
      <c r="K336" s="2" t="s">
        <v>160</v>
      </c>
      <c r="L336" s="7" t="str">
        <f>HYPERLINK("http://slimages.macys.com/is/image/MCY/10452367 ")</f>
        <v xml:space="preserve">http://slimages.macys.com/is/image/MCY/10452367 </v>
      </c>
    </row>
    <row r="337" spans="1:12" ht="24.75" x14ac:dyDescent="0.25">
      <c r="A337" s="4" t="s">
        <v>12021</v>
      </c>
      <c r="B337" s="2" t="s">
        <v>12017</v>
      </c>
      <c r="C337" s="3">
        <v>3</v>
      </c>
      <c r="D337" s="5">
        <v>40.880000000000003</v>
      </c>
      <c r="E337" s="3" t="s">
        <v>12018</v>
      </c>
      <c r="F337" s="2" t="s">
        <v>417</v>
      </c>
      <c r="G337" s="6" t="s">
        <v>234</v>
      </c>
      <c r="H337" s="2" t="s">
        <v>284</v>
      </c>
      <c r="I337" s="2" t="s">
        <v>285</v>
      </c>
      <c r="J337" s="2" t="s">
        <v>19</v>
      </c>
      <c r="K337" s="2" t="s">
        <v>160</v>
      </c>
      <c r="L337" s="7" t="str">
        <f>HYPERLINK("http://slimages.macys.com/is/image/MCY/10452367 ")</f>
        <v xml:space="preserve">http://slimages.macys.com/is/image/MCY/10452367 </v>
      </c>
    </row>
    <row r="338" spans="1:12" ht="24.75" x14ac:dyDescent="0.25">
      <c r="A338" s="4" t="s">
        <v>1015</v>
      </c>
      <c r="B338" s="2" t="s">
        <v>1012</v>
      </c>
      <c r="C338" s="3">
        <v>1</v>
      </c>
      <c r="D338" s="5">
        <v>37.130000000000003</v>
      </c>
      <c r="E338" s="3" t="s">
        <v>1013</v>
      </c>
      <c r="F338" s="2" t="s">
        <v>494</v>
      </c>
      <c r="G338" s="6" t="s">
        <v>141</v>
      </c>
      <c r="H338" s="2" t="s">
        <v>246</v>
      </c>
      <c r="I338" s="2" t="s">
        <v>214</v>
      </c>
      <c r="J338" s="2" t="s">
        <v>19</v>
      </c>
      <c r="K338" s="2" t="s">
        <v>253</v>
      </c>
      <c r="L338" s="7" t="str">
        <f>HYPERLINK("http://slimages.macys.com/is/image/MCY/10679372 ")</f>
        <v xml:space="preserve">http://slimages.macys.com/is/image/MCY/10679372 </v>
      </c>
    </row>
    <row r="339" spans="1:12" ht="24.75" x14ac:dyDescent="0.25">
      <c r="A339" s="4" t="s">
        <v>7351</v>
      </c>
      <c r="B339" s="2" t="s">
        <v>1012</v>
      </c>
      <c r="C339" s="3">
        <v>1</v>
      </c>
      <c r="D339" s="5">
        <v>37.130000000000003</v>
      </c>
      <c r="E339" s="3" t="s">
        <v>1013</v>
      </c>
      <c r="F339" s="2" t="s">
        <v>26</v>
      </c>
      <c r="G339" s="6" t="s">
        <v>65</v>
      </c>
      <c r="H339" s="2" t="s">
        <v>246</v>
      </c>
      <c r="I339" s="2" t="s">
        <v>214</v>
      </c>
      <c r="J339" s="2" t="s">
        <v>19</v>
      </c>
      <c r="K339" s="2" t="s">
        <v>253</v>
      </c>
      <c r="L339" s="7" t="str">
        <f>HYPERLINK("http://slimages.macys.com/is/image/MCY/10679372 ")</f>
        <v xml:space="preserve">http://slimages.macys.com/is/image/MCY/10679372 </v>
      </c>
    </row>
    <row r="340" spans="1:12" ht="24.75" x14ac:dyDescent="0.25">
      <c r="A340" s="4" t="s">
        <v>12022</v>
      </c>
      <c r="B340" s="2" t="s">
        <v>1033</v>
      </c>
      <c r="C340" s="3">
        <v>1</v>
      </c>
      <c r="D340" s="5">
        <v>37.130000000000003</v>
      </c>
      <c r="E340" s="3" t="s">
        <v>2536</v>
      </c>
      <c r="F340" s="2" t="s">
        <v>331</v>
      </c>
      <c r="G340" s="6" t="s">
        <v>65</v>
      </c>
      <c r="H340" s="2" t="s">
        <v>246</v>
      </c>
      <c r="I340" s="2" t="s">
        <v>189</v>
      </c>
      <c r="J340" s="2" t="s">
        <v>19</v>
      </c>
      <c r="K340" s="2" t="s">
        <v>648</v>
      </c>
      <c r="L340" s="7" t="str">
        <f>HYPERLINK("http://slimages.macys.com/is/image/MCY/12649645 ")</f>
        <v xml:space="preserve">http://slimages.macys.com/is/image/MCY/12649645 </v>
      </c>
    </row>
    <row r="341" spans="1:12" ht="24.75" x14ac:dyDescent="0.25">
      <c r="A341" s="4" t="s">
        <v>1032</v>
      </c>
      <c r="B341" s="2" t="s">
        <v>1033</v>
      </c>
      <c r="C341" s="3">
        <v>1</v>
      </c>
      <c r="D341" s="5">
        <v>37.130000000000003</v>
      </c>
      <c r="E341" s="3" t="s">
        <v>1034</v>
      </c>
      <c r="F341" s="2" t="s">
        <v>331</v>
      </c>
      <c r="G341" s="6" t="s">
        <v>238</v>
      </c>
      <c r="H341" s="2" t="s">
        <v>188</v>
      </c>
      <c r="I341" s="2" t="s">
        <v>189</v>
      </c>
      <c r="J341" s="2" t="s">
        <v>19</v>
      </c>
      <c r="K341" s="2" t="s">
        <v>107</v>
      </c>
      <c r="L341" s="7" t="str">
        <f>HYPERLINK("http://slimages.macys.com/is/image/MCY/12649654 ")</f>
        <v xml:space="preserve">http://slimages.macys.com/is/image/MCY/12649654 </v>
      </c>
    </row>
    <row r="342" spans="1:12" ht="24.75" x14ac:dyDescent="0.25">
      <c r="A342" s="4" t="s">
        <v>12023</v>
      </c>
      <c r="B342" s="2" t="s">
        <v>12024</v>
      </c>
      <c r="C342" s="3">
        <v>1</v>
      </c>
      <c r="D342" s="5">
        <v>40.880000000000003</v>
      </c>
      <c r="E342" s="3" t="s">
        <v>12025</v>
      </c>
      <c r="F342" s="2" t="s">
        <v>562</v>
      </c>
      <c r="G342" s="6"/>
      <c r="H342" s="2" t="s">
        <v>312</v>
      </c>
      <c r="I342" s="2" t="s">
        <v>195</v>
      </c>
      <c r="J342" s="2" t="s">
        <v>19</v>
      </c>
      <c r="K342" s="2" t="s">
        <v>12026</v>
      </c>
      <c r="L342" s="7" t="str">
        <f>HYPERLINK("http://slimages.macys.com/is/image/MCY/13934455 ")</f>
        <v xml:space="preserve">http://slimages.macys.com/is/image/MCY/13934455 </v>
      </c>
    </row>
    <row r="343" spans="1:12" ht="24.75" x14ac:dyDescent="0.25">
      <c r="A343" s="4" t="s">
        <v>12027</v>
      </c>
      <c r="B343" s="2" t="s">
        <v>12024</v>
      </c>
      <c r="C343" s="3">
        <v>2</v>
      </c>
      <c r="D343" s="5">
        <v>40.880000000000003</v>
      </c>
      <c r="E343" s="3" t="s">
        <v>12025</v>
      </c>
      <c r="F343" s="2" t="s">
        <v>1788</v>
      </c>
      <c r="G343" s="6"/>
      <c r="H343" s="2" t="s">
        <v>312</v>
      </c>
      <c r="I343" s="2" t="s">
        <v>195</v>
      </c>
      <c r="J343" s="2" t="s">
        <v>19</v>
      </c>
      <c r="K343" s="2" t="s">
        <v>12026</v>
      </c>
      <c r="L343" s="7" t="str">
        <f>HYPERLINK("http://slimages.macys.com/is/image/MCY/13934455 ")</f>
        <v xml:space="preserve">http://slimages.macys.com/is/image/MCY/13934455 </v>
      </c>
    </row>
    <row r="344" spans="1:12" ht="24.75" x14ac:dyDescent="0.25">
      <c r="A344" s="4" t="s">
        <v>10796</v>
      </c>
      <c r="B344" s="2" t="s">
        <v>4795</v>
      </c>
      <c r="C344" s="3">
        <v>1</v>
      </c>
      <c r="D344" s="5">
        <v>37.130000000000003</v>
      </c>
      <c r="E344" s="3" t="s">
        <v>4796</v>
      </c>
      <c r="F344" s="2" t="s">
        <v>89</v>
      </c>
      <c r="G344" s="6"/>
      <c r="H344" s="2" t="s">
        <v>188</v>
      </c>
      <c r="I344" s="2" t="s">
        <v>189</v>
      </c>
      <c r="J344" s="2" t="s">
        <v>19</v>
      </c>
      <c r="K344" s="2" t="s">
        <v>4797</v>
      </c>
      <c r="L344" s="7" t="str">
        <f>HYPERLINK("http://slimages.macys.com/is/image/MCY/11965068 ")</f>
        <v xml:space="preserve">http://slimages.macys.com/is/image/MCY/11965068 </v>
      </c>
    </row>
    <row r="345" spans="1:12" ht="24.75" x14ac:dyDescent="0.25">
      <c r="A345" s="4" t="s">
        <v>10800</v>
      </c>
      <c r="B345" s="2" t="s">
        <v>10798</v>
      </c>
      <c r="C345" s="3">
        <v>1</v>
      </c>
      <c r="D345" s="5">
        <v>33.380000000000003</v>
      </c>
      <c r="E345" s="3">
        <v>100022522</v>
      </c>
      <c r="F345" s="2" t="s">
        <v>170</v>
      </c>
      <c r="G345" s="6" t="s">
        <v>181</v>
      </c>
      <c r="H345" s="2" t="s">
        <v>194</v>
      </c>
      <c r="I345" s="2" t="s">
        <v>1922</v>
      </c>
      <c r="J345" s="2" t="s">
        <v>19</v>
      </c>
      <c r="K345" s="2" t="s">
        <v>990</v>
      </c>
      <c r="L345" s="7" t="str">
        <f>HYPERLINK("http://slimages.macys.com/is/image/MCY/9962270 ")</f>
        <v xml:space="preserve">http://slimages.macys.com/is/image/MCY/9962270 </v>
      </c>
    </row>
    <row r="346" spans="1:12" ht="24.75" x14ac:dyDescent="0.25">
      <c r="A346" s="4" t="s">
        <v>12028</v>
      </c>
      <c r="B346" s="2" t="s">
        <v>10798</v>
      </c>
      <c r="C346" s="3">
        <v>1</v>
      </c>
      <c r="D346" s="5">
        <v>33.380000000000003</v>
      </c>
      <c r="E346" s="3">
        <v>100022522</v>
      </c>
      <c r="F346" s="2" t="s">
        <v>170</v>
      </c>
      <c r="G346" s="6" t="s">
        <v>154</v>
      </c>
      <c r="H346" s="2" t="s">
        <v>194</v>
      </c>
      <c r="I346" s="2" t="s">
        <v>1922</v>
      </c>
      <c r="J346" s="2" t="s">
        <v>19</v>
      </c>
      <c r="K346" s="2" t="s">
        <v>990</v>
      </c>
      <c r="L346" s="7" t="str">
        <f>HYPERLINK("http://slimages.macys.com/is/image/MCY/9962270 ")</f>
        <v xml:space="preserve">http://slimages.macys.com/is/image/MCY/9962270 </v>
      </c>
    </row>
    <row r="347" spans="1:12" ht="24.75" x14ac:dyDescent="0.25">
      <c r="A347" s="4" t="s">
        <v>12029</v>
      </c>
      <c r="B347" s="2" t="s">
        <v>12030</v>
      </c>
      <c r="C347" s="3">
        <v>1</v>
      </c>
      <c r="D347" s="5">
        <v>59.5</v>
      </c>
      <c r="E347" s="3" t="s">
        <v>12031</v>
      </c>
      <c r="F347" s="2" t="s">
        <v>680</v>
      </c>
      <c r="G347" s="6"/>
      <c r="H347" s="2" t="s">
        <v>206</v>
      </c>
      <c r="I347" s="2" t="s">
        <v>207</v>
      </c>
      <c r="J347" s="2" t="s">
        <v>19</v>
      </c>
      <c r="K347" s="2" t="s">
        <v>10520</v>
      </c>
      <c r="L347" s="7" t="str">
        <f>HYPERLINK("http://slimages.macys.com/is/image/MCY/13331478 ")</f>
        <v xml:space="preserve">http://slimages.macys.com/is/image/MCY/13331478 </v>
      </c>
    </row>
    <row r="348" spans="1:12" ht="48.75" x14ac:dyDescent="0.25">
      <c r="A348" s="4" t="s">
        <v>12032</v>
      </c>
      <c r="B348" s="2" t="s">
        <v>1052</v>
      </c>
      <c r="C348" s="3">
        <v>2</v>
      </c>
      <c r="D348" s="5">
        <v>37.130000000000003</v>
      </c>
      <c r="E348" s="3">
        <v>100010668</v>
      </c>
      <c r="F348" s="2" t="s">
        <v>64</v>
      </c>
      <c r="G348" s="6" t="s">
        <v>154</v>
      </c>
      <c r="H348" s="2" t="s">
        <v>284</v>
      </c>
      <c r="I348" s="2" t="s">
        <v>408</v>
      </c>
      <c r="J348" s="2" t="s">
        <v>19</v>
      </c>
      <c r="K348" s="2" t="s">
        <v>787</v>
      </c>
      <c r="L348" s="7" t="str">
        <f>HYPERLINK("http://slimages.macys.com/is/image/MCY/9198224 ")</f>
        <v xml:space="preserve">http://slimages.macys.com/is/image/MCY/9198224 </v>
      </c>
    </row>
    <row r="349" spans="1:12" ht="24.75" x14ac:dyDescent="0.25">
      <c r="A349" s="4" t="s">
        <v>12033</v>
      </c>
      <c r="B349" s="2" t="s">
        <v>12034</v>
      </c>
      <c r="C349" s="3">
        <v>1</v>
      </c>
      <c r="D349" s="5">
        <v>30</v>
      </c>
      <c r="E349" s="3" t="s">
        <v>12035</v>
      </c>
      <c r="F349" s="2" t="s">
        <v>956</v>
      </c>
      <c r="G349" s="6" t="s">
        <v>234</v>
      </c>
      <c r="H349" s="2" t="s">
        <v>10225</v>
      </c>
      <c r="I349" s="2" t="s">
        <v>10226</v>
      </c>
      <c r="J349" s="2" t="s">
        <v>19</v>
      </c>
      <c r="K349" s="2" t="s">
        <v>12036</v>
      </c>
      <c r="L349" s="7" t="str">
        <f>HYPERLINK("http://slimages.macys.com/is/image/MCY/12334147 ")</f>
        <v xml:space="preserve">http://slimages.macys.com/is/image/MCY/12334147 </v>
      </c>
    </row>
    <row r="350" spans="1:12" ht="24.75" x14ac:dyDescent="0.25">
      <c r="A350" s="4" t="s">
        <v>12037</v>
      </c>
      <c r="B350" s="2" t="s">
        <v>10811</v>
      </c>
      <c r="C350" s="3">
        <v>1</v>
      </c>
      <c r="D350" s="5">
        <v>54</v>
      </c>
      <c r="E350" s="3" t="s">
        <v>10812</v>
      </c>
      <c r="F350" s="2" t="s">
        <v>70</v>
      </c>
      <c r="G350" s="6" t="s">
        <v>181</v>
      </c>
      <c r="H350" s="2" t="s">
        <v>10225</v>
      </c>
      <c r="I350" s="2" t="s">
        <v>10226</v>
      </c>
      <c r="J350" s="2" t="s">
        <v>19</v>
      </c>
      <c r="K350" s="2" t="s">
        <v>160</v>
      </c>
      <c r="L350" s="7" t="str">
        <f>HYPERLINK("http://slimages.macys.com/is/image/MCY/13891312 ")</f>
        <v xml:space="preserve">http://slimages.macys.com/is/image/MCY/13891312 </v>
      </c>
    </row>
    <row r="351" spans="1:12" ht="24.75" x14ac:dyDescent="0.25">
      <c r="A351" s="4" t="s">
        <v>12038</v>
      </c>
      <c r="B351" s="2" t="s">
        <v>5729</v>
      </c>
      <c r="C351" s="3">
        <v>1</v>
      </c>
      <c r="D351" s="5">
        <v>34.99</v>
      </c>
      <c r="E351" s="3" t="s">
        <v>12039</v>
      </c>
      <c r="F351" s="2" t="s">
        <v>566</v>
      </c>
      <c r="G351" s="6" t="s">
        <v>200</v>
      </c>
      <c r="H351" s="2" t="s">
        <v>284</v>
      </c>
      <c r="I351" s="2" t="s">
        <v>285</v>
      </c>
      <c r="J351" s="2"/>
      <c r="K351" s="2"/>
      <c r="L351" s="7" t="str">
        <f>HYPERLINK("http://slimages.macys.com/is/image/MCY/8353478 ")</f>
        <v xml:space="preserve">http://slimages.macys.com/is/image/MCY/8353478 </v>
      </c>
    </row>
    <row r="352" spans="1:12" ht="24.75" x14ac:dyDescent="0.25">
      <c r="A352" s="4" t="s">
        <v>12040</v>
      </c>
      <c r="B352" s="2" t="s">
        <v>5729</v>
      </c>
      <c r="C352" s="3">
        <v>1</v>
      </c>
      <c r="D352" s="5">
        <v>34.99</v>
      </c>
      <c r="E352" s="3" t="s">
        <v>12039</v>
      </c>
      <c r="F352" s="2" t="s">
        <v>566</v>
      </c>
      <c r="G352" s="6" t="s">
        <v>181</v>
      </c>
      <c r="H352" s="2" t="s">
        <v>284</v>
      </c>
      <c r="I352" s="2" t="s">
        <v>285</v>
      </c>
      <c r="J352" s="2"/>
      <c r="K352" s="2"/>
      <c r="L352" s="7" t="str">
        <f>HYPERLINK("http://slimages.macys.com/is/image/MCY/8353478 ")</f>
        <v xml:space="preserve">http://slimages.macys.com/is/image/MCY/8353478 </v>
      </c>
    </row>
    <row r="353" spans="1:12" ht="24.75" x14ac:dyDescent="0.25">
      <c r="A353" s="4" t="s">
        <v>12041</v>
      </c>
      <c r="B353" s="2" t="s">
        <v>5729</v>
      </c>
      <c r="C353" s="3">
        <v>1</v>
      </c>
      <c r="D353" s="5">
        <v>34.99</v>
      </c>
      <c r="E353" s="3" t="s">
        <v>12039</v>
      </c>
      <c r="F353" s="2" t="s">
        <v>566</v>
      </c>
      <c r="G353" s="6" t="s">
        <v>154</v>
      </c>
      <c r="H353" s="2" t="s">
        <v>284</v>
      </c>
      <c r="I353" s="2" t="s">
        <v>285</v>
      </c>
      <c r="J353" s="2"/>
      <c r="K353" s="2"/>
      <c r="L353" s="7" t="str">
        <f>HYPERLINK("http://slimages.macys.com/is/image/MCY/8353478 ")</f>
        <v xml:space="preserve">http://slimages.macys.com/is/image/MCY/8353478 </v>
      </c>
    </row>
    <row r="354" spans="1:12" ht="24.75" x14ac:dyDescent="0.25">
      <c r="A354" s="4" t="s">
        <v>12042</v>
      </c>
      <c r="B354" s="2" t="s">
        <v>1069</v>
      </c>
      <c r="C354" s="3">
        <v>1</v>
      </c>
      <c r="D354" s="5">
        <v>34.5</v>
      </c>
      <c r="E354" s="3">
        <v>100050028</v>
      </c>
      <c r="F354" s="2" t="s">
        <v>180</v>
      </c>
      <c r="G354" s="6" t="s">
        <v>65</v>
      </c>
      <c r="H354" s="2" t="s">
        <v>228</v>
      </c>
      <c r="I354" s="2" t="s">
        <v>229</v>
      </c>
      <c r="J354" s="2" t="s">
        <v>19</v>
      </c>
      <c r="K354" s="2" t="s">
        <v>353</v>
      </c>
      <c r="L354" s="7" t="str">
        <f>HYPERLINK("http://slimages.macys.com/is/image/MCY/11527150 ")</f>
        <v xml:space="preserve">http://slimages.macys.com/is/image/MCY/11527150 </v>
      </c>
    </row>
    <row r="355" spans="1:12" ht="24.75" x14ac:dyDescent="0.25">
      <c r="A355" s="4" t="s">
        <v>12043</v>
      </c>
      <c r="B355" s="2" t="s">
        <v>4627</v>
      </c>
      <c r="C355" s="3">
        <v>1</v>
      </c>
      <c r="D355" s="5">
        <v>44.63</v>
      </c>
      <c r="E355" s="3" t="s">
        <v>4628</v>
      </c>
      <c r="F355" s="2" t="s">
        <v>676</v>
      </c>
      <c r="G355" s="6" t="s">
        <v>3861</v>
      </c>
      <c r="H355" s="2" t="s">
        <v>213</v>
      </c>
      <c r="I355" s="2" t="s">
        <v>214</v>
      </c>
      <c r="J355" s="2" t="s">
        <v>19</v>
      </c>
      <c r="K355" s="2" t="s">
        <v>230</v>
      </c>
      <c r="L355" s="7" t="str">
        <f>HYPERLINK("http://slimages.macys.com/is/image/MCY/8486169 ")</f>
        <v xml:space="preserve">http://slimages.macys.com/is/image/MCY/8486169 </v>
      </c>
    </row>
    <row r="356" spans="1:12" x14ac:dyDescent="0.25">
      <c r="A356" s="4" t="s">
        <v>12044</v>
      </c>
      <c r="B356" s="2" t="s">
        <v>12045</v>
      </c>
      <c r="C356" s="3">
        <v>1</v>
      </c>
      <c r="D356" s="5">
        <v>54.5</v>
      </c>
      <c r="E356" s="3">
        <v>100055963</v>
      </c>
      <c r="F356" s="2" t="s">
        <v>64</v>
      </c>
      <c r="G356" s="6" t="s">
        <v>22</v>
      </c>
      <c r="H356" s="2" t="s">
        <v>386</v>
      </c>
      <c r="I356" s="2" t="s">
        <v>207</v>
      </c>
      <c r="J356" s="2" t="s">
        <v>19</v>
      </c>
      <c r="K356" s="2" t="s">
        <v>353</v>
      </c>
      <c r="L356" s="7" t="str">
        <f>HYPERLINK("http://slimages.macys.com/is/image/MCY/11950570 ")</f>
        <v xml:space="preserve">http://slimages.macys.com/is/image/MCY/11950570 </v>
      </c>
    </row>
    <row r="357" spans="1:12" ht="24.75" x14ac:dyDescent="0.25">
      <c r="A357" s="4" t="s">
        <v>9535</v>
      </c>
      <c r="B357" s="2" t="s">
        <v>2542</v>
      </c>
      <c r="C357" s="3">
        <v>1</v>
      </c>
      <c r="D357" s="5">
        <v>59.5</v>
      </c>
      <c r="E357" s="3">
        <v>100061924</v>
      </c>
      <c r="F357" s="2" t="s">
        <v>64</v>
      </c>
      <c r="G357" s="6" t="s">
        <v>39</v>
      </c>
      <c r="H357" s="2" t="s">
        <v>386</v>
      </c>
      <c r="I357" s="2" t="s">
        <v>207</v>
      </c>
      <c r="J357" s="2" t="s">
        <v>19</v>
      </c>
      <c r="K357" s="2" t="s">
        <v>1251</v>
      </c>
      <c r="L357" s="7" t="str">
        <f>HYPERLINK("http://slimages.macys.com/is/image/MCY/11963036 ")</f>
        <v xml:space="preserve">http://slimages.macys.com/is/image/MCY/11963036 </v>
      </c>
    </row>
    <row r="358" spans="1:12" ht="24.75" x14ac:dyDescent="0.25">
      <c r="A358" s="4" t="s">
        <v>12046</v>
      </c>
      <c r="B358" s="2" t="s">
        <v>12047</v>
      </c>
      <c r="C358" s="3">
        <v>1</v>
      </c>
      <c r="D358" s="5">
        <v>59.5</v>
      </c>
      <c r="E358" s="3" t="s">
        <v>12048</v>
      </c>
      <c r="F358" s="2" t="s">
        <v>125</v>
      </c>
      <c r="G358" s="6" t="s">
        <v>219</v>
      </c>
      <c r="H358" s="2" t="s">
        <v>127</v>
      </c>
      <c r="I358" s="2" t="s">
        <v>128</v>
      </c>
      <c r="J358" s="2" t="s">
        <v>19</v>
      </c>
      <c r="K358" s="2" t="s">
        <v>160</v>
      </c>
      <c r="L358" s="7" t="str">
        <f>HYPERLINK("http://slimages.macys.com/is/image/MCY/10438378 ")</f>
        <v xml:space="preserve">http://slimages.macys.com/is/image/MCY/10438378 </v>
      </c>
    </row>
    <row r="359" spans="1:12" ht="24.75" x14ac:dyDescent="0.25">
      <c r="A359" s="4" t="s">
        <v>12049</v>
      </c>
      <c r="B359" s="2" t="s">
        <v>12050</v>
      </c>
      <c r="C359" s="3">
        <v>1</v>
      </c>
      <c r="D359" s="5">
        <v>37.130000000000003</v>
      </c>
      <c r="E359" s="3" t="s">
        <v>12051</v>
      </c>
      <c r="F359" s="2" t="s">
        <v>74</v>
      </c>
      <c r="G359" s="6" t="s">
        <v>200</v>
      </c>
      <c r="H359" s="2" t="s">
        <v>284</v>
      </c>
      <c r="I359" s="2" t="s">
        <v>285</v>
      </c>
      <c r="J359" s="2" t="s">
        <v>19</v>
      </c>
      <c r="K359" s="2" t="s">
        <v>160</v>
      </c>
      <c r="L359" s="7" t="str">
        <f>HYPERLINK("http://slimages.macys.com/is/image/MCY/12807793 ")</f>
        <v xml:space="preserve">http://slimages.macys.com/is/image/MCY/12807793 </v>
      </c>
    </row>
    <row r="360" spans="1:12" ht="24.75" x14ac:dyDescent="0.25">
      <c r="A360" s="4" t="s">
        <v>12052</v>
      </c>
      <c r="B360" s="2" t="s">
        <v>12053</v>
      </c>
      <c r="C360" s="3">
        <v>1</v>
      </c>
      <c r="D360" s="5">
        <v>34.99</v>
      </c>
      <c r="E360" s="3" t="s">
        <v>12054</v>
      </c>
      <c r="F360" s="2" t="s">
        <v>74</v>
      </c>
      <c r="G360" s="6" t="s">
        <v>336</v>
      </c>
      <c r="H360" s="2" t="s">
        <v>9995</v>
      </c>
      <c r="I360" s="2" t="s">
        <v>1087</v>
      </c>
      <c r="J360" s="2" t="s">
        <v>19</v>
      </c>
      <c r="K360" s="2" t="s">
        <v>338</v>
      </c>
      <c r="L360" s="7" t="str">
        <f>HYPERLINK("http://slimages.macys.com/is/image/MCY/12002459 ")</f>
        <v xml:space="preserve">http://slimages.macys.com/is/image/MCY/12002459 </v>
      </c>
    </row>
    <row r="361" spans="1:12" ht="24.75" x14ac:dyDescent="0.25">
      <c r="A361" s="4" t="s">
        <v>12055</v>
      </c>
      <c r="B361" s="2" t="s">
        <v>12056</v>
      </c>
      <c r="C361" s="3">
        <v>1</v>
      </c>
      <c r="D361" s="5">
        <v>34.99</v>
      </c>
      <c r="E361" s="3" t="s">
        <v>12057</v>
      </c>
      <c r="F361" s="2" t="s">
        <v>566</v>
      </c>
      <c r="G361" s="6" t="s">
        <v>126</v>
      </c>
      <c r="H361" s="2" t="s">
        <v>9995</v>
      </c>
      <c r="I361" s="2" t="s">
        <v>1087</v>
      </c>
      <c r="J361" s="2" t="s">
        <v>19</v>
      </c>
      <c r="K361" s="2" t="s">
        <v>353</v>
      </c>
      <c r="L361" s="7" t="str">
        <f>HYPERLINK("http://slimages.macys.com/is/image/MCY/12067885 ")</f>
        <v xml:space="preserve">http://slimages.macys.com/is/image/MCY/12067885 </v>
      </c>
    </row>
    <row r="362" spans="1:12" ht="24.75" x14ac:dyDescent="0.25">
      <c r="A362" s="4" t="s">
        <v>10838</v>
      </c>
      <c r="B362" s="2" t="s">
        <v>1093</v>
      </c>
      <c r="C362" s="3">
        <v>4</v>
      </c>
      <c r="D362" s="5">
        <v>37.130000000000003</v>
      </c>
      <c r="E362" s="3">
        <v>100018042</v>
      </c>
      <c r="F362" s="2" t="s">
        <v>676</v>
      </c>
      <c r="G362" s="6" t="s">
        <v>16</v>
      </c>
      <c r="H362" s="2" t="s">
        <v>194</v>
      </c>
      <c r="I362" s="2" t="s">
        <v>195</v>
      </c>
      <c r="J362" s="2" t="s">
        <v>19</v>
      </c>
      <c r="K362" s="2" t="s">
        <v>353</v>
      </c>
      <c r="L362" s="7" t="str">
        <f>HYPERLINK("http://slimages.macys.com/is/image/MCY/9693642 ")</f>
        <v xml:space="preserve">http://slimages.macys.com/is/image/MCY/9693642 </v>
      </c>
    </row>
    <row r="363" spans="1:12" ht="24.75" x14ac:dyDescent="0.25">
      <c r="A363" s="4" t="s">
        <v>10829</v>
      </c>
      <c r="B363" s="2" t="s">
        <v>1093</v>
      </c>
      <c r="C363" s="3">
        <v>1</v>
      </c>
      <c r="D363" s="5">
        <v>37.130000000000003</v>
      </c>
      <c r="E363" s="3">
        <v>100018042</v>
      </c>
      <c r="F363" s="2" t="s">
        <v>676</v>
      </c>
      <c r="G363" s="6" t="s">
        <v>112</v>
      </c>
      <c r="H363" s="2" t="s">
        <v>194</v>
      </c>
      <c r="I363" s="2" t="s">
        <v>195</v>
      </c>
      <c r="J363" s="2" t="s">
        <v>19</v>
      </c>
      <c r="K363" s="2" t="s">
        <v>353</v>
      </c>
      <c r="L363" s="7" t="str">
        <f>HYPERLINK("http://slimages.macys.com/is/image/MCY/9693642 ")</f>
        <v xml:space="preserve">http://slimages.macys.com/is/image/MCY/9693642 </v>
      </c>
    </row>
    <row r="364" spans="1:12" ht="24.75" x14ac:dyDescent="0.25">
      <c r="A364" s="4" t="s">
        <v>12058</v>
      </c>
      <c r="B364" s="2" t="s">
        <v>1093</v>
      </c>
      <c r="C364" s="3">
        <v>1</v>
      </c>
      <c r="D364" s="5">
        <v>37.130000000000003</v>
      </c>
      <c r="E364" s="3">
        <v>100018042</v>
      </c>
      <c r="F364" s="2" t="s">
        <v>376</v>
      </c>
      <c r="G364" s="6" t="s">
        <v>65</v>
      </c>
      <c r="H364" s="2" t="s">
        <v>194</v>
      </c>
      <c r="I364" s="2" t="s">
        <v>195</v>
      </c>
      <c r="J364" s="2" t="s">
        <v>19</v>
      </c>
      <c r="K364" s="2" t="s">
        <v>353</v>
      </c>
      <c r="L364" s="7" t="str">
        <f>HYPERLINK("http://slimages.macys.com/is/image/MCY/9693642 ")</f>
        <v xml:space="preserve">http://slimages.macys.com/is/image/MCY/9693642 </v>
      </c>
    </row>
    <row r="365" spans="1:12" ht="24.75" x14ac:dyDescent="0.25">
      <c r="A365" s="4" t="s">
        <v>12059</v>
      </c>
      <c r="B365" s="2" t="s">
        <v>1093</v>
      </c>
      <c r="C365" s="3">
        <v>1</v>
      </c>
      <c r="D365" s="5">
        <v>37.130000000000003</v>
      </c>
      <c r="E365" s="3">
        <v>100018042</v>
      </c>
      <c r="F365" s="2" t="s">
        <v>376</v>
      </c>
      <c r="G365" s="6" t="s">
        <v>22</v>
      </c>
      <c r="H365" s="2" t="s">
        <v>194</v>
      </c>
      <c r="I365" s="2" t="s">
        <v>195</v>
      </c>
      <c r="J365" s="2" t="s">
        <v>19</v>
      </c>
      <c r="K365" s="2" t="s">
        <v>353</v>
      </c>
      <c r="L365" s="7" t="str">
        <f>HYPERLINK("http://slimages.macys.com/is/image/MCY/9693642 ")</f>
        <v xml:space="preserve">http://slimages.macys.com/is/image/MCY/9693642 </v>
      </c>
    </row>
    <row r="366" spans="1:12" ht="24.75" x14ac:dyDescent="0.25">
      <c r="A366" s="4" t="s">
        <v>1094</v>
      </c>
      <c r="B366" s="2" t="s">
        <v>1093</v>
      </c>
      <c r="C366" s="3">
        <v>1</v>
      </c>
      <c r="D366" s="5">
        <v>37.130000000000003</v>
      </c>
      <c r="E366" s="3">
        <v>100018042</v>
      </c>
      <c r="F366" s="2" t="s">
        <v>376</v>
      </c>
      <c r="G366" s="6" t="s">
        <v>112</v>
      </c>
      <c r="H366" s="2" t="s">
        <v>194</v>
      </c>
      <c r="I366" s="2" t="s">
        <v>195</v>
      </c>
      <c r="J366" s="2" t="s">
        <v>19</v>
      </c>
      <c r="K366" s="2" t="s">
        <v>353</v>
      </c>
      <c r="L366" s="7" t="str">
        <f>HYPERLINK("http://slimages.macys.com/is/image/MCY/9693642 ")</f>
        <v xml:space="preserve">http://slimages.macys.com/is/image/MCY/9693642 </v>
      </c>
    </row>
    <row r="367" spans="1:12" ht="24.75" x14ac:dyDescent="0.25">
      <c r="A367" s="4" t="s">
        <v>12060</v>
      </c>
      <c r="B367" s="2" t="s">
        <v>4823</v>
      </c>
      <c r="C367" s="3">
        <v>1</v>
      </c>
      <c r="D367" s="5">
        <v>27.99</v>
      </c>
      <c r="E367" s="3" t="s">
        <v>12061</v>
      </c>
      <c r="F367" s="2" t="s">
        <v>2619</v>
      </c>
      <c r="G367" s="6" t="s">
        <v>154</v>
      </c>
      <c r="H367" s="2" t="s">
        <v>194</v>
      </c>
      <c r="I367" s="2" t="s">
        <v>919</v>
      </c>
      <c r="J367" s="2" t="s">
        <v>19</v>
      </c>
      <c r="K367" s="2" t="s">
        <v>409</v>
      </c>
      <c r="L367" s="7" t="str">
        <f>HYPERLINK("http://slimages.macys.com/is/image/MCY/13317772 ")</f>
        <v xml:space="preserve">http://slimages.macys.com/is/image/MCY/13317772 </v>
      </c>
    </row>
    <row r="368" spans="1:12" ht="36.75" x14ac:dyDescent="0.25">
      <c r="A368" s="4" t="s">
        <v>12062</v>
      </c>
      <c r="B368" s="2" t="s">
        <v>969</v>
      </c>
      <c r="C368" s="3">
        <v>1</v>
      </c>
      <c r="D368" s="5">
        <v>37.130000000000003</v>
      </c>
      <c r="E368" s="3">
        <v>100026210</v>
      </c>
      <c r="F368" s="2" t="s">
        <v>752</v>
      </c>
      <c r="G368" s="6" t="s">
        <v>156</v>
      </c>
      <c r="H368" s="2" t="s">
        <v>194</v>
      </c>
      <c r="I368" s="2" t="s">
        <v>195</v>
      </c>
      <c r="J368" s="2" t="s">
        <v>19</v>
      </c>
      <c r="K368" s="2" t="s">
        <v>965</v>
      </c>
      <c r="L368" s="7" t="str">
        <f>HYPERLINK("http://slimages.macys.com/is/image/MCY/9714233 ")</f>
        <v xml:space="preserve">http://slimages.macys.com/is/image/MCY/9714233 </v>
      </c>
    </row>
    <row r="369" spans="1:12" x14ac:dyDescent="0.25">
      <c r="A369" s="4" t="s">
        <v>1103</v>
      </c>
      <c r="B369" s="2" t="s">
        <v>1101</v>
      </c>
      <c r="C369" s="3">
        <v>1</v>
      </c>
      <c r="D369" s="5">
        <v>39.5</v>
      </c>
      <c r="E369" s="3" t="s">
        <v>1102</v>
      </c>
      <c r="F369" s="2" t="s">
        <v>506</v>
      </c>
      <c r="G369" s="6"/>
      <c r="H369" s="2" t="s">
        <v>206</v>
      </c>
      <c r="I369" s="2" t="s">
        <v>207</v>
      </c>
      <c r="J369" s="2" t="s">
        <v>19</v>
      </c>
      <c r="K369" s="2" t="s">
        <v>160</v>
      </c>
      <c r="L369" s="7" t="str">
        <f>HYPERLINK("http://slimages.macys.com/is/image/MCY/10453045 ")</f>
        <v xml:space="preserve">http://slimages.macys.com/is/image/MCY/10453045 </v>
      </c>
    </row>
    <row r="370" spans="1:12" x14ac:dyDescent="0.25">
      <c r="A370" s="4" t="s">
        <v>5755</v>
      </c>
      <c r="B370" s="2" t="s">
        <v>1101</v>
      </c>
      <c r="C370" s="3">
        <v>1</v>
      </c>
      <c r="D370" s="5">
        <v>39.5</v>
      </c>
      <c r="E370" s="3" t="s">
        <v>1102</v>
      </c>
      <c r="F370" s="2" t="s">
        <v>506</v>
      </c>
      <c r="G370" s="6" t="s">
        <v>187</v>
      </c>
      <c r="H370" s="2" t="s">
        <v>206</v>
      </c>
      <c r="I370" s="2" t="s">
        <v>207</v>
      </c>
      <c r="J370" s="2" t="s">
        <v>19</v>
      </c>
      <c r="K370" s="2" t="s">
        <v>160</v>
      </c>
      <c r="L370" s="7" t="str">
        <f>HYPERLINK("http://slimages.macys.com/is/image/MCY/10453045 ")</f>
        <v xml:space="preserve">http://slimages.macys.com/is/image/MCY/10453045 </v>
      </c>
    </row>
    <row r="371" spans="1:12" ht="24.75" x14ac:dyDescent="0.25">
      <c r="A371" s="4" t="s">
        <v>12063</v>
      </c>
      <c r="B371" s="2" t="s">
        <v>10843</v>
      </c>
      <c r="C371" s="3">
        <v>1</v>
      </c>
      <c r="D371" s="5">
        <v>40.880000000000003</v>
      </c>
      <c r="E371" s="3" t="s">
        <v>10844</v>
      </c>
      <c r="F371" s="2" t="s">
        <v>252</v>
      </c>
      <c r="G371" s="6" t="s">
        <v>934</v>
      </c>
      <c r="H371" s="2" t="s">
        <v>188</v>
      </c>
      <c r="I371" s="2" t="s">
        <v>214</v>
      </c>
      <c r="J371" s="2" t="s">
        <v>19</v>
      </c>
      <c r="K371" s="2" t="s">
        <v>253</v>
      </c>
      <c r="L371" s="7" t="str">
        <f>HYPERLINK("http://slimages.macys.com/is/image/MCY/11746702 ")</f>
        <v xml:space="preserve">http://slimages.macys.com/is/image/MCY/11746702 </v>
      </c>
    </row>
    <row r="372" spans="1:12" ht="24.75" x14ac:dyDescent="0.25">
      <c r="A372" s="4" t="s">
        <v>12064</v>
      </c>
      <c r="B372" s="2" t="s">
        <v>4828</v>
      </c>
      <c r="C372" s="3">
        <v>1</v>
      </c>
      <c r="D372" s="5">
        <v>37.130000000000003</v>
      </c>
      <c r="E372" s="3" t="s">
        <v>4829</v>
      </c>
      <c r="F372" s="2" t="s">
        <v>74</v>
      </c>
      <c r="G372" s="6" t="s">
        <v>156</v>
      </c>
      <c r="H372" s="2" t="s">
        <v>194</v>
      </c>
      <c r="I372" s="2" t="s">
        <v>195</v>
      </c>
      <c r="J372" s="2" t="s">
        <v>19</v>
      </c>
      <c r="K372" s="2" t="s">
        <v>4830</v>
      </c>
      <c r="L372" s="7" t="str">
        <f>HYPERLINK("http://slimages.macys.com/is/image/MCY/12143855 ")</f>
        <v xml:space="preserve">http://slimages.macys.com/is/image/MCY/12143855 </v>
      </c>
    </row>
    <row r="373" spans="1:12" ht="24.75" x14ac:dyDescent="0.25">
      <c r="A373" s="4" t="s">
        <v>12065</v>
      </c>
      <c r="B373" s="2" t="s">
        <v>1106</v>
      </c>
      <c r="C373" s="3">
        <v>1</v>
      </c>
      <c r="D373" s="5">
        <v>33.380000000000003</v>
      </c>
      <c r="E373" s="3" t="s">
        <v>5762</v>
      </c>
      <c r="F373" s="2" t="s">
        <v>26</v>
      </c>
      <c r="G373" s="6" t="s">
        <v>181</v>
      </c>
      <c r="H373" s="2" t="s">
        <v>194</v>
      </c>
      <c r="I373" s="2" t="s">
        <v>195</v>
      </c>
      <c r="J373" s="2" t="s">
        <v>19</v>
      </c>
      <c r="K373" s="2" t="s">
        <v>1108</v>
      </c>
      <c r="L373" s="7" t="str">
        <f>HYPERLINK("http://slimages.macys.com/is/image/MCY/11764459 ")</f>
        <v xml:space="preserve">http://slimages.macys.com/is/image/MCY/11764459 </v>
      </c>
    </row>
    <row r="374" spans="1:12" ht="24.75" x14ac:dyDescent="0.25">
      <c r="A374" s="4" t="s">
        <v>5760</v>
      </c>
      <c r="B374" s="2" t="s">
        <v>1106</v>
      </c>
      <c r="C374" s="3">
        <v>1</v>
      </c>
      <c r="D374" s="5">
        <v>32.5</v>
      </c>
      <c r="E374" s="3" t="s">
        <v>1107</v>
      </c>
      <c r="F374" s="2" t="s">
        <v>15</v>
      </c>
      <c r="G374" s="6" t="s">
        <v>154</v>
      </c>
      <c r="H374" s="2" t="s">
        <v>194</v>
      </c>
      <c r="I374" s="2" t="s">
        <v>195</v>
      </c>
      <c r="J374" s="2" t="s">
        <v>19</v>
      </c>
      <c r="K374" s="2" t="s">
        <v>1108</v>
      </c>
      <c r="L374" s="7" t="str">
        <f>HYPERLINK("http://slimages.macys.com/is/image/MCY/11764459 ")</f>
        <v xml:space="preserve">http://slimages.macys.com/is/image/MCY/11764459 </v>
      </c>
    </row>
    <row r="375" spans="1:12" ht="24.75" x14ac:dyDescent="0.25">
      <c r="A375" s="4" t="s">
        <v>9544</v>
      </c>
      <c r="B375" s="2" t="s">
        <v>4836</v>
      </c>
      <c r="C375" s="3">
        <v>1</v>
      </c>
      <c r="D375" s="5">
        <v>37.130000000000003</v>
      </c>
      <c r="E375" s="3" t="s">
        <v>4837</v>
      </c>
      <c r="F375" s="2" t="s">
        <v>26</v>
      </c>
      <c r="G375" s="6" t="s">
        <v>234</v>
      </c>
      <c r="H375" s="2" t="s">
        <v>194</v>
      </c>
      <c r="I375" s="2" t="s">
        <v>195</v>
      </c>
      <c r="J375" s="2" t="s">
        <v>19</v>
      </c>
      <c r="K375" s="2" t="s">
        <v>648</v>
      </c>
      <c r="L375" s="7" t="str">
        <f>HYPERLINK("http://slimages.macys.com/is/image/MCY/12734350 ")</f>
        <v xml:space="preserve">http://slimages.macys.com/is/image/MCY/12734350 </v>
      </c>
    </row>
    <row r="376" spans="1:12" ht="24.75" x14ac:dyDescent="0.25">
      <c r="A376" s="4" t="s">
        <v>12066</v>
      </c>
      <c r="B376" s="2" t="s">
        <v>1114</v>
      </c>
      <c r="C376" s="3">
        <v>1</v>
      </c>
      <c r="D376" s="5">
        <v>36.5</v>
      </c>
      <c r="E376" s="3">
        <v>100042369</v>
      </c>
      <c r="F376" s="2" t="s">
        <v>199</v>
      </c>
      <c r="G376" s="6" t="s">
        <v>106</v>
      </c>
      <c r="H376" s="2" t="s">
        <v>194</v>
      </c>
      <c r="I376" s="2" t="s">
        <v>195</v>
      </c>
      <c r="J376" s="2" t="s">
        <v>19</v>
      </c>
      <c r="K376" s="2" t="s">
        <v>353</v>
      </c>
      <c r="L376" s="7" t="str">
        <f>HYPERLINK("http://slimages.macys.com/is/image/MCY/11934953 ")</f>
        <v xml:space="preserve">http://slimages.macys.com/is/image/MCY/11934953 </v>
      </c>
    </row>
    <row r="377" spans="1:12" ht="24.75" x14ac:dyDescent="0.25">
      <c r="A377" s="4" t="s">
        <v>6562</v>
      </c>
      <c r="B377" s="2" t="s">
        <v>1114</v>
      </c>
      <c r="C377" s="3">
        <v>1</v>
      </c>
      <c r="D377" s="5">
        <v>36.5</v>
      </c>
      <c r="E377" s="3">
        <v>100042369</v>
      </c>
      <c r="F377" s="2" t="s">
        <v>199</v>
      </c>
      <c r="G377" s="6" t="s">
        <v>16</v>
      </c>
      <c r="H377" s="2" t="s">
        <v>194</v>
      </c>
      <c r="I377" s="2" t="s">
        <v>195</v>
      </c>
      <c r="J377" s="2" t="s">
        <v>19</v>
      </c>
      <c r="K377" s="2" t="s">
        <v>353</v>
      </c>
      <c r="L377" s="7" t="str">
        <f>HYPERLINK("http://slimages.macys.com/is/image/MCY/11934953 ")</f>
        <v xml:space="preserve">http://slimages.macys.com/is/image/MCY/11934953 </v>
      </c>
    </row>
    <row r="378" spans="1:12" ht="60.75" x14ac:dyDescent="0.25">
      <c r="A378" s="4" t="s">
        <v>7384</v>
      </c>
      <c r="B378" s="2" t="s">
        <v>5974</v>
      </c>
      <c r="C378" s="3">
        <v>1</v>
      </c>
      <c r="D378" s="5">
        <v>27.99</v>
      </c>
      <c r="E378" s="3" t="s">
        <v>7385</v>
      </c>
      <c r="F378" s="2" t="s">
        <v>74</v>
      </c>
      <c r="G378" s="6" t="s">
        <v>2276</v>
      </c>
      <c r="H378" s="2" t="s">
        <v>349</v>
      </c>
      <c r="I378" s="2" t="s">
        <v>285</v>
      </c>
      <c r="J378" s="2" t="s">
        <v>19</v>
      </c>
      <c r="K378" s="2" t="s">
        <v>7386</v>
      </c>
      <c r="L378" s="7" t="str">
        <f>HYPERLINK("http://slimages.macys.com/is/image/MCY/13535605 ")</f>
        <v xml:space="preserve">http://slimages.macys.com/is/image/MCY/13535605 </v>
      </c>
    </row>
    <row r="379" spans="1:12" ht="24.75" x14ac:dyDescent="0.25">
      <c r="A379" s="4" t="s">
        <v>1126</v>
      </c>
      <c r="B379" s="2" t="s">
        <v>1118</v>
      </c>
      <c r="C379" s="3">
        <v>1</v>
      </c>
      <c r="D379" s="5">
        <v>37.130000000000003</v>
      </c>
      <c r="E379" s="3">
        <v>100070736</v>
      </c>
      <c r="F379" s="2" t="s">
        <v>74</v>
      </c>
      <c r="G379" s="6" t="s">
        <v>154</v>
      </c>
      <c r="H379" s="2" t="s">
        <v>194</v>
      </c>
      <c r="I379" s="2" t="s">
        <v>195</v>
      </c>
      <c r="J379" s="2" t="s">
        <v>19</v>
      </c>
      <c r="K379" s="2" t="s">
        <v>353</v>
      </c>
      <c r="L379" s="7" t="str">
        <f>HYPERLINK("http://slimages.macys.com/is/image/MCY/13120823 ")</f>
        <v xml:space="preserve">http://slimages.macys.com/is/image/MCY/13120823 </v>
      </c>
    </row>
    <row r="380" spans="1:12" ht="24.75" x14ac:dyDescent="0.25">
      <c r="A380" s="4" t="s">
        <v>12067</v>
      </c>
      <c r="B380" s="2" t="s">
        <v>744</v>
      </c>
      <c r="C380" s="3">
        <v>1</v>
      </c>
      <c r="D380" s="5">
        <v>34.99</v>
      </c>
      <c r="E380" s="3" t="s">
        <v>10846</v>
      </c>
      <c r="F380" s="2" t="s">
        <v>111</v>
      </c>
      <c r="G380" s="6" t="s">
        <v>200</v>
      </c>
      <c r="H380" s="2" t="s">
        <v>284</v>
      </c>
      <c r="I380" s="2" t="s">
        <v>285</v>
      </c>
      <c r="J380" s="2" t="s">
        <v>19</v>
      </c>
      <c r="K380" s="2" t="s">
        <v>34</v>
      </c>
      <c r="L380" s="7" t="str">
        <f>HYPERLINK("http://slimages.macys.com/is/image/MCY/9723880 ")</f>
        <v xml:space="preserve">http://slimages.macys.com/is/image/MCY/9723880 </v>
      </c>
    </row>
    <row r="381" spans="1:12" ht="24.75" x14ac:dyDescent="0.25">
      <c r="A381" s="4" t="s">
        <v>12068</v>
      </c>
      <c r="B381" s="2" t="s">
        <v>1118</v>
      </c>
      <c r="C381" s="3">
        <v>1</v>
      </c>
      <c r="D381" s="5">
        <v>37.130000000000003</v>
      </c>
      <c r="E381" s="3">
        <v>100070736</v>
      </c>
      <c r="F381" s="2" t="s">
        <v>26</v>
      </c>
      <c r="G381" s="6" t="s">
        <v>156</v>
      </c>
      <c r="H381" s="2" t="s">
        <v>194</v>
      </c>
      <c r="I381" s="2" t="s">
        <v>195</v>
      </c>
      <c r="J381" s="2" t="s">
        <v>19</v>
      </c>
      <c r="K381" s="2" t="s">
        <v>353</v>
      </c>
      <c r="L381" s="7" t="str">
        <f>HYPERLINK("http://slimages.macys.com/is/image/MCY/13120813 ")</f>
        <v xml:space="preserve">http://slimages.macys.com/is/image/MCY/13120813 </v>
      </c>
    </row>
    <row r="382" spans="1:12" ht="24.75" x14ac:dyDescent="0.25">
      <c r="A382" s="4" t="s">
        <v>1122</v>
      </c>
      <c r="B382" s="2" t="s">
        <v>1118</v>
      </c>
      <c r="C382" s="3">
        <v>1</v>
      </c>
      <c r="D382" s="5">
        <v>37.130000000000003</v>
      </c>
      <c r="E382" s="3">
        <v>100070736</v>
      </c>
      <c r="F382" s="2" t="s">
        <v>376</v>
      </c>
      <c r="G382" s="6" t="s">
        <v>181</v>
      </c>
      <c r="H382" s="2" t="s">
        <v>194</v>
      </c>
      <c r="I382" s="2" t="s">
        <v>195</v>
      </c>
      <c r="J382" s="2" t="s">
        <v>19</v>
      </c>
      <c r="K382" s="2" t="s">
        <v>353</v>
      </c>
      <c r="L382" s="7" t="str">
        <f>HYPERLINK("http://slimages.macys.com/is/image/MCY/13120823 ")</f>
        <v xml:space="preserve">http://slimages.macys.com/is/image/MCY/13120823 </v>
      </c>
    </row>
    <row r="383" spans="1:12" ht="24.75" x14ac:dyDescent="0.25">
      <c r="A383" s="4" t="s">
        <v>12069</v>
      </c>
      <c r="B383" s="2" t="s">
        <v>12070</v>
      </c>
      <c r="C383" s="3">
        <v>1</v>
      </c>
      <c r="D383" s="5">
        <v>48</v>
      </c>
      <c r="E383" s="3" t="s">
        <v>12071</v>
      </c>
      <c r="F383" s="2" t="s">
        <v>2680</v>
      </c>
      <c r="G383" s="6" t="s">
        <v>154</v>
      </c>
      <c r="H383" s="2" t="s">
        <v>10225</v>
      </c>
      <c r="I383" s="2" t="s">
        <v>10226</v>
      </c>
      <c r="J383" s="2" t="s">
        <v>19</v>
      </c>
      <c r="K383" s="2" t="s">
        <v>1082</v>
      </c>
      <c r="L383" s="7" t="str">
        <f>HYPERLINK("http://slimages.macys.com/is/image/MCY/15943170 ")</f>
        <v xml:space="preserve">http://slimages.macys.com/is/image/MCY/15943170 </v>
      </c>
    </row>
    <row r="384" spans="1:12" ht="24.75" x14ac:dyDescent="0.25">
      <c r="A384" s="4" t="s">
        <v>1145</v>
      </c>
      <c r="B384" s="2" t="s">
        <v>1132</v>
      </c>
      <c r="C384" s="3">
        <v>1</v>
      </c>
      <c r="D384" s="5">
        <v>34.5</v>
      </c>
      <c r="E384" s="3" t="s">
        <v>1143</v>
      </c>
      <c r="F384" s="2" t="s">
        <v>506</v>
      </c>
      <c r="G384" s="6" t="s">
        <v>16</v>
      </c>
      <c r="H384" s="2" t="s">
        <v>228</v>
      </c>
      <c r="I384" s="2" t="s">
        <v>863</v>
      </c>
      <c r="J384" s="2" t="s">
        <v>19</v>
      </c>
      <c r="K384" s="2" t="s">
        <v>253</v>
      </c>
      <c r="L384" s="7" t="str">
        <f>HYPERLINK("http://slimages.macys.com/is/image/MCY/11804272 ")</f>
        <v xml:space="preserve">http://slimages.macys.com/is/image/MCY/11804272 </v>
      </c>
    </row>
    <row r="385" spans="1:12" ht="24.75" x14ac:dyDescent="0.25">
      <c r="A385" s="4" t="s">
        <v>10855</v>
      </c>
      <c r="B385" s="2" t="s">
        <v>10854</v>
      </c>
      <c r="C385" s="3">
        <v>1</v>
      </c>
      <c r="D385" s="5">
        <v>69.5</v>
      </c>
      <c r="E385" s="3">
        <v>100052071</v>
      </c>
      <c r="F385" s="2" t="s">
        <v>74</v>
      </c>
      <c r="G385" s="6" t="s">
        <v>22</v>
      </c>
      <c r="H385" s="2" t="s">
        <v>386</v>
      </c>
      <c r="I385" s="2" t="s">
        <v>207</v>
      </c>
      <c r="J385" s="2" t="s">
        <v>19</v>
      </c>
      <c r="K385" s="2" t="s">
        <v>387</v>
      </c>
      <c r="L385" s="7" t="str">
        <f>HYPERLINK("http://slimages.macys.com/is/image/MCY/8456403 ")</f>
        <v xml:space="preserve">http://slimages.macys.com/is/image/MCY/8456403 </v>
      </c>
    </row>
    <row r="386" spans="1:12" ht="24.75" x14ac:dyDescent="0.25">
      <c r="A386" s="4" t="s">
        <v>12072</v>
      </c>
      <c r="B386" s="2" t="s">
        <v>10854</v>
      </c>
      <c r="C386" s="3">
        <v>1</v>
      </c>
      <c r="D386" s="5">
        <v>69.5</v>
      </c>
      <c r="E386" s="3">
        <v>100052071</v>
      </c>
      <c r="F386" s="2" t="s">
        <v>74</v>
      </c>
      <c r="G386" s="6" t="s">
        <v>2208</v>
      </c>
      <c r="H386" s="2" t="s">
        <v>386</v>
      </c>
      <c r="I386" s="2" t="s">
        <v>207</v>
      </c>
      <c r="J386" s="2" t="s">
        <v>19</v>
      </c>
      <c r="K386" s="2" t="s">
        <v>387</v>
      </c>
      <c r="L386" s="7" t="str">
        <f>HYPERLINK("http://slimages.macys.com/is/image/MCY/8456403 ")</f>
        <v xml:space="preserve">http://slimages.macys.com/is/image/MCY/8456403 </v>
      </c>
    </row>
    <row r="387" spans="1:12" ht="24.75" x14ac:dyDescent="0.25">
      <c r="A387" s="4" t="s">
        <v>1173</v>
      </c>
      <c r="B387" s="2" t="s">
        <v>1174</v>
      </c>
      <c r="C387" s="3">
        <v>1</v>
      </c>
      <c r="D387" s="5">
        <v>34.5</v>
      </c>
      <c r="E387" s="3" t="s">
        <v>1175</v>
      </c>
      <c r="F387" s="2" t="s">
        <v>74</v>
      </c>
      <c r="G387" s="6" t="s">
        <v>473</v>
      </c>
      <c r="H387" s="2" t="s">
        <v>228</v>
      </c>
      <c r="I387" s="2" t="s">
        <v>863</v>
      </c>
      <c r="J387" s="2" t="s">
        <v>19</v>
      </c>
      <c r="K387" s="2" t="s">
        <v>230</v>
      </c>
      <c r="L387" s="7" t="str">
        <f>HYPERLINK("http://slimages.macys.com/is/image/MCY/3623515 ")</f>
        <v xml:space="preserve">http://slimages.macys.com/is/image/MCY/3623515 </v>
      </c>
    </row>
    <row r="388" spans="1:12" ht="24.75" x14ac:dyDescent="0.25">
      <c r="A388" s="4" t="s">
        <v>10857</v>
      </c>
      <c r="B388" s="2" t="s">
        <v>1167</v>
      </c>
      <c r="C388" s="3">
        <v>1</v>
      </c>
      <c r="D388" s="5">
        <v>34.5</v>
      </c>
      <c r="E388" s="3" t="s">
        <v>1168</v>
      </c>
      <c r="F388" s="2" t="s">
        <v>74</v>
      </c>
      <c r="G388" s="6" t="s">
        <v>22</v>
      </c>
      <c r="H388" s="2" t="s">
        <v>228</v>
      </c>
      <c r="I388" s="2" t="s">
        <v>863</v>
      </c>
      <c r="J388" s="2" t="s">
        <v>19</v>
      </c>
      <c r="K388" s="2" t="s">
        <v>230</v>
      </c>
      <c r="L388" s="7" t="str">
        <f>HYPERLINK("http://slimages.macys.com/is/image/MCY/3623515 ")</f>
        <v xml:space="preserve">http://slimages.macys.com/is/image/MCY/3623515 </v>
      </c>
    </row>
    <row r="389" spans="1:12" ht="24.75" x14ac:dyDescent="0.25">
      <c r="A389" s="4" t="s">
        <v>6566</v>
      </c>
      <c r="B389" s="2" t="s">
        <v>1167</v>
      </c>
      <c r="C389" s="3">
        <v>1</v>
      </c>
      <c r="D389" s="5">
        <v>34.5</v>
      </c>
      <c r="E389" s="3" t="s">
        <v>6567</v>
      </c>
      <c r="F389" s="2" t="s">
        <v>417</v>
      </c>
      <c r="G389" s="6" t="s">
        <v>141</v>
      </c>
      <c r="H389" s="2" t="s">
        <v>228</v>
      </c>
      <c r="I389" s="2" t="s">
        <v>863</v>
      </c>
      <c r="J389" s="2" t="s">
        <v>19</v>
      </c>
      <c r="K389" s="2" t="s">
        <v>230</v>
      </c>
      <c r="L389" s="7" t="str">
        <f>HYPERLINK("http://slimages.macys.com/is/image/MCY/3623515 ")</f>
        <v xml:space="preserve">http://slimages.macys.com/is/image/MCY/3623515 </v>
      </c>
    </row>
    <row r="390" spans="1:12" ht="24.75" x14ac:dyDescent="0.25">
      <c r="A390" s="4" t="s">
        <v>12073</v>
      </c>
      <c r="B390" s="2" t="s">
        <v>1174</v>
      </c>
      <c r="C390" s="3">
        <v>1</v>
      </c>
      <c r="D390" s="5">
        <v>34.5</v>
      </c>
      <c r="E390" s="3" t="s">
        <v>1175</v>
      </c>
      <c r="F390" s="2" t="s">
        <v>74</v>
      </c>
      <c r="G390" s="6" t="s">
        <v>4873</v>
      </c>
      <c r="H390" s="2" t="s">
        <v>228</v>
      </c>
      <c r="I390" s="2" t="s">
        <v>863</v>
      </c>
      <c r="J390" s="2" t="s">
        <v>19</v>
      </c>
      <c r="K390" s="2" t="s">
        <v>230</v>
      </c>
      <c r="L390" s="7" t="str">
        <f>HYPERLINK("http://slimages.macys.com/is/image/MCY/3623515 ")</f>
        <v xml:space="preserve">http://slimages.macys.com/is/image/MCY/3623515 </v>
      </c>
    </row>
    <row r="391" spans="1:12" ht="24.75" x14ac:dyDescent="0.25">
      <c r="A391" s="4" t="s">
        <v>12074</v>
      </c>
      <c r="B391" s="2" t="s">
        <v>5775</v>
      </c>
      <c r="C391" s="3">
        <v>1</v>
      </c>
      <c r="D391" s="5">
        <v>34.5</v>
      </c>
      <c r="E391" s="3" t="s">
        <v>5776</v>
      </c>
      <c r="F391" s="2" t="s">
        <v>74</v>
      </c>
      <c r="G391" s="6" t="s">
        <v>165</v>
      </c>
      <c r="H391" s="2" t="s">
        <v>426</v>
      </c>
      <c r="I391" s="2" t="s">
        <v>229</v>
      </c>
      <c r="J391" s="2" t="s">
        <v>19</v>
      </c>
      <c r="K391" s="2" t="s">
        <v>383</v>
      </c>
      <c r="L391" s="7" t="str">
        <f>HYPERLINK("http://slimages.macys.com/is/image/MCY/1650222 ")</f>
        <v xml:space="preserve">http://slimages.macys.com/is/image/MCY/1650222 </v>
      </c>
    </row>
    <row r="392" spans="1:12" ht="24.75" x14ac:dyDescent="0.25">
      <c r="A392" s="4" t="s">
        <v>5787</v>
      </c>
      <c r="B392" s="2" t="s">
        <v>1181</v>
      </c>
      <c r="C392" s="3">
        <v>2</v>
      </c>
      <c r="D392" s="5">
        <v>37.130000000000003</v>
      </c>
      <c r="E392" s="3">
        <v>100064797</v>
      </c>
      <c r="F392" s="2" t="s">
        <v>15</v>
      </c>
      <c r="G392" s="6" t="s">
        <v>234</v>
      </c>
      <c r="H392" s="2" t="s">
        <v>194</v>
      </c>
      <c r="I392" s="2" t="s">
        <v>195</v>
      </c>
      <c r="J392" s="2" t="s">
        <v>19</v>
      </c>
      <c r="K392" s="2" t="s">
        <v>247</v>
      </c>
      <c r="L392" s="7" t="str">
        <f>HYPERLINK("http://slimages.macys.com/is/image/MCY/12950007 ")</f>
        <v xml:space="preserve">http://slimages.macys.com/is/image/MCY/12950007 </v>
      </c>
    </row>
    <row r="393" spans="1:12" ht="24.75" x14ac:dyDescent="0.25">
      <c r="A393" s="4" t="s">
        <v>12075</v>
      </c>
      <c r="B393" s="2" t="s">
        <v>1106</v>
      </c>
      <c r="C393" s="3">
        <v>1</v>
      </c>
      <c r="D393" s="5">
        <v>33.380000000000003</v>
      </c>
      <c r="E393" s="3" t="s">
        <v>12076</v>
      </c>
      <c r="F393" s="2" t="s">
        <v>64</v>
      </c>
      <c r="G393" s="6" t="s">
        <v>156</v>
      </c>
      <c r="H393" s="2" t="s">
        <v>194</v>
      </c>
      <c r="I393" s="2" t="s">
        <v>195</v>
      </c>
      <c r="J393" s="2" t="s">
        <v>19</v>
      </c>
      <c r="K393" s="2" t="s">
        <v>1108</v>
      </c>
      <c r="L393" s="7" t="str">
        <f>HYPERLINK("http://slimages.macys.com/is/image/MCY/10483332 ")</f>
        <v xml:space="preserve">http://slimages.macys.com/is/image/MCY/10483332 </v>
      </c>
    </row>
    <row r="394" spans="1:12" ht="24.75" x14ac:dyDescent="0.25">
      <c r="A394" s="4" t="s">
        <v>12077</v>
      </c>
      <c r="B394" s="2" t="s">
        <v>7398</v>
      </c>
      <c r="C394" s="3">
        <v>1</v>
      </c>
      <c r="D394" s="5">
        <v>37.130000000000003</v>
      </c>
      <c r="E394" s="3">
        <v>100027423</v>
      </c>
      <c r="F394" s="2" t="s">
        <v>15</v>
      </c>
      <c r="G394" s="6" t="s">
        <v>12078</v>
      </c>
      <c r="H394" s="2" t="s">
        <v>194</v>
      </c>
      <c r="I394" s="2" t="s">
        <v>1112</v>
      </c>
      <c r="J394" s="2" t="s">
        <v>19</v>
      </c>
      <c r="K394" s="2" t="s">
        <v>409</v>
      </c>
      <c r="L394" s="7" t="str">
        <f>HYPERLINK("http://slimages.macys.com/is/image/MCY/8185791 ")</f>
        <v xml:space="preserve">http://slimages.macys.com/is/image/MCY/8185791 </v>
      </c>
    </row>
    <row r="395" spans="1:12" ht="24.75" x14ac:dyDescent="0.25">
      <c r="A395" s="4" t="s">
        <v>12079</v>
      </c>
      <c r="B395" s="2" t="s">
        <v>9053</v>
      </c>
      <c r="C395" s="3">
        <v>1</v>
      </c>
      <c r="D395" s="5">
        <v>37.130000000000003</v>
      </c>
      <c r="E395" s="3" t="s">
        <v>12080</v>
      </c>
      <c r="F395" s="2" t="s">
        <v>26</v>
      </c>
      <c r="G395" s="6" t="s">
        <v>154</v>
      </c>
      <c r="H395" s="2" t="s">
        <v>194</v>
      </c>
      <c r="I395" s="2" t="s">
        <v>919</v>
      </c>
      <c r="J395" s="2" t="s">
        <v>19</v>
      </c>
      <c r="K395" s="2" t="s">
        <v>409</v>
      </c>
      <c r="L395" s="7" t="str">
        <f>HYPERLINK("http://slimages.macys.com/is/image/MCY/8185791 ")</f>
        <v xml:space="preserve">http://slimages.macys.com/is/image/MCY/8185791 </v>
      </c>
    </row>
    <row r="396" spans="1:12" ht="24.75" x14ac:dyDescent="0.25">
      <c r="A396" s="4" t="s">
        <v>4857</v>
      </c>
      <c r="B396" s="2" t="s">
        <v>4858</v>
      </c>
      <c r="C396" s="3">
        <v>1</v>
      </c>
      <c r="D396" s="5">
        <v>37.130000000000003</v>
      </c>
      <c r="E396" s="3" t="s">
        <v>4859</v>
      </c>
      <c r="F396" s="2" t="s">
        <v>26</v>
      </c>
      <c r="G396" s="6" t="s">
        <v>154</v>
      </c>
      <c r="H396" s="2" t="s">
        <v>246</v>
      </c>
      <c r="I396" s="2" t="s">
        <v>189</v>
      </c>
      <c r="J396" s="2" t="s">
        <v>19</v>
      </c>
      <c r="K396" s="2" t="s">
        <v>34</v>
      </c>
      <c r="L396" s="7" t="str">
        <f>HYPERLINK("http://slimages.macys.com/is/image/MCY/12327034 ")</f>
        <v xml:space="preserve">http://slimages.macys.com/is/image/MCY/12327034 </v>
      </c>
    </row>
    <row r="397" spans="1:12" ht="24.75" x14ac:dyDescent="0.25">
      <c r="A397" s="4" t="s">
        <v>12081</v>
      </c>
      <c r="B397" s="2" t="s">
        <v>1183</v>
      </c>
      <c r="C397" s="3">
        <v>1</v>
      </c>
      <c r="D397" s="5">
        <v>34.5</v>
      </c>
      <c r="E397" s="3" t="s">
        <v>4862</v>
      </c>
      <c r="F397" s="2" t="s">
        <v>417</v>
      </c>
      <c r="G397" s="6" t="s">
        <v>234</v>
      </c>
      <c r="H397" s="2" t="s">
        <v>228</v>
      </c>
      <c r="I397" s="2" t="s">
        <v>229</v>
      </c>
      <c r="J397" s="2" t="s">
        <v>19</v>
      </c>
      <c r="K397" s="2" t="s">
        <v>253</v>
      </c>
      <c r="L397" s="7" t="str">
        <f>HYPERLINK("http://slimages.macys.com/is/image/MCY/11269044 ")</f>
        <v xml:space="preserve">http://slimages.macys.com/is/image/MCY/11269044 </v>
      </c>
    </row>
    <row r="398" spans="1:12" ht="24.75" x14ac:dyDescent="0.25">
      <c r="A398" s="4" t="s">
        <v>12082</v>
      </c>
      <c r="B398" s="2" t="s">
        <v>4854</v>
      </c>
      <c r="C398" s="3">
        <v>1</v>
      </c>
      <c r="D398" s="5">
        <v>37.130000000000003</v>
      </c>
      <c r="E398" s="3">
        <v>100027424</v>
      </c>
      <c r="F398" s="2" t="s">
        <v>878</v>
      </c>
      <c r="G398" s="6" t="s">
        <v>4855</v>
      </c>
      <c r="H398" s="2" t="s">
        <v>194</v>
      </c>
      <c r="I398" s="2" t="s">
        <v>1112</v>
      </c>
      <c r="J398" s="2" t="s">
        <v>19</v>
      </c>
      <c r="K398" s="2" t="s">
        <v>409</v>
      </c>
      <c r="L398" s="7" t="str">
        <f>HYPERLINK("http://slimages.macys.com/is/image/MCY/8185791 ")</f>
        <v xml:space="preserve">http://slimages.macys.com/is/image/MCY/8185791 </v>
      </c>
    </row>
    <row r="399" spans="1:12" ht="24.75" x14ac:dyDescent="0.25">
      <c r="A399" s="4" t="s">
        <v>12083</v>
      </c>
      <c r="B399" s="2" t="s">
        <v>1140</v>
      </c>
      <c r="C399" s="3">
        <v>1</v>
      </c>
      <c r="D399" s="5">
        <v>37.130000000000003</v>
      </c>
      <c r="E399" s="3" t="s">
        <v>12084</v>
      </c>
      <c r="F399" s="2" t="s">
        <v>74</v>
      </c>
      <c r="G399" s="6"/>
      <c r="H399" s="2" t="s">
        <v>632</v>
      </c>
      <c r="I399" s="2" t="s">
        <v>285</v>
      </c>
      <c r="J399" s="2" t="s">
        <v>19</v>
      </c>
      <c r="K399" s="2" t="s">
        <v>442</v>
      </c>
      <c r="L399" s="7" t="str">
        <f>HYPERLINK("http://slimages.macys.com/is/image/MCY/13466766 ")</f>
        <v xml:space="preserve">http://slimages.macys.com/is/image/MCY/13466766 </v>
      </c>
    </row>
    <row r="400" spans="1:12" ht="24.75" x14ac:dyDescent="0.25">
      <c r="A400" s="4" t="s">
        <v>12085</v>
      </c>
      <c r="B400" s="2" t="s">
        <v>10864</v>
      </c>
      <c r="C400" s="3">
        <v>1</v>
      </c>
      <c r="D400" s="5">
        <v>34.5</v>
      </c>
      <c r="E400" s="3" t="s">
        <v>10865</v>
      </c>
      <c r="F400" s="2" t="s">
        <v>417</v>
      </c>
      <c r="G400" s="6" t="s">
        <v>3866</v>
      </c>
      <c r="H400" s="2" t="s">
        <v>228</v>
      </c>
      <c r="I400" s="2" t="s">
        <v>863</v>
      </c>
      <c r="J400" s="2" t="s">
        <v>19</v>
      </c>
      <c r="K400" s="2" t="s">
        <v>253</v>
      </c>
      <c r="L400" s="7" t="str">
        <f>HYPERLINK("http://slimages.macys.com/is/image/MCY/9864908 ")</f>
        <v xml:space="preserve">http://slimages.macys.com/is/image/MCY/9864908 </v>
      </c>
    </row>
    <row r="401" spans="1:12" ht="24.75" x14ac:dyDescent="0.25">
      <c r="A401" s="4" t="s">
        <v>10860</v>
      </c>
      <c r="B401" s="2" t="s">
        <v>10861</v>
      </c>
      <c r="C401" s="3">
        <v>1</v>
      </c>
      <c r="D401" s="5">
        <v>34.5</v>
      </c>
      <c r="E401" s="3" t="s">
        <v>10862</v>
      </c>
      <c r="F401" s="2" t="s">
        <v>74</v>
      </c>
      <c r="G401" s="6" t="s">
        <v>1335</v>
      </c>
      <c r="H401" s="2" t="s">
        <v>228</v>
      </c>
      <c r="I401" s="2" t="s">
        <v>863</v>
      </c>
      <c r="J401" s="2" t="s">
        <v>19</v>
      </c>
      <c r="K401" s="2" t="s">
        <v>253</v>
      </c>
      <c r="L401" s="7" t="str">
        <f>HYPERLINK("http://slimages.macys.com/is/image/MCY/9864908 ")</f>
        <v xml:space="preserve">http://slimages.macys.com/is/image/MCY/9864908 </v>
      </c>
    </row>
    <row r="402" spans="1:12" ht="24.75" x14ac:dyDescent="0.25">
      <c r="A402" s="4" t="s">
        <v>1190</v>
      </c>
      <c r="B402" s="2" t="s">
        <v>1188</v>
      </c>
      <c r="C402" s="3">
        <v>1</v>
      </c>
      <c r="D402" s="5">
        <v>44.63</v>
      </c>
      <c r="E402" s="3" t="s">
        <v>1189</v>
      </c>
      <c r="F402" s="2" t="s">
        <v>38</v>
      </c>
      <c r="G402" s="6" t="s">
        <v>154</v>
      </c>
      <c r="H402" s="2" t="s">
        <v>194</v>
      </c>
      <c r="I402" s="2" t="s">
        <v>195</v>
      </c>
      <c r="J402" s="2" t="s">
        <v>19</v>
      </c>
      <c r="K402" s="2" t="s">
        <v>803</v>
      </c>
      <c r="L402" s="7" t="str">
        <f>HYPERLINK("http://slimages.macys.com/is/image/MCY/13683354 ")</f>
        <v xml:space="preserve">http://slimages.macys.com/is/image/MCY/13683354 </v>
      </c>
    </row>
    <row r="403" spans="1:12" ht="24.75" x14ac:dyDescent="0.25">
      <c r="A403" s="4" t="s">
        <v>12086</v>
      </c>
      <c r="B403" s="2" t="s">
        <v>539</v>
      </c>
      <c r="C403" s="3">
        <v>1</v>
      </c>
      <c r="D403" s="5">
        <v>49.99</v>
      </c>
      <c r="E403" s="3" t="s">
        <v>540</v>
      </c>
      <c r="F403" s="2"/>
      <c r="G403" s="6" t="s">
        <v>205</v>
      </c>
      <c r="H403" s="2" t="s">
        <v>127</v>
      </c>
      <c r="I403" s="2" t="s">
        <v>541</v>
      </c>
      <c r="J403" s="2" t="s">
        <v>19</v>
      </c>
      <c r="K403" s="2" t="s">
        <v>137</v>
      </c>
      <c r="L403" s="7" t="str">
        <f>HYPERLINK("http://slimages.macys.com/is/image/MCY/10438351 ")</f>
        <v xml:space="preserve">http://slimages.macys.com/is/image/MCY/10438351 </v>
      </c>
    </row>
    <row r="404" spans="1:12" ht="24.75" x14ac:dyDescent="0.25">
      <c r="A404" s="4" t="s">
        <v>5802</v>
      </c>
      <c r="B404" s="2" t="s">
        <v>4864</v>
      </c>
      <c r="C404" s="3">
        <v>1</v>
      </c>
      <c r="D404" s="5">
        <v>37.130000000000003</v>
      </c>
      <c r="E404" s="3" t="s">
        <v>4865</v>
      </c>
      <c r="F404" s="2" t="s">
        <v>15</v>
      </c>
      <c r="G404" s="6" t="s">
        <v>181</v>
      </c>
      <c r="H404" s="2" t="s">
        <v>194</v>
      </c>
      <c r="I404" s="2" t="s">
        <v>195</v>
      </c>
      <c r="J404" s="2" t="s">
        <v>19</v>
      </c>
      <c r="K404" s="2" t="s">
        <v>4866</v>
      </c>
      <c r="L404" s="7" t="str">
        <f>HYPERLINK("http://slimages.macys.com/is/image/MCY/12734328 ")</f>
        <v xml:space="preserve">http://slimages.macys.com/is/image/MCY/12734328 </v>
      </c>
    </row>
    <row r="405" spans="1:12" ht="24.75" x14ac:dyDescent="0.25">
      <c r="A405" s="4" t="s">
        <v>12087</v>
      </c>
      <c r="B405" s="2" t="s">
        <v>10854</v>
      </c>
      <c r="C405" s="3">
        <v>1</v>
      </c>
      <c r="D405" s="5">
        <v>69.5</v>
      </c>
      <c r="E405" s="3">
        <v>100052075</v>
      </c>
      <c r="F405" s="2" t="s">
        <v>252</v>
      </c>
      <c r="G405" s="6" t="s">
        <v>58</v>
      </c>
      <c r="H405" s="2" t="s">
        <v>386</v>
      </c>
      <c r="I405" s="2" t="s">
        <v>207</v>
      </c>
      <c r="J405" s="2" t="s">
        <v>19</v>
      </c>
      <c r="K405" s="2" t="s">
        <v>387</v>
      </c>
      <c r="L405" s="7" t="str">
        <f>HYPERLINK("http://slimages.macys.com/is/image/MCY/8456403 ")</f>
        <v xml:space="preserve">http://slimages.macys.com/is/image/MCY/8456403 </v>
      </c>
    </row>
    <row r="406" spans="1:12" x14ac:dyDescent="0.25">
      <c r="A406" s="4" t="s">
        <v>12088</v>
      </c>
      <c r="B406" s="2" t="s">
        <v>12089</v>
      </c>
      <c r="C406" s="3">
        <v>1</v>
      </c>
      <c r="D406" s="5">
        <v>49.5</v>
      </c>
      <c r="E406" s="3" t="s">
        <v>12090</v>
      </c>
      <c r="F406" s="2" t="s">
        <v>26</v>
      </c>
      <c r="G406" s="6" t="s">
        <v>187</v>
      </c>
      <c r="H406" s="2" t="s">
        <v>206</v>
      </c>
      <c r="I406" s="2" t="s">
        <v>207</v>
      </c>
      <c r="J406" s="2" t="s">
        <v>19</v>
      </c>
      <c r="K406" s="2" t="s">
        <v>160</v>
      </c>
      <c r="L406" s="7" t="str">
        <f>HYPERLINK("http://slimages.macys.com/is/image/MCY/12854280 ")</f>
        <v xml:space="preserve">http://slimages.macys.com/is/image/MCY/12854280 </v>
      </c>
    </row>
    <row r="407" spans="1:12" ht="24.75" x14ac:dyDescent="0.25">
      <c r="A407" s="4" t="s">
        <v>12091</v>
      </c>
      <c r="B407" s="2" t="s">
        <v>4869</v>
      </c>
      <c r="C407" s="3">
        <v>1</v>
      </c>
      <c r="D407" s="5">
        <v>37.130000000000003</v>
      </c>
      <c r="E407" s="3">
        <v>100015977</v>
      </c>
      <c r="F407" s="2" t="s">
        <v>64</v>
      </c>
      <c r="G407" s="6" t="s">
        <v>200</v>
      </c>
      <c r="H407" s="2" t="s">
        <v>246</v>
      </c>
      <c r="I407" s="2" t="s">
        <v>189</v>
      </c>
      <c r="J407" s="2" t="s">
        <v>19</v>
      </c>
      <c r="K407" s="2" t="s">
        <v>648</v>
      </c>
      <c r="L407" s="7" t="str">
        <f>HYPERLINK("http://slimages.macys.com/is/image/MCY/9557334 ")</f>
        <v xml:space="preserve">http://slimages.macys.com/is/image/MCY/9557334 </v>
      </c>
    </row>
    <row r="408" spans="1:12" ht="24.75" x14ac:dyDescent="0.25">
      <c r="A408" s="4" t="s">
        <v>12092</v>
      </c>
      <c r="B408" s="2" t="s">
        <v>7414</v>
      </c>
      <c r="C408" s="3">
        <v>1</v>
      </c>
      <c r="D408" s="5">
        <v>37.130000000000003</v>
      </c>
      <c r="E408" s="3" t="s">
        <v>7415</v>
      </c>
      <c r="F408" s="2" t="s">
        <v>70</v>
      </c>
      <c r="G408" s="6" t="s">
        <v>58</v>
      </c>
      <c r="H408" s="2" t="s">
        <v>246</v>
      </c>
      <c r="I408" s="2" t="s">
        <v>189</v>
      </c>
      <c r="J408" s="2" t="s">
        <v>19</v>
      </c>
      <c r="K408" s="2" t="s">
        <v>353</v>
      </c>
      <c r="L408" s="7" t="str">
        <f>HYPERLINK("http://slimages.macys.com/is/image/MCY/11915457 ")</f>
        <v xml:space="preserve">http://slimages.macys.com/is/image/MCY/11915457 </v>
      </c>
    </row>
    <row r="409" spans="1:12" ht="24.75" x14ac:dyDescent="0.25">
      <c r="A409" s="4" t="s">
        <v>12093</v>
      </c>
      <c r="B409" s="2" t="s">
        <v>7414</v>
      </c>
      <c r="C409" s="3">
        <v>1</v>
      </c>
      <c r="D409" s="5">
        <v>37.130000000000003</v>
      </c>
      <c r="E409" s="3" t="s">
        <v>7415</v>
      </c>
      <c r="F409" s="2" t="s">
        <v>70</v>
      </c>
      <c r="G409" s="6" t="s">
        <v>112</v>
      </c>
      <c r="H409" s="2" t="s">
        <v>246</v>
      </c>
      <c r="I409" s="2" t="s">
        <v>189</v>
      </c>
      <c r="J409" s="2" t="s">
        <v>19</v>
      </c>
      <c r="K409" s="2" t="s">
        <v>353</v>
      </c>
      <c r="L409" s="7" t="str">
        <f>HYPERLINK("http://slimages.macys.com/is/image/MCY/11915457 ")</f>
        <v xml:space="preserve">http://slimages.macys.com/is/image/MCY/11915457 </v>
      </c>
    </row>
    <row r="410" spans="1:12" ht="24.75" x14ac:dyDescent="0.25">
      <c r="A410" s="4" t="s">
        <v>10155</v>
      </c>
      <c r="B410" s="2" t="s">
        <v>1199</v>
      </c>
      <c r="C410" s="3">
        <v>1</v>
      </c>
      <c r="D410" s="5">
        <v>37.130000000000003</v>
      </c>
      <c r="E410" s="3">
        <v>100009324</v>
      </c>
      <c r="F410" s="2" t="s">
        <v>506</v>
      </c>
      <c r="G410" s="6" t="s">
        <v>27</v>
      </c>
      <c r="H410" s="2" t="s">
        <v>194</v>
      </c>
      <c r="I410" s="2" t="s">
        <v>195</v>
      </c>
      <c r="J410" s="2" t="s">
        <v>19</v>
      </c>
      <c r="K410" s="2" t="s">
        <v>353</v>
      </c>
      <c r="L410" s="7" t="str">
        <f>HYPERLINK("http://slimages.macys.com/is/image/MCY/9404224 ")</f>
        <v xml:space="preserve">http://slimages.macys.com/is/image/MCY/9404224 </v>
      </c>
    </row>
    <row r="411" spans="1:12" ht="24.75" x14ac:dyDescent="0.25">
      <c r="A411" s="4" t="s">
        <v>12094</v>
      </c>
      <c r="B411" s="2" t="s">
        <v>9083</v>
      </c>
      <c r="C411" s="3">
        <v>1</v>
      </c>
      <c r="D411" s="5">
        <v>44.5</v>
      </c>
      <c r="E411" s="3" t="s">
        <v>9084</v>
      </c>
      <c r="F411" s="2" t="s">
        <v>74</v>
      </c>
      <c r="G411" s="6" t="s">
        <v>58</v>
      </c>
      <c r="H411" s="2" t="s">
        <v>246</v>
      </c>
      <c r="I411" s="2" t="s">
        <v>189</v>
      </c>
      <c r="J411" s="2" t="s">
        <v>19</v>
      </c>
      <c r="K411" s="2" t="s">
        <v>409</v>
      </c>
      <c r="L411" s="7" t="str">
        <f>HYPERLINK("http://slimages.macys.com/is/image/MCY/9957944 ")</f>
        <v xml:space="preserve">http://slimages.macys.com/is/image/MCY/9957944 </v>
      </c>
    </row>
    <row r="412" spans="1:12" ht="24.75" x14ac:dyDescent="0.25">
      <c r="A412" s="4" t="s">
        <v>9576</v>
      </c>
      <c r="B412" s="2" t="s">
        <v>9577</v>
      </c>
      <c r="C412" s="3">
        <v>1</v>
      </c>
      <c r="D412" s="5">
        <v>59.5</v>
      </c>
      <c r="E412" s="3" t="s">
        <v>9578</v>
      </c>
      <c r="F412" s="2" t="s">
        <v>15</v>
      </c>
      <c r="G412" s="6" t="s">
        <v>187</v>
      </c>
      <c r="H412" s="2" t="s">
        <v>206</v>
      </c>
      <c r="I412" s="2" t="s">
        <v>207</v>
      </c>
      <c r="J412" s="2" t="s">
        <v>19</v>
      </c>
      <c r="K412" s="2" t="s">
        <v>672</v>
      </c>
      <c r="L412" s="7" t="str">
        <f>HYPERLINK("http://slimages.macys.com/is/image/MCY/9507267 ")</f>
        <v xml:space="preserve">http://slimages.macys.com/is/image/MCY/9507267 </v>
      </c>
    </row>
    <row r="413" spans="1:12" ht="24.75" x14ac:dyDescent="0.25">
      <c r="A413" s="4" t="s">
        <v>8658</v>
      </c>
      <c r="B413" s="2" t="s">
        <v>1416</v>
      </c>
      <c r="C413" s="3">
        <v>3</v>
      </c>
      <c r="D413" s="5">
        <v>21.99</v>
      </c>
      <c r="E413" s="3" t="s">
        <v>8659</v>
      </c>
      <c r="F413" s="2" t="s">
        <v>1584</v>
      </c>
      <c r="G413" s="6" t="s">
        <v>22</v>
      </c>
      <c r="H413" s="2" t="s">
        <v>194</v>
      </c>
      <c r="I413" s="2" t="s">
        <v>195</v>
      </c>
      <c r="J413" s="2" t="s">
        <v>19</v>
      </c>
      <c r="K413" s="2" t="s">
        <v>353</v>
      </c>
      <c r="L413" s="7" t="str">
        <f t="shared" ref="L413:L420" si="1">HYPERLINK("http://slimages.macys.com/is/image/MCY/12033149 ")</f>
        <v xml:space="preserve">http://slimages.macys.com/is/image/MCY/12033149 </v>
      </c>
    </row>
    <row r="414" spans="1:12" ht="24.75" x14ac:dyDescent="0.25">
      <c r="A414" s="4" t="s">
        <v>8660</v>
      </c>
      <c r="B414" s="2" t="s">
        <v>1416</v>
      </c>
      <c r="C414" s="3">
        <v>1</v>
      </c>
      <c r="D414" s="5">
        <v>21.99</v>
      </c>
      <c r="E414" s="3" t="s">
        <v>8659</v>
      </c>
      <c r="F414" s="2" t="s">
        <v>1584</v>
      </c>
      <c r="G414" s="6" t="s">
        <v>16</v>
      </c>
      <c r="H414" s="2" t="s">
        <v>194</v>
      </c>
      <c r="I414" s="2" t="s">
        <v>195</v>
      </c>
      <c r="J414" s="2" t="s">
        <v>19</v>
      </c>
      <c r="K414" s="2" t="s">
        <v>353</v>
      </c>
      <c r="L414" s="7" t="str">
        <f t="shared" si="1"/>
        <v xml:space="preserve">http://slimages.macys.com/is/image/MCY/12033149 </v>
      </c>
    </row>
    <row r="415" spans="1:12" ht="24.75" x14ac:dyDescent="0.25">
      <c r="A415" s="4" t="s">
        <v>12095</v>
      </c>
      <c r="B415" s="2" t="s">
        <v>1416</v>
      </c>
      <c r="C415" s="3">
        <v>1</v>
      </c>
      <c r="D415" s="5">
        <v>21.99</v>
      </c>
      <c r="E415" s="3" t="s">
        <v>12096</v>
      </c>
      <c r="F415" s="2" t="s">
        <v>820</v>
      </c>
      <c r="G415" s="6" t="s">
        <v>16</v>
      </c>
      <c r="H415" s="2" t="s">
        <v>194</v>
      </c>
      <c r="I415" s="2" t="s">
        <v>195</v>
      </c>
      <c r="J415" s="2" t="s">
        <v>19</v>
      </c>
      <c r="K415" s="2" t="s">
        <v>353</v>
      </c>
      <c r="L415" s="7" t="str">
        <f t="shared" si="1"/>
        <v xml:space="preserve">http://slimages.macys.com/is/image/MCY/12033149 </v>
      </c>
    </row>
    <row r="416" spans="1:12" ht="24.75" x14ac:dyDescent="0.25">
      <c r="A416" s="4" t="s">
        <v>12097</v>
      </c>
      <c r="B416" s="2" t="s">
        <v>1416</v>
      </c>
      <c r="C416" s="3">
        <v>1</v>
      </c>
      <c r="D416" s="5">
        <v>21.99</v>
      </c>
      <c r="E416" s="3" t="s">
        <v>12096</v>
      </c>
      <c r="F416" s="2" t="s">
        <v>820</v>
      </c>
      <c r="G416" s="6" t="s">
        <v>141</v>
      </c>
      <c r="H416" s="2" t="s">
        <v>194</v>
      </c>
      <c r="I416" s="2" t="s">
        <v>195</v>
      </c>
      <c r="J416" s="2" t="s">
        <v>19</v>
      </c>
      <c r="K416" s="2" t="s">
        <v>353</v>
      </c>
      <c r="L416" s="7" t="str">
        <f t="shared" si="1"/>
        <v xml:space="preserve">http://slimages.macys.com/is/image/MCY/12033149 </v>
      </c>
    </row>
    <row r="417" spans="1:12" ht="24.75" x14ac:dyDescent="0.25">
      <c r="A417" s="4" t="s">
        <v>12098</v>
      </c>
      <c r="B417" s="2" t="s">
        <v>1416</v>
      </c>
      <c r="C417" s="3">
        <v>1</v>
      </c>
      <c r="D417" s="5">
        <v>21.99</v>
      </c>
      <c r="E417" s="3" t="s">
        <v>12096</v>
      </c>
      <c r="F417" s="2" t="s">
        <v>820</v>
      </c>
      <c r="G417" s="6" t="s">
        <v>58</v>
      </c>
      <c r="H417" s="2" t="s">
        <v>194</v>
      </c>
      <c r="I417" s="2" t="s">
        <v>195</v>
      </c>
      <c r="J417" s="2" t="s">
        <v>19</v>
      </c>
      <c r="K417" s="2" t="s">
        <v>353</v>
      </c>
      <c r="L417" s="7" t="str">
        <f t="shared" si="1"/>
        <v xml:space="preserve">http://slimages.macys.com/is/image/MCY/12033149 </v>
      </c>
    </row>
    <row r="418" spans="1:12" ht="24.75" x14ac:dyDescent="0.25">
      <c r="A418" s="4" t="s">
        <v>8661</v>
      </c>
      <c r="B418" s="2" t="s">
        <v>1416</v>
      </c>
      <c r="C418" s="3">
        <v>2</v>
      </c>
      <c r="D418" s="5">
        <v>21.99</v>
      </c>
      <c r="E418" s="3" t="s">
        <v>8659</v>
      </c>
      <c r="F418" s="2" t="s">
        <v>1584</v>
      </c>
      <c r="G418" s="6" t="s">
        <v>27</v>
      </c>
      <c r="H418" s="2" t="s">
        <v>194</v>
      </c>
      <c r="I418" s="2" t="s">
        <v>195</v>
      </c>
      <c r="J418" s="2" t="s">
        <v>19</v>
      </c>
      <c r="K418" s="2" t="s">
        <v>353</v>
      </c>
      <c r="L418" s="7" t="str">
        <f t="shared" si="1"/>
        <v xml:space="preserve">http://slimages.macys.com/is/image/MCY/12033149 </v>
      </c>
    </row>
    <row r="419" spans="1:12" ht="24.75" x14ac:dyDescent="0.25">
      <c r="A419" s="4" t="s">
        <v>12099</v>
      </c>
      <c r="B419" s="2" t="s">
        <v>1416</v>
      </c>
      <c r="C419" s="3">
        <v>4</v>
      </c>
      <c r="D419" s="5">
        <v>21.99</v>
      </c>
      <c r="E419" s="3" t="s">
        <v>8659</v>
      </c>
      <c r="F419" s="2" t="s">
        <v>1584</v>
      </c>
      <c r="G419" s="6" t="s">
        <v>58</v>
      </c>
      <c r="H419" s="2" t="s">
        <v>194</v>
      </c>
      <c r="I419" s="2" t="s">
        <v>195</v>
      </c>
      <c r="J419" s="2" t="s">
        <v>19</v>
      </c>
      <c r="K419" s="2" t="s">
        <v>353</v>
      </c>
      <c r="L419" s="7" t="str">
        <f t="shared" si="1"/>
        <v xml:space="preserve">http://slimages.macys.com/is/image/MCY/12033149 </v>
      </c>
    </row>
    <row r="420" spans="1:12" ht="24.75" x14ac:dyDescent="0.25">
      <c r="A420" s="4" t="s">
        <v>12100</v>
      </c>
      <c r="B420" s="2" t="s">
        <v>1416</v>
      </c>
      <c r="C420" s="3">
        <v>1</v>
      </c>
      <c r="D420" s="5">
        <v>21.99</v>
      </c>
      <c r="E420" s="3" t="s">
        <v>12096</v>
      </c>
      <c r="F420" s="2" t="s">
        <v>820</v>
      </c>
      <c r="G420" s="6" t="s">
        <v>27</v>
      </c>
      <c r="H420" s="2" t="s">
        <v>194</v>
      </c>
      <c r="I420" s="2" t="s">
        <v>195</v>
      </c>
      <c r="J420" s="2" t="s">
        <v>19</v>
      </c>
      <c r="K420" s="2" t="s">
        <v>353</v>
      </c>
      <c r="L420" s="7" t="str">
        <f t="shared" si="1"/>
        <v xml:space="preserve">http://slimages.macys.com/is/image/MCY/12033149 </v>
      </c>
    </row>
    <row r="421" spans="1:12" ht="24.75" x14ac:dyDescent="0.25">
      <c r="A421" s="4" t="s">
        <v>12101</v>
      </c>
      <c r="B421" s="2" t="s">
        <v>1002</v>
      </c>
      <c r="C421" s="3">
        <v>1</v>
      </c>
      <c r="D421" s="5">
        <v>44.63</v>
      </c>
      <c r="E421" s="3" t="s">
        <v>10882</v>
      </c>
      <c r="F421" s="2" t="s">
        <v>579</v>
      </c>
      <c r="G421" s="6" t="s">
        <v>154</v>
      </c>
      <c r="H421" s="2" t="s">
        <v>194</v>
      </c>
      <c r="I421" s="2" t="s">
        <v>195</v>
      </c>
      <c r="J421" s="2" t="s">
        <v>19</v>
      </c>
      <c r="K421" s="2" t="s">
        <v>137</v>
      </c>
      <c r="L421" s="7" t="str">
        <f>HYPERLINK("http://slimages.macys.com/is/image/MCY/9653306 ")</f>
        <v xml:space="preserve">http://slimages.macys.com/is/image/MCY/9653306 </v>
      </c>
    </row>
    <row r="422" spans="1:12" ht="24.75" x14ac:dyDescent="0.25">
      <c r="A422" s="4" t="s">
        <v>10884</v>
      </c>
      <c r="B422" s="2" t="s">
        <v>1002</v>
      </c>
      <c r="C422" s="3">
        <v>2</v>
      </c>
      <c r="D422" s="5">
        <v>44.63</v>
      </c>
      <c r="E422" s="3" t="s">
        <v>10882</v>
      </c>
      <c r="F422" s="2" t="s">
        <v>579</v>
      </c>
      <c r="G422" s="6" t="s">
        <v>181</v>
      </c>
      <c r="H422" s="2" t="s">
        <v>194</v>
      </c>
      <c r="I422" s="2" t="s">
        <v>195</v>
      </c>
      <c r="J422" s="2" t="s">
        <v>19</v>
      </c>
      <c r="K422" s="2" t="s">
        <v>137</v>
      </c>
      <c r="L422" s="7" t="str">
        <f>HYPERLINK("http://slimages.macys.com/is/image/MCY/9653306 ")</f>
        <v xml:space="preserve">http://slimages.macys.com/is/image/MCY/9653306 </v>
      </c>
    </row>
    <row r="423" spans="1:12" ht="24.75" x14ac:dyDescent="0.25">
      <c r="A423" s="4" t="s">
        <v>1217</v>
      </c>
      <c r="B423" s="2" t="s">
        <v>1215</v>
      </c>
      <c r="C423" s="3">
        <v>1</v>
      </c>
      <c r="D423" s="5">
        <v>37.130000000000003</v>
      </c>
      <c r="E423" s="3" t="s">
        <v>1216</v>
      </c>
      <c r="F423" s="2" t="s">
        <v>579</v>
      </c>
      <c r="G423" s="6" t="s">
        <v>234</v>
      </c>
      <c r="H423" s="2" t="s">
        <v>194</v>
      </c>
      <c r="I423" s="2" t="s">
        <v>580</v>
      </c>
      <c r="J423" s="2" t="s">
        <v>19</v>
      </c>
      <c r="K423" s="2" t="s">
        <v>247</v>
      </c>
      <c r="L423" s="7" t="str">
        <f>HYPERLINK("http://slimages.macys.com/is/image/MCY/12950186 ")</f>
        <v xml:space="preserve">http://slimages.macys.com/is/image/MCY/12950186 </v>
      </c>
    </row>
    <row r="424" spans="1:12" ht="24.75" x14ac:dyDescent="0.25">
      <c r="A424" s="4" t="s">
        <v>9580</v>
      </c>
      <c r="B424" s="2" t="s">
        <v>9086</v>
      </c>
      <c r="C424" s="3">
        <v>1</v>
      </c>
      <c r="D424" s="5">
        <v>37.130000000000003</v>
      </c>
      <c r="E424" s="3">
        <v>100042375</v>
      </c>
      <c r="F424" s="2" t="s">
        <v>417</v>
      </c>
      <c r="G424" s="6" t="s">
        <v>65</v>
      </c>
      <c r="H424" s="2" t="s">
        <v>194</v>
      </c>
      <c r="I424" s="2" t="s">
        <v>195</v>
      </c>
      <c r="J424" s="2" t="s">
        <v>19</v>
      </c>
      <c r="K424" s="2" t="s">
        <v>353</v>
      </c>
      <c r="L424" s="7" t="str">
        <f>HYPERLINK("http://slimages.macys.com/is/image/MCY/11025487 ")</f>
        <v xml:space="preserve">http://slimages.macys.com/is/image/MCY/11025487 </v>
      </c>
    </row>
    <row r="425" spans="1:12" ht="24.75" x14ac:dyDescent="0.25">
      <c r="A425" s="4" t="s">
        <v>3799</v>
      </c>
      <c r="B425" s="2" t="s">
        <v>1222</v>
      </c>
      <c r="C425" s="3">
        <v>1</v>
      </c>
      <c r="D425" s="5">
        <v>37.130000000000003</v>
      </c>
      <c r="E425" s="3" t="s">
        <v>1223</v>
      </c>
      <c r="F425" s="2" t="s">
        <v>26</v>
      </c>
      <c r="G425" s="6" t="s">
        <v>156</v>
      </c>
      <c r="H425" s="2" t="s">
        <v>194</v>
      </c>
      <c r="I425" s="2" t="s">
        <v>580</v>
      </c>
      <c r="J425" s="2" t="s">
        <v>19</v>
      </c>
      <c r="K425" s="2" t="s">
        <v>247</v>
      </c>
      <c r="L425" s="7" t="str">
        <f>HYPERLINK("http://slimages.macys.com/is/image/MCY/12950179 ")</f>
        <v xml:space="preserve">http://slimages.macys.com/is/image/MCY/12950179 </v>
      </c>
    </row>
    <row r="426" spans="1:12" ht="24.75" x14ac:dyDescent="0.25">
      <c r="A426" s="4" t="s">
        <v>1225</v>
      </c>
      <c r="B426" s="2" t="s">
        <v>1222</v>
      </c>
      <c r="C426" s="3">
        <v>1</v>
      </c>
      <c r="D426" s="5">
        <v>37.130000000000003</v>
      </c>
      <c r="E426" s="3" t="s">
        <v>1223</v>
      </c>
      <c r="F426" s="2" t="s">
        <v>26</v>
      </c>
      <c r="G426" s="6" t="s">
        <v>234</v>
      </c>
      <c r="H426" s="2" t="s">
        <v>194</v>
      </c>
      <c r="I426" s="2" t="s">
        <v>580</v>
      </c>
      <c r="J426" s="2" t="s">
        <v>19</v>
      </c>
      <c r="K426" s="2" t="s">
        <v>247</v>
      </c>
      <c r="L426" s="7" t="str">
        <f>HYPERLINK("http://slimages.macys.com/is/image/MCY/12950179 ")</f>
        <v xml:space="preserve">http://slimages.macys.com/is/image/MCY/12950179 </v>
      </c>
    </row>
    <row r="427" spans="1:12" ht="24.75" x14ac:dyDescent="0.25">
      <c r="A427" s="4" t="s">
        <v>1224</v>
      </c>
      <c r="B427" s="2" t="s">
        <v>1215</v>
      </c>
      <c r="C427" s="3">
        <v>1</v>
      </c>
      <c r="D427" s="5">
        <v>37.130000000000003</v>
      </c>
      <c r="E427" s="3" t="s">
        <v>1216</v>
      </c>
      <c r="F427" s="2" t="s">
        <v>579</v>
      </c>
      <c r="G427" s="6" t="s">
        <v>181</v>
      </c>
      <c r="H427" s="2" t="s">
        <v>194</v>
      </c>
      <c r="I427" s="2" t="s">
        <v>580</v>
      </c>
      <c r="J427" s="2" t="s">
        <v>19</v>
      </c>
      <c r="K427" s="2" t="s">
        <v>247</v>
      </c>
      <c r="L427" s="7" t="str">
        <f>HYPERLINK("http://slimages.macys.com/is/image/MCY/12950186 ")</f>
        <v xml:space="preserve">http://slimages.macys.com/is/image/MCY/12950186 </v>
      </c>
    </row>
    <row r="428" spans="1:12" ht="24.75" x14ac:dyDescent="0.25">
      <c r="A428" s="4" t="s">
        <v>12102</v>
      </c>
      <c r="B428" s="2" t="s">
        <v>12103</v>
      </c>
      <c r="C428" s="3">
        <v>1</v>
      </c>
      <c r="D428" s="5">
        <v>29.63</v>
      </c>
      <c r="E428" s="3" t="s">
        <v>12104</v>
      </c>
      <c r="F428" s="2" t="s">
        <v>85</v>
      </c>
      <c r="G428" s="6" t="s">
        <v>181</v>
      </c>
      <c r="H428" s="2" t="s">
        <v>194</v>
      </c>
      <c r="I428" s="2" t="s">
        <v>580</v>
      </c>
      <c r="J428" s="2" t="s">
        <v>19</v>
      </c>
      <c r="K428" s="2" t="s">
        <v>247</v>
      </c>
      <c r="L428" s="7" t="str">
        <f>HYPERLINK("http://slimages.macys.com/is/image/MCY/13367899 ")</f>
        <v xml:space="preserve">http://slimages.macys.com/is/image/MCY/13367899 </v>
      </c>
    </row>
    <row r="429" spans="1:12" ht="24.75" x14ac:dyDescent="0.25">
      <c r="A429" s="4" t="s">
        <v>12105</v>
      </c>
      <c r="B429" s="2" t="s">
        <v>1215</v>
      </c>
      <c r="C429" s="3">
        <v>1</v>
      </c>
      <c r="D429" s="5">
        <v>37.130000000000003</v>
      </c>
      <c r="E429" s="3" t="s">
        <v>12106</v>
      </c>
      <c r="F429" s="2" t="s">
        <v>752</v>
      </c>
      <c r="G429" s="6" t="s">
        <v>234</v>
      </c>
      <c r="H429" s="2" t="s">
        <v>194</v>
      </c>
      <c r="I429" s="2" t="s">
        <v>580</v>
      </c>
      <c r="J429" s="2" t="s">
        <v>19</v>
      </c>
      <c r="K429" s="2" t="s">
        <v>247</v>
      </c>
      <c r="L429" s="7" t="str">
        <f>HYPERLINK("http://slimages.macys.com/is/image/MCY/13120765 ")</f>
        <v xml:space="preserve">http://slimages.macys.com/is/image/MCY/13120765 </v>
      </c>
    </row>
    <row r="430" spans="1:12" ht="24.75" x14ac:dyDescent="0.25">
      <c r="A430" s="4" t="s">
        <v>4883</v>
      </c>
      <c r="B430" s="2" t="s">
        <v>1232</v>
      </c>
      <c r="C430" s="3">
        <v>1</v>
      </c>
      <c r="D430" s="5">
        <v>34.5</v>
      </c>
      <c r="E430" s="3" t="s">
        <v>1236</v>
      </c>
      <c r="F430" s="2" t="s">
        <v>506</v>
      </c>
      <c r="G430" s="6" t="s">
        <v>16</v>
      </c>
      <c r="H430" s="2" t="s">
        <v>194</v>
      </c>
      <c r="I430" s="2" t="s">
        <v>195</v>
      </c>
      <c r="J430" s="2" t="s">
        <v>19</v>
      </c>
      <c r="K430" s="2" t="s">
        <v>353</v>
      </c>
      <c r="L430" s="7" t="str">
        <f>HYPERLINK("http://slimages.macys.com/is/image/MCY/8312314 ")</f>
        <v xml:space="preserve">http://slimages.macys.com/is/image/MCY/8312314 </v>
      </c>
    </row>
    <row r="431" spans="1:12" ht="24.75" x14ac:dyDescent="0.25">
      <c r="A431" s="4" t="s">
        <v>12107</v>
      </c>
      <c r="B431" s="2" t="s">
        <v>1232</v>
      </c>
      <c r="C431" s="3">
        <v>1</v>
      </c>
      <c r="D431" s="5">
        <v>34.5</v>
      </c>
      <c r="E431" s="3" t="s">
        <v>1236</v>
      </c>
      <c r="F431" s="2" t="s">
        <v>506</v>
      </c>
      <c r="G431" s="6" t="s">
        <v>106</v>
      </c>
      <c r="H431" s="2" t="s">
        <v>194</v>
      </c>
      <c r="I431" s="2" t="s">
        <v>195</v>
      </c>
      <c r="J431" s="2" t="s">
        <v>19</v>
      </c>
      <c r="K431" s="2" t="s">
        <v>353</v>
      </c>
      <c r="L431" s="7" t="str">
        <f>HYPERLINK("http://slimages.macys.com/is/image/MCY/8312314 ")</f>
        <v xml:space="preserve">http://slimages.macys.com/is/image/MCY/8312314 </v>
      </c>
    </row>
    <row r="432" spans="1:12" ht="24.75" x14ac:dyDescent="0.25">
      <c r="A432" s="4" t="s">
        <v>12108</v>
      </c>
      <c r="B432" s="2" t="s">
        <v>4889</v>
      </c>
      <c r="C432" s="3">
        <v>1</v>
      </c>
      <c r="D432" s="5">
        <v>36.5</v>
      </c>
      <c r="E432" s="3">
        <v>100039454</v>
      </c>
      <c r="F432" s="2" t="s">
        <v>74</v>
      </c>
      <c r="G432" s="6" t="s">
        <v>154</v>
      </c>
      <c r="H432" s="2" t="s">
        <v>194</v>
      </c>
      <c r="I432" s="2" t="s">
        <v>195</v>
      </c>
      <c r="J432" s="2" t="s">
        <v>19</v>
      </c>
      <c r="K432" s="2" t="s">
        <v>409</v>
      </c>
      <c r="L432" s="7" t="str">
        <f>HYPERLINK("http://slimages.macys.com/is/image/MCY/11146156 ")</f>
        <v xml:space="preserve">http://slimages.macys.com/is/image/MCY/11146156 </v>
      </c>
    </row>
    <row r="433" spans="1:12" ht="24.75" x14ac:dyDescent="0.25">
      <c r="A433" s="4" t="s">
        <v>2635</v>
      </c>
      <c r="B433" s="2" t="s">
        <v>1259</v>
      </c>
      <c r="C433" s="3">
        <v>1</v>
      </c>
      <c r="D433" s="5">
        <v>34.5</v>
      </c>
      <c r="E433" s="3">
        <v>100046281</v>
      </c>
      <c r="F433" s="2" t="s">
        <v>417</v>
      </c>
      <c r="G433" s="6" t="s">
        <v>112</v>
      </c>
      <c r="H433" s="2" t="s">
        <v>228</v>
      </c>
      <c r="I433" s="2" t="s">
        <v>229</v>
      </c>
      <c r="J433" s="2" t="s">
        <v>19</v>
      </c>
      <c r="K433" s="2" t="s">
        <v>648</v>
      </c>
      <c r="L433" s="7" t="str">
        <f>HYPERLINK("http://slimages.macys.com/is/image/MCY/10340786 ")</f>
        <v xml:space="preserve">http://slimages.macys.com/is/image/MCY/10340786 </v>
      </c>
    </row>
    <row r="434" spans="1:12" ht="24.75" x14ac:dyDescent="0.25">
      <c r="A434" s="4" t="s">
        <v>12109</v>
      </c>
      <c r="B434" s="2" t="s">
        <v>12110</v>
      </c>
      <c r="C434" s="3">
        <v>1</v>
      </c>
      <c r="D434" s="5">
        <v>37.1</v>
      </c>
      <c r="E434" s="3" t="s">
        <v>12111</v>
      </c>
      <c r="F434" s="2" t="s">
        <v>85</v>
      </c>
      <c r="G434" s="6"/>
      <c r="H434" s="2" t="s">
        <v>312</v>
      </c>
      <c r="I434" s="2" t="s">
        <v>195</v>
      </c>
      <c r="J434" s="2" t="s">
        <v>19</v>
      </c>
      <c r="K434" s="2" t="s">
        <v>160</v>
      </c>
      <c r="L434" s="7" t="str">
        <f>HYPERLINK("http://slimages.macys.com/is/image/MCY/9925256 ")</f>
        <v xml:space="preserve">http://slimages.macys.com/is/image/MCY/9925256 </v>
      </c>
    </row>
    <row r="435" spans="1:12" ht="24.75" x14ac:dyDescent="0.25">
      <c r="A435" s="4" t="s">
        <v>12112</v>
      </c>
      <c r="B435" s="2" t="s">
        <v>1241</v>
      </c>
      <c r="C435" s="3">
        <v>1</v>
      </c>
      <c r="D435" s="5">
        <v>37.130000000000003</v>
      </c>
      <c r="E435" s="3" t="s">
        <v>1242</v>
      </c>
      <c r="F435" s="2" t="s">
        <v>566</v>
      </c>
      <c r="G435" s="6" t="s">
        <v>336</v>
      </c>
      <c r="H435" s="2" t="s">
        <v>312</v>
      </c>
      <c r="I435" s="2" t="s">
        <v>195</v>
      </c>
      <c r="J435" s="2" t="s">
        <v>19</v>
      </c>
      <c r="K435" s="2" t="s">
        <v>353</v>
      </c>
      <c r="L435" s="7" t="str">
        <f>HYPERLINK("http://slimages.macys.com/is/image/MCY/11934909 ")</f>
        <v xml:space="preserve">http://slimages.macys.com/is/image/MCY/11934909 </v>
      </c>
    </row>
    <row r="436" spans="1:12" ht="24.75" x14ac:dyDescent="0.25">
      <c r="A436" s="4" t="s">
        <v>12113</v>
      </c>
      <c r="B436" s="2" t="s">
        <v>12114</v>
      </c>
      <c r="C436" s="3">
        <v>1</v>
      </c>
      <c r="D436" s="5">
        <v>27.98</v>
      </c>
      <c r="E436" s="3" t="s">
        <v>12115</v>
      </c>
      <c r="F436" s="2" t="s">
        <v>74</v>
      </c>
      <c r="G436" s="6"/>
      <c r="H436" s="2" t="s">
        <v>312</v>
      </c>
      <c r="I436" s="2" t="s">
        <v>919</v>
      </c>
      <c r="J436" s="2" t="s">
        <v>19</v>
      </c>
      <c r="K436" s="2" t="s">
        <v>409</v>
      </c>
      <c r="L436" s="7" t="str">
        <f>HYPERLINK("http://slimages.macys.com/is/image/MCY/9053901 ")</f>
        <v xml:space="preserve">http://slimages.macys.com/is/image/MCY/9053901 </v>
      </c>
    </row>
    <row r="437" spans="1:12" ht="24.75" x14ac:dyDescent="0.25">
      <c r="A437" s="4" t="s">
        <v>3805</v>
      </c>
      <c r="B437" s="2" t="s">
        <v>1244</v>
      </c>
      <c r="C437" s="3">
        <v>1</v>
      </c>
      <c r="D437" s="5">
        <v>37.130000000000003</v>
      </c>
      <c r="E437" s="3">
        <v>100058183</v>
      </c>
      <c r="F437" s="2" t="s">
        <v>26</v>
      </c>
      <c r="G437" s="6" t="s">
        <v>65</v>
      </c>
      <c r="H437" s="2" t="s">
        <v>194</v>
      </c>
      <c r="I437" s="2" t="s">
        <v>195</v>
      </c>
      <c r="J437" s="2" t="s">
        <v>19</v>
      </c>
      <c r="K437" s="2" t="s">
        <v>353</v>
      </c>
      <c r="L437" s="7" t="str">
        <f>HYPERLINK("http://slimages.macys.com/is/image/MCY/12793647 ")</f>
        <v xml:space="preserve">http://slimages.macys.com/is/image/MCY/12793647 </v>
      </c>
    </row>
    <row r="438" spans="1:12" ht="24.75" x14ac:dyDescent="0.25">
      <c r="A438" s="4" t="s">
        <v>5825</v>
      </c>
      <c r="B438" s="2" t="s">
        <v>1244</v>
      </c>
      <c r="C438" s="3">
        <v>1</v>
      </c>
      <c r="D438" s="5">
        <v>37.130000000000003</v>
      </c>
      <c r="E438" s="3">
        <v>100058183</v>
      </c>
      <c r="F438" s="2" t="s">
        <v>26</v>
      </c>
      <c r="G438" s="6" t="s">
        <v>141</v>
      </c>
      <c r="H438" s="2" t="s">
        <v>194</v>
      </c>
      <c r="I438" s="2" t="s">
        <v>195</v>
      </c>
      <c r="J438" s="2" t="s">
        <v>19</v>
      </c>
      <c r="K438" s="2" t="s">
        <v>353</v>
      </c>
      <c r="L438" s="7" t="str">
        <f>HYPERLINK("http://slimages.macys.com/is/image/MCY/12793647 ")</f>
        <v xml:space="preserve">http://slimages.macys.com/is/image/MCY/12793647 </v>
      </c>
    </row>
    <row r="439" spans="1:12" ht="24.75" x14ac:dyDescent="0.25">
      <c r="A439" s="4" t="s">
        <v>12116</v>
      </c>
      <c r="B439" s="2" t="s">
        <v>1327</v>
      </c>
      <c r="C439" s="3">
        <v>1</v>
      </c>
      <c r="D439" s="5">
        <v>34.880000000000003</v>
      </c>
      <c r="E439" s="3" t="s">
        <v>10895</v>
      </c>
      <c r="F439" s="2" t="s">
        <v>2619</v>
      </c>
      <c r="G439" s="6" t="s">
        <v>22</v>
      </c>
      <c r="H439" s="2" t="s">
        <v>194</v>
      </c>
      <c r="I439" s="2" t="s">
        <v>195</v>
      </c>
      <c r="J439" s="2" t="s">
        <v>19</v>
      </c>
      <c r="K439" s="2" t="s">
        <v>353</v>
      </c>
      <c r="L439" s="7" t="str">
        <f>HYPERLINK("http://slimages.macys.com/is/image/MCY/12033298 ")</f>
        <v xml:space="preserve">http://slimages.macys.com/is/image/MCY/12033298 </v>
      </c>
    </row>
    <row r="440" spans="1:12" ht="24.75" x14ac:dyDescent="0.25">
      <c r="A440" s="4" t="s">
        <v>12117</v>
      </c>
      <c r="B440" s="2" t="s">
        <v>3817</v>
      </c>
      <c r="C440" s="3">
        <v>1</v>
      </c>
      <c r="D440" s="5">
        <v>37.130000000000003</v>
      </c>
      <c r="E440" s="3">
        <v>100024600</v>
      </c>
      <c r="F440" s="2" t="s">
        <v>15</v>
      </c>
      <c r="G440" s="6" t="s">
        <v>58</v>
      </c>
      <c r="H440" s="2" t="s">
        <v>194</v>
      </c>
      <c r="I440" s="2" t="s">
        <v>1922</v>
      </c>
      <c r="J440" s="2" t="s">
        <v>19</v>
      </c>
      <c r="K440" s="2" t="s">
        <v>353</v>
      </c>
      <c r="L440" s="7" t="str">
        <f>HYPERLINK("http://slimages.macys.com/is/image/MCY/10189480 ")</f>
        <v xml:space="preserve">http://slimages.macys.com/is/image/MCY/10189480 </v>
      </c>
    </row>
    <row r="441" spans="1:12" ht="24.75" x14ac:dyDescent="0.25">
      <c r="A441" s="4" t="s">
        <v>12118</v>
      </c>
      <c r="B441" s="2" t="s">
        <v>12119</v>
      </c>
      <c r="C441" s="3">
        <v>1</v>
      </c>
      <c r="D441" s="5">
        <v>33.380000000000003</v>
      </c>
      <c r="E441" s="3" t="s">
        <v>12120</v>
      </c>
      <c r="F441" s="2" t="s">
        <v>676</v>
      </c>
      <c r="G441" s="6"/>
      <c r="H441" s="2" t="s">
        <v>312</v>
      </c>
      <c r="I441" s="2" t="s">
        <v>195</v>
      </c>
      <c r="J441" s="2" t="s">
        <v>19</v>
      </c>
      <c r="K441" s="2" t="s">
        <v>107</v>
      </c>
      <c r="L441" s="7" t="str">
        <f>HYPERLINK("http://slimages.macys.com/is/image/MCY/14334261 ")</f>
        <v xml:space="preserve">http://slimages.macys.com/is/image/MCY/14334261 </v>
      </c>
    </row>
    <row r="442" spans="1:12" ht="24.75" x14ac:dyDescent="0.25">
      <c r="A442" s="4" t="s">
        <v>12121</v>
      </c>
      <c r="B442" s="2" t="s">
        <v>12119</v>
      </c>
      <c r="C442" s="3">
        <v>1</v>
      </c>
      <c r="D442" s="5">
        <v>33.380000000000003</v>
      </c>
      <c r="E442" s="3" t="s">
        <v>12122</v>
      </c>
      <c r="F442" s="2" t="s">
        <v>752</v>
      </c>
      <c r="G442" s="6"/>
      <c r="H442" s="2" t="s">
        <v>312</v>
      </c>
      <c r="I442" s="2" t="s">
        <v>195</v>
      </c>
      <c r="J442" s="2" t="s">
        <v>19</v>
      </c>
      <c r="K442" s="2" t="s">
        <v>107</v>
      </c>
      <c r="L442" s="7" t="str">
        <f>HYPERLINK("http://slimages.macys.com/is/image/MCY/14334261 ")</f>
        <v xml:space="preserve">http://slimages.macys.com/is/image/MCY/14334261 </v>
      </c>
    </row>
    <row r="443" spans="1:12" ht="24.75" x14ac:dyDescent="0.25">
      <c r="A443" s="4" t="s">
        <v>12123</v>
      </c>
      <c r="B443" s="2" t="s">
        <v>12124</v>
      </c>
      <c r="C443" s="3">
        <v>1</v>
      </c>
      <c r="D443" s="5">
        <v>34.880000000000003</v>
      </c>
      <c r="E443" s="3" t="s">
        <v>12125</v>
      </c>
      <c r="F443" s="2" t="s">
        <v>74</v>
      </c>
      <c r="G443" s="6" t="s">
        <v>156</v>
      </c>
      <c r="H443" s="2" t="s">
        <v>194</v>
      </c>
      <c r="I443" s="2" t="s">
        <v>1112</v>
      </c>
      <c r="J443" s="2" t="s">
        <v>19</v>
      </c>
      <c r="K443" s="2" t="s">
        <v>409</v>
      </c>
      <c r="L443" s="7" t="str">
        <f>HYPERLINK("http://slimages.macys.com/is/image/MCY/8278760 ")</f>
        <v xml:space="preserve">http://slimages.macys.com/is/image/MCY/8278760 </v>
      </c>
    </row>
    <row r="444" spans="1:12" ht="24.75" x14ac:dyDescent="0.25">
      <c r="A444" s="4" t="s">
        <v>12126</v>
      </c>
      <c r="B444" s="2" t="s">
        <v>12124</v>
      </c>
      <c r="C444" s="3">
        <v>1</v>
      </c>
      <c r="D444" s="5">
        <v>34.880000000000003</v>
      </c>
      <c r="E444" s="3" t="s">
        <v>12127</v>
      </c>
      <c r="F444" s="2" t="s">
        <v>26</v>
      </c>
      <c r="G444" s="6" t="s">
        <v>154</v>
      </c>
      <c r="H444" s="2" t="s">
        <v>194</v>
      </c>
      <c r="I444" s="2" t="s">
        <v>919</v>
      </c>
      <c r="J444" s="2" t="s">
        <v>19</v>
      </c>
      <c r="K444" s="2" t="s">
        <v>409</v>
      </c>
      <c r="L444" s="7" t="str">
        <f>HYPERLINK("http://slimages.macys.com/is/image/MCY/8278760 ")</f>
        <v xml:space="preserve">http://slimages.macys.com/is/image/MCY/8278760 </v>
      </c>
    </row>
    <row r="445" spans="1:12" ht="24.75" x14ac:dyDescent="0.25">
      <c r="A445" s="4" t="s">
        <v>12128</v>
      </c>
      <c r="B445" s="2" t="s">
        <v>12124</v>
      </c>
      <c r="C445" s="3">
        <v>1</v>
      </c>
      <c r="D445" s="5">
        <v>34.880000000000003</v>
      </c>
      <c r="E445" s="3" t="s">
        <v>12125</v>
      </c>
      <c r="F445" s="2" t="s">
        <v>74</v>
      </c>
      <c r="G445" s="6" t="s">
        <v>154</v>
      </c>
      <c r="H445" s="2" t="s">
        <v>194</v>
      </c>
      <c r="I445" s="2" t="s">
        <v>1112</v>
      </c>
      <c r="J445" s="2" t="s">
        <v>19</v>
      </c>
      <c r="K445" s="2" t="s">
        <v>409</v>
      </c>
      <c r="L445" s="7" t="str">
        <f>HYPERLINK("http://slimages.macys.com/is/image/MCY/8278760 ")</f>
        <v xml:space="preserve">http://slimages.macys.com/is/image/MCY/8278760 </v>
      </c>
    </row>
    <row r="446" spans="1:12" ht="24.75" x14ac:dyDescent="0.25">
      <c r="A446" s="4" t="s">
        <v>12129</v>
      </c>
      <c r="B446" s="2" t="s">
        <v>12130</v>
      </c>
      <c r="C446" s="3">
        <v>1</v>
      </c>
      <c r="D446" s="5">
        <v>37.130000000000003</v>
      </c>
      <c r="E446" s="3" t="s">
        <v>12131</v>
      </c>
      <c r="F446" s="2" t="s">
        <v>752</v>
      </c>
      <c r="G446" s="6"/>
      <c r="H446" s="2" t="s">
        <v>312</v>
      </c>
      <c r="I446" s="2" t="s">
        <v>195</v>
      </c>
      <c r="J446" s="2" t="s">
        <v>19</v>
      </c>
      <c r="K446" s="2" t="s">
        <v>438</v>
      </c>
      <c r="L446" s="7" t="str">
        <f>HYPERLINK("http://slimages.macys.com/is/image/MCY/13830208 ")</f>
        <v xml:space="preserve">http://slimages.macys.com/is/image/MCY/13830208 </v>
      </c>
    </row>
    <row r="447" spans="1:12" ht="24.75" x14ac:dyDescent="0.25">
      <c r="A447" s="4" t="s">
        <v>12132</v>
      </c>
      <c r="B447" s="2" t="s">
        <v>12130</v>
      </c>
      <c r="C447" s="3">
        <v>1</v>
      </c>
      <c r="D447" s="5">
        <v>37.130000000000003</v>
      </c>
      <c r="E447" s="3" t="s">
        <v>12131</v>
      </c>
      <c r="F447" s="2" t="s">
        <v>752</v>
      </c>
      <c r="G447" s="6"/>
      <c r="H447" s="2" t="s">
        <v>312</v>
      </c>
      <c r="I447" s="2" t="s">
        <v>195</v>
      </c>
      <c r="J447" s="2" t="s">
        <v>19</v>
      </c>
      <c r="K447" s="2" t="s">
        <v>438</v>
      </c>
      <c r="L447" s="7" t="str">
        <f>HYPERLINK("http://slimages.macys.com/is/image/MCY/13830208 ")</f>
        <v xml:space="preserve">http://slimages.macys.com/is/image/MCY/13830208 </v>
      </c>
    </row>
    <row r="448" spans="1:12" ht="24.75" x14ac:dyDescent="0.25">
      <c r="A448" s="4" t="s">
        <v>12133</v>
      </c>
      <c r="B448" s="2" t="s">
        <v>4903</v>
      </c>
      <c r="C448" s="3">
        <v>1</v>
      </c>
      <c r="D448" s="5">
        <v>34.5</v>
      </c>
      <c r="E448" s="3" t="s">
        <v>4904</v>
      </c>
      <c r="F448" s="2" t="s">
        <v>417</v>
      </c>
      <c r="G448" s="6" t="s">
        <v>1134</v>
      </c>
      <c r="H448" s="2" t="s">
        <v>228</v>
      </c>
      <c r="I448" s="2" t="s">
        <v>229</v>
      </c>
      <c r="J448" s="2" t="s">
        <v>19</v>
      </c>
      <c r="K448" s="2" t="s">
        <v>253</v>
      </c>
      <c r="L448" s="7" t="str">
        <f>HYPERLINK("http://slimages.macys.com/is/image/MCY/10749299 ")</f>
        <v xml:space="preserve">http://slimages.macys.com/is/image/MCY/10749299 </v>
      </c>
    </row>
    <row r="449" spans="1:12" ht="24.75" x14ac:dyDescent="0.25">
      <c r="A449" s="4" t="s">
        <v>8152</v>
      </c>
      <c r="B449" s="2" t="s">
        <v>8153</v>
      </c>
      <c r="C449" s="3">
        <v>1</v>
      </c>
      <c r="D449" s="5">
        <v>44.63</v>
      </c>
      <c r="E449" s="3" t="s">
        <v>8154</v>
      </c>
      <c r="F449" s="2" t="s">
        <v>74</v>
      </c>
      <c r="G449" s="6"/>
      <c r="H449" s="2" t="s">
        <v>312</v>
      </c>
      <c r="I449" s="2" t="s">
        <v>195</v>
      </c>
      <c r="J449" s="2" t="s">
        <v>19</v>
      </c>
      <c r="K449" s="2" t="s">
        <v>247</v>
      </c>
      <c r="L449" s="7" t="str">
        <f>HYPERLINK("http://slimages.macys.com/is/image/MCY/10335892 ")</f>
        <v xml:space="preserve">http://slimages.macys.com/is/image/MCY/10335892 </v>
      </c>
    </row>
    <row r="450" spans="1:12" ht="24.75" x14ac:dyDescent="0.25">
      <c r="A450" s="4" t="s">
        <v>12134</v>
      </c>
      <c r="B450" s="2" t="s">
        <v>1250</v>
      </c>
      <c r="C450" s="3">
        <v>1</v>
      </c>
      <c r="D450" s="5">
        <v>34.5</v>
      </c>
      <c r="E450" s="3">
        <v>100060489</v>
      </c>
      <c r="F450" s="2" t="s">
        <v>331</v>
      </c>
      <c r="G450" s="6" t="s">
        <v>58</v>
      </c>
      <c r="H450" s="2" t="s">
        <v>228</v>
      </c>
      <c r="I450" s="2" t="s">
        <v>229</v>
      </c>
      <c r="J450" s="2" t="s">
        <v>19</v>
      </c>
      <c r="K450" s="2" t="s">
        <v>1251</v>
      </c>
      <c r="L450" s="7" t="str">
        <f>HYPERLINK("http://slimages.macys.com/is/image/MCY/9100235 ")</f>
        <v xml:space="preserve">http://slimages.macys.com/is/image/MCY/9100235 </v>
      </c>
    </row>
    <row r="451" spans="1:12" ht="24.75" x14ac:dyDescent="0.25">
      <c r="A451" s="4" t="s">
        <v>2664</v>
      </c>
      <c r="B451" s="2" t="s">
        <v>1250</v>
      </c>
      <c r="C451" s="3">
        <v>1</v>
      </c>
      <c r="D451" s="5">
        <v>34.5</v>
      </c>
      <c r="E451" s="3">
        <v>100060489</v>
      </c>
      <c r="F451" s="2" t="s">
        <v>331</v>
      </c>
      <c r="G451" s="6" t="s">
        <v>65</v>
      </c>
      <c r="H451" s="2" t="s">
        <v>228</v>
      </c>
      <c r="I451" s="2" t="s">
        <v>229</v>
      </c>
      <c r="J451" s="2" t="s">
        <v>19</v>
      </c>
      <c r="K451" s="2" t="s">
        <v>1251</v>
      </c>
      <c r="L451" s="7" t="str">
        <f>HYPERLINK("http://slimages.macys.com/is/image/MCY/9100235 ")</f>
        <v xml:space="preserve">http://slimages.macys.com/is/image/MCY/9100235 </v>
      </c>
    </row>
    <row r="452" spans="1:12" ht="24.75" x14ac:dyDescent="0.25">
      <c r="A452" s="4" t="s">
        <v>12135</v>
      </c>
      <c r="B452" s="2" t="s">
        <v>1416</v>
      </c>
      <c r="C452" s="3">
        <v>1</v>
      </c>
      <c r="D452" s="5">
        <v>21.99</v>
      </c>
      <c r="E452" s="3" t="s">
        <v>4910</v>
      </c>
      <c r="F452" s="2" t="s">
        <v>70</v>
      </c>
      <c r="G452" s="6" t="s">
        <v>205</v>
      </c>
      <c r="H452" s="2" t="s">
        <v>312</v>
      </c>
      <c r="I452" s="2" t="s">
        <v>195</v>
      </c>
      <c r="J452" s="2" t="s">
        <v>19</v>
      </c>
      <c r="K452" s="2" t="s">
        <v>353</v>
      </c>
      <c r="L452" s="7" t="str">
        <f>HYPERLINK("http://slimages.macys.com/is/image/MCY/16058397 ")</f>
        <v xml:space="preserve">http://slimages.macys.com/is/image/MCY/16058397 </v>
      </c>
    </row>
    <row r="453" spans="1:12" ht="24.75" x14ac:dyDescent="0.25">
      <c r="A453" s="4" t="s">
        <v>5840</v>
      </c>
      <c r="B453" s="2" t="s">
        <v>1250</v>
      </c>
      <c r="C453" s="3">
        <v>1</v>
      </c>
      <c r="D453" s="5">
        <v>34.5</v>
      </c>
      <c r="E453" s="3">
        <v>100060489</v>
      </c>
      <c r="F453" s="2" t="s">
        <v>331</v>
      </c>
      <c r="G453" s="6" t="s">
        <v>27</v>
      </c>
      <c r="H453" s="2" t="s">
        <v>228</v>
      </c>
      <c r="I453" s="2" t="s">
        <v>229</v>
      </c>
      <c r="J453" s="2" t="s">
        <v>19</v>
      </c>
      <c r="K453" s="2" t="s">
        <v>1251</v>
      </c>
      <c r="L453" s="7" t="str">
        <f>HYPERLINK("http://slimages.macys.com/is/image/MCY/9100235 ")</f>
        <v xml:space="preserve">http://slimages.macys.com/is/image/MCY/9100235 </v>
      </c>
    </row>
    <row r="454" spans="1:12" ht="24.75" x14ac:dyDescent="0.25">
      <c r="A454" s="4" t="s">
        <v>12136</v>
      </c>
      <c r="B454" s="2" t="s">
        <v>1250</v>
      </c>
      <c r="C454" s="3">
        <v>1</v>
      </c>
      <c r="D454" s="5">
        <v>34.5</v>
      </c>
      <c r="E454" s="3">
        <v>100003654</v>
      </c>
      <c r="F454" s="2" t="s">
        <v>417</v>
      </c>
      <c r="G454" s="6" t="s">
        <v>27</v>
      </c>
      <c r="H454" s="2" t="s">
        <v>228</v>
      </c>
      <c r="I454" s="2" t="s">
        <v>229</v>
      </c>
      <c r="J454" s="2" t="s">
        <v>19</v>
      </c>
      <c r="K454" s="2" t="s">
        <v>1251</v>
      </c>
      <c r="L454" s="7" t="str">
        <f>HYPERLINK("http://slimages.macys.com/is/image/MCY/9100235 ")</f>
        <v xml:space="preserve">http://slimages.macys.com/is/image/MCY/9100235 </v>
      </c>
    </row>
    <row r="455" spans="1:12" ht="24.75" x14ac:dyDescent="0.25">
      <c r="A455" s="4" t="s">
        <v>4909</v>
      </c>
      <c r="B455" s="2" t="s">
        <v>1416</v>
      </c>
      <c r="C455" s="3">
        <v>1</v>
      </c>
      <c r="D455" s="5">
        <v>21.99</v>
      </c>
      <c r="E455" s="3" t="s">
        <v>4910</v>
      </c>
      <c r="F455" s="2" t="s">
        <v>70</v>
      </c>
      <c r="G455" s="6" t="s">
        <v>336</v>
      </c>
      <c r="H455" s="2" t="s">
        <v>312</v>
      </c>
      <c r="I455" s="2" t="s">
        <v>195</v>
      </c>
      <c r="J455" s="2" t="s">
        <v>19</v>
      </c>
      <c r="K455" s="2" t="s">
        <v>353</v>
      </c>
      <c r="L455" s="7" t="str">
        <f>HYPERLINK("http://slimages.macys.com/is/image/MCY/16058397 ")</f>
        <v xml:space="preserve">http://slimages.macys.com/is/image/MCY/16058397 </v>
      </c>
    </row>
    <row r="456" spans="1:12" ht="24.75" x14ac:dyDescent="0.25">
      <c r="A456" s="4" t="s">
        <v>10903</v>
      </c>
      <c r="B456" s="2" t="s">
        <v>4915</v>
      </c>
      <c r="C456" s="3">
        <v>1</v>
      </c>
      <c r="D456" s="5">
        <v>34.880000000000003</v>
      </c>
      <c r="E456" s="3">
        <v>100009325</v>
      </c>
      <c r="F456" s="2" t="s">
        <v>74</v>
      </c>
      <c r="G456" s="6" t="s">
        <v>156</v>
      </c>
      <c r="H456" s="2" t="s">
        <v>194</v>
      </c>
      <c r="I456" s="2" t="s">
        <v>229</v>
      </c>
      <c r="J456" s="2" t="s">
        <v>19</v>
      </c>
      <c r="K456" s="2" t="s">
        <v>253</v>
      </c>
      <c r="L456" s="7" t="str">
        <f>HYPERLINK("http://slimages.macys.com/is/image/MCY/9489387 ")</f>
        <v xml:space="preserve">http://slimages.macys.com/is/image/MCY/9489387 </v>
      </c>
    </row>
    <row r="457" spans="1:12" ht="24.75" x14ac:dyDescent="0.25">
      <c r="A457" s="4" t="s">
        <v>12137</v>
      </c>
      <c r="B457" s="2" t="s">
        <v>4915</v>
      </c>
      <c r="C457" s="3">
        <v>1</v>
      </c>
      <c r="D457" s="5">
        <v>34.880000000000003</v>
      </c>
      <c r="E457" s="3">
        <v>100009325</v>
      </c>
      <c r="F457" s="2" t="s">
        <v>64</v>
      </c>
      <c r="G457" s="6" t="s">
        <v>245</v>
      </c>
      <c r="H457" s="2" t="s">
        <v>194</v>
      </c>
      <c r="I457" s="2" t="s">
        <v>229</v>
      </c>
      <c r="J457" s="2" t="s">
        <v>19</v>
      </c>
      <c r="K457" s="2" t="s">
        <v>253</v>
      </c>
      <c r="L457" s="7" t="str">
        <f>HYPERLINK("http://slimages.macys.com/is/image/MCY/9489387 ")</f>
        <v xml:space="preserve">http://slimages.macys.com/is/image/MCY/9489387 </v>
      </c>
    </row>
    <row r="458" spans="1:12" ht="24.75" x14ac:dyDescent="0.25">
      <c r="A458" s="4" t="s">
        <v>12138</v>
      </c>
      <c r="B458" s="2" t="s">
        <v>4915</v>
      </c>
      <c r="C458" s="3">
        <v>1</v>
      </c>
      <c r="D458" s="5">
        <v>34.880000000000003</v>
      </c>
      <c r="E458" s="3" t="s">
        <v>4916</v>
      </c>
      <c r="F458" s="2" t="s">
        <v>74</v>
      </c>
      <c r="G458" s="6"/>
      <c r="H458" s="2" t="s">
        <v>312</v>
      </c>
      <c r="I458" s="2" t="s">
        <v>229</v>
      </c>
      <c r="J458" s="2" t="s">
        <v>19</v>
      </c>
      <c r="K458" s="2" t="s">
        <v>253</v>
      </c>
      <c r="L458" s="7" t="str">
        <f>HYPERLINK("http://slimages.macys.com/is/image/MCY/9489387 ")</f>
        <v xml:space="preserve">http://slimages.macys.com/is/image/MCY/9489387 </v>
      </c>
    </row>
    <row r="459" spans="1:12" ht="24.75" x14ac:dyDescent="0.25">
      <c r="A459" s="4" t="s">
        <v>12139</v>
      </c>
      <c r="B459" s="2" t="s">
        <v>12140</v>
      </c>
      <c r="C459" s="3">
        <v>1</v>
      </c>
      <c r="D459" s="5">
        <v>34.5</v>
      </c>
      <c r="E459" s="3">
        <v>100055652</v>
      </c>
      <c r="F459" s="2" t="s">
        <v>26</v>
      </c>
      <c r="G459" s="6" t="s">
        <v>22</v>
      </c>
      <c r="H459" s="2" t="s">
        <v>228</v>
      </c>
      <c r="I459" s="2" t="s">
        <v>857</v>
      </c>
      <c r="J459" s="2" t="s">
        <v>19</v>
      </c>
      <c r="K459" s="2" t="s">
        <v>929</v>
      </c>
      <c r="L459" s="7" t="str">
        <f>HYPERLINK("http://slimages.macys.com/is/image/MCY/12280032 ")</f>
        <v xml:space="preserve">http://slimages.macys.com/is/image/MCY/12280032 </v>
      </c>
    </row>
    <row r="460" spans="1:12" ht="24.75" x14ac:dyDescent="0.25">
      <c r="A460" s="4" t="s">
        <v>12141</v>
      </c>
      <c r="B460" s="2" t="s">
        <v>12140</v>
      </c>
      <c r="C460" s="3">
        <v>1</v>
      </c>
      <c r="D460" s="5">
        <v>34.5</v>
      </c>
      <c r="E460" s="3">
        <v>100055652</v>
      </c>
      <c r="F460" s="2" t="s">
        <v>26</v>
      </c>
      <c r="G460" s="6" t="s">
        <v>16</v>
      </c>
      <c r="H460" s="2" t="s">
        <v>228</v>
      </c>
      <c r="I460" s="2" t="s">
        <v>857</v>
      </c>
      <c r="J460" s="2" t="s">
        <v>19</v>
      </c>
      <c r="K460" s="2" t="s">
        <v>929</v>
      </c>
      <c r="L460" s="7" t="str">
        <f>HYPERLINK("http://slimages.macys.com/is/image/MCY/12280032 ")</f>
        <v xml:space="preserve">http://slimages.macys.com/is/image/MCY/12280032 </v>
      </c>
    </row>
    <row r="461" spans="1:12" ht="24.75" x14ac:dyDescent="0.25">
      <c r="A461" s="4" t="s">
        <v>12142</v>
      </c>
      <c r="B461" s="2" t="s">
        <v>12140</v>
      </c>
      <c r="C461" s="3">
        <v>1</v>
      </c>
      <c r="D461" s="5">
        <v>34.5</v>
      </c>
      <c r="E461" s="3">
        <v>100055652</v>
      </c>
      <c r="F461" s="2" t="s">
        <v>26</v>
      </c>
      <c r="G461" s="6" t="s">
        <v>27</v>
      </c>
      <c r="H461" s="2" t="s">
        <v>228</v>
      </c>
      <c r="I461" s="2" t="s">
        <v>857</v>
      </c>
      <c r="J461" s="2" t="s">
        <v>19</v>
      </c>
      <c r="K461" s="2" t="s">
        <v>929</v>
      </c>
      <c r="L461" s="7" t="str">
        <f>HYPERLINK("http://slimages.macys.com/is/image/MCY/12280032 ")</f>
        <v xml:space="preserve">http://slimages.macys.com/is/image/MCY/12280032 </v>
      </c>
    </row>
    <row r="462" spans="1:12" ht="24.75" x14ac:dyDescent="0.25">
      <c r="A462" s="4" t="s">
        <v>12143</v>
      </c>
      <c r="B462" s="2" t="s">
        <v>12144</v>
      </c>
      <c r="C462" s="3">
        <v>1</v>
      </c>
      <c r="D462" s="5">
        <v>34.5</v>
      </c>
      <c r="E462" s="3" t="s">
        <v>12145</v>
      </c>
      <c r="F462" s="2" t="s">
        <v>417</v>
      </c>
      <c r="G462" s="6" t="s">
        <v>934</v>
      </c>
      <c r="H462" s="2" t="s">
        <v>426</v>
      </c>
      <c r="I462" s="2" t="s">
        <v>857</v>
      </c>
      <c r="J462" s="2" t="s">
        <v>19</v>
      </c>
      <c r="K462" s="2" t="s">
        <v>338</v>
      </c>
      <c r="L462" s="7" t="str">
        <f>HYPERLINK("http://slimages.macys.com/is/image/MCY/10484300 ")</f>
        <v xml:space="preserve">http://slimages.macys.com/is/image/MCY/10484300 </v>
      </c>
    </row>
    <row r="463" spans="1:12" ht="24.75" x14ac:dyDescent="0.25">
      <c r="A463" s="4" t="s">
        <v>12146</v>
      </c>
      <c r="B463" s="2" t="s">
        <v>12147</v>
      </c>
      <c r="C463" s="3">
        <v>1</v>
      </c>
      <c r="D463" s="5">
        <v>29.63</v>
      </c>
      <c r="E463" s="3" t="s">
        <v>12148</v>
      </c>
      <c r="F463" s="2" t="s">
        <v>26</v>
      </c>
      <c r="G463" s="6" t="s">
        <v>234</v>
      </c>
      <c r="H463" s="2" t="s">
        <v>246</v>
      </c>
      <c r="I463" s="2" t="s">
        <v>189</v>
      </c>
      <c r="J463" s="2" t="s">
        <v>19</v>
      </c>
      <c r="K463" s="2" t="s">
        <v>4121</v>
      </c>
      <c r="L463" s="7" t="str">
        <f>HYPERLINK("http://slimages.macys.com/is/image/MCY/13941612 ")</f>
        <v xml:space="preserve">http://slimages.macys.com/is/image/MCY/13941612 </v>
      </c>
    </row>
    <row r="464" spans="1:12" ht="24.75" x14ac:dyDescent="0.25">
      <c r="A464" s="4" t="s">
        <v>12149</v>
      </c>
      <c r="B464" s="2" t="s">
        <v>10908</v>
      </c>
      <c r="C464" s="3">
        <v>1</v>
      </c>
      <c r="D464" s="5">
        <v>33.380000000000003</v>
      </c>
      <c r="E464" s="3" t="s">
        <v>10909</v>
      </c>
      <c r="F464" s="2" t="s">
        <v>132</v>
      </c>
      <c r="G464" s="6" t="s">
        <v>156</v>
      </c>
      <c r="H464" s="2" t="s">
        <v>246</v>
      </c>
      <c r="I464" s="2" t="s">
        <v>189</v>
      </c>
      <c r="J464" s="2" t="s">
        <v>19</v>
      </c>
      <c r="K464" s="2" t="s">
        <v>107</v>
      </c>
      <c r="L464" s="7" t="str">
        <f>HYPERLINK("http://slimages.macys.com/is/image/MCY/12928848 ")</f>
        <v xml:space="preserve">http://slimages.macys.com/is/image/MCY/12928848 </v>
      </c>
    </row>
    <row r="465" spans="1:12" ht="24.75" x14ac:dyDescent="0.25">
      <c r="A465" s="4" t="s">
        <v>12150</v>
      </c>
      <c r="B465" s="2" t="s">
        <v>12147</v>
      </c>
      <c r="C465" s="3">
        <v>1</v>
      </c>
      <c r="D465" s="5">
        <v>29.63</v>
      </c>
      <c r="E465" s="3" t="s">
        <v>12148</v>
      </c>
      <c r="F465" s="2" t="s">
        <v>26</v>
      </c>
      <c r="G465" s="6" t="s">
        <v>156</v>
      </c>
      <c r="H465" s="2" t="s">
        <v>246</v>
      </c>
      <c r="I465" s="2" t="s">
        <v>189</v>
      </c>
      <c r="J465" s="2" t="s">
        <v>19</v>
      </c>
      <c r="K465" s="2" t="s">
        <v>4121</v>
      </c>
      <c r="L465" s="7" t="str">
        <f>HYPERLINK("http://slimages.macys.com/is/image/MCY/13941612 ")</f>
        <v xml:space="preserve">http://slimages.macys.com/is/image/MCY/13941612 </v>
      </c>
    </row>
    <row r="466" spans="1:12" ht="24.75" x14ac:dyDescent="0.25">
      <c r="A466" s="4" t="s">
        <v>12151</v>
      </c>
      <c r="B466" s="2" t="s">
        <v>12147</v>
      </c>
      <c r="C466" s="3">
        <v>1</v>
      </c>
      <c r="D466" s="5">
        <v>33.380000000000003</v>
      </c>
      <c r="E466" s="3" t="s">
        <v>12148</v>
      </c>
      <c r="F466" s="2" t="s">
        <v>64</v>
      </c>
      <c r="G466" s="6" t="s">
        <v>245</v>
      </c>
      <c r="H466" s="2" t="s">
        <v>246</v>
      </c>
      <c r="I466" s="2" t="s">
        <v>189</v>
      </c>
      <c r="J466" s="2" t="s">
        <v>19</v>
      </c>
      <c r="K466" s="2" t="s">
        <v>4121</v>
      </c>
      <c r="L466" s="7" t="str">
        <f>HYPERLINK("http://slimages.macys.com/is/image/MCY/13941612 ")</f>
        <v xml:space="preserve">http://slimages.macys.com/is/image/MCY/13941612 </v>
      </c>
    </row>
    <row r="467" spans="1:12" ht="24.75" x14ac:dyDescent="0.25">
      <c r="A467" s="4" t="s">
        <v>4921</v>
      </c>
      <c r="B467" s="2" t="s">
        <v>4922</v>
      </c>
      <c r="C467" s="3">
        <v>1</v>
      </c>
      <c r="D467" s="5">
        <v>44.63</v>
      </c>
      <c r="E467" s="3">
        <v>100047681</v>
      </c>
      <c r="F467" s="2" t="s">
        <v>74</v>
      </c>
      <c r="G467" s="6" t="s">
        <v>156</v>
      </c>
      <c r="H467" s="2" t="s">
        <v>194</v>
      </c>
      <c r="I467" s="2" t="s">
        <v>195</v>
      </c>
      <c r="J467" s="2" t="s">
        <v>19</v>
      </c>
      <c r="K467" s="2" t="s">
        <v>247</v>
      </c>
      <c r="L467" s="7" t="str">
        <f>HYPERLINK("http://slimages.macys.com/is/image/MCY/11935520 ")</f>
        <v xml:space="preserve">http://slimages.macys.com/is/image/MCY/11935520 </v>
      </c>
    </row>
    <row r="468" spans="1:12" ht="24.75" x14ac:dyDescent="0.25">
      <c r="A468" s="4" t="s">
        <v>1303</v>
      </c>
      <c r="B468" s="2" t="s">
        <v>1279</v>
      </c>
      <c r="C468" s="3">
        <v>3</v>
      </c>
      <c r="D468" s="5">
        <v>27.99</v>
      </c>
      <c r="E468" s="3" t="s">
        <v>1286</v>
      </c>
      <c r="F468" s="2" t="s">
        <v>506</v>
      </c>
      <c r="G468" s="6" t="s">
        <v>234</v>
      </c>
      <c r="H468" s="2" t="s">
        <v>194</v>
      </c>
      <c r="I468" s="2" t="s">
        <v>919</v>
      </c>
      <c r="J468" s="2" t="s">
        <v>19</v>
      </c>
      <c r="K468" s="2" t="s">
        <v>409</v>
      </c>
      <c r="L468" s="7" t="str">
        <f>HYPERLINK("http://slimages.macys.com/is/image/MCY/8185331 ")</f>
        <v xml:space="preserve">http://slimages.macys.com/is/image/MCY/8185331 </v>
      </c>
    </row>
    <row r="469" spans="1:12" ht="24.75" x14ac:dyDescent="0.25">
      <c r="A469" s="4" t="s">
        <v>1285</v>
      </c>
      <c r="B469" s="2" t="s">
        <v>1279</v>
      </c>
      <c r="C469" s="3">
        <v>1</v>
      </c>
      <c r="D469" s="5">
        <v>27.99</v>
      </c>
      <c r="E469" s="3" t="s">
        <v>1286</v>
      </c>
      <c r="F469" s="2" t="s">
        <v>506</v>
      </c>
      <c r="G469" s="6" t="s">
        <v>154</v>
      </c>
      <c r="H469" s="2" t="s">
        <v>194</v>
      </c>
      <c r="I469" s="2" t="s">
        <v>919</v>
      </c>
      <c r="J469" s="2" t="s">
        <v>19</v>
      </c>
      <c r="K469" s="2" t="s">
        <v>409</v>
      </c>
      <c r="L469" s="7" t="str">
        <f>HYPERLINK("http://slimages.macys.com/is/image/MCY/8185331 ")</f>
        <v xml:space="preserve">http://slimages.macys.com/is/image/MCY/8185331 </v>
      </c>
    </row>
    <row r="470" spans="1:12" ht="24.75" x14ac:dyDescent="0.25">
      <c r="A470" s="4" t="s">
        <v>1287</v>
      </c>
      <c r="B470" s="2" t="s">
        <v>1279</v>
      </c>
      <c r="C470" s="3">
        <v>1</v>
      </c>
      <c r="D470" s="5">
        <v>27.99</v>
      </c>
      <c r="E470" s="3" t="s">
        <v>1280</v>
      </c>
      <c r="F470" s="2" t="s">
        <v>566</v>
      </c>
      <c r="G470" s="6"/>
      <c r="H470" s="2" t="s">
        <v>312</v>
      </c>
      <c r="I470" s="2" t="s">
        <v>1112</v>
      </c>
      <c r="J470" s="2" t="s">
        <v>19</v>
      </c>
      <c r="K470" s="2" t="s">
        <v>409</v>
      </c>
      <c r="L470" s="7" t="str">
        <f>HYPERLINK("http://slimages.macys.com/is/image/MCY/3832970 ")</f>
        <v xml:space="preserve">http://slimages.macys.com/is/image/MCY/3832970 </v>
      </c>
    </row>
    <row r="471" spans="1:12" ht="24.75" x14ac:dyDescent="0.25">
      <c r="A471" s="4" t="s">
        <v>12152</v>
      </c>
      <c r="B471" s="2" t="s">
        <v>12153</v>
      </c>
      <c r="C471" s="3">
        <v>1</v>
      </c>
      <c r="D471" s="5">
        <v>48</v>
      </c>
      <c r="E471" s="3" t="s">
        <v>12154</v>
      </c>
      <c r="F471" s="2" t="s">
        <v>911</v>
      </c>
      <c r="G471" s="6" t="s">
        <v>234</v>
      </c>
      <c r="H471" s="2" t="s">
        <v>10225</v>
      </c>
      <c r="I471" s="2" t="s">
        <v>10226</v>
      </c>
      <c r="J471" s="2" t="s">
        <v>19</v>
      </c>
      <c r="K471" s="2" t="s">
        <v>34</v>
      </c>
      <c r="L471" s="7" t="str">
        <f>HYPERLINK("http://slimages.macys.com/is/image/MCY/14739275 ")</f>
        <v xml:space="preserve">http://slimages.macys.com/is/image/MCY/14739275 </v>
      </c>
    </row>
    <row r="472" spans="1:12" ht="24.75" x14ac:dyDescent="0.25">
      <c r="A472" s="4" t="s">
        <v>12155</v>
      </c>
      <c r="B472" s="2" t="s">
        <v>10913</v>
      </c>
      <c r="C472" s="3">
        <v>1</v>
      </c>
      <c r="D472" s="5">
        <v>48</v>
      </c>
      <c r="E472" s="3" t="s">
        <v>10914</v>
      </c>
      <c r="F472" s="2" t="s">
        <v>125</v>
      </c>
      <c r="G472" s="6"/>
      <c r="H472" s="2" t="s">
        <v>447</v>
      </c>
      <c r="I472" s="2" t="s">
        <v>10806</v>
      </c>
      <c r="J472" s="2"/>
      <c r="K472" s="2"/>
      <c r="L472" s="7" t="str">
        <f>HYPERLINK("http://slimages.macys.com/is/image/MCY/8853254 ")</f>
        <v xml:space="preserve">http://slimages.macys.com/is/image/MCY/8853254 </v>
      </c>
    </row>
    <row r="473" spans="1:12" ht="24.75" x14ac:dyDescent="0.25">
      <c r="A473" s="4" t="s">
        <v>12156</v>
      </c>
      <c r="B473" s="2" t="s">
        <v>8160</v>
      </c>
      <c r="C473" s="3">
        <v>1</v>
      </c>
      <c r="D473" s="5">
        <v>34.99</v>
      </c>
      <c r="E473" s="3" t="s">
        <v>8161</v>
      </c>
      <c r="F473" s="2" t="s">
        <v>111</v>
      </c>
      <c r="G473" s="6"/>
      <c r="H473" s="2" t="s">
        <v>312</v>
      </c>
      <c r="I473" s="2" t="s">
        <v>195</v>
      </c>
      <c r="J473" s="2" t="s">
        <v>19</v>
      </c>
      <c r="K473" s="2" t="s">
        <v>247</v>
      </c>
      <c r="L473" s="7" t="str">
        <f>HYPERLINK("http://slimages.macys.com/is/image/MCY/9108604 ")</f>
        <v xml:space="preserve">http://slimages.macys.com/is/image/MCY/9108604 </v>
      </c>
    </row>
    <row r="474" spans="1:12" ht="24.75" x14ac:dyDescent="0.25">
      <c r="A474" s="4" t="s">
        <v>1288</v>
      </c>
      <c r="B474" s="2" t="s">
        <v>1279</v>
      </c>
      <c r="C474" s="3">
        <v>1</v>
      </c>
      <c r="D474" s="5">
        <v>27.99</v>
      </c>
      <c r="E474" s="3" t="s">
        <v>1280</v>
      </c>
      <c r="F474" s="2" t="s">
        <v>566</v>
      </c>
      <c r="G474" s="6"/>
      <c r="H474" s="2" t="s">
        <v>312</v>
      </c>
      <c r="I474" s="2" t="s">
        <v>1112</v>
      </c>
      <c r="J474" s="2" t="s">
        <v>19</v>
      </c>
      <c r="K474" s="2" t="s">
        <v>409</v>
      </c>
      <c r="L474" s="7" t="str">
        <f>HYPERLINK("http://slimages.macys.com/is/image/MCY/3832970 ")</f>
        <v xml:space="preserve">http://slimages.macys.com/is/image/MCY/3832970 </v>
      </c>
    </row>
    <row r="475" spans="1:12" ht="24.75" x14ac:dyDescent="0.25">
      <c r="A475" s="4" t="s">
        <v>1289</v>
      </c>
      <c r="B475" s="2" t="s">
        <v>1279</v>
      </c>
      <c r="C475" s="3">
        <v>1</v>
      </c>
      <c r="D475" s="5">
        <v>27.99</v>
      </c>
      <c r="E475" s="3" t="s">
        <v>1280</v>
      </c>
      <c r="F475" s="2" t="s">
        <v>566</v>
      </c>
      <c r="G475" s="6"/>
      <c r="H475" s="2" t="s">
        <v>312</v>
      </c>
      <c r="I475" s="2" t="s">
        <v>1112</v>
      </c>
      <c r="J475" s="2" t="s">
        <v>19</v>
      </c>
      <c r="K475" s="2" t="s">
        <v>409</v>
      </c>
      <c r="L475" s="7" t="str">
        <f>HYPERLINK("http://slimages.macys.com/is/image/MCY/3832970 ")</f>
        <v xml:space="preserve">http://slimages.macys.com/is/image/MCY/3832970 </v>
      </c>
    </row>
    <row r="476" spans="1:12" ht="24.75" x14ac:dyDescent="0.25">
      <c r="A476" s="4" t="s">
        <v>1298</v>
      </c>
      <c r="B476" s="2" t="s">
        <v>1279</v>
      </c>
      <c r="C476" s="3">
        <v>1</v>
      </c>
      <c r="D476" s="5">
        <v>27.99</v>
      </c>
      <c r="E476" s="3" t="s">
        <v>1286</v>
      </c>
      <c r="F476" s="2" t="s">
        <v>506</v>
      </c>
      <c r="G476" s="6" t="s">
        <v>200</v>
      </c>
      <c r="H476" s="2" t="s">
        <v>194</v>
      </c>
      <c r="I476" s="2" t="s">
        <v>919</v>
      </c>
      <c r="J476" s="2" t="s">
        <v>19</v>
      </c>
      <c r="K476" s="2" t="s">
        <v>409</v>
      </c>
      <c r="L476" s="7" t="str">
        <f>HYPERLINK("http://slimages.macys.com/is/image/MCY/8185331 ")</f>
        <v xml:space="preserve">http://slimages.macys.com/is/image/MCY/8185331 </v>
      </c>
    </row>
    <row r="477" spans="1:12" ht="24.75" x14ac:dyDescent="0.25">
      <c r="A477" s="4" t="s">
        <v>1299</v>
      </c>
      <c r="B477" s="2" t="s">
        <v>1279</v>
      </c>
      <c r="C477" s="3">
        <v>1</v>
      </c>
      <c r="D477" s="5">
        <v>27.99</v>
      </c>
      <c r="E477" s="3" t="s">
        <v>1286</v>
      </c>
      <c r="F477" s="2" t="s">
        <v>506</v>
      </c>
      <c r="G477" s="6" t="s">
        <v>156</v>
      </c>
      <c r="H477" s="2" t="s">
        <v>194</v>
      </c>
      <c r="I477" s="2" t="s">
        <v>919</v>
      </c>
      <c r="J477" s="2" t="s">
        <v>19</v>
      </c>
      <c r="K477" s="2" t="s">
        <v>409</v>
      </c>
      <c r="L477" s="7" t="str">
        <f>HYPERLINK("http://slimages.macys.com/is/image/MCY/8185331 ")</f>
        <v xml:space="preserve">http://slimages.macys.com/is/image/MCY/8185331 </v>
      </c>
    </row>
    <row r="478" spans="1:12" ht="24.75" x14ac:dyDescent="0.25">
      <c r="A478" s="4" t="s">
        <v>12157</v>
      </c>
      <c r="B478" s="2" t="s">
        <v>12158</v>
      </c>
      <c r="C478" s="3">
        <v>1</v>
      </c>
      <c r="D478" s="5">
        <v>48</v>
      </c>
      <c r="E478" s="3" t="s">
        <v>12159</v>
      </c>
      <c r="F478" s="2" t="s">
        <v>26</v>
      </c>
      <c r="G478" s="6" t="s">
        <v>154</v>
      </c>
      <c r="H478" s="2" t="s">
        <v>10225</v>
      </c>
      <c r="I478" s="2" t="s">
        <v>10226</v>
      </c>
      <c r="J478" s="2" t="s">
        <v>19</v>
      </c>
      <c r="K478" s="2" t="s">
        <v>201</v>
      </c>
      <c r="L478" s="7" t="str">
        <f>HYPERLINK("http://slimages.macys.com/is/image/MCY/14739273 ")</f>
        <v xml:space="preserve">http://slimages.macys.com/is/image/MCY/14739273 </v>
      </c>
    </row>
    <row r="479" spans="1:12" x14ac:dyDescent="0.25">
      <c r="A479" s="4" t="s">
        <v>12160</v>
      </c>
      <c r="B479" s="2" t="s">
        <v>9584</v>
      </c>
      <c r="C479" s="3">
        <v>1</v>
      </c>
      <c r="D479" s="5">
        <v>32.700000000000003</v>
      </c>
      <c r="E479" s="3" t="s">
        <v>9585</v>
      </c>
      <c r="F479" s="2" t="s">
        <v>74</v>
      </c>
      <c r="G479" s="6" t="s">
        <v>154</v>
      </c>
      <c r="H479" s="2" t="s">
        <v>182</v>
      </c>
      <c r="I479" s="2" t="s">
        <v>183</v>
      </c>
      <c r="J479" s="2" t="s">
        <v>19</v>
      </c>
      <c r="K479" s="2" t="s">
        <v>422</v>
      </c>
      <c r="L479" s="7" t="str">
        <f>HYPERLINK("http://slimages.macys.com/is/image/MCY/15136025 ")</f>
        <v xml:space="preserve">http://slimages.macys.com/is/image/MCY/15136025 </v>
      </c>
    </row>
    <row r="480" spans="1:12" ht="24.75" x14ac:dyDescent="0.25">
      <c r="A480" s="4" t="s">
        <v>12161</v>
      </c>
      <c r="B480" s="2" t="s">
        <v>12162</v>
      </c>
      <c r="C480" s="3">
        <v>1</v>
      </c>
      <c r="D480" s="5">
        <v>21.99</v>
      </c>
      <c r="E480" s="3" t="s">
        <v>12163</v>
      </c>
      <c r="F480" s="2" t="s">
        <v>752</v>
      </c>
      <c r="G480" s="6" t="s">
        <v>802</v>
      </c>
      <c r="H480" s="2" t="s">
        <v>312</v>
      </c>
      <c r="I480" s="2" t="s">
        <v>195</v>
      </c>
      <c r="J480" s="2" t="s">
        <v>19</v>
      </c>
      <c r="K480" s="2" t="s">
        <v>353</v>
      </c>
      <c r="L480" s="7" t="str">
        <f>HYPERLINK("http://slimages.macys.com/is/image/MCY/16058397 ")</f>
        <v xml:space="preserve">http://slimages.macys.com/is/image/MCY/16058397 </v>
      </c>
    </row>
    <row r="481" spans="1:12" ht="24.75" x14ac:dyDescent="0.25">
      <c r="A481" s="4" t="s">
        <v>12164</v>
      </c>
      <c r="B481" s="2" t="s">
        <v>12162</v>
      </c>
      <c r="C481" s="3">
        <v>1</v>
      </c>
      <c r="D481" s="5">
        <v>21.99</v>
      </c>
      <c r="E481" s="3" t="s">
        <v>12163</v>
      </c>
      <c r="F481" s="2" t="s">
        <v>752</v>
      </c>
      <c r="G481" s="6" t="s">
        <v>238</v>
      </c>
      <c r="H481" s="2" t="s">
        <v>312</v>
      </c>
      <c r="I481" s="2" t="s">
        <v>195</v>
      </c>
      <c r="J481" s="2" t="s">
        <v>19</v>
      </c>
      <c r="K481" s="2" t="s">
        <v>353</v>
      </c>
      <c r="L481" s="7" t="str">
        <f>HYPERLINK("http://slimages.macys.com/is/image/MCY/16058397 ")</f>
        <v xml:space="preserve">http://slimages.macys.com/is/image/MCY/16058397 </v>
      </c>
    </row>
    <row r="482" spans="1:12" ht="24.75" x14ac:dyDescent="0.25">
      <c r="A482" s="4" t="s">
        <v>12165</v>
      </c>
      <c r="B482" s="2" t="s">
        <v>12162</v>
      </c>
      <c r="C482" s="3">
        <v>2</v>
      </c>
      <c r="D482" s="5">
        <v>21.99</v>
      </c>
      <c r="E482" s="3" t="s">
        <v>12163</v>
      </c>
      <c r="F482" s="2" t="s">
        <v>752</v>
      </c>
      <c r="G482" s="6" t="s">
        <v>165</v>
      </c>
      <c r="H482" s="2" t="s">
        <v>312</v>
      </c>
      <c r="I482" s="2" t="s">
        <v>195</v>
      </c>
      <c r="J482" s="2" t="s">
        <v>19</v>
      </c>
      <c r="K482" s="2" t="s">
        <v>353</v>
      </c>
      <c r="L482" s="7" t="str">
        <f>HYPERLINK("http://slimages.macys.com/is/image/MCY/16058397 ")</f>
        <v xml:space="preserve">http://slimages.macys.com/is/image/MCY/16058397 </v>
      </c>
    </row>
    <row r="483" spans="1:12" ht="24.75" x14ac:dyDescent="0.25">
      <c r="A483" s="4" t="s">
        <v>12166</v>
      </c>
      <c r="B483" s="2" t="s">
        <v>1416</v>
      </c>
      <c r="C483" s="3">
        <v>1</v>
      </c>
      <c r="D483" s="5">
        <v>21.99</v>
      </c>
      <c r="E483" s="3" t="s">
        <v>3842</v>
      </c>
      <c r="F483" s="2" t="s">
        <v>74</v>
      </c>
      <c r="G483" s="6" t="s">
        <v>336</v>
      </c>
      <c r="H483" s="2" t="s">
        <v>312</v>
      </c>
      <c r="I483" s="2" t="s">
        <v>195</v>
      </c>
      <c r="J483" s="2" t="s">
        <v>19</v>
      </c>
      <c r="K483" s="2" t="s">
        <v>353</v>
      </c>
      <c r="L483" s="7" t="str">
        <f>HYPERLINK("http://slimages.macys.com/is/image/MCY/16058397 ")</f>
        <v xml:space="preserve">http://slimages.macys.com/is/image/MCY/16058397 </v>
      </c>
    </row>
    <row r="484" spans="1:12" ht="24.75" x14ac:dyDescent="0.25">
      <c r="A484" s="4" t="s">
        <v>12167</v>
      </c>
      <c r="B484" s="2" t="s">
        <v>12162</v>
      </c>
      <c r="C484" s="3">
        <v>2</v>
      </c>
      <c r="D484" s="5">
        <v>21.99</v>
      </c>
      <c r="E484" s="3" t="s">
        <v>12163</v>
      </c>
      <c r="F484" s="2" t="s">
        <v>752</v>
      </c>
      <c r="G484" s="6" t="s">
        <v>336</v>
      </c>
      <c r="H484" s="2" t="s">
        <v>312</v>
      </c>
      <c r="I484" s="2" t="s">
        <v>195</v>
      </c>
      <c r="J484" s="2" t="s">
        <v>19</v>
      </c>
      <c r="K484" s="2" t="s">
        <v>353</v>
      </c>
      <c r="L484" s="7" t="str">
        <f>HYPERLINK("http://slimages.macys.com/is/image/MCY/16058397 ")</f>
        <v xml:space="preserve">http://slimages.macys.com/is/image/MCY/16058397 </v>
      </c>
    </row>
    <row r="485" spans="1:12" ht="24.75" x14ac:dyDescent="0.25">
      <c r="A485" s="4" t="s">
        <v>12168</v>
      </c>
      <c r="B485" s="2" t="s">
        <v>2486</v>
      </c>
      <c r="C485" s="3">
        <v>1</v>
      </c>
      <c r="D485" s="5">
        <v>44.63</v>
      </c>
      <c r="E485" s="3" t="s">
        <v>2487</v>
      </c>
      <c r="F485" s="2" t="s">
        <v>413</v>
      </c>
      <c r="G485" s="6" t="s">
        <v>106</v>
      </c>
      <c r="H485" s="2" t="s">
        <v>246</v>
      </c>
      <c r="I485" s="2" t="s">
        <v>487</v>
      </c>
      <c r="J485" s="2" t="s">
        <v>19</v>
      </c>
      <c r="K485" s="2" t="s">
        <v>409</v>
      </c>
      <c r="L485" s="7" t="str">
        <f>HYPERLINK("http://slimages.macys.com/is/image/MCY/11699445 ")</f>
        <v xml:space="preserve">http://slimages.macys.com/is/image/MCY/11699445 </v>
      </c>
    </row>
    <row r="486" spans="1:12" ht="24.75" x14ac:dyDescent="0.25">
      <c r="A486" s="4" t="s">
        <v>12169</v>
      </c>
      <c r="B486" s="2" t="s">
        <v>10916</v>
      </c>
      <c r="C486" s="3">
        <v>1</v>
      </c>
      <c r="D486" s="5">
        <v>29.63</v>
      </c>
      <c r="E486" s="3" t="s">
        <v>10917</v>
      </c>
      <c r="F486" s="2" t="s">
        <v>1914</v>
      </c>
      <c r="G486" s="6" t="s">
        <v>156</v>
      </c>
      <c r="H486" s="2" t="s">
        <v>194</v>
      </c>
      <c r="I486" s="2" t="s">
        <v>195</v>
      </c>
      <c r="J486" s="2" t="s">
        <v>19</v>
      </c>
      <c r="K486" s="2" t="s">
        <v>247</v>
      </c>
      <c r="L486" s="7" t="str">
        <f>HYPERLINK("http://slimages.macys.com/is/image/MCY/12850789 ")</f>
        <v xml:space="preserve">http://slimages.macys.com/is/image/MCY/12850789 </v>
      </c>
    </row>
    <row r="487" spans="1:12" ht="24.75" x14ac:dyDescent="0.25">
      <c r="A487" s="4" t="s">
        <v>7461</v>
      </c>
      <c r="B487" s="2" t="s">
        <v>7462</v>
      </c>
      <c r="C487" s="3">
        <v>1</v>
      </c>
      <c r="D487" s="5">
        <v>32.5</v>
      </c>
      <c r="E487" s="3" t="s">
        <v>7463</v>
      </c>
      <c r="F487" s="2" t="s">
        <v>74</v>
      </c>
      <c r="G487" s="6"/>
      <c r="H487" s="2" t="s">
        <v>312</v>
      </c>
      <c r="I487" s="2" t="s">
        <v>195</v>
      </c>
      <c r="J487" s="2" t="s">
        <v>19</v>
      </c>
      <c r="K487" s="2" t="s">
        <v>1082</v>
      </c>
      <c r="L487" s="7" t="str">
        <f>HYPERLINK("http://slimages.macys.com/is/image/MCY/9742327 ")</f>
        <v xml:space="preserve">http://slimages.macys.com/is/image/MCY/9742327 </v>
      </c>
    </row>
    <row r="488" spans="1:12" ht="24.75" x14ac:dyDescent="0.25">
      <c r="A488" s="4" t="s">
        <v>12170</v>
      </c>
      <c r="B488" s="2" t="s">
        <v>1307</v>
      </c>
      <c r="C488" s="3">
        <v>1</v>
      </c>
      <c r="D488" s="5">
        <v>33.380000000000003</v>
      </c>
      <c r="E488" s="3" t="s">
        <v>12171</v>
      </c>
      <c r="F488" s="2" t="s">
        <v>193</v>
      </c>
      <c r="G488" s="6"/>
      <c r="H488" s="2" t="s">
        <v>312</v>
      </c>
      <c r="I488" s="2" t="s">
        <v>195</v>
      </c>
      <c r="J488" s="2" t="s">
        <v>19</v>
      </c>
      <c r="K488" s="2" t="s">
        <v>12172</v>
      </c>
      <c r="L488" s="7" t="str">
        <f>HYPERLINK("http://slimages.macys.com/is/image/MCY/12950207 ")</f>
        <v xml:space="preserve">http://slimages.macys.com/is/image/MCY/12950207 </v>
      </c>
    </row>
    <row r="489" spans="1:12" ht="24.75" x14ac:dyDescent="0.25">
      <c r="A489" s="4" t="s">
        <v>12173</v>
      </c>
      <c r="B489" s="2" t="s">
        <v>1307</v>
      </c>
      <c r="C489" s="3">
        <v>1</v>
      </c>
      <c r="D489" s="5">
        <v>33.380000000000003</v>
      </c>
      <c r="E489" s="3" t="s">
        <v>12171</v>
      </c>
      <c r="F489" s="2" t="s">
        <v>193</v>
      </c>
      <c r="G489" s="6"/>
      <c r="H489" s="2" t="s">
        <v>312</v>
      </c>
      <c r="I489" s="2" t="s">
        <v>195</v>
      </c>
      <c r="J489" s="2" t="s">
        <v>19</v>
      </c>
      <c r="K489" s="2" t="s">
        <v>12172</v>
      </c>
      <c r="L489" s="7" t="str">
        <f>HYPERLINK("http://slimages.macys.com/is/image/MCY/12950207 ")</f>
        <v xml:space="preserve">http://slimages.macys.com/is/image/MCY/12950207 </v>
      </c>
    </row>
    <row r="490" spans="1:12" ht="24.75" x14ac:dyDescent="0.25">
      <c r="A490" s="4" t="s">
        <v>12174</v>
      </c>
      <c r="B490" s="2" t="s">
        <v>12175</v>
      </c>
      <c r="C490" s="3">
        <v>1</v>
      </c>
      <c r="D490" s="5">
        <v>37.130000000000003</v>
      </c>
      <c r="E490" s="3" t="s">
        <v>12176</v>
      </c>
      <c r="F490" s="2" t="s">
        <v>15</v>
      </c>
      <c r="G490" s="6" t="s">
        <v>200</v>
      </c>
      <c r="H490" s="2" t="s">
        <v>194</v>
      </c>
      <c r="I490" s="2" t="s">
        <v>195</v>
      </c>
      <c r="J490" s="2" t="s">
        <v>19</v>
      </c>
      <c r="K490" s="2" t="s">
        <v>247</v>
      </c>
      <c r="L490" s="7" t="str">
        <f>HYPERLINK("http://slimages.macys.com/is/image/MCY/12063852 ")</f>
        <v xml:space="preserve">http://slimages.macys.com/is/image/MCY/12063852 </v>
      </c>
    </row>
    <row r="491" spans="1:12" ht="24.75" x14ac:dyDescent="0.25">
      <c r="A491" s="4" t="s">
        <v>12177</v>
      </c>
      <c r="B491" s="2" t="s">
        <v>3864</v>
      </c>
      <c r="C491" s="3">
        <v>1</v>
      </c>
      <c r="D491" s="5">
        <v>24.99</v>
      </c>
      <c r="E491" s="3" t="s">
        <v>12178</v>
      </c>
      <c r="F491" s="2" t="s">
        <v>111</v>
      </c>
      <c r="G491" s="6" t="s">
        <v>4723</v>
      </c>
      <c r="H491" s="2" t="s">
        <v>228</v>
      </c>
      <c r="I491" s="2" t="s">
        <v>863</v>
      </c>
      <c r="J491" s="2" t="s">
        <v>19</v>
      </c>
      <c r="K491" s="2" t="s">
        <v>253</v>
      </c>
      <c r="L491" s="7" t="str">
        <f>HYPERLINK("http://slimages.macys.com/is/image/MCY/8185688 ")</f>
        <v xml:space="preserve">http://slimages.macys.com/is/image/MCY/8185688 </v>
      </c>
    </row>
    <row r="492" spans="1:12" ht="24.75" x14ac:dyDescent="0.25">
      <c r="A492" s="4" t="s">
        <v>12179</v>
      </c>
      <c r="B492" s="2" t="s">
        <v>1330</v>
      </c>
      <c r="C492" s="3">
        <v>1</v>
      </c>
      <c r="D492" s="5">
        <v>37.130000000000003</v>
      </c>
      <c r="E492" s="3" t="s">
        <v>1331</v>
      </c>
      <c r="F492" s="2" t="s">
        <v>74</v>
      </c>
      <c r="G492" s="6" t="s">
        <v>245</v>
      </c>
      <c r="H492" s="2" t="s">
        <v>194</v>
      </c>
      <c r="I492" s="2" t="s">
        <v>195</v>
      </c>
      <c r="J492" s="2" t="s">
        <v>19</v>
      </c>
      <c r="K492" s="2" t="s">
        <v>247</v>
      </c>
      <c r="L492" s="7" t="str">
        <f>HYPERLINK("http://slimages.macys.com/is/image/MCY/10889638 ")</f>
        <v xml:space="preserve">http://slimages.macys.com/is/image/MCY/10889638 </v>
      </c>
    </row>
    <row r="493" spans="1:12" ht="24.75" x14ac:dyDescent="0.25">
      <c r="A493" s="4" t="s">
        <v>6623</v>
      </c>
      <c r="B493" s="2" t="s">
        <v>1330</v>
      </c>
      <c r="C493" s="3">
        <v>1</v>
      </c>
      <c r="D493" s="5">
        <v>37.130000000000003</v>
      </c>
      <c r="E493" s="3" t="s">
        <v>1331</v>
      </c>
      <c r="F493" s="2" t="s">
        <v>74</v>
      </c>
      <c r="G493" s="6" t="s">
        <v>156</v>
      </c>
      <c r="H493" s="2" t="s">
        <v>194</v>
      </c>
      <c r="I493" s="2" t="s">
        <v>195</v>
      </c>
      <c r="J493" s="2" t="s">
        <v>19</v>
      </c>
      <c r="K493" s="2" t="s">
        <v>247</v>
      </c>
      <c r="L493" s="7" t="str">
        <f>HYPERLINK("http://slimages.macys.com/is/image/MCY/10889638 ")</f>
        <v xml:space="preserve">http://slimages.macys.com/is/image/MCY/10889638 </v>
      </c>
    </row>
    <row r="494" spans="1:12" ht="24.75" x14ac:dyDescent="0.25">
      <c r="A494" s="4" t="s">
        <v>1336</v>
      </c>
      <c r="B494" s="2" t="s">
        <v>1330</v>
      </c>
      <c r="C494" s="3">
        <v>1</v>
      </c>
      <c r="D494" s="5">
        <v>37.130000000000003</v>
      </c>
      <c r="E494" s="3" t="s">
        <v>1331</v>
      </c>
      <c r="F494" s="2" t="s">
        <v>74</v>
      </c>
      <c r="G494" s="6" t="s">
        <v>234</v>
      </c>
      <c r="H494" s="2" t="s">
        <v>194</v>
      </c>
      <c r="I494" s="2" t="s">
        <v>195</v>
      </c>
      <c r="J494" s="2" t="s">
        <v>19</v>
      </c>
      <c r="K494" s="2" t="s">
        <v>247</v>
      </c>
      <c r="L494" s="7" t="str">
        <f>HYPERLINK("http://slimages.macys.com/is/image/MCY/10889638 ")</f>
        <v xml:space="preserve">http://slimages.macys.com/is/image/MCY/10889638 </v>
      </c>
    </row>
    <row r="495" spans="1:12" ht="48.75" x14ac:dyDescent="0.25">
      <c r="A495" s="4" t="s">
        <v>12180</v>
      </c>
      <c r="B495" s="2" t="s">
        <v>984</v>
      </c>
      <c r="C495" s="3">
        <v>1</v>
      </c>
      <c r="D495" s="5">
        <v>44.63</v>
      </c>
      <c r="E495" s="3" t="s">
        <v>985</v>
      </c>
      <c r="F495" s="2" t="s">
        <v>89</v>
      </c>
      <c r="G495" s="6" t="s">
        <v>141</v>
      </c>
      <c r="H495" s="2" t="s">
        <v>246</v>
      </c>
      <c r="I495" s="2" t="s">
        <v>487</v>
      </c>
      <c r="J495" s="2" t="s">
        <v>19</v>
      </c>
      <c r="K495" s="2" t="s">
        <v>787</v>
      </c>
      <c r="L495" s="7" t="str">
        <f>HYPERLINK("http://slimages.macys.com/is/image/MCY/11808679 ")</f>
        <v xml:space="preserve">http://slimages.macys.com/is/image/MCY/11808679 </v>
      </c>
    </row>
    <row r="496" spans="1:12" ht="48.75" x14ac:dyDescent="0.25">
      <c r="A496" s="4" t="s">
        <v>12181</v>
      </c>
      <c r="B496" s="2" t="s">
        <v>984</v>
      </c>
      <c r="C496" s="3">
        <v>1</v>
      </c>
      <c r="D496" s="5">
        <v>44.63</v>
      </c>
      <c r="E496" s="3" t="s">
        <v>985</v>
      </c>
      <c r="F496" s="2" t="s">
        <v>57</v>
      </c>
      <c r="G496" s="6" t="s">
        <v>27</v>
      </c>
      <c r="H496" s="2" t="s">
        <v>246</v>
      </c>
      <c r="I496" s="2" t="s">
        <v>487</v>
      </c>
      <c r="J496" s="2" t="s">
        <v>19</v>
      </c>
      <c r="K496" s="2" t="s">
        <v>787</v>
      </c>
      <c r="L496" s="7" t="str">
        <f>HYPERLINK("http://slimages.macys.com/is/image/MCY/11808679 ")</f>
        <v xml:space="preserve">http://slimages.macys.com/is/image/MCY/11808679 </v>
      </c>
    </row>
    <row r="497" spans="1:12" ht="48.75" x14ac:dyDescent="0.25">
      <c r="A497" s="4" t="s">
        <v>12182</v>
      </c>
      <c r="B497" s="2" t="s">
        <v>984</v>
      </c>
      <c r="C497" s="3">
        <v>1</v>
      </c>
      <c r="D497" s="5">
        <v>44.63</v>
      </c>
      <c r="E497" s="3" t="s">
        <v>985</v>
      </c>
      <c r="F497" s="2" t="s">
        <v>132</v>
      </c>
      <c r="G497" s="6" t="s">
        <v>27</v>
      </c>
      <c r="H497" s="2" t="s">
        <v>246</v>
      </c>
      <c r="I497" s="2" t="s">
        <v>487</v>
      </c>
      <c r="J497" s="2" t="s">
        <v>19</v>
      </c>
      <c r="K497" s="2" t="s">
        <v>787</v>
      </c>
      <c r="L497" s="7" t="str">
        <f>HYPERLINK("http://slimages.macys.com/is/image/MCY/11808679 ")</f>
        <v xml:space="preserve">http://slimages.macys.com/is/image/MCY/11808679 </v>
      </c>
    </row>
    <row r="498" spans="1:12" ht="48.75" x14ac:dyDescent="0.25">
      <c r="A498" s="4" t="s">
        <v>10931</v>
      </c>
      <c r="B498" s="2" t="s">
        <v>984</v>
      </c>
      <c r="C498" s="3">
        <v>1</v>
      </c>
      <c r="D498" s="5">
        <v>44.63</v>
      </c>
      <c r="E498" s="3" t="s">
        <v>985</v>
      </c>
      <c r="F498" s="2" t="s">
        <v>331</v>
      </c>
      <c r="G498" s="6" t="s">
        <v>106</v>
      </c>
      <c r="H498" s="2" t="s">
        <v>246</v>
      </c>
      <c r="I498" s="2" t="s">
        <v>487</v>
      </c>
      <c r="J498" s="2" t="s">
        <v>19</v>
      </c>
      <c r="K498" s="2" t="s">
        <v>787</v>
      </c>
      <c r="L498" s="7" t="str">
        <f>HYPERLINK("http://slimages.macys.com/is/image/MCY/11808679 ")</f>
        <v xml:space="preserve">http://slimages.macys.com/is/image/MCY/11808679 </v>
      </c>
    </row>
    <row r="499" spans="1:12" ht="48.75" x14ac:dyDescent="0.25">
      <c r="A499" s="4" t="s">
        <v>12183</v>
      </c>
      <c r="B499" s="2" t="s">
        <v>984</v>
      </c>
      <c r="C499" s="3">
        <v>1</v>
      </c>
      <c r="D499" s="5">
        <v>44.63</v>
      </c>
      <c r="E499" s="3" t="s">
        <v>985</v>
      </c>
      <c r="F499" s="2" t="s">
        <v>132</v>
      </c>
      <c r="G499" s="6" t="s">
        <v>106</v>
      </c>
      <c r="H499" s="2" t="s">
        <v>246</v>
      </c>
      <c r="I499" s="2" t="s">
        <v>487</v>
      </c>
      <c r="J499" s="2" t="s">
        <v>19</v>
      </c>
      <c r="K499" s="2" t="s">
        <v>787</v>
      </c>
      <c r="L499" s="7" t="str">
        <f>HYPERLINK("http://slimages.macys.com/is/image/MCY/11808679 ")</f>
        <v xml:space="preserve">http://slimages.macys.com/is/image/MCY/11808679 </v>
      </c>
    </row>
    <row r="500" spans="1:12" ht="24.75" x14ac:dyDescent="0.25">
      <c r="A500" s="4" t="s">
        <v>2682</v>
      </c>
      <c r="B500" s="2" t="s">
        <v>2683</v>
      </c>
      <c r="C500" s="3">
        <v>1</v>
      </c>
      <c r="D500" s="5">
        <v>33.380000000000003</v>
      </c>
      <c r="E500" s="3" t="s">
        <v>2684</v>
      </c>
      <c r="F500" s="2" t="s">
        <v>752</v>
      </c>
      <c r="G500" s="6" t="s">
        <v>154</v>
      </c>
      <c r="H500" s="2" t="s">
        <v>194</v>
      </c>
      <c r="I500" s="2" t="s">
        <v>195</v>
      </c>
      <c r="J500" s="2" t="s">
        <v>19</v>
      </c>
      <c r="K500" s="2" t="s">
        <v>247</v>
      </c>
      <c r="L500" s="7" t="str">
        <f>HYPERLINK("http://slimages.macys.com/is/image/MCY/12404928 ")</f>
        <v xml:space="preserve">http://slimages.macys.com/is/image/MCY/12404928 </v>
      </c>
    </row>
    <row r="501" spans="1:12" ht="48.75" x14ac:dyDescent="0.25">
      <c r="A501" s="4" t="s">
        <v>12184</v>
      </c>
      <c r="B501" s="2" t="s">
        <v>984</v>
      </c>
      <c r="C501" s="3">
        <v>1</v>
      </c>
      <c r="D501" s="5">
        <v>44.63</v>
      </c>
      <c r="E501" s="3" t="s">
        <v>985</v>
      </c>
      <c r="F501" s="2" t="s">
        <v>132</v>
      </c>
      <c r="G501" s="6" t="s">
        <v>16</v>
      </c>
      <c r="H501" s="2" t="s">
        <v>246</v>
      </c>
      <c r="I501" s="2" t="s">
        <v>487</v>
      </c>
      <c r="J501" s="2" t="s">
        <v>19</v>
      </c>
      <c r="K501" s="2" t="s">
        <v>787</v>
      </c>
      <c r="L501" s="7" t="str">
        <f>HYPERLINK("http://slimages.macys.com/is/image/MCY/11808679 ")</f>
        <v xml:space="preserve">http://slimages.macys.com/is/image/MCY/11808679 </v>
      </c>
    </row>
    <row r="502" spans="1:12" ht="48.75" x14ac:dyDescent="0.25">
      <c r="A502" s="4" t="s">
        <v>983</v>
      </c>
      <c r="B502" s="2" t="s">
        <v>984</v>
      </c>
      <c r="C502" s="3">
        <v>1</v>
      </c>
      <c r="D502" s="5">
        <v>44.63</v>
      </c>
      <c r="E502" s="3" t="s">
        <v>985</v>
      </c>
      <c r="F502" s="2" t="s">
        <v>74</v>
      </c>
      <c r="G502" s="6" t="s">
        <v>141</v>
      </c>
      <c r="H502" s="2" t="s">
        <v>246</v>
      </c>
      <c r="I502" s="2" t="s">
        <v>487</v>
      </c>
      <c r="J502" s="2" t="s">
        <v>19</v>
      </c>
      <c r="K502" s="2" t="s">
        <v>787</v>
      </c>
      <c r="L502" s="7" t="str">
        <f>HYPERLINK("http://slimages.macys.com/is/image/MCY/9213839 ")</f>
        <v xml:space="preserve">http://slimages.macys.com/is/image/MCY/9213839 </v>
      </c>
    </row>
    <row r="503" spans="1:12" ht="48.75" x14ac:dyDescent="0.25">
      <c r="A503" s="4" t="s">
        <v>12185</v>
      </c>
      <c r="B503" s="2" t="s">
        <v>984</v>
      </c>
      <c r="C503" s="3">
        <v>2</v>
      </c>
      <c r="D503" s="5">
        <v>44.63</v>
      </c>
      <c r="E503" s="3" t="s">
        <v>985</v>
      </c>
      <c r="F503" s="2" t="s">
        <v>57</v>
      </c>
      <c r="G503" s="6" t="s">
        <v>106</v>
      </c>
      <c r="H503" s="2" t="s">
        <v>246</v>
      </c>
      <c r="I503" s="2" t="s">
        <v>487</v>
      </c>
      <c r="J503" s="2" t="s">
        <v>19</v>
      </c>
      <c r="K503" s="2" t="s">
        <v>787</v>
      </c>
      <c r="L503" s="7" t="str">
        <f>HYPERLINK("http://slimages.macys.com/is/image/MCY/11808679 ")</f>
        <v xml:space="preserve">http://slimages.macys.com/is/image/MCY/11808679 </v>
      </c>
    </row>
    <row r="504" spans="1:12" ht="24.75" x14ac:dyDescent="0.25">
      <c r="A504" s="4" t="s">
        <v>12186</v>
      </c>
      <c r="B504" s="2" t="s">
        <v>3869</v>
      </c>
      <c r="C504" s="3">
        <v>1</v>
      </c>
      <c r="D504" s="5">
        <v>54.5</v>
      </c>
      <c r="E504" s="3" t="s">
        <v>3870</v>
      </c>
      <c r="F504" s="2" t="s">
        <v>887</v>
      </c>
      <c r="G504" s="6" t="s">
        <v>219</v>
      </c>
      <c r="H504" s="2" t="s">
        <v>206</v>
      </c>
      <c r="I504" s="2" t="s">
        <v>207</v>
      </c>
      <c r="J504" s="2" t="s">
        <v>19</v>
      </c>
      <c r="K504" s="2" t="s">
        <v>648</v>
      </c>
      <c r="L504" s="7" t="str">
        <f>HYPERLINK("http://slimages.macys.com/is/image/MCY/13924643 ")</f>
        <v xml:space="preserve">http://slimages.macys.com/is/image/MCY/13924643 </v>
      </c>
    </row>
    <row r="505" spans="1:12" ht="24.75" x14ac:dyDescent="0.25">
      <c r="A505" s="4" t="s">
        <v>12187</v>
      </c>
      <c r="B505" s="2" t="s">
        <v>5894</v>
      </c>
      <c r="C505" s="3">
        <v>1</v>
      </c>
      <c r="D505" s="5">
        <v>29.63</v>
      </c>
      <c r="E505" s="3" t="s">
        <v>8175</v>
      </c>
      <c r="F505" s="2" t="s">
        <v>1584</v>
      </c>
      <c r="G505" s="6" t="s">
        <v>234</v>
      </c>
      <c r="H505" s="2" t="s">
        <v>284</v>
      </c>
      <c r="I505" s="2" t="s">
        <v>285</v>
      </c>
      <c r="J505" s="2" t="s">
        <v>19</v>
      </c>
      <c r="K505" s="2" t="s">
        <v>160</v>
      </c>
      <c r="L505" s="7" t="str">
        <f>HYPERLINK("http://slimages.macys.com/is/image/MCY/13081238 ")</f>
        <v xml:space="preserve">http://slimages.macys.com/is/image/MCY/13081238 </v>
      </c>
    </row>
    <row r="506" spans="1:12" ht="24.75" x14ac:dyDescent="0.25">
      <c r="A506" s="4" t="s">
        <v>2691</v>
      </c>
      <c r="B506" s="2" t="s">
        <v>1318</v>
      </c>
      <c r="C506" s="3">
        <v>1</v>
      </c>
      <c r="D506" s="5">
        <v>24.99</v>
      </c>
      <c r="E506" s="3" t="s">
        <v>1321</v>
      </c>
      <c r="F506" s="2" t="s">
        <v>506</v>
      </c>
      <c r="G506" s="6" t="s">
        <v>16</v>
      </c>
      <c r="H506" s="2" t="s">
        <v>228</v>
      </c>
      <c r="I506" s="2" t="s">
        <v>229</v>
      </c>
      <c r="J506" s="2" t="s">
        <v>19</v>
      </c>
      <c r="K506" s="2" t="s">
        <v>253</v>
      </c>
      <c r="L506" s="7" t="str">
        <f>HYPERLINK("http://slimages.macys.com/is/image/MCY/8296032 ")</f>
        <v xml:space="preserve">http://slimages.macys.com/is/image/MCY/8296032 </v>
      </c>
    </row>
    <row r="507" spans="1:12" ht="24.75" x14ac:dyDescent="0.25">
      <c r="A507" s="4" t="s">
        <v>2687</v>
      </c>
      <c r="B507" s="2" t="s">
        <v>1253</v>
      </c>
      <c r="C507" s="3">
        <v>4</v>
      </c>
      <c r="D507" s="5">
        <v>24.99</v>
      </c>
      <c r="E507" s="3" t="s">
        <v>2688</v>
      </c>
      <c r="F507" s="2" t="s">
        <v>506</v>
      </c>
      <c r="G507" s="6" t="s">
        <v>165</v>
      </c>
      <c r="H507" s="2" t="s">
        <v>426</v>
      </c>
      <c r="I507" s="2" t="s">
        <v>863</v>
      </c>
      <c r="J507" s="2" t="s">
        <v>19</v>
      </c>
      <c r="K507" s="2" t="s">
        <v>253</v>
      </c>
      <c r="L507" s="7" t="str">
        <f>HYPERLINK("http://slimages.macys.com/is/image/MCY/9029356 ")</f>
        <v xml:space="preserve">http://slimages.macys.com/is/image/MCY/9029356 </v>
      </c>
    </row>
    <row r="508" spans="1:12" ht="24.75" x14ac:dyDescent="0.25">
      <c r="A508" s="4" t="s">
        <v>3880</v>
      </c>
      <c r="B508" s="2" t="s">
        <v>1318</v>
      </c>
      <c r="C508" s="3">
        <v>1</v>
      </c>
      <c r="D508" s="5">
        <v>24.99</v>
      </c>
      <c r="E508" s="3" t="s">
        <v>1321</v>
      </c>
      <c r="F508" s="2" t="s">
        <v>506</v>
      </c>
      <c r="G508" s="6" t="s">
        <v>27</v>
      </c>
      <c r="H508" s="2" t="s">
        <v>228</v>
      </c>
      <c r="I508" s="2" t="s">
        <v>229</v>
      </c>
      <c r="J508" s="2" t="s">
        <v>19</v>
      </c>
      <c r="K508" s="2" t="s">
        <v>253</v>
      </c>
      <c r="L508" s="7" t="str">
        <f>HYPERLINK("http://slimages.macys.com/is/image/MCY/8296032 ")</f>
        <v xml:space="preserve">http://slimages.macys.com/is/image/MCY/8296032 </v>
      </c>
    </row>
    <row r="509" spans="1:12" ht="24.75" x14ac:dyDescent="0.25">
      <c r="A509" s="4" t="s">
        <v>6645</v>
      </c>
      <c r="B509" s="2" t="s">
        <v>1253</v>
      </c>
      <c r="C509" s="3">
        <v>1</v>
      </c>
      <c r="D509" s="5">
        <v>24.99</v>
      </c>
      <c r="E509" s="3" t="s">
        <v>2688</v>
      </c>
      <c r="F509" s="2" t="s">
        <v>506</v>
      </c>
      <c r="G509" s="6" t="s">
        <v>363</v>
      </c>
      <c r="H509" s="2" t="s">
        <v>426</v>
      </c>
      <c r="I509" s="2" t="s">
        <v>863</v>
      </c>
      <c r="J509" s="2" t="s">
        <v>19</v>
      </c>
      <c r="K509" s="2" t="s">
        <v>253</v>
      </c>
      <c r="L509" s="7" t="str">
        <f>HYPERLINK("http://slimages.macys.com/is/image/MCY/9029356 ")</f>
        <v xml:space="preserve">http://slimages.macys.com/is/image/MCY/9029356 </v>
      </c>
    </row>
    <row r="510" spans="1:12" ht="24.75" x14ac:dyDescent="0.25">
      <c r="A510" s="4" t="s">
        <v>12188</v>
      </c>
      <c r="B510" s="2" t="s">
        <v>1318</v>
      </c>
      <c r="C510" s="3">
        <v>1</v>
      </c>
      <c r="D510" s="5">
        <v>24.99</v>
      </c>
      <c r="E510" s="3" t="s">
        <v>1321</v>
      </c>
      <c r="F510" s="2" t="s">
        <v>89</v>
      </c>
      <c r="G510" s="6" t="s">
        <v>106</v>
      </c>
      <c r="H510" s="2" t="s">
        <v>228</v>
      </c>
      <c r="I510" s="2" t="s">
        <v>229</v>
      </c>
      <c r="J510" s="2" t="s">
        <v>19</v>
      </c>
      <c r="K510" s="2" t="s">
        <v>253</v>
      </c>
      <c r="L510" s="7" t="str">
        <f>HYPERLINK("http://slimages.macys.com/is/image/MCY/9029356 ")</f>
        <v xml:space="preserve">http://slimages.macys.com/is/image/MCY/9029356 </v>
      </c>
    </row>
    <row r="511" spans="1:12" ht="24.75" x14ac:dyDescent="0.25">
      <c r="A511" s="4" t="s">
        <v>12189</v>
      </c>
      <c r="B511" s="2" t="s">
        <v>1318</v>
      </c>
      <c r="C511" s="3">
        <v>1</v>
      </c>
      <c r="D511" s="5">
        <v>24.99</v>
      </c>
      <c r="E511" s="3" t="s">
        <v>1321</v>
      </c>
      <c r="F511" s="2" t="s">
        <v>376</v>
      </c>
      <c r="G511" s="6" t="s">
        <v>141</v>
      </c>
      <c r="H511" s="2" t="s">
        <v>228</v>
      </c>
      <c r="I511" s="2" t="s">
        <v>229</v>
      </c>
      <c r="J511" s="2" t="s">
        <v>19</v>
      </c>
      <c r="K511" s="2" t="s">
        <v>253</v>
      </c>
      <c r="L511" s="7" t="str">
        <f>HYPERLINK("http://slimages.macys.com/is/image/MCY/9029356 ")</f>
        <v xml:space="preserve">http://slimages.macys.com/is/image/MCY/9029356 </v>
      </c>
    </row>
    <row r="512" spans="1:12" ht="24.75" x14ac:dyDescent="0.25">
      <c r="A512" s="4" t="s">
        <v>12190</v>
      </c>
      <c r="B512" s="2" t="s">
        <v>1948</v>
      </c>
      <c r="C512" s="3">
        <v>1</v>
      </c>
      <c r="D512" s="5">
        <v>24.99</v>
      </c>
      <c r="E512" s="3">
        <v>100006767</v>
      </c>
      <c r="F512" s="2" t="s">
        <v>74</v>
      </c>
      <c r="G512" s="6" t="s">
        <v>22</v>
      </c>
      <c r="H512" s="2" t="s">
        <v>228</v>
      </c>
      <c r="I512" s="2" t="s">
        <v>229</v>
      </c>
      <c r="J512" s="2" t="s">
        <v>19</v>
      </c>
      <c r="K512" s="2" t="s">
        <v>253</v>
      </c>
      <c r="L512" s="7" t="str">
        <f>HYPERLINK("http://slimages.macys.com/is/image/MCY/11148268 ")</f>
        <v xml:space="preserve">http://slimages.macys.com/is/image/MCY/11148268 </v>
      </c>
    </row>
    <row r="513" spans="1:12" ht="24.75" x14ac:dyDescent="0.25">
      <c r="A513" s="4" t="s">
        <v>7476</v>
      </c>
      <c r="B513" s="2" t="s">
        <v>1318</v>
      </c>
      <c r="C513" s="3">
        <v>1</v>
      </c>
      <c r="D513" s="5">
        <v>24.99</v>
      </c>
      <c r="E513" s="3" t="s">
        <v>1321</v>
      </c>
      <c r="F513" s="2" t="s">
        <v>70</v>
      </c>
      <c r="G513" s="6" t="s">
        <v>65</v>
      </c>
      <c r="H513" s="2" t="s">
        <v>228</v>
      </c>
      <c r="I513" s="2" t="s">
        <v>229</v>
      </c>
      <c r="J513" s="2" t="s">
        <v>19</v>
      </c>
      <c r="K513" s="2" t="s">
        <v>253</v>
      </c>
      <c r="L513" s="7" t="str">
        <f t="shared" ref="L513:L522" si="2">HYPERLINK("http://slimages.macys.com/is/image/MCY/9029356 ")</f>
        <v xml:space="preserve">http://slimages.macys.com/is/image/MCY/9029356 </v>
      </c>
    </row>
    <row r="514" spans="1:12" ht="24.75" x14ac:dyDescent="0.25">
      <c r="A514" s="4" t="s">
        <v>6637</v>
      </c>
      <c r="B514" s="2" t="s">
        <v>1318</v>
      </c>
      <c r="C514" s="3">
        <v>2</v>
      </c>
      <c r="D514" s="5">
        <v>24.99</v>
      </c>
      <c r="E514" s="3" t="s">
        <v>1321</v>
      </c>
      <c r="F514" s="2" t="s">
        <v>70</v>
      </c>
      <c r="G514" s="6" t="s">
        <v>27</v>
      </c>
      <c r="H514" s="2" t="s">
        <v>228</v>
      </c>
      <c r="I514" s="2" t="s">
        <v>229</v>
      </c>
      <c r="J514" s="2" t="s">
        <v>19</v>
      </c>
      <c r="K514" s="2" t="s">
        <v>253</v>
      </c>
      <c r="L514" s="7" t="str">
        <f t="shared" si="2"/>
        <v xml:space="preserve">http://slimages.macys.com/is/image/MCY/9029356 </v>
      </c>
    </row>
    <row r="515" spans="1:12" ht="24.75" x14ac:dyDescent="0.25">
      <c r="A515" s="4" t="s">
        <v>3883</v>
      </c>
      <c r="B515" s="2" t="s">
        <v>1253</v>
      </c>
      <c r="C515" s="3">
        <v>1</v>
      </c>
      <c r="D515" s="5">
        <v>24.99</v>
      </c>
      <c r="E515" s="3" t="s">
        <v>2688</v>
      </c>
      <c r="F515" s="2" t="s">
        <v>506</v>
      </c>
      <c r="G515" s="6" t="s">
        <v>205</v>
      </c>
      <c r="H515" s="2" t="s">
        <v>426</v>
      </c>
      <c r="I515" s="2" t="s">
        <v>863</v>
      </c>
      <c r="J515" s="2" t="s">
        <v>19</v>
      </c>
      <c r="K515" s="2" t="s">
        <v>253</v>
      </c>
      <c r="L515" s="7" t="str">
        <f t="shared" si="2"/>
        <v xml:space="preserve">http://slimages.macys.com/is/image/MCY/9029356 </v>
      </c>
    </row>
    <row r="516" spans="1:12" ht="24.75" x14ac:dyDescent="0.25">
      <c r="A516" s="4" t="s">
        <v>8703</v>
      </c>
      <c r="B516" s="2" t="s">
        <v>1253</v>
      </c>
      <c r="C516" s="3">
        <v>4</v>
      </c>
      <c r="D516" s="5">
        <v>24.99</v>
      </c>
      <c r="E516" s="3" t="s">
        <v>2688</v>
      </c>
      <c r="F516" s="2" t="s">
        <v>506</v>
      </c>
      <c r="G516" s="6" t="s">
        <v>126</v>
      </c>
      <c r="H516" s="2" t="s">
        <v>426</v>
      </c>
      <c r="I516" s="2" t="s">
        <v>863</v>
      </c>
      <c r="J516" s="2" t="s">
        <v>19</v>
      </c>
      <c r="K516" s="2" t="s">
        <v>253</v>
      </c>
      <c r="L516" s="7" t="str">
        <f t="shared" si="2"/>
        <v xml:space="preserve">http://slimages.macys.com/is/image/MCY/9029356 </v>
      </c>
    </row>
    <row r="517" spans="1:12" ht="24.75" x14ac:dyDescent="0.25">
      <c r="A517" s="4" t="s">
        <v>8701</v>
      </c>
      <c r="B517" s="2" t="s">
        <v>1318</v>
      </c>
      <c r="C517" s="3">
        <v>1</v>
      </c>
      <c r="D517" s="5">
        <v>24.99</v>
      </c>
      <c r="E517" s="3" t="s">
        <v>1321</v>
      </c>
      <c r="F517" s="2" t="s">
        <v>64</v>
      </c>
      <c r="G517" s="6" t="s">
        <v>27</v>
      </c>
      <c r="H517" s="2" t="s">
        <v>228</v>
      </c>
      <c r="I517" s="2" t="s">
        <v>229</v>
      </c>
      <c r="J517" s="2" t="s">
        <v>19</v>
      </c>
      <c r="K517" s="2" t="s">
        <v>253</v>
      </c>
      <c r="L517" s="7" t="str">
        <f t="shared" si="2"/>
        <v xml:space="preserve">http://slimages.macys.com/is/image/MCY/9029356 </v>
      </c>
    </row>
    <row r="518" spans="1:12" ht="24.75" x14ac:dyDescent="0.25">
      <c r="A518" s="4" t="s">
        <v>12191</v>
      </c>
      <c r="B518" s="2" t="s">
        <v>1318</v>
      </c>
      <c r="C518" s="3">
        <v>3</v>
      </c>
      <c r="D518" s="5">
        <v>24.99</v>
      </c>
      <c r="E518" s="3" t="s">
        <v>1321</v>
      </c>
      <c r="F518" s="2" t="s">
        <v>89</v>
      </c>
      <c r="G518" s="6" t="s">
        <v>112</v>
      </c>
      <c r="H518" s="2" t="s">
        <v>228</v>
      </c>
      <c r="I518" s="2" t="s">
        <v>229</v>
      </c>
      <c r="J518" s="2" t="s">
        <v>19</v>
      </c>
      <c r="K518" s="2" t="s">
        <v>253</v>
      </c>
      <c r="L518" s="7" t="str">
        <f t="shared" si="2"/>
        <v xml:space="preserve">http://slimages.macys.com/is/image/MCY/9029356 </v>
      </c>
    </row>
    <row r="519" spans="1:12" ht="24.75" x14ac:dyDescent="0.25">
      <c r="A519" s="4" t="s">
        <v>6629</v>
      </c>
      <c r="B519" s="2" t="s">
        <v>1318</v>
      </c>
      <c r="C519" s="3">
        <v>2</v>
      </c>
      <c r="D519" s="5">
        <v>24.99</v>
      </c>
      <c r="E519" s="3" t="s">
        <v>1321</v>
      </c>
      <c r="F519" s="2" t="s">
        <v>89</v>
      </c>
      <c r="G519" s="6" t="s">
        <v>16</v>
      </c>
      <c r="H519" s="2" t="s">
        <v>228</v>
      </c>
      <c r="I519" s="2" t="s">
        <v>229</v>
      </c>
      <c r="J519" s="2" t="s">
        <v>19</v>
      </c>
      <c r="K519" s="2" t="s">
        <v>253</v>
      </c>
      <c r="L519" s="7" t="str">
        <f t="shared" si="2"/>
        <v xml:space="preserve">http://slimages.macys.com/is/image/MCY/9029356 </v>
      </c>
    </row>
    <row r="520" spans="1:12" ht="24.75" x14ac:dyDescent="0.25">
      <c r="A520" s="4" t="s">
        <v>7475</v>
      </c>
      <c r="B520" s="2" t="s">
        <v>1253</v>
      </c>
      <c r="C520" s="3">
        <v>2</v>
      </c>
      <c r="D520" s="5">
        <v>24.99</v>
      </c>
      <c r="E520" s="3" t="s">
        <v>2688</v>
      </c>
      <c r="F520" s="2" t="s">
        <v>506</v>
      </c>
      <c r="G520" s="6" t="s">
        <v>238</v>
      </c>
      <c r="H520" s="2" t="s">
        <v>426</v>
      </c>
      <c r="I520" s="2" t="s">
        <v>863</v>
      </c>
      <c r="J520" s="2" t="s">
        <v>19</v>
      </c>
      <c r="K520" s="2" t="s">
        <v>253</v>
      </c>
      <c r="L520" s="7" t="str">
        <f t="shared" si="2"/>
        <v xml:space="preserve">http://slimages.macys.com/is/image/MCY/9029356 </v>
      </c>
    </row>
    <row r="521" spans="1:12" ht="24.75" x14ac:dyDescent="0.25">
      <c r="A521" s="4" t="s">
        <v>6646</v>
      </c>
      <c r="B521" s="2" t="s">
        <v>1253</v>
      </c>
      <c r="C521" s="3">
        <v>3</v>
      </c>
      <c r="D521" s="5">
        <v>24.99</v>
      </c>
      <c r="E521" s="3" t="s">
        <v>2688</v>
      </c>
      <c r="F521" s="2" t="s">
        <v>506</v>
      </c>
      <c r="G521" s="6" t="s">
        <v>802</v>
      </c>
      <c r="H521" s="2" t="s">
        <v>426</v>
      </c>
      <c r="I521" s="2" t="s">
        <v>863</v>
      </c>
      <c r="J521" s="2" t="s">
        <v>19</v>
      </c>
      <c r="K521" s="2" t="s">
        <v>253</v>
      </c>
      <c r="L521" s="7" t="str">
        <f t="shared" si="2"/>
        <v xml:space="preserve">http://slimages.macys.com/is/image/MCY/9029356 </v>
      </c>
    </row>
    <row r="522" spans="1:12" ht="24.75" x14ac:dyDescent="0.25">
      <c r="A522" s="4" t="s">
        <v>3884</v>
      </c>
      <c r="B522" s="2" t="s">
        <v>1253</v>
      </c>
      <c r="C522" s="3">
        <v>2</v>
      </c>
      <c r="D522" s="5">
        <v>24.99</v>
      </c>
      <c r="E522" s="3" t="s">
        <v>2688</v>
      </c>
      <c r="F522" s="2" t="s">
        <v>506</v>
      </c>
      <c r="G522" s="6" t="s">
        <v>934</v>
      </c>
      <c r="H522" s="2" t="s">
        <v>426</v>
      </c>
      <c r="I522" s="2" t="s">
        <v>863</v>
      </c>
      <c r="J522" s="2" t="s">
        <v>19</v>
      </c>
      <c r="K522" s="2" t="s">
        <v>253</v>
      </c>
      <c r="L522" s="7" t="str">
        <f t="shared" si="2"/>
        <v xml:space="preserve">http://slimages.macys.com/is/image/MCY/9029356 </v>
      </c>
    </row>
    <row r="523" spans="1:12" ht="24.75" x14ac:dyDescent="0.25">
      <c r="A523" s="4" t="s">
        <v>12192</v>
      </c>
      <c r="B523" s="2" t="s">
        <v>1359</v>
      </c>
      <c r="C523" s="3">
        <v>1</v>
      </c>
      <c r="D523" s="5">
        <v>29.99</v>
      </c>
      <c r="E523" s="3" t="s">
        <v>1360</v>
      </c>
      <c r="F523" s="2" t="s">
        <v>26</v>
      </c>
      <c r="G523" s="6" t="s">
        <v>181</v>
      </c>
      <c r="H523" s="2" t="s">
        <v>246</v>
      </c>
      <c r="I523" s="2" t="s">
        <v>189</v>
      </c>
      <c r="J523" s="2" t="s">
        <v>19</v>
      </c>
      <c r="K523" s="2" t="s">
        <v>160</v>
      </c>
      <c r="L523" s="7" t="str">
        <f>HYPERLINK("http://slimages.macys.com/is/image/MCY/11420487 ")</f>
        <v xml:space="preserve">http://slimages.macys.com/is/image/MCY/11420487 </v>
      </c>
    </row>
    <row r="524" spans="1:12" ht="24.75" x14ac:dyDescent="0.25">
      <c r="A524" s="4" t="s">
        <v>12193</v>
      </c>
      <c r="B524" s="2" t="s">
        <v>10934</v>
      </c>
      <c r="C524" s="3">
        <v>1</v>
      </c>
      <c r="D524" s="5">
        <v>29.99</v>
      </c>
      <c r="E524" s="3" t="s">
        <v>12194</v>
      </c>
      <c r="F524" s="2" t="s">
        <v>64</v>
      </c>
      <c r="G524" s="6" t="s">
        <v>181</v>
      </c>
      <c r="H524" s="2" t="s">
        <v>246</v>
      </c>
      <c r="I524" s="2" t="s">
        <v>189</v>
      </c>
      <c r="J524" s="2" t="s">
        <v>19</v>
      </c>
      <c r="K524" s="2" t="s">
        <v>160</v>
      </c>
      <c r="L524" s="7" t="str">
        <f>HYPERLINK("http://slimages.macys.com/is/image/MCY/11634837 ")</f>
        <v xml:space="preserve">http://slimages.macys.com/is/image/MCY/11634837 </v>
      </c>
    </row>
    <row r="525" spans="1:12" ht="24.75" x14ac:dyDescent="0.25">
      <c r="A525" s="4" t="s">
        <v>1368</v>
      </c>
      <c r="B525" s="2" t="s">
        <v>1365</v>
      </c>
      <c r="C525" s="3">
        <v>1</v>
      </c>
      <c r="D525" s="5">
        <v>37.130000000000003</v>
      </c>
      <c r="E525" s="3">
        <v>100065803</v>
      </c>
      <c r="F525" s="2" t="s">
        <v>15</v>
      </c>
      <c r="G525" s="6" t="s">
        <v>156</v>
      </c>
      <c r="H525" s="2" t="s">
        <v>194</v>
      </c>
      <c r="I525" s="2" t="s">
        <v>195</v>
      </c>
      <c r="J525" s="2" t="s">
        <v>19</v>
      </c>
      <c r="K525" s="2" t="s">
        <v>353</v>
      </c>
      <c r="L525" s="7" t="str">
        <f>HYPERLINK("http://slimages.macys.com/is/image/MCY/12850008 ")</f>
        <v xml:space="preserve">http://slimages.macys.com/is/image/MCY/12850008 </v>
      </c>
    </row>
    <row r="526" spans="1:12" ht="36.75" x14ac:dyDescent="0.25">
      <c r="A526" s="4" t="s">
        <v>12195</v>
      </c>
      <c r="B526" s="2" t="s">
        <v>12196</v>
      </c>
      <c r="C526" s="3">
        <v>1</v>
      </c>
      <c r="D526" s="5">
        <v>34.799999999999997</v>
      </c>
      <c r="E526" s="3" t="s">
        <v>12197</v>
      </c>
      <c r="F526" s="2" t="s">
        <v>33</v>
      </c>
      <c r="G526" s="6" t="s">
        <v>156</v>
      </c>
      <c r="H526" s="2" t="s">
        <v>10225</v>
      </c>
      <c r="I526" s="2" t="s">
        <v>792</v>
      </c>
      <c r="J526" s="2" t="s">
        <v>19</v>
      </c>
      <c r="K526" s="2" t="s">
        <v>2419</v>
      </c>
      <c r="L526" s="7" t="str">
        <f>HYPERLINK("http://slimages.macys.com/is/image/MCY/9415751 ")</f>
        <v xml:space="preserve">http://slimages.macys.com/is/image/MCY/9415751 </v>
      </c>
    </row>
    <row r="527" spans="1:12" ht="24.75" x14ac:dyDescent="0.25">
      <c r="A527" s="4" t="s">
        <v>1376</v>
      </c>
      <c r="B527" s="2" t="s">
        <v>1330</v>
      </c>
      <c r="C527" s="3">
        <v>1</v>
      </c>
      <c r="D527" s="5">
        <v>37.130000000000003</v>
      </c>
      <c r="E527" s="3" t="s">
        <v>1331</v>
      </c>
      <c r="F527" s="2" t="s">
        <v>125</v>
      </c>
      <c r="G527" s="6" t="s">
        <v>181</v>
      </c>
      <c r="H527" s="2" t="s">
        <v>194</v>
      </c>
      <c r="I527" s="2" t="s">
        <v>195</v>
      </c>
      <c r="J527" s="2" t="s">
        <v>19</v>
      </c>
      <c r="K527" s="2" t="s">
        <v>247</v>
      </c>
      <c r="L527" s="7" t="str">
        <f>HYPERLINK("http://slimages.macys.com/is/image/MCY/10889638 ")</f>
        <v xml:space="preserve">http://slimages.macys.com/is/image/MCY/10889638 </v>
      </c>
    </row>
    <row r="528" spans="1:12" ht="24.75" x14ac:dyDescent="0.25">
      <c r="A528" s="4" t="s">
        <v>12198</v>
      </c>
      <c r="B528" s="2" t="s">
        <v>8200</v>
      </c>
      <c r="C528" s="3">
        <v>1</v>
      </c>
      <c r="D528" s="5">
        <v>37.130000000000003</v>
      </c>
      <c r="E528" s="3" t="s">
        <v>12199</v>
      </c>
      <c r="F528" s="2" t="s">
        <v>566</v>
      </c>
      <c r="G528" s="6" t="s">
        <v>200</v>
      </c>
      <c r="H528" s="2" t="s">
        <v>194</v>
      </c>
      <c r="I528" s="2" t="s">
        <v>195</v>
      </c>
      <c r="J528" s="2" t="s">
        <v>19</v>
      </c>
      <c r="K528" s="2" t="s">
        <v>247</v>
      </c>
      <c r="L528" s="7" t="str">
        <f>HYPERLINK("http://slimages.macys.com/is/image/MCY/13120693 ")</f>
        <v xml:space="preserve">http://slimages.macys.com/is/image/MCY/13120693 </v>
      </c>
    </row>
    <row r="529" spans="1:12" ht="24.75" x14ac:dyDescent="0.25">
      <c r="A529" s="4" t="s">
        <v>1377</v>
      </c>
      <c r="B529" s="2" t="s">
        <v>1330</v>
      </c>
      <c r="C529" s="3">
        <v>1</v>
      </c>
      <c r="D529" s="5">
        <v>37.130000000000003</v>
      </c>
      <c r="E529" s="3" t="s">
        <v>1331</v>
      </c>
      <c r="F529" s="2" t="s">
        <v>125</v>
      </c>
      <c r="G529" s="6" t="s">
        <v>154</v>
      </c>
      <c r="H529" s="2" t="s">
        <v>194</v>
      </c>
      <c r="I529" s="2" t="s">
        <v>195</v>
      </c>
      <c r="J529" s="2" t="s">
        <v>19</v>
      </c>
      <c r="K529" s="2" t="s">
        <v>247</v>
      </c>
      <c r="L529" s="7" t="str">
        <f>HYPERLINK("http://slimages.macys.com/is/image/MCY/10889638 ")</f>
        <v xml:space="preserve">http://slimages.macys.com/is/image/MCY/10889638 </v>
      </c>
    </row>
    <row r="530" spans="1:12" ht="24.75" x14ac:dyDescent="0.25">
      <c r="A530" s="4" t="s">
        <v>12200</v>
      </c>
      <c r="B530" s="2" t="s">
        <v>12201</v>
      </c>
      <c r="C530" s="3">
        <v>1</v>
      </c>
      <c r="D530" s="5">
        <v>37.130000000000003</v>
      </c>
      <c r="E530" s="3" t="s">
        <v>12202</v>
      </c>
      <c r="F530" s="2" t="s">
        <v>15</v>
      </c>
      <c r="G530" s="6" t="s">
        <v>245</v>
      </c>
      <c r="H530" s="2" t="s">
        <v>194</v>
      </c>
      <c r="I530" s="2" t="s">
        <v>195</v>
      </c>
      <c r="J530" s="2" t="s">
        <v>19</v>
      </c>
      <c r="K530" s="2" t="s">
        <v>247</v>
      </c>
      <c r="L530" s="7" t="str">
        <f>HYPERLINK("http://slimages.macys.com/is/image/MCY/12667237 ")</f>
        <v xml:space="preserve">http://slimages.macys.com/is/image/MCY/12667237 </v>
      </c>
    </row>
    <row r="531" spans="1:12" ht="24.75" x14ac:dyDescent="0.25">
      <c r="A531" s="4" t="s">
        <v>12203</v>
      </c>
      <c r="B531" s="2" t="s">
        <v>8186</v>
      </c>
      <c r="C531" s="3">
        <v>1</v>
      </c>
      <c r="D531" s="5">
        <v>27.99</v>
      </c>
      <c r="E531" s="3" t="s">
        <v>8187</v>
      </c>
      <c r="F531" s="2" t="s">
        <v>15</v>
      </c>
      <c r="G531" s="6" t="s">
        <v>234</v>
      </c>
      <c r="H531" s="2" t="s">
        <v>1522</v>
      </c>
      <c r="I531" s="2" t="s">
        <v>1469</v>
      </c>
      <c r="J531" s="2" t="s">
        <v>19</v>
      </c>
      <c r="K531" s="2" t="s">
        <v>353</v>
      </c>
      <c r="L531" s="7" t="str">
        <f>HYPERLINK("http://slimages.macys.com/is/image/MCY/12144601 ")</f>
        <v xml:space="preserve">http://slimages.macys.com/is/image/MCY/12144601 </v>
      </c>
    </row>
    <row r="532" spans="1:12" ht="24.75" x14ac:dyDescent="0.25">
      <c r="A532" s="4" t="s">
        <v>12204</v>
      </c>
      <c r="B532" s="2" t="s">
        <v>12205</v>
      </c>
      <c r="C532" s="3">
        <v>1</v>
      </c>
      <c r="D532" s="5">
        <v>37.130000000000003</v>
      </c>
      <c r="E532" s="3" t="s">
        <v>12206</v>
      </c>
      <c r="F532" s="2" t="s">
        <v>38</v>
      </c>
      <c r="G532" s="6"/>
      <c r="H532" s="2" t="s">
        <v>312</v>
      </c>
      <c r="I532" s="2" t="s">
        <v>195</v>
      </c>
      <c r="J532" s="2" t="s">
        <v>19</v>
      </c>
      <c r="K532" s="2" t="s">
        <v>247</v>
      </c>
      <c r="L532" s="7" t="str">
        <f>HYPERLINK("http://slimages.macys.com/is/image/MCY/10207695 ")</f>
        <v xml:space="preserve">http://slimages.macys.com/is/image/MCY/10207695 </v>
      </c>
    </row>
    <row r="533" spans="1:12" ht="24.75" x14ac:dyDescent="0.25">
      <c r="A533" s="4" t="s">
        <v>12207</v>
      </c>
      <c r="B533" s="2" t="s">
        <v>12205</v>
      </c>
      <c r="C533" s="3">
        <v>1</v>
      </c>
      <c r="D533" s="5">
        <v>37.130000000000003</v>
      </c>
      <c r="E533" s="3" t="s">
        <v>12206</v>
      </c>
      <c r="F533" s="2" t="s">
        <v>38</v>
      </c>
      <c r="G533" s="6"/>
      <c r="H533" s="2" t="s">
        <v>312</v>
      </c>
      <c r="I533" s="2" t="s">
        <v>195</v>
      </c>
      <c r="J533" s="2" t="s">
        <v>19</v>
      </c>
      <c r="K533" s="2" t="s">
        <v>247</v>
      </c>
      <c r="L533" s="7" t="str">
        <f>HYPERLINK("http://slimages.macys.com/is/image/MCY/10207695 ")</f>
        <v xml:space="preserve">http://slimages.macys.com/is/image/MCY/10207695 </v>
      </c>
    </row>
    <row r="534" spans="1:12" ht="36.75" x14ac:dyDescent="0.25">
      <c r="A534" s="4" t="s">
        <v>7484</v>
      </c>
      <c r="B534" s="2" t="s">
        <v>2351</v>
      </c>
      <c r="C534" s="3">
        <v>1</v>
      </c>
      <c r="D534" s="5">
        <v>29.63</v>
      </c>
      <c r="E534" s="3" t="s">
        <v>4963</v>
      </c>
      <c r="F534" s="2" t="s">
        <v>752</v>
      </c>
      <c r="G534" s="6" t="s">
        <v>154</v>
      </c>
      <c r="H534" s="2" t="s">
        <v>194</v>
      </c>
      <c r="I534" s="2" t="s">
        <v>195</v>
      </c>
      <c r="J534" s="2" t="s">
        <v>19</v>
      </c>
      <c r="K534" s="2" t="s">
        <v>1390</v>
      </c>
      <c r="L534" s="7" t="str">
        <f>HYPERLINK("http://slimages.macys.com/is/image/MCY/12950203 ")</f>
        <v xml:space="preserve">http://slimages.macys.com/is/image/MCY/12950203 </v>
      </c>
    </row>
    <row r="535" spans="1:12" ht="24.75" x14ac:dyDescent="0.25">
      <c r="A535" s="4" t="s">
        <v>12208</v>
      </c>
      <c r="B535" s="2" t="s">
        <v>12209</v>
      </c>
      <c r="C535" s="3">
        <v>1</v>
      </c>
      <c r="D535" s="5">
        <v>24.99</v>
      </c>
      <c r="E535" s="3" t="s">
        <v>12210</v>
      </c>
      <c r="F535" s="2" t="s">
        <v>15</v>
      </c>
      <c r="G535" s="6" t="s">
        <v>154</v>
      </c>
      <c r="H535" s="2" t="s">
        <v>1522</v>
      </c>
      <c r="I535" s="2" t="s">
        <v>1469</v>
      </c>
      <c r="J535" s="2" t="s">
        <v>19</v>
      </c>
      <c r="K535" s="2" t="s">
        <v>495</v>
      </c>
      <c r="L535" s="7" t="str">
        <f>HYPERLINK("http://slimages.macys.com/is/image/MCY/12645316 ")</f>
        <v xml:space="preserve">http://slimages.macys.com/is/image/MCY/12645316 </v>
      </c>
    </row>
    <row r="536" spans="1:12" ht="24.75" x14ac:dyDescent="0.25">
      <c r="A536" s="4" t="s">
        <v>12211</v>
      </c>
      <c r="B536" s="2" t="s">
        <v>12212</v>
      </c>
      <c r="C536" s="3">
        <v>1</v>
      </c>
      <c r="D536" s="5">
        <v>65</v>
      </c>
      <c r="E536" s="3" t="s">
        <v>12213</v>
      </c>
      <c r="F536" s="2" t="s">
        <v>74</v>
      </c>
      <c r="G536" s="6" t="s">
        <v>446</v>
      </c>
      <c r="H536" s="2" t="s">
        <v>447</v>
      </c>
      <c r="I536" s="2" t="s">
        <v>792</v>
      </c>
      <c r="J536" s="2" t="s">
        <v>19</v>
      </c>
      <c r="K536" s="2" t="s">
        <v>160</v>
      </c>
      <c r="L536" s="7" t="str">
        <f>HYPERLINK("http://slimages.macys.com/is/image/MCY/14315313 ")</f>
        <v xml:space="preserve">http://slimages.macys.com/is/image/MCY/14315313 </v>
      </c>
    </row>
    <row r="537" spans="1:12" ht="24.75" x14ac:dyDescent="0.25">
      <c r="A537" s="4" t="s">
        <v>10951</v>
      </c>
      <c r="B537" s="2" t="s">
        <v>10952</v>
      </c>
      <c r="C537" s="3">
        <v>1</v>
      </c>
      <c r="D537" s="5">
        <v>29.63</v>
      </c>
      <c r="E537" s="3">
        <v>100018082</v>
      </c>
      <c r="F537" s="2" t="s">
        <v>26</v>
      </c>
      <c r="G537" s="6" t="s">
        <v>154</v>
      </c>
      <c r="H537" s="2" t="s">
        <v>194</v>
      </c>
      <c r="I537" s="2" t="s">
        <v>195</v>
      </c>
      <c r="J537" s="2" t="s">
        <v>19</v>
      </c>
      <c r="K537" s="2" t="s">
        <v>1082</v>
      </c>
      <c r="L537" s="7" t="str">
        <f>HYPERLINK("http://slimages.macys.com/is/image/MCY/13367475 ")</f>
        <v xml:space="preserve">http://slimages.macys.com/is/image/MCY/13367475 </v>
      </c>
    </row>
    <row r="538" spans="1:12" ht="24.75" x14ac:dyDescent="0.25">
      <c r="A538" s="4" t="s">
        <v>12214</v>
      </c>
      <c r="B538" s="2" t="s">
        <v>12215</v>
      </c>
      <c r="C538" s="3">
        <v>1</v>
      </c>
      <c r="D538" s="5">
        <v>44</v>
      </c>
      <c r="E538" s="3" t="s">
        <v>12216</v>
      </c>
      <c r="F538" s="2" t="s">
        <v>74</v>
      </c>
      <c r="G538" s="6" t="s">
        <v>234</v>
      </c>
      <c r="H538" s="2" t="s">
        <v>10225</v>
      </c>
      <c r="I538" s="2" t="s">
        <v>10226</v>
      </c>
      <c r="J538" s="2" t="s">
        <v>19</v>
      </c>
      <c r="K538" s="2" t="s">
        <v>12217</v>
      </c>
      <c r="L538" s="7" t="str">
        <f>HYPERLINK("http://slimages.macys.com/is/image/MCY/11621491 ")</f>
        <v xml:space="preserve">http://slimages.macys.com/is/image/MCY/11621491 </v>
      </c>
    </row>
    <row r="539" spans="1:12" ht="24.75" x14ac:dyDescent="0.25">
      <c r="A539" s="4" t="s">
        <v>12218</v>
      </c>
      <c r="B539" s="2" t="s">
        <v>3897</v>
      </c>
      <c r="C539" s="3">
        <v>1</v>
      </c>
      <c r="D539" s="5">
        <v>65</v>
      </c>
      <c r="E539" s="3" t="s">
        <v>3898</v>
      </c>
      <c r="F539" s="2" t="s">
        <v>887</v>
      </c>
      <c r="G539" s="6"/>
      <c r="H539" s="2" t="s">
        <v>447</v>
      </c>
      <c r="I539" s="2" t="s">
        <v>792</v>
      </c>
      <c r="J539" s="2" t="s">
        <v>19</v>
      </c>
      <c r="K539" s="2" t="s">
        <v>160</v>
      </c>
      <c r="L539" s="7" t="str">
        <f>HYPERLINK("http://slimages.macys.com/is/image/MCY/13941347 ")</f>
        <v xml:space="preserve">http://slimages.macys.com/is/image/MCY/13941347 </v>
      </c>
    </row>
    <row r="540" spans="1:12" ht="24.75" x14ac:dyDescent="0.25">
      <c r="A540" s="4" t="s">
        <v>12219</v>
      </c>
      <c r="B540" s="2" t="s">
        <v>3897</v>
      </c>
      <c r="C540" s="3">
        <v>1</v>
      </c>
      <c r="D540" s="5">
        <v>65</v>
      </c>
      <c r="E540" s="3" t="s">
        <v>3898</v>
      </c>
      <c r="F540" s="2" t="s">
        <v>887</v>
      </c>
      <c r="G540" s="6" t="s">
        <v>446</v>
      </c>
      <c r="H540" s="2" t="s">
        <v>447</v>
      </c>
      <c r="I540" s="2" t="s">
        <v>792</v>
      </c>
      <c r="J540" s="2" t="s">
        <v>19</v>
      </c>
      <c r="K540" s="2" t="s">
        <v>160</v>
      </c>
      <c r="L540" s="7" t="str">
        <f>HYPERLINK("http://slimages.macys.com/is/image/MCY/13941347 ")</f>
        <v xml:space="preserve">http://slimages.macys.com/is/image/MCY/13941347 </v>
      </c>
    </row>
    <row r="541" spans="1:12" ht="60.75" x14ac:dyDescent="0.25">
      <c r="A541" s="4" t="s">
        <v>12220</v>
      </c>
      <c r="B541" s="2" t="s">
        <v>1397</v>
      </c>
      <c r="C541" s="3">
        <v>1</v>
      </c>
      <c r="D541" s="5">
        <v>29.63</v>
      </c>
      <c r="E541" s="3">
        <v>100022669</v>
      </c>
      <c r="F541" s="2" t="s">
        <v>1584</v>
      </c>
      <c r="G541" s="6" t="s">
        <v>181</v>
      </c>
      <c r="H541" s="2" t="s">
        <v>194</v>
      </c>
      <c r="I541" s="2" t="s">
        <v>1398</v>
      </c>
      <c r="J541" s="2" t="s">
        <v>19</v>
      </c>
      <c r="K541" s="2" t="s">
        <v>1399</v>
      </c>
      <c r="L541" s="7" t="str">
        <f>HYPERLINK("http://slimages.macys.com/is/image/MCY/13368177 ")</f>
        <v xml:space="preserve">http://slimages.macys.com/is/image/MCY/13368177 </v>
      </c>
    </row>
    <row r="542" spans="1:12" ht="60.75" x14ac:dyDescent="0.25">
      <c r="A542" s="4" t="s">
        <v>10953</v>
      </c>
      <c r="B542" s="2" t="s">
        <v>1397</v>
      </c>
      <c r="C542" s="3">
        <v>1</v>
      </c>
      <c r="D542" s="5">
        <v>29.63</v>
      </c>
      <c r="E542" s="3">
        <v>100022669</v>
      </c>
      <c r="F542" s="2" t="s">
        <v>566</v>
      </c>
      <c r="G542" s="6" t="s">
        <v>181</v>
      </c>
      <c r="H542" s="2" t="s">
        <v>194</v>
      </c>
      <c r="I542" s="2" t="s">
        <v>1398</v>
      </c>
      <c r="J542" s="2" t="s">
        <v>19</v>
      </c>
      <c r="K542" s="2" t="s">
        <v>1399</v>
      </c>
      <c r="L542" s="7" t="str">
        <f>HYPERLINK("http://slimages.macys.com/is/image/MCY/13368177 ")</f>
        <v xml:space="preserve">http://slimages.macys.com/is/image/MCY/13368177 </v>
      </c>
    </row>
    <row r="543" spans="1:12" ht="24.75" x14ac:dyDescent="0.25">
      <c r="A543" s="4" t="s">
        <v>12221</v>
      </c>
      <c r="B543" s="2" t="s">
        <v>8200</v>
      </c>
      <c r="C543" s="3">
        <v>1</v>
      </c>
      <c r="D543" s="5">
        <v>37.130000000000003</v>
      </c>
      <c r="E543" s="3" t="s">
        <v>12222</v>
      </c>
      <c r="F543" s="2" t="s">
        <v>225</v>
      </c>
      <c r="G543" s="6"/>
      <c r="H543" s="2" t="s">
        <v>312</v>
      </c>
      <c r="I543" s="2" t="s">
        <v>195</v>
      </c>
      <c r="J543" s="2" t="s">
        <v>19</v>
      </c>
      <c r="K543" s="2" t="s">
        <v>247</v>
      </c>
      <c r="L543" s="7" t="str">
        <f>HYPERLINK("http://slimages.macys.com/is/image/MCY/13120709 ")</f>
        <v xml:space="preserve">http://slimages.macys.com/is/image/MCY/13120709 </v>
      </c>
    </row>
    <row r="544" spans="1:12" ht="24.75" x14ac:dyDescent="0.25">
      <c r="A544" s="4" t="s">
        <v>12223</v>
      </c>
      <c r="B544" s="2" t="s">
        <v>10968</v>
      </c>
      <c r="C544" s="3">
        <v>1</v>
      </c>
      <c r="D544" s="5">
        <v>33.380000000000003</v>
      </c>
      <c r="E544" s="3" t="s">
        <v>10969</v>
      </c>
      <c r="F544" s="2" t="s">
        <v>15</v>
      </c>
      <c r="G544" s="6" t="s">
        <v>156</v>
      </c>
      <c r="H544" s="2" t="s">
        <v>194</v>
      </c>
      <c r="I544" s="2" t="s">
        <v>195</v>
      </c>
      <c r="J544" s="2" t="s">
        <v>19</v>
      </c>
      <c r="K544" s="2" t="s">
        <v>1108</v>
      </c>
      <c r="L544" s="7" t="str">
        <f>HYPERLINK("http://slimages.macys.com/is/image/MCY/13422931 ")</f>
        <v xml:space="preserve">http://slimages.macys.com/is/image/MCY/13422931 </v>
      </c>
    </row>
    <row r="545" spans="1:12" ht="24.75" x14ac:dyDescent="0.25">
      <c r="A545" s="4" t="s">
        <v>12224</v>
      </c>
      <c r="B545" s="2" t="s">
        <v>10968</v>
      </c>
      <c r="C545" s="3">
        <v>1</v>
      </c>
      <c r="D545" s="5">
        <v>33.380000000000003</v>
      </c>
      <c r="E545" s="3" t="s">
        <v>10969</v>
      </c>
      <c r="F545" s="2" t="s">
        <v>15</v>
      </c>
      <c r="G545" s="6" t="s">
        <v>245</v>
      </c>
      <c r="H545" s="2" t="s">
        <v>194</v>
      </c>
      <c r="I545" s="2" t="s">
        <v>195</v>
      </c>
      <c r="J545" s="2" t="s">
        <v>19</v>
      </c>
      <c r="K545" s="2" t="s">
        <v>1108</v>
      </c>
      <c r="L545" s="7" t="str">
        <f>HYPERLINK("http://slimages.macys.com/is/image/MCY/13422931 ")</f>
        <v xml:space="preserve">http://slimages.macys.com/is/image/MCY/13422931 </v>
      </c>
    </row>
    <row r="546" spans="1:12" ht="24.75" x14ac:dyDescent="0.25">
      <c r="A546" s="4" t="s">
        <v>12225</v>
      </c>
      <c r="B546" s="2" t="s">
        <v>10968</v>
      </c>
      <c r="C546" s="3">
        <v>2</v>
      </c>
      <c r="D546" s="5">
        <v>33.380000000000003</v>
      </c>
      <c r="E546" s="3" t="s">
        <v>10969</v>
      </c>
      <c r="F546" s="2" t="s">
        <v>15</v>
      </c>
      <c r="G546" s="6" t="s">
        <v>234</v>
      </c>
      <c r="H546" s="2" t="s">
        <v>194</v>
      </c>
      <c r="I546" s="2" t="s">
        <v>195</v>
      </c>
      <c r="J546" s="2" t="s">
        <v>19</v>
      </c>
      <c r="K546" s="2" t="s">
        <v>1108</v>
      </c>
      <c r="L546" s="7" t="str">
        <f>HYPERLINK("http://slimages.macys.com/is/image/MCY/13422931 ")</f>
        <v xml:space="preserve">http://slimages.macys.com/is/image/MCY/13422931 </v>
      </c>
    </row>
    <row r="547" spans="1:12" ht="24.75" x14ac:dyDescent="0.25">
      <c r="A547" s="4" t="s">
        <v>10970</v>
      </c>
      <c r="B547" s="2" t="s">
        <v>10968</v>
      </c>
      <c r="C547" s="3">
        <v>1</v>
      </c>
      <c r="D547" s="5">
        <v>33.380000000000003</v>
      </c>
      <c r="E547" s="3" t="s">
        <v>10969</v>
      </c>
      <c r="F547" s="2" t="s">
        <v>15</v>
      </c>
      <c r="G547" s="6" t="s">
        <v>154</v>
      </c>
      <c r="H547" s="2" t="s">
        <v>194</v>
      </c>
      <c r="I547" s="2" t="s">
        <v>195</v>
      </c>
      <c r="J547" s="2" t="s">
        <v>19</v>
      </c>
      <c r="K547" s="2" t="s">
        <v>1108</v>
      </c>
      <c r="L547" s="7" t="str">
        <f>HYPERLINK("http://slimages.macys.com/is/image/MCY/13422931 ")</f>
        <v xml:space="preserve">http://slimages.macys.com/is/image/MCY/13422931 </v>
      </c>
    </row>
    <row r="548" spans="1:12" ht="24.75" x14ac:dyDescent="0.25">
      <c r="A548" s="4" t="s">
        <v>12226</v>
      </c>
      <c r="B548" s="2" t="s">
        <v>12227</v>
      </c>
      <c r="C548" s="3">
        <v>1</v>
      </c>
      <c r="D548" s="5">
        <v>40.880000000000003</v>
      </c>
      <c r="E548" s="3" t="s">
        <v>12228</v>
      </c>
      <c r="F548" s="2" t="s">
        <v>417</v>
      </c>
      <c r="G548" s="6" t="s">
        <v>154</v>
      </c>
      <c r="H548" s="2" t="s">
        <v>284</v>
      </c>
      <c r="I548" s="2" t="s">
        <v>285</v>
      </c>
      <c r="J548" s="2" t="s">
        <v>19</v>
      </c>
      <c r="K548" s="2" t="s">
        <v>160</v>
      </c>
      <c r="L548" s="7" t="str">
        <f>HYPERLINK("http://slimages.macys.com/is/image/MCY/10326257 ")</f>
        <v xml:space="preserve">http://slimages.macys.com/is/image/MCY/10326257 </v>
      </c>
    </row>
    <row r="549" spans="1:12" ht="24.75" x14ac:dyDescent="0.25">
      <c r="A549" s="4" t="s">
        <v>4975</v>
      </c>
      <c r="B549" s="2" t="s">
        <v>1402</v>
      </c>
      <c r="C549" s="3">
        <v>1</v>
      </c>
      <c r="D549" s="5">
        <v>37.130000000000003</v>
      </c>
      <c r="E549" s="3" t="s">
        <v>1403</v>
      </c>
      <c r="F549" s="2" t="s">
        <v>376</v>
      </c>
      <c r="G549" s="6" t="s">
        <v>934</v>
      </c>
      <c r="H549" s="2" t="s">
        <v>312</v>
      </c>
      <c r="I549" s="2" t="s">
        <v>195</v>
      </c>
      <c r="J549" s="2" t="s">
        <v>19</v>
      </c>
      <c r="K549" s="2" t="s">
        <v>353</v>
      </c>
      <c r="L549" s="7" t="str">
        <f>HYPERLINK("http://slimages.macys.com/is/image/MCY/11934909 ")</f>
        <v xml:space="preserve">http://slimages.macys.com/is/image/MCY/11934909 </v>
      </c>
    </row>
    <row r="550" spans="1:12" ht="24.75" x14ac:dyDescent="0.25">
      <c r="A550" s="4" t="s">
        <v>12229</v>
      </c>
      <c r="B550" s="2" t="s">
        <v>1402</v>
      </c>
      <c r="C550" s="3">
        <v>1</v>
      </c>
      <c r="D550" s="5">
        <v>37.130000000000003</v>
      </c>
      <c r="E550" s="3" t="s">
        <v>1403</v>
      </c>
      <c r="F550" s="2" t="s">
        <v>376</v>
      </c>
      <c r="G550" s="6" t="s">
        <v>363</v>
      </c>
      <c r="H550" s="2" t="s">
        <v>312</v>
      </c>
      <c r="I550" s="2" t="s">
        <v>195</v>
      </c>
      <c r="J550" s="2" t="s">
        <v>19</v>
      </c>
      <c r="K550" s="2" t="s">
        <v>353</v>
      </c>
      <c r="L550" s="7" t="str">
        <f>HYPERLINK("http://slimages.macys.com/is/image/MCY/11934909 ")</f>
        <v xml:space="preserve">http://slimages.macys.com/is/image/MCY/11934909 </v>
      </c>
    </row>
    <row r="551" spans="1:12" ht="24.75" x14ac:dyDescent="0.25">
      <c r="A551" s="4" t="s">
        <v>12230</v>
      </c>
      <c r="B551" s="2" t="s">
        <v>1416</v>
      </c>
      <c r="C551" s="3">
        <v>2</v>
      </c>
      <c r="D551" s="5">
        <v>21.99</v>
      </c>
      <c r="E551" s="3" t="s">
        <v>8207</v>
      </c>
      <c r="F551" s="2" t="s">
        <v>752</v>
      </c>
      <c r="G551" s="6" t="s">
        <v>58</v>
      </c>
      <c r="H551" s="2" t="s">
        <v>194</v>
      </c>
      <c r="I551" s="2" t="s">
        <v>195</v>
      </c>
      <c r="J551" s="2" t="s">
        <v>19</v>
      </c>
      <c r="K551" s="2" t="s">
        <v>353</v>
      </c>
      <c r="L551" s="7" t="str">
        <f>HYPERLINK("http://slimages.macys.com/is/image/MCY/8141463 ")</f>
        <v xml:space="preserve">http://slimages.macys.com/is/image/MCY/8141463 </v>
      </c>
    </row>
    <row r="552" spans="1:12" ht="24.75" x14ac:dyDescent="0.25">
      <c r="A552" s="4" t="s">
        <v>12231</v>
      </c>
      <c r="B552" s="2" t="s">
        <v>1416</v>
      </c>
      <c r="C552" s="3">
        <v>1</v>
      </c>
      <c r="D552" s="5">
        <v>21.99</v>
      </c>
      <c r="E552" s="3" t="s">
        <v>8207</v>
      </c>
      <c r="F552" s="2" t="s">
        <v>752</v>
      </c>
      <c r="G552" s="6" t="s">
        <v>65</v>
      </c>
      <c r="H552" s="2" t="s">
        <v>194</v>
      </c>
      <c r="I552" s="2" t="s">
        <v>195</v>
      </c>
      <c r="J552" s="2" t="s">
        <v>19</v>
      </c>
      <c r="K552" s="2" t="s">
        <v>353</v>
      </c>
      <c r="L552" s="7" t="str">
        <f>HYPERLINK("http://slimages.macys.com/is/image/MCY/8141463 ")</f>
        <v xml:space="preserve">http://slimages.macys.com/is/image/MCY/8141463 </v>
      </c>
    </row>
    <row r="553" spans="1:12" ht="24.75" x14ac:dyDescent="0.25">
      <c r="A553" s="4" t="s">
        <v>12232</v>
      </c>
      <c r="B553" s="2" t="s">
        <v>1416</v>
      </c>
      <c r="C553" s="3">
        <v>1</v>
      </c>
      <c r="D553" s="5">
        <v>21.99</v>
      </c>
      <c r="E553" s="3" t="s">
        <v>8719</v>
      </c>
      <c r="F553" s="2" t="s">
        <v>413</v>
      </c>
      <c r="G553" s="6" t="s">
        <v>106</v>
      </c>
      <c r="H553" s="2" t="s">
        <v>194</v>
      </c>
      <c r="I553" s="2" t="s">
        <v>195</v>
      </c>
      <c r="J553" s="2" t="s">
        <v>19</v>
      </c>
      <c r="K553" s="2" t="s">
        <v>353</v>
      </c>
      <c r="L553" s="7" t="str">
        <f>HYPERLINK("http://slimages.macys.com/is/image/MCY/8141463 ")</f>
        <v xml:space="preserve">http://slimages.macys.com/is/image/MCY/8141463 </v>
      </c>
    </row>
    <row r="554" spans="1:12" ht="24.75" x14ac:dyDescent="0.25">
      <c r="A554" s="4" t="s">
        <v>12233</v>
      </c>
      <c r="B554" s="2" t="s">
        <v>1416</v>
      </c>
      <c r="C554" s="3">
        <v>1</v>
      </c>
      <c r="D554" s="5">
        <v>21.99</v>
      </c>
      <c r="E554" s="3" t="s">
        <v>8719</v>
      </c>
      <c r="F554" s="2" t="s">
        <v>413</v>
      </c>
      <c r="G554" s="6" t="s">
        <v>16</v>
      </c>
      <c r="H554" s="2" t="s">
        <v>194</v>
      </c>
      <c r="I554" s="2" t="s">
        <v>195</v>
      </c>
      <c r="J554" s="2" t="s">
        <v>19</v>
      </c>
      <c r="K554" s="2" t="s">
        <v>353</v>
      </c>
      <c r="L554" s="7" t="str">
        <f>HYPERLINK("http://slimages.macys.com/is/image/MCY/8141463 ")</f>
        <v xml:space="preserve">http://slimages.macys.com/is/image/MCY/8141463 </v>
      </c>
    </row>
    <row r="555" spans="1:12" ht="24.75" x14ac:dyDescent="0.25">
      <c r="A555" s="4" t="s">
        <v>12234</v>
      </c>
      <c r="B555" s="2" t="s">
        <v>1416</v>
      </c>
      <c r="C555" s="3">
        <v>1</v>
      </c>
      <c r="D555" s="5">
        <v>21.99</v>
      </c>
      <c r="E555" s="3" t="s">
        <v>8207</v>
      </c>
      <c r="F555" s="2" t="s">
        <v>752</v>
      </c>
      <c r="G555" s="6" t="s">
        <v>27</v>
      </c>
      <c r="H555" s="2" t="s">
        <v>194</v>
      </c>
      <c r="I555" s="2" t="s">
        <v>195</v>
      </c>
      <c r="J555" s="2" t="s">
        <v>19</v>
      </c>
      <c r="K555" s="2" t="s">
        <v>353</v>
      </c>
      <c r="L555" s="7" t="str">
        <f>HYPERLINK("http://slimages.macys.com/is/image/MCY/8141463 ")</f>
        <v xml:space="preserve">http://slimages.macys.com/is/image/MCY/8141463 </v>
      </c>
    </row>
    <row r="556" spans="1:12" ht="24.75" x14ac:dyDescent="0.25">
      <c r="A556" s="4" t="s">
        <v>12235</v>
      </c>
      <c r="B556" s="2" t="s">
        <v>10976</v>
      </c>
      <c r="C556" s="3">
        <v>1</v>
      </c>
      <c r="D556" s="5">
        <v>26.99</v>
      </c>
      <c r="E556" s="3" t="s">
        <v>10977</v>
      </c>
      <c r="F556" s="2" t="s">
        <v>53</v>
      </c>
      <c r="G556" s="6" t="s">
        <v>746</v>
      </c>
      <c r="H556" s="2" t="s">
        <v>349</v>
      </c>
      <c r="I556" s="2" t="s">
        <v>285</v>
      </c>
      <c r="J556" s="2" t="s">
        <v>19</v>
      </c>
      <c r="K556" s="2" t="s">
        <v>247</v>
      </c>
      <c r="L556" s="7" t="str">
        <f>HYPERLINK("http://slimages.macys.com/is/image/MCY/15294776 ")</f>
        <v xml:space="preserve">http://slimages.macys.com/is/image/MCY/15294776 </v>
      </c>
    </row>
    <row r="557" spans="1:12" ht="24.75" x14ac:dyDescent="0.25">
      <c r="A557" s="4" t="s">
        <v>12236</v>
      </c>
      <c r="B557" s="2" t="s">
        <v>10976</v>
      </c>
      <c r="C557" s="3">
        <v>1</v>
      </c>
      <c r="D557" s="5">
        <v>26.99</v>
      </c>
      <c r="E557" s="3" t="s">
        <v>10977</v>
      </c>
      <c r="F557" s="2" t="s">
        <v>53</v>
      </c>
      <c r="G557" s="6" t="s">
        <v>2276</v>
      </c>
      <c r="H557" s="2" t="s">
        <v>349</v>
      </c>
      <c r="I557" s="2" t="s">
        <v>285</v>
      </c>
      <c r="J557" s="2" t="s">
        <v>19</v>
      </c>
      <c r="K557" s="2" t="s">
        <v>247</v>
      </c>
      <c r="L557" s="7" t="str">
        <f>HYPERLINK("http://slimages.macys.com/is/image/MCY/15294776 ")</f>
        <v xml:space="preserve">http://slimages.macys.com/is/image/MCY/15294776 </v>
      </c>
    </row>
    <row r="558" spans="1:12" ht="24.75" x14ac:dyDescent="0.25">
      <c r="A558" s="4" t="s">
        <v>12237</v>
      </c>
      <c r="B558" s="2" t="s">
        <v>12238</v>
      </c>
      <c r="C558" s="3">
        <v>1</v>
      </c>
      <c r="D558" s="5">
        <v>24.99</v>
      </c>
      <c r="E558" s="3" t="s">
        <v>12239</v>
      </c>
      <c r="F558" s="2" t="s">
        <v>79</v>
      </c>
      <c r="G558" s="6" t="s">
        <v>156</v>
      </c>
      <c r="H558" s="2" t="s">
        <v>1473</v>
      </c>
      <c r="I558" s="2" t="s">
        <v>1426</v>
      </c>
      <c r="J558" s="2" t="s">
        <v>19</v>
      </c>
      <c r="K558" s="2" t="s">
        <v>2302</v>
      </c>
      <c r="L558" s="7" t="str">
        <f>HYPERLINK("http://slimages.macys.com/is/image/MCY/14660553 ")</f>
        <v xml:space="preserve">http://slimages.macys.com/is/image/MCY/14660553 </v>
      </c>
    </row>
    <row r="559" spans="1:12" ht="24.75" x14ac:dyDescent="0.25">
      <c r="A559" s="4" t="s">
        <v>12240</v>
      </c>
      <c r="B559" s="2" t="s">
        <v>7507</v>
      </c>
      <c r="C559" s="3">
        <v>1</v>
      </c>
      <c r="D559" s="5">
        <v>24.99</v>
      </c>
      <c r="E559" s="3" t="s">
        <v>12241</v>
      </c>
      <c r="F559" s="2" t="s">
        <v>15</v>
      </c>
      <c r="G559" s="6" t="s">
        <v>181</v>
      </c>
      <c r="H559" s="2" t="s">
        <v>1473</v>
      </c>
      <c r="I559" s="2" t="s">
        <v>1426</v>
      </c>
      <c r="J559" s="2" t="s">
        <v>19</v>
      </c>
      <c r="K559" s="2" t="s">
        <v>1431</v>
      </c>
      <c r="L559" s="7" t="str">
        <f>HYPERLINK("http://slimages.macys.com/is/image/MCY/11774703 ")</f>
        <v xml:space="preserve">http://slimages.macys.com/is/image/MCY/11774703 </v>
      </c>
    </row>
    <row r="560" spans="1:12" ht="24.75" x14ac:dyDescent="0.25">
      <c r="A560" s="4" t="s">
        <v>12242</v>
      </c>
      <c r="B560" s="2" t="s">
        <v>3917</v>
      </c>
      <c r="C560" s="3">
        <v>1</v>
      </c>
      <c r="D560" s="5">
        <v>24.99</v>
      </c>
      <c r="E560" s="3" t="s">
        <v>3918</v>
      </c>
      <c r="F560" s="2" t="s">
        <v>79</v>
      </c>
      <c r="G560" s="6" t="s">
        <v>156</v>
      </c>
      <c r="H560" s="2" t="s">
        <v>1473</v>
      </c>
      <c r="I560" s="2" t="s">
        <v>1426</v>
      </c>
      <c r="J560" s="2" t="s">
        <v>19</v>
      </c>
      <c r="K560" s="2" t="s">
        <v>1431</v>
      </c>
      <c r="L560" s="7" t="str">
        <f>HYPERLINK("http://slimages.macys.com/is/image/MCY/10746147 ")</f>
        <v xml:space="preserve">http://slimages.macys.com/is/image/MCY/10746147 </v>
      </c>
    </row>
    <row r="561" spans="1:12" ht="24.75" x14ac:dyDescent="0.25">
      <c r="A561" s="4" t="s">
        <v>12243</v>
      </c>
      <c r="B561" s="2" t="s">
        <v>2686</v>
      </c>
      <c r="C561" s="3">
        <v>1</v>
      </c>
      <c r="D561" s="5">
        <v>34.5</v>
      </c>
      <c r="E561" s="3">
        <v>100062503</v>
      </c>
      <c r="F561" s="2" t="s">
        <v>417</v>
      </c>
      <c r="G561" s="6" t="s">
        <v>112</v>
      </c>
      <c r="H561" s="2" t="s">
        <v>228</v>
      </c>
      <c r="I561" s="2" t="s">
        <v>229</v>
      </c>
      <c r="J561" s="2" t="s">
        <v>19</v>
      </c>
      <c r="K561" s="2" t="s">
        <v>253</v>
      </c>
      <c r="L561" s="7" t="str">
        <f>HYPERLINK("http://slimages.macys.com/is/image/MCY/12849901 ")</f>
        <v xml:space="preserve">http://slimages.macys.com/is/image/MCY/12849901 </v>
      </c>
    </row>
    <row r="562" spans="1:12" ht="24.75" x14ac:dyDescent="0.25">
      <c r="A562" s="4" t="s">
        <v>12244</v>
      </c>
      <c r="B562" s="2" t="s">
        <v>2686</v>
      </c>
      <c r="C562" s="3">
        <v>1</v>
      </c>
      <c r="D562" s="5">
        <v>34.5</v>
      </c>
      <c r="E562" s="3">
        <v>100062503</v>
      </c>
      <c r="F562" s="2" t="s">
        <v>417</v>
      </c>
      <c r="G562" s="6" t="s">
        <v>65</v>
      </c>
      <c r="H562" s="2" t="s">
        <v>228</v>
      </c>
      <c r="I562" s="2" t="s">
        <v>229</v>
      </c>
      <c r="J562" s="2" t="s">
        <v>19</v>
      </c>
      <c r="K562" s="2" t="s">
        <v>253</v>
      </c>
      <c r="L562" s="7" t="str">
        <f>HYPERLINK("http://slimages.macys.com/is/image/MCY/12849901 ")</f>
        <v xml:space="preserve">http://slimages.macys.com/is/image/MCY/12849901 </v>
      </c>
    </row>
    <row r="563" spans="1:12" ht="24.75" x14ac:dyDescent="0.25">
      <c r="A563" s="4" t="s">
        <v>10996</v>
      </c>
      <c r="B563" s="2" t="s">
        <v>2686</v>
      </c>
      <c r="C563" s="3">
        <v>1</v>
      </c>
      <c r="D563" s="5">
        <v>34.5</v>
      </c>
      <c r="E563" s="3">
        <v>100062503</v>
      </c>
      <c r="F563" s="2" t="s">
        <v>417</v>
      </c>
      <c r="G563" s="6" t="s">
        <v>141</v>
      </c>
      <c r="H563" s="2" t="s">
        <v>228</v>
      </c>
      <c r="I563" s="2" t="s">
        <v>229</v>
      </c>
      <c r="J563" s="2" t="s">
        <v>19</v>
      </c>
      <c r="K563" s="2" t="s">
        <v>253</v>
      </c>
      <c r="L563" s="7" t="str">
        <f>HYPERLINK("http://slimages.macys.com/is/image/MCY/12849901 ")</f>
        <v xml:space="preserve">http://slimages.macys.com/is/image/MCY/12849901 </v>
      </c>
    </row>
    <row r="564" spans="1:12" ht="24.75" x14ac:dyDescent="0.25">
      <c r="A564" s="4" t="s">
        <v>12245</v>
      </c>
      <c r="B564" s="2" t="s">
        <v>2686</v>
      </c>
      <c r="C564" s="3">
        <v>2</v>
      </c>
      <c r="D564" s="5">
        <v>34.5</v>
      </c>
      <c r="E564" s="3">
        <v>100062503</v>
      </c>
      <c r="F564" s="2" t="s">
        <v>417</v>
      </c>
      <c r="G564" s="6" t="s">
        <v>22</v>
      </c>
      <c r="H564" s="2" t="s">
        <v>228</v>
      </c>
      <c r="I564" s="2" t="s">
        <v>229</v>
      </c>
      <c r="J564" s="2" t="s">
        <v>19</v>
      </c>
      <c r="K564" s="2" t="s">
        <v>253</v>
      </c>
      <c r="L564" s="7" t="str">
        <f>HYPERLINK("http://slimages.macys.com/is/image/MCY/12849901 ")</f>
        <v xml:space="preserve">http://slimages.macys.com/is/image/MCY/12849901 </v>
      </c>
    </row>
    <row r="565" spans="1:12" ht="24.75" x14ac:dyDescent="0.25">
      <c r="A565" s="4" t="s">
        <v>10995</v>
      </c>
      <c r="B565" s="2" t="s">
        <v>2686</v>
      </c>
      <c r="C565" s="3">
        <v>1</v>
      </c>
      <c r="D565" s="5">
        <v>34.5</v>
      </c>
      <c r="E565" s="3">
        <v>100062503</v>
      </c>
      <c r="F565" s="2" t="s">
        <v>417</v>
      </c>
      <c r="G565" s="6" t="s">
        <v>16</v>
      </c>
      <c r="H565" s="2" t="s">
        <v>228</v>
      </c>
      <c r="I565" s="2" t="s">
        <v>229</v>
      </c>
      <c r="J565" s="2" t="s">
        <v>19</v>
      </c>
      <c r="K565" s="2" t="s">
        <v>253</v>
      </c>
      <c r="L565" s="7" t="str">
        <f>HYPERLINK("http://slimages.macys.com/is/image/MCY/12849901 ")</f>
        <v xml:space="preserve">http://slimages.macys.com/is/image/MCY/12849901 </v>
      </c>
    </row>
    <row r="566" spans="1:12" ht="24.75" x14ac:dyDescent="0.25">
      <c r="A566" s="4" t="s">
        <v>12246</v>
      </c>
      <c r="B566" s="2" t="s">
        <v>1444</v>
      </c>
      <c r="C566" s="3">
        <v>1</v>
      </c>
      <c r="D566" s="5">
        <v>34.880000000000003</v>
      </c>
      <c r="E566" s="3">
        <v>100042376</v>
      </c>
      <c r="F566" s="2" t="s">
        <v>79</v>
      </c>
      <c r="G566" s="6" t="s">
        <v>106</v>
      </c>
      <c r="H566" s="2" t="s">
        <v>194</v>
      </c>
      <c r="I566" s="2" t="s">
        <v>195</v>
      </c>
      <c r="J566" s="2" t="s">
        <v>19</v>
      </c>
      <c r="K566" s="2" t="s">
        <v>353</v>
      </c>
      <c r="L566" s="7" t="str">
        <f>HYPERLINK("http://slimages.macys.com/is/image/MCY/11764758 ")</f>
        <v xml:space="preserve">http://slimages.macys.com/is/image/MCY/11764758 </v>
      </c>
    </row>
    <row r="567" spans="1:12" ht="24.75" x14ac:dyDescent="0.25">
      <c r="A567" s="4" t="s">
        <v>12247</v>
      </c>
      <c r="B567" s="2" t="s">
        <v>10999</v>
      </c>
      <c r="C567" s="3">
        <v>1</v>
      </c>
      <c r="D567" s="5">
        <v>21.99</v>
      </c>
      <c r="E567" s="3" t="s">
        <v>11000</v>
      </c>
      <c r="F567" s="2" t="s">
        <v>506</v>
      </c>
      <c r="G567" s="6" t="s">
        <v>65</v>
      </c>
      <c r="H567" s="2" t="s">
        <v>194</v>
      </c>
      <c r="I567" s="2" t="s">
        <v>195</v>
      </c>
      <c r="J567" s="2" t="s">
        <v>19</v>
      </c>
      <c r="K567" s="2" t="s">
        <v>353</v>
      </c>
      <c r="L567" s="7" t="str">
        <f>HYPERLINK("http://slimages.macys.com/is/image/MCY/8141463 ")</f>
        <v xml:space="preserve">http://slimages.macys.com/is/image/MCY/8141463 </v>
      </c>
    </row>
    <row r="568" spans="1:12" ht="24.75" x14ac:dyDescent="0.25">
      <c r="A568" s="4" t="s">
        <v>8727</v>
      </c>
      <c r="B568" s="2" t="s">
        <v>1416</v>
      </c>
      <c r="C568" s="3">
        <v>1</v>
      </c>
      <c r="D568" s="5">
        <v>21.99</v>
      </c>
      <c r="E568" s="3" t="s">
        <v>1451</v>
      </c>
      <c r="F568" s="2" t="s">
        <v>79</v>
      </c>
      <c r="G568" s="6" t="s">
        <v>106</v>
      </c>
      <c r="H568" s="2" t="s">
        <v>194</v>
      </c>
      <c r="I568" s="2" t="s">
        <v>195</v>
      </c>
      <c r="J568" s="2" t="s">
        <v>19</v>
      </c>
      <c r="K568" s="2" t="s">
        <v>353</v>
      </c>
      <c r="L568" s="7" t="str">
        <f>HYPERLINK("http://slimages.macys.com/is/image/MCY/12033149 ")</f>
        <v xml:space="preserve">http://slimages.macys.com/is/image/MCY/12033149 </v>
      </c>
    </row>
    <row r="569" spans="1:12" ht="24.75" x14ac:dyDescent="0.25">
      <c r="A569" s="4" t="s">
        <v>12248</v>
      </c>
      <c r="B569" s="2" t="s">
        <v>12249</v>
      </c>
      <c r="C569" s="3">
        <v>2</v>
      </c>
      <c r="D569" s="5">
        <v>25.99</v>
      </c>
      <c r="E569" s="3" t="s">
        <v>12250</v>
      </c>
      <c r="F569" s="2" t="s">
        <v>64</v>
      </c>
      <c r="G569" s="6" t="s">
        <v>181</v>
      </c>
      <c r="H569" s="2" t="s">
        <v>1473</v>
      </c>
      <c r="I569" s="2" t="s">
        <v>1426</v>
      </c>
      <c r="J569" s="2" t="s">
        <v>19</v>
      </c>
      <c r="K569" s="2" t="s">
        <v>648</v>
      </c>
      <c r="L569" s="7" t="str">
        <f>HYPERLINK("http://slimages.macys.com/is/image/MCY/13744047 ")</f>
        <v xml:space="preserve">http://slimages.macys.com/is/image/MCY/13744047 </v>
      </c>
    </row>
    <row r="570" spans="1:12" ht="24.75" x14ac:dyDescent="0.25">
      <c r="A570" s="4" t="s">
        <v>12251</v>
      </c>
      <c r="B570" s="2" t="s">
        <v>1456</v>
      </c>
      <c r="C570" s="3">
        <v>1</v>
      </c>
      <c r="D570" s="5">
        <v>36.5</v>
      </c>
      <c r="E570" s="3" t="s">
        <v>12252</v>
      </c>
      <c r="F570" s="2" t="s">
        <v>64</v>
      </c>
      <c r="G570" s="6" t="s">
        <v>234</v>
      </c>
      <c r="H570" s="2" t="s">
        <v>194</v>
      </c>
      <c r="I570" s="2" t="s">
        <v>195</v>
      </c>
      <c r="J570" s="2" t="s">
        <v>19</v>
      </c>
      <c r="K570" s="2" t="s">
        <v>34</v>
      </c>
      <c r="L570" s="7" t="str">
        <f>HYPERLINK("http://slimages.macys.com/is/image/MCY/9405173 ")</f>
        <v xml:space="preserve">http://slimages.macys.com/is/image/MCY/9405173 </v>
      </c>
    </row>
    <row r="571" spans="1:12" ht="24.75" x14ac:dyDescent="0.25">
      <c r="A571" s="4" t="s">
        <v>11006</v>
      </c>
      <c r="B571" s="2" t="s">
        <v>5935</v>
      </c>
      <c r="C571" s="3">
        <v>1</v>
      </c>
      <c r="D571" s="5">
        <v>29.63</v>
      </c>
      <c r="E571" s="3" t="s">
        <v>5936</v>
      </c>
      <c r="F571" s="2" t="s">
        <v>413</v>
      </c>
      <c r="G571" s="6" t="s">
        <v>181</v>
      </c>
      <c r="H571" s="2" t="s">
        <v>284</v>
      </c>
      <c r="I571" s="2" t="s">
        <v>285</v>
      </c>
      <c r="J571" s="2" t="s">
        <v>19</v>
      </c>
      <c r="K571" s="2" t="s">
        <v>247</v>
      </c>
      <c r="L571" s="7" t="str">
        <f>HYPERLINK("http://slimages.macys.com/is/image/MCY/12076409 ")</f>
        <v xml:space="preserve">http://slimages.macys.com/is/image/MCY/12076409 </v>
      </c>
    </row>
    <row r="572" spans="1:12" ht="24.75" x14ac:dyDescent="0.25">
      <c r="A572" s="4" t="s">
        <v>12253</v>
      </c>
      <c r="B572" s="2" t="s">
        <v>12254</v>
      </c>
      <c r="C572" s="3">
        <v>1</v>
      </c>
      <c r="D572" s="5">
        <v>49.5</v>
      </c>
      <c r="E572" s="3" t="s">
        <v>12255</v>
      </c>
      <c r="F572" s="2" t="s">
        <v>15</v>
      </c>
      <c r="G572" s="6" t="s">
        <v>187</v>
      </c>
      <c r="H572" s="2" t="s">
        <v>206</v>
      </c>
      <c r="I572" s="2" t="s">
        <v>207</v>
      </c>
      <c r="J572" s="2" t="s">
        <v>19</v>
      </c>
      <c r="K572" s="2" t="s">
        <v>12256</v>
      </c>
      <c r="L572" s="7" t="str">
        <f>HYPERLINK("http://slimages.macys.com/is/image/MCY/11714058 ")</f>
        <v xml:space="preserve">http://slimages.macys.com/is/image/MCY/11714058 </v>
      </c>
    </row>
    <row r="573" spans="1:12" ht="24.75" x14ac:dyDescent="0.25">
      <c r="A573" s="4" t="s">
        <v>11012</v>
      </c>
      <c r="B573" s="2" t="s">
        <v>1462</v>
      </c>
      <c r="C573" s="3">
        <v>1</v>
      </c>
      <c r="D573" s="5">
        <v>37.130000000000003</v>
      </c>
      <c r="E573" s="3" t="s">
        <v>11011</v>
      </c>
      <c r="F573" s="2" t="s">
        <v>376</v>
      </c>
      <c r="G573" s="6" t="s">
        <v>200</v>
      </c>
      <c r="H573" s="2" t="s">
        <v>194</v>
      </c>
      <c r="I573" s="2" t="s">
        <v>1112</v>
      </c>
      <c r="J573" s="2" t="s">
        <v>19</v>
      </c>
      <c r="K573" s="2" t="s">
        <v>409</v>
      </c>
      <c r="L573" s="7" t="str">
        <f>HYPERLINK("http://slimages.macys.com/is/image/MCY/8106050 ")</f>
        <v xml:space="preserve">http://slimages.macys.com/is/image/MCY/8106050 </v>
      </c>
    </row>
    <row r="574" spans="1:12" ht="24.75" x14ac:dyDescent="0.25">
      <c r="A574" s="4" t="s">
        <v>12257</v>
      </c>
      <c r="B574" s="2" t="s">
        <v>1465</v>
      </c>
      <c r="C574" s="3">
        <v>1</v>
      </c>
      <c r="D574" s="5">
        <v>34.880000000000003</v>
      </c>
      <c r="E574" s="3">
        <v>100054394</v>
      </c>
      <c r="F574" s="2" t="s">
        <v>26</v>
      </c>
      <c r="G574" s="6" t="s">
        <v>27</v>
      </c>
      <c r="H574" s="2" t="s">
        <v>194</v>
      </c>
      <c r="I574" s="2" t="s">
        <v>195</v>
      </c>
      <c r="J574" s="2" t="s">
        <v>19</v>
      </c>
      <c r="K574" s="2" t="s">
        <v>353</v>
      </c>
      <c r="L574" s="7" t="str">
        <f>HYPERLINK("http://slimages.macys.com/is/image/MCY/12404668 ")</f>
        <v xml:space="preserve">http://slimages.macys.com/is/image/MCY/12404668 </v>
      </c>
    </row>
    <row r="575" spans="1:12" ht="24.75" x14ac:dyDescent="0.25">
      <c r="A575" s="4" t="s">
        <v>12258</v>
      </c>
      <c r="B575" s="2" t="s">
        <v>12259</v>
      </c>
      <c r="C575" s="3">
        <v>1</v>
      </c>
      <c r="D575" s="5">
        <v>19.989999999999998</v>
      </c>
      <c r="E575" s="3" t="s">
        <v>12260</v>
      </c>
      <c r="F575" s="2" t="s">
        <v>74</v>
      </c>
      <c r="G575" s="6" t="s">
        <v>245</v>
      </c>
      <c r="H575" s="2" t="s">
        <v>1473</v>
      </c>
      <c r="I575" s="2" t="s">
        <v>1426</v>
      </c>
      <c r="J575" s="2" t="s">
        <v>19</v>
      </c>
      <c r="K575" s="2" t="s">
        <v>495</v>
      </c>
      <c r="L575" s="7" t="str">
        <f>HYPERLINK("http://slimages.macys.com/is/image/MCY/14825268 ")</f>
        <v xml:space="preserve">http://slimages.macys.com/is/image/MCY/14825268 </v>
      </c>
    </row>
    <row r="576" spans="1:12" ht="24.75" x14ac:dyDescent="0.25">
      <c r="A576" s="4" t="s">
        <v>12261</v>
      </c>
      <c r="B576" s="2" t="s">
        <v>5948</v>
      </c>
      <c r="C576" s="3">
        <v>1</v>
      </c>
      <c r="D576" s="5">
        <v>24.99</v>
      </c>
      <c r="E576" s="3" t="s">
        <v>7526</v>
      </c>
      <c r="F576" s="2" t="s">
        <v>74</v>
      </c>
      <c r="G576" s="6" t="s">
        <v>126</v>
      </c>
      <c r="H576" s="2" t="s">
        <v>1425</v>
      </c>
      <c r="I576" s="2" t="s">
        <v>1426</v>
      </c>
      <c r="J576" s="2" t="s">
        <v>19</v>
      </c>
      <c r="K576" s="2" t="s">
        <v>353</v>
      </c>
      <c r="L576" s="7" t="str">
        <f>HYPERLINK("http://slimages.macys.com/is/image/MCY/11134801 ")</f>
        <v xml:space="preserve">http://slimages.macys.com/is/image/MCY/11134801 </v>
      </c>
    </row>
    <row r="577" spans="1:12" ht="24.75" x14ac:dyDescent="0.25">
      <c r="A577" s="4" t="s">
        <v>12262</v>
      </c>
      <c r="B577" s="2" t="s">
        <v>12263</v>
      </c>
      <c r="C577" s="3">
        <v>1</v>
      </c>
      <c r="D577" s="5">
        <v>33.380000000000003</v>
      </c>
      <c r="E577" s="3" t="s">
        <v>12264</v>
      </c>
      <c r="F577" s="2" t="s">
        <v>64</v>
      </c>
      <c r="G577" s="6" t="s">
        <v>200</v>
      </c>
      <c r="H577" s="2" t="s">
        <v>246</v>
      </c>
      <c r="I577" s="2" t="s">
        <v>189</v>
      </c>
      <c r="J577" s="2" t="s">
        <v>19</v>
      </c>
      <c r="K577" s="2" t="s">
        <v>160</v>
      </c>
      <c r="L577" s="7" t="str">
        <f>HYPERLINK("http://slimages.macys.com/is/image/MCY/12934811 ")</f>
        <v xml:space="preserve">http://slimages.macys.com/is/image/MCY/12934811 </v>
      </c>
    </row>
    <row r="578" spans="1:12" ht="24.75" x14ac:dyDescent="0.25">
      <c r="A578" s="4" t="s">
        <v>3928</v>
      </c>
      <c r="B578" s="2" t="s">
        <v>3929</v>
      </c>
      <c r="C578" s="3">
        <v>1</v>
      </c>
      <c r="D578" s="5">
        <v>37.130000000000003</v>
      </c>
      <c r="E578" s="3" t="s">
        <v>3930</v>
      </c>
      <c r="F578" s="2" t="s">
        <v>15</v>
      </c>
      <c r="G578" s="6" t="s">
        <v>154</v>
      </c>
      <c r="H578" s="2" t="s">
        <v>284</v>
      </c>
      <c r="I578" s="2" t="s">
        <v>285</v>
      </c>
      <c r="J578" s="2" t="s">
        <v>19</v>
      </c>
      <c r="K578" s="2" t="s">
        <v>160</v>
      </c>
      <c r="L578" s="7" t="str">
        <f>HYPERLINK("http://slimages.macys.com/is/image/MCY/12672394 ")</f>
        <v xml:space="preserve">http://slimages.macys.com/is/image/MCY/12672394 </v>
      </c>
    </row>
    <row r="579" spans="1:12" x14ac:dyDescent="0.25">
      <c r="A579" s="4" t="s">
        <v>5018</v>
      </c>
      <c r="B579" s="2" t="s">
        <v>1486</v>
      </c>
      <c r="C579" s="3">
        <v>1</v>
      </c>
      <c r="D579" s="5">
        <v>39.5</v>
      </c>
      <c r="E579" s="3" t="s">
        <v>1487</v>
      </c>
      <c r="F579" s="2" t="s">
        <v>111</v>
      </c>
      <c r="G579" s="6"/>
      <c r="H579" s="2" t="s">
        <v>206</v>
      </c>
      <c r="I579" s="2" t="s">
        <v>207</v>
      </c>
      <c r="J579" s="2" t="s">
        <v>19</v>
      </c>
      <c r="K579" s="2" t="s">
        <v>1488</v>
      </c>
      <c r="L579" s="7" t="str">
        <f>HYPERLINK("http://slimages.macys.com/is/image/MCY/12953073 ")</f>
        <v xml:space="preserve">http://slimages.macys.com/is/image/MCY/12953073 </v>
      </c>
    </row>
    <row r="580" spans="1:12" x14ac:dyDescent="0.25">
      <c r="A580" s="4" t="s">
        <v>6695</v>
      </c>
      <c r="B580" s="2" t="s">
        <v>1486</v>
      </c>
      <c r="C580" s="3">
        <v>2</v>
      </c>
      <c r="D580" s="5">
        <v>39.5</v>
      </c>
      <c r="E580" s="3" t="s">
        <v>1487</v>
      </c>
      <c r="F580" s="2" t="s">
        <v>111</v>
      </c>
      <c r="G580" s="6"/>
      <c r="H580" s="2" t="s">
        <v>206</v>
      </c>
      <c r="I580" s="2" t="s">
        <v>207</v>
      </c>
      <c r="J580" s="2" t="s">
        <v>19</v>
      </c>
      <c r="K580" s="2" t="s">
        <v>1488</v>
      </c>
      <c r="L580" s="7" t="str">
        <f>HYPERLINK("http://slimages.macys.com/is/image/MCY/12953073 ")</f>
        <v xml:space="preserve">http://slimages.macys.com/is/image/MCY/12953073 </v>
      </c>
    </row>
    <row r="581" spans="1:12" ht="24.75" x14ac:dyDescent="0.25">
      <c r="A581" s="4" t="s">
        <v>12265</v>
      </c>
      <c r="B581" s="2" t="s">
        <v>11028</v>
      </c>
      <c r="C581" s="3">
        <v>1</v>
      </c>
      <c r="D581" s="5">
        <v>19.989999999999998</v>
      </c>
      <c r="E581" s="3" t="s">
        <v>11029</v>
      </c>
      <c r="F581" s="2" t="s">
        <v>1322</v>
      </c>
      <c r="G581" s="6" t="s">
        <v>200</v>
      </c>
      <c r="H581" s="2" t="s">
        <v>1473</v>
      </c>
      <c r="I581" s="2" t="s">
        <v>1426</v>
      </c>
      <c r="J581" s="2" t="s">
        <v>19</v>
      </c>
      <c r="K581" s="2" t="s">
        <v>495</v>
      </c>
      <c r="L581" s="7" t="str">
        <f>HYPERLINK("http://slimages.macys.com/is/image/MCY/14825142 ")</f>
        <v xml:space="preserve">http://slimages.macys.com/is/image/MCY/14825142 </v>
      </c>
    </row>
    <row r="582" spans="1:12" ht="24.75" x14ac:dyDescent="0.25">
      <c r="A582" s="4" t="s">
        <v>12266</v>
      </c>
      <c r="B582" s="2" t="s">
        <v>11028</v>
      </c>
      <c r="C582" s="3">
        <v>1</v>
      </c>
      <c r="D582" s="5">
        <v>19.989999999999998</v>
      </c>
      <c r="E582" s="3" t="s">
        <v>11029</v>
      </c>
      <c r="F582" s="2" t="s">
        <v>1322</v>
      </c>
      <c r="G582" s="6" t="s">
        <v>245</v>
      </c>
      <c r="H582" s="2" t="s">
        <v>1473</v>
      </c>
      <c r="I582" s="2" t="s">
        <v>1426</v>
      </c>
      <c r="J582" s="2" t="s">
        <v>19</v>
      </c>
      <c r="K582" s="2" t="s">
        <v>495</v>
      </c>
      <c r="L582" s="7" t="str">
        <f>HYPERLINK("http://slimages.macys.com/is/image/MCY/14825142 ")</f>
        <v xml:space="preserve">http://slimages.macys.com/is/image/MCY/14825142 </v>
      </c>
    </row>
    <row r="583" spans="1:12" ht="24.75" x14ac:dyDescent="0.25">
      <c r="A583" s="4" t="s">
        <v>6698</v>
      </c>
      <c r="B583" s="2" t="s">
        <v>2779</v>
      </c>
      <c r="C583" s="3">
        <v>1</v>
      </c>
      <c r="D583" s="5">
        <v>29.63</v>
      </c>
      <c r="E583" s="3" t="s">
        <v>2780</v>
      </c>
      <c r="F583" s="2" t="s">
        <v>125</v>
      </c>
      <c r="G583" s="6" t="s">
        <v>181</v>
      </c>
      <c r="H583" s="2" t="s">
        <v>194</v>
      </c>
      <c r="I583" s="2" t="s">
        <v>195</v>
      </c>
      <c r="J583" s="2" t="s">
        <v>19</v>
      </c>
      <c r="K583" s="2" t="s">
        <v>247</v>
      </c>
      <c r="L583" s="7" t="str">
        <f>HYPERLINK("http://slimages.macys.com/is/image/MCY/12279859 ")</f>
        <v xml:space="preserve">http://slimages.macys.com/is/image/MCY/12279859 </v>
      </c>
    </row>
    <row r="584" spans="1:12" ht="24.75" x14ac:dyDescent="0.25">
      <c r="A584" s="4" t="s">
        <v>2778</v>
      </c>
      <c r="B584" s="2" t="s">
        <v>2779</v>
      </c>
      <c r="C584" s="3">
        <v>1</v>
      </c>
      <c r="D584" s="5">
        <v>29.63</v>
      </c>
      <c r="E584" s="3" t="s">
        <v>2780</v>
      </c>
      <c r="F584" s="2" t="s">
        <v>125</v>
      </c>
      <c r="G584" s="6" t="s">
        <v>234</v>
      </c>
      <c r="H584" s="2" t="s">
        <v>194</v>
      </c>
      <c r="I584" s="2" t="s">
        <v>195</v>
      </c>
      <c r="J584" s="2" t="s">
        <v>19</v>
      </c>
      <c r="K584" s="2" t="s">
        <v>247</v>
      </c>
      <c r="L584" s="7" t="str">
        <f>HYPERLINK("http://slimages.macys.com/is/image/MCY/12279859 ")</f>
        <v xml:space="preserve">http://slimages.macys.com/is/image/MCY/12279859 </v>
      </c>
    </row>
    <row r="585" spans="1:12" ht="24.75" x14ac:dyDescent="0.25">
      <c r="A585" s="4" t="s">
        <v>2788</v>
      </c>
      <c r="B585" s="2" t="s">
        <v>1508</v>
      </c>
      <c r="C585" s="3">
        <v>1</v>
      </c>
      <c r="D585" s="5">
        <v>26.99</v>
      </c>
      <c r="E585" s="3" t="s">
        <v>2789</v>
      </c>
      <c r="F585" s="2" t="s">
        <v>417</v>
      </c>
      <c r="G585" s="6" t="s">
        <v>205</v>
      </c>
      <c r="H585" s="2" t="s">
        <v>1425</v>
      </c>
      <c r="I585" s="2" t="s">
        <v>1426</v>
      </c>
      <c r="J585" s="2" t="s">
        <v>19</v>
      </c>
      <c r="K585" s="2" t="s">
        <v>353</v>
      </c>
      <c r="L585" s="7" t="str">
        <f>HYPERLINK("http://slimages.macys.com/is/image/MCY/11029993 ")</f>
        <v xml:space="preserve">http://slimages.macys.com/is/image/MCY/11029993 </v>
      </c>
    </row>
    <row r="586" spans="1:12" ht="24.75" x14ac:dyDescent="0.25">
      <c r="A586" s="4" t="s">
        <v>12267</v>
      </c>
      <c r="B586" s="2" t="s">
        <v>12268</v>
      </c>
      <c r="C586" s="3">
        <v>1</v>
      </c>
      <c r="D586" s="5">
        <v>24.99</v>
      </c>
      <c r="E586" s="3" t="s">
        <v>12269</v>
      </c>
      <c r="F586" s="2" t="s">
        <v>26</v>
      </c>
      <c r="G586" s="6" t="s">
        <v>234</v>
      </c>
      <c r="H586" s="2" t="s">
        <v>1473</v>
      </c>
      <c r="I586" s="2" t="s">
        <v>8769</v>
      </c>
      <c r="J586" s="2" t="s">
        <v>19</v>
      </c>
      <c r="K586" s="2" t="s">
        <v>12270</v>
      </c>
      <c r="L586" s="7" t="str">
        <f>HYPERLINK("http://slimages.macys.com/is/image/MCY/14661112 ")</f>
        <v xml:space="preserve">http://slimages.macys.com/is/image/MCY/14661112 </v>
      </c>
    </row>
    <row r="587" spans="1:12" ht="24.75" x14ac:dyDescent="0.25">
      <c r="A587" s="4" t="s">
        <v>12271</v>
      </c>
      <c r="B587" s="2" t="s">
        <v>12272</v>
      </c>
      <c r="C587" s="3">
        <v>1</v>
      </c>
      <c r="D587" s="5">
        <v>24.99</v>
      </c>
      <c r="E587" s="3" t="s">
        <v>12273</v>
      </c>
      <c r="F587" s="2" t="s">
        <v>1322</v>
      </c>
      <c r="G587" s="6"/>
      <c r="H587" s="2" t="s">
        <v>1425</v>
      </c>
      <c r="I587" s="2" t="s">
        <v>8769</v>
      </c>
      <c r="J587" s="2" t="s">
        <v>19</v>
      </c>
      <c r="K587" s="2" t="s">
        <v>3428</v>
      </c>
      <c r="L587" s="7" t="str">
        <f>HYPERLINK("http://slimages.macys.com/is/image/MCY/14661185 ")</f>
        <v xml:space="preserve">http://slimages.macys.com/is/image/MCY/14661185 </v>
      </c>
    </row>
    <row r="588" spans="1:12" ht="24.75" x14ac:dyDescent="0.25">
      <c r="A588" s="4" t="s">
        <v>12274</v>
      </c>
      <c r="B588" s="2" t="s">
        <v>5040</v>
      </c>
      <c r="C588" s="3">
        <v>3</v>
      </c>
      <c r="D588" s="5">
        <v>29.63</v>
      </c>
      <c r="E588" s="3">
        <v>100018082</v>
      </c>
      <c r="F588" s="2" t="s">
        <v>48</v>
      </c>
      <c r="G588" s="6" t="s">
        <v>154</v>
      </c>
      <c r="H588" s="2" t="s">
        <v>194</v>
      </c>
      <c r="I588" s="2" t="s">
        <v>195</v>
      </c>
      <c r="J588" s="2" t="s">
        <v>19</v>
      </c>
      <c r="K588" s="2" t="s">
        <v>1082</v>
      </c>
      <c r="L588" s="7" t="str">
        <f>HYPERLINK("http://slimages.macys.com/is/image/MCY/13367475 ")</f>
        <v xml:space="preserve">http://slimages.macys.com/is/image/MCY/13367475 </v>
      </c>
    </row>
    <row r="589" spans="1:12" ht="24.75" x14ac:dyDescent="0.25">
      <c r="A589" s="4" t="s">
        <v>12275</v>
      </c>
      <c r="B589" s="2" t="s">
        <v>5040</v>
      </c>
      <c r="C589" s="3">
        <v>2</v>
      </c>
      <c r="D589" s="5">
        <v>29.63</v>
      </c>
      <c r="E589" s="3">
        <v>100018082</v>
      </c>
      <c r="F589" s="2" t="s">
        <v>48</v>
      </c>
      <c r="G589" s="6" t="s">
        <v>181</v>
      </c>
      <c r="H589" s="2" t="s">
        <v>194</v>
      </c>
      <c r="I589" s="2" t="s">
        <v>195</v>
      </c>
      <c r="J589" s="2" t="s">
        <v>19</v>
      </c>
      <c r="K589" s="2" t="s">
        <v>1082</v>
      </c>
      <c r="L589" s="7" t="str">
        <f>HYPERLINK("http://slimages.macys.com/is/image/MCY/13367475 ")</f>
        <v xml:space="preserve">http://slimages.macys.com/is/image/MCY/13367475 </v>
      </c>
    </row>
    <row r="590" spans="1:12" ht="24.75" x14ac:dyDescent="0.25">
      <c r="A590" s="4" t="s">
        <v>11060</v>
      </c>
      <c r="B590" s="2" t="s">
        <v>5040</v>
      </c>
      <c r="C590" s="3">
        <v>1</v>
      </c>
      <c r="D590" s="5">
        <v>29.63</v>
      </c>
      <c r="E590" s="3">
        <v>100018082</v>
      </c>
      <c r="F590" s="2" t="s">
        <v>48</v>
      </c>
      <c r="G590" s="6" t="s">
        <v>156</v>
      </c>
      <c r="H590" s="2" t="s">
        <v>194</v>
      </c>
      <c r="I590" s="2" t="s">
        <v>195</v>
      </c>
      <c r="J590" s="2" t="s">
        <v>19</v>
      </c>
      <c r="K590" s="2" t="s">
        <v>1082</v>
      </c>
      <c r="L590" s="7" t="str">
        <f>HYPERLINK("http://slimages.macys.com/is/image/MCY/13367475 ")</f>
        <v xml:space="preserve">http://slimages.macys.com/is/image/MCY/13367475 </v>
      </c>
    </row>
    <row r="591" spans="1:12" ht="24.75" x14ac:dyDescent="0.25">
      <c r="A591" s="4" t="s">
        <v>12276</v>
      </c>
      <c r="B591" s="2" t="s">
        <v>3953</v>
      </c>
      <c r="C591" s="3">
        <v>1</v>
      </c>
      <c r="D591" s="5">
        <v>24.99</v>
      </c>
      <c r="E591" s="3" t="s">
        <v>5978</v>
      </c>
      <c r="F591" s="2" t="s">
        <v>74</v>
      </c>
      <c r="G591" s="6" t="s">
        <v>219</v>
      </c>
      <c r="H591" s="2" t="s">
        <v>1425</v>
      </c>
      <c r="I591" s="2" t="s">
        <v>1469</v>
      </c>
      <c r="J591" s="2" t="s">
        <v>19</v>
      </c>
      <c r="K591" s="2" t="s">
        <v>353</v>
      </c>
      <c r="L591" s="7" t="str">
        <f>HYPERLINK("http://slimages.macys.com/is/image/MCY/11774245 ")</f>
        <v xml:space="preserve">http://slimages.macys.com/is/image/MCY/11774245 </v>
      </c>
    </row>
    <row r="592" spans="1:12" ht="24.75" x14ac:dyDescent="0.25">
      <c r="A592" s="4" t="s">
        <v>12277</v>
      </c>
      <c r="B592" s="2" t="s">
        <v>3953</v>
      </c>
      <c r="C592" s="3">
        <v>1</v>
      </c>
      <c r="D592" s="5">
        <v>24.99</v>
      </c>
      <c r="E592" s="3" t="s">
        <v>5978</v>
      </c>
      <c r="F592" s="2" t="s">
        <v>15</v>
      </c>
      <c r="G592" s="6" t="s">
        <v>219</v>
      </c>
      <c r="H592" s="2" t="s">
        <v>1425</v>
      </c>
      <c r="I592" s="2" t="s">
        <v>1469</v>
      </c>
      <c r="J592" s="2" t="s">
        <v>19</v>
      </c>
      <c r="K592" s="2" t="s">
        <v>353</v>
      </c>
      <c r="L592" s="7" t="str">
        <f>HYPERLINK("http://slimages.macys.com/is/image/MCY/11774245 ")</f>
        <v xml:space="preserve">http://slimages.macys.com/is/image/MCY/11774245 </v>
      </c>
    </row>
    <row r="593" spans="1:12" ht="24.75" x14ac:dyDescent="0.25">
      <c r="A593" s="4" t="s">
        <v>12278</v>
      </c>
      <c r="B593" s="2" t="s">
        <v>11074</v>
      </c>
      <c r="C593" s="3">
        <v>1</v>
      </c>
      <c r="D593" s="5">
        <v>29.63</v>
      </c>
      <c r="E593" s="3" t="s">
        <v>11075</v>
      </c>
      <c r="F593" s="2" t="s">
        <v>676</v>
      </c>
      <c r="G593" s="6" t="s">
        <v>156</v>
      </c>
      <c r="H593" s="2" t="s">
        <v>284</v>
      </c>
      <c r="I593" s="2" t="s">
        <v>285</v>
      </c>
      <c r="J593" s="2" t="s">
        <v>19</v>
      </c>
      <c r="K593" s="2" t="s">
        <v>442</v>
      </c>
      <c r="L593" s="7" t="str">
        <f>HYPERLINK("http://slimages.macys.com/is/image/MCY/10043380 ")</f>
        <v xml:space="preserve">http://slimages.macys.com/is/image/MCY/10043380 </v>
      </c>
    </row>
    <row r="594" spans="1:12" ht="24.75" x14ac:dyDescent="0.25">
      <c r="A594" s="4" t="s">
        <v>2818</v>
      </c>
      <c r="B594" s="2" t="s">
        <v>1539</v>
      </c>
      <c r="C594" s="3">
        <v>1</v>
      </c>
      <c r="D594" s="5">
        <v>26.99</v>
      </c>
      <c r="E594" s="3" t="s">
        <v>1540</v>
      </c>
      <c r="F594" s="2" t="s">
        <v>70</v>
      </c>
      <c r="G594" s="6" t="s">
        <v>22</v>
      </c>
      <c r="H594" s="2" t="s">
        <v>1473</v>
      </c>
      <c r="I594" s="2" t="s">
        <v>1426</v>
      </c>
      <c r="J594" s="2" t="s">
        <v>19</v>
      </c>
      <c r="K594" s="2" t="s">
        <v>353</v>
      </c>
      <c r="L594" s="7" t="str">
        <f>HYPERLINK("http://slimages.macys.com/is/image/MCY/10786732 ")</f>
        <v xml:space="preserve">http://slimages.macys.com/is/image/MCY/10786732 </v>
      </c>
    </row>
    <row r="595" spans="1:12" ht="24.75" x14ac:dyDescent="0.25">
      <c r="A595" s="4" t="s">
        <v>12279</v>
      </c>
      <c r="B595" s="2" t="s">
        <v>12280</v>
      </c>
      <c r="C595" s="3">
        <v>1</v>
      </c>
      <c r="D595" s="5">
        <v>24.99</v>
      </c>
      <c r="E595" s="3" t="s">
        <v>12281</v>
      </c>
      <c r="F595" s="2" t="s">
        <v>26</v>
      </c>
      <c r="G595" s="6" t="s">
        <v>156</v>
      </c>
      <c r="H595" s="2" t="s">
        <v>1522</v>
      </c>
      <c r="I595" s="2" t="s">
        <v>1469</v>
      </c>
      <c r="J595" s="2" t="s">
        <v>19</v>
      </c>
      <c r="K595" s="2" t="s">
        <v>495</v>
      </c>
      <c r="L595" s="7" t="str">
        <f>HYPERLINK("http://slimages.macys.com/is/image/MCY/13584784 ")</f>
        <v xml:space="preserve">http://slimages.macys.com/is/image/MCY/13584784 </v>
      </c>
    </row>
    <row r="596" spans="1:12" ht="24.75" x14ac:dyDescent="0.25">
      <c r="A596" s="4" t="s">
        <v>3962</v>
      </c>
      <c r="B596" s="2" t="s">
        <v>1539</v>
      </c>
      <c r="C596" s="3">
        <v>1</v>
      </c>
      <c r="D596" s="5">
        <v>26.99</v>
      </c>
      <c r="E596" s="3" t="s">
        <v>1548</v>
      </c>
      <c r="F596" s="2" t="s">
        <v>252</v>
      </c>
      <c r="G596" s="6" t="s">
        <v>934</v>
      </c>
      <c r="H596" s="2" t="s">
        <v>1425</v>
      </c>
      <c r="I596" s="2" t="s">
        <v>1426</v>
      </c>
      <c r="J596" s="2" t="s">
        <v>19</v>
      </c>
      <c r="K596" s="2" t="s">
        <v>353</v>
      </c>
      <c r="L596" s="7" t="str">
        <f>HYPERLINK("http://slimages.macys.com/is/image/MCY/11092539 ")</f>
        <v xml:space="preserve">http://slimages.macys.com/is/image/MCY/11092539 </v>
      </c>
    </row>
    <row r="597" spans="1:12" ht="24.75" x14ac:dyDescent="0.25">
      <c r="A597" s="4" t="s">
        <v>12282</v>
      </c>
      <c r="B597" s="2" t="s">
        <v>12280</v>
      </c>
      <c r="C597" s="3">
        <v>1</v>
      </c>
      <c r="D597" s="5">
        <v>24.99</v>
      </c>
      <c r="E597" s="3" t="s">
        <v>12281</v>
      </c>
      <c r="F597" s="2" t="s">
        <v>38</v>
      </c>
      <c r="G597" s="6" t="s">
        <v>234</v>
      </c>
      <c r="H597" s="2" t="s">
        <v>1522</v>
      </c>
      <c r="I597" s="2" t="s">
        <v>1469</v>
      </c>
      <c r="J597" s="2" t="s">
        <v>19</v>
      </c>
      <c r="K597" s="2" t="s">
        <v>495</v>
      </c>
      <c r="L597" s="7" t="str">
        <f>HYPERLINK("http://slimages.macys.com/is/image/MCY/13584784 ")</f>
        <v xml:space="preserve">http://slimages.macys.com/is/image/MCY/13584784 </v>
      </c>
    </row>
    <row r="598" spans="1:12" ht="24.75" x14ac:dyDescent="0.25">
      <c r="A598" s="4" t="s">
        <v>1543</v>
      </c>
      <c r="B598" s="2" t="s">
        <v>1539</v>
      </c>
      <c r="C598" s="3">
        <v>1</v>
      </c>
      <c r="D598" s="5">
        <v>26.99</v>
      </c>
      <c r="E598" s="3" t="s">
        <v>1540</v>
      </c>
      <c r="F598" s="2" t="s">
        <v>1234</v>
      </c>
      <c r="G598" s="6" t="s">
        <v>22</v>
      </c>
      <c r="H598" s="2" t="s">
        <v>1473</v>
      </c>
      <c r="I598" s="2" t="s">
        <v>1426</v>
      </c>
      <c r="J598" s="2" t="s">
        <v>19</v>
      </c>
      <c r="K598" s="2" t="s">
        <v>353</v>
      </c>
      <c r="L598" s="7" t="str">
        <f t="shared" ref="L598:L605" si="3">HYPERLINK("http://slimages.macys.com/is/image/MCY/10786732 ")</f>
        <v xml:space="preserve">http://slimages.macys.com/is/image/MCY/10786732 </v>
      </c>
    </row>
    <row r="599" spans="1:12" ht="24.75" x14ac:dyDescent="0.25">
      <c r="A599" s="4" t="s">
        <v>2829</v>
      </c>
      <c r="B599" s="2" t="s">
        <v>1539</v>
      </c>
      <c r="C599" s="3">
        <v>1</v>
      </c>
      <c r="D599" s="5">
        <v>26.99</v>
      </c>
      <c r="E599" s="3" t="s">
        <v>1540</v>
      </c>
      <c r="F599" s="2" t="s">
        <v>70</v>
      </c>
      <c r="G599" s="6" t="s">
        <v>112</v>
      </c>
      <c r="H599" s="2" t="s">
        <v>1473</v>
      </c>
      <c r="I599" s="2" t="s">
        <v>1426</v>
      </c>
      <c r="J599" s="2" t="s">
        <v>19</v>
      </c>
      <c r="K599" s="2" t="s">
        <v>353</v>
      </c>
      <c r="L599" s="7" t="str">
        <f t="shared" si="3"/>
        <v xml:space="preserve">http://slimages.macys.com/is/image/MCY/10786732 </v>
      </c>
    </row>
    <row r="600" spans="1:12" ht="24.75" x14ac:dyDescent="0.25">
      <c r="A600" s="4" t="s">
        <v>1552</v>
      </c>
      <c r="B600" s="2" t="s">
        <v>1539</v>
      </c>
      <c r="C600" s="3">
        <v>3</v>
      </c>
      <c r="D600" s="5">
        <v>26.99</v>
      </c>
      <c r="E600" s="3" t="s">
        <v>1540</v>
      </c>
      <c r="F600" s="2" t="s">
        <v>998</v>
      </c>
      <c r="G600" s="6" t="s">
        <v>22</v>
      </c>
      <c r="H600" s="2" t="s">
        <v>1473</v>
      </c>
      <c r="I600" s="2" t="s">
        <v>1426</v>
      </c>
      <c r="J600" s="2" t="s">
        <v>19</v>
      </c>
      <c r="K600" s="2" t="s">
        <v>353</v>
      </c>
      <c r="L600" s="7" t="str">
        <f t="shared" si="3"/>
        <v xml:space="preserve">http://slimages.macys.com/is/image/MCY/10786732 </v>
      </c>
    </row>
    <row r="601" spans="1:12" ht="24.75" x14ac:dyDescent="0.25">
      <c r="A601" s="4" t="s">
        <v>2817</v>
      </c>
      <c r="B601" s="2" t="s">
        <v>1539</v>
      </c>
      <c r="C601" s="3">
        <v>1</v>
      </c>
      <c r="D601" s="5">
        <v>26.99</v>
      </c>
      <c r="E601" s="3" t="s">
        <v>1540</v>
      </c>
      <c r="F601" s="2" t="s">
        <v>1234</v>
      </c>
      <c r="G601" s="6" t="s">
        <v>112</v>
      </c>
      <c r="H601" s="2" t="s">
        <v>1473</v>
      </c>
      <c r="I601" s="2" t="s">
        <v>1426</v>
      </c>
      <c r="J601" s="2" t="s">
        <v>19</v>
      </c>
      <c r="K601" s="2" t="s">
        <v>353</v>
      </c>
      <c r="L601" s="7" t="str">
        <f t="shared" si="3"/>
        <v xml:space="preserve">http://slimages.macys.com/is/image/MCY/10786732 </v>
      </c>
    </row>
    <row r="602" spans="1:12" ht="24.75" x14ac:dyDescent="0.25">
      <c r="A602" s="4" t="s">
        <v>1553</v>
      </c>
      <c r="B602" s="2" t="s">
        <v>1539</v>
      </c>
      <c r="C602" s="3">
        <v>1</v>
      </c>
      <c r="D602" s="5">
        <v>26.99</v>
      </c>
      <c r="E602" s="3" t="s">
        <v>1540</v>
      </c>
      <c r="F602" s="2" t="s">
        <v>15</v>
      </c>
      <c r="G602" s="6" t="s">
        <v>16</v>
      </c>
      <c r="H602" s="2" t="s">
        <v>1473</v>
      </c>
      <c r="I602" s="2" t="s">
        <v>1426</v>
      </c>
      <c r="J602" s="2" t="s">
        <v>19</v>
      </c>
      <c r="K602" s="2" t="s">
        <v>353</v>
      </c>
      <c r="L602" s="7" t="str">
        <f t="shared" si="3"/>
        <v xml:space="preserve">http://slimages.macys.com/is/image/MCY/10786732 </v>
      </c>
    </row>
    <row r="603" spans="1:12" ht="24.75" x14ac:dyDescent="0.25">
      <c r="A603" s="4" t="s">
        <v>2821</v>
      </c>
      <c r="B603" s="2" t="s">
        <v>1539</v>
      </c>
      <c r="C603" s="3">
        <v>1</v>
      </c>
      <c r="D603" s="5">
        <v>26.99</v>
      </c>
      <c r="E603" s="3" t="s">
        <v>1540</v>
      </c>
      <c r="F603" s="2" t="s">
        <v>998</v>
      </c>
      <c r="G603" s="6" t="s">
        <v>112</v>
      </c>
      <c r="H603" s="2" t="s">
        <v>1473</v>
      </c>
      <c r="I603" s="2" t="s">
        <v>1426</v>
      </c>
      <c r="J603" s="2" t="s">
        <v>19</v>
      </c>
      <c r="K603" s="2" t="s">
        <v>353</v>
      </c>
      <c r="L603" s="7" t="str">
        <f t="shared" si="3"/>
        <v xml:space="preserve">http://slimages.macys.com/is/image/MCY/10786732 </v>
      </c>
    </row>
    <row r="604" spans="1:12" ht="24.75" x14ac:dyDescent="0.25">
      <c r="A604" s="4" t="s">
        <v>1544</v>
      </c>
      <c r="B604" s="2" t="s">
        <v>1539</v>
      </c>
      <c r="C604" s="3">
        <v>1</v>
      </c>
      <c r="D604" s="5">
        <v>26.99</v>
      </c>
      <c r="E604" s="3" t="s">
        <v>1540</v>
      </c>
      <c r="F604" s="2" t="s">
        <v>252</v>
      </c>
      <c r="G604" s="6" t="s">
        <v>112</v>
      </c>
      <c r="H604" s="2" t="s">
        <v>1473</v>
      </c>
      <c r="I604" s="2" t="s">
        <v>1426</v>
      </c>
      <c r="J604" s="2" t="s">
        <v>19</v>
      </c>
      <c r="K604" s="2" t="s">
        <v>353</v>
      </c>
      <c r="L604" s="7" t="str">
        <f t="shared" si="3"/>
        <v xml:space="preserve">http://slimages.macys.com/is/image/MCY/10786732 </v>
      </c>
    </row>
    <row r="605" spans="1:12" ht="24.75" x14ac:dyDescent="0.25">
      <c r="A605" s="4" t="s">
        <v>1538</v>
      </c>
      <c r="B605" s="2" t="s">
        <v>1539</v>
      </c>
      <c r="C605" s="3">
        <v>2</v>
      </c>
      <c r="D605" s="5">
        <v>26.99</v>
      </c>
      <c r="E605" s="3" t="s">
        <v>1540</v>
      </c>
      <c r="F605" s="2" t="s">
        <v>15</v>
      </c>
      <c r="G605" s="6" t="s">
        <v>22</v>
      </c>
      <c r="H605" s="2" t="s">
        <v>1473</v>
      </c>
      <c r="I605" s="2" t="s">
        <v>1426</v>
      </c>
      <c r="J605" s="2" t="s">
        <v>19</v>
      </c>
      <c r="K605" s="2" t="s">
        <v>353</v>
      </c>
      <c r="L605" s="7" t="str">
        <f t="shared" si="3"/>
        <v xml:space="preserve">http://slimages.macys.com/is/image/MCY/10786732 </v>
      </c>
    </row>
    <row r="606" spans="1:12" ht="24.75" x14ac:dyDescent="0.25">
      <c r="A606" s="4" t="s">
        <v>12283</v>
      </c>
      <c r="B606" s="2" t="s">
        <v>11082</v>
      </c>
      <c r="C606" s="3">
        <v>2</v>
      </c>
      <c r="D606" s="5">
        <v>24.99</v>
      </c>
      <c r="E606" s="3" t="s">
        <v>11083</v>
      </c>
      <c r="F606" s="2" t="s">
        <v>1322</v>
      </c>
      <c r="G606" s="6" t="s">
        <v>219</v>
      </c>
      <c r="H606" s="2" t="s">
        <v>1425</v>
      </c>
      <c r="I606" s="2" t="s">
        <v>8769</v>
      </c>
      <c r="J606" s="2" t="s">
        <v>19</v>
      </c>
      <c r="K606" s="2" t="s">
        <v>3428</v>
      </c>
      <c r="L606" s="7" t="str">
        <f>HYPERLINK("http://slimages.macys.com/is/image/MCY/14661203 ")</f>
        <v xml:space="preserve">http://slimages.macys.com/is/image/MCY/14661203 </v>
      </c>
    </row>
    <row r="607" spans="1:12" ht="24.75" x14ac:dyDescent="0.25">
      <c r="A607" s="4" t="s">
        <v>12284</v>
      </c>
      <c r="B607" s="2" t="s">
        <v>12285</v>
      </c>
      <c r="C607" s="3">
        <v>1</v>
      </c>
      <c r="D607" s="5">
        <v>21.99</v>
      </c>
      <c r="E607" s="3" t="s">
        <v>12286</v>
      </c>
      <c r="F607" s="2" t="s">
        <v>26</v>
      </c>
      <c r="G607" s="6" t="s">
        <v>181</v>
      </c>
      <c r="H607" s="2" t="s">
        <v>1473</v>
      </c>
      <c r="I607" s="2" t="s">
        <v>1426</v>
      </c>
      <c r="J607" s="2" t="s">
        <v>19</v>
      </c>
      <c r="K607" s="2" t="s">
        <v>648</v>
      </c>
      <c r="L607" s="7" t="str">
        <f>HYPERLINK("http://slimages.macys.com/is/image/MCY/13960818 ")</f>
        <v xml:space="preserve">http://slimages.macys.com/is/image/MCY/13960818 </v>
      </c>
    </row>
    <row r="608" spans="1:12" ht="24.75" x14ac:dyDescent="0.25">
      <c r="A608" s="4" t="s">
        <v>12287</v>
      </c>
      <c r="B608" s="2" t="s">
        <v>12288</v>
      </c>
      <c r="C608" s="3">
        <v>1</v>
      </c>
      <c r="D608" s="5">
        <v>29.99</v>
      </c>
      <c r="E608" s="3" t="s">
        <v>12289</v>
      </c>
      <c r="F608" s="2" t="s">
        <v>1322</v>
      </c>
      <c r="G608" s="6" t="s">
        <v>200</v>
      </c>
      <c r="H608" s="2" t="s">
        <v>246</v>
      </c>
      <c r="I608" s="2" t="s">
        <v>3504</v>
      </c>
      <c r="J608" s="2" t="s">
        <v>19</v>
      </c>
      <c r="K608" s="2" t="s">
        <v>1480</v>
      </c>
      <c r="L608" s="7" t="str">
        <f>HYPERLINK("http://slimages.macys.com/is/image/MCY/16109372 ")</f>
        <v xml:space="preserve">http://slimages.macys.com/is/image/MCY/16109372 </v>
      </c>
    </row>
    <row r="609" spans="1:12" ht="24.75" x14ac:dyDescent="0.25">
      <c r="A609" s="4" t="s">
        <v>12290</v>
      </c>
      <c r="B609" s="2" t="s">
        <v>12288</v>
      </c>
      <c r="C609" s="3">
        <v>1</v>
      </c>
      <c r="D609" s="5">
        <v>29.99</v>
      </c>
      <c r="E609" s="3" t="s">
        <v>12289</v>
      </c>
      <c r="F609" s="2" t="s">
        <v>1322</v>
      </c>
      <c r="G609" s="6" t="s">
        <v>181</v>
      </c>
      <c r="H609" s="2" t="s">
        <v>246</v>
      </c>
      <c r="I609" s="2" t="s">
        <v>3504</v>
      </c>
      <c r="J609" s="2" t="s">
        <v>19</v>
      </c>
      <c r="K609" s="2" t="s">
        <v>1480</v>
      </c>
      <c r="L609" s="7" t="str">
        <f>HYPERLINK("http://slimages.macys.com/is/image/MCY/16109372 ")</f>
        <v xml:space="preserve">http://slimages.macys.com/is/image/MCY/16109372 </v>
      </c>
    </row>
    <row r="610" spans="1:12" ht="24.75" x14ac:dyDescent="0.25">
      <c r="A610" s="4" t="s">
        <v>12291</v>
      </c>
      <c r="B610" s="2" t="s">
        <v>1579</v>
      </c>
      <c r="C610" s="3">
        <v>2</v>
      </c>
      <c r="D610" s="5">
        <v>29.63</v>
      </c>
      <c r="E610" s="3" t="s">
        <v>11085</v>
      </c>
      <c r="F610" s="2" t="s">
        <v>15</v>
      </c>
      <c r="G610" s="6" t="s">
        <v>181</v>
      </c>
      <c r="H610" s="2" t="s">
        <v>194</v>
      </c>
      <c r="I610" s="2" t="s">
        <v>195</v>
      </c>
      <c r="J610" s="2" t="s">
        <v>19</v>
      </c>
      <c r="K610" s="2" t="s">
        <v>11086</v>
      </c>
      <c r="L610" s="7" t="str">
        <f>HYPERLINK("http://slimages.macys.com/is/image/MCY/12850930 ")</f>
        <v xml:space="preserve">http://slimages.macys.com/is/image/MCY/12850930 </v>
      </c>
    </row>
    <row r="611" spans="1:12" ht="24.75" x14ac:dyDescent="0.25">
      <c r="A611" s="4" t="s">
        <v>11089</v>
      </c>
      <c r="B611" s="2" t="s">
        <v>1579</v>
      </c>
      <c r="C611" s="3">
        <v>1</v>
      </c>
      <c r="D611" s="5">
        <v>29.63</v>
      </c>
      <c r="E611" s="3" t="s">
        <v>11085</v>
      </c>
      <c r="F611" s="2" t="s">
        <v>15</v>
      </c>
      <c r="G611" s="6" t="s">
        <v>245</v>
      </c>
      <c r="H611" s="2" t="s">
        <v>194</v>
      </c>
      <c r="I611" s="2" t="s">
        <v>195</v>
      </c>
      <c r="J611" s="2" t="s">
        <v>19</v>
      </c>
      <c r="K611" s="2" t="s">
        <v>11086</v>
      </c>
      <c r="L611" s="7" t="str">
        <f>HYPERLINK("http://slimages.macys.com/is/image/MCY/12850930 ")</f>
        <v xml:space="preserve">http://slimages.macys.com/is/image/MCY/12850930 </v>
      </c>
    </row>
    <row r="612" spans="1:12" ht="24.75" x14ac:dyDescent="0.25">
      <c r="A612" s="4" t="s">
        <v>11084</v>
      </c>
      <c r="B612" s="2" t="s">
        <v>1579</v>
      </c>
      <c r="C612" s="3">
        <v>1</v>
      </c>
      <c r="D612" s="5">
        <v>29.63</v>
      </c>
      <c r="E612" s="3" t="s">
        <v>11085</v>
      </c>
      <c r="F612" s="2" t="s">
        <v>15</v>
      </c>
      <c r="G612" s="6" t="s">
        <v>234</v>
      </c>
      <c r="H612" s="2" t="s">
        <v>194</v>
      </c>
      <c r="I612" s="2" t="s">
        <v>195</v>
      </c>
      <c r="J612" s="2" t="s">
        <v>19</v>
      </c>
      <c r="K612" s="2" t="s">
        <v>11086</v>
      </c>
      <c r="L612" s="7" t="str">
        <f>HYPERLINK("http://slimages.macys.com/is/image/MCY/12850930 ")</f>
        <v xml:space="preserve">http://slimages.macys.com/is/image/MCY/12850930 </v>
      </c>
    </row>
    <row r="613" spans="1:12" ht="24.75" x14ac:dyDescent="0.25">
      <c r="A613" s="4" t="s">
        <v>12292</v>
      </c>
      <c r="B613" s="2" t="s">
        <v>12293</v>
      </c>
      <c r="C613" s="3">
        <v>1</v>
      </c>
      <c r="D613" s="5">
        <v>24.99</v>
      </c>
      <c r="E613" s="3" t="s">
        <v>12294</v>
      </c>
      <c r="F613" s="2" t="s">
        <v>1296</v>
      </c>
      <c r="G613" s="6" t="s">
        <v>234</v>
      </c>
      <c r="H613" s="2" t="s">
        <v>1473</v>
      </c>
      <c r="I613" s="2" t="s">
        <v>1426</v>
      </c>
      <c r="J613" s="2" t="s">
        <v>19</v>
      </c>
      <c r="K613" s="2" t="s">
        <v>12295</v>
      </c>
      <c r="L613" s="7" t="str">
        <f>HYPERLINK("http://slimages.macys.com/is/image/MCY/8830260 ")</f>
        <v xml:space="preserve">http://slimages.macys.com/is/image/MCY/8830260 </v>
      </c>
    </row>
    <row r="614" spans="1:12" ht="24.75" x14ac:dyDescent="0.25">
      <c r="A614" s="4" t="s">
        <v>12296</v>
      </c>
      <c r="B614" s="2" t="s">
        <v>12293</v>
      </c>
      <c r="C614" s="3">
        <v>1</v>
      </c>
      <c r="D614" s="5">
        <v>24.99</v>
      </c>
      <c r="E614" s="3" t="s">
        <v>12294</v>
      </c>
      <c r="F614" s="2" t="s">
        <v>956</v>
      </c>
      <c r="G614" s="6" t="s">
        <v>234</v>
      </c>
      <c r="H614" s="2" t="s">
        <v>1473</v>
      </c>
      <c r="I614" s="2" t="s">
        <v>1426</v>
      </c>
      <c r="J614" s="2" t="s">
        <v>19</v>
      </c>
      <c r="K614" s="2" t="s">
        <v>12295</v>
      </c>
      <c r="L614" s="7" t="str">
        <f>HYPERLINK("http://slimages.macys.com/is/image/MCY/8830260 ")</f>
        <v xml:space="preserve">http://slimages.macys.com/is/image/MCY/8830260 </v>
      </c>
    </row>
    <row r="615" spans="1:12" ht="24.75" x14ac:dyDescent="0.25">
      <c r="A615" s="4" t="s">
        <v>12297</v>
      </c>
      <c r="B615" s="2" t="s">
        <v>11092</v>
      </c>
      <c r="C615" s="3">
        <v>1</v>
      </c>
      <c r="D615" s="5">
        <v>24.99</v>
      </c>
      <c r="E615" s="3" t="s">
        <v>11093</v>
      </c>
      <c r="F615" s="2" t="s">
        <v>15</v>
      </c>
      <c r="G615" s="6" t="s">
        <v>181</v>
      </c>
      <c r="H615" s="2" t="s">
        <v>1522</v>
      </c>
      <c r="I615" s="2" t="s">
        <v>1469</v>
      </c>
      <c r="J615" s="2" t="s">
        <v>19</v>
      </c>
      <c r="K615" s="2" t="s">
        <v>353</v>
      </c>
      <c r="L615" s="7" t="str">
        <f>HYPERLINK("http://slimages.macys.com/is/image/MCY/13683315 ")</f>
        <v xml:space="preserve">http://slimages.macys.com/is/image/MCY/13683315 </v>
      </c>
    </row>
    <row r="616" spans="1:12" ht="24.75" x14ac:dyDescent="0.25">
      <c r="A616" s="4" t="s">
        <v>12298</v>
      </c>
      <c r="B616" s="2" t="s">
        <v>11092</v>
      </c>
      <c r="C616" s="3">
        <v>3</v>
      </c>
      <c r="D616" s="5">
        <v>24.99</v>
      </c>
      <c r="E616" s="3" t="s">
        <v>11093</v>
      </c>
      <c r="F616" s="2" t="s">
        <v>74</v>
      </c>
      <c r="G616" s="6" t="s">
        <v>181</v>
      </c>
      <c r="H616" s="2" t="s">
        <v>1522</v>
      </c>
      <c r="I616" s="2" t="s">
        <v>1469</v>
      </c>
      <c r="J616" s="2" t="s">
        <v>19</v>
      </c>
      <c r="K616" s="2" t="s">
        <v>353</v>
      </c>
      <c r="L616" s="7" t="str">
        <f>HYPERLINK("http://slimages.macys.com/is/image/MCY/13683315 ")</f>
        <v xml:space="preserve">http://slimages.macys.com/is/image/MCY/13683315 </v>
      </c>
    </row>
    <row r="617" spans="1:12" ht="24.75" x14ac:dyDescent="0.25">
      <c r="A617" s="4" t="s">
        <v>12299</v>
      </c>
      <c r="B617" s="2" t="s">
        <v>11092</v>
      </c>
      <c r="C617" s="3">
        <v>2</v>
      </c>
      <c r="D617" s="5">
        <v>24.99</v>
      </c>
      <c r="E617" s="3" t="s">
        <v>11093</v>
      </c>
      <c r="F617" s="2" t="s">
        <v>26</v>
      </c>
      <c r="G617" s="6" t="s">
        <v>245</v>
      </c>
      <c r="H617" s="2" t="s">
        <v>1522</v>
      </c>
      <c r="I617" s="2" t="s">
        <v>1469</v>
      </c>
      <c r="J617" s="2" t="s">
        <v>19</v>
      </c>
      <c r="K617" s="2" t="s">
        <v>353</v>
      </c>
      <c r="L617" s="7" t="str">
        <f>HYPERLINK("http://slimages.macys.com/is/image/MCY/13683315 ")</f>
        <v xml:space="preserve">http://slimages.macys.com/is/image/MCY/13683315 </v>
      </c>
    </row>
    <row r="618" spans="1:12" ht="24.75" x14ac:dyDescent="0.25">
      <c r="A618" s="4" t="s">
        <v>2845</v>
      </c>
      <c r="B618" s="2" t="s">
        <v>1586</v>
      </c>
      <c r="C618" s="3">
        <v>1</v>
      </c>
      <c r="D618" s="5">
        <v>21.99</v>
      </c>
      <c r="E618" s="3" t="s">
        <v>1587</v>
      </c>
      <c r="F618" s="2" t="s">
        <v>136</v>
      </c>
      <c r="G618" s="6"/>
      <c r="H618" s="2" t="s">
        <v>1425</v>
      </c>
      <c r="I618" s="2" t="s">
        <v>1426</v>
      </c>
      <c r="J618" s="2" t="s">
        <v>19</v>
      </c>
      <c r="K618" s="2" t="s">
        <v>34</v>
      </c>
      <c r="L618" s="7" t="str">
        <f>HYPERLINK("http://slimages.macys.com/is/image/MCY/11174709 ")</f>
        <v xml:space="preserve">http://slimages.macys.com/is/image/MCY/11174709 </v>
      </c>
    </row>
    <row r="619" spans="1:12" ht="24.75" x14ac:dyDescent="0.25">
      <c r="A619" s="4" t="s">
        <v>12300</v>
      </c>
      <c r="B619" s="2" t="s">
        <v>11074</v>
      </c>
      <c r="C619" s="3">
        <v>1</v>
      </c>
      <c r="D619" s="5">
        <v>29.63</v>
      </c>
      <c r="E619" s="3" t="s">
        <v>11075</v>
      </c>
      <c r="F619" s="2" t="s">
        <v>74</v>
      </c>
      <c r="G619" s="6" t="s">
        <v>181</v>
      </c>
      <c r="H619" s="2" t="s">
        <v>284</v>
      </c>
      <c r="I619" s="2" t="s">
        <v>285</v>
      </c>
      <c r="J619" s="2" t="s">
        <v>19</v>
      </c>
      <c r="K619" s="2" t="s">
        <v>442</v>
      </c>
      <c r="L619" s="7" t="str">
        <f>HYPERLINK("http://slimages.macys.com/is/image/MCY/10043380 ")</f>
        <v xml:space="preserve">http://slimages.macys.com/is/image/MCY/10043380 </v>
      </c>
    </row>
    <row r="620" spans="1:12" ht="24.75" x14ac:dyDescent="0.25">
      <c r="A620" s="4" t="s">
        <v>12301</v>
      </c>
      <c r="B620" s="2" t="s">
        <v>11074</v>
      </c>
      <c r="C620" s="3">
        <v>1</v>
      </c>
      <c r="D620" s="5">
        <v>29.63</v>
      </c>
      <c r="E620" s="3" t="s">
        <v>11075</v>
      </c>
      <c r="F620" s="2" t="s">
        <v>1296</v>
      </c>
      <c r="G620" s="6" t="s">
        <v>181</v>
      </c>
      <c r="H620" s="2" t="s">
        <v>284</v>
      </c>
      <c r="I620" s="2" t="s">
        <v>285</v>
      </c>
      <c r="J620" s="2" t="s">
        <v>19</v>
      </c>
      <c r="K620" s="2" t="s">
        <v>442</v>
      </c>
      <c r="L620" s="7" t="str">
        <f>HYPERLINK("http://slimages.macys.com/is/image/MCY/10043380 ")</f>
        <v xml:space="preserve">http://slimages.macys.com/is/image/MCY/10043380 </v>
      </c>
    </row>
    <row r="621" spans="1:12" ht="24.75" x14ac:dyDescent="0.25">
      <c r="A621" s="4" t="s">
        <v>12302</v>
      </c>
      <c r="B621" s="2" t="s">
        <v>12303</v>
      </c>
      <c r="C621" s="3">
        <v>1</v>
      </c>
      <c r="D621" s="5">
        <v>30</v>
      </c>
      <c r="E621" s="3" t="s">
        <v>12304</v>
      </c>
      <c r="F621" s="2" t="s">
        <v>74</v>
      </c>
      <c r="G621" s="6" t="s">
        <v>446</v>
      </c>
      <c r="H621" s="2" t="s">
        <v>447</v>
      </c>
      <c r="I621" s="2" t="s">
        <v>792</v>
      </c>
      <c r="J621" s="2" t="s">
        <v>2474</v>
      </c>
      <c r="K621" s="2" t="s">
        <v>160</v>
      </c>
      <c r="L621" s="7" t="str">
        <f>HYPERLINK("http://slimages.macys.com/is/image/MCY/1707499 ")</f>
        <v xml:space="preserve">http://slimages.macys.com/is/image/MCY/1707499 </v>
      </c>
    </row>
    <row r="622" spans="1:12" ht="24.75" x14ac:dyDescent="0.25">
      <c r="A622" s="4" t="s">
        <v>1620</v>
      </c>
      <c r="B622" s="2" t="s">
        <v>1529</v>
      </c>
      <c r="C622" s="3">
        <v>1</v>
      </c>
      <c r="D622" s="5">
        <v>37.130000000000003</v>
      </c>
      <c r="E622" s="3" t="s">
        <v>1530</v>
      </c>
      <c r="F622" s="2" t="s">
        <v>998</v>
      </c>
      <c r="G622" s="6" t="s">
        <v>934</v>
      </c>
      <c r="H622" s="2" t="s">
        <v>312</v>
      </c>
      <c r="I622" s="2" t="s">
        <v>195</v>
      </c>
      <c r="J622" s="2" t="s">
        <v>19</v>
      </c>
      <c r="K622" s="2" t="s">
        <v>353</v>
      </c>
      <c r="L622" s="7" t="str">
        <f>HYPERLINK("http://slimages.macys.com/is/image/MCY/11938040 ")</f>
        <v xml:space="preserve">http://slimages.macys.com/is/image/MCY/11938040 </v>
      </c>
    </row>
    <row r="623" spans="1:12" ht="24.75" x14ac:dyDescent="0.25">
      <c r="A623" s="4" t="s">
        <v>2867</v>
      </c>
      <c r="B623" s="2" t="s">
        <v>1627</v>
      </c>
      <c r="C623" s="3">
        <v>1</v>
      </c>
      <c r="D623" s="5">
        <v>25.88</v>
      </c>
      <c r="E623" s="3" t="s">
        <v>1628</v>
      </c>
      <c r="F623" s="2" t="s">
        <v>70</v>
      </c>
      <c r="G623" s="6" t="s">
        <v>234</v>
      </c>
      <c r="H623" s="2" t="s">
        <v>194</v>
      </c>
      <c r="I623" s="2" t="s">
        <v>195</v>
      </c>
      <c r="J623" s="2" t="s">
        <v>19</v>
      </c>
      <c r="K623" s="2" t="s">
        <v>1629</v>
      </c>
      <c r="L623" s="7" t="str">
        <f>HYPERLINK("http://slimages.macys.com/is/image/MCY/11531058 ")</f>
        <v xml:space="preserve">http://slimages.macys.com/is/image/MCY/11531058 </v>
      </c>
    </row>
    <row r="624" spans="1:12" ht="24.75" x14ac:dyDescent="0.25">
      <c r="A624" s="4" t="s">
        <v>12305</v>
      </c>
      <c r="B624" s="2" t="s">
        <v>2878</v>
      </c>
      <c r="C624" s="3">
        <v>1</v>
      </c>
      <c r="D624" s="5">
        <v>29.5</v>
      </c>
      <c r="E624" s="3" t="s">
        <v>2879</v>
      </c>
      <c r="F624" s="2" t="s">
        <v>26</v>
      </c>
      <c r="G624" s="6" t="s">
        <v>181</v>
      </c>
      <c r="H624" s="2" t="s">
        <v>194</v>
      </c>
      <c r="I624" s="2" t="s">
        <v>195</v>
      </c>
      <c r="J624" s="2" t="s">
        <v>19</v>
      </c>
      <c r="K624" s="2" t="s">
        <v>1108</v>
      </c>
      <c r="L624" s="7" t="str">
        <f>HYPERLINK("http://slimages.macys.com/is/image/MCY/12144113 ")</f>
        <v xml:space="preserve">http://slimages.macys.com/is/image/MCY/12144113 </v>
      </c>
    </row>
    <row r="625" spans="1:12" ht="24.75" x14ac:dyDescent="0.25">
      <c r="A625" s="4" t="s">
        <v>8267</v>
      </c>
      <c r="B625" s="2" t="s">
        <v>1635</v>
      </c>
      <c r="C625" s="3">
        <v>1</v>
      </c>
      <c r="D625" s="5">
        <v>25.88</v>
      </c>
      <c r="E625" s="3">
        <v>100011992</v>
      </c>
      <c r="F625" s="2" t="s">
        <v>33</v>
      </c>
      <c r="G625" s="6" t="s">
        <v>234</v>
      </c>
      <c r="H625" s="2" t="s">
        <v>194</v>
      </c>
      <c r="I625" s="2" t="s">
        <v>195</v>
      </c>
      <c r="J625" s="2" t="s">
        <v>19</v>
      </c>
      <c r="K625" s="2" t="s">
        <v>1617</v>
      </c>
      <c r="L625" s="7" t="str">
        <f>HYPERLINK("http://slimages.macys.com/is/image/MCY/13314771 ")</f>
        <v xml:space="preserve">http://slimages.macys.com/is/image/MCY/13314771 </v>
      </c>
    </row>
    <row r="626" spans="1:12" ht="24.75" x14ac:dyDescent="0.25">
      <c r="A626" s="4" t="s">
        <v>2877</v>
      </c>
      <c r="B626" s="2" t="s">
        <v>2878</v>
      </c>
      <c r="C626" s="3">
        <v>1</v>
      </c>
      <c r="D626" s="5">
        <v>29.63</v>
      </c>
      <c r="E626" s="3" t="s">
        <v>2879</v>
      </c>
      <c r="F626" s="2" t="s">
        <v>64</v>
      </c>
      <c r="G626" s="6" t="s">
        <v>156</v>
      </c>
      <c r="H626" s="2" t="s">
        <v>194</v>
      </c>
      <c r="I626" s="2" t="s">
        <v>195</v>
      </c>
      <c r="J626" s="2" t="s">
        <v>19</v>
      </c>
      <c r="K626" s="2" t="s">
        <v>1108</v>
      </c>
      <c r="L626" s="7" t="str">
        <f>HYPERLINK("http://slimages.macys.com/is/image/MCY/12144113 ")</f>
        <v xml:space="preserve">http://slimages.macys.com/is/image/MCY/12144113 </v>
      </c>
    </row>
    <row r="627" spans="1:12" ht="24.75" x14ac:dyDescent="0.25">
      <c r="A627" s="4" t="s">
        <v>12306</v>
      </c>
      <c r="B627" s="2" t="s">
        <v>1478</v>
      </c>
      <c r="C627" s="3">
        <v>1</v>
      </c>
      <c r="D627" s="5">
        <v>29.99</v>
      </c>
      <c r="E627" s="3" t="s">
        <v>9694</v>
      </c>
      <c r="F627" s="2" t="s">
        <v>53</v>
      </c>
      <c r="G627" s="6" t="s">
        <v>154</v>
      </c>
      <c r="H627" s="2" t="s">
        <v>246</v>
      </c>
      <c r="I627" s="2" t="s">
        <v>3504</v>
      </c>
      <c r="J627" s="2" t="s">
        <v>19</v>
      </c>
      <c r="K627" s="2" t="s">
        <v>1480</v>
      </c>
      <c r="L627" s="7" t="str">
        <f>HYPERLINK("http://slimages.macys.com/is/image/MCY/10048328 ")</f>
        <v xml:space="preserve">http://slimages.macys.com/is/image/MCY/10048328 </v>
      </c>
    </row>
    <row r="628" spans="1:12" ht="24.75" x14ac:dyDescent="0.25">
      <c r="A628" s="4" t="s">
        <v>12307</v>
      </c>
      <c r="B628" s="2" t="s">
        <v>1667</v>
      </c>
      <c r="C628" s="3">
        <v>1</v>
      </c>
      <c r="D628" s="5">
        <v>19.989999999999998</v>
      </c>
      <c r="E628" s="3" t="s">
        <v>11102</v>
      </c>
      <c r="F628" s="2" t="s">
        <v>566</v>
      </c>
      <c r="G628" s="6" t="s">
        <v>154</v>
      </c>
      <c r="H628" s="2" t="s">
        <v>194</v>
      </c>
      <c r="I628" s="2" t="s">
        <v>195</v>
      </c>
      <c r="J628" s="2" t="s">
        <v>19</v>
      </c>
      <c r="K628" s="2" t="s">
        <v>247</v>
      </c>
      <c r="L628" s="7" t="str">
        <f>HYPERLINK("http://slimages.macys.com/is/image/MCY/13368047 ")</f>
        <v xml:space="preserve">http://slimages.macys.com/is/image/MCY/13368047 </v>
      </c>
    </row>
    <row r="629" spans="1:12" ht="24.75" x14ac:dyDescent="0.25">
      <c r="A629" s="4" t="s">
        <v>12308</v>
      </c>
      <c r="B629" s="2" t="s">
        <v>1689</v>
      </c>
      <c r="C629" s="3">
        <v>1</v>
      </c>
      <c r="D629" s="5">
        <v>25.88</v>
      </c>
      <c r="E629" s="3" t="s">
        <v>1690</v>
      </c>
      <c r="F629" s="2" t="s">
        <v>170</v>
      </c>
      <c r="G629" s="6" t="s">
        <v>154</v>
      </c>
      <c r="H629" s="2" t="s">
        <v>194</v>
      </c>
      <c r="I629" s="2" t="s">
        <v>195</v>
      </c>
      <c r="J629" s="2" t="s">
        <v>19</v>
      </c>
      <c r="K629" s="2" t="s">
        <v>648</v>
      </c>
      <c r="L629" s="7" t="str">
        <f>HYPERLINK("http://slimages.macys.com/is/image/MCY/3650047 ")</f>
        <v xml:space="preserve">http://slimages.macys.com/is/image/MCY/3650047 </v>
      </c>
    </row>
    <row r="630" spans="1:12" ht="24.75" x14ac:dyDescent="0.25">
      <c r="A630" s="4" t="s">
        <v>12309</v>
      </c>
      <c r="B630" s="2" t="s">
        <v>1683</v>
      </c>
      <c r="C630" s="3">
        <v>1</v>
      </c>
      <c r="D630" s="5">
        <v>37.130000000000003</v>
      </c>
      <c r="E630" s="3" t="s">
        <v>11111</v>
      </c>
      <c r="F630" s="2" t="s">
        <v>566</v>
      </c>
      <c r="G630" s="6" t="s">
        <v>156</v>
      </c>
      <c r="H630" s="2" t="s">
        <v>194</v>
      </c>
      <c r="I630" s="2" t="s">
        <v>195</v>
      </c>
      <c r="J630" s="2" t="s">
        <v>19</v>
      </c>
      <c r="K630" s="2" t="s">
        <v>247</v>
      </c>
      <c r="L630" s="7" t="str">
        <f>HYPERLINK("http://slimages.macys.com/is/image/MCY/13121030 ")</f>
        <v xml:space="preserve">http://slimages.macys.com/is/image/MCY/13121030 </v>
      </c>
    </row>
    <row r="631" spans="1:12" ht="24.75" x14ac:dyDescent="0.25">
      <c r="A631" s="4" t="s">
        <v>2888</v>
      </c>
      <c r="B631" s="2" t="s">
        <v>1689</v>
      </c>
      <c r="C631" s="3">
        <v>1</v>
      </c>
      <c r="D631" s="5">
        <v>25.88</v>
      </c>
      <c r="E631" s="3" t="s">
        <v>1690</v>
      </c>
      <c r="F631" s="2" t="s">
        <v>1584</v>
      </c>
      <c r="G631" s="6" t="s">
        <v>154</v>
      </c>
      <c r="H631" s="2" t="s">
        <v>194</v>
      </c>
      <c r="I631" s="2" t="s">
        <v>195</v>
      </c>
      <c r="J631" s="2" t="s">
        <v>19</v>
      </c>
      <c r="K631" s="2" t="s">
        <v>648</v>
      </c>
      <c r="L631" s="7" t="str">
        <f>HYPERLINK("http://slimages.macys.com/is/image/MCY/3650047 ")</f>
        <v xml:space="preserve">http://slimages.macys.com/is/image/MCY/3650047 </v>
      </c>
    </row>
    <row r="632" spans="1:12" ht="24.75" x14ac:dyDescent="0.25">
      <c r="A632" s="4" t="s">
        <v>11108</v>
      </c>
      <c r="B632" s="2" t="s">
        <v>1689</v>
      </c>
      <c r="C632" s="3">
        <v>1</v>
      </c>
      <c r="D632" s="5">
        <v>25.88</v>
      </c>
      <c r="E632" s="3" t="s">
        <v>1690</v>
      </c>
      <c r="F632" s="2" t="s">
        <v>170</v>
      </c>
      <c r="G632" s="6" t="s">
        <v>181</v>
      </c>
      <c r="H632" s="2" t="s">
        <v>194</v>
      </c>
      <c r="I632" s="2" t="s">
        <v>195</v>
      </c>
      <c r="J632" s="2" t="s">
        <v>19</v>
      </c>
      <c r="K632" s="2" t="s">
        <v>648</v>
      </c>
      <c r="L632" s="7" t="str">
        <f>HYPERLINK("http://slimages.macys.com/is/image/MCY/3650047 ")</f>
        <v xml:space="preserve">http://slimages.macys.com/is/image/MCY/3650047 </v>
      </c>
    </row>
    <row r="633" spans="1:12" ht="24.75" x14ac:dyDescent="0.25">
      <c r="A633" s="4" t="s">
        <v>5078</v>
      </c>
      <c r="B633" s="2" t="s">
        <v>1692</v>
      </c>
      <c r="C633" s="3">
        <v>1</v>
      </c>
      <c r="D633" s="5">
        <v>24.37</v>
      </c>
      <c r="E633" s="3" t="s">
        <v>5076</v>
      </c>
      <c r="F633" s="2" t="s">
        <v>5077</v>
      </c>
      <c r="G633" s="6" t="s">
        <v>156</v>
      </c>
      <c r="H633" s="2" t="s">
        <v>194</v>
      </c>
      <c r="I633" s="2" t="s">
        <v>580</v>
      </c>
      <c r="J633" s="2" t="s">
        <v>19</v>
      </c>
      <c r="K633" s="2" t="s">
        <v>137</v>
      </c>
      <c r="L633" s="7" t="str">
        <f>HYPERLINK("http://slimages.macys.com/is/image/MCY/16404085 ")</f>
        <v xml:space="preserve">http://slimages.macys.com/is/image/MCY/16404085 </v>
      </c>
    </row>
    <row r="634" spans="1:12" ht="24.75" x14ac:dyDescent="0.25">
      <c r="A634" s="4" t="s">
        <v>9699</v>
      </c>
      <c r="B634" s="2" t="s">
        <v>1692</v>
      </c>
      <c r="C634" s="3">
        <v>1</v>
      </c>
      <c r="D634" s="5">
        <v>24.37</v>
      </c>
      <c r="E634" s="3" t="s">
        <v>5076</v>
      </c>
      <c r="F634" s="2" t="s">
        <v>5077</v>
      </c>
      <c r="G634" s="6" t="s">
        <v>154</v>
      </c>
      <c r="H634" s="2" t="s">
        <v>194</v>
      </c>
      <c r="I634" s="2" t="s">
        <v>580</v>
      </c>
      <c r="J634" s="2" t="s">
        <v>19</v>
      </c>
      <c r="K634" s="2" t="s">
        <v>137</v>
      </c>
      <c r="L634" s="7" t="str">
        <f>HYPERLINK("http://slimages.macys.com/is/image/MCY/16404085 ")</f>
        <v xml:space="preserve">http://slimages.macys.com/is/image/MCY/16404085 </v>
      </c>
    </row>
    <row r="635" spans="1:12" ht="24.75" x14ac:dyDescent="0.25">
      <c r="A635" s="4" t="s">
        <v>12310</v>
      </c>
      <c r="B635" s="2" t="s">
        <v>1692</v>
      </c>
      <c r="C635" s="3">
        <v>1</v>
      </c>
      <c r="D635" s="5">
        <v>24.37</v>
      </c>
      <c r="E635" s="3" t="s">
        <v>9698</v>
      </c>
      <c r="F635" s="2" t="s">
        <v>33</v>
      </c>
      <c r="G635" s="6" t="s">
        <v>234</v>
      </c>
      <c r="H635" s="2" t="s">
        <v>194</v>
      </c>
      <c r="I635" s="2" t="s">
        <v>580</v>
      </c>
      <c r="J635" s="2" t="s">
        <v>19</v>
      </c>
      <c r="K635" s="2" t="s">
        <v>137</v>
      </c>
      <c r="L635" s="7" t="str">
        <f>HYPERLINK("http://slimages.macys.com/is/image/MCY/16404085 ")</f>
        <v xml:space="preserve">http://slimages.macys.com/is/image/MCY/16404085 </v>
      </c>
    </row>
    <row r="636" spans="1:12" ht="24.75" x14ac:dyDescent="0.25">
      <c r="A636" s="4" t="s">
        <v>12311</v>
      </c>
      <c r="B636" s="2" t="s">
        <v>11113</v>
      </c>
      <c r="C636" s="3">
        <v>1</v>
      </c>
      <c r="D636" s="5">
        <v>25.88</v>
      </c>
      <c r="E636" s="3" t="s">
        <v>11114</v>
      </c>
      <c r="F636" s="2" t="s">
        <v>413</v>
      </c>
      <c r="G636" s="6" t="s">
        <v>181</v>
      </c>
      <c r="H636" s="2" t="s">
        <v>194</v>
      </c>
      <c r="I636" s="2" t="s">
        <v>580</v>
      </c>
      <c r="J636" s="2" t="s">
        <v>19</v>
      </c>
      <c r="K636" s="2" t="s">
        <v>137</v>
      </c>
      <c r="L636" s="7" t="str">
        <f>HYPERLINK("http://slimages.macys.com/is/image/MCY/16404085 ")</f>
        <v xml:space="preserve">http://slimages.macys.com/is/image/MCY/16404085 </v>
      </c>
    </row>
    <row r="637" spans="1:12" ht="24.75" x14ac:dyDescent="0.25">
      <c r="A637" s="4" t="s">
        <v>12312</v>
      </c>
      <c r="B637" s="2" t="s">
        <v>12313</v>
      </c>
      <c r="C637" s="3">
        <v>1</v>
      </c>
      <c r="D637" s="5">
        <v>21.99</v>
      </c>
      <c r="E637" s="3" t="s">
        <v>12314</v>
      </c>
      <c r="F637" s="2" t="s">
        <v>26</v>
      </c>
      <c r="G637" s="6" t="s">
        <v>154</v>
      </c>
      <c r="H637" s="2" t="s">
        <v>1473</v>
      </c>
      <c r="I637" s="2" t="s">
        <v>1426</v>
      </c>
      <c r="J637" s="2" t="s">
        <v>19</v>
      </c>
      <c r="K637" s="2" t="s">
        <v>648</v>
      </c>
      <c r="L637" s="7" t="str">
        <f>HYPERLINK("http://slimages.macys.com/is/image/MCY/13634416 ")</f>
        <v xml:space="preserve">http://slimages.macys.com/is/image/MCY/13634416 </v>
      </c>
    </row>
    <row r="638" spans="1:12" ht="24.75" x14ac:dyDescent="0.25">
      <c r="A638" s="4" t="s">
        <v>12315</v>
      </c>
      <c r="B638" s="2" t="s">
        <v>11180</v>
      </c>
      <c r="C638" s="3">
        <v>1</v>
      </c>
      <c r="D638" s="5">
        <v>29.6</v>
      </c>
      <c r="E638" s="3">
        <v>100015577</v>
      </c>
      <c r="F638" s="2" t="s">
        <v>26</v>
      </c>
      <c r="G638" s="6" t="s">
        <v>181</v>
      </c>
      <c r="H638" s="2" t="s">
        <v>194</v>
      </c>
      <c r="I638" s="2" t="s">
        <v>195</v>
      </c>
      <c r="J638" s="2" t="s">
        <v>19</v>
      </c>
      <c r="K638" s="2" t="s">
        <v>247</v>
      </c>
      <c r="L638" s="7" t="str">
        <f>HYPERLINK("http://slimages.macys.com/is/image/MCY/9508487 ")</f>
        <v xml:space="preserve">http://slimages.macys.com/is/image/MCY/9508487 </v>
      </c>
    </row>
    <row r="639" spans="1:12" ht="24.75" x14ac:dyDescent="0.25">
      <c r="A639" s="4" t="s">
        <v>12316</v>
      </c>
      <c r="B639" s="2" t="s">
        <v>12317</v>
      </c>
      <c r="C639" s="3">
        <v>1</v>
      </c>
      <c r="D639" s="5">
        <v>21.99</v>
      </c>
      <c r="E639" s="3" t="s">
        <v>12318</v>
      </c>
      <c r="F639" s="2" t="s">
        <v>15</v>
      </c>
      <c r="G639" s="6" t="s">
        <v>200</v>
      </c>
      <c r="H639" s="2" t="s">
        <v>284</v>
      </c>
      <c r="I639" s="2" t="s">
        <v>285</v>
      </c>
      <c r="J639" s="2" t="s">
        <v>19</v>
      </c>
      <c r="K639" s="2" t="s">
        <v>247</v>
      </c>
      <c r="L639" s="7" t="str">
        <f>HYPERLINK("http://slimages.macys.com/is/image/MCY/13924882 ")</f>
        <v xml:space="preserve">http://slimages.macys.com/is/image/MCY/13924882 </v>
      </c>
    </row>
    <row r="640" spans="1:12" ht="24.75" x14ac:dyDescent="0.25">
      <c r="A640" s="4" t="s">
        <v>12319</v>
      </c>
      <c r="B640" s="2" t="s">
        <v>11119</v>
      </c>
      <c r="C640" s="3">
        <v>1</v>
      </c>
      <c r="D640" s="5">
        <v>21.99</v>
      </c>
      <c r="E640" s="3" t="s">
        <v>11120</v>
      </c>
      <c r="F640" s="2"/>
      <c r="G640" s="6" t="s">
        <v>181</v>
      </c>
      <c r="H640" s="2" t="s">
        <v>1473</v>
      </c>
      <c r="I640" s="2" t="s">
        <v>1426</v>
      </c>
      <c r="J640" s="2" t="s">
        <v>19</v>
      </c>
      <c r="K640" s="2" t="s">
        <v>1108</v>
      </c>
      <c r="L640" s="7" t="str">
        <f>HYPERLINK("http://slimages.macys.com/is/image/MCY/13812564 ")</f>
        <v xml:space="preserve">http://slimages.macys.com/is/image/MCY/13812564 </v>
      </c>
    </row>
    <row r="641" spans="1:12" ht="24.75" x14ac:dyDescent="0.25">
      <c r="A641" s="4" t="s">
        <v>11118</v>
      </c>
      <c r="B641" s="2" t="s">
        <v>11119</v>
      </c>
      <c r="C641" s="3">
        <v>1</v>
      </c>
      <c r="D641" s="5">
        <v>21.99</v>
      </c>
      <c r="E641" s="3" t="s">
        <v>11120</v>
      </c>
      <c r="F641" s="2" t="s">
        <v>15</v>
      </c>
      <c r="G641" s="6" t="s">
        <v>181</v>
      </c>
      <c r="H641" s="2" t="s">
        <v>1473</v>
      </c>
      <c r="I641" s="2" t="s">
        <v>1426</v>
      </c>
      <c r="J641" s="2" t="s">
        <v>19</v>
      </c>
      <c r="K641" s="2" t="s">
        <v>1108</v>
      </c>
      <c r="L641" s="7" t="str">
        <f>HYPERLINK("http://slimages.macys.com/is/image/MCY/13812564 ")</f>
        <v xml:space="preserve">http://slimages.macys.com/is/image/MCY/13812564 </v>
      </c>
    </row>
    <row r="642" spans="1:12" ht="24.75" x14ac:dyDescent="0.25">
      <c r="A642" s="4" t="s">
        <v>12320</v>
      </c>
      <c r="B642" s="2" t="s">
        <v>12321</v>
      </c>
      <c r="C642" s="3">
        <v>1</v>
      </c>
      <c r="D642" s="5">
        <v>25.88</v>
      </c>
      <c r="E642" s="3" t="s">
        <v>12322</v>
      </c>
      <c r="F642" s="2" t="s">
        <v>579</v>
      </c>
      <c r="G642" s="6"/>
      <c r="H642" s="2" t="s">
        <v>312</v>
      </c>
      <c r="I642" s="2" t="s">
        <v>195</v>
      </c>
      <c r="J642" s="2" t="s">
        <v>19</v>
      </c>
      <c r="K642" s="2" t="s">
        <v>648</v>
      </c>
      <c r="L642" s="7" t="str">
        <f>HYPERLINK("http://slimages.macys.com/is/image/MCY/13367734 ")</f>
        <v xml:space="preserve">http://slimages.macys.com/is/image/MCY/13367734 </v>
      </c>
    </row>
    <row r="643" spans="1:12" ht="24.75" x14ac:dyDescent="0.25">
      <c r="A643" s="4" t="s">
        <v>7572</v>
      </c>
      <c r="B643" s="2" t="s">
        <v>5916</v>
      </c>
      <c r="C643" s="3">
        <v>1</v>
      </c>
      <c r="D643" s="5">
        <v>24.99</v>
      </c>
      <c r="E643" s="3" t="s">
        <v>7573</v>
      </c>
      <c r="F643" s="2" t="s">
        <v>111</v>
      </c>
      <c r="G643" s="6" t="s">
        <v>181</v>
      </c>
      <c r="H643" s="2" t="s">
        <v>284</v>
      </c>
      <c r="I643" s="2" t="s">
        <v>285</v>
      </c>
      <c r="J643" s="2" t="s">
        <v>19</v>
      </c>
      <c r="K643" s="2" t="s">
        <v>208</v>
      </c>
      <c r="L643" s="7" t="str">
        <f>HYPERLINK("http://slimages.macys.com/is/image/MCY/12301382 ")</f>
        <v xml:space="preserve">http://slimages.macys.com/is/image/MCY/12301382 </v>
      </c>
    </row>
    <row r="644" spans="1:12" ht="24.75" x14ac:dyDescent="0.25">
      <c r="A644" s="4" t="s">
        <v>12323</v>
      </c>
      <c r="B644" s="2" t="s">
        <v>4014</v>
      </c>
      <c r="C644" s="3">
        <v>1</v>
      </c>
      <c r="D644" s="5">
        <v>29.7</v>
      </c>
      <c r="E644" s="3" t="s">
        <v>4015</v>
      </c>
      <c r="F644" s="2" t="s">
        <v>15</v>
      </c>
      <c r="G644" s="6"/>
      <c r="H644" s="2" t="s">
        <v>349</v>
      </c>
      <c r="I644" s="2" t="s">
        <v>285</v>
      </c>
      <c r="J644" s="2" t="s">
        <v>19</v>
      </c>
      <c r="K644" s="2" t="s">
        <v>160</v>
      </c>
      <c r="L644" s="7" t="str">
        <f>HYPERLINK("http://slimages.macys.com/is/image/MCY/12510129 ")</f>
        <v xml:space="preserve">http://slimages.macys.com/is/image/MCY/12510129 </v>
      </c>
    </row>
    <row r="645" spans="1:12" ht="24.75" x14ac:dyDescent="0.25">
      <c r="A645" s="4" t="s">
        <v>12324</v>
      </c>
      <c r="B645" s="2" t="s">
        <v>5916</v>
      </c>
      <c r="C645" s="3">
        <v>1</v>
      </c>
      <c r="D645" s="5">
        <v>24.99</v>
      </c>
      <c r="E645" s="3" t="s">
        <v>12325</v>
      </c>
      <c r="F645" s="2" t="s">
        <v>85</v>
      </c>
      <c r="G645" s="6" t="s">
        <v>154</v>
      </c>
      <c r="H645" s="2" t="s">
        <v>284</v>
      </c>
      <c r="I645" s="2" t="s">
        <v>285</v>
      </c>
      <c r="J645" s="2" t="s">
        <v>19</v>
      </c>
      <c r="K645" s="2" t="s">
        <v>208</v>
      </c>
      <c r="L645" s="7" t="str">
        <f>HYPERLINK("http://slimages.macys.com/is/image/MCY/12301382 ")</f>
        <v xml:space="preserve">http://slimages.macys.com/is/image/MCY/12301382 </v>
      </c>
    </row>
    <row r="646" spans="1:12" ht="24.75" x14ac:dyDescent="0.25">
      <c r="A646" s="4" t="s">
        <v>12326</v>
      </c>
      <c r="B646" s="2" t="s">
        <v>1699</v>
      </c>
      <c r="C646" s="3">
        <v>2</v>
      </c>
      <c r="D646" s="5">
        <v>19.989999999999998</v>
      </c>
      <c r="E646" s="3" t="s">
        <v>1700</v>
      </c>
      <c r="F646" s="2" t="s">
        <v>64</v>
      </c>
      <c r="G646" s="6" t="s">
        <v>154</v>
      </c>
      <c r="H646" s="2" t="s">
        <v>1473</v>
      </c>
      <c r="I646" s="2" t="s">
        <v>1426</v>
      </c>
      <c r="J646" s="2" t="s">
        <v>19</v>
      </c>
      <c r="K646" s="2" t="s">
        <v>990</v>
      </c>
      <c r="L646" s="7" t="str">
        <f>HYPERLINK("http://slimages.macys.com/is/image/MCY/11831242 ")</f>
        <v xml:space="preserve">http://slimages.macys.com/is/image/MCY/11831242 </v>
      </c>
    </row>
    <row r="647" spans="1:12" ht="24.75" x14ac:dyDescent="0.25">
      <c r="A647" s="4" t="s">
        <v>12327</v>
      </c>
      <c r="B647" s="2" t="s">
        <v>1699</v>
      </c>
      <c r="C647" s="3">
        <v>1</v>
      </c>
      <c r="D647" s="5">
        <v>19.989999999999998</v>
      </c>
      <c r="E647" s="3" t="s">
        <v>1700</v>
      </c>
      <c r="F647" s="2" t="s">
        <v>74</v>
      </c>
      <c r="G647" s="6" t="s">
        <v>245</v>
      </c>
      <c r="H647" s="2" t="s">
        <v>1473</v>
      </c>
      <c r="I647" s="2" t="s">
        <v>1426</v>
      </c>
      <c r="J647" s="2" t="s">
        <v>19</v>
      </c>
      <c r="K647" s="2" t="s">
        <v>990</v>
      </c>
      <c r="L647" s="7" t="str">
        <f>HYPERLINK("http://slimages.macys.com/is/image/MCY/11831242 ")</f>
        <v xml:space="preserve">http://slimages.macys.com/is/image/MCY/11831242 </v>
      </c>
    </row>
    <row r="648" spans="1:12" ht="24.75" x14ac:dyDescent="0.25">
      <c r="A648" s="4" t="s">
        <v>12328</v>
      </c>
      <c r="B648" s="2" t="s">
        <v>12329</v>
      </c>
      <c r="C648" s="3">
        <v>1</v>
      </c>
      <c r="D648" s="5">
        <v>19.989999999999998</v>
      </c>
      <c r="E648" s="3" t="s">
        <v>12330</v>
      </c>
      <c r="F648" s="2" t="s">
        <v>38</v>
      </c>
      <c r="G648" s="6"/>
      <c r="H648" s="2" t="s">
        <v>1425</v>
      </c>
      <c r="I648" s="2" t="s">
        <v>1469</v>
      </c>
      <c r="J648" s="2" t="s">
        <v>19</v>
      </c>
      <c r="K648" s="2" t="s">
        <v>495</v>
      </c>
      <c r="L648" s="7" t="str">
        <f>HYPERLINK("http://slimages.macys.com/is/image/MCY/13961034 ")</f>
        <v xml:space="preserve">http://slimages.macys.com/is/image/MCY/13961034 </v>
      </c>
    </row>
    <row r="649" spans="1:12" ht="24.75" x14ac:dyDescent="0.25">
      <c r="A649" s="4" t="s">
        <v>12331</v>
      </c>
      <c r="B649" s="2" t="s">
        <v>12332</v>
      </c>
      <c r="C649" s="3">
        <v>1</v>
      </c>
      <c r="D649" s="5">
        <v>29.7</v>
      </c>
      <c r="E649" s="3" t="s">
        <v>12333</v>
      </c>
      <c r="F649" s="2" t="s">
        <v>74</v>
      </c>
      <c r="G649" s="6" t="s">
        <v>746</v>
      </c>
      <c r="H649" s="2" t="s">
        <v>349</v>
      </c>
      <c r="I649" s="2" t="s">
        <v>285</v>
      </c>
      <c r="J649" s="2" t="s">
        <v>19</v>
      </c>
      <c r="K649" s="2" t="s">
        <v>160</v>
      </c>
      <c r="L649" s="7" t="str">
        <f>HYPERLINK("http://slimages.macys.com/is/image/MCY/15198495 ")</f>
        <v xml:space="preserve">http://slimages.macys.com/is/image/MCY/15198495 </v>
      </c>
    </row>
    <row r="650" spans="1:12" ht="24.75" x14ac:dyDescent="0.25">
      <c r="A650" s="4" t="s">
        <v>12334</v>
      </c>
      <c r="B650" s="2" t="s">
        <v>11074</v>
      </c>
      <c r="C650" s="3">
        <v>1</v>
      </c>
      <c r="D650" s="5">
        <v>29.63</v>
      </c>
      <c r="E650" s="3" t="s">
        <v>11075</v>
      </c>
      <c r="F650" s="2" t="s">
        <v>53</v>
      </c>
      <c r="G650" s="6" t="s">
        <v>181</v>
      </c>
      <c r="H650" s="2" t="s">
        <v>284</v>
      </c>
      <c r="I650" s="2" t="s">
        <v>285</v>
      </c>
      <c r="J650" s="2" t="s">
        <v>19</v>
      </c>
      <c r="K650" s="2" t="s">
        <v>442</v>
      </c>
      <c r="L650" s="7" t="str">
        <f>HYPERLINK("http://slimages.macys.com/is/image/MCY/10043380 ")</f>
        <v xml:space="preserve">http://slimages.macys.com/is/image/MCY/10043380 </v>
      </c>
    </row>
    <row r="651" spans="1:12" ht="24.75" x14ac:dyDescent="0.25">
      <c r="A651" s="4" t="s">
        <v>12335</v>
      </c>
      <c r="B651" s="2" t="s">
        <v>4027</v>
      </c>
      <c r="C651" s="3">
        <v>1</v>
      </c>
      <c r="D651" s="5">
        <v>24.99</v>
      </c>
      <c r="E651" s="3" t="s">
        <v>12336</v>
      </c>
      <c r="F651" s="2" t="s">
        <v>74</v>
      </c>
      <c r="G651" s="6" t="s">
        <v>219</v>
      </c>
      <c r="H651" s="2" t="s">
        <v>1425</v>
      </c>
      <c r="I651" s="2" t="s">
        <v>1426</v>
      </c>
      <c r="J651" s="2" t="s">
        <v>19</v>
      </c>
      <c r="K651" s="2" t="s">
        <v>648</v>
      </c>
      <c r="L651" s="7" t="str">
        <f>HYPERLINK("http://slimages.macys.com/is/image/MCY/9888954 ")</f>
        <v xml:space="preserve">http://slimages.macys.com/is/image/MCY/9888954 </v>
      </c>
    </row>
    <row r="652" spans="1:12" ht="24.75" x14ac:dyDescent="0.25">
      <c r="A652" s="4" t="s">
        <v>12337</v>
      </c>
      <c r="B652" s="2" t="s">
        <v>4027</v>
      </c>
      <c r="C652" s="3">
        <v>1</v>
      </c>
      <c r="D652" s="5">
        <v>24.99</v>
      </c>
      <c r="E652" s="3" t="s">
        <v>12336</v>
      </c>
      <c r="F652" s="2" t="s">
        <v>1322</v>
      </c>
      <c r="G652" s="6" t="s">
        <v>219</v>
      </c>
      <c r="H652" s="2" t="s">
        <v>1425</v>
      </c>
      <c r="I652" s="2" t="s">
        <v>1426</v>
      </c>
      <c r="J652" s="2" t="s">
        <v>19</v>
      </c>
      <c r="K652" s="2" t="s">
        <v>648</v>
      </c>
      <c r="L652" s="7" t="str">
        <f>HYPERLINK("http://slimages.macys.com/is/image/MCY/9888954 ")</f>
        <v xml:space="preserve">http://slimages.macys.com/is/image/MCY/9888954 </v>
      </c>
    </row>
    <row r="653" spans="1:12" ht="24.75" x14ac:dyDescent="0.25">
      <c r="A653" s="4" t="s">
        <v>12338</v>
      </c>
      <c r="B653" s="2" t="s">
        <v>12339</v>
      </c>
      <c r="C653" s="3">
        <v>2</v>
      </c>
      <c r="D653" s="5">
        <v>21.99</v>
      </c>
      <c r="E653" s="3" t="s">
        <v>12340</v>
      </c>
      <c r="F653" s="2" t="s">
        <v>15</v>
      </c>
      <c r="G653" s="6" t="s">
        <v>154</v>
      </c>
      <c r="H653" s="2" t="s">
        <v>1473</v>
      </c>
      <c r="I653" s="2" t="s">
        <v>1426</v>
      </c>
      <c r="J653" s="2" t="s">
        <v>19</v>
      </c>
      <c r="K653" s="2" t="s">
        <v>648</v>
      </c>
      <c r="L653" s="7" t="str">
        <f>HYPERLINK("http://slimages.macys.com/is/image/MCY/13634790 ")</f>
        <v xml:space="preserve">http://slimages.macys.com/is/image/MCY/13634790 </v>
      </c>
    </row>
    <row r="654" spans="1:12" ht="24.75" x14ac:dyDescent="0.25">
      <c r="A654" s="4" t="s">
        <v>12341</v>
      </c>
      <c r="B654" s="2" t="s">
        <v>12339</v>
      </c>
      <c r="C654" s="3">
        <v>1</v>
      </c>
      <c r="D654" s="5">
        <v>21.99</v>
      </c>
      <c r="E654" s="3" t="s">
        <v>12340</v>
      </c>
      <c r="F654" s="2" t="s">
        <v>132</v>
      </c>
      <c r="G654" s="6" t="s">
        <v>245</v>
      </c>
      <c r="H654" s="2" t="s">
        <v>1473</v>
      </c>
      <c r="I654" s="2" t="s">
        <v>1426</v>
      </c>
      <c r="J654" s="2" t="s">
        <v>19</v>
      </c>
      <c r="K654" s="2" t="s">
        <v>648</v>
      </c>
      <c r="L654" s="7" t="str">
        <f>HYPERLINK("http://slimages.macys.com/is/image/MCY/13634790 ")</f>
        <v xml:space="preserve">http://slimages.macys.com/is/image/MCY/13634790 </v>
      </c>
    </row>
    <row r="655" spans="1:12" ht="24.75" x14ac:dyDescent="0.25">
      <c r="A655" s="4" t="s">
        <v>12342</v>
      </c>
      <c r="B655" s="2" t="s">
        <v>12339</v>
      </c>
      <c r="C655" s="3">
        <v>1</v>
      </c>
      <c r="D655" s="5">
        <v>21.99</v>
      </c>
      <c r="E655" s="3" t="s">
        <v>12340</v>
      </c>
      <c r="F655" s="2" t="s">
        <v>132</v>
      </c>
      <c r="G655" s="6" t="s">
        <v>181</v>
      </c>
      <c r="H655" s="2" t="s">
        <v>1473</v>
      </c>
      <c r="I655" s="2" t="s">
        <v>1426</v>
      </c>
      <c r="J655" s="2" t="s">
        <v>19</v>
      </c>
      <c r="K655" s="2" t="s">
        <v>648</v>
      </c>
      <c r="L655" s="7" t="str">
        <f>HYPERLINK("http://slimages.macys.com/is/image/MCY/13634790 ")</f>
        <v xml:space="preserve">http://slimages.macys.com/is/image/MCY/13634790 </v>
      </c>
    </row>
    <row r="656" spans="1:12" ht="24.75" x14ac:dyDescent="0.25">
      <c r="A656" s="4" t="s">
        <v>12343</v>
      </c>
      <c r="B656" s="2" t="s">
        <v>12344</v>
      </c>
      <c r="C656" s="3">
        <v>1</v>
      </c>
      <c r="D656" s="5">
        <v>19.989999999999998</v>
      </c>
      <c r="E656" s="3" t="s">
        <v>12345</v>
      </c>
      <c r="F656" s="2" t="s">
        <v>26</v>
      </c>
      <c r="G656" s="6"/>
      <c r="H656" s="2" t="s">
        <v>188</v>
      </c>
      <c r="I656" s="2" t="s">
        <v>189</v>
      </c>
      <c r="J656" s="2" t="s">
        <v>19</v>
      </c>
      <c r="K656" s="2" t="s">
        <v>648</v>
      </c>
      <c r="L656" s="7" t="str">
        <f>HYPERLINK("http://slimages.macys.com/is/image/MCY/14442709 ")</f>
        <v xml:space="preserve">http://slimages.macys.com/is/image/MCY/14442709 </v>
      </c>
    </row>
    <row r="657" spans="1:12" ht="24.75" x14ac:dyDescent="0.25">
      <c r="A657" s="4" t="s">
        <v>7588</v>
      </c>
      <c r="B657" s="2" t="s">
        <v>1692</v>
      </c>
      <c r="C657" s="3">
        <v>1</v>
      </c>
      <c r="D657" s="5">
        <v>24.37</v>
      </c>
      <c r="E657" s="3" t="s">
        <v>7589</v>
      </c>
      <c r="F657" s="2" t="s">
        <v>170</v>
      </c>
      <c r="G657" s="6" t="s">
        <v>181</v>
      </c>
      <c r="H657" s="2" t="s">
        <v>194</v>
      </c>
      <c r="I657" s="2" t="s">
        <v>580</v>
      </c>
      <c r="J657" s="2" t="s">
        <v>19</v>
      </c>
      <c r="K657" s="2" t="s">
        <v>137</v>
      </c>
      <c r="L657" s="7" t="str">
        <f>HYPERLINK("http://slimages.macys.com/is/image/MCY/16404085 ")</f>
        <v xml:space="preserve">http://slimages.macys.com/is/image/MCY/16404085 </v>
      </c>
    </row>
    <row r="658" spans="1:12" x14ac:dyDescent="0.25">
      <c r="A658" s="4" t="s">
        <v>12346</v>
      </c>
      <c r="B658" s="2" t="s">
        <v>3026</v>
      </c>
      <c r="C658" s="3">
        <v>1</v>
      </c>
      <c r="D658" s="5">
        <v>26.99</v>
      </c>
      <c r="E658" s="3" t="s">
        <v>7591</v>
      </c>
      <c r="F658" s="2" t="s">
        <v>5415</v>
      </c>
      <c r="G658" s="6" t="s">
        <v>2276</v>
      </c>
      <c r="H658" s="2" t="s">
        <v>349</v>
      </c>
      <c r="I658" s="2" t="s">
        <v>285</v>
      </c>
      <c r="J658" s="2" t="s">
        <v>19</v>
      </c>
      <c r="K658" s="2" t="s">
        <v>247</v>
      </c>
      <c r="L658" s="7" t="str">
        <f>HYPERLINK("http://slimages.macys.com/is/image/MCY/8687069 ")</f>
        <v xml:space="preserve">http://slimages.macys.com/is/image/MCY/8687069 </v>
      </c>
    </row>
    <row r="659" spans="1:12" x14ac:dyDescent="0.25">
      <c r="A659" s="4" t="s">
        <v>12347</v>
      </c>
      <c r="B659" s="2" t="s">
        <v>3216</v>
      </c>
      <c r="C659" s="3">
        <v>1</v>
      </c>
      <c r="D659" s="5">
        <v>26.99</v>
      </c>
      <c r="E659" s="3" t="s">
        <v>12348</v>
      </c>
      <c r="F659" s="2" t="s">
        <v>64</v>
      </c>
      <c r="G659" s="6" t="s">
        <v>348</v>
      </c>
      <c r="H659" s="2" t="s">
        <v>349</v>
      </c>
      <c r="I659" s="2" t="s">
        <v>285</v>
      </c>
      <c r="J659" s="2" t="s">
        <v>19</v>
      </c>
      <c r="K659" s="2" t="s">
        <v>247</v>
      </c>
      <c r="L659" s="7" t="str">
        <f>HYPERLINK("http://slimages.macys.com/is/image/MCY/13934435 ")</f>
        <v xml:space="preserve">http://slimages.macys.com/is/image/MCY/13934435 </v>
      </c>
    </row>
    <row r="660" spans="1:12" ht="24.75" x14ac:dyDescent="0.25">
      <c r="A660" s="4" t="s">
        <v>12349</v>
      </c>
      <c r="B660" s="2" t="s">
        <v>5001</v>
      </c>
      <c r="C660" s="3">
        <v>1</v>
      </c>
      <c r="D660" s="5">
        <v>26.7</v>
      </c>
      <c r="E660" s="3" t="s">
        <v>12350</v>
      </c>
      <c r="F660" s="2" t="s">
        <v>74</v>
      </c>
      <c r="G660" s="6"/>
      <c r="H660" s="2" t="s">
        <v>632</v>
      </c>
      <c r="I660" s="2" t="s">
        <v>285</v>
      </c>
      <c r="J660" s="2" t="s">
        <v>19</v>
      </c>
      <c r="K660" s="2" t="s">
        <v>160</v>
      </c>
      <c r="L660" s="7" t="str">
        <f>HYPERLINK("http://slimages.macys.com/is/image/MCY/12465164 ")</f>
        <v xml:space="preserve">http://slimages.macys.com/is/image/MCY/12465164 </v>
      </c>
    </row>
    <row r="661" spans="1:12" ht="24.75" x14ac:dyDescent="0.25">
      <c r="A661" s="4" t="s">
        <v>12351</v>
      </c>
      <c r="B661" s="2" t="s">
        <v>12352</v>
      </c>
      <c r="C661" s="3">
        <v>1</v>
      </c>
      <c r="D661" s="5">
        <v>27.99</v>
      </c>
      <c r="E661" s="3" t="s">
        <v>12353</v>
      </c>
      <c r="F661" s="2" t="s">
        <v>74</v>
      </c>
      <c r="G661" s="6" t="s">
        <v>156</v>
      </c>
      <c r="H661" s="2" t="s">
        <v>1522</v>
      </c>
      <c r="I661" s="2" t="s">
        <v>1469</v>
      </c>
      <c r="J661" s="2" t="s">
        <v>19</v>
      </c>
      <c r="K661" s="2" t="s">
        <v>353</v>
      </c>
      <c r="L661" s="7" t="str">
        <f>HYPERLINK("http://slimages.macys.com/is/image/MCY/13530365 ")</f>
        <v xml:space="preserve">http://slimages.macys.com/is/image/MCY/13530365 </v>
      </c>
    </row>
    <row r="662" spans="1:12" ht="24.75" x14ac:dyDescent="0.25">
      <c r="A662" s="4" t="s">
        <v>12354</v>
      </c>
      <c r="B662" s="2" t="s">
        <v>1729</v>
      </c>
      <c r="C662" s="3">
        <v>1</v>
      </c>
      <c r="D662" s="5">
        <v>37.130000000000003</v>
      </c>
      <c r="E662" s="3" t="s">
        <v>1730</v>
      </c>
      <c r="F662" s="2" t="s">
        <v>331</v>
      </c>
      <c r="G662" s="6" t="s">
        <v>181</v>
      </c>
      <c r="H662" s="2" t="s">
        <v>246</v>
      </c>
      <c r="I662" s="2" t="s">
        <v>189</v>
      </c>
      <c r="J662" s="2" t="s">
        <v>19</v>
      </c>
      <c r="K662" s="2" t="s">
        <v>990</v>
      </c>
      <c r="L662" s="7" t="str">
        <f>HYPERLINK("http://slimages.macys.com/is/image/MCY/11996044 ")</f>
        <v xml:space="preserve">http://slimages.macys.com/is/image/MCY/11996044 </v>
      </c>
    </row>
    <row r="663" spans="1:12" ht="24.75" x14ac:dyDescent="0.25">
      <c r="A663" s="4" t="s">
        <v>12355</v>
      </c>
      <c r="B663" s="2" t="s">
        <v>1729</v>
      </c>
      <c r="C663" s="3">
        <v>1</v>
      </c>
      <c r="D663" s="5">
        <v>37.130000000000003</v>
      </c>
      <c r="E663" s="3" t="s">
        <v>1730</v>
      </c>
      <c r="F663" s="2" t="s">
        <v>331</v>
      </c>
      <c r="G663" s="6" t="s">
        <v>154</v>
      </c>
      <c r="H663" s="2" t="s">
        <v>246</v>
      </c>
      <c r="I663" s="2" t="s">
        <v>189</v>
      </c>
      <c r="J663" s="2" t="s">
        <v>19</v>
      </c>
      <c r="K663" s="2" t="s">
        <v>990</v>
      </c>
      <c r="L663" s="7" t="str">
        <f>HYPERLINK("http://slimages.macys.com/is/image/MCY/11996044 ")</f>
        <v xml:space="preserve">http://slimages.macys.com/is/image/MCY/11996044 </v>
      </c>
    </row>
    <row r="664" spans="1:12" ht="24.75" x14ac:dyDescent="0.25">
      <c r="A664" s="4" t="s">
        <v>12356</v>
      </c>
      <c r="B664" s="2" t="s">
        <v>1712</v>
      </c>
      <c r="C664" s="3">
        <v>1</v>
      </c>
      <c r="D664" s="5">
        <v>19.989999999999998</v>
      </c>
      <c r="E664" s="3" t="s">
        <v>12357</v>
      </c>
      <c r="F664" s="2" t="s">
        <v>74</v>
      </c>
      <c r="G664" s="6" t="s">
        <v>245</v>
      </c>
      <c r="H664" s="2" t="s">
        <v>194</v>
      </c>
      <c r="I664" s="2" t="s">
        <v>195</v>
      </c>
      <c r="J664" s="2" t="s">
        <v>19</v>
      </c>
      <c r="K664" s="2" t="s">
        <v>160</v>
      </c>
      <c r="L664" s="7" t="str">
        <f>HYPERLINK("http://slimages.macys.com/is/image/MCY/13317763 ")</f>
        <v xml:space="preserve">http://slimages.macys.com/is/image/MCY/13317763 </v>
      </c>
    </row>
    <row r="665" spans="1:12" ht="24.75" x14ac:dyDescent="0.25">
      <c r="A665" s="4" t="s">
        <v>12358</v>
      </c>
      <c r="B665" s="2" t="s">
        <v>4046</v>
      </c>
      <c r="C665" s="3">
        <v>1</v>
      </c>
      <c r="D665" s="5">
        <v>19.989999999999998</v>
      </c>
      <c r="E665" s="3" t="s">
        <v>4047</v>
      </c>
      <c r="F665" s="2" t="s">
        <v>70</v>
      </c>
      <c r="G665" s="6" t="s">
        <v>154</v>
      </c>
      <c r="H665" s="2" t="s">
        <v>1473</v>
      </c>
      <c r="I665" s="2" t="s">
        <v>1426</v>
      </c>
      <c r="J665" s="2" t="s">
        <v>19</v>
      </c>
      <c r="K665" s="2" t="s">
        <v>495</v>
      </c>
      <c r="L665" s="7" t="str">
        <f>HYPERLINK("http://slimages.macys.com/is/image/MCY/12773814 ")</f>
        <v xml:space="preserve">http://slimages.macys.com/is/image/MCY/12773814 </v>
      </c>
    </row>
    <row r="666" spans="1:12" ht="24.75" x14ac:dyDescent="0.25">
      <c r="A666" s="4" t="s">
        <v>12359</v>
      </c>
      <c r="B666" s="2" t="s">
        <v>9163</v>
      </c>
      <c r="C666" s="3">
        <v>1</v>
      </c>
      <c r="D666" s="5">
        <v>19.989999999999998</v>
      </c>
      <c r="E666" s="3" t="s">
        <v>9164</v>
      </c>
      <c r="F666" s="2"/>
      <c r="G666" s="6" t="s">
        <v>234</v>
      </c>
      <c r="H666" s="2" t="s">
        <v>1473</v>
      </c>
      <c r="I666" s="2" t="s">
        <v>1426</v>
      </c>
      <c r="J666" s="2" t="s">
        <v>19</v>
      </c>
      <c r="K666" s="2" t="s">
        <v>338</v>
      </c>
      <c r="L666" s="7" t="str">
        <f>HYPERLINK("http://slimages.macys.com/is/image/MCY/12774531 ")</f>
        <v xml:space="preserve">http://slimages.macys.com/is/image/MCY/12774531 </v>
      </c>
    </row>
    <row r="667" spans="1:12" ht="24.75" x14ac:dyDescent="0.25">
      <c r="A667" s="4" t="s">
        <v>12360</v>
      </c>
      <c r="B667" s="2" t="s">
        <v>12361</v>
      </c>
      <c r="C667" s="3">
        <v>1</v>
      </c>
      <c r="D667" s="5">
        <v>19.989999999999998</v>
      </c>
      <c r="E667" s="3" t="s">
        <v>12362</v>
      </c>
      <c r="F667" s="2" t="s">
        <v>26</v>
      </c>
      <c r="G667" s="6"/>
      <c r="H667" s="2" t="s">
        <v>188</v>
      </c>
      <c r="I667" s="2" t="s">
        <v>189</v>
      </c>
      <c r="J667" s="2" t="s">
        <v>19</v>
      </c>
      <c r="K667" s="2" t="s">
        <v>12363</v>
      </c>
      <c r="L667" s="7" t="str">
        <f>HYPERLINK("http://slimages.macys.com/is/image/MCY/11297664 ")</f>
        <v xml:space="preserve">http://slimages.macys.com/is/image/MCY/11297664 </v>
      </c>
    </row>
    <row r="668" spans="1:12" ht="24.75" x14ac:dyDescent="0.25">
      <c r="A668" s="4" t="s">
        <v>12364</v>
      </c>
      <c r="B668" s="2" t="s">
        <v>12365</v>
      </c>
      <c r="C668" s="3">
        <v>1</v>
      </c>
      <c r="D668" s="5">
        <v>26</v>
      </c>
      <c r="E668" s="3" t="s">
        <v>12366</v>
      </c>
      <c r="F668" s="2" t="s">
        <v>70</v>
      </c>
      <c r="G668" s="6" t="s">
        <v>156</v>
      </c>
      <c r="H668" s="2" t="s">
        <v>10225</v>
      </c>
      <c r="I668" s="2" t="s">
        <v>12367</v>
      </c>
      <c r="J668" s="2" t="s">
        <v>19</v>
      </c>
      <c r="K668" s="2" t="s">
        <v>34</v>
      </c>
      <c r="L668" s="7" t="str">
        <f>HYPERLINK("http://slimages.macys.com/is/image/MCY/13723801 ")</f>
        <v xml:space="preserve">http://slimages.macys.com/is/image/MCY/13723801 </v>
      </c>
    </row>
    <row r="669" spans="1:12" ht="24.75" x14ac:dyDescent="0.25">
      <c r="A669" s="4" t="s">
        <v>12368</v>
      </c>
      <c r="B669" s="2" t="s">
        <v>5905</v>
      </c>
      <c r="C669" s="3">
        <v>1</v>
      </c>
      <c r="D669" s="5">
        <v>21.99</v>
      </c>
      <c r="E669" s="3" t="s">
        <v>12369</v>
      </c>
      <c r="F669" s="2" t="s">
        <v>170</v>
      </c>
      <c r="G669" s="6" t="s">
        <v>234</v>
      </c>
      <c r="H669" s="2" t="s">
        <v>284</v>
      </c>
      <c r="I669" s="2" t="s">
        <v>285</v>
      </c>
      <c r="J669" s="2" t="s">
        <v>19</v>
      </c>
      <c r="K669" s="2" t="s">
        <v>247</v>
      </c>
      <c r="L669" s="7" t="str">
        <f>HYPERLINK("http://slimages.macys.com/is/image/MCY/13081223 ")</f>
        <v xml:space="preserve">http://slimages.macys.com/is/image/MCY/13081223 </v>
      </c>
    </row>
    <row r="670" spans="1:12" ht="24.75" x14ac:dyDescent="0.25">
      <c r="A670" s="4" t="s">
        <v>12370</v>
      </c>
      <c r="B670" s="2" t="s">
        <v>12371</v>
      </c>
      <c r="C670" s="3">
        <v>1</v>
      </c>
      <c r="D670" s="5">
        <v>31.88</v>
      </c>
      <c r="E670" s="3" t="s">
        <v>12372</v>
      </c>
      <c r="F670" s="2" t="s">
        <v>15</v>
      </c>
      <c r="G670" s="6" t="s">
        <v>2276</v>
      </c>
      <c r="H670" s="2" t="s">
        <v>349</v>
      </c>
      <c r="I670" s="2" t="s">
        <v>285</v>
      </c>
      <c r="J670" s="2" t="s">
        <v>19</v>
      </c>
      <c r="K670" s="2" t="s">
        <v>160</v>
      </c>
      <c r="L670" s="7" t="str">
        <f>HYPERLINK("http://slimages.macys.com/is/image/MCY/12510129 ")</f>
        <v xml:space="preserve">http://slimages.macys.com/is/image/MCY/12510129 </v>
      </c>
    </row>
    <row r="671" spans="1:12" ht="24.75" x14ac:dyDescent="0.25">
      <c r="A671" s="4" t="s">
        <v>11153</v>
      </c>
      <c r="B671" s="2" t="s">
        <v>1632</v>
      </c>
      <c r="C671" s="3">
        <v>1</v>
      </c>
      <c r="D671" s="5">
        <v>19.989999999999998</v>
      </c>
      <c r="E671" s="3">
        <v>91211</v>
      </c>
      <c r="F671" s="2" t="s">
        <v>48</v>
      </c>
      <c r="G671" s="6" t="s">
        <v>181</v>
      </c>
      <c r="H671" s="2" t="s">
        <v>1473</v>
      </c>
      <c r="I671" s="2" t="s">
        <v>1426</v>
      </c>
      <c r="J671" s="2" t="s">
        <v>19</v>
      </c>
      <c r="K671" s="2" t="s">
        <v>1431</v>
      </c>
      <c r="L671" s="7" t="str">
        <f>HYPERLINK("http://slimages.macys.com/is/image/MCY/9633184 ")</f>
        <v xml:space="preserve">http://slimages.macys.com/is/image/MCY/9633184 </v>
      </c>
    </row>
    <row r="672" spans="1:12" ht="24.75" x14ac:dyDescent="0.25">
      <c r="A672" s="4" t="s">
        <v>12373</v>
      </c>
      <c r="B672" s="2" t="s">
        <v>1742</v>
      </c>
      <c r="C672" s="3">
        <v>1</v>
      </c>
      <c r="D672" s="5">
        <v>29.63</v>
      </c>
      <c r="E672" s="3" t="s">
        <v>1743</v>
      </c>
      <c r="F672" s="2" t="s">
        <v>26</v>
      </c>
      <c r="G672" s="6" t="s">
        <v>181</v>
      </c>
      <c r="H672" s="2" t="s">
        <v>194</v>
      </c>
      <c r="I672" s="2" t="s">
        <v>195</v>
      </c>
      <c r="J672" s="2" t="s">
        <v>19</v>
      </c>
      <c r="K672" s="2" t="s">
        <v>247</v>
      </c>
      <c r="L672" s="7" t="str">
        <f>HYPERLINK("http://slimages.macys.com/is/image/MCY/12667158 ")</f>
        <v xml:space="preserve">http://slimages.macys.com/is/image/MCY/12667158 </v>
      </c>
    </row>
    <row r="673" spans="1:12" ht="24.75" x14ac:dyDescent="0.25">
      <c r="A673" s="4" t="s">
        <v>12374</v>
      </c>
      <c r="B673" s="2" t="s">
        <v>1753</v>
      </c>
      <c r="C673" s="3">
        <v>1</v>
      </c>
      <c r="D673" s="5">
        <v>29.63</v>
      </c>
      <c r="E673" s="3" t="s">
        <v>1754</v>
      </c>
      <c r="F673" s="2" t="s">
        <v>1322</v>
      </c>
      <c r="G673" s="6" t="s">
        <v>234</v>
      </c>
      <c r="H673" s="2" t="s">
        <v>194</v>
      </c>
      <c r="I673" s="2" t="s">
        <v>195</v>
      </c>
      <c r="J673" s="2" t="s">
        <v>19</v>
      </c>
      <c r="K673" s="2" t="s">
        <v>247</v>
      </c>
      <c r="L673" s="7" t="str">
        <f>HYPERLINK("http://slimages.macys.com/is/image/MCY/15522864 ")</f>
        <v xml:space="preserve">http://slimages.macys.com/is/image/MCY/15522864 </v>
      </c>
    </row>
    <row r="674" spans="1:12" ht="24.75" x14ac:dyDescent="0.25">
      <c r="A674" s="4" t="s">
        <v>12375</v>
      </c>
      <c r="B674" s="2" t="s">
        <v>12376</v>
      </c>
      <c r="C674" s="3">
        <v>1</v>
      </c>
      <c r="D674" s="5">
        <v>31.88</v>
      </c>
      <c r="E674" s="3" t="s">
        <v>12377</v>
      </c>
      <c r="F674" s="2" t="s">
        <v>15</v>
      </c>
      <c r="G674" s="6" t="s">
        <v>348</v>
      </c>
      <c r="H674" s="2" t="s">
        <v>349</v>
      </c>
      <c r="I674" s="2" t="s">
        <v>285</v>
      </c>
      <c r="J674" s="2" t="s">
        <v>19</v>
      </c>
      <c r="K674" s="2" t="s">
        <v>160</v>
      </c>
      <c r="L674" s="7" t="str">
        <f>HYPERLINK("http://slimages.macys.com/is/image/MCY/15198495 ")</f>
        <v xml:space="preserve">http://slimages.macys.com/is/image/MCY/15198495 </v>
      </c>
    </row>
    <row r="675" spans="1:12" ht="24.75" x14ac:dyDescent="0.25">
      <c r="A675" s="4" t="s">
        <v>1744</v>
      </c>
      <c r="B675" s="2" t="s">
        <v>1627</v>
      </c>
      <c r="C675" s="3">
        <v>1</v>
      </c>
      <c r="D675" s="5">
        <v>25.88</v>
      </c>
      <c r="E675" s="3" t="s">
        <v>1745</v>
      </c>
      <c r="F675" s="2" t="s">
        <v>506</v>
      </c>
      <c r="G675" s="6"/>
      <c r="H675" s="2" t="s">
        <v>312</v>
      </c>
      <c r="I675" s="2" t="s">
        <v>195</v>
      </c>
      <c r="J675" s="2" t="s">
        <v>19</v>
      </c>
      <c r="K675" s="2" t="s">
        <v>1629</v>
      </c>
      <c r="L675" s="7" t="str">
        <f>HYPERLINK("http://slimages.macys.com/is/image/MCY/3314148 ")</f>
        <v xml:space="preserve">http://slimages.macys.com/is/image/MCY/3314148 </v>
      </c>
    </row>
    <row r="676" spans="1:12" ht="24.75" x14ac:dyDescent="0.25">
      <c r="A676" s="4" t="s">
        <v>12378</v>
      </c>
      <c r="B676" s="2" t="s">
        <v>11171</v>
      </c>
      <c r="C676" s="3">
        <v>1</v>
      </c>
      <c r="D676" s="5">
        <v>25.88</v>
      </c>
      <c r="E676" s="3" t="s">
        <v>11172</v>
      </c>
      <c r="F676" s="2" t="s">
        <v>64</v>
      </c>
      <c r="G676" s="6" t="s">
        <v>234</v>
      </c>
      <c r="H676" s="2" t="s">
        <v>194</v>
      </c>
      <c r="I676" s="2" t="s">
        <v>580</v>
      </c>
      <c r="J676" s="2" t="s">
        <v>19</v>
      </c>
      <c r="K676" s="2" t="s">
        <v>137</v>
      </c>
      <c r="L676" s="7" t="str">
        <f>HYPERLINK("http://slimages.macys.com/is/image/MCY/16404085 ")</f>
        <v xml:space="preserve">http://slimages.macys.com/is/image/MCY/16404085 </v>
      </c>
    </row>
    <row r="677" spans="1:12" ht="24.75" x14ac:dyDescent="0.25">
      <c r="A677" s="4" t="s">
        <v>11170</v>
      </c>
      <c r="B677" s="2" t="s">
        <v>11171</v>
      </c>
      <c r="C677" s="3">
        <v>1</v>
      </c>
      <c r="D677" s="5">
        <v>25.88</v>
      </c>
      <c r="E677" s="3" t="s">
        <v>11172</v>
      </c>
      <c r="F677" s="2" t="s">
        <v>64</v>
      </c>
      <c r="G677" s="6" t="s">
        <v>156</v>
      </c>
      <c r="H677" s="2" t="s">
        <v>194</v>
      </c>
      <c r="I677" s="2" t="s">
        <v>580</v>
      </c>
      <c r="J677" s="2" t="s">
        <v>19</v>
      </c>
      <c r="K677" s="2" t="s">
        <v>137</v>
      </c>
      <c r="L677" s="7" t="str">
        <f>HYPERLINK("http://slimages.macys.com/is/image/MCY/16404085 ")</f>
        <v xml:space="preserve">http://slimages.macys.com/is/image/MCY/16404085 </v>
      </c>
    </row>
    <row r="678" spans="1:12" ht="24.75" x14ac:dyDescent="0.25">
      <c r="A678" s="4" t="s">
        <v>12379</v>
      </c>
      <c r="B678" s="2" t="s">
        <v>11180</v>
      </c>
      <c r="C678" s="3">
        <v>1</v>
      </c>
      <c r="D678" s="5">
        <v>29.6</v>
      </c>
      <c r="E678" s="3">
        <v>100015577</v>
      </c>
      <c r="F678" s="2" t="s">
        <v>1788</v>
      </c>
      <c r="G678" s="6" t="s">
        <v>181</v>
      </c>
      <c r="H678" s="2" t="s">
        <v>194</v>
      </c>
      <c r="I678" s="2" t="s">
        <v>195</v>
      </c>
      <c r="J678" s="2" t="s">
        <v>19</v>
      </c>
      <c r="K678" s="2" t="s">
        <v>247</v>
      </c>
      <c r="L678" s="7" t="str">
        <f>HYPERLINK("http://slimages.macys.com/is/image/MCY/13906294 ")</f>
        <v xml:space="preserve">http://slimages.macys.com/is/image/MCY/13906294 </v>
      </c>
    </row>
    <row r="679" spans="1:12" ht="24.75" x14ac:dyDescent="0.25">
      <c r="A679" s="4" t="s">
        <v>12380</v>
      </c>
      <c r="B679" s="2" t="s">
        <v>11191</v>
      </c>
      <c r="C679" s="3">
        <v>1</v>
      </c>
      <c r="D679" s="5">
        <v>21.99</v>
      </c>
      <c r="E679" s="3" t="s">
        <v>11192</v>
      </c>
      <c r="F679" s="2" t="s">
        <v>74</v>
      </c>
      <c r="G679" s="6" t="s">
        <v>154</v>
      </c>
      <c r="H679" s="2" t="s">
        <v>284</v>
      </c>
      <c r="I679" s="2" t="s">
        <v>285</v>
      </c>
      <c r="J679" s="2" t="s">
        <v>19</v>
      </c>
      <c r="K679" s="2" t="s">
        <v>247</v>
      </c>
      <c r="L679" s="7" t="str">
        <f>HYPERLINK("http://slimages.macys.com/is/image/MCY/13401319 ")</f>
        <v xml:space="preserve">http://slimages.macys.com/is/image/MCY/13401319 </v>
      </c>
    </row>
    <row r="680" spans="1:12" ht="36.75" x14ac:dyDescent="0.25">
      <c r="A680" s="4" t="s">
        <v>12381</v>
      </c>
      <c r="B680" s="2" t="s">
        <v>12382</v>
      </c>
      <c r="C680" s="3">
        <v>2</v>
      </c>
      <c r="D680" s="5">
        <v>25.88</v>
      </c>
      <c r="E680" s="3" t="s">
        <v>12383</v>
      </c>
      <c r="F680" s="2" t="s">
        <v>1914</v>
      </c>
      <c r="G680" s="6"/>
      <c r="H680" s="2" t="s">
        <v>312</v>
      </c>
      <c r="I680" s="2" t="s">
        <v>580</v>
      </c>
      <c r="J680" s="2" t="s">
        <v>19</v>
      </c>
      <c r="K680" s="2" t="s">
        <v>12384</v>
      </c>
      <c r="L680" s="7" t="str">
        <f>HYPERLINK("http://slimages.macys.com/is/image/MCY/10508715 ")</f>
        <v xml:space="preserve">http://slimages.macys.com/is/image/MCY/10508715 </v>
      </c>
    </row>
    <row r="681" spans="1:12" ht="24.75" x14ac:dyDescent="0.25">
      <c r="A681" s="4" t="s">
        <v>12385</v>
      </c>
      <c r="B681" s="2" t="s">
        <v>9754</v>
      </c>
      <c r="C681" s="3">
        <v>1</v>
      </c>
      <c r="D681" s="5">
        <v>22.13</v>
      </c>
      <c r="E681" s="3" t="s">
        <v>12386</v>
      </c>
      <c r="F681" s="2" t="s">
        <v>33</v>
      </c>
      <c r="G681" s="6" t="s">
        <v>245</v>
      </c>
      <c r="H681" s="2" t="s">
        <v>194</v>
      </c>
      <c r="I681" s="2" t="s">
        <v>580</v>
      </c>
      <c r="J681" s="2" t="s">
        <v>19</v>
      </c>
      <c r="K681" s="2" t="s">
        <v>1758</v>
      </c>
      <c r="L681" s="7" t="str">
        <f>HYPERLINK("http://slimages.macys.com/is/image/MCY/12794139 ")</f>
        <v xml:space="preserve">http://slimages.macys.com/is/image/MCY/12794139 </v>
      </c>
    </row>
    <row r="682" spans="1:12" ht="24.75" x14ac:dyDescent="0.25">
      <c r="A682" s="4" t="s">
        <v>6068</v>
      </c>
      <c r="B682" s="2" t="s">
        <v>1776</v>
      </c>
      <c r="C682" s="3">
        <v>1</v>
      </c>
      <c r="D682" s="5">
        <v>22.13</v>
      </c>
      <c r="E682" s="3" t="s">
        <v>1779</v>
      </c>
      <c r="F682" s="2" t="s">
        <v>79</v>
      </c>
      <c r="G682" s="6" t="s">
        <v>181</v>
      </c>
      <c r="H682" s="2" t="s">
        <v>194</v>
      </c>
      <c r="I682" s="2" t="s">
        <v>1766</v>
      </c>
      <c r="J682" s="2" t="s">
        <v>19</v>
      </c>
      <c r="K682" s="2" t="s">
        <v>1758</v>
      </c>
      <c r="L682" s="7" t="str">
        <f>HYPERLINK("http://slimages.macys.com/is/image/MCY/12035171 ")</f>
        <v xml:space="preserve">http://slimages.macys.com/is/image/MCY/12035171 </v>
      </c>
    </row>
    <row r="683" spans="1:12" ht="24.75" x14ac:dyDescent="0.25">
      <c r="A683" s="4" t="s">
        <v>12387</v>
      </c>
      <c r="B683" s="2" t="s">
        <v>2967</v>
      </c>
      <c r="C683" s="3">
        <v>1</v>
      </c>
      <c r="D683" s="5">
        <v>22.13</v>
      </c>
      <c r="E683" s="3" t="s">
        <v>2968</v>
      </c>
      <c r="F683" s="2" t="s">
        <v>48</v>
      </c>
      <c r="G683" s="6" t="s">
        <v>234</v>
      </c>
      <c r="H683" s="2" t="s">
        <v>194</v>
      </c>
      <c r="I683" s="2" t="s">
        <v>580</v>
      </c>
      <c r="J683" s="2" t="s">
        <v>19</v>
      </c>
      <c r="K683" s="2" t="s">
        <v>1758</v>
      </c>
      <c r="L683" s="7" t="str">
        <f>HYPERLINK("http://slimages.macys.com/is/image/MCY/11937981 ")</f>
        <v xml:space="preserve">http://slimages.macys.com/is/image/MCY/11937981 </v>
      </c>
    </row>
    <row r="684" spans="1:12" ht="24.75" x14ac:dyDescent="0.25">
      <c r="A684" s="4" t="s">
        <v>12388</v>
      </c>
      <c r="B684" s="2" t="s">
        <v>2974</v>
      </c>
      <c r="C684" s="3">
        <v>2</v>
      </c>
      <c r="D684" s="5">
        <v>22.13</v>
      </c>
      <c r="E684" s="3" t="s">
        <v>2975</v>
      </c>
      <c r="F684" s="2" t="s">
        <v>331</v>
      </c>
      <c r="G684" s="6" t="s">
        <v>156</v>
      </c>
      <c r="H684" s="2" t="s">
        <v>194</v>
      </c>
      <c r="I684" s="2" t="s">
        <v>580</v>
      </c>
      <c r="J684" s="2" t="s">
        <v>19</v>
      </c>
      <c r="K684" s="2" t="s">
        <v>1758</v>
      </c>
      <c r="L684" s="7" t="str">
        <f>HYPERLINK("http://slimages.macys.com/is/image/MCY/11937954 ")</f>
        <v xml:space="preserve">http://slimages.macys.com/is/image/MCY/11937954 </v>
      </c>
    </row>
    <row r="685" spans="1:12" ht="24.75" x14ac:dyDescent="0.25">
      <c r="A685" s="4" t="s">
        <v>12389</v>
      </c>
      <c r="B685" s="2" t="s">
        <v>2967</v>
      </c>
      <c r="C685" s="3">
        <v>1</v>
      </c>
      <c r="D685" s="5">
        <v>22.13</v>
      </c>
      <c r="E685" s="3" t="s">
        <v>12390</v>
      </c>
      <c r="F685" s="2" t="s">
        <v>170</v>
      </c>
      <c r="G685" s="6" t="s">
        <v>181</v>
      </c>
      <c r="H685" s="2" t="s">
        <v>194</v>
      </c>
      <c r="I685" s="2" t="s">
        <v>580</v>
      </c>
      <c r="J685" s="2" t="s">
        <v>19</v>
      </c>
      <c r="K685" s="2" t="s">
        <v>1758</v>
      </c>
      <c r="L685" s="7" t="str">
        <f>HYPERLINK("http://slimages.macys.com/is/image/MCY/12794156 ")</f>
        <v xml:space="preserve">http://slimages.macys.com/is/image/MCY/12794156 </v>
      </c>
    </row>
    <row r="686" spans="1:12" ht="24.75" x14ac:dyDescent="0.25">
      <c r="A686" s="4" t="s">
        <v>12391</v>
      </c>
      <c r="B686" s="2" t="s">
        <v>6077</v>
      </c>
      <c r="C686" s="3">
        <v>1</v>
      </c>
      <c r="D686" s="5">
        <v>19.989999999999998</v>
      </c>
      <c r="E686" s="3" t="s">
        <v>12392</v>
      </c>
      <c r="F686" s="2" t="s">
        <v>26</v>
      </c>
      <c r="G686" s="6"/>
      <c r="H686" s="2" t="s">
        <v>1425</v>
      </c>
      <c r="I686" s="2" t="s">
        <v>1426</v>
      </c>
      <c r="J686" s="2" t="s">
        <v>19</v>
      </c>
      <c r="K686" s="2" t="s">
        <v>12393</v>
      </c>
      <c r="L686" s="7" t="str">
        <f>HYPERLINK("http://slimages.macys.com/is/image/MCY/11831377 ")</f>
        <v xml:space="preserve">http://slimages.macys.com/is/image/MCY/11831377 </v>
      </c>
    </row>
    <row r="687" spans="1:12" ht="24.75" x14ac:dyDescent="0.25">
      <c r="A687" s="4" t="s">
        <v>12394</v>
      </c>
      <c r="B687" s="2" t="s">
        <v>11180</v>
      </c>
      <c r="C687" s="3">
        <v>1</v>
      </c>
      <c r="D687" s="5">
        <v>29.63</v>
      </c>
      <c r="E687" s="3" t="s">
        <v>12395</v>
      </c>
      <c r="F687" s="2" t="s">
        <v>26</v>
      </c>
      <c r="G687" s="6"/>
      <c r="H687" s="2" t="s">
        <v>312</v>
      </c>
      <c r="I687" s="2" t="s">
        <v>195</v>
      </c>
      <c r="J687" s="2" t="s">
        <v>19</v>
      </c>
      <c r="K687" s="2" t="s">
        <v>247</v>
      </c>
      <c r="L687" s="7" t="str">
        <f>HYPERLINK("http://slimages.macys.com/is/image/MCY/10701836 ")</f>
        <v xml:space="preserve">http://slimages.macys.com/is/image/MCY/10701836 </v>
      </c>
    </row>
    <row r="688" spans="1:12" ht="24.75" x14ac:dyDescent="0.25">
      <c r="A688" s="4" t="s">
        <v>2978</v>
      </c>
      <c r="B688" s="2" t="s">
        <v>1724</v>
      </c>
      <c r="C688" s="3">
        <v>2</v>
      </c>
      <c r="D688" s="5">
        <v>34.880000000000003</v>
      </c>
      <c r="E688" s="3">
        <v>100018041</v>
      </c>
      <c r="F688" s="2" t="s">
        <v>74</v>
      </c>
      <c r="G688" s="6" t="s">
        <v>16</v>
      </c>
      <c r="H688" s="2" t="s">
        <v>194</v>
      </c>
      <c r="I688" s="2" t="s">
        <v>195</v>
      </c>
      <c r="J688" s="2" t="s">
        <v>19</v>
      </c>
      <c r="K688" s="2" t="s">
        <v>353</v>
      </c>
      <c r="L688" s="7" t="str">
        <f>HYPERLINK("http://slimages.macys.com/is/image/MCY/12950342 ")</f>
        <v xml:space="preserve">http://slimages.macys.com/is/image/MCY/12950342 </v>
      </c>
    </row>
    <row r="689" spans="1:12" ht="24.75" x14ac:dyDescent="0.25">
      <c r="A689" s="4" t="s">
        <v>12396</v>
      </c>
      <c r="B689" s="2" t="s">
        <v>11180</v>
      </c>
      <c r="C689" s="3">
        <v>1</v>
      </c>
      <c r="D689" s="5">
        <v>29.63</v>
      </c>
      <c r="E689" s="3" t="s">
        <v>12395</v>
      </c>
      <c r="F689" s="2" t="s">
        <v>74</v>
      </c>
      <c r="G689" s="6"/>
      <c r="H689" s="2" t="s">
        <v>312</v>
      </c>
      <c r="I689" s="2" t="s">
        <v>195</v>
      </c>
      <c r="J689" s="2" t="s">
        <v>19</v>
      </c>
      <c r="K689" s="2" t="s">
        <v>247</v>
      </c>
      <c r="L689" s="7" t="str">
        <f>HYPERLINK("http://slimages.macys.com/is/image/MCY/10701836 ")</f>
        <v xml:space="preserve">http://slimages.macys.com/is/image/MCY/10701836 </v>
      </c>
    </row>
    <row r="690" spans="1:12" ht="24.75" x14ac:dyDescent="0.25">
      <c r="A690" s="4" t="s">
        <v>12397</v>
      </c>
      <c r="B690" s="2" t="s">
        <v>11196</v>
      </c>
      <c r="C690" s="3">
        <v>1</v>
      </c>
      <c r="D690" s="5">
        <v>19.989999999999998</v>
      </c>
      <c r="E690" s="3" t="s">
        <v>11197</v>
      </c>
      <c r="F690" s="2" t="s">
        <v>1322</v>
      </c>
      <c r="G690" s="6" t="s">
        <v>181</v>
      </c>
      <c r="H690" s="2" t="s">
        <v>1473</v>
      </c>
      <c r="I690" s="2" t="s">
        <v>1426</v>
      </c>
      <c r="J690" s="2" t="s">
        <v>19</v>
      </c>
      <c r="K690" s="2" t="s">
        <v>990</v>
      </c>
      <c r="L690" s="7" t="str">
        <f>HYPERLINK("http://slimages.macys.com/is/image/MCY/13303606 ")</f>
        <v xml:space="preserve">http://slimages.macys.com/is/image/MCY/13303606 </v>
      </c>
    </row>
    <row r="691" spans="1:12" ht="24.75" x14ac:dyDescent="0.25">
      <c r="A691" s="4" t="s">
        <v>12398</v>
      </c>
      <c r="B691" s="2" t="s">
        <v>7611</v>
      </c>
      <c r="C691" s="3">
        <v>1</v>
      </c>
      <c r="D691" s="5">
        <v>40</v>
      </c>
      <c r="E691" s="3" t="s">
        <v>7612</v>
      </c>
      <c r="F691" s="2" t="s">
        <v>820</v>
      </c>
      <c r="G691" s="6" t="s">
        <v>791</v>
      </c>
      <c r="H691" s="2" t="s">
        <v>447</v>
      </c>
      <c r="I691" s="2" t="s">
        <v>792</v>
      </c>
      <c r="J691" s="2" t="s">
        <v>19</v>
      </c>
      <c r="K691" s="2" t="s">
        <v>160</v>
      </c>
      <c r="L691" s="7" t="str">
        <f>HYPERLINK("http://slimages.macys.com/is/image/MCY/14315278 ")</f>
        <v xml:space="preserve">http://slimages.macys.com/is/image/MCY/14315278 </v>
      </c>
    </row>
    <row r="692" spans="1:12" ht="24.75" x14ac:dyDescent="0.25">
      <c r="A692" s="4" t="s">
        <v>9738</v>
      </c>
      <c r="B692" s="2" t="s">
        <v>9739</v>
      </c>
      <c r="C692" s="3">
        <v>1</v>
      </c>
      <c r="D692" s="5">
        <v>33</v>
      </c>
      <c r="E692" s="3" t="s">
        <v>9740</v>
      </c>
      <c r="F692" s="2" t="s">
        <v>1788</v>
      </c>
      <c r="G692" s="6" t="s">
        <v>794</v>
      </c>
      <c r="H692" s="2" t="s">
        <v>447</v>
      </c>
      <c r="I692" s="2" t="s">
        <v>792</v>
      </c>
      <c r="J692" s="2" t="s">
        <v>19</v>
      </c>
      <c r="K692" s="2" t="s">
        <v>442</v>
      </c>
      <c r="L692" s="7" t="str">
        <f>HYPERLINK("http://slimages.macys.com/is/image/MCY/13402061 ")</f>
        <v xml:space="preserve">http://slimages.macys.com/is/image/MCY/13402061 </v>
      </c>
    </row>
    <row r="693" spans="1:12" ht="24.75" x14ac:dyDescent="0.25">
      <c r="A693" s="4" t="s">
        <v>12399</v>
      </c>
      <c r="B693" s="2" t="s">
        <v>9739</v>
      </c>
      <c r="C693" s="3">
        <v>1</v>
      </c>
      <c r="D693" s="5">
        <v>33</v>
      </c>
      <c r="E693" s="3" t="s">
        <v>9740</v>
      </c>
      <c r="F693" s="2" t="s">
        <v>1788</v>
      </c>
      <c r="G693" s="6"/>
      <c r="H693" s="2" t="s">
        <v>447</v>
      </c>
      <c r="I693" s="2" t="s">
        <v>792</v>
      </c>
      <c r="J693" s="2" t="s">
        <v>19</v>
      </c>
      <c r="K693" s="2" t="s">
        <v>442</v>
      </c>
      <c r="L693" s="7" t="str">
        <f>HYPERLINK("http://slimages.macys.com/is/image/MCY/13402061 ")</f>
        <v xml:space="preserve">http://slimages.macys.com/is/image/MCY/13402061 </v>
      </c>
    </row>
    <row r="694" spans="1:12" ht="36.75" x14ac:dyDescent="0.25">
      <c r="A694" s="4" t="s">
        <v>12400</v>
      </c>
      <c r="B694" s="2" t="s">
        <v>6797</v>
      </c>
      <c r="C694" s="3">
        <v>1</v>
      </c>
      <c r="D694" s="5">
        <v>45</v>
      </c>
      <c r="E694" s="3" t="s">
        <v>6798</v>
      </c>
      <c r="F694" s="2" t="s">
        <v>566</v>
      </c>
      <c r="G694" s="6" t="s">
        <v>446</v>
      </c>
      <c r="H694" s="2" t="s">
        <v>447</v>
      </c>
      <c r="I694" s="2" t="s">
        <v>792</v>
      </c>
      <c r="J694" s="2" t="s">
        <v>19</v>
      </c>
      <c r="K694" s="2" t="s">
        <v>6799</v>
      </c>
      <c r="L694" s="7" t="str">
        <f>HYPERLINK("http://slimages.macys.com/is/image/MCY/12950031 ")</f>
        <v xml:space="preserve">http://slimages.macys.com/is/image/MCY/12950031 </v>
      </c>
    </row>
    <row r="695" spans="1:12" ht="24.75" x14ac:dyDescent="0.25">
      <c r="A695" s="4" t="s">
        <v>4087</v>
      </c>
      <c r="B695" s="2" t="s">
        <v>1801</v>
      </c>
      <c r="C695" s="3">
        <v>1</v>
      </c>
      <c r="D695" s="5">
        <v>21.5</v>
      </c>
      <c r="E695" s="3" t="s">
        <v>1802</v>
      </c>
      <c r="F695" s="2" t="s">
        <v>566</v>
      </c>
      <c r="G695" s="6"/>
      <c r="H695" s="2" t="s">
        <v>312</v>
      </c>
      <c r="I695" s="2" t="s">
        <v>580</v>
      </c>
      <c r="J695" s="2" t="s">
        <v>19</v>
      </c>
      <c r="K695" s="2" t="s">
        <v>1758</v>
      </c>
      <c r="L695" s="7" t="str">
        <f>HYPERLINK("http://slimages.macys.com/is/image/MCY/11515389 ")</f>
        <v xml:space="preserve">http://slimages.macys.com/is/image/MCY/11515389 </v>
      </c>
    </row>
    <row r="696" spans="1:12" ht="24.75" x14ac:dyDescent="0.25">
      <c r="A696" s="4" t="s">
        <v>11198</v>
      </c>
      <c r="B696" s="2" t="s">
        <v>1177</v>
      </c>
      <c r="C696" s="3">
        <v>2</v>
      </c>
      <c r="D696" s="5">
        <v>45</v>
      </c>
      <c r="E696" s="3" t="s">
        <v>1799</v>
      </c>
      <c r="F696" s="2" t="s">
        <v>74</v>
      </c>
      <c r="G696" s="6" t="s">
        <v>794</v>
      </c>
      <c r="H696" s="2" t="s">
        <v>447</v>
      </c>
      <c r="I696" s="2" t="s">
        <v>792</v>
      </c>
      <c r="J696" s="2" t="s">
        <v>19</v>
      </c>
      <c r="K696" s="2" t="s">
        <v>160</v>
      </c>
      <c r="L696" s="7" t="str">
        <f>HYPERLINK("http://slimages.macys.com/is/image/MCY/9533039 ")</f>
        <v xml:space="preserve">http://slimages.macys.com/is/image/MCY/9533039 </v>
      </c>
    </row>
    <row r="697" spans="1:12" ht="24.75" x14ac:dyDescent="0.25">
      <c r="A697" s="4" t="s">
        <v>12401</v>
      </c>
      <c r="B697" s="2" t="s">
        <v>9735</v>
      </c>
      <c r="C697" s="3">
        <v>1</v>
      </c>
      <c r="D697" s="5">
        <v>22.13</v>
      </c>
      <c r="E697" s="3" t="s">
        <v>9736</v>
      </c>
      <c r="F697" s="2"/>
      <c r="G697" s="6"/>
      <c r="H697" s="2" t="s">
        <v>312</v>
      </c>
      <c r="I697" s="2" t="s">
        <v>580</v>
      </c>
      <c r="J697" s="2" t="s">
        <v>19</v>
      </c>
      <c r="K697" s="2" t="s">
        <v>1758</v>
      </c>
      <c r="L697" s="7" t="str">
        <f>HYPERLINK("http://slimages.macys.com/is/image/MCY/11466757 ")</f>
        <v xml:space="preserve">http://slimages.macys.com/is/image/MCY/11466757 </v>
      </c>
    </row>
    <row r="698" spans="1:12" ht="24.75" x14ac:dyDescent="0.25">
      <c r="A698" s="4" t="s">
        <v>12402</v>
      </c>
      <c r="B698" s="2" t="s">
        <v>6043</v>
      </c>
      <c r="C698" s="3">
        <v>1</v>
      </c>
      <c r="D698" s="5">
        <v>22.13</v>
      </c>
      <c r="E698" s="3" t="s">
        <v>12403</v>
      </c>
      <c r="F698" s="2" t="s">
        <v>74</v>
      </c>
      <c r="G698" s="6"/>
      <c r="H698" s="2" t="s">
        <v>312</v>
      </c>
      <c r="I698" s="2" t="s">
        <v>580</v>
      </c>
      <c r="J698" s="2" t="s">
        <v>19</v>
      </c>
      <c r="K698" s="2" t="s">
        <v>1758</v>
      </c>
      <c r="L698" s="7" t="str">
        <f>HYPERLINK("http://slimages.macys.com/is/image/MCY/11937972 ")</f>
        <v xml:space="preserve">http://slimages.macys.com/is/image/MCY/11937972 </v>
      </c>
    </row>
    <row r="699" spans="1:12" ht="24.75" x14ac:dyDescent="0.25">
      <c r="A699" s="4" t="s">
        <v>12404</v>
      </c>
      <c r="B699" s="2" t="s">
        <v>1796</v>
      </c>
      <c r="C699" s="3">
        <v>1</v>
      </c>
      <c r="D699" s="5">
        <v>33</v>
      </c>
      <c r="E699" s="3" t="s">
        <v>12405</v>
      </c>
      <c r="F699" s="2" t="s">
        <v>676</v>
      </c>
      <c r="G699" s="6" t="s">
        <v>446</v>
      </c>
      <c r="H699" s="2" t="s">
        <v>447</v>
      </c>
      <c r="I699" s="2" t="s">
        <v>792</v>
      </c>
      <c r="J699" s="2" t="s">
        <v>19</v>
      </c>
      <c r="K699" s="2" t="s">
        <v>160</v>
      </c>
      <c r="L699" s="7" t="str">
        <f>HYPERLINK("http://slimages.macys.com/is/image/MCY/13745627 ")</f>
        <v xml:space="preserve">http://slimages.macys.com/is/image/MCY/13745627 </v>
      </c>
    </row>
    <row r="700" spans="1:12" ht="24.75" x14ac:dyDescent="0.25">
      <c r="A700" s="4" t="s">
        <v>12406</v>
      </c>
      <c r="B700" s="2" t="s">
        <v>12407</v>
      </c>
      <c r="C700" s="3">
        <v>1</v>
      </c>
      <c r="D700" s="5">
        <v>19.989999999999998</v>
      </c>
      <c r="E700" s="3" t="s">
        <v>12408</v>
      </c>
      <c r="F700" s="2" t="s">
        <v>1322</v>
      </c>
      <c r="G700" s="6" t="s">
        <v>154</v>
      </c>
      <c r="H700" s="2" t="s">
        <v>1473</v>
      </c>
      <c r="I700" s="2" t="s">
        <v>1426</v>
      </c>
      <c r="J700" s="2" t="s">
        <v>19</v>
      </c>
      <c r="K700" s="2" t="s">
        <v>990</v>
      </c>
      <c r="L700" s="7" t="str">
        <f>HYPERLINK("http://slimages.macys.com/is/image/MCY/11882410 ")</f>
        <v xml:space="preserve">http://slimages.macys.com/is/image/MCY/11882410 </v>
      </c>
    </row>
    <row r="701" spans="1:12" ht="24.75" x14ac:dyDescent="0.25">
      <c r="A701" s="4" t="s">
        <v>8800</v>
      </c>
      <c r="B701" s="2" t="s">
        <v>5138</v>
      </c>
      <c r="C701" s="3">
        <v>1</v>
      </c>
      <c r="D701" s="5">
        <v>19.989999999999998</v>
      </c>
      <c r="E701" s="3" t="s">
        <v>5139</v>
      </c>
      <c r="F701" s="2" t="s">
        <v>15</v>
      </c>
      <c r="G701" s="6" t="s">
        <v>154</v>
      </c>
      <c r="H701" s="2" t="s">
        <v>1473</v>
      </c>
      <c r="I701" s="2" t="s">
        <v>1426</v>
      </c>
      <c r="J701" s="2" t="s">
        <v>19</v>
      </c>
      <c r="K701" s="2" t="s">
        <v>648</v>
      </c>
      <c r="L701" s="7" t="str">
        <f>HYPERLINK("http://slimages.macys.com/is/image/MCY/12774735 ")</f>
        <v xml:space="preserve">http://slimages.macys.com/is/image/MCY/12774735 </v>
      </c>
    </row>
    <row r="702" spans="1:12" ht="24.75" x14ac:dyDescent="0.25">
      <c r="A702" s="4" t="s">
        <v>12409</v>
      </c>
      <c r="B702" s="2" t="s">
        <v>12410</v>
      </c>
      <c r="C702" s="3">
        <v>1</v>
      </c>
      <c r="D702" s="5">
        <v>26.99</v>
      </c>
      <c r="E702" s="3" t="s">
        <v>12411</v>
      </c>
      <c r="F702" s="2" t="s">
        <v>170</v>
      </c>
      <c r="G702" s="6" t="s">
        <v>746</v>
      </c>
      <c r="H702" s="2" t="s">
        <v>349</v>
      </c>
      <c r="I702" s="2" t="s">
        <v>285</v>
      </c>
      <c r="J702" s="2" t="s">
        <v>19</v>
      </c>
      <c r="K702" s="2" t="s">
        <v>247</v>
      </c>
      <c r="L702" s="7" t="str">
        <f>HYPERLINK("http://slimages.macys.com/is/image/MCY/14706819 ")</f>
        <v xml:space="preserve">http://slimages.macys.com/is/image/MCY/14706819 </v>
      </c>
    </row>
    <row r="703" spans="1:12" ht="24.75" x14ac:dyDescent="0.25">
      <c r="A703" s="4" t="s">
        <v>12412</v>
      </c>
      <c r="B703" s="2" t="s">
        <v>11211</v>
      </c>
      <c r="C703" s="3">
        <v>1</v>
      </c>
      <c r="D703" s="5">
        <v>19.989999999999998</v>
      </c>
      <c r="E703" s="3" t="s">
        <v>11212</v>
      </c>
      <c r="F703" s="2" t="s">
        <v>74</v>
      </c>
      <c r="G703" s="6" t="s">
        <v>154</v>
      </c>
      <c r="H703" s="2" t="s">
        <v>1473</v>
      </c>
      <c r="I703" s="2" t="s">
        <v>1426</v>
      </c>
      <c r="J703" s="2" t="s">
        <v>19</v>
      </c>
      <c r="K703" s="2" t="s">
        <v>495</v>
      </c>
      <c r="L703" s="7" t="str">
        <f>HYPERLINK("http://slimages.macys.com/is/image/MCY/15131665 ")</f>
        <v xml:space="preserve">http://slimages.macys.com/is/image/MCY/15131665 </v>
      </c>
    </row>
    <row r="704" spans="1:12" ht="24.75" x14ac:dyDescent="0.25">
      <c r="A704" s="4" t="s">
        <v>12413</v>
      </c>
      <c r="B704" s="2" t="s">
        <v>11211</v>
      </c>
      <c r="C704" s="3">
        <v>1</v>
      </c>
      <c r="D704" s="5">
        <v>19.989999999999998</v>
      </c>
      <c r="E704" s="3" t="s">
        <v>11212</v>
      </c>
      <c r="F704" s="2" t="s">
        <v>26</v>
      </c>
      <c r="G704" s="6" t="s">
        <v>154</v>
      </c>
      <c r="H704" s="2" t="s">
        <v>1473</v>
      </c>
      <c r="I704" s="2" t="s">
        <v>1426</v>
      </c>
      <c r="J704" s="2" t="s">
        <v>19</v>
      </c>
      <c r="K704" s="2" t="s">
        <v>495</v>
      </c>
      <c r="L704" s="7" t="str">
        <f>HYPERLINK("http://slimages.macys.com/is/image/MCY/15131665 ")</f>
        <v xml:space="preserve">http://slimages.macys.com/is/image/MCY/15131665 </v>
      </c>
    </row>
    <row r="705" spans="1:12" ht="24.75" x14ac:dyDescent="0.25">
      <c r="A705" s="4" t="s">
        <v>12414</v>
      </c>
      <c r="B705" s="2" t="s">
        <v>6094</v>
      </c>
      <c r="C705" s="3">
        <v>1</v>
      </c>
      <c r="D705" s="5">
        <v>19.989999999999998</v>
      </c>
      <c r="E705" s="3" t="s">
        <v>6095</v>
      </c>
      <c r="F705" s="2" t="s">
        <v>38</v>
      </c>
      <c r="G705" s="6" t="s">
        <v>234</v>
      </c>
      <c r="H705" s="2" t="s">
        <v>1522</v>
      </c>
      <c r="I705" s="2" t="s">
        <v>1469</v>
      </c>
      <c r="J705" s="2" t="s">
        <v>19</v>
      </c>
      <c r="K705" s="2" t="s">
        <v>495</v>
      </c>
      <c r="L705" s="7" t="str">
        <f>HYPERLINK("http://slimages.macys.com/is/image/MCY/9837435 ")</f>
        <v xml:space="preserve">http://slimages.macys.com/is/image/MCY/9837435 </v>
      </c>
    </row>
    <row r="706" spans="1:12" x14ac:dyDescent="0.25">
      <c r="A706" s="4" t="s">
        <v>12415</v>
      </c>
      <c r="B706" s="2" t="s">
        <v>6098</v>
      </c>
      <c r="C706" s="3">
        <v>1</v>
      </c>
      <c r="D706" s="5">
        <v>19.989999999999998</v>
      </c>
      <c r="E706" s="3" t="s">
        <v>12416</v>
      </c>
      <c r="F706" s="2" t="s">
        <v>74</v>
      </c>
      <c r="G706" s="6" t="s">
        <v>746</v>
      </c>
      <c r="H706" s="2" t="s">
        <v>349</v>
      </c>
      <c r="I706" s="2" t="s">
        <v>285</v>
      </c>
      <c r="J706" s="2" t="s">
        <v>19</v>
      </c>
      <c r="K706" s="2" t="s">
        <v>247</v>
      </c>
      <c r="L706" s="7" t="str">
        <f>HYPERLINK("http://slimages.macys.com/is/image/MCY/13934363 ")</f>
        <v xml:space="preserve">http://slimages.macys.com/is/image/MCY/13934363 </v>
      </c>
    </row>
    <row r="707" spans="1:12" ht="24.75" x14ac:dyDescent="0.25">
      <c r="A707" s="4" t="s">
        <v>5143</v>
      </c>
      <c r="B707" s="2" t="s">
        <v>5144</v>
      </c>
      <c r="C707" s="3">
        <v>1</v>
      </c>
      <c r="D707" s="5">
        <v>19.989999999999998</v>
      </c>
      <c r="E707" s="3" t="s">
        <v>5145</v>
      </c>
      <c r="F707" s="2" t="s">
        <v>74</v>
      </c>
      <c r="G707" s="6"/>
      <c r="H707" s="2" t="s">
        <v>1425</v>
      </c>
      <c r="I707" s="2" t="s">
        <v>1426</v>
      </c>
      <c r="J707" s="2" t="s">
        <v>19</v>
      </c>
      <c r="K707" s="2" t="s">
        <v>1108</v>
      </c>
      <c r="L707" s="7" t="str">
        <f>HYPERLINK("http://slimages.macys.com/is/image/MCY/10782750 ")</f>
        <v xml:space="preserve">http://slimages.macys.com/is/image/MCY/10782750 </v>
      </c>
    </row>
    <row r="708" spans="1:12" ht="24.75" x14ac:dyDescent="0.25">
      <c r="A708" s="4" t="s">
        <v>12417</v>
      </c>
      <c r="B708" s="2" t="s">
        <v>11221</v>
      </c>
      <c r="C708" s="3">
        <v>1</v>
      </c>
      <c r="D708" s="5">
        <v>19.989999999999998</v>
      </c>
      <c r="E708" s="3" t="s">
        <v>11222</v>
      </c>
      <c r="F708" s="2" t="s">
        <v>1322</v>
      </c>
      <c r="G708" s="6" t="s">
        <v>234</v>
      </c>
      <c r="H708" s="2" t="s">
        <v>1473</v>
      </c>
      <c r="I708" s="2" t="s">
        <v>1426</v>
      </c>
      <c r="J708" s="2" t="s">
        <v>19</v>
      </c>
      <c r="K708" s="2" t="s">
        <v>495</v>
      </c>
      <c r="L708" s="7" t="str">
        <f>HYPERLINK("http://slimages.macys.com/is/image/MCY/15203696 ")</f>
        <v xml:space="preserve">http://slimages.macys.com/is/image/MCY/15203696 </v>
      </c>
    </row>
    <row r="709" spans="1:12" ht="24.75" x14ac:dyDescent="0.25">
      <c r="A709" s="4" t="s">
        <v>12418</v>
      </c>
      <c r="B709" s="2" t="s">
        <v>12419</v>
      </c>
      <c r="C709" s="3">
        <v>1</v>
      </c>
      <c r="D709" s="5">
        <v>19.989999999999998</v>
      </c>
      <c r="E709" s="3" t="s">
        <v>12420</v>
      </c>
      <c r="F709" s="2" t="s">
        <v>26</v>
      </c>
      <c r="G709" s="6" t="s">
        <v>156</v>
      </c>
      <c r="H709" s="2" t="s">
        <v>1473</v>
      </c>
      <c r="I709" s="2" t="s">
        <v>1426</v>
      </c>
      <c r="J709" s="2" t="s">
        <v>19</v>
      </c>
      <c r="K709" s="2" t="s">
        <v>1108</v>
      </c>
      <c r="L709" s="7" t="str">
        <f>HYPERLINK("http://slimages.macys.com/is/image/MCY/13303659 ")</f>
        <v xml:space="preserve">http://slimages.macys.com/is/image/MCY/13303659 </v>
      </c>
    </row>
    <row r="710" spans="1:12" ht="24.75" x14ac:dyDescent="0.25">
      <c r="A710" s="4" t="s">
        <v>12421</v>
      </c>
      <c r="B710" s="2" t="s">
        <v>12419</v>
      </c>
      <c r="C710" s="3">
        <v>2</v>
      </c>
      <c r="D710" s="5">
        <v>19.989999999999998</v>
      </c>
      <c r="E710" s="3" t="s">
        <v>12420</v>
      </c>
      <c r="F710" s="2" t="s">
        <v>26</v>
      </c>
      <c r="G710" s="6" t="s">
        <v>234</v>
      </c>
      <c r="H710" s="2" t="s">
        <v>1473</v>
      </c>
      <c r="I710" s="2" t="s">
        <v>1426</v>
      </c>
      <c r="J710" s="2" t="s">
        <v>19</v>
      </c>
      <c r="K710" s="2" t="s">
        <v>1108</v>
      </c>
      <c r="L710" s="7" t="str">
        <f>HYPERLINK("http://slimages.macys.com/is/image/MCY/13303659 ")</f>
        <v xml:space="preserve">http://slimages.macys.com/is/image/MCY/13303659 </v>
      </c>
    </row>
    <row r="711" spans="1:12" ht="24.75" x14ac:dyDescent="0.25">
      <c r="A711" s="4" t="s">
        <v>12422</v>
      </c>
      <c r="B711" s="2" t="s">
        <v>12419</v>
      </c>
      <c r="C711" s="3">
        <v>1</v>
      </c>
      <c r="D711" s="5">
        <v>19.989999999999998</v>
      </c>
      <c r="E711" s="3" t="s">
        <v>12420</v>
      </c>
      <c r="F711" s="2"/>
      <c r="G711" s="6" t="s">
        <v>154</v>
      </c>
      <c r="H711" s="2" t="s">
        <v>1473</v>
      </c>
      <c r="I711" s="2" t="s">
        <v>1426</v>
      </c>
      <c r="J711" s="2" t="s">
        <v>19</v>
      </c>
      <c r="K711" s="2" t="s">
        <v>1108</v>
      </c>
      <c r="L711" s="7" t="str">
        <f>HYPERLINK("http://slimages.macys.com/is/image/MCY/13303659 ")</f>
        <v xml:space="preserve">http://slimages.macys.com/is/image/MCY/13303659 </v>
      </c>
    </row>
    <row r="712" spans="1:12" ht="24.75" x14ac:dyDescent="0.25">
      <c r="A712" s="4" t="s">
        <v>12423</v>
      </c>
      <c r="B712" s="2" t="s">
        <v>12424</v>
      </c>
      <c r="C712" s="3">
        <v>2</v>
      </c>
      <c r="D712" s="5">
        <v>19.989999999999998</v>
      </c>
      <c r="E712" s="3" t="s">
        <v>12425</v>
      </c>
      <c r="F712" s="2" t="s">
        <v>199</v>
      </c>
      <c r="G712" s="6" t="s">
        <v>154</v>
      </c>
      <c r="H712" s="2" t="s">
        <v>1473</v>
      </c>
      <c r="I712" s="2" t="s">
        <v>1426</v>
      </c>
      <c r="J712" s="2" t="s">
        <v>19</v>
      </c>
      <c r="K712" s="2" t="s">
        <v>107</v>
      </c>
      <c r="L712" s="7" t="str">
        <f>HYPERLINK("http://slimages.macys.com/is/image/MCY/15071215 ")</f>
        <v xml:space="preserve">http://slimages.macys.com/is/image/MCY/15071215 </v>
      </c>
    </row>
    <row r="713" spans="1:12" ht="24.75" x14ac:dyDescent="0.25">
      <c r="A713" s="4" t="s">
        <v>12426</v>
      </c>
      <c r="B713" s="2" t="s">
        <v>11228</v>
      </c>
      <c r="C713" s="3">
        <v>1</v>
      </c>
      <c r="D713" s="5">
        <v>19.989999999999998</v>
      </c>
      <c r="E713" s="3" t="s">
        <v>11229</v>
      </c>
      <c r="F713" s="2" t="s">
        <v>74</v>
      </c>
      <c r="G713" s="6" t="s">
        <v>154</v>
      </c>
      <c r="H713" s="2" t="s">
        <v>1473</v>
      </c>
      <c r="I713" s="2" t="s">
        <v>1426</v>
      </c>
      <c r="J713" s="2" t="s">
        <v>19</v>
      </c>
      <c r="K713" s="2" t="s">
        <v>107</v>
      </c>
      <c r="L713" s="7" t="str">
        <f>HYPERLINK("http://slimages.macys.com/is/image/MCY/14825434 ")</f>
        <v xml:space="preserve">http://slimages.macys.com/is/image/MCY/14825434 </v>
      </c>
    </row>
    <row r="714" spans="1:12" ht="24.75" x14ac:dyDescent="0.25">
      <c r="A714" s="4" t="s">
        <v>12427</v>
      </c>
      <c r="B714" s="2" t="s">
        <v>12424</v>
      </c>
      <c r="C714" s="3">
        <v>1</v>
      </c>
      <c r="D714" s="5">
        <v>19.989999999999998</v>
      </c>
      <c r="E714" s="3" t="s">
        <v>12425</v>
      </c>
      <c r="F714" s="2" t="s">
        <v>199</v>
      </c>
      <c r="G714" s="6" t="s">
        <v>181</v>
      </c>
      <c r="H714" s="2" t="s">
        <v>1473</v>
      </c>
      <c r="I714" s="2" t="s">
        <v>1426</v>
      </c>
      <c r="J714" s="2" t="s">
        <v>19</v>
      </c>
      <c r="K714" s="2" t="s">
        <v>107</v>
      </c>
      <c r="L714" s="7" t="str">
        <f>HYPERLINK("http://slimages.macys.com/is/image/MCY/15071215 ")</f>
        <v xml:space="preserve">http://slimages.macys.com/is/image/MCY/15071215 </v>
      </c>
    </row>
    <row r="715" spans="1:12" ht="24.75" x14ac:dyDescent="0.25">
      <c r="A715" s="4" t="s">
        <v>12428</v>
      </c>
      <c r="B715" s="2" t="s">
        <v>11231</v>
      </c>
      <c r="C715" s="3">
        <v>2</v>
      </c>
      <c r="D715" s="5">
        <v>19.989999999999998</v>
      </c>
      <c r="E715" s="3" t="s">
        <v>11232</v>
      </c>
      <c r="F715" s="2" t="s">
        <v>74</v>
      </c>
      <c r="G715" s="6" t="s">
        <v>154</v>
      </c>
      <c r="H715" s="2" t="s">
        <v>1473</v>
      </c>
      <c r="I715" s="2" t="s">
        <v>1426</v>
      </c>
      <c r="J715" s="2" t="s">
        <v>19</v>
      </c>
      <c r="K715" s="2" t="s">
        <v>107</v>
      </c>
      <c r="L715" s="7" t="str">
        <f>HYPERLINK("http://slimages.macys.com/is/image/MCY/15071323 ")</f>
        <v xml:space="preserve">http://slimages.macys.com/is/image/MCY/15071323 </v>
      </c>
    </row>
    <row r="716" spans="1:12" ht="24.75" x14ac:dyDescent="0.25">
      <c r="A716" s="4" t="s">
        <v>12429</v>
      </c>
      <c r="B716" s="2" t="s">
        <v>12430</v>
      </c>
      <c r="C716" s="3">
        <v>1</v>
      </c>
      <c r="D716" s="5">
        <v>19.989999999999998</v>
      </c>
      <c r="E716" s="3" t="s">
        <v>12431</v>
      </c>
      <c r="F716" s="2" t="s">
        <v>15</v>
      </c>
      <c r="G716" s="6" t="s">
        <v>187</v>
      </c>
      <c r="H716" s="2" t="s">
        <v>1425</v>
      </c>
      <c r="I716" s="2" t="s">
        <v>1426</v>
      </c>
      <c r="J716" s="2" t="s">
        <v>19</v>
      </c>
      <c r="K716" s="2" t="s">
        <v>495</v>
      </c>
      <c r="L716" s="7" t="str">
        <f>HYPERLINK("http://slimages.macys.com/is/image/MCY/12649718 ")</f>
        <v xml:space="preserve">http://slimages.macys.com/is/image/MCY/12649718 </v>
      </c>
    </row>
    <row r="717" spans="1:12" ht="24.75" x14ac:dyDescent="0.25">
      <c r="A717" s="4" t="s">
        <v>12432</v>
      </c>
      <c r="B717" s="2" t="s">
        <v>9766</v>
      </c>
      <c r="C717" s="3">
        <v>1</v>
      </c>
      <c r="D717" s="5">
        <v>19.989999999999998</v>
      </c>
      <c r="E717" s="3" t="s">
        <v>9767</v>
      </c>
      <c r="F717" s="2" t="s">
        <v>15</v>
      </c>
      <c r="G717" s="6" t="s">
        <v>154</v>
      </c>
      <c r="H717" s="2" t="s">
        <v>1473</v>
      </c>
      <c r="I717" s="2" t="s">
        <v>1426</v>
      </c>
      <c r="J717" s="2" t="s">
        <v>19</v>
      </c>
      <c r="K717" s="2" t="s">
        <v>495</v>
      </c>
      <c r="L717" s="7" t="str">
        <f>HYPERLINK("http://slimages.macys.com/is/image/MCY/10702972 ")</f>
        <v xml:space="preserve">http://slimages.macys.com/is/image/MCY/10702972 </v>
      </c>
    </row>
    <row r="718" spans="1:12" ht="24.75" x14ac:dyDescent="0.25">
      <c r="A718" s="4" t="s">
        <v>12433</v>
      </c>
      <c r="B718" s="2" t="s">
        <v>3216</v>
      </c>
      <c r="C718" s="3">
        <v>1</v>
      </c>
      <c r="D718" s="5">
        <v>21.99</v>
      </c>
      <c r="E718" s="3" t="s">
        <v>12434</v>
      </c>
      <c r="F718" s="2" t="s">
        <v>15</v>
      </c>
      <c r="G718" s="6" t="s">
        <v>156</v>
      </c>
      <c r="H718" s="2" t="s">
        <v>284</v>
      </c>
      <c r="I718" s="2" t="s">
        <v>285</v>
      </c>
      <c r="J718" s="2" t="s">
        <v>19</v>
      </c>
      <c r="K718" s="2" t="s">
        <v>247</v>
      </c>
      <c r="L718" s="7" t="str">
        <f>HYPERLINK("http://slimages.macys.com/is/image/MCY/15199324 ")</f>
        <v xml:space="preserve">http://slimages.macys.com/is/image/MCY/15199324 </v>
      </c>
    </row>
    <row r="719" spans="1:12" ht="24.75" x14ac:dyDescent="0.25">
      <c r="A719" s="4" t="s">
        <v>11253</v>
      </c>
      <c r="B719" s="2" t="s">
        <v>11254</v>
      </c>
      <c r="C719" s="3">
        <v>1</v>
      </c>
      <c r="D719" s="5">
        <v>19.989999999999998</v>
      </c>
      <c r="E719" s="3" t="s">
        <v>11255</v>
      </c>
      <c r="F719" s="2" t="s">
        <v>74</v>
      </c>
      <c r="G719" s="6"/>
      <c r="H719" s="2" t="s">
        <v>1425</v>
      </c>
      <c r="I719" s="2" t="s">
        <v>1426</v>
      </c>
      <c r="J719" s="2" t="s">
        <v>19</v>
      </c>
      <c r="K719" s="2" t="s">
        <v>107</v>
      </c>
      <c r="L719" s="7" t="str">
        <f>HYPERLINK("http://slimages.macys.com/is/image/MCY/14825567 ")</f>
        <v xml:space="preserve">http://slimages.macys.com/is/image/MCY/14825567 </v>
      </c>
    </row>
    <row r="720" spans="1:12" ht="24.75" x14ac:dyDescent="0.25">
      <c r="A720" s="4" t="s">
        <v>12435</v>
      </c>
      <c r="B720" s="2" t="s">
        <v>4128</v>
      </c>
      <c r="C720" s="3">
        <v>1</v>
      </c>
      <c r="D720" s="5">
        <v>19.989999999999998</v>
      </c>
      <c r="E720" s="3" t="s">
        <v>5153</v>
      </c>
      <c r="F720" s="2" t="s">
        <v>94</v>
      </c>
      <c r="G720" s="6" t="s">
        <v>156</v>
      </c>
      <c r="H720" s="2" t="s">
        <v>1473</v>
      </c>
      <c r="I720" s="2" t="s">
        <v>1426</v>
      </c>
      <c r="J720" s="2" t="s">
        <v>19</v>
      </c>
      <c r="K720" s="2" t="s">
        <v>1108</v>
      </c>
      <c r="L720" s="7" t="str">
        <f>HYPERLINK("http://slimages.macys.com/is/image/MCY/11831179 ")</f>
        <v xml:space="preserve">http://slimages.macys.com/is/image/MCY/11831179 </v>
      </c>
    </row>
    <row r="721" spans="1:12" ht="24.75" x14ac:dyDescent="0.25">
      <c r="A721" s="4" t="s">
        <v>12436</v>
      </c>
      <c r="B721" s="2" t="s">
        <v>12437</v>
      </c>
      <c r="C721" s="3">
        <v>1</v>
      </c>
      <c r="D721" s="5">
        <v>19.989999999999998</v>
      </c>
      <c r="E721" s="3" t="s">
        <v>12438</v>
      </c>
      <c r="F721" s="2" t="s">
        <v>417</v>
      </c>
      <c r="G721" s="6" t="s">
        <v>156</v>
      </c>
      <c r="H721" s="2" t="s">
        <v>1473</v>
      </c>
      <c r="I721" s="2" t="s">
        <v>1426</v>
      </c>
      <c r="J721" s="2" t="s">
        <v>19</v>
      </c>
      <c r="K721" s="2" t="s">
        <v>648</v>
      </c>
      <c r="L721" s="7" t="str">
        <f>HYPERLINK("http://slimages.macys.com/is/image/MCY/13635076 ")</f>
        <v xml:space="preserve">http://slimages.macys.com/is/image/MCY/13635076 </v>
      </c>
    </row>
    <row r="722" spans="1:12" ht="24.75" x14ac:dyDescent="0.25">
      <c r="A722" s="4" t="s">
        <v>12439</v>
      </c>
      <c r="B722" s="2" t="s">
        <v>12440</v>
      </c>
      <c r="C722" s="3">
        <v>1</v>
      </c>
      <c r="D722" s="5">
        <v>19.989999999999998</v>
      </c>
      <c r="E722" s="3" t="s">
        <v>12441</v>
      </c>
      <c r="F722" s="2" t="s">
        <v>74</v>
      </c>
      <c r="G722" s="6"/>
      <c r="H722" s="2" t="s">
        <v>1425</v>
      </c>
      <c r="I722" s="2" t="s">
        <v>1426</v>
      </c>
      <c r="J722" s="2" t="s">
        <v>19</v>
      </c>
      <c r="K722" s="2" t="s">
        <v>990</v>
      </c>
      <c r="L722" s="7" t="str">
        <f>HYPERLINK("http://slimages.macys.com/is/image/MCY/13893036 ")</f>
        <v xml:space="preserve">http://slimages.macys.com/is/image/MCY/13893036 </v>
      </c>
    </row>
    <row r="723" spans="1:12" ht="24.75" x14ac:dyDescent="0.25">
      <c r="A723" s="4" t="s">
        <v>12442</v>
      </c>
      <c r="B723" s="2" t="s">
        <v>12443</v>
      </c>
      <c r="C723" s="3">
        <v>1</v>
      </c>
      <c r="D723" s="5">
        <v>19.989999999999998</v>
      </c>
      <c r="E723" s="3" t="s">
        <v>12444</v>
      </c>
      <c r="F723" s="2" t="s">
        <v>132</v>
      </c>
      <c r="G723" s="6" t="s">
        <v>234</v>
      </c>
      <c r="H723" s="2" t="s">
        <v>246</v>
      </c>
      <c r="I723" s="2" t="s">
        <v>189</v>
      </c>
      <c r="J723" s="2" t="s">
        <v>19</v>
      </c>
      <c r="K723" s="2" t="s">
        <v>648</v>
      </c>
      <c r="L723" s="7" t="str">
        <f>HYPERLINK("http://slimages.macys.com/is/image/MCY/13922607 ")</f>
        <v xml:space="preserve">http://slimages.macys.com/is/image/MCY/13922607 </v>
      </c>
    </row>
    <row r="724" spans="1:12" ht="24.75" x14ac:dyDescent="0.25">
      <c r="A724" s="4" t="s">
        <v>12445</v>
      </c>
      <c r="B724" s="2" t="s">
        <v>12446</v>
      </c>
      <c r="C724" s="3">
        <v>1</v>
      </c>
      <c r="D724" s="5">
        <v>19.989999999999998</v>
      </c>
      <c r="E724" s="3" t="s">
        <v>12447</v>
      </c>
      <c r="F724" s="2" t="s">
        <v>15</v>
      </c>
      <c r="G724" s="6" t="s">
        <v>156</v>
      </c>
      <c r="H724" s="2" t="s">
        <v>1473</v>
      </c>
      <c r="I724" s="2" t="s">
        <v>1426</v>
      </c>
      <c r="J724" s="2" t="s">
        <v>19</v>
      </c>
      <c r="K724" s="2" t="s">
        <v>1108</v>
      </c>
      <c r="L724" s="7" t="str">
        <f>HYPERLINK("http://slimages.macys.com/is/image/MCY/13511328 ")</f>
        <v xml:space="preserve">http://slimages.macys.com/is/image/MCY/13511328 </v>
      </c>
    </row>
    <row r="725" spans="1:12" ht="24.75" x14ac:dyDescent="0.25">
      <c r="A725" s="4" t="s">
        <v>9758</v>
      </c>
      <c r="B725" s="2" t="s">
        <v>4128</v>
      </c>
      <c r="C725" s="3">
        <v>1</v>
      </c>
      <c r="D725" s="5">
        <v>19.989999999999998</v>
      </c>
      <c r="E725" s="3" t="s">
        <v>5153</v>
      </c>
      <c r="F725" s="2" t="s">
        <v>94</v>
      </c>
      <c r="G725" s="6" t="s">
        <v>234</v>
      </c>
      <c r="H725" s="2" t="s">
        <v>1473</v>
      </c>
      <c r="I725" s="2" t="s">
        <v>1426</v>
      </c>
      <c r="J725" s="2" t="s">
        <v>19</v>
      </c>
      <c r="K725" s="2" t="s">
        <v>1108</v>
      </c>
      <c r="L725" s="7" t="str">
        <f>HYPERLINK("http://slimages.macys.com/is/image/MCY/11831179 ")</f>
        <v xml:space="preserve">http://slimages.macys.com/is/image/MCY/11831179 </v>
      </c>
    </row>
    <row r="726" spans="1:12" ht="24.75" x14ac:dyDescent="0.25">
      <c r="A726" s="4" t="s">
        <v>12448</v>
      </c>
      <c r="B726" s="2" t="s">
        <v>12449</v>
      </c>
      <c r="C726" s="3">
        <v>1</v>
      </c>
      <c r="D726" s="5">
        <v>19.989999999999998</v>
      </c>
      <c r="E726" s="3" t="s">
        <v>12450</v>
      </c>
      <c r="F726" s="2" t="s">
        <v>1322</v>
      </c>
      <c r="G726" s="6" t="s">
        <v>156</v>
      </c>
      <c r="H726" s="2" t="s">
        <v>1473</v>
      </c>
      <c r="I726" s="2" t="s">
        <v>1426</v>
      </c>
      <c r="J726" s="2" t="s">
        <v>19</v>
      </c>
      <c r="K726" s="2" t="s">
        <v>107</v>
      </c>
      <c r="L726" s="7" t="str">
        <f>HYPERLINK("http://slimages.macys.com/is/image/MCY/14766422 ")</f>
        <v xml:space="preserve">http://slimages.macys.com/is/image/MCY/14766422 </v>
      </c>
    </row>
    <row r="727" spans="1:12" ht="24.75" x14ac:dyDescent="0.25">
      <c r="A727" s="4" t="s">
        <v>12451</v>
      </c>
      <c r="B727" s="2" t="s">
        <v>12452</v>
      </c>
      <c r="C727" s="3">
        <v>1</v>
      </c>
      <c r="D727" s="5">
        <v>19.989999999999998</v>
      </c>
      <c r="E727" s="3" t="s">
        <v>12453</v>
      </c>
      <c r="F727" s="2" t="s">
        <v>26</v>
      </c>
      <c r="G727" s="6" t="s">
        <v>234</v>
      </c>
      <c r="H727" s="2" t="s">
        <v>1473</v>
      </c>
      <c r="I727" s="2" t="s">
        <v>1426</v>
      </c>
      <c r="J727" s="2" t="s">
        <v>19</v>
      </c>
      <c r="K727" s="2" t="s">
        <v>648</v>
      </c>
      <c r="L727" s="7" t="str">
        <f>HYPERLINK("http://slimages.macys.com/is/image/MCY/13635215 ")</f>
        <v xml:space="preserve">http://slimages.macys.com/is/image/MCY/13635215 </v>
      </c>
    </row>
    <row r="728" spans="1:12" ht="24.75" x14ac:dyDescent="0.25">
      <c r="A728" s="4" t="s">
        <v>12454</v>
      </c>
      <c r="B728" s="2" t="s">
        <v>12437</v>
      </c>
      <c r="C728" s="3">
        <v>1</v>
      </c>
      <c r="D728" s="5">
        <v>19.989999999999998</v>
      </c>
      <c r="E728" s="3" t="s">
        <v>12438</v>
      </c>
      <c r="F728" s="2" t="s">
        <v>15</v>
      </c>
      <c r="G728" s="6" t="s">
        <v>245</v>
      </c>
      <c r="H728" s="2" t="s">
        <v>1473</v>
      </c>
      <c r="I728" s="2" t="s">
        <v>1426</v>
      </c>
      <c r="J728" s="2" t="s">
        <v>19</v>
      </c>
      <c r="K728" s="2" t="s">
        <v>648</v>
      </c>
      <c r="L728" s="7" t="str">
        <f>HYPERLINK("http://slimages.macys.com/is/image/MCY/13635076 ")</f>
        <v xml:space="preserve">http://slimages.macys.com/is/image/MCY/13635076 </v>
      </c>
    </row>
    <row r="729" spans="1:12" ht="24.75" x14ac:dyDescent="0.25">
      <c r="A729" s="4" t="s">
        <v>12455</v>
      </c>
      <c r="B729" s="2" t="s">
        <v>12456</v>
      </c>
      <c r="C729" s="3">
        <v>1</v>
      </c>
      <c r="D729" s="5">
        <v>19.989999999999998</v>
      </c>
      <c r="E729" s="3" t="s">
        <v>12457</v>
      </c>
      <c r="F729" s="2" t="s">
        <v>5457</v>
      </c>
      <c r="G729" s="6" t="s">
        <v>181</v>
      </c>
      <c r="H729" s="2" t="s">
        <v>1473</v>
      </c>
      <c r="I729" s="2" t="s">
        <v>1426</v>
      </c>
      <c r="J729" s="2" t="s">
        <v>19</v>
      </c>
      <c r="K729" s="2" t="s">
        <v>1108</v>
      </c>
      <c r="L729" s="7" t="str">
        <f>HYPERLINK("http://slimages.macys.com/is/image/MCY/13303906 ")</f>
        <v xml:space="preserve">http://slimages.macys.com/is/image/MCY/13303906 </v>
      </c>
    </row>
    <row r="730" spans="1:12" ht="24.75" x14ac:dyDescent="0.25">
      <c r="A730" s="4" t="s">
        <v>12458</v>
      </c>
      <c r="B730" s="2" t="s">
        <v>4128</v>
      </c>
      <c r="C730" s="3">
        <v>1</v>
      </c>
      <c r="D730" s="5">
        <v>19.989999999999998</v>
      </c>
      <c r="E730" s="3" t="s">
        <v>5153</v>
      </c>
      <c r="F730" s="2" t="s">
        <v>417</v>
      </c>
      <c r="G730" s="6" t="s">
        <v>156</v>
      </c>
      <c r="H730" s="2" t="s">
        <v>1473</v>
      </c>
      <c r="I730" s="2" t="s">
        <v>1426</v>
      </c>
      <c r="J730" s="2" t="s">
        <v>19</v>
      </c>
      <c r="K730" s="2" t="s">
        <v>1108</v>
      </c>
      <c r="L730" s="7" t="str">
        <f>HYPERLINK("http://slimages.macys.com/is/image/MCY/11831179 ")</f>
        <v xml:space="preserve">http://slimages.macys.com/is/image/MCY/11831179 </v>
      </c>
    </row>
    <row r="731" spans="1:12" ht="24.75" x14ac:dyDescent="0.25">
      <c r="A731" s="4" t="s">
        <v>12459</v>
      </c>
      <c r="B731" s="2" t="s">
        <v>11246</v>
      </c>
      <c r="C731" s="3">
        <v>1</v>
      </c>
      <c r="D731" s="5">
        <v>19.989999999999998</v>
      </c>
      <c r="E731" s="3" t="s">
        <v>11247</v>
      </c>
      <c r="F731" s="2" t="s">
        <v>85</v>
      </c>
      <c r="G731" s="6" t="s">
        <v>156</v>
      </c>
      <c r="H731" s="2" t="s">
        <v>1473</v>
      </c>
      <c r="I731" s="2" t="s">
        <v>1426</v>
      </c>
      <c r="J731" s="2" t="s">
        <v>19</v>
      </c>
      <c r="K731" s="2" t="s">
        <v>495</v>
      </c>
      <c r="L731" s="7" t="str">
        <f>HYPERLINK("http://slimages.macys.com/is/image/MCY/13631250 ")</f>
        <v xml:space="preserve">http://slimages.macys.com/is/image/MCY/13631250 </v>
      </c>
    </row>
    <row r="732" spans="1:12" ht="24.75" x14ac:dyDescent="0.25">
      <c r="A732" s="4" t="s">
        <v>11242</v>
      </c>
      <c r="B732" s="2" t="s">
        <v>11243</v>
      </c>
      <c r="C732" s="3">
        <v>1</v>
      </c>
      <c r="D732" s="5">
        <v>17.989999999999998</v>
      </c>
      <c r="E732" s="3" t="s">
        <v>11244</v>
      </c>
      <c r="F732" s="2" t="s">
        <v>1322</v>
      </c>
      <c r="G732" s="6" t="s">
        <v>181</v>
      </c>
      <c r="H732" s="2" t="s">
        <v>1473</v>
      </c>
      <c r="I732" s="2" t="s">
        <v>1426</v>
      </c>
      <c r="J732" s="2" t="s">
        <v>19</v>
      </c>
      <c r="K732" s="2" t="s">
        <v>648</v>
      </c>
      <c r="L732" s="7" t="str">
        <f>HYPERLINK("http://slimages.macys.com/is/image/MCY/11882664 ")</f>
        <v xml:space="preserve">http://slimages.macys.com/is/image/MCY/11882664 </v>
      </c>
    </row>
    <row r="733" spans="1:12" ht="24.75" x14ac:dyDescent="0.25">
      <c r="A733" s="4" t="s">
        <v>12460</v>
      </c>
      <c r="B733" s="2" t="s">
        <v>12446</v>
      </c>
      <c r="C733" s="3">
        <v>1</v>
      </c>
      <c r="D733" s="5">
        <v>19.989999999999998</v>
      </c>
      <c r="E733" s="3" t="s">
        <v>12447</v>
      </c>
      <c r="F733" s="2" t="s">
        <v>417</v>
      </c>
      <c r="G733" s="6" t="s">
        <v>181</v>
      </c>
      <c r="H733" s="2" t="s">
        <v>1473</v>
      </c>
      <c r="I733" s="2" t="s">
        <v>1426</v>
      </c>
      <c r="J733" s="2" t="s">
        <v>19</v>
      </c>
      <c r="K733" s="2" t="s">
        <v>1108</v>
      </c>
      <c r="L733" s="7" t="str">
        <f>HYPERLINK("http://slimages.macys.com/is/image/MCY/13511328 ")</f>
        <v xml:space="preserve">http://slimages.macys.com/is/image/MCY/13511328 </v>
      </c>
    </row>
    <row r="734" spans="1:12" ht="24.75" x14ac:dyDescent="0.25">
      <c r="A734" s="4" t="s">
        <v>5162</v>
      </c>
      <c r="B734" s="2" t="s">
        <v>3026</v>
      </c>
      <c r="C734" s="3">
        <v>2</v>
      </c>
      <c r="D734" s="5">
        <v>21.99</v>
      </c>
      <c r="E734" s="3" t="s">
        <v>5156</v>
      </c>
      <c r="F734" s="2" t="s">
        <v>64</v>
      </c>
      <c r="G734" s="6" t="s">
        <v>154</v>
      </c>
      <c r="H734" s="2" t="s">
        <v>284</v>
      </c>
      <c r="I734" s="2" t="s">
        <v>285</v>
      </c>
      <c r="J734" s="2" t="s">
        <v>19</v>
      </c>
      <c r="K734" s="2" t="s">
        <v>247</v>
      </c>
      <c r="L734" s="7" t="str">
        <f>HYPERLINK("http://slimages.macys.com/is/image/MCY/16393197 ")</f>
        <v xml:space="preserve">http://slimages.macys.com/is/image/MCY/16393197 </v>
      </c>
    </row>
    <row r="735" spans="1:12" ht="24.75" x14ac:dyDescent="0.25">
      <c r="A735" s="4" t="s">
        <v>12461</v>
      </c>
      <c r="B735" s="2" t="s">
        <v>3026</v>
      </c>
      <c r="C735" s="3">
        <v>1</v>
      </c>
      <c r="D735" s="5">
        <v>21.99</v>
      </c>
      <c r="E735" s="3" t="s">
        <v>5156</v>
      </c>
      <c r="F735" s="2" t="s">
        <v>64</v>
      </c>
      <c r="G735" s="6" t="s">
        <v>245</v>
      </c>
      <c r="H735" s="2" t="s">
        <v>284</v>
      </c>
      <c r="I735" s="2" t="s">
        <v>285</v>
      </c>
      <c r="J735" s="2" t="s">
        <v>19</v>
      </c>
      <c r="K735" s="2" t="s">
        <v>247</v>
      </c>
      <c r="L735" s="7" t="str">
        <f>HYPERLINK("http://slimages.macys.com/is/image/MCY/16393197 ")</f>
        <v xml:space="preserve">http://slimages.macys.com/is/image/MCY/16393197 </v>
      </c>
    </row>
    <row r="736" spans="1:12" ht="24.75" x14ac:dyDescent="0.25">
      <c r="A736" s="4" t="s">
        <v>5161</v>
      </c>
      <c r="B736" s="2" t="s">
        <v>3026</v>
      </c>
      <c r="C736" s="3">
        <v>1</v>
      </c>
      <c r="D736" s="5">
        <v>21.99</v>
      </c>
      <c r="E736" s="3" t="s">
        <v>5156</v>
      </c>
      <c r="F736" s="2" t="s">
        <v>64</v>
      </c>
      <c r="G736" s="6" t="s">
        <v>234</v>
      </c>
      <c r="H736" s="2" t="s">
        <v>284</v>
      </c>
      <c r="I736" s="2" t="s">
        <v>285</v>
      </c>
      <c r="J736" s="2" t="s">
        <v>19</v>
      </c>
      <c r="K736" s="2" t="s">
        <v>247</v>
      </c>
      <c r="L736" s="7" t="str">
        <f>HYPERLINK("http://slimages.macys.com/is/image/MCY/16393197 ")</f>
        <v xml:space="preserve">http://slimages.macys.com/is/image/MCY/16393197 </v>
      </c>
    </row>
    <row r="737" spans="1:12" ht="24.75" x14ac:dyDescent="0.25">
      <c r="A737" s="4" t="s">
        <v>12462</v>
      </c>
      <c r="B737" s="2" t="s">
        <v>3216</v>
      </c>
      <c r="C737" s="3">
        <v>1</v>
      </c>
      <c r="D737" s="5">
        <v>21.99</v>
      </c>
      <c r="E737" s="3" t="s">
        <v>12463</v>
      </c>
      <c r="F737" s="2" t="s">
        <v>70</v>
      </c>
      <c r="G737" s="6"/>
      <c r="H737" s="2" t="s">
        <v>632</v>
      </c>
      <c r="I737" s="2" t="s">
        <v>285</v>
      </c>
      <c r="J737" s="2" t="s">
        <v>19</v>
      </c>
      <c r="K737" s="2" t="s">
        <v>5235</v>
      </c>
      <c r="L737" s="7" t="str">
        <f>HYPERLINK("http://slimages.macys.com/is/image/MCY/9636596 ")</f>
        <v xml:space="preserve">http://slimages.macys.com/is/image/MCY/9636596 </v>
      </c>
    </row>
    <row r="738" spans="1:12" ht="24.75" x14ac:dyDescent="0.25">
      <c r="A738" s="4" t="s">
        <v>11245</v>
      </c>
      <c r="B738" s="2" t="s">
        <v>11246</v>
      </c>
      <c r="C738" s="3">
        <v>1</v>
      </c>
      <c r="D738" s="5">
        <v>19.989999999999998</v>
      </c>
      <c r="E738" s="3" t="s">
        <v>11247</v>
      </c>
      <c r="F738" s="2"/>
      <c r="G738" s="6" t="s">
        <v>154</v>
      </c>
      <c r="H738" s="2" t="s">
        <v>1473</v>
      </c>
      <c r="I738" s="2" t="s">
        <v>1426</v>
      </c>
      <c r="J738" s="2" t="s">
        <v>19</v>
      </c>
      <c r="K738" s="2" t="s">
        <v>495</v>
      </c>
      <c r="L738" s="7" t="str">
        <f>HYPERLINK("http://slimages.macys.com/is/image/MCY/13631250 ")</f>
        <v xml:space="preserve">http://slimages.macys.com/is/image/MCY/13631250 </v>
      </c>
    </row>
    <row r="739" spans="1:12" ht="24.75" x14ac:dyDescent="0.25">
      <c r="A739" s="4" t="s">
        <v>12464</v>
      </c>
      <c r="B739" s="2" t="s">
        <v>3026</v>
      </c>
      <c r="C739" s="3">
        <v>1</v>
      </c>
      <c r="D739" s="5">
        <v>21.99</v>
      </c>
      <c r="E739" s="3" t="s">
        <v>12465</v>
      </c>
      <c r="F739" s="2" t="s">
        <v>566</v>
      </c>
      <c r="G739" s="6" t="s">
        <v>245</v>
      </c>
      <c r="H739" s="2" t="s">
        <v>284</v>
      </c>
      <c r="I739" s="2" t="s">
        <v>285</v>
      </c>
      <c r="J739" s="2" t="s">
        <v>19</v>
      </c>
      <c r="K739" s="2" t="s">
        <v>247</v>
      </c>
      <c r="L739" s="7" t="str">
        <f>HYPERLINK("http://slimages.macys.com/is/image/MCY/9972026 ")</f>
        <v xml:space="preserve">http://slimages.macys.com/is/image/MCY/9972026 </v>
      </c>
    </row>
    <row r="740" spans="1:12" ht="24.75" x14ac:dyDescent="0.25">
      <c r="A740" s="4" t="s">
        <v>9762</v>
      </c>
      <c r="B740" s="2" t="s">
        <v>3026</v>
      </c>
      <c r="C740" s="3">
        <v>1</v>
      </c>
      <c r="D740" s="5">
        <v>21.99</v>
      </c>
      <c r="E740" s="3" t="s">
        <v>9763</v>
      </c>
      <c r="F740" s="2" t="s">
        <v>252</v>
      </c>
      <c r="G740" s="6" t="s">
        <v>154</v>
      </c>
      <c r="H740" s="2" t="s">
        <v>284</v>
      </c>
      <c r="I740" s="2" t="s">
        <v>285</v>
      </c>
      <c r="J740" s="2"/>
      <c r="K740" s="2"/>
      <c r="L740" s="7" t="str">
        <f>HYPERLINK("http://slimages.macys.com/is/image/MCY/11640364 ")</f>
        <v xml:space="preserve">http://slimages.macys.com/is/image/MCY/11640364 </v>
      </c>
    </row>
    <row r="741" spans="1:12" ht="24.75" x14ac:dyDescent="0.25">
      <c r="A741" s="4" t="s">
        <v>12466</v>
      </c>
      <c r="B741" s="2" t="s">
        <v>12467</v>
      </c>
      <c r="C741" s="3">
        <v>1</v>
      </c>
      <c r="D741" s="5">
        <v>21.99</v>
      </c>
      <c r="E741" s="3">
        <v>100016978</v>
      </c>
      <c r="F741" s="2" t="s">
        <v>74</v>
      </c>
      <c r="G741" s="6" t="s">
        <v>234</v>
      </c>
      <c r="H741" s="2" t="s">
        <v>284</v>
      </c>
      <c r="I741" s="2" t="s">
        <v>285</v>
      </c>
      <c r="J741" s="2" t="s">
        <v>19</v>
      </c>
      <c r="K741" s="2" t="s">
        <v>247</v>
      </c>
      <c r="L741" s="7" t="str">
        <f>HYPERLINK("http://slimages.macys.com/is/image/MCY/12055713 ")</f>
        <v xml:space="preserve">http://slimages.macys.com/is/image/MCY/12055713 </v>
      </c>
    </row>
    <row r="742" spans="1:12" ht="24.75" x14ac:dyDescent="0.25">
      <c r="A742" s="4" t="s">
        <v>12468</v>
      </c>
      <c r="B742" s="2" t="s">
        <v>1833</v>
      </c>
      <c r="C742" s="3">
        <v>1</v>
      </c>
      <c r="D742" s="5">
        <v>14.99</v>
      </c>
      <c r="E742" s="3" t="s">
        <v>11263</v>
      </c>
      <c r="F742" s="2" t="s">
        <v>74</v>
      </c>
      <c r="G742" s="6" t="s">
        <v>156</v>
      </c>
      <c r="H742" s="2" t="s">
        <v>194</v>
      </c>
      <c r="I742" s="2" t="s">
        <v>307</v>
      </c>
      <c r="J742" s="2" t="s">
        <v>19</v>
      </c>
      <c r="K742" s="2" t="s">
        <v>34</v>
      </c>
      <c r="L742" s="7" t="str">
        <f>HYPERLINK("http://slimages.macys.com/is/image/MCY/13368055 ")</f>
        <v xml:space="preserve">http://slimages.macys.com/is/image/MCY/13368055 </v>
      </c>
    </row>
    <row r="743" spans="1:12" ht="24.75" x14ac:dyDescent="0.25">
      <c r="A743" s="4" t="s">
        <v>11262</v>
      </c>
      <c r="B743" s="2" t="s">
        <v>1833</v>
      </c>
      <c r="C743" s="3">
        <v>1</v>
      </c>
      <c r="D743" s="5">
        <v>14.99</v>
      </c>
      <c r="E743" s="3" t="s">
        <v>11263</v>
      </c>
      <c r="F743" s="2" t="s">
        <v>74</v>
      </c>
      <c r="G743" s="6" t="s">
        <v>234</v>
      </c>
      <c r="H743" s="2" t="s">
        <v>194</v>
      </c>
      <c r="I743" s="2" t="s">
        <v>307</v>
      </c>
      <c r="J743" s="2" t="s">
        <v>19</v>
      </c>
      <c r="K743" s="2" t="s">
        <v>34</v>
      </c>
      <c r="L743" s="7" t="str">
        <f>HYPERLINK("http://slimages.macys.com/is/image/MCY/13368055 ")</f>
        <v xml:space="preserve">http://slimages.macys.com/is/image/MCY/13368055 </v>
      </c>
    </row>
    <row r="744" spans="1:12" ht="24.75" x14ac:dyDescent="0.25">
      <c r="A744" s="4" t="s">
        <v>6111</v>
      </c>
      <c r="B744" s="2" t="s">
        <v>1833</v>
      </c>
      <c r="C744" s="3">
        <v>1</v>
      </c>
      <c r="D744" s="5">
        <v>14.99</v>
      </c>
      <c r="E744" s="3" t="s">
        <v>4134</v>
      </c>
      <c r="F744" s="2" t="s">
        <v>998</v>
      </c>
      <c r="G744" s="6" t="s">
        <v>181</v>
      </c>
      <c r="H744" s="2" t="s">
        <v>194</v>
      </c>
      <c r="I744" s="2" t="s">
        <v>307</v>
      </c>
      <c r="J744" s="2" t="s">
        <v>19</v>
      </c>
      <c r="K744" s="2" t="s">
        <v>34</v>
      </c>
      <c r="L744" s="7" t="str">
        <f>HYPERLINK("http://slimages.macys.com/is/image/MCY/12668021 ")</f>
        <v xml:space="preserve">http://slimages.macys.com/is/image/MCY/12668021 </v>
      </c>
    </row>
    <row r="745" spans="1:12" ht="24.75" x14ac:dyDescent="0.25">
      <c r="A745" s="4" t="s">
        <v>1849</v>
      </c>
      <c r="B745" s="2" t="s">
        <v>1850</v>
      </c>
      <c r="C745" s="3">
        <v>1</v>
      </c>
      <c r="D745" s="5">
        <v>22.13</v>
      </c>
      <c r="E745" s="3" t="s">
        <v>1851</v>
      </c>
      <c r="F745" s="2" t="s">
        <v>1322</v>
      </c>
      <c r="G745" s="6" t="s">
        <v>154</v>
      </c>
      <c r="H745" s="2" t="s">
        <v>194</v>
      </c>
      <c r="I745" s="2" t="s">
        <v>195</v>
      </c>
      <c r="J745" s="2" t="s">
        <v>19</v>
      </c>
      <c r="K745" s="2" t="s">
        <v>1108</v>
      </c>
      <c r="L745" s="7" t="str">
        <f>HYPERLINK("http://slimages.macys.com/is/image/MCY/15709119 ")</f>
        <v xml:space="preserve">http://slimages.macys.com/is/image/MCY/15709119 </v>
      </c>
    </row>
    <row r="746" spans="1:12" ht="24.75" x14ac:dyDescent="0.25">
      <c r="A746" s="4" t="s">
        <v>5167</v>
      </c>
      <c r="B746" s="2" t="s">
        <v>1853</v>
      </c>
      <c r="C746" s="3">
        <v>1</v>
      </c>
      <c r="D746" s="5">
        <v>17.989999999999998</v>
      </c>
      <c r="E746" s="3" t="s">
        <v>1854</v>
      </c>
      <c r="F746" s="2" t="s">
        <v>26</v>
      </c>
      <c r="G746" s="6"/>
      <c r="H746" s="2" t="s">
        <v>1425</v>
      </c>
      <c r="I746" s="2" t="s">
        <v>1469</v>
      </c>
      <c r="J746" s="2" t="s">
        <v>19</v>
      </c>
      <c r="K746" s="2" t="s">
        <v>353</v>
      </c>
      <c r="L746" s="7" t="str">
        <f>HYPERLINK("http://slimages.macys.com/is/image/MCY/2880260 ")</f>
        <v xml:space="preserve">http://slimages.macys.com/is/image/MCY/2880260 </v>
      </c>
    </row>
    <row r="747" spans="1:12" ht="24.75" x14ac:dyDescent="0.25">
      <c r="A747" s="4" t="s">
        <v>6122</v>
      </c>
      <c r="B747" s="2" t="s">
        <v>1856</v>
      </c>
      <c r="C747" s="3">
        <v>1</v>
      </c>
      <c r="D747" s="5">
        <v>17.989999999999998</v>
      </c>
      <c r="E747" s="3" t="s">
        <v>1857</v>
      </c>
      <c r="F747" s="2" t="s">
        <v>38</v>
      </c>
      <c r="G747" s="6"/>
      <c r="H747" s="2" t="s">
        <v>1425</v>
      </c>
      <c r="I747" s="2" t="s">
        <v>1469</v>
      </c>
      <c r="J747" s="2"/>
      <c r="K747" s="2"/>
      <c r="L747" s="7" t="str">
        <f>HYPERLINK("http://slimages.macys.com/is/image/MCY/11522835 ")</f>
        <v xml:space="preserve">http://slimages.macys.com/is/image/MCY/11522835 </v>
      </c>
    </row>
    <row r="748" spans="1:12" ht="24.75" x14ac:dyDescent="0.25">
      <c r="A748" s="4" t="s">
        <v>11275</v>
      </c>
      <c r="B748" s="2" t="s">
        <v>11272</v>
      </c>
      <c r="C748" s="3">
        <v>1</v>
      </c>
      <c r="D748" s="5">
        <v>19.989999999999998</v>
      </c>
      <c r="E748" s="3" t="s">
        <v>11273</v>
      </c>
      <c r="F748" s="2" t="s">
        <v>417</v>
      </c>
      <c r="G748" s="6"/>
      <c r="H748" s="2" t="s">
        <v>1425</v>
      </c>
      <c r="I748" s="2" t="s">
        <v>1426</v>
      </c>
      <c r="J748" s="2" t="s">
        <v>19</v>
      </c>
      <c r="K748" s="2" t="s">
        <v>107</v>
      </c>
      <c r="L748" s="7" t="str">
        <f>HYPERLINK("http://slimages.macys.com/is/image/MCY/14825102 ")</f>
        <v xml:space="preserve">http://slimages.macys.com/is/image/MCY/14825102 </v>
      </c>
    </row>
    <row r="749" spans="1:12" ht="24.75" x14ac:dyDescent="0.25">
      <c r="A749" s="4" t="s">
        <v>11274</v>
      </c>
      <c r="B749" s="2" t="s">
        <v>11272</v>
      </c>
      <c r="C749" s="3">
        <v>2</v>
      </c>
      <c r="D749" s="5">
        <v>19.989999999999998</v>
      </c>
      <c r="E749" s="3" t="s">
        <v>11273</v>
      </c>
      <c r="F749" s="2" t="s">
        <v>417</v>
      </c>
      <c r="G749" s="6"/>
      <c r="H749" s="2" t="s">
        <v>1425</v>
      </c>
      <c r="I749" s="2" t="s">
        <v>1426</v>
      </c>
      <c r="J749" s="2" t="s">
        <v>19</v>
      </c>
      <c r="K749" s="2" t="s">
        <v>107</v>
      </c>
      <c r="L749" s="7" t="str">
        <f>HYPERLINK("http://slimages.macys.com/is/image/MCY/14825102 ")</f>
        <v xml:space="preserve">http://slimages.macys.com/is/image/MCY/14825102 </v>
      </c>
    </row>
    <row r="750" spans="1:12" ht="24.75" x14ac:dyDescent="0.25">
      <c r="A750" s="4" t="s">
        <v>11271</v>
      </c>
      <c r="B750" s="2" t="s">
        <v>11272</v>
      </c>
      <c r="C750" s="3">
        <v>1</v>
      </c>
      <c r="D750" s="5">
        <v>19.989999999999998</v>
      </c>
      <c r="E750" s="3" t="s">
        <v>11273</v>
      </c>
      <c r="F750" s="2" t="s">
        <v>417</v>
      </c>
      <c r="G750" s="6" t="s">
        <v>219</v>
      </c>
      <c r="H750" s="2" t="s">
        <v>1425</v>
      </c>
      <c r="I750" s="2" t="s">
        <v>1426</v>
      </c>
      <c r="J750" s="2" t="s">
        <v>19</v>
      </c>
      <c r="K750" s="2" t="s">
        <v>107</v>
      </c>
      <c r="L750" s="7" t="str">
        <f>HYPERLINK("http://slimages.macys.com/is/image/MCY/14825102 ")</f>
        <v xml:space="preserve">http://slimages.macys.com/is/image/MCY/14825102 </v>
      </c>
    </row>
    <row r="751" spans="1:12" ht="24.75" x14ac:dyDescent="0.25">
      <c r="A751" s="4" t="s">
        <v>12469</v>
      </c>
      <c r="B751" s="2" t="s">
        <v>11272</v>
      </c>
      <c r="C751" s="3">
        <v>1</v>
      </c>
      <c r="D751" s="5">
        <v>19.989999999999998</v>
      </c>
      <c r="E751" s="3" t="s">
        <v>11277</v>
      </c>
      <c r="F751" s="2" t="s">
        <v>417</v>
      </c>
      <c r="G751" s="6" t="s">
        <v>154</v>
      </c>
      <c r="H751" s="2" t="s">
        <v>1473</v>
      </c>
      <c r="I751" s="2" t="s">
        <v>1426</v>
      </c>
      <c r="J751" s="2" t="s">
        <v>19</v>
      </c>
      <c r="K751" s="2" t="s">
        <v>107</v>
      </c>
      <c r="L751" s="7" t="str">
        <f>HYPERLINK("http://slimages.macys.com/is/image/MCY/14825102 ")</f>
        <v xml:space="preserve">http://slimages.macys.com/is/image/MCY/14825102 </v>
      </c>
    </row>
    <row r="752" spans="1:12" ht="24.75" x14ac:dyDescent="0.25">
      <c r="A752" s="4" t="s">
        <v>12470</v>
      </c>
      <c r="B752" s="2" t="s">
        <v>1726</v>
      </c>
      <c r="C752" s="3">
        <v>1</v>
      </c>
      <c r="D752" s="5">
        <v>21.99</v>
      </c>
      <c r="E752" s="3" t="s">
        <v>6125</v>
      </c>
      <c r="F752" s="2" t="s">
        <v>26</v>
      </c>
      <c r="G752" s="6" t="s">
        <v>181</v>
      </c>
      <c r="H752" s="2" t="s">
        <v>284</v>
      </c>
      <c r="I752" s="2" t="s">
        <v>285</v>
      </c>
      <c r="J752" s="2" t="s">
        <v>19</v>
      </c>
      <c r="K752" s="2" t="s">
        <v>247</v>
      </c>
      <c r="L752" s="7" t="str">
        <f>HYPERLINK("http://slimages.macys.com/is/image/MCY/12341853 ")</f>
        <v xml:space="preserve">http://slimages.macys.com/is/image/MCY/12341853 </v>
      </c>
    </row>
    <row r="753" spans="1:12" ht="24.75" x14ac:dyDescent="0.25">
      <c r="A753" s="4" t="s">
        <v>11278</v>
      </c>
      <c r="B753" s="2" t="s">
        <v>11279</v>
      </c>
      <c r="C753" s="3">
        <v>1</v>
      </c>
      <c r="D753" s="5">
        <v>19.989999999999998</v>
      </c>
      <c r="E753" s="3" t="s">
        <v>11280</v>
      </c>
      <c r="F753" s="2" t="s">
        <v>417</v>
      </c>
      <c r="G753" s="6" t="s">
        <v>181</v>
      </c>
      <c r="H753" s="2" t="s">
        <v>1473</v>
      </c>
      <c r="I753" s="2" t="s">
        <v>1426</v>
      </c>
      <c r="J753" s="2" t="s">
        <v>19</v>
      </c>
      <c r="K753" s="2" t="s">
        <v>107</v>
      </c>
      <c r="L753" s="7" t="str">
        <f>HYPERLINK("http://slimages.macys.com/is/image/MCY/14825689 ")</f>
        <v xml:space="preserve">http://slimages.macys.com/is/image/MCY/14825689 </v>
      </c>
    </row>
    <row r="754" spans="1:12" ht="24.75" x14ac:dyDescent="0.25">
      <c r="A754" s="4" t="s">
        <v>12471</v>
      </c>
      <c r="B754" s="2" t="s">
        <v>1862</v>
      </c>
      <c r="C754" s="3">
        <v>1</v>
      </c>
      <c r="D754" s="5">
        <v>20.99</v>
      </c>
      <c r="E754" s="3" t="s">
        <v>1868</v>
      </c>
      <c r="F754" s="2" t="s">
        <v>70</v>
      </c>
      <c r="G754" s="6" t="s">
        <v>245</v>
      </c>
      <c r="H754" s="2" t="s">
        <v>1473</v>
      </c>
      <c r="I754" s="2" t="s">
        <v>1864</v>
      </c>
      <c r="J754" s="2" t="s">
        <v>19</v>
      </c>
      <c r="K754" s="2" t="s">
        <v>648</v>
      </c>
      <c r="L754" s="7" t="str">
        <f>HYPERLINK("http://slimages.macys.com/is/image/MCY/12267099 ")</f>
        <v xml:space="preserve">http://slimages.macys.com/is/image/MCY/12267099 </v>
      </c>
    </row>
    <row r="755" spans="1:12" ht="24.75" x14ac:dyDescent="0.25">
      <c r="A755" s="4" t="s">
        <v>12472</v>
      </c>
      <c r="B755" s="2" t="s">
        <v>1862</v>
      </c>
      <c r="C755" s="3">
        <v>1</v>
      </c>
      <c r="D755" s="5">
        <v>20.99</v>
      </c>
      <c r="E755" s="3" t="s">
        <v>1868</v>
      </c>
      <c r="F755" s="2" t="s">
        <v>74</v>
      </c>
      <c r="G755" s="6" t="s">
        <v>234</v>
      </c>
      <c r="H755" s="2" t="s">
        <v>1473</v>
      </c>
      <c r="I755" s="2" t="s">
        <v>1864</v>
      </c>
      <c r="J755" s="2" t="s">
        <v>19</v>
      </c>
      <c r="K755" s="2" t="s">
        <v>648</v>
      </c>
      <c r="L755" s="7" t="str">
        <f>HYPERLINK("http://slimages.macys.com/is/image/MCY/12267099 ")</f>
        <v xml:space="preserve">http://slimages.macys.com/is/image/MCY/12267099 </v>
      </c>
    </row>
    <row r="756" spans="1:12" ht="24.75" x14ac:dyDescent="0.25">
      <c r="A756" s="4" t="s">
        <v>12473</v>
      </c>
      <c r="B756" s="2" t="s">
        <v>11288</v>
      </c>
      <c r="C756" s="3">
        <v>1</v>
      </c>
      <c r="D756" s="5">
        <v>19.989999999999998</v>
      </c>
      <c r="E756" s="3" t="s">
        <v>11289</v>
      </c>
      <c r="F756" s="2" t="s">
        <v>74</v>
      </c>
      <c r="G756" s="6" t="s">
        <v>154</v>
      </c>
      <c r="H756" s="2" t="s">
        <v>1473</v>
      </c>
      <c r="I756" s="2" t="s">
        <v>1426</v>
      </c>
      <c r="J756" s="2" t="s">
        <v>19</v>
      </c>
      <c r="K756" s="2" t="s">
        <v>107</v>
      </c>
      <c r="L756" s="7" t="str">
        <f>HYPERLINK("http://slimages.macys.com/is/image/MCY/14825092 ")</f>
        <v xml:space="preserve">http://slimages.macys.com/is/image/MCY/14825092 </v>
      </c>
    </row>
    <row r="757" spans="1:12" ht="24.75" x14ac:dyDescent="0.25">
      <c r="A757" s="4" t="s">
        <v>11308</v>
      </c>
      <c r="B757" s="2" t="s">
        <v>11306</v>
      </c>
      <c r="C757" s="3">
        <v>1</v>
      </c>
      <c r="D757" s="5">
        <v>17.989999999999998</v>
      </c>
      <c r="E757" s="3" t="s">
        <v>11307</v>
      </c>
      <c r="F757" s="2" t="s">
        <v>33</v>
      </c>
      <c r="G757" s="6" t="s">
        <v>234</v>
      </c>
      <c r="H757" s="2" t="s">
        <v>1522</v>
      </c>
      <c r="I757" s="2" t="s">
        <v>1469</v>
      </c>
      <c r="J757" s="2" t="s">
        <v>19</v>
      </c>
      <c r="K757" s="2" t="s">
        <v>495</v>
      </c>
      <c r="L757" s="7" t="str">
        <f>HYPERLINK("http://slimages.macys.com/is/image/MCY/13812518 ")</f>
        <v xml:space="preserve">http://slimages.macys.com/is/image/MCY/13812518 </v>
      </c>
    </row>
    <row r="758" spans="1:12" ht="24.75" x14ac:dyDescent="0.25">
      <c r="A758" s="4" t="s">
        <v>12474</v>
      </c>
      <c r="B758" s="2" t="s">
        <v>11295</v>
      </c>
      <c r="C758" s="3">
        <v>1</v>
      </c>
      <c r="D758" s="5">
        <v>19.989999999999998</v>
      </c>
      <c r="E758" s="3" t="s">
        <v>11296</v>
      </c>
      <c r="F758" s="2" t="s">
        <v>417</v>
      </c>
      <c r="G758" s="6" t="s">
        <v>181</v>
      </c>
      <c r="H758" s="2" t="s">
        <v>1473</v>
      </c>
      <c r="I758" s="2" t="s">
        <v>1426</v>
      </c>
      <c r="J758" s="2" t="s">
        <v>19</v>
      </c>
      <c r="K758" s="2" t="s">
        <v>107</v>
      </c>
      <c r="L758" s="7" t="str">
        <f>HYPERLINK("http://slimages.macys.com/is/image/MCY/15071145 ")</f>
        <v xml:space="preserve">http://slimages.macys.com/is/image/MCY/15071145 </v>
      </c>
    </row>
    <row r="759" spans="1:12" ht="24.75" x14ac:dyDescent="0.25">
      <c r="A759" s="4" t="s">
        <v>12475</v>
      </c>
      <c r="B759" s="2" t="s">
        <v>11288</v>
      </c>
      <c r="C759" s="3">
        <v>1</v>
      </c>
      <c r="D759" s="5">
        <v>19.989999999999998</v>
      </c>
      <c r="E759" s="3" t="s">
        <v>11289</v>
      </c>
      <c r="F759" s="2" t="s">
        <v>74</v>
      </c>
      <c r="G759" s="6" t="s">
        <v>156</v>
      </c>
      <c r="H759" s="2" t="s">
        <v>1473</v>
      </c>
      <c r="I759" s="2" t="s">
        <v>1426</v>
      </c>
      <c r="J759" s="2" t="s">
        <v>19</v>
      </c>
      <c r="K759" s="2" t="s">
        <v>107</v>
      </c>
      <c r="L759" s="7" t="str">
        <f>HYPERLINK("http://slimages.macys.com/is/image/MCY/14825092 ")</f>
        <v xml:space="preserve">http://slimages.macys.com/is/image/MCY/14825092 </v>
      </c>
    </row>
    <row r="760" spans="1:12" ht="24.75" x14ac:dyDescent="0.25">
      <c r="A760" s="4" t="s">
        <v>11297</v>
      </c>
      <c r="B760" s="2" t="s">
        <v>11288</v>
      </c>
      <c r="C760" s="3">
        <v>1</v>
      </c>
      <c r="D760" s="5">
        <v>19.989999999999998</v>
      </c>
      <c r="E760" s="3" t="s">
        <v>11289</v>
      </c>
      <c r="F760" s="2" t="s">
        <v>74</v>
      </c>
      <c r="G760" s="6" t="s">
        <v>234</v>
      </c>
      <c r="H760" s="2" t="s">
        <v>1473</v>
      </c>
      <c r="I760" s="2" t="s">
        <v>1426</v>
      </c>
      <c r="J760" s="2" t="s">
        <v>19</v>
      </c>
      <c r="K760" s="2" t="s">
        <v>107</v>
      </c>
      <c r="L760" s="7" t="str">
        <f>HYPERLINK("http://slimages.macys.com/is/image/MCY/14825092 ")</f>
        <v xml:space="preserve">http://slimages.macys.com/is/image/MCY/14825092 </v>
      </c>
    </row>
    <row r="761" spans="1:12" ht="24.75" x14ac:dyDescent="0.25">
      <c r="A761" s="4" t="s">
        <v>12476</v>
      </c>
      <c r="B761" s="2" t="s">
        <v>1876</v>
      </c>
      <c r="C761" s="3">
        <v>1</v>
      </c>
      <c r="D761" s="5">
        <v>17.989999999999998</v>
      </c>
      <c r="E761" s="3" t="s">
        <v>1877</v>
      </c>
      <c r="F761" s="2" t="s">
        <v>70</v>
      </c>
      <c r="G761" s="6" t="s">
        <v>234</v>
      </c>
      <c r="H761" s="2" t="s">
        <v>1473</v>
      </c>
      <c r="I761" s="2" t="s">
        <v>1426</v>
      </c>
      <c r="J761" s="2" t="s">
        <v>19</v>
      </c>
      <c r="K761" s="2" t="s">
        <v>495</v>
      </c>
      <c r="L761" s="7" t="str">
        <f>HYPERLINK("http://slimages.macys.com/is/image/MCY/12672802 ")</f>
        <v xml:space="preserve">http://slimages.macys.com/is/image/MCY/12672802 </v>
      </c>
    </row>
    <row r="762" spans="1:12" ht="24.75" x14ac:dyDescent="0.25">
      <c r="A762" s="4" t="s">
        <v>12477</v>
      </c>
      <c r="B762" s="2" t="s">
        <v>11295</v>
      </c>
      <c r="C762" s="3">
        <v>1</v>
      </c>
      <c r="D762" s="5">
        <v>19.989999999999998</v>
      </c>
      <c r="E762" s="3" t="s">
        <v>11296</v>
      </c>
      <c r="F762" s="2" t="s">
        <v>417</v>
      </c>
      <c r="G762" s="6" t="s">
        <v>156</v>
      </c>
      <c r="H762" s="2" t="s">
        <v>1473</v>
      </c>
      <c r="I762" s="2" t="s">
        <v>1426</v>
      </c>
      <c r="J762" s="2" t="s">
        <v>19</v>
      </c>
      <c r="K762" s="2" t="s">
        <v>107</v>
      </c>
      <c r="L762" s="7" t="str">
        <f>HYPERLINK("http://slimages.macys.com/is/image/MCY/15071145 ")</f>
        <v xml:space="preserve">http://slimages.macys.com/is/image/MCY/15071145 </v>
      </c>
    </row>
    <row r="763" spans="1:12" ht="24.75" x14ac:dyDescent="0.25">
      <c r="A763" s="4" t="s">
        <v>5175</v>
      </c>
      <c r="B763" s="2" t="s">
        <v>1892</v>
      </c>
      <c r="C763" s="3">
        <v>1</v>
      </c>
      <c r="D763" s="5">
        <v>20.99</v>
      </c>
      <c r="E763" s="3" t="s">
        <v>1901</v>
      </c>
      <c r="F763" s="2" t="s">
        <v>74</v>
      </c>
      <c r="G763" s="6" t="s">
        <v>181</v>
      </c>
      <c r="H763" s="2" t="s">
        <v>1473</v>
      </c>
      <c r="I763" s="2" t="s">
        <v>1864</v>
      </c>
      <c r="J763" s="2" t="s">
        <v>19</v>
      </c>
      <c r="K763" s="2" t="s">
        <v>648</v>
      </c>
      <c r="L763" s="7" t="str">
        <f>HYPERLINK("http://slimages.macys.com/is/image/MCY/11689284 ")</f>
        <v xml:space="preserve">http://slimages.macys.com/is/image/MCY/11689284 </v>
      </c>
    </row>
    <row r="764" spans="1:12" ht="24.75" x14ac:dyDescent="0.25">
      <c r="A764" s="4" t="s">
        <v>12478</v>
      </c>
      <c r="B764" s="2" t="s">
        <v>12479</v>
      </c>
      <c r="C764" s="3">
        <v>1</v>
      </c>
      <c r="D764" s="5">
        <v>21.99</v>
      </c>
      <c r="E764" s="3" t="s">
        <v>12480</v>
      </c>
      <c r="F764" s="2" t="s">
        <v>74</v>
      </c>
      <c r="G764" s="6"/>
      <c r="H764" s="2" t="s">
        <v>632</v>
      </c>
      <c r="I764" s="2" t="s">
        <v>285</v>
      </c>
      <c r="J764" s="2" t="s">
        <v>19</v>
      </c>
      <c r="K764" s="2" t="s">
        <v>247</v>
      </c>
      <c r="L764" s="7" t="str">
        <f>HYPERLINK("http://slimages.macys.com/is/image/MCY/11270242 ")</f>
        <v xml:space="preserve">http://slimages.macys.com/is/image/MCY/11270242 </v>
      </c>
    </row>
    <row r="765" spans="1:12" ht="24.75" x14ac:dyDescent="0.25">
      <c r="A765" s="4" t="s">
        <v>1891</v>
      </c>
      <c r="B765" s="2" t="s">
        <v>1892</v>
      </c>
      <c r="C765" s="3">
        <v>1</v>
      </c>
      <c r="D765" s="5">
        <v>20.99</v>
      </c>
      <c r="E765" s="3" t="s">
        <v>1893</v>
      </c>
      <c r="F765" s="2" t="s">
        <v>15</v>
      </c>
      <c r="G765" s="6"/>
      <c r="H765" s="2" t="s">
        <v>1425</v>
      </c>
      <c r="I765" s="2" t="s">
        <v>1864</v>
      </c>
      <c r="J765" s="2" t="s">
        <v>19</v>
      </c>
      <c r="K765" s="2" t="s">
        <v>1894</v>
      </c>
      <c r="L765" s="7" t="str">
        <f>HYPERLINK("http://slimages.macys.com/is/image/MCY/11689288 ")</f>
        <v xml:space="preserve">http://slimages.macys.com/is/image/MCY/11689288 </v>
      </c>
    </row>
    <row r="766" spans="1:12" ht="24.75" x14ac:dyDescent="0.25">
      <c r="A766" s="4" t="s">
        <v>3071</v>
      </c>
      <c r="B766" s="2" t="s">
        <v>1892</v>
      </c>
      <c r="C766" s="3">
        <v>1</v>
      </c>
      <c r="D766" s="5">
        <v>20.99</v>
      </c>
      <c r="E766" s="3" t="s">
        <v>1901</v>
      </c>
      <c r="F766" s="2" t="s">
        <v>74</v>
      </c>
      <c r="G766" s="6" t="s">
        <v>154</v>
      </c>
      <c r="H766" s="2" t="s">
        <v>1473</v>
      </c>
      <c r="I766" s="2" t="s">
        <v>1864</v>
      </c>
      <c r="J766" s="2" t="s">
        <v>19</v>
      </c>
      <c r="K766" s="2" t="s">
        <v>648</v>
      </c>
      <c r="L766" s="7" t="str">
        <f>HYPERLINK("http://slimages.macys.com/is/image/MCY/11689284 ")</f>
        <v xml:space="preserve">http://slimages.macys.com/is/image/MCY/11689284 </v>
      </c>
    </row>
    <row r="767" spans="1:12" ht="24.75" x14ac:dyDescent="0.25">
      <c r="A767" s="4" t="s">
        <v>3055</v>
      </c>
      <c r="B767" s="2" t="s">
        <v>1892</v>
      </c>
      <c r="C767" s="3">
        <v>1</v>
      </c>
      <c r="D767" s="5">
        <v>20.99</v>
      </c>
      <c r="E767" s="3" t="s">
        <v>1901</v>
      </c>
      <c r="F767" s="2" t="s">
        <v>74</v>
      </c>
      <c r="G767" s="6" t="s">
        <v>156</v>
      </c>
      <c r="H767" s="2" t="s">
        <v>1473</v>
      </c>
      <c r="I767" s="2" t="s">
        <v>1864</v>
      </c>
      <c r="J767" s="2" t="s">
        <v>19</v>
      </c>
      <c r="K767" s="2" t="s">
        <v>648</v>
      </c>
      <c r="L767" s="7" t="str">
        <f>HYPERLINK("http://slimages.macys.com/is/image/MCY/11689284 ")</f>
        <v xml:space="preserve">http://slimages.macys.com/is/image/MCY/11689284 </v>
      </c>
    </row>
    <row r="768" spans="1:12" ht="24.75" x14ac:dyDescent="0.25">
      <c r="A768" s="4" t="s">
        <v>12481</v>
      </c>
      <c r="B768" s="2" t="s">
        <v>12482</v>
      </c>
      <c r="C768" s="3">
        <v>1</v>
      </c>
      <c r="D768" s="5">
        <v>21.99</v>
      </c>
      <c r="E768" s="3" t="s">
        <v>12483</v>
      </c>
      <c r="F768" s="2" t="s">
        <v>887</v>
      </c>
      <c r="G768" s="6" t="s">
        <v>200</v>
      </c>
      <c r="H768" s="2" t="s">
        <v>284</v>
      </c>
      <c r="I768" s="2" t="s">
        <v>285</v>
      </c>
      <c r="J768" s="2" t="s">
        <v>19</v>
      </c>
      <c r="K768" s="2" t="s">
        <v>247</v>
      </c>
      <c r="L768" s="7" t="str">
        <f>HYPERLINK("http://slimages.macys.com/is/image/MCY/13924281 ")</f>
        <v xml:space="preserve">http://slimages.macys.com/is/image/MCY/13924281 </v>
      </c>
    </row>
    <row r="769" spans="1:12" ht="24.75" x14ac:dyDescent="0.25">
      <c r="A769" s="4" t="s">
        <v>12484</v>
      </c>
      <c r="B769" s="2" t="s">
        <v>1692</v>
      </c>
      <c r="C769" s="3">
        <v>1</v>
      </c>
      <c r="D769" s="5">
        <v>24.37</v>
      </c>
      <c r="E769" s="3" t="s">
        <v>9208</v>
      </c>
      <c r="F769" s="2" t="s">
        <v>74</v>
      </c>
      <c r="G769" s="6" t="s">
        <v>156</v>
      </c>
      <c r="H769" s="2" t="s">
        <v>194</v>
      </c>
      <c r="I769" s="2" t="s">
        <v>580</v>
      </c>
      <c r="J769" s="2" t="s">
        <v>19</v>
      </c>
      <c r="K769" s="2" t="s">
        <v>137</v>
      </c>
      <c r="L769" s="7" t="str">
        <f>HYPERLINK("http://slimages.macys.com/is/image/MCY/16404085 ")</f>
        <v xml:space="preserve">http://slimages.macys.com/is/image/MCY/16404085 </v>
      </c>
    </row>
    <row r="770" spans="1:12" ht="24.75" x14ac:dyDescent="0.25">
      <c r="A770" s="4" t="s">
        <v>12485</v>
      </c>
      <c r="B770" s="2" t="s">
        <v>12486</v>
      </c>
      <c r="C770" s="3">
        <v>1</v>
      </c>
      <c r="D770" s="5">
        <v>14.98</v>
      </c>
      <c r="E770" s="3" t="s">
        <v>12487</v>
      </c>
      <c r="F770" s="2" t="s">
        <v>15</v>
      </c>
      <c r="G770" s="6"/>
      <c r="H770" s="2" t="s">
        <v>1425</v>
      </c>
      <c r="I770" s="2" t="s">
        <v>1469</v>
      </c>
      <c r="J770" s="2" t="s">
        <v>19</v>
      </c>
      <c r="K770" s="2" t="s">
        <v>495</v>
      </c>
      <c r="L770" s="7" t="str">
        <f>HYPERLINK("http://slimages.macys.com/is/image/MCY/8633367 ")</f>
        <v xml:space="preserve">http://slimages.macys.com/is/image/MCY/8633367 </v>
      </c>
    </row>
    <row r="771" spans="1:12" ht="24.75" x14ac:dyDescent="0.25">
      <c r="A771" s="4" t="s">
        <v>12488</v>
      </c>
      <c r="B771" s="2" t="s">
        <v>11322</v>
      </c>
      <c r="C771" s="3">
        <v>1</v>
      </c>
      <c r="D771" s="5">
        <v>24.99</v>
      </c>
      <c r="E771" s="3">
        <v>100024030</v>
      </c>
      <c r="F771" s="2" t="s">
        <v>676</v>
      </c>
      <c r="G771" s="6" t="s">
        <v>200</v>
      </c>
      <c r="H771" s="2" t="s">
        <v>284</v>
      </c>
      <c r="I771" s="2" t="s">
        <v>285</v>
      </c>
      <c r="J771" s="2" t="s">
        <v>19</v>
      </c>
      <c r="K771" s="2" t="s">
        <v>247</v>
      </c>
      <c r="L771" s="7" t="str">
        <f t="shared" ref="L771:L778" si="4">HYPERLINK("http://slimages.macys.com/is/image/MCY/14366698 ")</f>
        <v xml:space="preserve">http://slimages.macys.com/is/image/MCY/14366698 </v>
      </c>
    </row>
    <row r="772" spans="1:12" ht="24.75" x14ac:dyDescent="0.25">
      <c r="A772" s="4" t="s">
        <v>12489</v>
      </c>
      <c r="B772" s="2" t="s">
        <v>11322</v>
      </c>
      <c r="C772" s="3">
        <v>2</v>
      </c>
      <c r="D772" s="5">
        <v>24.99</v>
      </c>
      <c r="E772" s="3">
        <v>100024030</v>
      </c>
      <c r="F772" s="2" t="s">
        <v>676</v>
      </c>
      <c r="G772" s="6" t="s">
        <v>181</v>
      </c>
      <c r="H772" s="2" t="s">
        <v>284</v>
      </c>
      <c r="I772" s="2" t="s">
        <v>285</v>
      </c>
      <c r="J772" s="2" t="s">
        <v>19</v>
      </c>
      <c r="K772" s="2" t="s">
        <v>247</v>
      </c>
      <c r="L772" s="7" t="str">
        <f t="shared" si="4"/>
        <v xml:space="preserve">http://slimages.macys.com/is/image/MCY/14366698 </v>
      </c>
    </row>
    <row r="773" spans="1:12" ht="24.75" x14ac:dyDescent="0.25">
      <c r="A773" s="4" t="s">
        <v>12490</v>
      </c>
      <c r="B773" s="2" t="s">
        <v>11322</v>
      </c>
      <c r="C773" s="3">
        <v>2</v>
      </c>
      <c r="D773" s="5">
        <v>24.99</v>
      </c>
      <c r="E773" s="3">
        <v>100024030</v>
      </c>
      <c r="F773" s="2" t="s">
        <v>956</v>
      </c>
      <c r="G773" s="6" t="s">
        <v>181</v>
      </c>
      <c r="H773" s="2" t="s">
        <v>284</v>
      </c>
      <c r="I773" s="2" t="s">
        <v>285</v>
      </c>
      <c r="J773" s="2" t="s">
        <v>19</v>
      </c>
      <c r="K773" s="2" t="s">
        <v>247</v>
      </c>
      <c r="L773" s="7" t="str">
        <f t="shared" si="4"/>
        <v xml:space="preserve">http://slimages.macys.com/is/image/MCY/14366698 </v>
      </c>
    </row>
    <row r="774" spans="1:12" ht="24.75" x14ac:dyDescent="0.25">
      <c r="A774" s="4" t="s">
        <v>11321</v>
      </c>
      <c r="B774" s="2" t="s">
        <v>11322</v>
      </c>
      <c r="C774" s="3">
        <v>1</v>
      </c>
      <c r="D774" s="5">
        <v>24.99</v>
      </c>
      <c r="E774" s="3">
        <v>100024030</v>
      </c>
      <c r="F774" s="2" t="s">
        <v>956</v>
      </c>
      <c r="G774" s="6" t="s">
        <v>156</v>
      </c>
      <c r="H774" s="2" t="s">
        <v>284</v>
      </c>
      <c r="I774" s="2" t="s">
        <v>285</v>
      </c>
      <c r="J774" s="2" t="s">
        <v>19</v>
      </c>
      <c r="K774" s="2" t="s">
        <v>247</v>
      </c>
      <c r="L774" s="7" t="str">
        <f t="shared" si="4"/>
        <v xml:space="preserve">http://slimages.macys.com/is/image/MCY/14366698 </v>
      </c>
    </row>
    <row r="775" spans="1:12" ht="24.75" x14ac:dyDescent="0.25">
      <c r="A775" s="4" t="s">
        <v>12491</v>
      </c>
      <c r="B775" s="2" t="s">
        <v>11322</v>
      </c>
      <c r="C775" s="3">
        <v>1</v>
      </c>
      <c r="D775" s="5">
        <v>24.99</v>
      </c>
      <c r="E775" s="3">
        <v>100024030</v>
      </c>
      <c r="F775" s="2" t="s">
        <v>956</v>
      </c>
      <c r="G775" s="6" t="s">
        <v>234</v>
      </c>
      <c r="H775" s="2" t="s">
        <v>284</v>
      </c>
      <c r="I775" s="2" t="s">
        <v>285</v>
      </c>
      <c r="J775" s="2" t="s">
        <v>19</v>
      </c>
      <c r="K775" s="2" t="s">
        <v>247</v>
      </c>
      <c r="L775" s="7" t="str">
        <f t="shared" si="4"/>
        <v xml:space="preserve">http://slimages.macys.com/is/image/MCY/14366698 </v>
      </c>
    </row>
    <row r="776" spans="1:12" ht="24.75" x14ac:dyDescent="0.25">
      <c r="A776" s="4" t="s">
        <v>12492</v>
      </c>
      <c r="B776" s="2" t="s">
        <v>11322</v>
      </c>
      <c r="C776" s="3">
        <v>1</v>
      </c>
      <c r="D776" s="5">
        <v>24.99</v>
      </c>
      <c r="E776" s="3">
        <v>100024030</v>
      </c>
      <c r="F776" s="2" t="s">
        <v>676</v>
      </c>
      <c r="G776" s="6" t="s">
        <v>156</v>
      </c>
      <c r="H776" s="2" t="s">
        <v>284</v>
      </c>
      <c r="I776" s="2" t="s">
        <v>285</v>
      </c>
      <c r="J776" s="2" t="s">
        <v>19</v>
      </c>
      <c r="K776" s="2" t="s">
        <v>247</v>
      </c>
      <c r="L776" s="7" t="str">
        <f t="shared" si="4"/>
        <v xml:space="preserve">http://slimages.macys.com/is/image/MCY/14366698 </v>
      </c>
    </row>
    <row r="777" spans="1:12" ht="24.75" x14ac:dyDescent="0.25">
      <c r="A777" s="4" t="s">
        <v>12493</v>
      </c>
      <c r="B777" s="2" t="s">
        <v>11322</v>
      </c>
      <c r="C777" s="3">
        <v>1</v>
      </c>
      <c r="D777" s="5">
        <v>24.99</v>
      </c>
      <c r="E777" s="3">
        <v>100024030</v>
      </c>
      <c r="F777" s="2" t="s">
        <v>956</v>
      </c>
      <c r="G777" s="6" t="s">
        <v>245</v>
      </c>
      <c r="H777" s="2" t="s">
        <v>284</v>
      </c>
      <c r="I777" s="2" t="s">
        <v>285</v>
      </c>
      <c r="J777" s="2" t="s">
        <v>19</v>
      </c>
      <c r="K777" s="2" t="s">
        <v>247</v>
      </c>
      <c r="L777" s="7" t="str">
        <f t="shared" si="4"/>
        <v xml:space="preserve">http://slimages.macys.com/is/image/MCY/14366698 </v>
      </c>
    </row>
    <row r="778" spans="1:12" ht="24.75" x14ac:dyDescent="0.25">
      <c r="A778" s="4" t="s">
        <v>11325</v>
      </c>
      <c r="B778" s="2" t="s">
        <v>11322</v>
      </c>
      <c r="C778" s="3">
        <v>1</v>
      </c>
      <c r="D778" s="5">
        <v>24.99</v>
      </c>
      <c r="E778" s="3">
        <v>100024030</v>
      </c>
      <c r="F778" s="2" t="s">
        <v>956</v>
      </c>
      <c r="G778" s="6" t="s">
        <v>154</v>
      </c>
      <c r="H778" s="2" t="s">
        <v>284</v>
      </c>
      <c r="I778" s="2" t="s">
        <v>285</v>
      </c>
      <c r="J778" s="2" t="s">
        <v>19</v>
      </c>
      <c r="K778" s="2" t="s">
        <v>247</v>
      </c>
      <c r="L778" s="7" t="str">
        <f t="shared" si="4"/>
        <v xml:space="preserve">http://slimages.macys.com/is/image/MCY/14366698 </v>
      </c>
    </row>
    <row r="779" spans="1:12" ht="24.75" x14ac:dyDescent="0.25">
      <c r="A779" s="4" t="s">
        <v>12494</v>
      </c>
      <c r="B779" s="2" t="s">
        <v>12495</v>
      </c>
      <c r="C779" s="3">
        <v>1</v>
      </c>
      <c r="D779" s="5">
        <v>14.99</v>
      </c>
      <c r="E779" s="3" t="s">
        <v>12496</v>
      </c>
      <c r="F779" s="2" t="s">
        <v>33</v>
      </c>
      <c r="G779" s="6" t="s">
        <v>181</v>
      </c>
      <c r="H779" s="2" t="s">
        <v>1473</v>
      </c>
      <c r="I779" s="2" t="s">
        <v>1426</v>
      </c>
      <c r="J779" s="2" t="s">
        <v>19</v>
      </c>
      <c r="K779" s="2" t="s">
        <v>495</v>
      </c>
      <c r="L779" s="7" t="str">
        <f>HYPERLINK("http://slimages.macys.com/is/image/MCY/11417639 ")</f>
        <v xml:space="preserve">http://slimages.macys.com/is/image/MCY/11417639 </v>
      </c>
    </row>
    <row r="780" spans="1:12" ht="24.75" x14ac:dyDescent="0.25">
      <c r="A780" s="4" t="s">
        <v>12497</v>
      </c>
      <c r="B780" s="2" t="s">
        <v>12498</v>
      </c>
      <c r="C780" s="3">
        <v>1</v>
      </c>
      <c r="D780" s="5">
        <v>19.989999999999998</v>
      </c>
      <c r="E780" s="3" t="s">
        <v>12499</v>
      </c>
      <c r="F780" s="2" t="s">
        <v>70</v>
      </c>
      <c r="G780" s="6" t="s">
        <v>156</v>
      </c>
      <c r="H780" s="2" t="s">
        <v>1522</v>
      </c>
      <c r="I780" s="2" t="s">
        <v>1469</v>
      </c>
      <c r="J780" s="2" t="s">
        <v>19</v>
      </c>
      <c r="K780" s="2" t="s">
        <v>495</v>
      </c>
      <c r="L780" s="7" t="str">
        <f>HYPERLINK("http://slimages.macys.com/is/image/MCY/14770063 ")</f>
        <v xml:space="preserve">http://slimages.macys.com/is/image/MCY/14770063 </v>
      </c>
    </row>
    <row r="781" spans="1:12" ht="24.75" x14ac:dyDescent="0.25">
      <c r="A781" s="4" t="s">
        <v>11329</v>
      </c>
      <c r="B781" s="2" t="s">
        <v>11330</v>
      </c>
      <c r="C781" s="3">
        <v>1</v>
      </c>
      <c r="D781" s="5">
        <v>17.989999999999998</v>
      </c>
      <c r="E781" s="3" t="s">
        <v>11331</v>
      </c>
      <c r="F781" s="2" t="s">
        <v>417</v>
      </c>
      <c r="G781" s="6" t="s">
        <v>181</v>
      </c>
      <c r="H781" s="2" t="s">
        <v>1473</v>
      </c>
      <c r="I781" s="2" t="s">
        <v>1426</v>
      </c>
      <c r="J781" s="2" t="s">
        <v>19</v>
      </c>
      <c r="K781" s="2" t="s">
        <v>990</v>
      </c>
      <c r="L781" s="7" t="str">
        <f>HYPERLINK("http://slimages.macys.com/is/image/MCY/13634883 ")</f>
        <v xml:space="preserve">http://slimages.macys.com/is/image/MCY/13634883 </v>
      </c>
    </row>
    <row r="782" spans="1:12" ht="24.75" x14ac:dyDescent="0.25">
      <c r="A782" s="4" t="s">
        <v>12500</v>
      </c>
      <c r="B782" s="2" t="s">
        <v>4166</v>
      </c>
      <c r="C782" s="3">
        <v>1</v>
      </c>
      <c r="D782" s="5">
        <v>17.989999999999998</v>
      </c>
      <c r="E782" s="3" t="s">
        <v>4167</v>
      </c>
      <c r="F782" s="2" t="s">
        <v>1322</v>
      </c>
      <c r="G782" s="6" t="s">
        <v>200</v>
      </c>
      <c r="H782" s="2" t="s">
        <v>1473</v>
      </c>
      <c r="I782" s="2" t="s">
        <v>1426</v>
      </c>
      <c r="J782" s="2" t="s">
        <v>19</v>
      </c>
      <c r="K782" s="2" t="s">
        <v>495</v>
      </c>
      <c r="L782" s="7" t="str">
        <f>HYPERLINK("http://slimages.macys.com/is/image/MCY/12246728 ")</f>
        <v xml:space="preserve">http://slimages.macys.com/is/image/MCY/12246728 </v>
      </c>
    </row>
    <row r="783" spans="1:12" ht="24.75" x14ac:dyDescent="0.25">
      <c r="A783" s="4" t="s">
        <v>9776</v>
      </c>
      <c r="B783" s="2" t="s">
        <v>7659</v>
      </c>
      <c r="C783" s="3">
        <v>1</v>
      </c>
      <c r="D783" s="5">
        <v>17.989999999999998</v>
      </c>
      <c r="E783" s="3" t="s">
        <v>7660</v>
      </c>
      <c r="F783" s="2" t="s">
        <v>1322</v>
      </c>
      <c r="G783" s="6" t="s">
        <v>154</v>
      </c>
      <c r="H783" s="2" t="s">
        <v>1473</v>
      </c>
      <c r="I783" s="2" t="s">
        <v>1426</v>
      </c>
      <c r="J783" s="2" t="s">
        <v>19</v>
      </c>
      <c r="K783" s="2" t="s">
        <v>648</v>
      </c>
      <c r="L783" s="7" t="str">
        <f>HYPERLINK("http://slimages.macys.com/is/image/MCY/11882297 ")</f>
        <v xml:space="preserve">http://slimages.macys.com/is/image/MCY/11882297 </v>
      </c>
    </row>
    <row r="784" spans="1:12" ht="24.75" x14ac:dyDescent="0.25">
      <c r="A784" s="4" t="s">
        <v>9209</v>
      </c>
      <c r="B784" s="2" t="s">
        <v>3101</v>
      </c>
      <c r="C784" s="3">
        <v>2</v>
      </c>
      <c r="D784" s="5">
        <v>14.99</v>
      </c>
      <c r="E784" s="3" t="s">
        <v>3102</v>
      </c>
      <c r="F784" s="2" t="s">
        <v>74</v>
      </c>
      <c r="G784" s="6"/>
      <c r="H784" s="2" t="s">
        <v>1425</v>
      </c>
      <c r="I784" s="2" t="s">
        <v>1426</v>
      </c>
      <c r="J784" s="2"/>
      <c r="K784" s="2"/>
      <c r="L784" s="7" t="str">
        <f>HYPERLINK("http://slimages.macys.com/is/image/MCY/9931748 ")</f>
        <v xml:space="preserve">http://slimages.macys.com/is/image/MCY/9931748 </v>
      </c>
    </row>
    <row r="785" spans="1:12" ht="24.75" x14ac:dyDescent="0.25">
      <c r="A785" s="4" t="s">
        <v>12501</v>
      </c>
      <c r="B785" s="2" t="s">
        <v>3101</v>
      </c>
      <c r="C785" s="3">
        <v>1</v>
      </c>
      <c r="D785" s="5">
        <v>14.99</v>
      </c>
      <c r="E785" s="3" t="s">
        <v>3102</v>
      </c>
      <c r="F785" s="2" t="s">
        <v>199</v>
      </c>
      <c r="G785" s="6"/>
      <c r="H785" s="2" t="s">
        <v>1425</v>
      </c>
      <c r="I785" s="2" t="s">
        <v>1426</v>
      </c>
      <c r="J785" s="2"/>
      <c r="K785" s="2"/>
      <c r="L785" s="7" t="str">
        <f>HYPERLINK("http://slimages.macys.com/is/image/MCY/9931748 ")</f>
        <v xml:space="preserve">http://slimages.macys.com/is/image/MCY/9931748 </v>
      </c>
    </row>
    <row r="786" spans="1:12" ht="24.75" x14ac:dyDescent="0.25">
      <c r="A786" s="4" t="s">
        <v>12502</v>
      </c>
      <c r="B786" s="2" t="s">
        <v>3101</v>
      </c>
      <c r="C786" s="3">
        <v>2</v>
      </c>
      <c r="D786" s="5">
        <v>14.99</v>
      </c>
      <c r="E786" s="3" t="s">
        <v>3102</v>
      </c>
      <c r="F786" s="2" t="s">
        <v>15</v>
      </c>
      <c r="G786" s="6" t="s">
        <v>219</v>
      </c>
      <c r="H786" s="2" t="s">
        <v>1425</v>
      </c>
      <c r="I786" s="2" t="s">
        <v>1426</v>
      </c>
      <c r="J786" s="2"/>
      <c r="K786" s="2"/>
      <c r="L786" s="7" t="str">
        <f>HYPERLINK("http://slimages.macys.com/is/image/MCY/9931748 ")</f>
        <v xml:space="preserve">http://slimages.macys.com/is/image/MCY/9931748 </v>
      </c>
    </row>
    <row r="787" spans="1:12" ht="24.75" x14ac:dyDescent="0.25">
      <c r="A787" s="4" t="s">
        <v>12503</v>
      </c>
      <c r="B787" s="2" t="s">
        <v>12504</v>
      </c>
      <c r="C787" s="3">
        <v>1</v>
      </c>
      <c r="D787" s="5">
        <v>9.99</v>
      </c>
      <c r="E787" s="3" t="s">
        <v>12505</v>
      </c>
      <c r="F787" s="2" t="s">
        <v>1322</v>
      </c>
      <c r="G787" s="6" t="s">
        <v>154</v>
      </c>
      <c r="H787" s="2" t="s">
        <v>1473</v>
      </c>
      <c r="I787" s="2" t="s">
        <v>1426</v>
      </c>
      <c r="J787" s="2" t="s">
        <v>19</v>
      </c>
      <c r="K787" s="2" t="s">
        <v>495</v>
      </c>
      <c r="L787" s="7" t="str">
        <f>HYPERLINK("http://slimages.macys.com/is/image/MCY/14770163 ")</f>
        <v xml:space="preserve">http://slimages.macys.com/is/image/MCY/14770163 </v>
      </c>
    </row>
    <row r="788" spans="1:12" ht="24.75" x14ac:dyDescent="0.25">
      <c r="A788" s="4" t="s">
        <v>12506</v>
      </c>
      <c r="B788" s="2" t="s">
        <v>12507</v>
      </c>
      <c r="C788" s="3">
        <v>1</v>
      </c>
      <c r="D788" s="5">
        <v>14.99</v>
      </c>
      <c r="E788" s="3" t="s">
        <v>12508</v>
      </c>
      <c r="F788" s="2" t="s">
        <v>33</v>
      </c>
      <c r="G788" s="6" t="s">
        <v>154</v>
      </c>
      <c r="H788" s="2" t="s">
        <v>1522</v>
      </c>
      <c r="I788" s="2" t="s">
        <v>1469</v>
      </c>
      <c r="J788" s="2" t="s">
        <v>19</v>
      </c>
      <c r="K788" s="2" t="s">
        <v>495</v>
      </c>
      <c r="L788" s="7" t="str">
        <f>HYPERLINK("http://slimages.macys.com/is/image/MCY/13892706 ")</f>
        <v xml:space="preserve">http://slimages.macys.com/is/image/MCY/13892706 </v>
      </c>
    </row>
    <row r="789" spans="1:12" ht="24.75" x14ac:dyDescent="0.25">
      <c r="A789" s="4" t="s">
        <v>12509</v>
      </c>
      <c r="B789" s="2" t="s">
        <v>6149</v>
      </c>
      <c r="C789" s="3">
        <v>1</v>
      </c>
      <c r="D789" s="5">
        <v>14.99</v>
      </c>
      <c r="E789" s="3" t="s">
        <v>6150</v>
      </c>
      <c r="F789" s="2" t="s">
        <v>3267</v>
      </c>
      <c r="G789" s="6" t="s">
        <v>154</v>
      </c>
      <c r="H789" s="2" t="s">
        <v>1522</v>
      </c>
      <c r="I789" s="2" t="s">
        <v>1469</v>
      </c>
      <c r="J789" s="2" t="s">
        <v>19</v>
      </c>
      <c r="K789" s="2" t="s">
        <v>495</v>
      </c>
      <c r="L789" s="7" t="str">
        <f>HYPERLINK("http://slimages.macys.com/is/image/MCY/12064178 ")</f>
        <v xml:space="preserve">http://slimages.macys.com/is/image/MCY/12064178 </v>
      </c>
    </row>
    <row r="790" spans="1:12" ht="24.75" x14ac:dyDescent="0.25">
      <c r="A790" s="4" t="s">
        <v>8838</v>
      </c>
      <c r="B790" s="2" t="s">
        <v>8839</v>
      </c>
      <c r="C790" s="3">
        <v>1</v>
      </c>
      <c r="D790" s="5">
        <v>14.99</v>
      </c>
      <c r="E790" s="3" t="s">
        <v>8840</v>
      </c>
      <c r="F790" s="2" t="s">
        <v>64</v>
      </c>
      <c r="G790" s="6" t="s">
        <v>200</v>
      </c>
      <c r="H790" s="2" t="s">
        <v>1522</v>
      </c>
      <c r="I790" s="2" t="s">
        <v>1469</v>
      </c>
      <c r="J790" s="2" t="s">
        <v>19</v>
      </c>
      <c r="K790" s="2" t="s">
        <v>495</v>
      </c>
      <c r="L790" s="7" t="str">
        <f>HYPERLINK("http://slimages.macys.com/is/image/MCY/12269135 ")</f>
        <v xml:space="preserve">http://slimages.macys.com/is/image/MCY/12269135 </v>
      </c>
    </row>
    <row r="791" spans="1:12" ht="24.75" x14ac:dyDescent="0.25">
      <c r="A791" s="4" t="s">
        <v>6151</v>
      </c>
      <c r="B791" s="2" t="s">
        <v>1927</v>
      </c>
      <c r="C791" s="3">
        <v>1</v>
      </c>
      <c r="D791" s="5">
        <v>17.989999999999998</v>
      </c>
      <c r="E791" s="3" t="s">
        <v>1928</v>
      </c>
      <c r="F791" s="2" t="s">
        <v>15</v>
      </c>
      <c r="G791" s="6" t="s">
        <v>181</v>
      </c>
      <c r="H791" s="2" t="s">
        <v>1473</v>
      </c>
      <c r="I791" s="2" t="s">
        <v>1426</v>
      </c>
      <c r="J791" s="2" t="s">
        <v>19</v>
      </c>
      <c r="K791" s="2" t="s">
        <v>803</v>
      </c>
      <c r="L791" s="7" t="str">
        <f>HYPERLINK("http://slimages.macys.com/is/image/MCY/11882200 ")</f>
        <v xml:space="preserve">http://slimages.macys.com/is/image/MCY/11882200 </v>
      </c>
    </row>
    <row r="792" spans="1:12" ht="24.75" x14ac:dyDescent="0.25">
      <c r="A792" s="4" t="s">
        <v>3114</v>
      </c>
      <c r="B792" s="2" t="s">
        <v>1932</v>
      </c>
      <c r="C792" s="3">
        <v>1</v>
      </c>
      <c r="D792" s="5">
        <v>16.989999999999998</v>
      </c>
      <c r="E792" s="3" t="s">
        <v>1933</v>
      </c>
      <c r="F792" s="2" t="s">
        <v>15</v>
      </c>
      <c r="G792" s="6" t="s">
        <v>245</v>
      </c>
      <c r="H792" s="2" t="s">
        <v>1473</v>
      </c>
      <c r="I792" s="2" t="s">
        <v>1864</v>
      </c>
      <c r="J792" s="2" t="s">
        <v>19</v>
      </c>
      <c r="K792" s="2" t="s">
        <v>648</v>
      </c>
      <c r="L792" s="7" t="str">
        <f>HYPERLINK("http://slimages.macys.com/is/image/MCY/11634794 ")</f>
        <v xml:space="preserve">http://slimages.macys.com/is/image/MCY/11634794 </v>
      </c>
    </row>
    <row r="793" spans="1:12" ht="24.75" x14ac:dyDescent="0.25">
      <c r="A793" s="4" t="s">
        <v>12510</v>
      </c>
      <c r="B793" s="2" t="s">
        <v>12511</v>
      </c>
      <c r="C793" s="3">
        <v>1</v>
      </c>
      <c r="D793" s="5">
        <v>21.99</v>
      </c>
      <c r="E793" s="3" t="s">
        <v>12512</v>
      </c>
      <c r="F793" s="2" t="s">
        <v>79</v>
      </c>
      <c r="G793" s="6" t="s">
        <v>200</v>
      </c>
      <c r="H793" s="2" t="s">
        <v>284</v>
      </c>
      <c r="I793" s="2" t="s">
        <v>285</v>
      </c>
      <c r="J793" s="2" t="s">
        <v>19</v>
      </c>
      <c r="K793" s="2" t="s">
        <v>247</v>
      </c>
      <c r="L793" s="7" t="str">
        <f>HYPERLINK("http://slimages.macys.com/is/image/MCY/12055713 ")</f>
        <v xml:space="preserve">http://slimages.macys.com/is/image/MCY/12055713 </v>
      </c>
    </row>
    <row r="794" spans="1:12" ht="24.75" x14ac:dyDescent="0.25">
      <c r="A794" s="4" t="s">
        <v>12513</v>
      </c>
      <c r="B794" s="2" t="s">
        <v>11341</v>
      </c>
      <c r="C794" s="3">
        <v>1</v>
      </c>
      <c r="D794" s="5">
        <v>17.989999999999998</v>
      </c>
      <c r="E794" s="3" t="s">
        <v>11342</v>
      </c>
      <c r="F794" s="2" t="s">
        <v>53</v>
      </c>
      <c r="G794" s="6" t="s">
        <v>181</v>
      </c>
      <c r="H794" s="2" t="s">
        <v>1473</v>
      </c>
      <c r="I794" s="2" t="s">
        <v>1426</v>
      </c>
      <c r="J794" s="2" t="s">
        <v>19</v>
      </c>
      <c r="K794" s="2" t="s">
        <v>495</v>
      </c>
      <c r="L794" s="7" t="str">
        <f>HYPERLINK("http://slimages.macys.com/is/image/MCY/12671370 ")</f>
        <v xml:space="preserve">http://slimages.macys.com/is/image/MCY/12671370 </v>
      </c>
    </row>
    <row r="795" spans="1:12" ht="24.75" x14ac:dyDescent="0.25">
      <c r="A795" s="4" t="s">
        <v>12514</v>
      </c>
      <c r="B795" s="2" t="s">
        <v>11344</v>
      </c>
      <c r="C795" s="3">
        <v>1</v>
      </c>
      <c r="D795" s="5">
        <v>17.989999999999998</v>
      </c>
      <c r="E795" s="3" t="s">
        <v>11345</v>
      </c>
      <c r="F795" s="2" t="s">
        <v>26</v>
      </c>
      <c r="G795" s="6" t="s">
        <v>181</v>
      </c>
      <c r="H795" s="2" t="s">
        <v>1522</v>
      </c>
      <c r="I795" s="2" t="s">
        <v>1469</v>
      </c>
      <c r="J795" s="2" t="s">
        <v>19</v>
      </c>
      <c r="K795" s="2" t="s">
        <v>34</v>
      </c>
      <c r="L795" s="7" t="str">
        <f>HYPERLINK("http://slimages.macys.com/is/image/MCY/14400259 ")</f>
        <v xml:space="preserve">http://slimages.macys.com/is/image/MCY/14400259 </v>
      </c>
    </row>
    <row r="796" spans="1:12" ht="24.75" x14ac:dyDescent="0.25">
      <c r="A796" s="4" t="s">
        <v>12515</v>
      </c>
      <c r="B796" s="2" t="s">
        <v>11344</v>
      </c>
      <c r="C796" s="3">
        <v>1</v>
      </c>
      <c r="D796" s="5">
        <v>17.989999999999998</v>
      </c>
      <c r="E796" s="3" t="s">
        <v>11345</v>
      </c>
      <c r="F796" s="2" t="s">
        <v>820</v>
      </c>
      <c r="G796" s="6" t="s">
        <v>156</v>
      </c>
      <c r="H796" s="2" t="s">
        <v>1522</v>
      </c>
      <c r="I796" s="2" t="s">
        <v>1469</v>
      </c>
      <c r="J796" s="2" t="s">
        <v>19</v>
      </c>
      <c r="K796" s="2" t="s">
        <v>34</v>
      </c>
      <c r="L796" s="7" t="str">
        <f>HYPERLINK("http://slimages.macys.com/is/image/MCY/14400259 ")</f>
        <v xml:space="preserve">http://slimages.macys.com/is/image/MCY/14400259 </v>
      </c>
    </row>
    <row r="797" spans="1:12" ht="24.75" x14ac:dyDescent="0.25">
      <c r="A797" s="4" t="s">
        <v>12516</v>
      </c>
      <c r="B797" s="2" t="s">
        <v>7674</v>
      </c>
      <c r="C797" s="3">
        <v>1</v>
      </c>
      <c r="D797" s="5">
        <v>14.99</v>
      </c>
      <c r="E797" s="3" t="s">
        <v>7675</v>
      </c>
      <c r="F797" s="2" t="s">
        <v>331</v>
      </c>
      <c r="G797" s="6"/>
      <c r="H797" s="2" t="s">
        <v>1425</v>
      </c>
      <c r="I797" s="2" t="s">
        <v>1469</v>
      </c>
      <c r="J797" s="2" t="s">
        <v>19</v>
      </c>
      <c r="K797" s="2" t="s">
        <v>495</v>
      </c>
      <c r="L797" s="7" t="str">
        <f>HYPERLINK("http://slimages.macys.com/is/image/MCY/11028879 ")</f>
        <v xml:space="preserve">http://slimages.macys.com/is/image/MCY/11028879 </v>
      </c>
    </row>
    <row r="798" spans="1:12" ht="24.75" x14ac:dyDescent="0.25">
      <c r="A798" s="4" t="s">
        <v>12517</v>
      </c>
      <c r="B798" s="2" t="s">
        <v>12518</v>
      </c>
      <c r="C798" s="3">
        <v>2</v>
      </c>
      <c r="D798" s="5">
        <v>14.99</v>
      </c>
      <c r="E798" s="3" t="s">
        <v>12519</v>
      </c>
      <c r="F798" s="2" t="s">
        <v>79</v>
      </c>
      <c r="G798" s="6" t="s">
        <v>219</v>
      </c>
      <c r="H798" s="2" t="s">
        <v>1425</v>
      </c>
      <c r="I798" s="2" t="s">
        <v>1469</v>
      </c>
      <c r="J798" s="2" t="s">
        <v>19</v>
      </c>
      <c r="K798" s="2" t="s">
        <v>495</v>
      </c>
      <c r="L798" s="7" t="str">
        <f>HYPERLINK("http://slimages.macys.com/is/image/MCY/12042036 ")</f>
        <v xml:space="preserve">http://slimages.macys.com/is/image/MCY/12042036 </v>
      </c>
    </row>
    <row r="799" spans="1:12" ht="24.75" x14ac:dyDescent="0.25">
      <c r="A799" s="4" t="s">
        <v>12520</v>
      </c>
      <c r="B799" s="2" t="s">
        <v>12521</v>
      </c>
      <c r="C799" s="3">
        <v>1</v>
      </c>
      <c r="D799" s="5">
        <v>14.99</v>
      </c>
      <c r="E799" s="3" t="s">
        <v>12522</v>
      </c>
      <c r="F799" s="2" t="s">
        <v>1614</v>
      </c>
      <c r="G799" s="6" t="s">
        <v>219</v>
      </c>
      <c r="H799" s="2" t="s">
        <v>1425</v>
      </c>
      <c r="I799" s="2" t="s">
        <v>1469</v>
      </c>
      <c r="J799" s="2" t="s">
        <v>19</v>
      </c>
      <c r="K799" s="2" t="s">
        <v>495</v>
      </c>
      <c r="L799" s="7" t="str">
        <f>HYPERLINK("http://slimages.macys.com/is/image/MCY/11774196 ")</f>
        <v xml:space="preserve">http://slimages.macys.com/is/image/MCY/11774196 </v>
      </c>
    </row>
    <row r="800" spans="1:12" ht="24.75" x14ac:dyDescent="0.25">
      <c r="A800" s="4" t="s">
        <v>12523</v>
      </c>
      <c r="B800" s="2" t="s">
        <v>7674</v>
      </c>
      <c r="C800" s="3">
        <v>1</v>
      </c>
      <c r="D800" s="5">
        <v>14.99</v>
      </c>
      <c r="E800" s="3" t="s">
        <v>7675</v>
      </c>
      <c r="F800" s="2" t="s">
        <v>331</v>
      </c>
      <c r="G800" s="6"/>
      <c r="H800" s="2" t="s">
        <v>1425</v>
      </c>
      <c r="I800" s="2" t="s">
        <v>1469</v>
      </c>
      <c r="J800" s="2" t="s">
        <v>19</v>
      </c>
      <c r="K800" s="2" t="s">
        <v>495</v>
      </c>
      <c r="L800" s="7" t="str">
        <f>HYPERLINK("http://slimages.macys.com/is/image/MCY/11028879 ")</f>
        <v xml:space="preserve">http://slimages.macys.com/is/image/MCY/11028879 </v>
      </c>
    </row>
    <row r="801" spans="1:12" ht="24.75" x14ac:dyDescent="0.25">
      <c r="A801" s="4" t="s">
        <v>12524</v>
      </c>
      <c r="B801" s="2" t="s">
        <v>7674</v>
      </c>
      <c r="C801" s="3">
        <v>2</v>
      </c>
      <c r="D801" s="5">
        <v>14.99</v>
      </c>
      <c r="E801" s="3" t="s">
        <v>7675</v>
      </c>
      <c r="F801" s="2" t="s">
        <v>331</v>
      </c>
      <c r="G801" s="6" t="s">
        <v>219</v>
      </c>
      <c r="H801" s="2" t="s">
        <v>1425</v>
      </c>
      <c r="I801" s="2" t="s">
        <v>1469</v>
      </c>
      <c r="J801" s="2" t="s">
        <v>19</v>
      </c>
      <c r="K801" s="2" t="s">
        <v>495</v>
      </c>
      <c r="L801" s="7" t="str">
        <f>HYPERLINK("http://slimages.macys.com/is/image/MCY/11028879 ")</f>
        <v xml:space="preserve">http://slimages.macys.com/is/image/MCY/11028879 </v>
      </c>
    </row>
    <row r="802" spans="1:12" ht="24.75" x14ac:dyDescent="0.25">
      <c r="A802" s="4" t="s">
        <v>12525</v>
      </c>
      <c r="B802" s="2" t="s">
        <v>12518</v>
      </c>
      <c r="C802" s="3">
        <v>2</v>
      </c>
      <c r="D802" s="5">
        <v>14.99</v>
      </c>
      <c r="E802" s="3" t="s">
        <v>12519</v>
      </c>
      <c r="F802" s="2" t="s">
        <v>79</v>
      </c>
      <c r="G802" s="6"/>
      <c r="H802" s="2" t="s">
        <v>1425</v>
      </c>
      <c r="I802" s="2" t="s">
        <v>1469</v>
      </c>
      <c r="J802" s="2" t="s">
        <v>19</v>
      </c>
      <c r="K802" s="2" t="s">
        <v>495</v>
      </c>
      <c r="L802" s="7" t="str">
        <f>HYPERLINK("http://slimages.macys.com/is/image/MCY/12042036 ")</f>
        <v xml:space="preserve">http://slimages.macys.com/is/image/MCY/12042036 </v>
      </c>
    </row>
    <row r="803" spans="1:12" ht="24.75" x14ac:dyDescent="0.25">
      <c r="A803" s="4" t="s">
        <v>12526</v>
      </c>
      <c r="B803" s="2" t="s">
        <v>12527</v>
      </c>
      <c r="C803" s="3">
        <v>1</v>
      </c>
      <c r="D803" s="5">
        <v>14.99</v>
      </c>
      <c r="E803" s="3" t="s">
        <v>12528</v>
      </c>
      <c r="F803" s="2" t="s">
        <v>79</v>
      </c>
      <c r="G803" s="6" t="s">
        <v>181</v>
      </c>
      <c r="H803" s="2" t="s">
        <v>1522</v>
      </c>
      <c r="I803" s="2" t="s">
        <v>1469</v>
      </c>
      <c r="J803" s="2" t="s">
        <v>19</v>
      </c>
      <c r="K803" s="2" t="s">
        <v>495</v>
      </c>
      <c r="L803" s="7" t="str">
        <f>HYPERLINK("http://slimages.macys.com/is/image/MCY/12042036 ")</f>
        <v xml:space="preserve">http://slimages.macys.com/is/image/MCY/12042036 </v>
      </c>
    </row>
    <row r="804" spans="1:12" ht="24.75" x14ac:dyDescent="0.25">
      <c r="A804" s="4" t="s">
        <v>12529</v>
      </c>
      <c r="B804" s="2" t="s">
        <v>12521</v>
      </c>
      <c r="C804" s="3">
        <v>1</v>
      </c>
      <c r="D804" s="5">
        <v>14.99</v>
      </c>
      <c r="E804" s="3" t="s">
        <v>12522</v>
      </c>
      <c r="F804" s="2" t="s">
        <v>1614</v>
      </c>
      <c r="G804" s="6"/>
      <c r="H804" s="2" t="s">
        <v>1425</v>
      </c>
      <c r="I804" s="2" t="s">
        <v>1469</v>
      </c>
      <c r="J804" s="2" t="s">
        <v>19</v>
      </c>
      <c r="K804" s="2" t="s">
        <v>495</v>
      </c>
      <c r="L804" s="7" t="str">
        <f>HYPERLINK("http://slimages.macys.com/is/image/MCY/11774196 ")</f>
        <v xml:space="preserve">http://slimages.macys.com/is/image/MCY/11774196 </v>
      </c>
    </row>
    <row r="805" spans="1:12" ht="24.75" x14ac:dyDescent="0.25">
      <c r="A805" s="4" t="s">
        <v>12530</v>
      </c>
      <c r="B805" s="2" t="s">
        <v>1918</v>
      </c>
      <c r="C805" s="3">
        <v>1</v>
      </c>
      <c r="D805" s="5">
        <v>19.989999999999998</v>
      </c>
      <c r="E805" s="3" t="s">
        <v>3087</v>
      </c>
      <c r="F805" s="2" t="s">
        <v>417</v>
      </c>
      <c r="G805" s="6" t="s">
        <v>200</v>
      </c>
      <c r="H805" s="2" t="s">
        <v>246</v>
      </c>
      <c r="I805" s="2" t="s">
        <v>189</v>
      </c>
      <c r="J805" s="2" t="s">
        <v>19</v>
      </c>
      <c r="K805" s="2" t="s">
        <v>648</v>
      </c>
      <c r="L805" s="7" t="str">
        <f>HYPERLINK("http://slimages.macys.com/is/image/MCY/8123674 ")</f>
        <v xml:space="preserve">http://slimages.macys.com/is/image/MCY/8123674 </v>
      </c>
    </row>
    <row r="806" spans="1:12" ht="24.75" x14ac:dyDescent="0.25">
      <c r="A806" s="4" t="s">
        <v>12531</v>
      </c>
      <c r="B806" s="2" t="s">
        <v>11356</v>
      </c>
      <c r="C806" s="3">
        <v>1</v>
      </c>
      <c r="D806" s="5">
        <v>21.99</v>
      </c>
      <c r="E806" s="3" t="s">
        <v>12532</v>
      </c>
      <c r="F806" s="2" t="s">
        <v>125</v>
      </c>
      <c r="G806" s="6" t="s">
        <v>154</v>
      </c>
      <c r="H806" s="2" t="s">
        <v>284</v>
      </c>
      <c r="I806" s="2" t="s">
        <v>285</v>
      </c>
      <c r="J806" s="2" t="s">
        <v>19</v>
      </c>
      <c r="K806" s="2" t="s">
        <v>247</v>
      </c>
      <c r="L806" s="7" t="str">
        <f>HYPERLINK("http://slimages.macys.com/is/image/MCY/3894353 ")</f>
        <v xml:space="preserve">http://slimages.macys.com/is/image/MCY/3894353 </v>
      </c>
    </row>
    <row r="807" spans="1:12" ht="24.75" x14ac:dyDescent="0.25">
      <c r="A807" s="4" t="s">
        <v>12533</v>
      </c>
      <c r="B807" s="2" t="s">
        <v>1937</v>
      </c>
      <c r="C807" s="3">
        <v>1</v>
      </c>
      <c r="D807" s="5">
        <v>19.989999999999998</v>
      </c>
      <c r="E807" s="3" t="s">
        <v>1938</v>
      </c>
      <c r="F807" s="2" t="s">
        <v>413</v>
      </c>
      <c r="G807" s="6" t="s">
        <v>154</v>
      </c>
      <c r="H807" s="2" t="s">
        <v>246</v>
      </c>
      <c r="I807" s="2" t="s">
        <v>1939</v>
      </c>
      <c r="J807" s="2" t="s">
        <v>19</v>
      </c>
      <c r="K807" s="2" t="s">
        <v>1940</v>
      </c>
      <c r="L807" s="7" t="str">
        <f>HYPERLINK("http://slimages.macys.com/is/image/MCY/11523112 ")</f>
        <v xml:space="preserve">http://slimages.macys.com/is/image/MCY/11523112 </v>
      </c>
    </row>
    <row r="808" spans="1:12" ht="24.75" x14ac:dyDescent="0.25">
      <c r="A808" s="4" t="s">
        <v>12534</v>
      </c>
      <c r="B808" s="2" t="s">
        <v>1937</v>
      </c>
      <c r="C808" s="3">
        <v>1</v>
      </c>
      <c r="D808" s="5">
        <v>19.989999999999998</v>
      </c>
      <c r="E808" s="3" t="s">
        <v>1938</v>
      </c>
      <c r="F808" s="2" t="s">
        <v>70</v>
      </c>
      <c r="G808" s="6" t="s">
        <v>156</v>
      </c>
      <c r="H808" s="2" t="s">
        <v>246</v>
      </c>
      <c r="I808" s="2" t="s">
        <v>1939</v>
      </c>
      <c r="J808" s="2" t="s">
        <v>19</v>
      </c>
      <c r="K808" s="2" t="s">
        <v>1940</v>
      </c>
      <c r="L808" s="7" t="str">
        <f>HYPERLINK("http://slimages.macys.com/is/image/MCY/11523112 ")</f>
        <v xml:space="preserve">http://slimages.macys.com/is/image/MCY/11523112 </v>
      </c>
    </row>
    <row r="809" spans="1:12" ht="24.75" x14ac:dyDescent="0.25">
      <c r="A809" s="4" t="s">
        <v>12535</v>
      </c>
      <c r="B809" s="2" t="s">
        <v>1937</v>
      </c>
      <c r="C809" s="3">
        <v>1</v>
      </c>
      <c r="D809" s="5">
        <v>19.989999999999998</v>
      </c>
      <c r="E809" s="3" t="s">
        <v>1938</v>
      </c>
      <c r="F809" s="2" t="s">
        <v>413</v>
      </c>
      <c r="G809" s="6" t="s">
        <v>181</v>
      </c>
      <c r="H809" s="2" t="s">
        <v>246</v>
      </c>
      <c r="I809" s="2" t="s">
        <v>1939</v>
      </c>
      <c r="J809" s="2" t="s">
        <v>19</v>
      </c>
      <c r="K809" s="2" t="s">
        <v>1940</v>
      </c>
      <c r="L809" s="7" t="str">
        <f>HYPERLINK("http://slimages.macys.com/is/image/MCY/11523112 ")</f>
        <v xml:space="preserve">http://slimages.macys.com/is/image/MCY/11523112 </v>
      </c>
    </row>
    <row r="810" spans="1:12" ht="24.75" x14ac:dyDescent="0.25">
      <c r="A810" s="4" t="s">
        <v>12536</v>
      </c>
      <c r="B810" s="2" t="s">
        <v>1937</v>
      </c>
      <c r="C810" s="3">
        <v>1</v>
      </c>
      <c r="D810" s="5">
        <v>19.989999999999998</v>
      </c>
      <c r="E810" s="3" t="s">
        <v>1938</v>
      </c>
      <c r="F810" s="2" t="s">
        <v>1322</v>
      </c>
      <c r="G810" s="6" t="s">
        <v>200</v>
      </c>
      <c r="H810" s="2" t="s">
        <v>246</v>
      </c>
      <c r="I810" s="2" t="s">
        <v>1939</v>
      </c>
      <c r="J810" s="2" t="s">
        <v>19</v>
      </c>
      <c r="K810" s="2" t="s">
        <v>1940</v>
      </c>
      <c r="L810" s="7" t="str">
        <f>HYPERLINK("http://slimages.macys.com/is/image/MCY/11523112 ")</f>
        <v xml:space="preserve">http://slimages.macys.com/is/image/MCY/11523112 </v>
      </c>
    </row>
    <row r="811" spans="1:12" ht="24.75" x14ac:dyDescent="0.25">
      <c r="A811" s="4" t="s">
        <v>12537</v>
      </c>
      <c r="B811" s="2" t="s">
        <v>12538</v>
      </c>
      <c r="C811" s="3">
        <v>1</v>
      </c>
      <c r="D811" s="5">
        <v>17.989999999999998</v>
      </c>
      <c r="E811" s="3" t="s">
        <v>12539</v>
      </c>
      <c r="F811" s="2" t="s">
        <v>64</v>
      </c>
      <c r="G811" s="6" t="s">
        <v>234</v>
      </c>
      <c r="H811" s="2" t="s">
        <v>1473</v>
      </c>
      <c r="I811" s="2" t="s">
        <v>1426</v>
      </c>
      <c r="J811" s="2" t="s">
        <v>19</v>
      </c>
      <c r="K811" s="2" t="s">
        <v>495</v>
      </c>
      <c r="L811" s="7" t="str">
        <f>HYPERLINK("http://slimages.macys.com/is/image/MCY/13965403 ")</f>
        <v xml:space="preserve">http://slimages.macys.com/is/image/MCY/13965403 </v>
      </c>
    </row>
    <row r="812" spans="1:12" ht="24.75" x14ac:dyDescent="0.25">
      <c r="A812" s="4" t="s">
        <v>12540</v>
      </c>
      <c r="B812" s="2" t="s">
        <v>4188</v>
      </c>
      <c r="C812" s="3">
        <v>1</v>
      </c>
      <c r="D812" s="5">
        <v>17.989999999999998</v>
      </c>
      <c r="E812" s="3" t="s">
        <v>4189</v>
      </c>
      <c r="F812" s="2" t="s">
        <v>820</v>
      </c>
      <c r="G812" s="6" t="s">
        <v>245</v>
      </c>
      <c r="H812" s="2" t="s">
        <v>1473</v>
      </c>
      <c r="I812" s="2" t="s">
        <v>1426</v>
      </c>
      <c r="J812" s="2" t="s">
        <v>19</v>
      </c>
      <c r="K812" s="2" t="s">
        <v>990</v>
      </c>
      <c r="L812" s="7" t="str">
        <f>HYPERLINK("http://slimages.macys.com/is/image/MCY/12877743 ")</f>
        <v xml:space="preserve">http://slimages.macys.com/is/image/MCY/12877743 </v>
      </c>
    </row>
    <row r="813" spans="1:12" ht="24.75" x14ac:dyDescent="0.25">
      <c r="A813" s="4" t="s">
        <v>11363</v>
      </c>
      <c r="B813" s="2" t="s">
        <v>4188</v>
      </c>
      <c r="C813" s="3">
        <v>1</v>
      </c>
      <c r="D813" s="5">
        <v>17.989999999999998</v>
      </c>
      <c r="E813" s="3" t="s">
        <v>4189</v>
      </c>
      <c r="F813" s="2"/>
      <c r="G813" s="6" t="s">
        <v>181</v>
      </c>
      <c r="H813" s="2" t="s">
        <v>1473</v>
      </c>
      <c r="I813" s="2" t="s">
        <v>1426</v>
      </c>
      <c r="J813" s="2" t="s">
        <v>19</v>
      </c>
      <c r="K813" s="2" t="s">
        <v>990</v>
      </c>
      <c r="L813" s="7" t="str">
        <f>HYPERLINK("http://slimages.macys.com/is/image/MCY/12877743 ")</f>
        <v xml:space="preserve">http://slimages.macys.com/is/image/MCY/12877743 </v>
      </c>
    </row>
    <row r="814" spans="1:12" ht="24.75" x14ac:dyDescent="0.25">
      <c r="A814" s="4" t="s">
        <v>12541</v>
      </c>
      <c r="B814" s="2" t="s">
        <v>4188</v>
      </c>
      <c r="C814" s="3">
        <v>1</v>
      </c>
      <c r="D814" s="5">
        <v>17.989999999999998</v>
      </c>
      <c r="E814" s="3" t="s">
        <v>4189</v>
      </c>
      <c r="F814" s="2" t="s">
        <v>820</v>
      </c>
      <c r="G814" s="6" t="s">
        <v>156</v>
      </c>
      <c r="H814" s="2" t="s">
        <v>1473</v>
      </c>
      <c r="I814" s="2" t="s">
        <v>1426</v>
      </c>
      <c r="J814" s="2" t="s">
        <v>19</v>
      </c>
      <c r="K814" s="2" t="s">
        <v>990</v>
      </c>
      <c r="L814" s="7" t="str">
        <f>HYPERLINK("http://slimages.macys.com/is/image/MCY/12877743 ")</f>
        <v xml:space="preserve">http://slimages.macys.com/is/image/MCY/12877743 </v>
      </c>
    </row>
    <row r="815" spans="1:12" ht="24.75" x14ac:dyDescent="0.25">
      <c r="A815" s="4" t="s">
        <v>12542</v>
      </c>
      <c r="B815" s="2" t="s">
        <v>4188</v>
      </c>
      <c r="C815" s="3">
        <v>1</v>
      </c>
      <c r="D815" s="5">
        <v>17.989999999999998</v>
      </c>
      <c r="E815" s="3" t="s">
        <v>4189</v>
      </c>
      <c r="F815" s="2" t="s">
        <v>64</v>
      </c>
      <c r="G815" s="6" t="s">
        <v>200</v>
      </c>
      <c r="H815" s="2" t="s">
        <v>1473</v>
      </c>
      <c r="I815" s="2" t="s">
        <v>1426</v>
      </c>
      <c r="J815" s="2" t="s">
        <v>19</v>
      </c>
      <c r="K815" s="2" t="s">
        <v>990</v>
      </c>
      <c r="L815" s="7" t="str">
        <f>HYPERLINK("http://slimages.macys.com/is/image/MCY/12877743 ")</f>
        <v xml:space="preserve">http://slimages.macys.com/is/image/MCY/12877743 </v>
      </c>
    </row>
    <row r="816" spans="1:12" ht="24.75" x14ac:dyDescent="0.25">
      <c r="A816" s="4" t="s">
        <v>12543</v>
      </c>
      <c r="B816" s="2" t="s">
        <v>4188</v>
      </c>
      <c r="C816" s="3">
        <v>1</v>
      </c>
      <c r="D816" s="5">
        <v>17.989999999999998</v>
      </c>
      <c r="E816" s="3" t="s">
        <v>4189</v>
      </c>
      <c r="F816" s="2"/>
      <c r="G816" s="6" t="s">
        <v>234</v>
      </c>
      <c r="H816" s="2" t="s">
        <v>1473</v>
      </c>
      <c r="I816" s="2" t="s">
        <v>1426</v>
      </c>
      <c r="J816" s="2" t="s">
        <v>19</v>
      </c>
      <c r="K816" s="2" t="s">
        <v>990</v>
      </c>
      <c r="L816" s="7" t="str">
        <f>HYPERLINK("http://slimages.macys.com/is/image/MCY/12877743 ")</f>
        <v xml:space="preserve">http://slimages.macys.com/is/image/MCY/12877743 </v>
      </c>
    </row>
    <row r="817" spans="1:12" ht="24.75" x14ac:dyDescent="0.25">
      <c r="A817" s="4" t="s">
        <v>12544</v>
      </c>
      <c r="B817" s="2" t="s">
        <v>12538</v>
      </c>
      <c r="C817" s="3">
        <v>1</v>
      </c>
      <c r="D817" s="5">
        <v>17.989999999999998</v>
      </c>
      <c r="E817" s="3" t="s">
        <v>12539</v>
      </c>
      <c r="F817" s="2"/>
      <c r="G817" s="6" t="s">
        <v>156</v>
      </c>
      <c r="H817" s="2" t="s">
        <v>1473</v>
      </c>
      <c r="I817" s="2" t="s">
        <v>1426</v>
      </c>
      <c r="J817" s="2" t="s">
        <v>19</v>
      </c>
      <c r="K817" s="2" t="s">
        <v>495</v>
      </c>
      <c r="L817" s="7" t="str">
        <f>HYPERLINK("http://slimages.macys.com/is/image/MCY/13965403 ")</f>
        <v xml:space="preserve">http://slimages.macys.com/is/image/MCY/13965403 </v>
      </c>
    </row>
    <row r="818" spans="1:12" ht="24.75" x14ac:dyDescent="0.25">
      <c r="A818" s="4" t="s">
        <v>12545</v>
      </c>
      <c r="B818" s="2" t="s">
        <v>4188</v>
      </c>
      <c r="C818" s="3">
        <v>1</v>
      </c>
      <c r="D818" s="5">
        <v>17.989999999999998</v>
      </c>
      <c r="E818" s="3" t="s">
        <v>4189</v>
      </c>
      <c r="F818" s="2" t="s">
        <v>53</v>
      </c>
      <c r="G818" s="6" t="s">
        <v>181</v>
      </c>
      <c r="H818" s="2" t="s">
        <v>1473</v>
      </c>
      <c r="I818" s="2" t="s">
        <v>1426</v>
      </c>
      <c r="J818" s="2" t="s">
        <v>19</v>
      </c>
      <c r="K818" s="2" t="s">
        <v>990</v>
      </c>
      <c r="L818" s="7" t="str">
        <f t="shared" ref="L818:L823" si="5">HYPERLINK("http://slimages.macys.com/is/image/MCY/12877743 ")</f>
        <v xml:space="preserve">http://slimages.macys.com/is/image/MCY/12877743 </v>
      </c>
    </row>
    <row r="819" spans="1:12" ht="24.75" x14ac:dyDescent="0.25">
      <c r="A819" s="4" t="s">
        <v>12546</v>
      </c>
      <c r="B819" s="2" t="s">
        <v>4188</v>
      </c>
      <c r="C819" s="3">
        <v>1</v>
      </c>
      <c r="D819" s="5">
        <v>17.989999999999998</v>
      </c>
      <c r="E819" s="3" t="s">
        <v>4189</v>
      </c>
      <c r="F819" s="2" t="s">
        <v>413</v>
      </c>
      <c r="G819" s="6" t="s">
        <v>200</v>
      </c>
      <c r="H819" s="2" t="s">
        <v>1473</v>
      </c>
      <c r="I819" s="2" t="s">
        <v>1426</v>
      </c>
      <c r="J819" s="2" t="s">
        <v>19</v>
      </c>
      <c r="K819" s="2" t="s">
        <v>990</v>
      </c>
      <c r="L819" s="7" t="str">
        <f t="shared" si="5"/>
        <v xml:space="preserve">http://slimages.macys.com/is/image/MCY/12877743 </v>
      </c>
    </row>
    <row r="820" spans="1:12" ht="24.75" x14ac:dyDescent="0.25">
      <c r="A820" s="4" t="s">
        <v>12547</v>
      </c>
      <c r="B820" s="2" t="s">
        <v>4188</v>
      </c>
      <c r="C820" s="3">
        <v>1</v>
      </c>
      <c r="D820" s="5">
        <v>17.989999999999998</v>
      </c>
      <c r="E820" s="3" t="s">
        <v>4189</v>
      </c>
      <c r="F820" s="2" t="s">
        <v>64</v>
      </c>
      <c r="G820" s="6" t="s">
        <v>154</v>
      </c>
      <c r="H820" s="2" t="s">
        <v>1473</v>
      </c>
      <c r="I820" s="2" t="s">
        <v>1426</v>
      </c>
      <c r="J820" s="2" t="s">
        <v>19</v>
      </c>
      <c r="K820" s="2" t="s">
        <v>990</v>
      </c>
      <c r="L820" s="7" t="str">
        <f t="shared" si="5"/>
        <v xml:space="preserve">http://slimages.macys.com/is/image/MCY/12877743 </v>
      </c>
    </row>
    <row r="821" spans="1:12" ht="24.75" x14ac:dyDescent="0.25">
      <c r="A821" s="4" t="s">
        <v>11364</v>
      </c>
      <c r="B821" s="2" t="s">
        <v>4188</v>
      </c>
      <c r="C821" s="3">
        <v>1</v>
      </c>
      <c r="D821" s="5">
        <v>17.989999999999998</v>
      </c>
      <c r="E821" s="3" t="s">
        <v>4189</v>
      </c>
      <c r="F821" s="2" t="s">
        <v>64</v>
      </c>
      <c r="G821" s="6" t="s">
        <v>181</v>
      </c>
      <c r="H821" s="2" t="s">
        <v>1473</v>
      </c>
      <c r="I821" s="2" t="s">
        <v>1426</v>
      </c>
      <c r="J821" s="2" t="s">
        <v>19</v>
      </c>
      <c r="K821" s="2" t="s">
        <v>990</v>
      </c>
      <c r="L821" s="7" t="str">
        <f t="shared" si="5"/>
        <v xml:space="preserve">http://slimages.macys.com/is/image/MCY/12877743 </v>
      </c>
    </row>
    <row r="822" spans="1:12" ht="24.75" x14ac:dyDescent="0.25">
      <c r="A822" s="4" t="s">
        <v>12548</v>
      </c>
      <c r="B822" s="2" t="s">
        <v>4188</v>
      </c>
      <c r="C822" s="3">
        <v>1</v>
      </c>
      <c r="D822" s="5">
        <v>17.989999999999998</v>
      </c>
      <c r="E822" s="3" t="s">
        <v>4189</v>
      </c>
      <c r="F822" s="2"/>
      <c r="G822" s="6" t="s">
        <v>200</v>
      </c>
      <c r="H822" s="2" t="s">
        <v>1473</v>
      </c>
      <c r="I822" s="2" t="s">
        <v>1426</v>
      </c>
      <c r="J822" s="2" t="s">
        <v>19</v>
      </c>
      <c r="K822" s="2" t="s">
        <v>990</v>
      </c>
      <c r="L822" s="7" t="str">
        <f t="shared" si="5"/>
        <v xml:space="preserve">http://slimages.macys.com/is/image/MCY/12877743 </v>
      </c>
    </row>
    <row r="823" spans="1:12" ht="24.75" x14ac:dyDescent="0.25">
      <c r="A823" s="4" t="s">
        <v>12549</v>
      </c>
      <c r="B823" s="2" t="s">
        <v>4188</v>
      </c>
      <c r="C823" s="3">
        <v>1</v>
      </c>
      <c r="D823" s="5">
        <v>17.989999999999998</v>
      </c>
      <c r="E823" s="3" t="s">
        <v>4189</v>
      </c>
      <c r="F823" s="2" t="s">
        <v>53</v>
      </c>
      <c r="G823" s="6" t="s">
        <v>156</v>
      </c>
      <c r="H823" s="2" t="s">
        <v>1473</v>
      </c>
      <c r="I823" s="2" t="s">
        <v>1426</v>
      </c>
      <c r="J823" s="2" t="s">
        <v>19</v>
      </c>
      <c r="K823" s="2" t="s">
        <v>990</v>
      </c>
      <c r="L823" s="7" t="str">
        <f t="shared" si="5"/>
        <v xml:space="preserve">http://slimages.macys.com/is/image/MCY/12877743 </v>
      </c>
    </row>
    <row r="824" spans="1:12" ht="24.75" x14ac:dyDescent="0.25">
      <c r="A824" s="4" t="s">
        <v>12550</v>
      </c>
      <c r="B824" s="2" t="s">
        <v>3125</v>
      </c>
      <c r="C824" s="3">
        <v>3</v>
      </c>
      <c r="D824" s="5">
        <v>14.99</v>
      </c>
      <c r="E824" s="3" t="s">
        <v>3126</v>
      </c>
      <c r="F824" s="2" t="s">
        <v>331</v>
      </c>
      <c r="G824" s="6" t="s">
        <v>234</v>
      </c>
      <c r="H824" s="2" t="s">
        <v>1522</v>
      </c>
      <c r="I824" s="2" t="s">
        <v>1469</v>
      </c>
      <c r="J824" s="2" t="s">
        <v>19</v>
      </c>
      <c r="K824" s="2" t="s">
        <v>495</v>
      </c>
      <c r="L824" s="7" t="str">
        <f>HYPERLINK("http://slimages.macys.com/is/image/MCY/11028879 ")</f>
        <v xml:space="preserve">http://slimages.macys.com/is/image/MCY/11028879 </v>
      </c>
    </row>
    <row r="825" spans="1:12" ht="24.75" x14ac:dyDescent="0.25">
      <c r="A825" s="4" t="s">
        <v>3124</v>
      </c>
      <c r="B825" s="2" t="s">
        <v>3125</v>
      </c>
      <c r="C825" s="3">
        <v>1</v>
      </c>
      <c r="D825" s="5">
        <v>14.99</v>
      </c>
      <c r="E825" s="3" t="s">
        <v>3126</v>
      </c>
      <c r="F825" s="2" t="s">
        <v>331</v>
      </c>
      <c r="G825" s="6" t="s">
        <v>181</v>
      </c>
      <c r="H825" s="2" t="s">
        <v>1522</v>
      </c>
      <c r="I825" s="2" t="s">
        <v>1469</v>
      </c>
      <c r="J825" s="2" t="s">
        <v>19</v>
      </c>
      <c r="K825" s="2" t="s">
        <v>495</v>
      </c>
      <c r="L825" s="7" t="str">
        <f>HYPERLINK("http://slimages.macys.com/is/image/MCY/11028879 ")</f>
        <v xml:space="preserve">http://slimages.macys.com/is/image/MCY/11028879 </v>
      </c>
    </row>
    <row r="826" spans="1:12" ht="24.75" x14ac:dyDescent="0.25">
      <c r="A826" s="4" t="s">
        <v>5194</v>
      </c>
      <c r="B826" s="2" t="s">
        <v>3125</v>
      </c>
      <c r="C826" s="3">
        <v>2</v>
      </c>
      <c r="D826" s="5">
        <v>14.99</v>
      </c>
      <c r="E826" s="3" t="s">
        <v>3126</v>
      </c>
      <c r="F826" s="2" t="s">
        <v>331</v>
      </c>
      <c r="G826" s="6" t="s">
        <v>156</v>
      </c>
      <c r="H826" s="2" t="s">
        <v>1522</v>
      </c>
      <c r="I826" s="2" t="s">
        <v>1469</v>
      </c>
      <c r="J826" s="2" t="s">
        <v>19</v>
      </c>
      <c r="K826" s="2" t="s">
        <v>495</v>
      </c>
      <c r="L826" s="7" t="str">
        <f>HYPERLINK("http://slimages.macys.com/is/image/MCY/11028879 ")</f>
        <v xml:space="preserve">http://slimages.macys.com/is/image/MCY/11028879 </v>
      </c>
    </row>
    <row r="827" spans="1:12" ht="24.75" x14ac:dyDescent="0.25">
      <c r="A827" s="4" t="s">
        <v>12551</v>
      </c>
      <c r="B827" s="2" t="s">
        <v>3122</v>
      </c>
      <c r="C827" s="3">
        <v>1</v>
      </c>
      <c r="D827" s="5">
        <v>14.99</v>
      </c>
      <c r="E827" s="3" t="s">
        <v>12552</v>
      </c>
      <c r="F827" s="2" t="s">
        <v>57</v>
      </c>
      <c r="G827" s="6"/>
      <c r="H827" s="2" t="s">
        <v>1425</v>
      </c>
      <c r="I827" s="2" t="s">
        <v>1469</v>
      </c>
      <c r="J827" s="2" t="s">
        <v>19</v>
      </c>
      <c r="K827" s="2" t="s">
        <v>495</v>
      </c>
      <c r="L827" s="7" t="str">
        <f>HYPERLINK("http://slimages.macys.com/is/image/MCY/9956506 ")</f>
        <v xml:space="preserve">http://slimages.macys.com/is/image/MCY/9956506 </v>
      </c>
    </row>
    <row r="828" spans="1:12" ht="24.75" x14ac:dyDescent="0.25">
      <c r="A828" s="4" t="s">
        <v>12553</v>
      </c>
      <c r="B828" s="2" t="s">
        <v>3122</v>
      </c>
      <c r="C828" s="3">
        <v>1</v>
      </c>
      <c r="D828" s="5">
        <v>14.99</v>
      </c>
      <c r="E828" s="3" t="s">
        <v>12552</v>
      </c>
      <c r="F828" s="2" t="s">
        <v>57</v>
      </c>
      <c r="G828" s="6" t="s">
        <v>219</v>
      </c>
      <c r="H828" s="2" t="s">
        <v>1425</v>
      </c>
      <c r="I828" s="2" t="s">
        <v>1469</v>
      </c>
      <c r="J828" s="2" t="s">
        <v>19</v>
      </c>
      <c r="K828" s="2" t="s">
        <v>495</v>
      </c>
      <c r="L828" s="7" t="str">
        <f>HYPERLINK("http://slimages.macys.com/is/image/MCY/9956506 ")</f>
        <v xml:space="preserve">http://slimages.macys.com/is/image/MCY/9956506 </v>
      </c>
    </row>
    <row r="829" spans="1:12" ht="24.75" x14ac:dyDescent="0.25">
      <c r="A829" s="4" t="s">
        <v>12554</v>
      </c>
      <c r="B829" s="2" t="s">
        <v>3122</v>
      </c>
      <c r="C829" s="3">
        <v>1</v>
      </c>
      <c r="D829" s="5">
        <v>14.99</v>
      </c>
      <c r="E829" s="3" t="s">
        <v>12552</v>
      </c>
      <c r="F829" s="2" t="s">
        <v>57</v>
      </c>
      <c r="G829" s="6"/>
      <c r="H829" s="2" t="s">
        <v>1425</v>
      </c>
      <c r="I829" s="2" t="s">
        <v>1469</v>
      </c>
      <c r="J829" s="2" t="s">
        <v>19</v>
      </c>
      <c r="K829" s="2" t="s">
        <v>495</v>
      </c>
      <c r="L829" s="7" t="str">
        <f>HYPERLINK("http://slimages.macys.com/is/image/MCY/9956506 ")</f>
        <v xml:space="preserve">http://slimages.macys.com/is/image/MCY/9956506 </v>
      </c>
    </row>
    <row r="830" spans="1:12" ht="24.75" x14ac:dyDescent="0.25">
      <c r="A830" s="4" t="s">
        <v>12555</v>
      </c>
      <c r="B830" s="2" t="s">
        <v>3122</v>
      </c>
      <c r="C830" s="3">
        <v>1</v>
      </c>
      <c r="D830" s="5">
        <v>14.99</v>
      </c>
      <c r="E830" s="3" t="s">
        <v>12552</v>
      </c>
      <c r="F830" s="2" t="s">
        <v>57</v>
      </c>
      <c r="G830" s="6" t="s">
        <v>187</v>
      </c>
      <c r="H830" s="2" t="s">
        <v>1425</v>
      </c>
      <c r="I830" s="2" t="s">
        <v>1469</v>
      </c>
      <c r="J830" s="2" t="s">
        <v>19</v>
      </c>
      <c r="K830" s="2" t="s">
        <v>495</v>
      </c>
      <c r="L830" s="7" t="str">
        <f>HYPERLINK("http://slimages.macys.com/is/image/MCY/9956506 ")</f>
        <v xml:space="preserve">http://slimages.macys.com/is/image/MCY/9956506 </v>
      </c>
    </row>
    <row r="831" spans="1:12" ht="24.75" x14ac:dyDescent="0.25">
      <c r="A831" s="4" t="s">
        <v>4190</v>
      </c>
      <c r="B831" s="2" t="s">
        <v>3125</v>
      </c>
      <c r="C831" s="3">
        <v>4</v>
      </c>
      <c r="D831" s="5">
        <v>14.99</v>
      </c>
      <c r="E831" s="3" t="s">
        <v>3126</v>
      </c>
      <c r="F831" s="2" t="s">
        <v>331</v>
      </c>
      <c r="G831" s="6" t="s">
        <v>154</v>
      </c>
      <c r="H831" s="2" t="s">
        <v>1522</v>
      </c>
      <c r="I831" s="2" t="s">
        <v>1469</v>
      </c>
      <c r="J831" s="2" t="s">
        <v>19</v>
      </c>
      <c r="K831" s="2" t="s">
        <v>495</v>
      </c>
      <c r="L831" s="7" t="str">
        <f>HYPERLINK("http://slimages.macys.com/is/image/MCY/11028879 ")</f>
        <v xml:space="preserve">http://slimages.macys.com/is/image/MCY/11028879 </v>
      </c>
    </row>
    <row r="832" spans="1:12" ht="24.75" x14ac:dyDescent="0.25">
      <c r="A832" s="4" t="s">
        <v>12556</v>
      </c>
      <c r="B832" s="2" t="s">
        <v>6160</v>
      </c>
      <c r="C832" s="3">
        <v>1</v>
      </c>
      <c r="D832" s="5">
        <v>14.99</v>
      </c>
      <c r="E832" s="3" t="s">
        <v>11369</v>
      </c>
      <c r="F832" s="2" t="s">
        <v>70</v>
      </c>
      <c r="G832" s="6" t="s">
        <v>234</v>
      </c>
      <c r="H832" s="2" t="s">
        <v>1473</v>
      </c>
      <c r="I832" s="2" t="s">
        <v>1426</v>
      </c>
      <c r="J832" s="2" t="s">
        <v>19</v>
      </c>
      <c r="K832" s="2" t="s">
        <v>495</v>
      </c>
      <c r="L832" s="7" t="str">
        <f>HYPERLINK("http://slimages.macys.com/is/image/MCY/12033478 ")</f>
        <v xml:space="preserve">http://slimages.macys.com/is/image/MCY/12033478 </v>
      </c>
    </row>
    <row r="833" spans="1:12" ht="24.75" x14ac:dyDescent="0.25">
      <c r="A833" s="4" t="s">
        <v>12557</v>
      </c>
      <c r="B833" s="2" t="s">
        <v>3131</v>
      </c>
      <c r="C833" s="3">
        <v>1</v>
      </c>
      <c r="D833" s="5">
        <v>14.99</v>
      </c>
      <c r="E833" s="3" t="s">
        <v>3132</v>
      </c>
      <c r="F833" s="2" t="s">
        <v>64</v>
      </c>
      <c r="G833" s="6"/>
      <c r="H833" s="2" t="s">
        <v>1425</v>
      </c>
      <c r="I833" s="2" t="s">
        <v>1426</v>
      </c>
      <c r="J833" s="2" t="s">
        <v>19</v>
      </c>
      <c r="K833" s="2" t="s">
        <v>495</v>
      </c>
      <c r="L833" s="7" t="str">
        <f>HYPERLINK("http://slimages.macys.com/is/image/MCY/12673003 ")</f>
        <v xml:space="preserve">http://slimages.macys.com/is/image/MCY/12673003 </v>
      </c>
    </row>
    <row r="834" spans="1:12" ht="24.75" x14ac:dyDescent="0.25">
      <c r="A834" s="4" t="s">
        <v>12558</v>
      </c>
      <c r="B834" s="2" t="s">
        <v>12559</v>
      </c>
      <c r="C834" s="3">
        <v>1</v>
      </c>
      <c r="D834" s="5">
        <v>14.99</v>
      </c>
      <c r="E834" s="3" t="s">
        <v>12560</v>
      </c>
      <c r="F834" s="2" t="s">
        <v>26</v>
      </c>
      <c r="G834" s="6" t="s">
        <v>187</v>
      </c>
      <c r="H834" s="2" t="s">
        <v>1425</v>
      </c>
      <c r="I834" s="2" t="s">
        <v>1426</v>
      </c>
      <c r="J834" s="2" t="s">
        <v>19</v>
      </c>
      <c r="K834" s="2" t="s">
        <v>495</v>
      </c>
      <c r="L834" s="7" t="str">
        <f>HYPERLINK("http://slimages.macys.com/is/image/MCY/11915560 ")</f>
        <v xml:space="preserve">http://slimages.macys.com/is/image/MCY/11915560 </v>
      </c>
    </row>
    <row r="835" spans="1:12" ht="24.75" x14ac:dyDescent="0.25">
      <c r="A835" s="4" t="s">
        <v>12561</v>
      </c>
      <c r="B835" s="2" t="s">
        <v>3143</v>
      </c>
      <c r="C835" s="3">
        <v>1</v>
      </c>
      <c r="D835" s="5">
        <v>14.99</v>
      </c>
      <c r="E835" s="3" t="s">
        <v>3144</v>
      </c>
      <c r="F835" s="2" t="s">
        <v>15</v>
      </c>
      <c r="G835" s="6" t="s">
        <v>156</v>
      </c>
      <c r="H835" s="2" t="s">
        <v>1473</v>
      </c>
      <c r="I835" s="2" t="s">
        <v>1426</v>
      </c>
      <c r="J835" s="2" t="s">
        <v>19</v>
      </c>
      <c r="K835" s="2" t="s">
        <v>495</v>
      </c>
      <c r="L835" s="7" t="str">
        <f>HYPERLINK("http://slimages.macys.com/is/image/MCY/12063984 ")</f>
        <v xml:space="preserve">http://slimages.macys.com/is/image/MCY/12063984 </v>
      </c>
    </row>
    <row r="836" spans="1:12" ht="24.75" x14ac:dyDescent="0.25">
      <c r="A836" s="4" t="s">
        <v>12562</v>
      </c>
      <c r="B836" s="2" t="s">
        <v>1954</v>
      </c>
      <c r="C836" s="3">
        <v>1</v>
      </c>
      <c r="D836" s="5">
        <v>18.38</v>
      </c>
      <c r="E836" s="3" t="s">
        <v>12563</v>
      </c>
      <c r="F836" s="2" t="s">
        <v>170</v>
      </c>
      <c r="G836" s="6"/>
      <c r="H836" s="2" t="s">
        <v>312</v>
      </c>
      <c r="I836" s="2" t="s">
        <v>195</v>
      </c>
      <c r="J836" s="2" t="s">
        <v>19</v>
      </c>
      <c r="K836" s="2" t="s">
        <v>1108</v>
      </c>
      <c r="L836" s="7" t="str">
        <f>HYPERLINK("http://slimages.macys.com/is/image/MCY/13120664 ")</f>
        <v xml:space="preserve">http://slimages.macys.com/is/image/MCY/13120664 </v>
      </c>
    </row>
    <row r="837" spans="1:12" ht="24.75" x14ac:dyDescent="0.25">
      <c r="A837" s="4" t="s">
        <v>12564</v>
      </c>
      <c r="B837" s="2" t="s">
        <v>12565</v>
      </c>
      <c r="C837" s="3">
        <v>1</v>
      </c>
      <c r="D837" s="5">
        <v>9.99</v>
      </c>
      <c r="E837" s="3" t="s">
        <v>12566</v>
      </c>
      <c r="F837" s="2" t="s">
        <v>15</v>
      </c>
      <c r="G837" s="6" t="s">
        <v>234</v>
      </c>
      <c r="H837" s="2" t="s">
        <v>1473</v>
      </c>
      <c r="I837" s="2" t="s">
        <v>1426</v>
      </c>
      <c r="J837" s="2" t="s">
        <v>19</v>
      </c>
      <c r="K837" s="2" t="s">
        <v>495</v>
      </c>
      <c r="L837" s="7" t="str">
        <f>HYPERLINK("http://slimages.macys.com/is/image/MCY/14770666 ")</f>
        <v xml:space="preserve">http://slimages.macys.com/is/image/MCY/14770666 </v>
      </c>
    </row>
    <row r="838" spans="1:12" ht="24.75" x14ac:dyDescent="0.25">
      <c r="A838" s="4" t="s">
        <v>12567</v>
      </c>
      <c r="B838" s="2" t="s">
        <v>11530</v>
      </c>
      <c r="C838" s="3">
        <v>2</v>
      </c>
      <c r="D838" s="5">
        <v>9.99</v>
      </c>
      <c r="E838" s="3" t="s">
        <v>11531</v>
      </c>
      <c r="F838" s="2" t="s">
        <v>74</v>
      </c>
      <c r="G838" s="6" t="s">
        <v>154</v>
      </c>
      <c r="H838" s="2" t="s">
        <v>1473</v>
      </c>
      <c r="I838" s="2" t="s">
        <v>1426</v>
      </c>
      <c r="J838" s="2" t="s">
        <v>19</v>
      </c>
      <c r="K838" s="2" t="s">
        <v>495</v>
      </c>
      <c r="L838" s="7" t="str">
        <f>HYPERLINK("http://slimages.macys.com/is/image/MCY/14661035 ")</f>
        <v xml:space="preserve">http://slimages.macys.com/is/image/MCY/14661035 </v>
      </c>
    </row>
    <row r="839" spans="1:12" ht="24.75" x14ac:dyDescent="0.25">
      <c r="A839" s="4" t="s">
        <v>12568</v>
      </c>
      <c r="B839" s="2" t="s">
        <v>1962</v>
      </c>
      <c r="C839" s="3">
        <v>1</v>
      </c>
      <c r="D839" s="5">
        <v>21.99</v>
      </c>
      <c r="E839" s="3">
        <v>100017611</v>
      </c>
      <c r="F839" s="2" t="s">
        <v>170</v>
      </c>
      <c r="G839" s="6" t="s">
        <v>154</v>
      </c>
      <c r="H839" s="2" t="s">
        <v>284</v>
      </c>
      <c r="I839" s="2" t="s">
        <v>285</v>
      </c>
      <c r="J839" s="2" t="s">
        <v>19</v>
      </c>
      <c r="K839" s="2" t="s">
        <v>247</v>
      </c>
      <c r="L839" s="7" t="str">
        <f>HYPERLINK("http://slimages.macys.com/is/image/MCY/14013654 ")</f>
        <v xml:space="preserve">http://slimages.macys.com/is/image/MCY/14013654 </v>
      </c>
    </row>
    <row r="840" spans="1:12" ht="24.75" x14ac:dyDescent="0.25">
      <c r="A840" s="4" t="s">
        <v>12569</v>
      </c>
      <c r="B840" s="2" t="s">
        <v>6890</v>
      </c>
      <c r="C840" s="3">
        <v>1</v>
      </c>
      <c r="D840" s="5">
        <v>19.989999999999998</v>
      </c>
      <c r="E840" s="3" t="s">
        <v>11392</v>
      </c>
      <c r="F840" s="2" t="s">
        <v>132</v>
      </c>
      <c r="G840" s="6" t="s">
        <v>181</v>
      </c>
      <c r="H840" s="2" t="s">
        <v>246</v>
      </c>
      <c r="I840" s="2" t="s">
        <v>1939</v>
      </c>
      <c r="J840" s="2" t="s">
        <v>19</v>
      </c>
      <c r="K840" s="2" t="s">
        <v>648</v>
      </c>
      <c r="L840" s="7" t="str">
        <f>HYPERLINK("http://slimages.macys.com/is/image/MCY/12894550 ")</f>
        <v xml:space="preserve">http://slimages.macys.com/is/image/MCY/12894550 </v>
      </c>
    </row>
    <row r="841" spans="1:12" ht="24.75" x14ac:dyDescent="0.25">
      <c r="A841" s="4" t="s">
        <v>12570</v>
      </c>
      <c r="B841" s="2" t="s">
        <v>1962</v>
      </c>
      <c r="C841" s="3">
        <v>1</v>
      </c>
      <c r="D841" s="5">
        <v>21.99</v>
      </c>
      <c r="E841" s="3">
        <v>100017611</v>
      </c>
      <c r="F841" s="2" t="s">
        <v>676</v>
      </c>
      <c r="G841" s="6" t="s">
        <v>156</v>
      </c>
      <c r="H841" s="2" t="s">
        <v>284</v>
      </c>
      <c r="I841" s="2" t="s">
        <v>285</v>
      </c>
      <c r="J841" s="2" t="s">
        <v>19</v>
      </c>
      <c r="K841" s="2" t="s">
        <v>247</v>
      </c>
      <c r="L841" s="7" t="str">
        <f>HYPERLINK("http://slimages.macys.com/is/image/MCY/14013654 ")</f>
        <v xml:space="preserve">http://slimages.macys.com/is/image/MCY/14013654 </v>
      </c>
    </row>
    <row r="842" spans="1:12" ht="24.75" x14ac:dyDescent="0.25">
      <c r="A842" s="4" t="s">
        <v>12571</v>
      </c>
      <c r="B842" s="2" t="s">
        <v>4027</v>
      </c>
      <c r="C842" s="3">
        <v>1</v>
      </c>
      <c r="D842" s="5">
        <v>24.99</v>
      </c>
      <c r="E842" s="3" t="s">
        <v>11398</v>
      </c>
      <c r="F842" s="2" t="s">
        <v>53</v>
      </c>
      <c r="G842" s="6" t="s">
        <v>245</v>
      </c>
      <c r="H842" s="2" t="s">
        <v>1473</v>
      </c>
      <c r="I842" s="2" t="s">
        <v>1426</v>
      </c>
      <c r="J842" s="2" t="s">
        <v>19</v>
      </c>
      <c r="K842" s="2" t="s">
        <v>648</v>
      </c>
      <c r="L842" s="7" t="str">
        <f>HYPERLINK("http://slimages.macys.com/is/image/MCY/12363729 ")</f>
        <v xml:space="preserve">http://slimages.macys.com/is/image/MCY/12363729 </v>
      </c>
    </row>
    <row r="843" spans="1:12" ht="24.75" x14ac:dyDescent="0.25">
      <c r="A843" s="4" t="s">
        <v>12572</v>
      </c>
      <c r="B843" s="2" t="s">
        <v>4027</v>
      </c>
      <c r="C843" s="3">
        <v>1</v>
      </c>
      <c r="D843" s="5">
        <v>24.99</v>
      </c>
      <c r="E843" s="3" t="s">
        <v>11398</v>
      </c>
      <c r="F843" s="2" t="s">
        <v>53</v>
      </c>
      <c r="G843" s="6" t="s">
        <v>181</v>
      </c>
      <c r="H843" s="2" t="s">
        <v>1473</v>
      </c>
      <c r="I843" s="2" t="s">
        <v>1426</v>
      </c>
      <c r="J843" s="2" t="s">
        <v>19</v>
      </c>
      <c r="K843" s="2" t="s">
        <v>648</v>
      </c>
      <c r="L843" s="7" t="str">
        <f>HYPERLINK("http://slimages.macys.com/is/image/MCY/12363729 ")</f>
        <v xml:space="preserve">http://slimages.macys.com/is/image/MCY/12363729 </v>
      </c>
    </row>
    <row r="844" spans="1:12" ht="24.75" x14ac:dyDescent="0.25">
      <c r="A844" s="4" t="s">
        <v>12573</v>
      </c>
      <c r="B844" s="2" t="s">
        <v>4027</v>
      </c>
      <c r="C844" s="3">
        <v>1</v>
      </c>
      <c r="D844" s="5">
        <v>24.99</v>
      </c>
      <c r="E844" s="3" t="s">
        <v>11398</v>
      </c>
      <c r="F844" s="2" t="s">
        <v>70</v>
      </c>
      <c r="G844" s="6" t="s">
        <v>154</v>
      </c>
      <c r="H844" s="2" t="s">
        <v>1473</v>
      </c>
      <c r="I844" s="2" t="s">
        <v>1426</v>
      </c>
      <c r="J844" s="2" t="s">
        <v>19</v>
      </c>
      <c r="K844" s="2" t="s">
        <v>648</v>
      </c>
      <c r="L844" s="7" t="str">
        <f>HYPERLINK("http://slimages.macys.com/is/image/MCY/12363729 ")</f>
        <v xml:space="preserve">http://slimages.macys.com/is/image/MCY/12363729 </v>
      </c>
    </row>
    <row r="845" spans="1:12" ht="24.75" x14ac:dyDescent="0.25">
      <c r="A845" s="4" t="s">
        <v>12574</v>
      </c>
      <c r="B845" s="2" t="s">
        <v>1970</v>
      </c>
      <c r="C845" s="3">
        <v>1</v>
      </c>
      <c r="D845" s="5">
        <v>14.99</v>
      </c>
      <c r="E845" s="3" t="s">
        <v>1971</v>
      </c>
      <c r="F845" s="2" t="s">
        <v>38</v>
      </c>
      <c r="G845" s="6" t="s">
        <v>200</v>
      </c>
      <c r="H845" s="2" t="s">
        <v>1522</v>
      </c>
      <c r="I845" s="2" t="s">
        <v>1469</v>
      </c>
      <c r="J845" s="2" t="s">
        <v>19</v>
      </c>
      <c r="K845" s="2" t="s">
        <v>353</v>
      </c>
      <c r="L845" s="7" t="str">
        <f>HYPERLINK("http://slimages.macys.com/is/image/MCY/13741861 ")</f>
        <v xml:space="preserve">http://slimages.macys.com/is/image/MCY/13741861 </v>
      </c>
    </row>
    <row r="846" spans="1:12" ht="24.75" x14ac:dyDescent="0.25">
      <c r="A846" s="4" t="s">
        <v>4223</v>
      </c>
      <c r="B846" s="2" t="s">
        <v>1973</v>
      </c>
      <c r="C846" s="3">
        <v>1</v>
      </c>
      <c r="D846" s="5">
        <v>16.989999999999998</v>
      </c>
      <c r="E846" s="3" t="s">
        <v>1974</v>
      </c>
      <c r="F846" s="2" t="s">
        <v>252</v>
      </c>
      <c r="G846" s="6" t="s">
        <v>154</v>
      </c>
      <c r="H846" s="2" t="s">
        <v>1473</v>
      </c>
      <c r="I846" s="2" t="s">
        <v>1864</v>
      </c>
      <c r="J846" s="2" t="s">
        <v>19</v>
      </c>
      <c r="K846" s="2" t="s">
        <v>648</v>
      </c>
      <c r="L846" s="7" t="str">
        <f>HYPERLINK("http://slimages.macys.com/is/image/MCY/11634794 ")</f>
        <v xml:space="preserve">http://slimages.macys.com/is/image/MCY/11634794 </v>
      </c>
    </row>
    <row r="847" spans="1:12" ht="24.75" x14ac:dyDescent="0.25">
      <c r="A847" s="4" t="s">
        <v>12575</v>
      </c>
      <c r="B847" s="2" t="s">
        <v>3026</v>
      </c>
      <c r="C847" s="3">
        <v>1</v>
      </c>
      <c r="D847" s="5">
        <v>21.99</v>
      </c>
      <c r="E847" s="3" t="s">
        <v>12576</v>
      </c>
      <c r="F847" s="2" t="s">
        <v>413</v>
      </c>
      <c r="G847" s="6" t="s">
        <v>156</v>
      </c>
      <c r="H847" s="2" t="s">
        <v>284</v>
      </c>
      <c r="I847" s="2" t="s">
        <v>285</v>
      </c>
      <c r="J847" s="2" t="s">
        <v>19</v>
      </c>
      <c r="K847" s="2" t="s">
        <v>247</v>
      </c>
      <c r="L847" s="7" t="str">
        <f>HYPERLINK("http://slimages.macys.com/is/image/MCY/9972026 ")</f>
        <v xml:space="preserve">http://slimages.macys.com/is/image/MCY/9972026 </v>
      </c>
    </row>
    <row r="848" spans="1:12" ht="24.75" x14ac:dyDescent="0.25">
      <c r="A848" s="4" t="s">
        <v>3200</v>
      </c>
      <c r="B848" s="2" t="s">
        <v>1988</v>
      </c>
      <c r="C848" s="3">
        <v>1</v>
      </c>
      <c r="D848" s="5">
        <v>14.99</v>
      </c>
      <c r="E848" s="3" t="s">
        <v>1991</v>
      </c>
      <c r="F848" s="2" t="s">
        <v>26</v>
      </c>
      <c r="G848" s="6" t="s">
        <v>181</v>
      </c>
      <c r="H848" s="2" t="s">
        <v>1473</v>
      </c>
      <c r="I848" s="2" t="s">
        <v>1426</v>
      </c>
      <c r="J848" s="2" t="s">
        <v>19</v>
      </c>
      <c r="K848" s="2" t="s">
        <v>648</v>
      </c>
      <c r="L848" s="7" t="str">
        <f>HYPERLINK("http://slimages.macys.com/is/image/MCY/12767912 ")</f>
        <v xml:space="preserve">http://slimages.macys.com/is/image/MCY/12767912 </v>
      </c>
    </row>
    <row r="849" spans="1:12" ht="24.75" x14ac:dyDescent="0.25">
      <c r="A849" s="4" t="s">
        <v>11404</v>
      </c>
      <c r="B849" s="2" t="s">
        <v>1988</v>
      </c>
      <c r="C849" s="3">
        <v>2</v>
      </c>
      <c r="D849" s="5">
        <v>14.99</v>
      </c>
      <c r="E849" s="3" t="s">
        <v>1991</v>
      </c>
      <c r="F849" s="2" t="s">
        <v>64</v>
      </c>
      <c r="G849" s="6" t="s">
        <v>154</v>
      </c>
      <c r="H849" s="2" t="s">
        <v>1473</v>
      </c>
      <c r="I849" s="2" t="s">
        <v>1426</v>
      </c>
      <c r="J849" s="2" t="s">
        <v>19</v>
      </c>
      <c r="K849" s="2" t="s">
        <v>648</v>
      </c>
      <c r="L849" s="7" t="str">
        <f>HYPERLINK("http://slimages.macys.com/is/image/MCY/12767912 ")</f>
        <v xml:space="preserve">http://slimages.macys.com/is/image/MCY/12767912 </v>
      </c>
    </row>
    <row r="850" spans="1:12" ht="24.75" x14ac:dyDescent="0.25">
      <c r="A850" s="4" t="s">
        <v>12577</v>
      </c>
      <c r="B850" s="2" t="s">
        <v>1988</v>
      </c>
      <c r="C850" s="3">
        <v>1</v>
      </c>
      <c r="D850" s="5">
        <v>14.99</v>
      </c>
      <c r="E850" s="3" t="s">
        <v>1991</v>
      </c>
      <c r="F850" s="2" t="s">
        <v>94</v>
      </c>
      <c r="G850" s="6" t="s">
        <v>181</v>
      </c>
      <c r="H850" s="2" t="s">
        <v>1473</v>
      </c>
      <c r="I850" s="2" t="s">
        <v>1426</v>
      </c>
      <c r="J850" s="2" t="s">
        <v>19</v>
      </c>
      <c r="K850" s="2" t="s">
        <v>648</v>
      </c>
      <c r="L850" s="7" t="str">
        <f>HYPERLINK("http://slimages.macys.com/is/image/MCY/12767912 ")</f>
        <v xml:space="preserve">http://slimages.macys.com/is/image/MCY/12767912 </v>
      </c>
    </row>
    <row r="851" spans="1:12" ht="24.75" x14ac:dyDescent="0.25">
      <c r="A851" s="4" t="s">
        <v>12578</v>
      </c>
      <c r="B851" s="2" t="s">
        <v>1988</v>
      </c>
      <c r="C851" s="3">
        <v>1</v>
      </c>
      <c r="D851" s="5">
        <v>14.99</v>
      </c>
      <c r="E851" s="3" t="s">
        <v>1991</v>
      </c>
      <c r="F851" s="2" t="s">
        <v>94</v>
      </c>
      <c r="G851" s="6" t="s">
        <v>154</v>
      </c>
      <c r="H851" s="2" t="s">
        <v>1473</v>
      </c>
      <c r="I851" s="2" t="s">
        <v>1426</v>
      </c>
      <c r="J851" s="2" t="s">
        <v>19</v>
      </c>
      <c r="K851" s="2" t="s">
        <v>648</v>
      </c>
      <c r="L851" s="7" t="str">
        <f>HYPERLINK("http://slimages.macys.com/is/image/MCY/12767912 ")</f>
        <v xml:space="preserve">http://slimages.macys.com/is/image/MCY/12767912 </v>
      </c>
    </row>
    <row r="852" spans="1:12" ht="24.75" x14ac:dyDescent="0.25">
      <c r="A852" s="4" t="s">
        <v>1998</v>
      </c>
      <c r="B852" s="2" t="s">
        <v>1988</v>
      </c>
      <c r="C852" s="3">
        <v>1</v>
      </c>
      <c r="D852" s="5">
        <v>14.99</v>
      </c>
      <c r="E852" s="3" t="s">
        <v>1991</v>
      </c>
      <c r="F852" s="2" t="s">
        <v>331</v>
      </c>
      <c r="G852" s="6" t="s">
        <v>156</v>
      </c>
      <c r="H852" s="2" t="s">
        <v>1473</v>
      </c>
      <c r="I852" s="2" t="s">
        <v>1426</v>
      </c>
      <c r="J852" s="2" t="s">
        <v>19</v>
      </c>
      <c r="K852" s="2" t="s">
        <v>648</v>
      </c>
      <c r="L852" s="7" t="str">
        <f>HYPERLINK("http://slimages.macys.com/is/image/MCY/12767912 ")</f>
        <v xml:space="preserve">http://slimages.macys.com/is/image/MCY/12767912 </v>
      </c>
    </row>
    <row r="853" spans="1:12" ht="24.75" x14ac:dyDescent="0.25">
      <c r="A853" s="4" t="s">
        <v>12579</v>
      </c>
      <c r="B853" s="2" t="s">
        <v>11412</v>
      </c>
      <c r="C853" s="3">
        <v>1</v>
      </c>
      <c r="D853" s="5">
        <v>9.99</v>
      </c>
      <c r="E853" s="3" t="s">
        <v>11413</v>
      </c>
      <c r="F853" s="2" t="s">
        <v>70</v>
      </c>
      <c r="G853" s="6" t="s">
        <v>156</v>
      </c>
      <c r="H853" s="2" t="s">
        <v>1473</v>
      </c>
      <c r="I853" s="2" t="s">
        <v>1426</v>
      </c>
      <c r="J853" s="2" t="s">
        <v>19</v>
      </c>
      <c r="K853" s="2" t="s">
        <v>648</v>
      </c>
      <c r="L853" s="7" t="str">
        <f>HYPERLINK("http://slimages.macys.com/is/image/MCY/9803162 ")</f>
        <v xml:space="preserve">http://slimages.macys.com/is/image/MCY/9803162 </v>
      </c>
    </row>
    <row r="854" spans="1:12" ht="24.75" x14ac:dyDescent="0.25">
      <c r="A854" s="4" t="s">
        <v>12580</v>
      </c>
      <c r="B854" s="2" t="s">
        <v>2000</v>
      </c>
      <c r="C854" s="3">
        <v>2</v>
      </c>
      <c r="D854" s="5">
        <v>21.99</v>
      </c>
      <c r="E854" s="3">
        <v>100015505</v>
      </c>
      <c r="F854" s="2" t="s">
        <v>676</v>
      </c>
      <c r="G854" s="6" t="s">
        <v>154</v>
      </c>
      <c r="H854" s="2" t="s">
        <v>284</v>
      </c>
      <c r="I854" s="2" t="s">
        <v>285</v>
      </c>
      <c r="J854" s="2" t="s">
        <v>19</v>
      </c>
      <c r="K854" s="2" t="s">
        <v>247</v>
      </c>
      <c r="L854" s="7" t="str">
        <f>HYPERLINK("http://slimages.macys.com/is/image/MCY/9858135 ")</f>
        <v xml:space="preserve">http://slimages.macys.com/is/image/MCY/9858135 </v>
      </c>
    </row>
    <row r="855" spans="1:12" ht="24.75" x14ac:dyDescent="0.25">
      <c r="A855" s="4" t="s">
        <v>11421</v>
      </c>
      <c r="B855" s="2" t="s">
        <v>3216</v>
      </c>
      <c r="C855" s="3">
        <v>2</v>
      </c>
      <c r="D855" s="5">
        <v>21.99</v>
      </c>
      <c r="E855" s="3" t="s">
        <v>11422</v>
      </c>
      <c r="F855" s="2" t="s">
        <v>94</v>
      </c>
      <c r="G855" s="6" t="s">
        <v>234</v>
      </c>
      <c r="H855" s="2" t="s">
        <v>284</v>
      </c>
      <c r="I855" s="2" t="s">
        <v>285</v>
      </c>
      <c r="J855" s="2" t="s">
        <v>19</v>
      </c>
      <c r="K855" s="2" t="s">
        <v>247</v>
      </c>
      <c r="L855" s="7" t="str">
        <f>HYPERLINK("http://slimages.macys.com/is/image/MCY/9462994 ")</f>
        <v xml:space="preserve">http://slimages.macys.com/is/image/MCY/9462994 </v>
      </c>
    </row>
    <row r="856" spans="1:12" ht="24.75" x14ac:dyDescent="0.25">
      <c r="A856" s="4" t="s">
        <v>12581</v>
      </c>
      <c r="B856" s="2" t="s">
        <v>3216</v>
      </c>
      <c r="C856" s="3">
        <v>1</v>
      </c>
      <c r="D856" s="5">
        <v>21.99</v>
      </c>
      <c r="E856" s="3" t="s">
        <v>11422</v>
      </c>
      <c r="F856" s="2" t="s">
        <v>94</v>
      </c>
      <c r="G856" s="6" t="s">
        <v>181</v>
      </c>
      <c r="H856" s="2" t="s">
        <v>284</v>
      </c>
      <c r="I856" s="2" t="s">
        <v>285</v>
      </c>
      <c r="J856" s="2" t="s">
        <v>19</v>
      </c>
      <c r="K856" s="2" t="s">
        <v>247</v>
      </c>
      <c r="L856" s="7" t="str">
        <f>HYPERLINK("http://slimages.macys.com/is/image/MCY/9462994 ")</f>
        <v xml:space="preserve">http://slimages.macys.com/is/image/MCY/9462994 </v>
      </c>
    </row>
    <row r="857" spans="1:12" ht="24.75" x14ac:dyDescent="0.25">
      <c r="A857" s="4" t="s">
        <v>12582</v>
      </c>
      <c r="B857" s="2" t="s">
        <v>3216</v>
      </c>
      <c r="C857" s="3">
        <v>1</v>
      </c>
      <c r="D857" s="5">
        <v>21.99</v>
      </c>
      <c r="E857" s="3" t="s">
        <v>11420</v>
      </c>
      <c r="F857" s="2" t="s">
        <v>956</v>
      </c>
      <c r="G857" s="6" t="s">
        <v>154</v>
      </c>
      <c r="H857" s="2" t="s">
        <v>284</v>
      </c>
      <c r="I857" s="2" t="s">
        <v>285</v>
      </c>
      <c r="J857" s="2" t="s">
        <v>19</v>
      </c>
      <c r="K857" s="2" t="s">
        <v>247</v>
      </c>
      <c r="L857" s="7" t="str">
        <f>HYPERLINK("http://slimages.macys.com/is/image/MCY/15199324 ")</f>
        <v xml:space="preserve">http://slimages.macys.com/is/image/MCY/15199324 </v>
      </c>
    </row>
    <row r="858" spans="1:12" ht="24.75" x14ac:dyDescent="0.25">
      <c r="A858" s="4" t="s">
        <v>12583</v>
      </c>
      <c r="B858" s="2" t="s">
        <v>3216</v>
      </c>
      <c r="C858" s="3">
        <v>1</v>
      </c>
      <c r="D858" s="5">
        <v>21.99</v>
      </c>
      <c r="E858" s="3" t="s">
        <v>11420</v>
      </c>
      <c r="F858" s="2" t="s">
        <v>956</v>
      </c>
      <c r="G858" s="6" t="s">
        <v>181</v>
      </c>
      <c r="H858" s="2" t="s">
        <v>284</v>
      </c>
      <c r="I858" s="2" t="s">
        <v>285</v>
      </c>
      <c r="J858" s="2" t="s">
        <v>19</v>
      </c>
      <c r="K858" s="2" t="s">
        <v>247</v>
      </c>
      <c r="L858" s="7" t="str">
        <f>HYPERLINK("http://slimages.macys.com/is/image/MCY/15199324 ")</f>
        <v xml:space="preserve">http://slimages.macys.com/is/image/MCY/15199324 </v>
      </c>
    </row>
    <row r="859" spans="1:12" ht="24.75" x14ac:dyDescent="0.25">
      <c r="A859" s="4" t="s">
        <v>12584</v>
      </c>
      <c r="B859" s="2" t="s">
        <v>3216</v>
      </c>
      <c r="C859" s="3">
        <v>1</v>
      </c>
      <c r="D859" s="5">
        <v>21.99</v>
      </c>
      <c r="E859" s="3" t="s">
        <v>11424</v>
      </c>
      <c r="F859" s="2" t="s">
        <v>956</v>
      </c>
      <c r="G859" s="6" t="s">
        <v>234</v>
      </c>
      <c r="H859" s="2" t="s">
        <v>284</v>
      </c>
      <c r="I859" s="2" t="s">
        <v>285</v>
      </c>
      <c r="J859" s="2" t="s">
        <v>19</v>
      </c>
      <c r="K859" s="2" t="s">
        <v>247</v>
      </c>
      <c r="L859" s="7" t="str">
        <f>HYPERLINK("http://slimages.macys.com/is/image/MCY/9462994 ")</f>
        <v xml:space="preserve">http://slimages.macys.com/is/image/MCY/9462994 </v>
      </c>
    </row>
    <row r="860" spans="1:12" ht="24.75" x14ac:dyDescent="0.25">
      <c r="A860" s="4" t="s">
        <v>12585</v>
      </c>
      <c r="B860" s="2" t="s">
        <v>3216</v>
      </c>
      <c r="C860" s="3">
        <v>1</v>
      </c>
      <c r="D860" s="5">
        <v>21.99</v>
      </c>
      <c r="E860" s="3" t="s">
        <v>12586</v>
      </c>
      <c r="F860" s="2" t="s">
        <v>676</v>
      </c>
      <c r="G860" s="6" t="s">
        <v>234</v>
      </c>
      <c r="H860" s="2" t="s">
        <v>284</v>
      </c>
      <c r="I860" s="2" t="s">
        <v>285</v>
      </c>
      <c r="J860" s="2" t="s">
        <v>19</v>
      </c>
      <c r="K860" s="2" t="s">
        <v>247</v>
      </c>
      <c r="L860" s="7" t="str">
        <f>HYPERLINK("http://slimages.macys.com/is/image/MCY/15199324 ")</f>
        <v xml:space="preserve">http://slimages.macys.com/is/image/MCY/15199324 </v>
      </c>
    </row>
    <row r="861" spans="1:12" ht="24.75" x14ac:dyDescent="0.25">
      <c r="A861" s="4" t="s">
        <v>11432</v>
      </c>
      <c r="B861" s="2" t="s">
        <v>7702</v>
      </c>
      <c r="C861" s="3">
        <v>1</v>
      </c>
      <c r="D861" s="5">
        <v>12.99</v>
      </c>
      <c r="E861" s="3" t="s">
        <v>11433</v>
      </c>
      <c r="F861" s="2" t="s">
        <v>579</v>
      </c>
      <c r="G861" s="6"/>
      <c r="H861" s="2" t="s">
        <v>312</v>
      </c>
      <c r="I861" s="2" t="s">
        <v>195</v>
      </c>
      <c r="J861" s="2" t="s">
        <v>19</v>
      </c>
      <c r="K861" s="2" t="s">
        <v>648</v>
      </c>
      <c r="L861" s="7" t="str">
        <f>HYPERLINK("http://slimages.macys.com/is/image/MCY/8157256 ")</f>
        <v xml:space="preserve">http://slimages.macys.com/is/image/MCY/8157256 </v>
      </c>
    </row>
    <row r="862" spans="1:12" ht="24.75" x14ac:dyDescent="0.25">
      <c r="A862" s="4" t="s">
        <v>11434</v>
      </c>
      <c r="B862" s="2" t="s">
        <v>7702</v>
      </c>
      <c r="C862" s="3">
        <v>1</v>
      </c>
      <c r="D862" s="5">
        <v>12.99</v>
      </c>
      <c r="E862" s="3" t="s">
        <v>11433</v>
      </c>
      <c r="F862" s="2" t="s">
        <v>579</v>
      </c>
      <c r="G862" s="6"/>
      <c r="H862" s="2" t="s">
        <v>312</v>
      </c>
      <c r="I862" s="2" t="s">
        <v>195</v>
      </c>
      <c r="J862" s="2" t="s">
        <v>19</v>
      </c>
      <c r="K862" s="2" t="s">
        <v>648</v>
      </c>
      <c r="L862" s="7" t="str">
        <f>HYPERLINK("http://slimages.macys.com/is/image/MCY/8157256 ")</f>
        <v xml:space="preserve">http://slimages.macys.com/is/image/MCY/8157256 </v>
      </c>
    </row>
    <row r="863" spans="1:12" ht="24.75" x14ac:dyDescent="0.25">
      <c r="A863" s="4" t="s">
        <v>11436</v>
      </c>
      <c r="B863" s="2" t="s">
        <v>7702</v>
      </c>
      <c r="C863" s="3">
        <v>8</v>
      </c>
      <c r="D863" s="5">
        <v>12.99</v>
      </c>
      <c r="E863" s="3" t="s">
        <v>11433</v>
      </c>
      <c r="F863" s="2" t="s">
        <v>579</v>
      </c>
      <c r="G863" s="6"/>
      <c r="H863" s="2" t="s">
        <v>312</v>
      </c>
      <c r="I863" s="2" t="s">
        <v>195</v>
      </c>
      <c r="J863" s="2" t="s">
        <v>19</v>
      </c>
      <c r="K863" s="2" t="s">
        <v>648</v>
      </c>
      <c r="L863" s="7" t="str">
        <f>HYPERLINK("http://slimages.macys.com/is/image/MCY/8157256 ")</f>
        <v xml:space="preserve">http://slimages.macys.com/is/image/MCY/8157256 </v>
      </c>
    </row>
    <row r="864" spans="1:12" ht="24.75" x14ac:dyDescent="0.25">
      <c r="A864" s="4" t="s">
        <v>11435</v>
      </c>
      <c r="B864" s="2" t="s">
        <v>7702</v>
      </c>
      <c r="C864" s="3">
        <v>1</v>
      </c>
      <c r="D864" s="5">
        <v>12.99</v>
      </c>
      <c r="E864" s="3" t="s">
        <v>11433</v>
      </c>
      <c r="F864" s="2" t="s">
        <v>579</v>
      </c>
      <c r="G864" s="6"/>
      <c r="H864" s="2" t="s">
        <v>312</v>
      </c>
      <c r="I864" s="2" t="s">
        <v>195</v>
      </c>
      <c r="J864" s="2" t="s">
        <v>19</v>
      </c>
      <c r="K864" s="2" t="s">
        <v>648</v>
      </c>
      <c r="L864" s="7" t="str">
        <f>HYPERLINK("http://slimages.macys.com/is/image/MCY/8157256 ")</f>
        <v xml:space="preserve">http://slimages.macys.com/is/image/MCY/8157256 </v>
      </c>
    </row>
    <row r="865" spans="1:12" ht="24.75" x14ac:dyDescent="0.25">
      <c r="A865" s="4" t="s">
        <v>12587</v>
      </c>
      <c r="B865" s="2" t="s">
        <v>12588</v>
      </c>
      <c r="C865" s="3">
        <v>1</v>
      </c>
      <c r="D865" s="5">
        <v>12.99</v>
      </c>
      <c r="E865" s="3" t="s">
        <v>12589</v>
      </c>
      <c r="F865" s="2" t="s">
        <v>1322</v>
      </c>
      <c r="G865" s="6" t="s">
        <v>234</v>
      </c>
      <c r="H865" s="2" t="s">
        <v>194</v>
      </c>
      <c r="I865" s="2" t="s">
        <v>195</v>
      </c>
      <c r="J865" s="2" t="s">
        <v>19</v>
      </c>
      <c r="K865" s="2" t="s">
        <v>107</v>
      </c>
      <c r="L865" s="7" t="str">
        <f>HYPERLINK("http://slimages.macys.com/is/image/MCY/14334310 ")</f>
        <v xml:space="preserve">http://slimages.macys.com/is/image/MCY/14334310 </v>
      </c>
    </row>
    <row r="866" spans="1:12" ht="24.75" x14ac:dyDescent="0.25">
      <c r="A866" s="4" t="s">
        <v>12590</v>
      </c>
      <c r="B866" s="2" t="s">
        <v>2002</v>
      </c>
      <c r="C866" s="3">
        <v>1</v>
      </c>
      <c r="D866" s="5">
        <v>12.99</v>
      </c>
      <c r="E866" s="3" t="s">
        <v>12591</v>
      </c>
      <c r="F866" s="2" t="s">
        <v>89</v>
      </c>
      <c r="G866" s="6" t="s">
        <v>234</v>
      </c>
      <c r="H866" s="2" t="s">
        <v>194</v>
      </c>
      <c r="I866" s="2" t="s">
        <v>195</v>
      </c>
      <c r="J866" s="2" t="s">
        <v>19</v>
      </c>
      <c r="K866" s="2" t="s">
        <v>648</v>
      </c>
      <c r="L866" s="7" t="str">
        <f>HYPERLINK("http://slimages.macys.com/is/image/MCY/13315174 ")</f>
        <v xml:space="preserve">http://slimages.macys.com/is/image/MCY/13315174 </v>
      </c>
    </row>
    <row r="867" spans="1:12" ht="24.75" x14ac:dyDescent="0.25">
      <c r="A867" s="4" t="s">
        <v>2004</v>
      </c>
      <c r="B867" s="2" t="s">
        <v>2005</v>
      </c>
      <c r="C867" s="3">
        <v>1</v>
      </c>
      <c r="D867" s="5">
        <v>14.99</v>
      </c>
      <c r="E867" s="3" t="s">
        <v>2006</v>
      </c>
      <c r="F867" s="2" t="s">
        <v>1945</v>
      </c>
      <c r="G867" s="6" t="s">
        <v>156</v>
      </c>
      <c r="H867" s="2" t="s">
        <v>1522</v>
      </c>
      <c r="I867" s="2" t="s">
        <v>1469</v>
      </c>
      <c r="J867" s="2" t="s">
        <v>19</v>
      </c>
      <c r="K867" s="2" t="s">
        <v>353</v>
      </c>
      <c r="L867" s="7" t="str">
        <f>HYPERLINK("http://slimages.macys.com/is/image/MCY/10743611 ")</f>
        <v xml:space="preserve">http://slimages.macys.com/is/image/MCY/10743611 </v>
      </c>
    </row>
    <row r="868" spans="1:12" ht="24.75" x14ac:dyDescent="0.25">
      <c r="A868" s="4" t="s">
        <v>11441</v>
      </c>
      <c r="B868" s="2" t="s">
        <v>11438</v>
      </c>
      <c r="C868" s="3">
        <v>2</v>
      </c>
      <c r="D868" s="5">
        <v>19.989999999999998</v>
      </c>
      <c r="E868" s="3" t="s">
        <v>11439</v>
      </c>
      <c r="F868" s="2" t="s">
        <v>48</v>
      </c>
      <c r="G868" s="6" t="s">
        <v>154</v>
      </c>
      <c r="H868" s="2" t="s">
        <v>246</v>
      </c>
      <c r="I868" s="2" t="s">
        <v>1939</v>
      </c>
      <c r="J868" s="2" t="s">
        <v>19</v>
      </c>
      <c r="K868" s="2" t="s">
        <v>1940</v>
      </c>
      <c r="L868" s="7" t="str">
        <f>HYPERLINK("http://slimages.macys.com/is/image/MCY/11523112 ")</f>
        <v xml:space="preserve">http://slimages.macys.com/is/image/MCY/11523112 </v>
      </c>
    </row>
    <row r="869" spans="1:12" ht="24.75" x14ac:dyDescent="0.25">
      <c r="A869" s="4" t="s">
        <v>11437</v>
      </c>
      <c r="B869" s="2" t="s">
        <v>11438</v>
      </c>
      <c r="C869" s="3">
        <v>1</v>
      </c>
      <c r="D869" s="5">
        <v>19.989999999999998</v>
      </c>
      <c r="E869" s="3" t="s">
        <v>11439</v>
      </c>
      <c r="F869" s="2" t="s">
        <v>417</v>
      </c>
      <c r="G869" s="6" t="s">
        <v>200</v>
      </c>
      <c r="H869" s="2" t="s">
        <v>246</v>
      </c>
      <c r="I869" s="2" t="s">
        <v>1939</v>
      </c>
      <c r="J869" s="2" t="s">
        <v>19</v>
      </c>
      <c r="K869" s="2" t="s">
        <v>1940</v>
      </c>
      <c r="L869" s="7" t="str">
        <f>HYPERLINK("http://slimages.macys.com/is/image/MCY/11523112 ")</f>
        <v xml:space="preserve">http://slimages.macys.com/is/image/MCY/11523112 </v>
      </c>
    </row>
    <row r="870" spans="1:12" ht="24.75" x14ac:dyDescent="0.25">
      <c r="A870" s="4" t="s">
        <v>11445</v>
      </c>
      <c r="B870" s="2" t="s">
        <v>11438</v>
      </c>
      <c r="C870" s="3">
        <v>1</v>
      </c>
      <c r="D870" s="5">
        <v>19.989999999999998</v>
      </c>
      <c r="E870" s="3" t="s">
        <v>11439</v>
      </c>
      <c r="F870" s="2" t="s">
        <v>417</v>
      </c>
      <c r="G870" s="6" t="s">
        <v>154</v>
      </c>
      <c r="H870" s="2" t="s">
        <v>246</v>
      </c>
      <c r="I870" s="2" t="s">
        <v>1939</v>
      </c>
      <c r="J870" s="2" t="s">
        <v>19</v>
      </c>
      <c r="K870" s="2" t="s">
        <v>1940</v>
      </c>
      <c r="L870" s="7" t="str">
        <f>HYPERLINK("http://slimages.macys.com/is/image/MCY/11523112 ")</f>
        <v xml:space="preserve">http://slimages.macys.com/is/image/MCY/11523112 </v>
      </c>
    </row>
    <row r="871" spans="1:12" ht="24.75" x14ac:dyDescent="0.25">
      <c r="A871" s="4" t="s">
        <v>12592</v>
      </c>
      <c r="B871" s="2" t="s">
        <v>11438</v>
      </c>
      <c r="C871" s="3">
        <v>2</v>
      </c>
      <c r="D871" s="5">
        <v>19.989999999999998</v>
      </c>
      <c r="E871" s="3" t="s">
        <v>11439</v>
      </c>
      <c r="F871" s="2" t="s">
        <v>48</v>
      </c>
      <c r="G871" s="6" t="s">
        <v>234</v>
      </c>
      <c r="H871" s="2" t="s">
        <v>246</v>
      </c>
      <c r="I871" s="2" t="s">
        <v>1939</v>
      </c>
      <c r="J871" s="2" t="s">
        <v>19</v>
      </c>
      <c r="K871" s="2" t="s">
        <v>1940</v>
      </c>
      <c r="L871" s="7" t="str">
        <f>HYPERLINK("http://slimages.macys.com/is/image/MCY/11523112 ")</f>
        <v xml:space="preserve">http://slimages.macys.com/is/image/MCY/11523112 </v>
      </c>
    </row>
    <row r="872" spans="1:12" ht="24.75" x14ac:dyDescent="0.25">
      <c r="A872" s="4" t="s">
        <v>12593</v>
      </c>
      <c r="B872" s="2" t="s">
        <v>11438</v>
      </c>
      <c r="C872" s="3">
        <v>1</v>
      </c>
      <c r="D872" s="5">
        <v>19.989999999999998</v>
      </c>
      <c r="E872" s="3" t="s">
        <v>11439</v>
      </c>
      <c r="F872" s="2" t="s">
        <v>1584</v>
      </c>
      <c r="G872" s="6" t="s">
        <v>154</v>
      </c>
      <c r="H872" s="2" t="s">
        <v>246</v>
      </c>
      <c r="I872" s="2" t="s">
        <v>1939</v>
      </c>
      <c r="J872" s="2" t="s">
        <v>19</v>
      </c>
      <c r="K872" s="2" t="s">
        <v>1940</v>
      </c>
      <c r="L872" s="7" t="str">
        <f>HYPERLINK("http://slimages.macys.com/is/image/MCY/11523112 ")</f>
        <v xml:space="preserve">http://slimages.macys.com/is/image/MCY/11523112 </v>
      </c>
    </row>
    <row r="873" spans="1:12" ht="24.75" x14ac:dyDescent="0.25">
      <c r="A873" s="4" t="s">
        <v>2015</v>
      </c>
      <c r="B873" s="2" t="s">
        <v>2016</v>
      </c>
      <c r="C873" s="3">
        <v>1</v>
      </c>
      <c r="D873" s="5">
        <v>12.99</v>
      </c>
      <c r="E873" s="3" t="s">
        <v>2017</v>
      </c>
      <c r="F873" s="2" t="s">
        <v>1614</v>
      </c>
      <c r="G873" s="6" t="s">
        <v>156</v>
      </c>
      <c r="H873" s="2" t="s">
        <v>194</v>
      </c>
      <c r="I873" s="2" t="s">
        <v>195</v>
      </c>
      <c r="J873" s="2" t="s">
        <v>19</v>
      </c>
      <c r="K873" s="2" t="s">
        <v>648</v>
      </c>
      <c r="L873" s="7" t="str">
        <f>HYPERLINK("http://slimages.macys.com/is/image/MCY/14887463 ")</f>
        <v xml:space="preserve">http://slimages.macys.com/is/image/MCY/14887463 </v>
      </c>
    </row>
    <row r="874" spans="1:12" ht="24.75" x14ac:dyDescent="0.25">
      <c r="A874" s="4" t="s">
        <v>11454</v>
      </c>
      <c r="B874" s="2" t="s">
        <v>11452</v>
      </c>
      <c r="C874" s="3">
        <v>1</v>
      </c>
      <c r="D874" s="5">
        <v>9.99</v>
      </c>
      <c r="E874" s="3" t="s">
        <v>11453</v>
      </c>
      <c r="F874" s="2" t="s">
        <v>1945</v>
      </c>
      <c r="G874" s="6" t="s">
        <v>154</v>
      </c>
      <c r="H874" s="2" t="s">
        <v>1473</v>
      </c>
      <c r="I874" s="2" t="s">
        <v>1426</v>
      </c>
      <c r="J874" s="2" t="s">
        <v>19</v>
      </c>
      <c r="K874" s="2" t="s">
        <v>495</v>
      </c>
      <c r="L874" s="7" t="str">
        <f>HYPERLINK("http://slimages.macys.com/is/image/MCY/12671319 ")</f>
        <v xml:space="preserve">http://slimages.macys.com/is/image/MCY/12671319 </v>
      </c>
    </row>
    <row r="875" spans="1:12" ht="24.75" x14ac:dyDescent="0.25">
      <c r="A875" s="4" t="s">
        <v>12594</v>
      </c>
      <c r="B875" s="2" t="s">
        <v>12595</v>
      </c>
      <c r="C875" s="3">
        <v>1</v>
      </c>
      <c r="D875" s="5">
        <v>9.99</v>
      </c>
      <c r="E875" s="3" t="s">
        <v>12596</v>
      </c>
      <c r="F875" s="2" t="s">
        <v>15</v>
      </c>
      <c r="G875" s="6" t="s">
        <v>154</v>
      </c>
      <c r="H875" s="2" t="s">
        <v>1473</v>
      </c>
      <c r="I875" s="2" t="s">
        <v>1426</v>
      </c>
      <c r="J875" s="2" t="s">
        <v>19</v>
      </c>
      <c r="K875" s="2" t="s">
        <v>495</v>
      </c>
      <c r="L875" s="7" t="str">
        <f>HYPERLINK("http://slimages.macys.com/is/image/MCY/13809356 ")</f>
        <v xml:space="preserve">http://slimages.macys.com/is/image/MCY/13809356 </v>
      </c>
    </row>
    <row r="876" spans="1:12" ht="24.75" x14ac:dyDescent="0.25">
      <c r="A876" s="4" t="s">
        <v>11469</v>
      </c>
      <c r="B876" s="2" t="s">
        <v>2016</v>
      </c>
      <c r="C876" s="3">
        <v>2</v>
      </c>
      <c r="D876" s="5">
        <v>12.99</v>
      </c>
      <c r="E876" s="3" t="s">
        <v>2017</v>
      </c>
      <c r="F876" s="2" t="s">
        <v>170</v>
      </c>
      <c r="G876" s="6" t="s">
        <v>181</v>
      </c>
      <c r="H876" s="2" t="s">
        <v>194</v>
      </c>
      <c r="I876" s="2" t="s">
        <v>195</v>
      </c>
      <c r="J876" s="2" t="s">
        <v>19</v>
      </c>
      <c r="K876" s="2" t="s">
        <v>648</v>
      </c>
      <c r="L876" s="7" t="str">
        <f>HYPERLINK("http://slimages.macys.com/is/image/MCY/14887463 ")</f>
        <v xml:space="preserve">http://slimages.macys.com/is/image/MCY/14887463 </v>
      </c>
    </row>
    <row r="877" spans="1:12" ht="24.75" x14ac:dyDescent="0.25">
      <c r="A877" s="4" t="s">
        <v>12597</v>
      </c>
      <c r="B877" s="2" t="s">
        <v>11477</v>
      </c>
      <c r="C877" s="3">
        <v>1</v>
      </c>
      <c r="D877" s="5">
        <v>12.99</v>
      </c>
      <c r="E877" s="3" t="s">
        <v>11478</v>
      </c>
      <c r="F877" s="2" t="s">
        <v>1322</v>
      </c>
      <c r="G877" s="6" t="s">
        <v>245</v>
      </c>
      <c r="H877" s="2" t="s">
        <v>194</v>
      </c>
      <c r="I877" s="2" t="s">
        <v>195</v>
      </c>
      <c r="J877" s="2" t="s">
        <v>19</v>
      </c>
      <c r="K877" s="2" t="s">
        <v>495</v>
      </c>
      <c r="L877" s="7" t="str">
        <f>HYPERLINK("http://slimages.macys.com/is/image/MCY/12849830 ")</f>
        <v xml:space="preserve">http://slimages.macys.com/is/image/MCY/12849830 </v>
      </c>
    </row>
    <row r="878" spans="1:12" ht="24.75" x14ac:dyDescent="0.25">
      <c r="A878" s="4" t="s">
        <v>12598</v>
      </c>
      <c r="B878" s="2" t="s">
        <v>11477</v>
      </c>
      <c r="C878" s="3">
        <v>1</v>
      </c>
      <c r="D878" s="5">
        <v>12.99</v>
      </c>
      <c r="E878" s="3" t="s">
        <v>11478</v>
      </c>
      <c r="F878" s="2" t="s">
        <v>64</v>
      </c>
      <c r="G878" s="6" t="s">
        <v>234</v>
      </c>
      <c r="H878" s="2" t="s">
        <v>194</v>
      </c>
      <c r="I878" s="2" t="s">
        <v>195</v>
      </c>
      <c r="J878" s="2" t="s">
        <v>19</v>
      </c>
      <c r="K878" s="2" t="s">
        <v>495</v>
      </c>
      <c r="L878" s="7" t="str">
        <f>HYPERLINK("http://slimages.macys.com/is/image/MCY/13758519 ")</f>
        <v xml:space="preserve">http://slimages.macys.com/is/image/MCY/13758519 </v>
      </c>
    </row>
    <row r="879" spans="1:12" ht="24.75" x14ac:dyDescent="0.25">
      <c r="A879" s="4" t="s">
        <v>12599</v>
      </c>
      <c r="B879" s="2" t="s">
        <v>12600</v>
      </c>
      <c r="C879" s="3">
        <v>1</v>
      </c>
      <c r="D879" s="5">
        <v>12.99</v>
      </c>
      <c r="E879" s="3" t="s">
        <v>12601</v>
      </c>
      <c r="F879" s="2" t="s">
        <v>26</v>
      </c>
      <c r="G879" s="6"/>
      <c r="H879" s="2" t="s">
        <v>312</v>
      </c>
      <c r="I879" s="2" t="s">
        <v>195</v>
      </c>
      <c r="J879" s="2" t="s">
        <v>19</v>
      </c>
      <c r="K879" s="2" t="s">
        <v>648</v>
      </c>
      <c r="L879" s="7" t="str">
        <f>HYPERLINK("http://slimages.macys.com/is/image/MCY/8805213 ")</f>
        <v xml:space="preserve">http://slimages.macys.com/is/image/MCY/8805213 </v>
      </c>
    </row>
    <row r="880" spans="1:12" ht="24.75" x14ac:dyDescent="0.25">
      <c r="A880" s="4" t="s">
        <v>12602</v>
      </c>
      <c r="B880" s="2" t="s">
        <v>4367</v>
      </c>
      <c r="C880" s="3">
        <v>1</v>
      </c>
      <c r="D880" s="5">
        <v>9.99</v>
      </c>
      <c r="E880" s="3" t="s">
        <v>4368</v>
      </c>
      <c r="F880" s="2" t="s">
        <v>74</v>
      </c>
      <c r="G880" s="6" t="s">
        <v>154</v>
      </c>
      <c r="H880" s="2" t="s">
        <v>194</v>
      </c>
      <c r="I880" s="2" t="s">
        <v>195</v>
      </c>
      <c r="J880" s="2" t="s">
        <v>19</v>
      </c>
      <c r="K880" s="2" t="s">
        <v>247</v>
      </c>
      <c r="L880" s="7" t="str">
        <f>HYPERLINK("http://slimages.macys.com/is/image/MCY/13368198 ")</f>
        <v xml:space="preserve">http://slimages.macys.com/is/image/MCY/13368198 </v>
      </c>
    </row>
    <row r="881" spans="1:12" ht="24.75" x14ac:dyDescent="0.25">
      <c r="A881" s="4" t="s">
        <v>12603</v>
      </c>
      <c r="B881" s="2" t="s">
        <v>1964</v>
      </c>
      <c r="C881" s="3">
        <v>1</v>
      </c>
      <c r="D881" s="5">
        <v>19.989999999999998</v>
      </c>
      <c r="E881" s="3" t="s">
        <v>12604</v>
      </c>
      <c r="F881" s="2" t="s">
        <v>26</v>
      </c>
      <c r="G881" s="6"/>
      <c r="H881" s="2" t="s">
        <v>632</v>
      </c>
      <c r="I881" s="2" t="s">
        <v>285</v>
      </c>
      <c r="J881" s="2" t="s">
        <v>19</v>
      </c>
      <c r="K881" s="2" t="s">
        <v>247</v>
      </c>
      <c r="L881" s="7" t="str">
        <f>HYPERLINK("http://slimages.macys.com/is/image/MCY/11721629 ")</f>
        <v xml:space="preserve">http://slimages.macys.com/is/image/MCY/11721629 </v>
      </c>
    </row>
    <row r="882" spans="1:12" ht="24.75" x14ac:dyDescent="0.25">
      <c r="A882" s="4" t="s">
        <v>11497</v>
      </c>
      <c r="B882" s="2" t="s">
        <v>4280</v>
      </c>
      <c r="C882" s="3">
        <v>2</v>
      </c>
      <c r="D882" s="5">
        <v>9.99</v>
      </c>
      <c r="E882" s="3" t="s">
        <v>4281</v>
      </c>
      <c r="F882" s="2" t="s">
        <v>1322</v>
      </c>
      <c r="G882" s="6" t="s">
        <v>200</v>
      </c>
      <c r="H882" s="2" t="s">
        <v>1473</v>
      </c>
      <c r="I882" s="2" t="s">
        <v>1426</v>
      </c>
      <c r="J882" s="2" t="s">
        <v>19</v>
      </c>
      <c r="K882" s="2" t="s">
        <v>648</v>
      </c>
      <c r="L882" s="7" t="str">
        <f>HYPERLINK("http://slimages.macys.com/is/image/MCY/11456814 ")</f>
        <v xml:space="preserve">http://slimages.macys.com/is/image/MCY/11456814 </v>
      </c>
    </row>
    <row r="883" spans="1:12" ht="24.75" x14ac:dyDescent="0.25">
      <c r="A883" s="4" t="s">
        <v>12605</v>
      </c>
      <c r="B883" s="2" t="s">
        <v>12606</v>
      </c>
      <c r="C883" s="3">
        <v>1</v>
      </c>
      <c r="D883" s="5">
        <v>9.99</v>
      </c>
      <c r="E883" s="3" t="s">
        <v>12607</v>
      </c>
      <c r="F883" s="2" t="s">
        <v>33</v>
      </c>
      <c r="G883" s="6" t="s">
        <v>181</v>
      </c>
      <c r="H883" s="2" t="s">
        <v>1473</v>
      </c>
      <c r="I883" s="2" t="s">
        <v>1426</v>
      </c>
      <c r="J883" s="2" t="s">
        <v>19</v>
      </c>
      <c r="K883" s="2" t="s">
        <v>648</v>
      </c>
      <c r="L883" s="7" t="str">
        <f>HYPERLINK("http://slimages.macys.com/is/image/MCY/12549167 ")</f>
        <v xml:space="preserve">http://slimages.macys.com/is/image/MCY/12549167 </v>
      </c>
    </row>
    <row r="884" spans="1:12" ht="24.75" x14ac:dyDescent="0.25">
      <c r="A884" s="4" t="s">
        <v>12608</v>
      </c>
      <c r="B884" s="2" t="s">
        <v>12606</v>
      </c>
      <c r="C884" s="3">
        <v>1</v>
      </c>
      <c r="D884" s="5">
        <v>9.99</v>
      </c>
      <c r="E884" s="3" t="s">
        <v>12607</v>
      </c>
      <c r="F884" s="2" t="s">
        <v>70</v>
      </c>
      <c r="G884" s="6" t="s">
        <v>154</v>
      </c>
      <c r="H884" s="2" t="s">
        <v>1473</v>
      </c>
      <c r="I884" s="2" t="s">
        <v>1426</v>
      </c>
      <c r="J884" s="2" t="s">
        <v>19</v>
      </c>
      <c r="K884" s="2" t="s">
        <v>648</v>
      </c>
      <c r="L884" s="7" t="str">
        <f>HYPERLINK("http://slimages.macys.com/is/image/MCY/12549167 ")</f>
        <v xml:space="preserve">http://slimages.macys.com/is/image/MCY/12549167 </v>
      </c>
    </row>
    <row r="885" spans="1:12" ht="24.75" x14ac:dyDescent="0.25">
      <c r="A885" s="4" t="s">
        <v>12609</v>
      </c>
      <c r="B885" s="2" t="s">
        <v>4280</v>
      </c>
      <c r="C885" s="3">
        <v>1</v>
      </c>
      <c r="D885" s="5">
        <v>9.99</v>
      </c>
      <c r="E885" s="3" t="s">
        <v>4281</v>
      </c>
      <c r="F885" s="2" t="s">
        <v>417</v>
      </c>
      <c r="G885" s="6" t="s">
        <v>200</v>
      </c>
      <c r="H885" s="2" t="s">
        <v>1473</v>
      </c>
      <c r="I885" s="2" t="s">
        <v>1426</v>
      </c>
      <c r="J885" s="2" t="s">
        <v>19</v>
      </c>
      <c r="K885" s="2" t="s">
        <v>648</v>
      </c>
      <c r="L885" s="7" t="str">
        <f>HYPERLINK("http://slimages.macys.com/is/image/MCY/11456814 ")</f>
        <v xml:space="preserve">http://slimages.macys.com/is/image/MCY/11456814 </v>
      </c>
    </row>
    <row r="886" spans="1:12" ht="24.75" x14ac:dyDescent="0.25">
      <c r="A886" s="4" t="s">
        <v>12610</v>
      </c>
      <c r="B886" s="2" t="s">
        <v>4280</v>
      </c>
      <c r="C886" s="3">
        <v>1</v>
      </c>
      <c r="D886" s="5">
        <v>9.99</v>
      </c>
      <c r="E886" s="3" t="s">
        <v>4281</v>
      </c>
      <c r="F886" s="2" t="s">
        <v>331</v>
      </c>
      <c r="G886" s="6" t="s">
        <v>156</v>
      </c>
      <c r="H886" s="2" t="s">
        <v>1473</v>
      </c>
      <c r="I886" s="2" t="s">
        <v>1426</v>
      </c>
      <c r="J886" s="2" t="s">
        <v>19</v>
      </c>
      <c r="K886" s="2" t="s">
        <v>648</v>
      </c>
      <c r="L886" s="7" t="str">
        <f>HYPERLINK("http://slimages.macys.com/is/image/MCY/11456814 ")</f>
        <v xml:space="preserve">http://slimages.macys.com/is/image/MCY/11456814 </v>
      </c>
    </row>
    <row r="887" spans="1:12" ht="24.75" x14ac:dyDescent="0.25">
      <c r="A887" s="4" t="s">
        <v>12611</v>
      </c>
      <c r="B887" s="2" t="s">
        <v>4280</v>
      </c>
      <c r="C887" s="3">
        <v>1</v>
      </c>
      <c r="D887" s="5">
        <v>9.99</v>
      </c>
      <c r="E887" s="3" t="s">
        <v>12612</v>
      </c>
      <c r="F887" s="2" t="s">
        <v>26</v>
      </c>
      <c r="G887" s="6" t="s">
        <v>181</v>
      </c>
      <c r="H887" s="2" t="s">
        <v>1473</v>
      </c>
      <c r="I887" s="2" t="s">
        <v>1426</v>
      </c>
      <c r="J887" s="2" t="s">
        <v>19</v>
      </c>
      <c r="K887" s="2" t="s">
        <v>648</v>
      </c>
      <c r="L887" s="7" t="str">
        <f>HYPERLINK("http://slimages.macys.com/is/image/MCY/9663888 ")</f>
        <v xml:space="preserve">http://slimages.macys.com/is/image/MCY/9663888 </v>
      </c>
    </row>
    <row r="888" spans="1:12" ht="24.75" x14ac:dyDescent="0.25">
      <c r="A888" s="4" t="s">
        <v>12613</v>
      </c>
      <c r="B888" s="2" t="s">
        <v>7716</v>
      </c>
      <c r="C888" s="3">
        <v>1</v>
      </c>
      <c r="D888" s="5">
        <v>12.99</v>
      </c>
      <c r="E888" s="3" t="s">
        <v>7717</v>
      </c>
      <c r="F888" s="2" t="s">
        <v>136</v>
      </c>
      <c r="G888" s="6" t="s">
        <v>200</v>
      </c>
      <c r="H888" s="2" t="s">
        <v>1473</v>
      </c>
      <c r="I888" s="2" t="s">
        <v>1426</v>
      </c>
      <c r="J888" s="2" t="s">
        <v>19</v>
      </c>
      <c r="K888" s="2" t="s">
        <v>495</v>
      </c>
      <c r="L888" s="7" t="str">
        <f>HYPERLINK("http://slimages.macys.com/is/image/MCY/13758050 ")</f>
        <v xml:space="preserve">http://slimages.macys.com/is/image/MCY/13758050 </v>
      </c>
    </row>
    <row r="889" spans="1:12" ht="24.75" x14ac:dyDescent="0.25">
      <c r="A889" s="4" t="s">
        <v>11499</v>
      </c>
      <c r="B889" s="2" t="s">
        <v>7716</v>
      </c>
      <c r="C889" s="3">
        <v>3</v>
      </c>
      <c r="D889" s="5">
        <v>12.99</v>
      </c>
      <c r="E889" s="3" t="s">
        <v>7717</v>
      </c>
      <c r="F889" s="2"/>
      <c r="G889" s="6" t="s">
        <v>181</v>
      </c>
      <c r="H889" s="2" t="s">
        <v>1473</v>
      </c>
      <c r="I889" s="2" t="s">
        <v>1426</v>
      </c>
      <c r="J889" s="2" t="s">
        <v>19</v>
      </c>
      <c r="K889" s="2" t="s">
        <v>495</v>
      </c>
      <c r="L889" s="7" t="str">
        <f>HYPERLINK("http://slimages.macys.com/is/image/MCY/13758050 ")</f>
        <v xml:space="preserve">http://slimages.macys.com/is/image/MCY/13758050 </v>
      </c>
    </row>
    <row r="890" spans="1:12" ht="24.75" x14ac:dyDescent="0.25">
      <c r="A890" s="4" t="s">
        <v>12614</v>
      </c>
      <c r="B890" s="2" t="s">
        <v>7716</v>
      </c>
      <c r="C890" s="3">
        <v>1</v>
      </c>
      <c r="D890" s="5">
        <v>12.99</v>
      </c>
      <c r="E890" s="3" t="s">
        <v>7717</v>
      </c>
      <c r="F890" s="2" t="s">
        <v>74</v>
      </c>
      <c r="G890" s="6" t="s">
        <v>234</v>
      </c>
      <c r="H890" s="2" t="s">
        <v>1473</v>
      </c>
      <c r="I890" s="2" t="s">
        <v>1426</v>
      </c>
      <c r="J890" s="2" t="s">
        <v>19</v>
      </c>
      <c r="K890" s="2" t="s">
        <v>495</v>
      </c>
      <c r="L890" s="7" t="str">
        <f>HYPERLINK("http://slimages.macys.com/is/image/MCY/13758050 ")</f>
        <v xml:space="preserve">http://slimages.macys.com/is/image/MCY/13758050 </v>
      </c>
    </row>
    <row r="891" spans="1:12" ht="24.75" x14ac:dyDescent="0.25">
      <c r="A891" s="4" t="s">
        <v>12615</v>
      </c>
      <c r="B891" s="2" t="s">
        <v>7716</v>
      </c>
      <c r="C891" s="3">
        <v>1</v>
      </c>
      <c r="D891" s="5">
        <v>12.99</v>
      </c>
      <c r="E891" s="3" t="s">
        <v>7717</v>
      </c>
      <c r="F891" s="2"/>
      <c r="G891" s="6" t="s">
        <v>200</v>
      </c>
      <c r="H891" s="2" t="s">
        <v>1473</v>
      </c>
      <c r="I891" s="2" t="s">
        <v>1426</v>
      </c>
      <c r="J891" s="2" t="s">
        <v>19</v>
      </c>
      <c r="K891" s="2" t="s">
        <v>495</v>
      </c>
      <c r="L891" s="7" t="str">
        <f>HYPERLINK("http://slimages.macys.com/is/image/MCY/13758050 ")</f>
        <v xml:space="preserve">http://slimages.macys.com/is/image/MCY/13758050 </v>
      </c>
    </row>
    <row r="892" spans="1:12" ht="24.75" x14ac:dyDescent="0.25">
      <c r="A892" s="4" t="s">
        <v>12616</v>
      </c>
      <c r="B892" s="2" t="s">
        <v>7716</v>
      </c>
      <c r="C892" s="3">
        <v>1</v>
      </c>
      <c r="D892" s="5">
        <v>12.99</v>
      </c>
      <c r="E892" s="3" t="s">
        <v>7717</v>
      </c>
      <c r="F892" s="2" t="s">
        <v>85</v>
      </c>
      <c r="G892" s="6" t="s">
        <v>154</v>
      </c>
      <c r="H892" s="2" t="s">
        <v>1473</v>
      </c>
      <c r="I892" s="2" t="s">
        <v>1426</v>
      </c>
      <c r="J892" s="2" t="s">
        <v>19</v>
      </c>
      <c r="K892" s="2" t="s">
        <v>495</v>
      </c>
      <c r="L892" s="7" t="str">
        <f>HYPERLINK("http://slimages.macys.com/is/image/MCY/13758050 ")</f>
        <v xml:space="preserve">http://slimages.macys.com/is/image/MCY/13758050 </v>
      </c>
    </row>
    <row r="893" spans="1:12" ht="24.75" x14ac:dyDescent="0.25">
      <c r="A893" s="4" t="s">
        <v>12617</v>
      </c>
      <c r="B893" s="2" t="s">
        <v>12618</v>
      </c>
      <c r="C893" s="3">
        <v>2</v>
      </c>
      <c r="D893" s="5">
        <v>9.99</v>
      </c>
      <c r="E893" s="3" t="s">
        <v>12619</v>
      </c>
      <c r="F893" s="2" t="s">
        <v>26</v>
      </c>
      <c r="G893" s="6" t="s">
        <v>156</v>
      </c>
      <c r="H893" s="2" t="s">
        <v>1473</v>
      </c>
      <c r="I893" s="2" t="s">
        <v>1426</v>
      </c>
      <c r="J893" s="2" t="s">
        <v>19</v>
      </c>
      <c r="K893" s="2" t="s">
        <v>495</v>
      </c>
      <c r="L893" s="7" t="str">
        <f>HYPERLINK("http://slimages.macys.com/is/image/MCY/14333965 ")</f>
        <v xml:space="preserve">http://slimages.macys.com/is/image/MCY/14333965 </v>
      </c>
    </row>
    <row r="894" spans="1:12" ht="24.75" x14ac:dyDescent="0.25">
      <c r="A894" s="4" t="s">
        <v>12620</v>
      </c>
      <c r="B894" s="2" t="s">
        <v>6216</v>
      </c>
      <c r="C894" s="3">
        <v>1</v>
      </c>
      <c r="D894" s="5">
        <v>14.99</v>
      </c>
      <c r="E894" s="3" t="s">
        <v>6217</v>
      </c>
      <c r="F894" s="2" t="s">
        <v>1614</v>
      </c>
      <c r="G894" s="6" t="s">
        <v>181</v>
      </c>
      <c r="H894" s="2" t="s">
        <v>194</v>
      </c>
      <c r="I894" s="2" t="s">
        <v>195</v>
      </c>
      <c r="J894" s="2" t="s">
        <v>19</v>
      </c>
      <c r="K894" s="2" t="s">
        <v>1108</v>
      </c>
      <c r="L894" s="7" t="str">
        <f>HYPERLINK("http://slimages.macys.com/is/image/MCY/12280226 ")</f>
        <v xml:space="preserve">http://slimages.macys.com/is/image/MCY/12280226 </v>
      </c>
    </row>
    <row r="895" spans="1:12" ht="24.75" x14ac:dyDescent="0.25">
      <c r="A895" s="4" t="s">
        <v>11507</v>
      </c>
      <c r="B895" s="2" t="s">
        <v>2036</v>
      </c>
      <c r="C895" s="3">
        <v>1</v>
      </c>
      <c r="D895" s="5">
        <v>12.99</v>
      </c>
      <c r="E895" s="3" t="s">
        <v>2037</v>
      </c>
      <c r="F895" s="2" t="s">
        <v>48</v>
      </c>
      <c r="G895" s="6" t="s">
        <v>200</v>
      </c>
      <c r="H895" s="2" t="s">
        <v>194</v>
      </c>
      <c r="I895" s="2" t="s">
        <v>195</v>
      </c>
      <c r="J895" s="2" t="s">
        <v>19</v>
      </c>
      <c r="K895" s="2" t="s">
        <v>495</v>
      </c>
      <c r="L895" s="7" t="str">
        <f>HYPERLINK("http://slimages.macys.com/is/image/MCY/13828817 ")</f>
        <v xml:space="preserve">http://slimages.macys.com/is/image/MCY/13828817 </v>
      </c>
    </row>
    <row r="896" spans="1:12" ht="24.75" x14ac:dyDescent="0.25">
      <c r="A896" s="4" t="s">
        <v>11506</v>
      </c>
      <c r="B896" s="2" t="s">
        <v>2036</v>
      </c>
      <c r="C896" s="3">
        <v>1</v>
      </c>
      <c r="D896" s="5">
        <v>12.99</v>
      </c>
      <c r="E896" s="3" t="s">
        <v>2037</v>
      </c>
      <c r="F896" s="2" t="s">
        <v>48</v>
      </c>
      <c r="G896" s="6" t="s">
        <v>156</v>
      </c>
      <c r="H896" s="2" t="s">
        <v>194</v>
      </c>
      <c r="I896" s="2" t="s">
        <v>195</v>
      </c>
      <c r="J896" s="2" t="s">
        <v>19</v>
      </c>
      <c r="K896" s="2" t="s">
        <v>495</v>
      </c>
      <c r="L896" s="7" t="str">
        <f>HYPERLINK("http://slimages.macys.com/is/image/MCY/13828817 ")</f>
        <v xml:space="preserve">http://slimages.macys.com/is/image/MCY/13828817 </v>
      </c>
    </row>
    <row r="897" spans="1:12" ht="24.75" x14ac:dyDescent="0.25">
      <c r="A897" s="4" t="s">
        <v>11503</v>
      </c>
      <c r="B897" s="2" t="s">
        <v>2036</v>
      </c>
      <c r="C897" s="3">
        <v>2</v>
      </c>
      <c r="D897" s="5">
        <v>12.99</v>
      </c>
      <c r="E897" s="3" t="s">
        <v>2037</v>
      </c>
      <c r="F897" s="2" t="s">
        <v>48</v>
      </c>
      <c r="G897" s="6" t="s">
        <v>154</v>
      </c>
      <c r="H897" s="2" t="s">
        <v>194</v>
      </c>
      <c r="I897" s="2" t="s">
        <v>195</v>
      </c>
      <c r="J897" s="2" t="s">
        <v>19</v>
      </c>
      <c r="K897" s="2" t="s">
        <v>495</v>
      </c>
      <c r="L897" s="7" t="str">
        <f>HYPERLINK("http://slimages.macys.com/is/image/MCY/13828817 ")</f>
        <v xml:space="preserve">http://slimages.macys.com/is/image/MCY/13828817 </v>
      </c>
    </row>
    <row r="898" spans="1:12" ht="24.75" x14ac:dyDescent="0.25">
      <c r="A898" s="4" t="s">
        <v>12621</v>
      </c>
      <c r="B898" s="2" t="s">
        <v>8881</v>
      </c>
      <c r="C898" s="3">
        <v>1</v>
      </c>
      <c r="D898" s="5">
        <v>9.99</v>
      </c>
      <c r="E898" s="3" t="s">
        <v>8882</v>
      </c>
      <c r="F898" s="2" t="s">
        <v>15</v>
      </c>
      <c r="G898" s="6" t="s">
        <v>234</v>
      </c>
      <c r="H898" s="2" t="s">
        <v>1473</v>
      </c>
      <c r="I898" s="2" t="s">
        <v>1426</v>
      </c>
      <c r="J898" s="2" t="s">
        <v>19</v>
      </c>
      <c r="K898" s="2" t="s">
        <v>495</v>
      </c>
      <c r="L898" s="7" t="str">
        <f>HYPERLINK("http://slimages.macys.com/is/image/MCY/11029775 ")</f>
        <v xml:space="preserve">http://slimages.macys.com/is/image/MCY/11029775 </v>
      </c>
    </row>
    <row r="899" spans="1:12" ht="24.75" x14ac:dyDescent="0.25">
      <c r="A899" s="4" t="s">
        <v>10331</v>
      </c>
      <c r="B899" s="2" t="s">
        <v>8881</v>
      </c>
      <c r="C899" s="3">
        <v>2</v>
      </c>
      <c r="D899" s="5">
        <v>9.99</v>
      </c>
      <c r="E899" s="3" t="s">
        <v>8882</v>
      </c>
      <c r="F899" s="2" t="s">
        <v>15</v>
      </c>
      <c r="G899" s="6" t="s">
        <v>154</v>
      </c>
      <c r="H899" s="2" t="s">
        <v>1473</v>
      </c>
      <c r="I899" s="2" t="s">
        <v>1426</v>
      </c>
      <c r="J899" s="2" t="s">
        <v>19</v>
      </c>
      <c r="K899" s="2" t="s">
        <v>495</v>
      </c>
      <c r="L899" s="7" t="str">
        <f>HYPERLINK("http://slimages.macys.com/is/image/MCY/11029775 ")</f>
        <v xml:space="preserve">http://slimages.macys.com/is/image/MCY/11029775 </v>
      </c>
    </row>
    <row r="900" spans="1:12" ht="24.75" x14ac:dyDescent="0.25">
      <c r="A900" s="4" t="s">
        <v>12622</v>
      </c>
      <c r="B900" s="2" t="s">
        <v>2061</v>
      </c>
      <c r="C900" s="3">
        <v>1</v>
      </c>
      <c r="D900" s="5">
        <v>9.99</v>
      </c>
      <c r="E900" s="3" t="s">
        <v>4306</v>
      </c>
      <c r="F900" s="2" t="s">
        <v>331</v>
      </c>
      <c r="G900" s="6" t="s">
        <v>245</v>
      </c>
      <c r="H900" s="2" t="s">
        <v>1473</v>
      </c>
      <c r="I900" s="2" t="s">
        <v>1426</v>
      </c>
      <c r="J900" s="2" t="s">
        <v>19</v>
      </c>
      <c r="K900" s="2" t="s">
        <v>495</v>
      </c>
      <c r="L900" s="7" t="str">
        <f>HYPERLINK("http://slimages.macys.com/is/image/MCY/11915620 ")</f>
        <v xml:space="preserve">http://slimages.macys.com/is/image/MCY/11915620 </v>
      </c>
    </row>
    <row r="901" spans="1:12" ht="24.75" x14ac:dyDescent="0.25">
      <c r="A901" s="4" t="s">
        <v>12623</v>
      </c>
      <c r="B901" s="2" t="s">
        <v>10326</v>
      </c>
      <c r="C901" s="3">
        <v>1</v>
      </c>
      <c r="D901" s="5">
        <v>9.99</v>
      </c>
      <c r="E901" s="3" t="s">
        <v>10327</v>
      </c>
      <c r="F901" s="2" t="s">
        <v>331</v>
      </c>
      <c r="G901" s="6" t="s">
        <v>154</v>
      </c>
      <c r="H901" s="2" t="s">
        <v>1473</v>
      </c>
      <c r="I901" s="2" t="s">
        <v>1426</v>
      </c>
      <c r="J901" s="2" t="s">
        <v>19</v>
      </c>
      <c r="K901" s="2" t="s">
        <v>495</v>
      </c>
      <c r="L901" s="7" t="str">
        <f>HYPERLINK("http://slimages.macys.com/is/image/MCY/11774185 ")</f>
        <v xml:space="preserve">http://slimages.macys.com/is/image/MCY/11774185 </v>
      </c>
    </row>
    <row r="902" spans="1:12" ht="24.75" x14ac:dyDescent="0.25">
      <c r="A902" s="4" t="s">
        <v>11514</v>
      </c>
      <c r="B902" s="2" t="s">
        <v>2058</v>
      </c>
      <c r="C902" s="3">
        <v>1</v>
      </c>
      <c r="D902" s="5">
        <v>9.99</v>
      </c>
      <c r="E902" s="3" t="s">
        <v>2059</v>
      </c>
      <c r="F902" s="2" t="s">
        <v>64</v>
      </c>
      <c r="G902" s="6" t="s">
        <v>154</v>
      </c>
      <c r="H902" s="2" t="s">
        <v>1473</v>
      </c>
      <c r="I902" s="2" t="s">
        <v>1426</v>
      </c>
      <c r="J902" s="2" t="s">
        <v>19</v>
      </c>
      <c r="K902" s="2" t="s">
        <v>495</v>
      </c>
      <c r="L902" s="7" t="str">
        <f>HYPERLINK("http://slimages.macys.com/is/image/MCY/12645133 ")</f>
        <v xml:space="preserve">http://slimages.macys.com/is/image/MCY/12645133 </v>
      </c>
    </row>
    <row r="903" spans="1:12" ht="24.75" x14ac:dyDescent="0.25">
      <c r="A903" s="4" t="s">
        <v>12624</v>
      </c>
      <c r="B903" s="2" t="s">
        <v>12625</v>
      </c>
      <c r="C903" s="3">
        <v>1</v>
      </c>
      <c r="D903" s="5">
        <v>9.99</v>
      </c>
      <c r="E903" s="3" t="s">
        <v>12626</v>
      </c>
      <c r="F903" s="2" t="s">
        <v>74</v>
      </c>
      <c r="G903" s="6" t="s">
        <v>154</v>
      </c>
      <c r="H903" s="2" t="s">
        <v>1473</v>
      </c>
      <c r="I903" s="2" t="s">
        <v>1426</v>
      </c>
      <c r="J903" s="2" t="s">
        <v>19</v>
      </c>
      <c r="K903" s="2" t="s">
        <v>495</v>
      </c>
      <c r="L903" s="7" t="str">
        <f>HYPERLINK("http://slimages.macys.com/is/image/MCY/14332293 ")</f>
        <v xml:space="preserve">http://slimages.macys.com/is/image/MCY/14332293 </v>
      </c>
    </row>
    <row r="904" spans="1:12" ht="24.75" x14ac:dyDescent="0.25">
      <c r="A904" s="4" t="s">
        <v>11515</v>
      </c>
      <c r="B904" s="2" t="s">
        <v>11516</v>
      </c>
      <c r="C904" s="3">
        <v>1</v>
      </c>
      <c r="D904" s="5">
        <v>9.99</v>
      </c>
      <c r="E904" s="3" t="s">
        <v>11517</v>
      </c>
      <c r="F904" s="2" t="s">
        <v>74</v>
      </c>
      <c r="G904" s="6" t="s">
        <v>154</v>
      </c>
      <c r="H904" s="2" t="s">
        <v>1473</v>
      </c>
      <c r="I904" s="2" t="s">
        <v>1426</v>
      </c>
      <c r="J904" s="2" t="s">
        <v>19</v>
      </c>
      <c r="K904" s="2" t="s">
        <v>495</v>
      </c>
      <c r="L904" s="7" t="str">
        <f>HYPERLINK("http://slimages.macys.com/is/image/MCY/12775080 ")</f>
        <v xml:space="preserve">http://slimages.macys.com/is/image/MCY/12775080 </v>
      </c>
    </row>
    <row r="905" spans="1:12" ht="24.75" x14ac:dyDescent="0.25">
      <c r="A905" s="4" t="s">
        <v>12627</v>
      </c>
      <c r="B905" s="2" t="s">
        <v>12628</v>
      </c>
      <c r="C905" s="3">
        <v>1</v>
      </c>
      <c r="D905" s="5">
        <v>9.99</v>
      </c>
      <c r="E905" s="3" t="s">
        <v>12629</v>
      </c>
      <c r="F905" s="2" t="s">
        <v>70</v>
      </c>
      <c r="G905" s="6" t="s">
        <v>181</v>
      </c>
      <c r="H905" s="2" t="s">
        <v>1473</v>
      </c>
      <c r="I905" s="2" t="s">
        <v>1426</v>
      </c>
      <c r="J905" s="2" t="s">
        <v>19</v>
      </c>
      <c r="K905" s="2" t="s">
        <v>495</v>
      </c>
      <c r="L905" s="7" t="str">
        <f>HYPERLINK("http://slimages.macys.com/is/image/MCY/12549989 ")</f>
        <v xml:space="preserve">http://slimages.macys.com/is/image/MCY/12549989 </v>
      </c>
    </row>
    <row r="906" spans="1:12" ht="24.75" x14ac:dyDescent="0.25">
      <c r="A906" s="4" t="s">
        <v>11525</v>
      </c>
      <c r="B906" s="2" t="s">
        <v>11512</v>
      </c>
      <c r="C906" s="3">
        <v>1</v>
      </c>
      <c r="D906" s="5">
        <v>9.99</v>
      </c>
      <c r="E906" s="3" t="s">
        <v>11513</v>
      </c>
      <c r="F906" s="2" t="s">
        <v>94</v>
      </c>
      <c r="G906" s="6" t="s">
        <v>181</v>
      </c>
      <c r="H906" s="2" t="s">
        <v>1473</v>
      </c>
      <c r="I906" s="2" t="s">
        <v>1426</v>
      </c>
      <c r="J906" s="2" t="s">
        <v>19</v>
      </c>
      <c r="K906" s="2" t="s">
        <v>495</v>
      </c>
      <c r="L906" s="7" t="str">
        <f>HYPERLINK("http://slimages.macys.com/is/image/MCY/12645139 ")</f>
        <v xml:space="preserve">http://slimages.macys.com/is/image/MCY/12645139 </v>
      </c>
    </row>
    <row r="907" spans="1:12" ht="24.75" x14ac:dyDescent="0.25">
      <c r="A907" s="4" t="s">
        <v>12630</v>
      </c>
      <c r="B907" s="2" t="s">
        <v>2058</v>
      </c>
      <c r="C907" s="3">
        <v>2</v>
      </c>
      <c r="D907" s="5">
        <v>9.99</v>
      </c>
      <c r="E907" s="3" t="s">
        <v>2059</v>
      </c>
      <c r="F907" s="2" t="s">
        <v>64</v>
      </c>
      <c r="G907" s="6" t="s">
        <v>181</v>
      </c>
      <c r="H907" s="2" t="s">
        <v>1473</v>
      </c>
      <c r="I907" s="2" t="s">
        <v>1426</v>
      </c>
      <c r="J907" s="2" t="s">
        <v>19</v>
      </c>
      <c r="K907" s="2" t="s">
        <v>495</v>
      </c>
      <c r="L907" s="7" t="str">
        <f>HYPERLINK("http://slimages.macys.com/is/image/MCY/12645133 ")</f>
        <v xml:space="preserve">http://slimages.macys.com/is/image/MCY/12645133 </v>
      </c>
    </row>
    <row r="908" spans="1:12" ht="24.75" x14ac:dyDescent="0.25">
      <c r="A908" s="4" t="s">
        <v>12631</v>
      </c>
      <c r="B908" s="2" t="s">
        <v>2061</v>
      </c>
      <c r="C908" s="3">
        <v>1</v>
      </c>
      <c r="D908" s="5">
        <v>9.99</v>
      </c>
      <c r="E908" s="3" t="s">
        <v>4306</v>
      </c>
      <c r="F908" s="2" t="s">
        <v>331</v>
      </c>
      <c r="G908" s="6" t="s">
        <v>234</v>
      </c>
      <c r="H908" s="2" t="s">
        <v>1473</v>
      </c>
      <c r="I908" s="2" t="s">
        <v>1426</v>
      </c>
      <c r="J908" s="2" t="s">
        <v>19</v>
      </c>
      <c r="K908" s="2" t="s">
        <v>495</v>
      </c>
      <c r="L908" s="7" t="str">
        <f>HYPERLINK("http://slimages.macys.com/is/image/MCY/11915620 ")</f>
        <v xml:space="preserve">http://slimages.macys.com/is/image/MCY/11915620 </v>
      </c>
    </row>
    <row r="909" spans="1:12" ht="24.75" x14ac:dyDescent="0.25">
      <c r="A909" s="4" t="s">
        <v>10325</v>
      </c>
      <c r="B909" s="2" t="s">
        <v>10326</v>
      </c>
      <c r="C909" s="3">
        <v>1</v>
      </c>
      <c r="D909" s="5">
        <v>9.99</v>
      </c>
      <c r="E909" s="3" t="s">
        <v>10327</v>
      </c>
      <c r="F909" s="2" t="s">
        <v>331</v>
      </c>
      <c r="G909" s="6" t="s">
        <v>156</v>
      </c>
      <c r="H909" s="2" t="s">
        <v>1473</v>
      </c>
      <c r="I909" s="2" t="s">
        <v>1426</v>
      </c>
      <c r="J909" s="2" t="s">
        <v>19</v>
      </c>
      <c r="K909" s="2" t="s">
        <v>495</v>
      </c>
      <c r="L909" s="7" t="str">
        <f>HYPERLINK("http://slimages.macys.com/is/image/MCY/11774185 ")</f>
        <v xml:space="preserve">http://slimages.macys.com/is/image/MCY/11774185 </v>
      </c>
    </row>
    <row r="910" spans="1:12" ht="24.75" x14ac:dyDescent="0.25">
      <c r="A910" s="4" t="s">
        <v>12632</v>
      </c>
      <c r="B910" s="2" t="s">
        <v>12633</v>
      </c>
      <c r="C910" s="3">
        <v>1</v>
      </c>
      <c r="D910" s="5">
        <v>9.99</v>
      </c>
      <c r="E910" s="3" t="s">
        <v>12634</v>
      </c>
      <c r="F910" s="2" t="s">
        <v>26</v>
      </c>
      <c r="G910" s="6" t="s">
        <v>156</v>
      </c>
      <c r="H910" s="2" t="s">
        <v>1473</v>
      </c>
      <c r="I910" s="2" t="s">
        <v>1426</v>
      </c>
      <c r="J910" s="2" t="s">
        <v>19</v>
      </c>
      <c r="K910" s="2" t="s">
        <v>495</v>
      </c>
      <c r="L910" s="7" t="str">
        <f>HYPERLINK("http://slimages.macys.com/is/image/MCY/13303967 ")</f>
        <v xml:space="preserve">http://slimages.macys.com/is/image/MCY/13303967 </v>
      </c>
    </row>
    <row r="911" spans="1:12" ht="24.75" x14ac:dyDescent="0.25">
      <c r="A911" s="4" t="s">
        <v>12635</v>
      </c>
      <c r="B911" s="2" t="s">
        <v>2058</v>
      </c>
      <c r="C911" s="3">
        <v>1</v>
      </c>
      <c r="D911" s="5">
        <v>9.99</v>
      </c>
      <c r="E911" s="3" t="s">
        <v>2059</v>
      </c>
      <c r="F911" s="2" t="s">
        <v>64</v>
      </c>
      <c r="G911" s="6" t="s">
        <v>245</v>
      </c>
      <c r="H911" s="2" t="s">
        <v>1473</v>
      </c>
      <c r="I911" s="2" t="s">
        <v>1426</v>
      </c>
      <c r="J911" s="2" t="s">
        <v>19</v>
      </c>
      <c r="K911" s="2" t="s">
        <v>495</v>
      </c>
      <c r="L911" s="7" t="str">
        <f>HYPERLINK("http://slimages.macys.com/is/image/MCY/12645133 ")</f>
        <v xml:space="preserve">http://slimages.macys.com/is/image/MCY/12645133 </v>
      </c>
    </row>
    <row r="912" spans="1:12" ht="24.75" x14ac:dyDescent="0.25">
      <c r="A912" s="4" t="s">
        <v>10330</v>
      </c>
      <c r="B912" s="2" t="s">
        <v>8881</v>
      </c>
      <c r="C912" s="3">
        <v>1</v>
      </c>
      <c r="D912" s="5">
        <v>9.99</v>
      </c>
      <c r="E912" s="3" t="s">
        <v>8882</v>
      </c>
      <c r="F912" s="2" t="s">
        <v>15</v>
      </c>
      <c r="G912" s="6" t="s">
        <v>156</v>
      </c>
      <c r="H912" s="2" t="s">
        <v>1473</v>
      </c>
      <c r="I912" s="2" t="s">
        <v>1426</v>
      </c>
      <c r="J912" s="2" t="s">
        <v>19</v>
      </c>
      <c r="K912" s="2" t="s">
        <v>495</v>
      </c>
      <c r="L912" s="7" t="str">
        <f>HYPERLINK("http://slimages.macys.com/is/image/MCY/11029775 ")</f>
        <v xml:space="preserve">http://slimages.macys.com/is/image/MCY/11029775 </v>
      </c>
    </row>
    <row r="913" spans="1:12" ht="24.75" x14ac:dyDescent="0.25">
      <c r="A913" s="4" t="s">
        <v>12636</v>
      </c>
      <c r="B913" s="2" t="s">
        <v>4312</v>
      </c>
      <c r="C913" s="3">
        <v>1</v>
      </c>
      <c r="D913" s="5">
        <v>9.99</v>
      </c>
      <c r="E913" s="3" t="s">
        <v>12637</v>
      </c>
      <c r="F913" s="2" t="s">
        <v>15</v>
      </c>
      <c r="G913" s="6" t="s">
        <v>187</v>
      </c>
      <c r="H913" s="2" t="s">
        <v>1425</v>
      </c>
      <c r="I913" s="2" t="s">
        <v>1426</v>
      </c>
      <c r="J913" s="2" t="s">
        <v>19</v>
      </c>
      <c r="K913" s="2" t="s">
        <v>495</v>
      </c>
      <c r="L913" s="7" t="str">
        <f>HYPERLINK("http://slimages.macys.com/is/image/MCY/11882112 ")</f>
        <v xml:space="preserve">http://slimages.macys.com/is/image/MCY/11882112 </v>
      </c>
    </row>
    <row r="914" spans="1:12" ht="24.75" x14ac:dyDescent="0.25">
      <c r="A914" s="4" t="s">
        <v>12638</v>
      </c>
      <c r="B914" s="2" t="s">
        <v>12628</v>
      </c>
      <c r="C914" s="3">
        <v>1</v>
      </c>
      <c r="D914" s="5">
        <v>9.99</v>
      </c>
      <c r="E914" s="3" t="s">
        <v>12629</v>
      </c>
      <c r="F914" s="2" t="s">
        <v>74</v>
      </c>
      <c r="G914" s="6" t="s">
        <v>245</v>
      </c>
      <c r="H914" s="2" t="s">
        <v>1473</v>
      </c>
      <c r="I914" s="2" t="s">
        <v>1426</v>
      </c>
      <c r="J914" s="2" t="s">
        <v>19</v>
      </c>
      <c r="K914" s="2" t="s">
        <v>495</v>
      </c>
      <c r="L914" s="7" t="str">
        <f>HYPERLINK("http://slimages.macys.com/is/image/MCY/12549989 ")</f>
        <v xml:space="preserve">http://slimages.macys.com/is/image/MCY/12549989 </v>
      </c>
    </row>
    <row r="915" spans="1:12" ht="24.75" x14ac:dyDescent="0.25">
      <c r="A915" s="4" t="s">
        <v>12639</v>
      </c>
      <c r="B915" s="2" t="s">
        <v>12633</v>
      </c>
      <c r="C915" s="3">
        <v>1</v>
      </c>
      <c r="D915" s="5">
        <v>9.99</v>
      </c>
      <c r="E915" s="3" t="s">
        <v>12634</v>
      </c>
      <c r="F915" s="2" t="s">
        <v>26</v>
      </c>
      <c r="G915" s="6" t="s">
        <v>181</v>
      </c>
      <c r="H915" s="2" t="s">
        <v>1473</v>
      </c>
      <c r="I915" s="2" t="s">
        <v>1426</v>
      </c>
      <c r="J915" s="2" t="s">
        <v>19</v>
      </c>
      <c r="K915" s="2" t="s">
        <v>495</v>
      </c>
      <c r="L915" s="7" t="str">
        <f>HYPERLINK("http://slimages.macys.com/is/image/MCY/13303967 ")</f>
        <v xml:space="preserve">http://slimages.macys.com/is/image/MCY/13303967 </v>
      </c>
    </row>
    <row r="916" spans="1:12" ht="24.75" x14ac:dyDescent="0.25">
      <c r="A916" s="4" t="s">
        <v>12640</v>
      </c>
      <c r="B916" s="2" t="s">
        <v>2045</v>
      </c>
      <c r="C916" s="3">
        <v>1</v>
      </c>
      <c r="D916" s="5">
        <v>9.99</v>
      </c>
      <c r="E916" s="3" t="s">
        <v>5253</v>
      </c>
      <c r="F916" s="2" t="s">
        <v>33</v>
      </c>
      <c r="G916" s="6" t="s">
        <v>187</v>
      </c>
      <c r="H916" s="2" t="s">
        <v>1425</v>
      </c>
      <c r="I916" s="2" t="s">
        <v>1426</v>
      </c>
      <c r="J916" s="2" t="s">
        <v>19</v>
      </c>
      <c r="K916" s="2" t="s">
        <v>495</v>
      </c>
      <c r="L916" s="7" t="str">
        <f>HYPERLINK("http://slimages.macys.com/is/image/MCY/11533691 ")</f>
        <v xml:space="preserve">http://slimages.macys.com/is/image/MCY/11533691 </v>
      </c>
    </row>
    <row r="917" spans="1:12" ht="24.75" x14ac:dyDescent="0.25">
      <c r="A917" s="4" t="s">
        <v>12641</v>
      </c>
      <c r="B917" s="2" t="s">
        <v>2045</v>
      </c>
      <c r="C917" s="3">
        <v>2</v>
      </c>
      <c r="D917" s="5">
        <v>9.99</v>
      </c>
      <c r="E917" s="3" t="s">
        <v>5253</v>
      </c>
      <c r="F917" s="2" t="s">
        <v>33</v>
      </c>
      <c r="G917" s="6" t="s">
        <v>219</v>
      </c>
      <c r="H917" s="2" t="s">
        <v>1425</v>
      </c>
      <c r="I917" s="2" t="s">
        <v>1426</v>
      </c>
      <c r="J917" s="2" t="s">
        <v>19</v>
      </c>
      <c r="K917" s="2" t="s">
        <v>495</v>
      </c>
      <c r="L917" s="7" t="str">
        <f>HYPERLINK("http://slimages.macys.com/is/image/MCY/11533691 ")</f>
        <v xml:space="preserve">http://slimages.macys.com/is/image/MCY/11533691 </v>
      </c>
    </row>
    <row r="918" spans="1:12" ht="24.75" x14ac:dyDescent="0.25">
      <c r="A918" s="4" t="s">
        <v>12642</v>
      </c>
      <c r="B918" s="2" t="s">
        <v>2061</v>
      </c>
      <c r="C918" s="3">
        <v>1</v>
      </c>
      <c r="D918" s="5">
        <v>9.99</v>
      </c>
      <c r="E918" s="3" t="s">
        <v>4306</v>
      </c>
      <c r="F918" s="2" t="s">
        <v>331</v>
      </c>
      <c r="G918" s="6" t="s">
        <v>156</v>
      </c>
      <c r="H918" s="2" t="s">
        <v>1473</v>
      </c>
      <c r="I918" s="2" t="s">
        <v>1426</v>
      </c>
      <c r="J918" s="2" t="s">
        <v>19</v>
      </c>
      <c r="K918" s="2" t="s">
        <v>495</v>
      </c>
      <c r="L918" s="7" t="str">
        <f>HYPERLINK("http://slimages.macys.com/is/image/MCY/11915620 ")</f>
        <v xml:space="preserve">http://slimages.macys.com/is/image/MCY/11915620 </v>
      </c>
    </row>
    <row r="919" spans="1:12" ht="24.75" x14ac:dyDescent="0.25">
      <c r="A919" s="4" t="s">
        <v>11536</v>
      </c>
      <c r="B919" s="2" t="s">
        <v>2036</v>
      </c>
      <c r="C919" s="3">
        <v>1</v>
      </c>
      <c r="D919" s="5">
        <v>12.99</v>
      </c>
      <c r="E919" s="3" t="s">
        <v>2037</v>
      </c>
      <c r="F919" s="2" t="s">
        <v>2619</v>
      </c>
      <c r="G919" s="6" t="s">
        <v>200</v>
      </c>
      <c r="H919" s="2" t="s">
        <v>194</v>
      </c>
      <c r="I919" s="2" t="s">
        <v>195</v>
      </c>
      <c r="J919" s="2" t="s">
        <v>19</v>
      </c>
      <c r="K919" s="2" t="s">
        <v>495</v>
      </c>
      <c r="L919" s="7" t="str">
        <f>HYPERLINK("http://slimages.macys.com/is/image/MCY/9344781 ")</f>
        <v xml:space="preserve">http://slimages.macys.com/is/image/MCY/9344781 </v>
      </c>
    </row>
    <row r="920" spans="1:12" ht="24.75" x14ac:dyDescent="0.25">
      <c r="A920" s="4" t="s">
        <v>11535</v>
      </c>
      <c r="B920" s="2" t="s">
        <v>2036</v>
      </c>
      <c r="C920" s="3">
        <v>3</v>
      </c>
      <c r="D920" s="5">
        <v>12.99</v>
      </c>
      <c r="E920" s="3" t="s">
        <v>2037</v>
      </c>
      <c r="F920" s="2" t="s">
        <v>2619</v>
      </c>
      <c r="G920" s="6" t="s">
        <v>154</v>
      </c>
      <c r="H920" s="2" t="s">
        <v>194</v>
      </c>
      <c r="I920" s="2" t="s">
        <v>195</v>
      </c>
      <c r="J920" s="2" t="s">
        <v>19</v>
      </c>
      <c r="K920" s="2" t="s">
        <v>495</v>
      </c>
      <c r="L920" s="7" t="str">
        <f>HYPERLINK("http://slimages.macys.com/is/image/MCY/9344781 ")</f>
        <v xml:space="preserve">http://slimages.macys.com/is/image/MCY/9344781 </v>
      </c>
    </row>
    <row r="921" spans="1:12" ht="24.75" x14ac:dyDescent="0.25">
      <c r="A921" s="4" t="s">
        <v>9238</v>
      </c>
      <c r="B921" s="2" t="s">
        <v>2064</v>
      </c>
      <c r="C921" s="3">
        <v>1</v>
      </c>
      <c r="D921" s="5">
        <v>9.99</v>
      </c>
      <c r="E921" s="3" t="s">
        <v>3279</v>
      </c>
      <c r="F921" s="2" t="s">
        <v>1914</v>
      </c>
      <c r="G921" s="6" t="s">
        <v>200</v>
      </c>
      <c r="H921" s="2" t="s">
        <v>1473</v>
      </c>
      <c r="I921" s="2" t="s">
        <v>1426</v>
      </c>
      <c r="J921" s="2" t="s">
        <v>19</v>
      </c>
      <c r="K921" s="2" t="s">
        <v>990</v>
      </c>
      <c r="L921" s="7" t="str">
        <f>HYPERLINK("http://slimages.macys.com/is/image/MCY/11130625 ")</f>
        <v xml:space="preserve">http://slimages.macys.com/is/image/MCY/11130625 </v>
      </c>
    </row>
    <row r="922" spans="1:12" ht="24.75" x14ac:dyDescent="0.25">
      <c r="A922" s="4" t="s">
        <v>12643</v>
      </c>
      <c r="B922" s="2" t="s">
        <v>12644</v>
      </c>
      <c r="C922" s="3">
        <v>1</v>
      </c>
      <c r="D922" s="5">
        <v>9.99</v>
      </c>
      <c r="E922" s="3" t="s">
        <v>12645</v>
      </c>
      <c r="F922" s="2" t="s">
        <v>1322</v>
      </c>
      <c r="G922" s="6" t="s">
        <v>187</v>
      </c>
      <c r="H922" s="2" t="s">
        <v>1425</v>
      </c>
      <c r="I922" s="2" t="s">
        <v>1426</v>
      </c>
      <c r="J922" s="2" t="s">
        <v>19</v>
      </c>
      <c r="K922" s="2" t="s">
        <v>495</v>
      </c>
      <c r="L922" s="7" t="str">
        <f>HYPERLINK("http://slimages.macys.com/is/image/MCY/11029769 ")</f>
        <v xml:space="preserve">http://slimages.macys.com/is/image/MCY/11029769 </v>
      </c>
    </row>
    <row r="923" spans="1:12" ht="24.75" x14ac:dyDescent="0.25">
      <c r="A923" s="4" t="s">
        <v>8393</v>
      </c>
      <c r="B923" s="2" t="s">
        <v>2064</v>
      </c>
      <c r="C923" s="3">
        <v>1</v>
      </c>
      <c r="D923" s="5">
        <v>9.99</v>
      </c>
      <c r="E923" s="3" t="s">
        <v>3279</v>
      </c>
      <c r="F923" s="2" t="s">
        <v>1914</v>
      </c>
      <c r="G923" s="6" t="s">
        <v>234</v>
      </c>
      <c r="H923" s="2" t="s">
        <v>1473</v>
      </c>
      <c r="I923" s="2" t="s">
        <v>1426</v>
      </c>
      <c r="J923" s="2" t="s">
        <v>19</v>
      </c>
      <c r="K923" s="2" t="s">
        <v>990</v>
      </c>
      <c r="L923" s="7" t="str">
        <f>HYPERLINK("http://slimages.macys.com/is/image/MCY/11130625 ")</f>
        <v xml:space="preserve">http://slimages.macys.com/is/image/MCY/11130625 </v>
      </c>
    </row>
    <row r="924" spans="1:12" ht="24.75" x14ac:dyDescent="0.25">
      <c r="A924" s="4" t="s">
        <v>12646</v>
      </c>
      <c r="B924" s="2" t="s">
        <v>2064</v>
      </c>
      <c r="C924" s="3">
        <v>1</v>
      </c>
      <c r="D924" s="5">
        <v>9.99</v>
      </c>
      <c r="E924" s="3" t="s">
        <v>3279</v>
      </c>
      <c r="F924" s="2" t="s">
        <v>94</v>
      </c>
      <c r="G924" s="6" t="s">
        <v>200</v>
      </c>
      <c r="H924" s="2" t="s">
        <v>1473</v>
      </c>
      <c r="I924" s="2" t="s">
        <v>1426</v>
      </c>
      <c r="J924" s="2" t="s">
        <v>19</v>
      </c>
      <c r="K924" s="2" t="s">
        <v>990</v>
      </c>
      <c r="L924" s="7" t="str">
        <f>HYPERLINK("http://slimages.macys.com/is/image/MCY/11130625 ")</f>
        <v xml:space="preserve">http://slimages.macys.com/is/image/MCY/11130625 </v>
      </c>
    </row>
    <row r="925" spans="1:12" ht="24.75" x14ac:dyDescent="0.25">
      <c r="A925" s="4" t="s">
        <v>12647</v>
      </c>
      <c r="B925" s="2" t="s">
        <v>2068</v>
      </c>
      <c r="C925" s="3">
        <v>1</v>
      </c>
      <c r="D925" s="5">
        <v>12.99</v>
      </c>
      <c r="E925" s="3" t="s">
        <v>2069</v>
      </c>
      <c r="F925" s="2" t="s">
        <v>676</v>
      </c>
      <c r="G925" s="6" t="s">
        <v>156</v>
      </c>
      <c r="H925" s="2" t="s">
        <v>194</v>
      </c>
      <c r="I925" s="2" t="s">
        <v>195</v>
      </c>
      <c r="J925" s="2" t="s">
        <v>19</v>
      </c>
      <c r="K925" s="2" t="s">
        <v>648</v>
      </c>
      <c r="L925" s="7" t="str">
        <f>HYPERLINK("http://slimages.macys.com/is/image/MCY/15142218 ")</f>
        <v xml:space="preserve">http://slimages.macys.com/is/image/MCY/15142218 </v>
      </c>
    </row>
    <row r="926" spans="1:12" ht="24.75" x14ac:dyDescent="0.25">
      <c r="A926" s="4" t="s">
        <v>12648</v>
      </c>
      <c r="B926" s="2" t="s">
        <v>5279</v>
      </c>
      <c r="C926" s="3">
        <v>1</v>
      </c>
      <c r="D926" s="5">
        <v>9.99</v>
      </c>
      <c r="E926" s="3" t="s">
        <v>12649</v>
      </c>
      <c r="F926" s="2" t="s">
        <v>1322</v>
      </c>
      <c r="G926" s="6" t="s">
        <v>234</v>
      </c>
      <c r="H926" s="2" t="s">
        <v>1473</v>
      </c>
      <c r="I926" s="2" t="s">
        <v>1426</v>
      </c>
      <c r="J926" s="2" t="s">
        <v>19</v>
      </c>
      <c r="K926" s="2" t="s">
        <v>990</v>
      </c>
      <c r="L926" s="7" t="str">
        <f>HYPERLINK("http://slimages.macys.com/is/image/MCY/13757797 ")</f>
        <v xml:space="preserve">http://slimages.macys.com/is/image/MCY/13757797 </v>
      </c>
    </row>
    <row r="927" spans="1:12" ht="24.75" x14ac:dyDescent="0.25">
      <c r="A927" s="4" t="s">
        <v>12650</v>
      </c>
      <c r="B927" s="2" t="s">
        <v>9240</v>
      </c>
      <c r="C927" s="3">
        <v>1</v>
      </c>
      <c r="D927" s="5">
        <v>9.99</v>
      </c>
      <c r="E927" s="3" t="s">
        <v>9241</v>
      </c>
      <c r="F927" s="2" t="s">
        <v>1322</v>
      </c>
      <c r="G927" s="6" t="s">
        <v>234</v>
      </c>
      <c r="H927" s="2" t="s">
        <v>1473</v>
      </c>
      <c r="I927" s="2" t="s">
        <v>1426</v>
      </c>
      <c r="J927" s="2" t="s">
        <v>19</v>
      </c>
      <c r="K927" s="2" t="s">
        <v>648</v>
      </c>
      <c r="L927" s="7" t="str">
        <f>HYPERLINK("http://slimages.macys.com/is/image/MCY/10918744 ")</f>
        <v xml:space="preserve">http://slimages.macys.com/is/image/MCY/10918744 </v>
      </c>
    </row>
    <row r="928" spans="1:12" ht="24.75" x14ac:dyDescent="0.25">
      <c r="A928" s="4" t="s">
        <v>12651</v>
      </c>
      <c r="B928" s="2" t="s">
        <v>9240</v>
      </c>
      <c r="C928" s="3">
        <v>1</v>
      </c>
      <c r="D928" s="5">
        <v>9.99</v>
      </c>
      <c r="E928" s="3" t="s">
        <v>9241</v>
      </c>
      <c r="F928" s="2" t="s">
        <v>79</v>
      </c>
      <c r="G928" s="6" t="s">
        <v>156</v>
      </c>
      <c r="H928" s="2" t="s">
        <v>1473</v>
      </c>
      <c r="I928" s="2" t="s">
        <v>1426</v>
      </c>
      <c r="J928" s="2" t="s">
        <v>19</v>
      </c>
      <c r="K928" s="2" t="s">
        <v>648</v>
      </c>
      <c r="L928" s="7" t="str">
        <f>HYPERLINK("http://slimages.macys.com/is/image/MCY/10918744 ")</f>
        <v xml:space="preserve">http://slimages.macys.com/is/image/MCY/10918744 </v>
      </c>
    </row>
    <row r="929" spans="1:12" ht="24.75" x14ac:dyDescent="0.25">
      <c r="A929" s="4" t="s">
        <v>11546</v>
      </c>
      <c r="B929" s="2" t="s">
        <v>4318</v>
      </c>
      <c r="C929" s="3">
        <v>1</v>
      </c>
      <c r="D929" s="5">
        <v>9.99</v>
      </c>
      <c r="E929" s="3" t="s">
        <v>4319</v>
      </c>
      <c r="F929" s="2" t="s">
        <v>1945</v>
      </c>
      <c r="G929" s="6" t="s">
        <v>154</v>
      </c>
      <c r="H929" s="2" t="s">
        <v>1473</v>
      </c>
      <c r="I929" s="2" t="s">
        <v>1426</v>
      </c>
      <c r="J929" s="2" t="s">
        <v>19</v>
      </c>
      <c r="K929" s="2" t="s">
        <v>648</v>
      </c>
      <c r="L929" s="7" t="str">
        <f>HYPERLINK("http://slimages.macys.com/is/image/MCY/13301237 ")</f>
        <v xml:space="preserve">http://slimages.macys.com/is/image/MCY/13301237 </v>
      </c>
    </row>
    <row r="930" spans="1:12" ht="24.75" x14ac:dyDescent="0.25">
      <c r="A930" s="4" t="s">
        <v>12652</v>
      </c>
      <c r="B930" s="2" t="s">
        <v>4318</v>
      </c>
      <c r="C930" s="3">
        <v>1</v>
      </c>
      <c r="D930" s="5">
        <v>9.99</v>
      </c>
      <c r="E930" s="3" t="s">
        <v>4319</v>
      </c>
      <c r="F930" s="2" t="s">
        <v>94</v>
      </c>
      <c r="G930" s="6" t="s">
        <v>200</v>
      </c>
      <c r="H930" s="2" t="s">
        <v>1473</v>
      </c>
      <c r="I930" s="2" t="s">
        <v>1426</v>
      </c>
      <c r="J930" s="2" t="s">
        <v>19</v>
      </c>
      <c r="K930" s="2" t="s">
        <v>648</v>
      </c>
      <c r="L930" s="7" t="str">
        <f>HYPERLINK("http://slimages.macys.com/is/image/MCY/13301237 ")</f>
        <v xml:space="preserve">http://slimages.macys.com/is/image/MCY/13301237 </v>
      </c>
    </row>
    <row r="931" spans="1:12" ht="24.75" x14ac:dyDescent="0.25">
      <c r="A931" s="4" t="s">
        <v>12653</v>
      </c>
      <c r="B931" s="2" t="s">
        <v>9240</v>
      </c>
      <c r="C931" s="3">
        <v>1</v>
      </c>
      <c r="D931" s="5">
        <v>9.99</v>
      </c>
      <c r="E931" s="3" t="s">
        <v>9241</v>
      </c>
      <c r="F931" s="2" t="s">
        <v>1322</v>
      </c>
      <c r="G931" s="6" t="s">
        <v>245</v>
      </c>
      <c r="H931" s="2" t="s">
        <v>1473</v>
      </c>
      <c r="I931" s="2" t="s">
        <v>1426</v>
      </c>
      <c r="J931" s="2" t="s">
        <v>19</v>
      </c>
      <c r="K931" s="2" t="s">
        <v>648</v>
      </c>
      <c r="L931" s="7" t="str">
        <f>HYPERLINK("http://slimages.macys.com/is/image/MCY/10918744 ")</f>
        <v xml:space="preserve">http://slimages.macys.com/is/image/MCY/10918744 </v>
      </c>
    </row>
    <row r="932" spans="1:12" ht="24.75" x14ac:dyDescent="0.25">
      <c r="A932" s="4" t="s">
        <v>12654</v>
      </c>
      <c r="B932" s="2" t="s">
        <v>4318</v>
      </c>
      <c r="C932" s="3">
        <v>1</v>
      </c>
      <c r="D932" s="5">
        <v>9.99</v>
      </c>
      <c r="E932" s="3" t="s">
        <v>4319</v>
      </c>
      <c r="F932" s="2" t="s">
        <v>1945</v>
      </c>
      <c r="G932" s="6" t="s">
        <v>234</v>
      </c>
      <c r="H932" s="2" t="s">
        <v>1473</v>
      </c>
      <c r="I932" s="2" t="s">
        <v>1426</v>
      </c>
      <c r="J932" s="2" t="s">
        <v>19</v>
      </c>
      <c r="K932" s="2" t="s">
        <v>648</v>
      </c>
      <c r="L932" s="7" t="str">
        <f>HYPERLINK("http://slimages.macys.com/is/image/MCY/13301237 ")</f>
        <v xml:space="preserve">http://slimages.macys.com/is/image/MCY/13301237 </v>
      </c>
    </row>
    <row r="933" spans="1:12" ht="24.75" x14ac:dyDescent="0.25">
      <c r="A933" s="4" t="s">
        <v>12655</v>
      </c>
      <c r="B933" s="2" t="s">
        <v>9240</v>
      </c>
      <c r="C933" s="3">
        <v>1</v>
      </c>
      <c r="D933" s="5">
        <v>9.99</v>
      </c>
      <c r="E933" s="3" t="s">
        <v>9241</v>
      </c>
      <c r="F933" s="2" t="s">
        <v>15</v>
      </c>
      <c r="G933" s="6" t="s">
        <v>234</v>
      </c>
      <c r="H933" s="2" t="s">
        <v>1473</v>
      </c>
      <c r="I933" s="2" t="s">
        <v>1426</v>
      </c>
      <c r="J933" s="2" t="s">
        <v>19</v>
      </c>
      <c r="K933" s="2" t="s">
        <v>648</v>
      </c>
      <c r="L933" s="7" t="str">
        <f>HYPERLINK("http://slimages.macys.com/is/image/MCY/10918744 ")</f>
        <v xml:space="preserve">http://slimages.macys.com/is/image/MCY/10918744 </v>
      </c>
    </row>
    <row r="934" spans="1:12" ht="24.75" x14ac:dyDescent="0.25">
      <c r="A934" s="4" t="s">
        <v>12656</v>
      </c>
      <c r="B934" s="2" t="s">
        <v>4318</v>
      </c>
      <c r="C934" s="3">
        <v>1</v>
      </c>
      <c r="D934" s="5">
        <v>9.99</v>
      </c>
      <c r="E934" s="3" t="s">
        <v>4319</v>
      </c>
      <c r="F934" s="2" t="s">
        <v>94</v>
      </c>
      <c r="G934" s="6" t="s">
        <v>156</v>
      </c>
      <c r="H934" s="2" t="s">
        <v>1473</v>
      </c>
      <c r="I934" s="2" t="s">
        <v>1426</v>
      </c>
      <c r="J934" s="2" t="s">
        <v>19</v>
      </c>
      <c r="K934" s="2" t="s">
        <v>648</v>
      </c>
      <c r="L934" s="7" t="str">
        <f>HYPERLINK("http://slimages.macys.com/is/image/MCY/13301237 ")</f>
        <v xml:space="preserve">http://slimages.macys.com/is/image/MCY/13301237 </v>
      </c>
    </row>
    <row r="935" spans="1:12" ht="24.75" x14ac:dyDescent="0.25">
      <c r="A935" s="4" t="s">
        <v>12657</v>
      </c>
      <c r="B935" s="2" t="s">
        <v>9240</v>
      </c>
      <c r="C935" s="3">
        <v>1</v>
      </c>
      <c r="D935" s="5">
        <v>9.99</v>
      </c>
      <c r="E935" s="3" t="s">
        <v>9241</v>
      </c>
      <c r="F935" s="2" t="s">
        <v>79</v>
      </c>
      <c r="G935" s="6" t="s">
        <v>181</v>
      </c>
      <c r="H935" s="2" t="s">
        <v>1473</v>
      </c>
      <c r="I935" s="2" t="s">
        <v>1426</v>
      </c>
      <c r="J935" s="2" t="s">
        <v>19</v>
      </c>
      <c r="K935" s="2" t="s">
        <v>648</v>
      </c>
      <c r="L935" s="7" t="str">
        <f>HYPERLINK("http://slimages.macys.com/is/image/MCY/10918744 ")</f>
        <v xml:space="preserve">http://slimages.macys.com/is/image/MCY/10918744 </v>
      </c>
    </row>
    <row r="936" spans="1:12" ht="24.75" x14ac:dyDescent="0.25">
      <c r="A936" s="4" t="s">
        <v>12658</v>
      </c>
      <c r="B936" s="2" t="s">
        <v>9240</v>
      </c>
      <c r="C936" s="3">
        <v>1</v>
      </c>
      <c r="D936" s="5">
        <v>9.99</v>
      </c>
      <c r="E936" s="3" t="s">
        <v>9243</v>
      </c>
      <c r="F936" s="2" t="s">
        <v>74</v>
      </c>
      <c r="G936" s="6" t="s">
        <v>181</v>
      </c>
      <c r="H936" s="2" t="s">
        <v>1473</v>
      </c>
      <c r="I936" s="2" t="s">
        <v>1426</v>
      </c>
      <c r="J936" s="2" t="s">
        <v>19</v>
      </c>
      <c r="K936" s="2" t="s">
        <v>648</v>
      </c>
      <c r="L936" s="7" t="str">
        <f>HYPERLINK("http://slimages.macys.com/is/image/MCY/9694020 ")</f>
        <v xml:space="preserve">http://slimages.macys.com/is/image/MCY/9694020 </v>
      </c>
    </row>
    <row r="937" spans="1:12" ht="24.75" x14ac:dyDescent="0.25">
      <c r="A937" s="4" t="s">
        <v>12659</v>
      </c>
      <c r="B937" s="2" t="s">
        <v>11548</v>
      </c>
      <c r="C937" s="3">
        <v>1</v>
      </c>
      <c r="D937" s="5">
        <v>12.99</v>
      </c>
      <c r="E937" s="3" t="s">
        <v>11549</v>
      </c>
      <c r="F937" s="2" t="s">
        <v>64</v>
      </c>
      <c r="G937" s="6"/>
      <c r="H937" s="2" t="s">
        <v>312</v>
      </c>
      <c r="I937" s="2" t="s">
        <v>195</v>
      </c>
      <c r="J937" s="2" t="s">
        <v>19</v>
      </c>
      <c r="K937" s="2" t="s">
        <v>648</v>
      </c>
      <c r="L937" s="7" t="str">
        <f>HYPERLINK("http://slimages.macys.com/is/image/MCY/8157256 ")</f>
        <v xml:space="preserve">http://slimages.macys.com/is/image/MCY/8157256 </v>
      </c>
    </row>
    <row r="938" spans="1:12" ht="24.75" x14ac:dyDescent="0.25">
      <c r="A938" s="4" t="s">
        <v>12660</v>
      </c>
      <c r="B938" s="2" t="s">
        <v>4326</v>
      </c>
      <c r="C938" s="3">
        <v>1</v>
      </c>
      <c r="D938" s="5">
        <v>9.99</v>
      </c>
      <c r="E938" s="3" t="s">
        <v>4327</v>
      </c>
      <c r="F938" s="2" t="s">
        <v>26</v>
      </c>
      <c r="G938" s="6" t="s">
        <v>234</v>
      </c>
      <c r="H938" s="2" t="s">
        <v>1473</v>
      </c>
      <c r="I938" s="2" t="s">
        <v>1426</v>
      </c>
      <c r="J938" s="2" t="s">
        <v>19</v>
      </c>
      <c r="K938" s="2" t="s">
        <v>495</v>
      </c>
      <c r="L938" s="7" t="str">
        <f>HYPERLINK("http://slimages.macys.com/is/image/MCY/10742489 ")</f>
        <v xml:space="preserve">http://slimages.macys.com/is/image/MCY/10742489 </v>
      </c>
    </row>
    <row r="939" spans="1:12" ht="24.75" x14ac:dyDescent="0.25">
      <c r="A939" s="4" t="s">
        <v>12661</v>
      </c>
      <c r="B939" s="2" t="s">
        <v>4326</v>
      </c>
      <c r="C939" s="3">
        <v>1</v>
      </c>
      <c r="D939" s="5">
        <v>9.99</v>
      </c>
      <c r="E939" s="3" t="s">
        <v>4327</v>
      </c>
      <c r="F939" s="2" t="s">
        <v>26</v>
      </c>
      <c r="G939" s="6" t="s">
        <v>154</v>
      </c>
      <c r="H939" s="2" t="s">
        <v>1473</v>
      </c>
      <c r="I939" s="2" t="s">
        <v>1426</v>
      </c>
      <c r="J939" s="2" t="s">
        <v>19</v>
      </c>
      <c r="K939" s="2" t="s">
        <v>495</v>
      </c>
      <c r="L939" s="7" t="str">
        <f>HYPERLINK("http://slimages.macys.com/is/image/MCY/10742489 ")</f>
        <v xml:space="preserve">http://slimages.macys.com/is/image/MCY/10742489 </v>
      </c>
    </row>
    <row r="940" spans="1:12" ht="24.75" x14ac:dyDescent="0.25">
      <c r="A940" s="4" t="s">
        <v>5295</v>
      </c>
      <c r="B940" s="2" t="s">
        <v>2075</v>
      </c>
      <c r="C940" s="3">
        <v>1</v>
      </c>
      <c r="D940" s="5">
        <v>9.99</v>
      </c>
      <c r="E940" s="3" t="s">
        <v>2076</v>
      </c>
      <c r="F940" s="2" t="s">
        <v>15</v>
      </c>
      <c r="G940" s="6" t="s">
        <v>181</v>
      </c>
      <c r="H940" s="2" t="s">
        <v>1473</v>
      </c>
      <c r="I940" s="2" t="s">
        <v>1426</v>
      </c>
      <c r="J940" s="2" t="s">
        <v>19</v>
      </c>
      <c r="K940" s="2" t="s">
        <v>990</v>
      </c>
      <c r="L940" s="7" t="str">
        <f t="shared" ref="L940:L949" si="6">HYPERLINK("http://slimages.macys.com/is/image/MCY/15161436 ")</f>
        <v xml:space="preserve">http://slimages.macys.com/is/image/MCY/15161436 </v>
      </c>
    </row>
    <row r="941" spans="1:12" ht="24.75" x14ac:dyDescent="0.25">
      <c r="A941" s="4" t="s">
        <v>9832</v>
      </c>
      <c r="B941" s="2" t="s">
        <v>2075</v>
      </c>
      <c r="C941" s="3">
        <v>3</v>
      </c>
      <c r="D941" s="5">
        <v>9.99</v>
      </c>
      <c r="E941" s="3" t="s">
        <v>2076</v>
      </c>
      <c r="F941" s="2" t="s">
        <v>74</v>
      </c>
      <c r="G941" s="6" t="s">
        <v>156</v>
      </c>
      <c r="H941" s="2" t="s">
        <v>1473</v>
      </c>
      <c r="I941" s="2" t="s">
        <v>1426</v>
      </c>
      <c r="J941" s="2" t="s">
        <v>19</v>
      </c>
      <c r="K941" s="2" t="s">
        <v>990</v>
      </c>
      <c r="L941" s="7" t="str">
        <f t="shared" si="6"/>
        <v xml:space="preserve">http://slimages.macys.com/is/image/MCY/15161436 </v>
      </c>
    </row>
    <row r="942" spans="1:12" ht="24.75" x14ac:dyDescent="0.25">
      <c r="A942" s="4" t="s">
        <v>9249</v>
      </c>
      <c r="B942" s="2" t="s">
        <v>2075</v>
      </c>
      <c r="C942" s="3">
        <v>1</v>
      </c>
      <c r="D942" s="5">
        <v>9.99</v>
      </c>
      <c r="E942" s="3" t="s">
        <v>2076</v>
      </c>
      <c r="F942" s="2" t="s">
        <v>74</v>
      </c>
      <c r="G942" s="6" t="s">
        <v>245</v>
      </c>
      <c r="H942" s="2" t="s">
        <v>1473</v>
      </c>
      <c r="I942" s="2" t="s">
        <v>1426</v>
      </c>
      <c r="J942" s="2" t="s">
        <v>19</v>
      </c>
      <c r="K942" s="2" t="s">
        <v>990</v>
      </c>
      <c r="L942" s="7" t="str">
        <f t="shared" si="6"/>
        <v xml:space="preserve">http://slimages.macys.com/is/image/MCY/15161436 </v>
      </c>
    </row>
    <row r="943" spans="1:12" ht="24.75" x14ac:dyDescent="0.25">
      <c r="A943" s="4" t="s">
        <v>4333</v>
      </c>
      <c r="B943" s="2" t="s">
        <v>2075</v>
      </c>
      <c r="C943" s="3">
        <v>1</v>
      </c>
      <c r="D943" s="5">
        <v>9.99</v>
      </c>
      <c r="E943" s="3" t="s">
        <v>2076</v>
      </c>
      <c r="F943" s="2" t="s">
        <v>74</v>
      </c>
      <c r="G943" s="6" t="s">
        <v>234</v>
      </c>
      <c r="H943" s="2" t="s">
        <v>1473</v>
      </c>
      <c r="I943" s="2" t="s">
        <v>1426</v>
      </c>
      <c r="J943" s="2" t="s">
        <v>19</v>
      </c>
      <c r="K943" s="2" t="s">
        <v>990</v>
      </c>
      <c r="L943" s="7" t="str">
        <f t="shared" si="6"/>
        <v xml:space="preserve">http://slimages.macys.com/is/image/MCY/15161436 </v>
      </c>
    </row>
    <row r="944" spans="1:12" ht="24.75" x14ac:dyDescent="0.25">
      <c r="A944" s="4" t="s">
        <v>4331</v>
      </c>
      <c r="B944" s="2" t="s">
        <v>2075</v>
      </c>
      <c r="C944" s="3">
        <v>1</v>
      </c>
      <c r="D944" s="5">
        <v>9.99</v>
      </c>
      <c r="E944" s="3" t="s">
        <v>2076</v>
      </c>
      <c r="F944" s="2" t="s">
        <v>1945</v>
      </c>
      <c r="G944" s="6" t="s">
        <v>156</v>
      </c>
      <c r="H944" s="2" t="s">
        <v>1473</v>
      </c>
      <c r="I944" s="2" t="s">
        <v>1426</v>
      </c>
      <c r="J944" s="2" t="s">
        <v>19</v>
      </c>
      <c r="K944" s="2" t="s">
        <v>990</v>
      </c>
      <c r="L944" s="7" t="str">
        <f t="shared" si="6"/>
        <v xml:space="preserve">http://slimages.macys.com/is/image/MCY/15161436 </v>
      </c>
    </row>
    <row r="945" spans="1:12" ht="24.75" x14ac:dyDescent="0.25">
      <c r="A945" s="4" t="s">
        <v>7742</v>
      </c>
      <c r="B945" s="2" t="s">
        <v>2075</v>
      </c>
      <c r="C945" s="3">
        <v>1</v>
      </c>
      <c r="D945" s="5">
        <v>9.99</v>
      </c>
      <c r="E945" s="3" t="s">
        <v>2076</v>
      </c>
      <c r="F945" s="2" t="s">
        <v>74</v>
      </c>
      <c r="G945" s="6" t="s">
        <v>181</v>
      </c>
      <c r="H945" s="2" t="s">
        <v>1473</v>
      </c>
      <c r="I945" s="2" t="s">
        <v>1426</v>
      </c>
      <c r="J945" s="2" t="s">
        <v>19</v>
      </c>
      <c r="K945" s="2" t="s">
        <v>990</v>
      </c>
      <c r="L945" s="7" t="str">
        <f t="shared" si="6"/>
        <v xml:space="preserve">http://slimages.macys.com/is/image/MCY/15161436 </v>
      </c>
    </row>
    <row r="946" spans="1:12" ht="24.75" x14ac:dyDescent="0.25">
      <c r="A946" s="4" t="s">
        <v>12662</v>
      </c>
      <c r="B946" s="2" t="s">
        <v>2075</v>
      </c>
      <c r="C946" s="3">
        <v>1</v>
      </c>
      <c r="D946" s="5">
        <v>9.99</v>
      </c>
      <c r="E946" s="3" t="s">
        <v>2076</v>
      </c>
      <c r="F946" s="2" t="s">
        <v>70</v>
      </c>
      <c r="G946" s="6" t="s">
        <v>245</v>
      </c>
      <c r="H946" s="2" t="s">
        <v>1473</v>
      </c>
      <c r="I946" s="2" t="s">
        <v>1426</v>
      </c>
      <c r="J946" s="2" t="s">
        <v>19</v>
      </c>
      <c r="K946" s="2" t="s">
        <v>990</v>
      </c>
      <c r="L946" s="7" t="str">
        <f t="shared" si="6"/>
        <v xml:space="preserve">http://slimages.macys.com/is/image/MCY/15161436 </v>
      </c>
    </row>
    <row r="947" spans="1:12" ht="24.75" x14ac:dyDescent="0.25">
      <c r="A947" s="4" t="s">
        <v>12663</v>
      </c>
      <c r="B947" s="2" t="s">
        <v>2075</v>
      </c>
      <c r="C947" s="3">
        <v>1</v>
      </c>
      <c r="D947" s="5">
        <v>9.99</v>
      </c>
      <c r="E947" s="3" t="s">
        <v>2076</v>
      </c>
      <c r="F947" s="2" t="s">
        <v>26</v>
      </c>
      <c r="G947" s="6" t="s">
        <v>200</v>
      </c>
      <c r="H947" s="2" t="s">
        <v>1473</v>
      </c>
      <c r="I947" s="2" t="s">
        <v>1426</v>
      </c>
      <c r="J947" s="2" t="s">
        <v>19</v>
      </c>
      <c r="K947" s="2" t="s">
        <v>990</v>
      </c>
      <c r="L947" s="7" t="str">
        <f t="shared" si="6"/>
        <v xml:space="preserve">http://slimages.macys.com/is/image/MCY/15161436 </v>
      </c>
    </row>
    <row r="948" spans="1:12" ht="24.75" x14ac:dyDescent="0.25">
      <c r="A948" s="4" t="s">
        <v>12664</v>
      </c>
      <c r="B948" s="2" t="s">
        <v>2075</v>
      </c>
      <c r="C948" s="3">
        <v>1</v>
      </c>
      <c r="D948" s="5">
        <v>9.99</v>
      </c>
      <c r="E948" s="3" t="s">
        <v>2076</v>
      </c>
      <c r="F948" s="2" t="s">
        <v>671</v>
      </c>
      <c r="G948" s="6" t="s">
        <v>156</v>
      </c>
      <c r="H948" s="2" t="s">
        <v>1473</v>
      </c>
      <c r="I948" s="2" t="s">
        <v>1426</v>
      </c>
      <c r="J948" s="2" t="s">
        <v>19</v>
      </c>
      <c r="K948" s="2" t="s">
        <v>990</v>
      </c>
      <c r="L948" s="7" t="str">
        <f t="shared" si="6"/>
        <v xml:space="preserve">http://slimages.macys.com/is/image/MCY/15161436 </v>
      </c>
    </row>
    <row r="949" spans="1:12" ht="24.75" x14ac:dyDescent="0.25">
      <c r="A949" s="4" t="s">
        <v>5291</v>
      </c>
      <c r="B949" s="2" t="s">
        <v>2075</v>
      </c>
      <c r="C949" s="3">
        <v>1</v>
      </c>
      <c r="D949" s="5">
        <v>9.99</v>
      </c>
      <c r="E949" s="3" t="s">
        <v>2076</v>
      </c>
      <c r="F949" s="2" t="s">
        <v>15</v>
      </c>
      <c r="G949" s="6" t="s">
        <v>156</v>
      </c>
      <c r="H949" s="2" t="s">
        <v>1473</v>
      </c>
      <c r="I949" s="2" t="s">
        <v>1426</v>
      </c>
      <c r="J949" s="2" t="s">
        <v>19</v>
      </c>
      <c r="K949" s="2" t="s">
        <v>990</v>
      </c>
      <c r="L949" s="7" t="str">
        <f t="shared" si="6"/>
        <v xml:space="preserve">http://slimages.macys.com/is/image/MCY/15161436 </v>
      </c>
    </row>
    <row r="950" spans="1:12" ht="24.75" x14ac:dyDescent="0.25">
      <c r="A950" s="4" t="s">
        <v>12665</v>
      </c>
      <c r="B950" s="2" t="s">
        <v>11412</v>
      </c>
      <c r="C950" s="3">
        <v>1</v>
      </c>
      <c r="D950" s="5">
        <v>9.99</v>
      </c>
      <c r="E950" s="3" t="s">
        <v>11413</v>
      </c>
      <c r="F950" s="2" t="s">
        <v>199</v>
      </c>
      <c r="G950" s="6" t="s">
        <v>156</v>
      </c>
      <c r="H950" s="2" t="s">
        <v>1473</v>
      </c>
      <c r="I950" s="2" t="s">
        <v>1426</v>
      </c>
      <c r="J950" s="2" t="s">
        <v>19</v>
      </c>
      <c r="K950" s="2" t="s">
        <v>648</v>
      </c>
      <c r="L950" s="7" t="str">
        <f>HYPERLINK("http://slimages.macys.com/is/image/MCY/9803162 ")</f>
        <v xml:space="preserve">http://slimages.macys.com/is/image/MCY/9803162 </v>
      </c>
    </row>
    <row r="951" spans="1:12" ht="24.75" x14ac:dyDescent="0.25">
      <c r="A951" s="4" t="s">
        <v>12666</v>
      </c>
      <c r="B951" s="2" t="s">
        <v>11412</v>
      </c>
      <c r="C951" s="3">
        <v>1</v>
      </c>
      <c r="D951" s="5">
        <v>9.99</v>
      </c>
      <c r="E951" s="3" t="s">
        <v>11413</v>
      </c>
      <c r="F951" s="2" t="s">
        <v>64</v>
      </c>
      <c r="G951" s="6" t="s">
        <v>156</v>
      </c>
      <c r="H951" s="2" t="s">
        <v>1473</v>
      </c>
      <c r="I951" s="2" t="s">
        <v>1426</v>
      </c>
      <c r="J951" s="2" t="s">
        <v>19</v>
      </c>
      <c r="K951" s="2" t="s">
        <v>648</v>
      </c>
      <c r="L951" s="7" t="str">
        <f>HYPERLINK("http://slimages.macys.com/is/image/MCY/9803162 ")</f>
        <v xml:space="preserve">http://slimages.macys.com/is/image/MCY/9803162 </v>
      </c>
    </row>
    <row r="952" spans="1:12" ht="24.75" x14ac:dyDescent="0.25">
      <c r="A952" s="4" t="s">
        <v>12667</v>
      </c>
      <c r="B952" s="2" t="s">
        <v>2087</v>
      </c>
      <c r="C952" s="3">
        <v>1</v>
      </c>
      <c r="D952" s="5">
        <v>9.99</v>
      </c>
      <c r="E952" s="3" t="s">
        <v>2088</v>
      </c>
      <c r="F952" s="2" t="s">
        <v>1945</v>
      </c>
      <c r="G952" s="6" t="s">
        <v>181</v>
      </c>
      <c r="H952" s="2" t="s">
        <v>1473</v>
      </c>
      <c r="I952" s="2" t="s">
        <v>1426</v>
      </c>
      <c r="J952" s="2" t="s">
        <v>19</v>
      </c>
      <c r="K952" s="2" t="s">
        <v>648</v>
      </c>
      <c r="L952" s="7" t="str">
        <f>HYPERLINK("http://slimages.macys.com/is/image/MCY/3559834 ")</f>
        <v xml:space="preserve">http://slimages.macys.com/is/image/MCY/3559834 </v>
      </c>
    </row>
    <row r="953" spans="1:12" ht="24.75" x14ac:dyDescent="0.25">
      <c r="A953" s="4" t="s">
        <v>11564</v>
      </c>
      <c r="B953" s="2" t="s">
        <v>2087</v>
      </c>
      <c r="C953" s="3">
        <v>1</v>
      </c>
      <c r="D953" s="5">
        <v>9.99</v>
      </c>
      <c r="E953" s="3" t="s">
        <v>2088</v>
      </c>
      <c r="F953" s="2" t="s">
        <v>74</v>
      </c>
      <c r="G953" s="6" t="s">
        <v>200</v>
      </c>
      <c r="H953" s="2" t="s">
        <v>1473</v>
      </c>
      <c r="I953" s="2" t="s">
        <v>1426</v>
      </c>
      <c r="J953" s="2" t="s">
        <v>19</v>
      </c>
      <c r="K953" s="2" t="s">
        <v>648</v>
      </c>
      <c r="L953" s="7" t="str">
        <f>HYPERLINK("http://slimages.macys.com/is/image/MCY/3559834 ")</f>
        <v xml:space="preserve">http://slimages.macys.com/is/image/MCY/3559834 </v>
      </c>
    </row>
    <row r="954" spans="1:12" ht="24.75" x14ac:dyDescent="0.25">
      <c r="A954" s="4" t="s">
        <v>12668</v>
      </c>
      <c r="B954" s="2" t="s">
        <v>2087</v>
      </c>
      <c r="C954" s="3">
        <v>1</v>
      </c>
      <c r="D954" s="5">
        <v>9.99</v>
      </c>
      <c r="E954" s="3" t="s">
        <v>2088</v>
      </c>
      <c r="F954" s="2" t="s">
        <v>26</v>
      </c>
      <c r="G954" s="6" t="s">
        <v>181</v>
      </c>
      <c r="H954" s="2" t="s">
        <v>1473</v>
      </c>
      <c r="I954" s="2" t="s">
        <v>1426</v>
      </c>
      <c r="J954" s="2" t="s">
        <v>19</v>
      </c>
      <c r="K954" s="2" t="s">
        <v>648</v>
      </c>
      <c r="L954" s="7" t="str">
        <f>HYPERLINK("http://slimages.macys.com/is/image/MCY/3559834 ")</f>
        <v xml:space="preserve">http://slimages.macys.com/is/image/MCY/3559834 </v>
      </c>
    </row>
    <row r="955" spans="1:12" ht="24.75" x14ac:dyDescent="0.25">
      <c r="A955" s="4" t="s">
        <v>12669</v>
      </c>
      <c r="B955" s="2" t="s">
        <v>11412</v>
      </c>
      <c r="C955" s="3">
        <v>1</v>
      </c>
      <c r="D955" s="5">
        <v>9.99</v>
      </c>
      <c r="E955" s="3" t="s">
        <v>11413</v>
      </c>
      <c r="F955" s="2" t="s">
        <v>85</v>
      </c>
      <c r="G955" s="6" t="s">
        <v>181</v>
      </c>
      <c r="H955" s="2" t="s">
        <v>1473</v>
      </c>
      <c r="I955" s="2" t="s">
        <v>1426</v>
      </c>
      <c r="J955" s="2" t="s">
        <v>19</v>
      </c>
      <c r="K955" s="2" t="s">
        <v>648</v>
      </c>
      <c r="L955" s="7" t="str">
        <f>HYPERLINK("http://slimages.macys.com/is/image/MCY/9803162 ")</f>
        <v xml:space="preserve">http://slimages.macys.com/is/image/MCY/9803162 </v>
      </c>
    </row>
    <row r="956" spans="1:12" ht="24.75" x14ac:dyDescent="0.25">
      <c r="A956" s="4" t="s">
        <v>12670</v>
      </c>
      <c r="B956" s="2" t="s">
        <v>11412</v>
      </c>
      <c r="C956" s="3">
        <v>1</v>
      </c>
      <c r="D956" s="5">
        <v>9.99</v>
      </c>
      <c r="E956" s="3" t="s">
        <v>11413</v>
      </c>
      <c r="F956" s="2" t="s">
        <v>199</v>
      </c>
      <c r="G956" s="6" t="s">
        <v>154</v>
      </c>
      <c r="H956" s="2" t="s">
        <v>1473</v>
      </c>
      <c r="I956" s="2" t="s">
        <v>1426</v>
      </c>
      <c r="J956" s="2" t="s">
        <v>19</v>
      </c>
      <c r="K956" s="2" t="s">
        <v>648</v>
      </c>
      <c r="L956" s="7" t="str">
        <f>HYPERLINK("http://slimages.macys.com/is/image/MCY/9803162 ")</f>
        <v xml:space="preserve">http://slimages.macys.com/is/image/MCY/9803162 </v>
      </c>
    </row>
    <row r="957" spans="1:12" ht="24.75" x14ac:dyDescent="0.25">
      <c r="A957" s="4" t="s">
        <v>9842</v>
      </c>
      <c r="B957" s="2" t="s">
        <v>6986</v>
      </c>
      <c r="C957" s="3">
        <v>1</v>
      </c>
      <c r="D957" s="5">
        <v>9.99</v>
      </c>
      <c r="E957" s="3" t="s">
        <v>6987</v>
      </c>
      <c r="F957" s="2" t="s">
        <v>331</v>
      </c>
      <c r="G957" s="6" t="s">
        <v>234</v>
      </c>
      <c r="H957" s="2" t="s">
        <v>1473</v>
      </c>
      <c r="I957" s="2" t="s">
        <v>1426</v>
      </c>
      <c r="J957" s="2" t="s">
        <v>19</v>
      </c>
      <c r="K957" s="2" t="s">
        <v>495</v>
      </c>
      <c r="L957" s="7" t="str">
        <f>HYPERLINK("http://slimages.macys.com/is/image/MCY/12327069 ")</f>
        <v xml:space="preserve">http://slimages.macys.com/is/image/MCY/12327069 </v>
      </c>
    </row>
    <row r="958" spans="1:12" ht="24.75" x14ac:dyDescent="0.25">
      <c r="A958" s="4" t="s">
        <v>12671</v>
      </c>
      <c r="B958" s="2" t="s">
        <v>6986</v>
      </c>
      <c r="C958" s="3">
        <v>1</v>
      </c>
      <c r="D958" s="5">
        <v>9.99</v>
      </c>
      <c r="E958" s="3" t="s">
        <v>6987</v>
      </c>
      <c r="F958" s="2" t="s">
        <v>331</v>
      </c>
      <c r="G958" s="6" t="s">
        <v>154</v>
      </c>
      <c r="H958" s="2" t="s">
        <v>1473</v>
      </c>
      <c r="I958" s="2" t="s">
        <v>1426</v>
      </c>
      <c r="J958" s="2" t="s">
        <v>19</v>
      </c>
      <c r="K958" s="2" t="s">
        <v>495</v>
      </c>
      <c r="L958" s="7" t="str">
        <f>HYPERLINK("http://slimages.macys.com/is/image/MCY/12327069 ")</f>
        <v xml:space="preserve">http://slimages.macys.com/is/image/MCY/12327069 </v>
      </c>
    </row>
    <row r="959" spans="1:12" ht="24.75" x14ac:dyDescent="0.25">
      <c r="A959" s="4" t="s">
        <v>6985</v>
      </c>
      <c r="B959" s="2" t="s">
        <v>6986</v>
      </c>
      <c r="C959" s="3">
        <v>1</v>
      </c>
      <c r="D959" s="5">
        <v>9.99</v>
      </c>
      <c r="E959" s="3" t="s">
        <v>6987</v>
      </c>
      <c r="F959" s="2" t="s">
        <v>331</v>
      </c>
      <c r="G959" s="6" t="s">
        <v>245</v>
      </c>
      <c r="H959" s="2" t="s">
        <v>1473</v>
      </c>
      <c r="I959" s="2" t="s">
        <v>1426</v>
      </c>
      <c r="J959" s="2" t="s">
        <v>19</v>
      </c>
      <c r="K959" s="2" t="s">
        <v>495</v>
      </c>
      <c r="L959" s="7" t="str">
        <f>HYPERLINK("http://slimages.macys.com/is/image/MCY/12327069 ")</f>
        <v xml:space="preserve">http://slimages.macys.com/is/image/MCY/12327069 </v>
      </c>
    </row>
    <row r="960" spans="1:12" ht="24.75" x14ac:dyDescent="0.25">
      <c r="A960" s="4" t="s">
        <v>12672</v>
      </c>
      <c r="B960" s="2" t="s">
        <v>12673</v>
      </c>
      <c r="C960" s="3">
        <v>1</v>
      </c>
      <c r="D960" s="5">
        <v>9.99</v>
      </c>
      <c r="E960" s="3" t="s">
        <v>12674</v>
      </c>
      <c r="F960" s="2" t="s">
        <v>26</v>
      </c>
      <c r="G960" s="6" t="s">
        <v>181</v>
      </c>
      <c r="H960" s="2" t="s">
        <v>1473</v>
      </c>
      <c r="I960" s="2" t="s">
        <v>1426</v>
      </c>
      <c r="J960" s="2" t="s">
        <v>19</v>
      </c>
      <c r="K960" s="2" t="s">
        <v>495</v>
      </c>
      <c r="L960" s="7" t="str">
        <f>HYPERLINK("http://slimages.macys.com/is/image/MCY/11689233 ")</f>
        <v xml:space="preserve">http://slimages.macys.com/is/image/MCY/11689233 </v>
      </c>
    </row>
    <row r="961" spans="1:12" ht="24.75" x14ac:dyDescent="0.25">
      <c r="A961" s="4" t="s">
        <v>12675</v>
      </c>
      <c r="B961" s="2" t="s">
        <v>12673</v>
      </c>
      <c r="C961" s="3">
        <v>1</v>
      </c>
      <c r="D961" s="5">
        <v>9.99</v>
      </c>
      <c r="E961" s="3" t="s">
        <v>12674</v>
      </c>
      <c r="F961" s="2" t="s">
        <v>26</v>
      </c>
      <c r="G961" s="6" t="s">
        <v>154</v>
      </c>
      <c r="H961" s="2" t="s">
        <v>1473</v>
      </c>
      <c r="I961" s="2" t="s">
        <v>1426</v>
      </c>
      <c r="J961" s="2" t="s">
        <v>19</v>
      </c>
      <c r="K961" s="2" t="s">
        <v>495</v>
      </c>
      <c r="L961" s="7" t="str">
        <f>HYPERLINK("http://slimages.macys.com/is/image/MCY/11689233 ")</f>
        <v xml:space="preserve">http://slimages.macys.com/is/image/MCY/11689233 </v>
      </c>
    </row>
    <row r="962" spans="1:12" ht="24.75" x14ac:dyDescent="0.25">
      <c r="A962" s="4" t="s">
        <v>12676</v>
      </c>
      <c r="B962" s="2" t="s">
        <v>11568</v>
      </c>
      <c r="C962" s="3">
        <v>1</v>
      </c>
      <c r="D962" s="5">
        <v>9.99</v>
      </c>
      <c r="E962" s="3" t="s">
        <v>12677</v>
      </c>
      <c r="F962" s="2" t="s">
        <v>820</v>
      </c>
      <c r="G962" s="6" t="s">
        <v>156</v>
      </c>
      <c r="H962" s="2" t="s">
        <v>1473</v>
      </c>
      <c r="I962" s="2" t="s">
        <v>1426</v>
      </c>
      <c r="J962" s="2" t="s">
        <v>19</v>
      </c>
      <c r="K962" s="2" t="s">
        <v>495</v>
      </c>
      <c r="L962" s="7" t="str">
        <f>HYPERLINK("http://slimages.macys.com/is/image/MCY/11531530 ")</f>
        <v xml:space="preserve">http://slimages.macys.com/is/image/MCY/11531530 </v>
      </c>
    </row>
    <row r="963" spans="1:12" ht="24.75" x14ac:dyDescent="0.25">
      <c r="A963" s="4" t="s">
        <v>12678</v>
      </c>
      <c r="B963" s="2" t="s">
        <v>12673</v>
      </c>
      <c r="C963" s="3">
        <v>1</v>
      </c>
      <c r="D963" s="5">
        <v>9.99</v>
      </c>
      <c r="E963" s="3" t="s">
        <v>12674</v>
      </c>
      <c r="F963" s="2" t="s">
        <v>26</v>
      </c>
      <c r="G963" s="6" t="s">
        <v>156</v>
      </c>
      <c r="H963" s="2" t="s">
        <v>1473</v>
      </c>
      <c r="I963" s="2" t="s">
        <v>1426</v>
      </c>
      <c r="J963" s="2" t="s">
        <v>19</v>
      </c>
      <c r="K963" s="2" t="s">
        <v>495</v>
      </c>
      <c r="L963" s="7" t="str">
        <f>HYPERLINK("http://slimages.macys.com/is/image/MCY/11689233 ")</f>
        <v xml:space="preserve">http://slimages.macys.com/is/image/MCY/11689233 </v>
      </c>
    </row>
    <row r="964" spans="1:12" ht="24.75" x14ac:dyDescent="0.25">
      <c r="A964" s="4" t="s">
        <v>12679</v>
      </c>
      <c r="B964" s="2" t="s">
        <v>11568</v>
      </c>
      <c r="C964" s="3">
        <v>1</v>
      </c>
      <c r="D964" s="5">
        <v>9.99</v>
      </c>
      <c r="E964" s="3" t="s">
        <v>12677</v>
      </c>
      <c r="F964" s="2" t="s">
        <v>820</v>
      </c>
      <c r="G964" s="6" t="s">
        <v>245</v>
      </c>
      <c r="H964" s="2" t="s">
        <v>1473</v>
      </c>
      <c r="I964" s="2" t="s">
        <v>1426</v>
      </c>
      <c r="J964" s="2" t="s">
        <v>19</v>
      </c>
      <c r="K964" s="2" t="s">
        <v>495</v>
      </c>
      <c r="L964" s="7" t="str">
        <f>HYPERLINK("http://slimages.macys.com/is/image/MCY/11531530 ")</f>
        <v xml:space="preserve">http://slimages.macys.com/is/image/MCY/11531530 </v>
      </c>
    </row>
    <row r="965" spans="1:12" ht="24.75" x14ac:dyDescent="0.25">
      <c r="A965" s="4" t="s">
        <v>12680</v>
      </c>
      <c r="B965" s="2" t="s">
        <v>11568</v>
      </c>
      <c r="C965" s="3">
        <v>2</v>
      </c>
      <c r="D965" s="5">
        <v>9.99</v>
      </c>
      <c r="E965" s="3" t="s">
        <v>12677</v>
      </c>
      <c r="F965" s="2" t="s">
        <v>94</v>
      </c>
      <c r="G965" s="6" t="s">
        <v>181</v>
      </c>
      <c r="H965" s="2" t="s">
        <v>1473</v>
      </c>
      <c r="I965" s="2" t="s">
        <v>1426</v>
      </c>
      <c r="J965" s="2" t="s">
        <v>19</v>
      </c>
      <c r="K965" s="2" t="s">
        <v>495</v>
      </c>
      <c r="L965" s="7" t="str">
        <f>HYPERLINK("http://slimages.macys.com/is/image/MCY/11531530 ")</f>
        <v xml:space="preserve">http://slimages.macys.com/is/image/MCY/11531530 </v>
      </c>
    </row>
    <row r="966" spans="1:12" ht="24.75" x14ac:dyDescent="0.25">
      <c r="A966" s="4" t="s">
        <v>12681</v>
      </c>
      <c r="B966" s="2" t="s">
        <v>11572</v>
      </c>
      <c r="C966" s="3">
        <v>1</v>
      </c>
      <c r="D966" s="5">
        <v>9.99</v>
      </c>
      <c r="E966" s="3" t="s">
        <v>4348</v>
      </c>
      <c r="F966" s="2" t="s">
        <v>74</v>
      </c>
      <c r="G966" s="6" t="s">
        <v>245</v>
      </c>
      <c r="H966" s="2" t="s">
        <v>1473</v>
      </c>
      <c r="I966" s="2" t="s">
        <v>1426</v>
      </c>
      <c r="J966" s="2" t="s">
        <v>19</v>
      </c>
      <c r="K966" s="2" t="s">
        <v>648</v>
      </c>
      <c r="L966" s="7" t="str">
        <f>HYPERLINK("http://slimages.macys.com/is/image/MCY/3559834 ")</f>
        <v xml:space="preserve">http://slimages.macys.com/is/image/MCY/3559834 </v>
      </c>
    </row>
    <row r="967" spans="1:12" ht="24.75" x14ac:dyDescent="0.25">
      <c r="A967" s="4" t="s">
        <v>12682</v>
      </c>
      <c r="B967" s="2" t="s">
        <v>3265</v>
      </c>
      <c r="C967" s="3">
        <v>2</v>
      </c>
      <c r="D967" s="5">
        <v>9.99</v>
      </c>
      <c r="E967" s="3" t="s">
        <v>7009</v>
      </c>
      <c r="F967" s="2" t="s">
        <v>3267</v>
      </c>
      <c r="G967" s="6"/>
      <c r="H967" s="2" t="s">
        <v>1425</v>
      </c>
      <c r="I967" s="2" t="s">
        <v>1426</v>
      </c>
      <c r="J967" s="2" t="s">
        <v>19</v>
      </c>
      <c r="K967" s="2" t="s">
        <v>495</v>
      </c>
      <c r="L967" s="7" t="str">
        <f>HYPERLINK("http://slimages.macys.com/is/image/MCY/11532809 ")</f>
        <v xml:space="preserve">http://slimages.macys.com/is/image/MCY/11532809 </v>
      </c>
    </row>
    <row r="968" spans="1:12" ht="24.75" x14ac:dyDescent="0.25">
      <c r="A968" s="4" t="s">
        <v>12683</v>
      </c>
      <c r="B968" s="2" t="s">
        <v>3265</v>
      </c>
      <c r="C968" s="3">
        <v>1</v>
      </c>
      <c r="D968" s="5">
        <v>9.99</v>
      </c>
      <c r="E968" s="3" t="s">
        <v>7009</v>
      </c>
      <c r="F968" s="2" t="s">
        <v>3267</v>
      </c>
      <c r="G968" s="6" t="s">
        <v>187</v>
      </c>
      <c r="H968" s="2" t="s">
        <v>1425</v>
      </c>
      <c r="I968" s="2" t="s">
        <v>1426</v>
      </c>
      <c r="J968" s="2" t="s">
        <v>19</v>
      </c>
      <c r="K968" s="2" t="s">
        <v>495</v>
      </c>
      <c r="L968" s="7" t="str">
        <f>HYPERLINK("http://slimages.macys.com/is/image/MCY/11532809 ")</f>
        <v xml:space="preserve">http://slimages.macys.com/is/image/MCY/11532809 </v>
      </c>
    </row>
    <row r="969" spans="1:12" ht="24.75" x14ac:dyDescent="0.25">
      <c r="A969" s="4" t="s">
        <v>12684</v>
      </c>
      <c r="B969" s="2" t="s">
        <v>11577</v>
      </c>
      <c r="C969" s="3">
        <v>1</v>
      </c>
      <c r="D969" s="5">
        <v>9.99</v>
      </c>
      <c r="E969" s="3" t="s">
        <v>12685</v>
      </c>
      <c r="F969" s="2" t="s">
        <v>26</v>
      </c>
      <c r="G969" s="6"/>
      <c r="H969" s="2" t="s">
        <v>1425</v>
      </c>
      <c r="I969" s="2" t="s">
        <v>1426</v>
      </c>
      <c r="J969" s="2" t="s">
        <v>19</v>
      </c>
      <c r="K969" s="2" t="s">
        <v>495</v>
      </c>
      <c r="L969" s="7" t="str">
        <f>HYPERLINK("http://slimages.macys.com/is/image/MCY/11517430 ")</f>
        <v xml:space="preserve">http://slimages.macys.com/is/image/MCY/11517430 </v>
      </c>
    </row>
    <row r="970" spans="1:12" ht="24.75" x14ac:dyDescent="0.25">
      <c r="A970" s="4" t="s">
        <v>7753</v>
      </c>
      <c r="B970" s="2" t="s">
        <v>2110</v>
      </c>
      <c r="C970" s="3">
        <v>1</v>
      </c>
      <c r="D970" s="5">
        <v>9.99</v>
      </c>
      <c r="E970" s="3" t="s">
        <v>2111</v>
      </c>
      <c r="F970" s="2" t="s">
        <v>1322</v>
      </c>
      <c r="G970" s="6" t="s">
        <v>181</v>
      </c>
      <c r="H970" s="2" t="s">
        <v>1473</v>
      </c>
      <c r="I970" s="2" t="s">
        <v>1426</v>
      </c>
      <c r="J970" s="2" t="s">
        <v>19</v>
      </c>
      <c r="K970" s="2" t="s">
        <v>648</v>
      </c>
      <c r="L970" s="7" t="str">
        <f>HYPERLINK("http://slimages.macys.com/is/image/MCY/10746456 ")</f>
        <v xml:space="preserve">http://slimages.macys.com/is/image/MCY/10746456 </v>
      </c>
    </row>
    <row r="971" spans="1:12" ht="24.75" x14ac:dyDescent="0.25">
      <c r="A971" s="4" t="s">
        <v>12686</v>
      </c>
      <c r="B971" s="2" t="s">
        <v>3265</v>
      </c>
      <c r="C971" s="3">
        <v>1</v>
      </c>
      <c r="D971" s="5">
        <v>9.99</v>
      </c>
      <c r="E971" s="3" t="s">
        <v>7009</v>
      </c>
      <c r="F971" s="2" t="s">
        <v>33</v>
      </c>
      <c r="G971" s="6" t="s">
        <v>219</v>
      </c>
      <c r="H971" s="2" t="s">
        <v>1425</v>
      </c>
      <c r="I971" s="2" t="s">
        <v>1426</v>
      </c>
      <c r="J971" s="2" t="s">
        <v>19</v>
      </c>
      <c r="K971" s="2" t="s">
        <v>495</v>
      </c>
      <c r="L971" s="7" t="str">
        <f>HYPERLINK("http://slimages.macys.com/is/image/MCY/11532809 ")</f>
        <v xml:space="preserve">http://slimages.macys.com/is/image/MCY/11532809 </v>
      </c>
    </row>
    <row r="972" spans="1:12" ht="24.75" x14ac:dyDescent="0.25">
      <c r="A972" s="4" t="s">
        <v>12687</v>
      </c>
      <c r="B972" s="2" t="s">
        <v>3265</v>
      </c>
      <c r="C972" s="3">
        <v>1</v>
      </c>
      <c r="D972" s="5">
        <v>9.99</v>
      </c>
      <c r="E972" s="3" t="s">
        <v>7009</v>
      </c>
      <c r="F972" s="2" t="s">
        <v>3267</v>
      </c>
      <c r="G972" s="6"/>
      <c r="H972" s="2" t="s">
        <v>1425</v>
      </c>
      <c r="I972" s="2" t="s">
        <v>1426</v>
      </c>
      <c r="J972" s="2" t="s">
        <v>19</v>
      </c>
      <c r="K972" s="2" t="s">
        <v>495</v>
      </c>
      <c r="L972" s="7" t="str">
        <f>HYPERLINK("http://slimages.macys.com/is/image/MCY/11532809 ")</f>
        <v xml:space="preserve">http://slimages.macys.com/is/image/MCY/11532809 </v>
      </c>
    </row>
    <row r="973" spans="1:12" ht="24.75" x14ac:dyDescent="0.25">
      <c r="A973" s="4" t="s">
        <v>12688</v>
      </c>
      <c r="B973" s="2" t="s">
        <v>3265</v>
      </c>
      <c r="C973" s="3">
        <v>1</v>
      </c>
      <c r="D973" s="5">
        <v>9.99</v>
      </c>
      <c r="E973" s="3" t="s">
        <v>7009</v>
      </c>
      <c r="F973" s="2" t="s">
        <v>33</v>
      </c>
      <c r="G973" s="6"/>
      <c r="H973" s="2" t="s">
        <v>1425</v>
      </c>
      <c r="I973" s="2" t="s">
        <v>1426</v>
      </c>
      <c r="J973" s="2" t="s">
        <v>19</v>
      </c>
      <c r="K973" s="2" t="s">
        <v>495</v>
      </c>
      <c r="L973" s="7" t="str">
        <f>HYPERLINK("http://slimages.macys.com/is/image/MCY/11532809 ")</f>
        <v xml:space="preserve">http://slimages.macys.com/is/image/MCY/11532809 </v>
      </c>
    </row>
    <row r="974" spans="1:12" ht="24.75" x14ac:dyDescent="0.25">
      <c r="A974" s="4" t="s">
        <v>8413</v>
      </c>
      <c r="B974" s="2" t="s">
        <v>2100</v>
      </c>
      <c r="C974" s="3">
        <v>1</v>
      </c>
      <c r="D974" s="5">
        <v>9.99</v>
      </c>
      <c r="E974" s="3" t="s">
        <v>2101</v>
      </c>
      <c r="F974" s="2" t="s">
        <v>26</v>
      </c>
      <c r="G974" s="6" t="s">
        <v>156</v>
      </c>
      <c r="H974" s="2" t="s">
        <v>1473</v>
      </c>
      <c r="I974" s="2" t="s">
        <v>1426</v>
      </c>
      <c r="J974" s="2" t="s">
        <v>19</v>
      </c>
      <c r="K974" s="2" t="s">
        <v>495</v>
      </c>
      <c r="L974" s="7" t="str">
        <f>HYPERLINK("http://slimages.macys.com/is/image/MCY/11774903 ")</f>
        <v xml:space="preserve">http://slimages.macys.com/is/image/MCY/11774903 </v>
      </c>
    </row>
    <row r="975" spans="1:12" ht="24.75" x14ac:dyDescent="0.25">
      <c r="A975" s="4" t="s">
        <v>12689</v>
      </c>
      <c r="B975" s="2" t="s">
        <v>12690</v>
      </c>
      <c r="C975" s="3">
        <v>1</v>
      </c>
      <c r="D975" s="5">
        <v>9.99</v>
      </c>
      <c r="E975" s="3" t="s">
        <v>12691</v>
      </c>
      <c r="F975" s="2" t="s">
        <v>85</v>
      </c>
      <c r="G975" s="6" t="s">
        <v>200</v>
      </c>
      <c r="H975" s="2" t="s">
        <v>1473</v>
      </c>
      <c r="I975" s="2" t="s">
        <v>1426</v>
      </c>
      <c r="J975" s="2" t="s">
        <v>19</v>
      </c>
      <c r="K975" s="2" t="s">
        <v>107</v>
      </c>
      <c r="L975" s="7" t="str">
        <f>HYPERLINK("http://slimages.macys.com/is/image/MCY/13304037 ")</f>
        <v xml:space="preserve">http://slimages.macys.com/is/image/MCY/13304037 </v>
      </c>
    </row>
    <row r="976" spans="1:12" ht="24.75" x14ac:dyDescent="0.25">
      <c r="A976" s="4" t="s">
        <v>12692</v>
      </c>
      <c r="B976" s="2" t="s">
        <v>12690</v>
      </c>
      <c r="C976" s="3">
        <v>1</v>
      </c>
      <c r="D976" s="5">
        <v>9.99</v>
      </c>
      <c r="E976" s="3" t="s">
        <v>12691</v>
      </c>
      <c r="F976" s="2" t="s">
        <v>85</v>
      </c>
      <c r="G976" s="6" t="s">
        <v>154</v>
      </c>
      <c r="H976" s="2" t="s">
        <v>1473</v>
      </c>
      <c r="I976" s="2" t="s">
        <v>1426</v>
      </c>
      <c r="J976" s="2" t="s">
        <v>19</v>
      </c>
      <c r="K976" s="2" t="s">
        <v>107</v>
      </c>
      <c r="L976" s="7" t="str">
        <f>HYPERLINK("http://slimages.macys.com/is/image/MCY/13304037 ")</f>
        <v xml:space="preserve">http://slimages.macys.com/is/image/MCY/13304037 </v>
      </c>
    </row>
    <row r="977" spans="1:12" ht="24.75" x14ac:dyDescent="0.25">
      <c r="A977" s="4" t="s">
        <v>8895</v>
      </c>
      <c r="B977" s="2" t="s">
        <v>5316</v>
      </c>
      <c r="C977" s="3">
        <v>1</v>
      </c>
      <c r="D977" s="5">
        <v>9.99</v>
      </c>
      <c r="E977" s="3" t="s">
        <v>7760</v>
      </c>
      <c r="F977" s="2" t="s">
        <v>33</v>
      </c>
      <c r="G977" s="6" t="s">
        <v>219</v>
      </c>
      <c r="H977" s="2" t="s">
        <v>1425</v>
      </c>
      <c r="I977" s="2" t="s">
        <v>1426</v>
      </c>
      <c r="J977" s="2" t="s">
        <v>19</v>
      </c>
      <c r="K977" s="2" t="s">
        <v>495</v>
      </c>
      <c r="L977" s="7" t="str">
        <f>HYPERLINK("http://slimages.macys.com/is/image/MCY/12269156 ")</f>
        <v xml:space="preserve">http://slimages.macys.com/is/image/MCY/12269156 </v>
      </c>
    </row>
    <row r="978" spans="1:12" ht="24.75" x14ac:dyDescent="0.25">
      <c r="A978" s="4" t="s">
        <v>8419</v>
      </c>
      <c r="B978" s="2" t="s">
        <v>8420</v>
      </c>
      <c r="C978" s="3">
        <v>1</v>
      </c>
      <c r="D978" s="5">
        <v>9.99</v>
      </c>
      <c r="E978" s="3" t="s">
        <v>8421</v>
      </c>
      <c r="F978" s="2" t="s">
        <v>1322</v>
      </c>
      <c r="G978" s="6" t="s">
        <v>181</v>
      </c>
      <c r="H978" s="2" t="s">
        <v>1473</v>
      </c>
      <c r="I978" s="2" t="s">
        <v>1426</v>
      </c>
      <c r="J978" s="2" t="s">
        <v>19</v>
      </c>
      <c r="K978" s="2" t="s">
        <v>495</v>
      </c>
      <c r="L978" s="7" t="str">
        <f>HYPERLINK("http://slimages.macys.com/is/image/MCY/10746178 ")</f>
        <v xml:space="preserve">http://slimages.macys.com/is/image/MCY/10746178 </v>
      </c>
    </row>
    <row r="979" spans="1:12" ht="24.75" x14ac:dyDescent="0.25">
      <c r="A979" s="4" t="s">
        <v>7010</v>
      </c>
      <c r="B979" s="2" t="s">
        <v>6999</v>
      </c>
      <c r="C979" s="3">
        <v>1</v>
      </c>
      <c r="D979" s="5">
        <v>9.99</v>
      </c>
      <c r="E979" s="3" t="s">
        <v>7000</v>
      </c>
      <c r="F979" s="2" t="s">
        <v>15</v>
      </c>
      <c r="G979" s="6" t="s">
        <v>245</v>
      </c>
      <c r="H979" s="2" t="s">
        <v>1473</v>
      </c>
      <c r="I979" s="2" t="s">
        <v>1426</v>
      </c>
      <c r="J979" s="2" t="s">
        <v>19</v>
      </c>
      <c r="K979" s="2" t="s">
        <v>495</v>
      </c>
      <c r="L979" s="7" t="str">
        <f>HYPERLINK("http://slimages.macys.com/is/image/MCY/10466532 ")</f>
        <v xml:space="preserve">http://slimages.macys.com/is/image/MCY/10466532 </v>
      </c>
    </row>
    <row r="980" spans="1:12" ht="24.75" x14ac:dyDescent="0.25">
      <c r="A980" s="4" t="s">
        <v>12693</v>
      </c>
      <c r="B980" s="2" t="s">
        <v>7006</v>
      </c>
      <c r="C980" s="3">
        <v>1</v>
      </c>
      <c r="D980" s="5">
        <v>9.99</v>
      </c>
      <c r="E980" s="3" t="s">
        <v>7007</v>
      </c>
      <c r="F980" s="2" t="s">
        <v>15</v>
      </c>
      <c r="G980" s="6" t="s">
        <v>181</v>
      </c>
      <c r="H980" s="2" t="s">
        <v>1473</v>
      </c>
      <c r="I980" s="2" t="s">
        <v>1426</v>
      </c>
      <c r="J980" s="2" t="s">
        <v>19</v>
      </c>
      <c r="K980" s="2" t="s">
        <v>495</v>
      </c>
      <c r="L980" s="7" t="str">
        <f>HYPERLINK("http://slimages.macys.com/is/image/MCY/11916481 ")</f>
        <v xml:space="preserve">http://slimages.macys.com/is/image/MCY/11916481 </v>
      </c>
    </row>
    <row r="981" spans="1:12" ht="24.75" x14ac:dyDescent="0.25">
      <c r="A981" s="4" t="s">
        <v>12694</v>
      </c>
      <c r="B981" s="2" t="s">
        <v>3265</v>
      </c>
      <c r="C981" s="3">
        <v>1</v>
      </c>
      <c r="D981" s="5">
        <v>9.99</v>
      </c>
      <c r="E981" s="3" t="s">
        <v>7009</v>
      </c>
      <c r="F981" s="2" t="s">
        <v>3267</v>
      </c>
      <c r="G981" s="6" t="s">
        <v>219</v>
      </c>
      <c r="H981" s="2" t="s">
        <v>1425</v>
      </c>
      <c r="I981" s="2" t="s">
        <v>1426</v>
      </c>
      <c r="J981" s="2" t="s">
        <v>19</v>
      </c>
      <c r="K981" s="2" t="s">
        <v>495</v>
      </c>
      <c r="L981" s="7" t="str">
        <f>HYPERLINK("http://slimages.macys.com/is/image/MCY/11532809 ")</f>
        <v xml:space="preserve">http://slimages.macys.com/is/image/MCY/11532809 </v>
      </c>
    </row>
    <row r="982" spans="1:12" ht="24.75" x14ac:dyDescent="0.25">
      <c r="A982" s="4" t="s">
        <v>12695</v>
      </c>
      <c r="B982" s="2" t="s">
        <v>7006</v>
      </c>
      <c r="C982" s="3">
        <v>1</v>
      </c>
      <c r="D982" s="5">
        <v>9.99</v>
      </c>
      <c r="E982" s="3" t="s">
        <v>12696</v>
      </c>
      <c r="F982" s="2" t="s">
        <v>26</v>
      </c>
      <c r="G982" s="6"/>
      <c r="H982" s="2" t="s">
        <v>1425</v>
      </c>
      <c r="I982" s="2" t="s">
        <v>1426</v>
      </c>
      <c r="J982" s="2" t="s">
        <v>19</v>
      </c>
      <c r="K982" s="2" t="s">
        <v>495</v>
      </c>
      <c r="L982" s="7" t="str">
        <f>HYPERLINK("http://slimages.macys.com/is/image/MCY/11916481 ")</f>
        <v xml:space="preserve">http://slimages.macys.com/is/image/MCY/11916481 </v>
      </c>
    </row>
    <row r="983" spans="1:12" ht="24.75" x14ac:dyDescent="0.25">
      <c r="A983" s="4" t="s">
        <v>12697</v>
      </c>
      <c r="B983" s="2" t="s">
        <v>2107</v>
      </c>
      <c r="C983" s="3">
        <v>2</v>
      </c>
      <c r="D983" s="5">
        <v>9.99</v>
      </c>
      <c r="E983" s="3" t="s">
        <v>12698</v>
      </c>
      <c r="F983" s="2" t="s">
        <v>1322</v>
      </c>
      <c r="G983" s="6"/>
      <c r="H983" s="2" t="s">
        <v>1425</v>
      </c>
      <c r="I983" s="2" t="s">
        <v>1426</v>
      </c>
      <c r="J983" s="2" t="s">
        <v>19</v>
      </c>
      <c r="K983" s="2" t="s">
        <v>495</v>
      </c>
      <c r="L983" s="7" t="str">
        <f>HYPERLINK("http://slimages.macys.com/is/image/MCY/10746269 ")</f>
        <v xml:space="preserve">http://slimages.macys.com/is/image/MCY/10746269 </v>
      </c>
    </row>
    <row r="984" spans="1:12" ht="24.75" x14ac:dyDescent="0.25">
      <c r="A984" s="4" t="s">
        <v>12699</v>
      </c>
      <c r="B984" s="2" t="s">
        <v>7006</v>
      </c>
      <c r="C984" s="3">
        <v>1</v>
      </c>
      <c r="D984" s="5">
        <v>9.99</v>
      </c>
      <c r="E984" s="3" t="s">
        <v>12696</v>
      </c>
      <c r="F984" s="2" t="s">
        <v>26</v>
      </c>
      <c r="G984" s="6"/>
      <c r="H984" s="2" t="s">
        <v>1425</v>
      </c>
      <c r="I984" s="2" t="s">
        <v>1426</v>
      </c>
      <c r="J984" s="2" t="s">
        <v>19</v>
      </c>
      <c r="K984" s="2" t="s">
        <v>495</v>
      </c>
      <c r="L984" s="7" t="str">
        <f>HYPERLINK("http://slimages.macys.com/is/image/MCY/11916481 ")</f>
        <v xml:space="preserve">http://slimages.macys.com/is/image/MCY/11916481 </v>
      </c>
    </row>
    <row r="985" spans="1:12" ht="24.75" x14ac:dyDescent="0.25">
      <c r="A985" s="4" t="s">
        <v>12700</v>
      </c>
      <c r="B985" s="2" t="s">
        <v>11584</v>
      </c>
      <c r="C985" s="3">
        <v>1</v>
      </c>
      <c r="D985" s="5">
        <v>12.99</v>
      </c>
      <c r="E985" s="3" t="s">
        <v>11585</v>
      </c>
      <c r="F985" s="2" t="s">
        <v>74</v>
      </c>
      <c r="G985" s="6" t="s">
        <v>181</v>
      </c>
      <c r="H985" s="2" t="s">
        <v>2029</v>
      </c>
      <c r="I985" s="2" t="s">
        <v>2030</v>
      </c>
      <c r="J985" s="2" t="s">
        <v>19</v>
      </c>
      <c r="K985" s="2" t="s">
        <v>495</v>
      </c>
      <c r="L985" s="7" t="str">
        <f>HYPERLINK("http://slimages.macys.com/is/image/MCY/12892674 ")</f>
        <v xml:space="preserve">http://slimages.macys.com/is/image/MCY/12892674 </v>
      </c>
    </row>
    <row r="986" spans="1:12" ht="24.75" x14ac:dyDescent="0.25">
      <c r="A986" s="4" t="s">
        <v>12701</v>
      </c>
      <c r="B986" s="2" t="s">
        <v>2072</v>
      </c>
      <c r="C986" s="3">
        <v>2</v>
      </c>
      <c r="D986" s="5">
        <v>9.99</v>
      </c>
      <c r="E986" s="3" t="s">
        <v>6956</v>
      </c>
      <c r="F986" s="2" t="s">
        <v>94</v>
      </c>
      <c r="G986" s="6" t="s">
        <v>234</v>
      </c>
      <c r="H986" s="2" t="s">
        <v>1473</v>
      </c>
      <c r="I986" s="2" t="s">
        <v>1426</v>
      </c>
      <c r="J986" s="2" t="s">
        <v>19</v>
      </c>
      <c r="K986" s="2" t="s">
        <v>648</v>
      </c>
      <c r="L986" s="7" t="str">
        <f>HYPERLINK("http://slimages.macys.com/is/image/MCY/10741447 ")</f>
        <v xml:space="preserve">http://slimages.macys.com/is/image/MCY/10741447 </v>
      </c>
    </row>
    <row r="987" spans="1:12" ht="24.75" x14ac:dyDescent="0.25">
      <c r="A987" s="4" t="s">
        <v>12702</v>
      </c>
      <c r="B987" s="2" t="s">
        <v>2072</v>
      </c>
      <c r="C987" s="3">
        <v>1</v>
      </c>
      <c r="D987" s="5">
        <v>9.99</v>
      </c>
      <c r="E987" s="3" t="s">
        <v>6956</v>
      </c>
      <c r="F987" s="2" t="s">
        <v>413</v>
      </c>
      <c r="G987" s="6" t="s">
        <v>154</v>
      </c>
      <c r="H987" s="2" t="s">
        <v>1473</v>
      </c>
      <c r="I987" s="2" t="s">
        <v>1426</v>
      </c>
      <c r="J987" s="2" t="s">
        <v>19</v>
      </c>
      <c r="K987" s="2" t="s">
        <v>648</v>
      </c>
      <c r="L987" s="7" t="str">
        <f>HYPERLINK("http://slimages.macys.com/is/image/MCY/10741447 ")</f>
        <v xml:space="preserve">http://slimages.macys.com/is/image/MCY/10741447 </v>
      </c>
    </row>
    <row r="988" spans="1:12" ht="24.75" x14ac:dyDescent="0.25">
      <c r="A988" s="4" t="s">
        <v>12703</v>
      </c>
      <c r="B988" s="2" t="s">
        <v>12704</v>
      </c>
      <c r="C988" s="3">
        <v>1</v>
      </c>
      <c r="D988" s="5">
        <v>12.99</v>
      </c>
      <c r="E988" s="3">
        <v>100007649</v>
      </c>
      <c r="F988" s="2" t="s">
        <v>566</v>
      </c>
      <c r="G988" s="6" t="s">
        <v>200</v>
      </c>
      <c r="H988" s="2" t="s">
        <v>2029</v>
      </c>
      <c r="I988" s="2" t="s">
        <v>2030</v>
      </c>
      <c r="J988" s="2" t="s">
        <v>19</v>
      </c>
      <c r="K988" s="2" t="s">
        <v>247</v>
      </c>
      <c r="L988" s="7" t="str">
        <f>HYPERLINK("http://slimages.macys.com/is/image/MCY/9200372 ")</f>
        <v xml:space="preserve">http://slimages.macys.com/is/image/MCY/9200372 </v>
      </c>
    </row>
    <row r="989" spans="1:12" ht="24.75" x14ac:dyDescent="0.25">
      <c r="A989" s="4" t="s">
        <v>12705</v>
      </c>
      <c r="B989" s="2" t="s">
        <v>11598</v>
      </c>
      <c r="C989" s="3">
        <v>1</v>
      </c>
      <c r="D989" s="5">
        <v>12.99</v>
      </c>
      <c r="E989" s="3" t="s">
        <v>11599</v>
      </c>
      <c r="F989" s="2" t="s">
        <v>15</v>
      </c>
      <c r="G989" s="6" t="s">
        <v>154</v>
      </c>
      <c r="H989" s="2" t="s">
        <v>2029</v>
      </c>
      <c r="I989" s="2" t="s">
        <v>2030</v>
      </c>
      <c r="J989" s="2" t="s">
        <v>19</v>
      </c>
      <c r="K989" s="2" t="s">
        <v>495</v>
      </c>
      <c r="L989" s="7" t="str">
        <f>HYPERLINK("http://slimages.macys.com/is/image/MCY/11751780 ")</f>
        <v xml:space="preserve">http://slimages.macys.com/is/image/MCY/11751780 </v>
      </c>
    </row>
    <row r="990" spans="1:12" ht="24.75" x14ac:dyDescent="0.25">
      <c r="A990" s="4" t="s">
        <v>12706</v>
      </c>
      <c r="B990" s="2" t="s">
        <v>2072</v>
      </c>
      <c r="C990" s="3">
        <v>3</v>
      </c>
      <c r="D990" s="5">
        <v>9.99</v>
      </c>
      <c r="E990" s="3" t="s">
        <v>2073</v>
      </c>
      <c r="F990" s="2" t="s">
        <v>15</v>
      </c>
      <c r="G990" s="6"/>
      <c r="H990" s="2" t="s">
        <v>1425</v>
      </c>
      <c r="I990" s="2" t="s">
        <v>1426</v>
      </c>
      <c r="J990" s="2" t="s">
        <v>19</v>
      </c>
      <c r="K990" s="2" t="s">
        <v>990</v>
      </c>
      <c r="L990" s="7" t="str">
        <f t="shared" ref="L990:L999" si="7">HYPERLINK("http://slimages.macys.com/is/image/MCY/10741444 ")</f>
        <v xml:space="preserve">http://slimages.macys.com/is/image/MCY/10741444 </v>
      </c>
    </row>
    <row r="991" spans="1:12" ht="24.75" x14ac:dyDescent="0.25">
      <c r="A991" s="4" t="s">
        <v>12707</v>
      </c>
      <c r="B991" s="2" t="s">
        <v>2072</v>
      </c>
      <c r="C991" s="3">
        <v>1</v>
      </c>
      <c r="D991" s="5">
        <v>9.99</v>
      </c>
      <c r="E991" s="3" t="s">
        <v>2073</v>
      </c>
      <c r="F991" s="2" t="s">
        <v>3267</v>
      </c>
      <c r="G991" s="6"/>
      <c r="H991" s="2" t="s">
        <v>1425</v>
      </c>
      <c r="I991" s="2" t="s">
        <v>1426</v>
      </c>
      <c r="J991" s="2" t="s">
        <v>19</v>
      </c>
      <c r="K991" s="2" t="s">
        <v>990</v>
      </c>
      <c r="L991" s="7" t="str">
        <f t="shared" si="7"/>
        <v xml:space="preserve">http://slimages.macys.com/is/image/MCY/10741444 </v>
      </c>
    </row>
    <row r="992" spans="1:12" ht="24.75" x14ac:dyDescent="0.25">
      <c r="A992" s="4" t="s">
        <v>12708</v>
      </c>
      <c r="B992" s="2" t="s">
        <v>2072</v>
      </c>
      <c r="C992" s="3">
        <v>1</v>
      </c>
      <c r="D992" s="5">
        <v>9.99</v>
      </c>
      <c r="E992" s="3" t="s">
        <v>2073</v>
      </c>
      <c r="F992" s="2" t="s">
        <v>820</v>
      </c>
      <c r="G992" s="6"/>
      <c r="H992" s="2" t="s">
        <v>1425</v>
      </c>
      <c r="I992" s="2" t="s">
        <v>1426</v>
      </c>
      <c r="J992" s="2" t="s">
        <v>19</v>
      </c>
      <c r="K992" s="2" t="s">
        <v>990</v>
      </c>
      <c r="L992" s="7" t="str">
        <f t="shared" si="7"/>
        <v xml:space="preserve">http://slimages.macys.com/is/image/MCY/10741444 </v>
      </c>
    </row>
    <row r="993" spans="1:12" ht="24.75" x14ac:dyDescent="0.25">
      <c r="A993" s="4" t="s">
        <v>5282</v>
      </c>
      <c r="B993" s="2" t="s">
        <v>2072</v>
      </c>
      <c r="C993" s="3">
        <v>4</v>
      </c>
      <c r="D993" s="5">
        <v>9.99</v>
      </c>
      <c r="E993" s="3" t="s">
        <v>2073</v>
      </c>
      <c r="F993" s="2" t="s">
        <v>3267</v>
      </c>
      <c r="G993" s="6"/>
      <c r="H993" s="2" t="s">
        <v>1425</v>
      </c>
      <c r="I993" s="2" t="s">
        <v>1426</v>
      </c>
      <c r="J993" s="2" t="s">
        <v>19</v>
      </c>
      <c r="K993" s="2" t="s">
        <v>990</v>
      </c>
      <c r="L993" s="7" t="str">
        <f t="shared" si="7"/>
        <v xml:space="preserve">http://slimages.macys.com/is/image/MCY/10741444 </v>
      </c>
    </row>
    <row r="994" spans="1:12" ht="24.75" x14ac:dyDescent="0.25">
      <c r="A994" s="4" t="s">
        <v>12709</v>
      </c>
      <c r="B994" s="2" t="s">
        <v>2072</v>
      </c>
      <c r="C994" s="3">
        <v>1</v>
      </c>
      <c r="D994" s="5">
        <v>9.99</v>
      </c>
      <c r="E994" s="3" t="s">
        <v>2073</v>
      </c>
      <c r="F994" s="2" t="s">
        <v>3267</v>
      </c>
      <c r="G994" s="6" t="s">
        <v>187</v>
      </c>
      <c r="H994" s="2" t="s">
        <v>1425</v>
      </c>
      <c r="I994" s="2" t="s">
        <v>1426</v>
      </c>
      <c r="J994" s="2" t="s">
        <v>19</v>
      </c>
      <c r="K994" s="2" t="s">
        <v>990</v>
      </c>
      <c r="L994" s="7" t="str">
        <f t="shared" si="7"/>
        <v xml:space="preserve">http://slimages.macys.com/is/image/MCY/10741444 </v>
      </c>
    </row>
    <row r="995" spans="1:12" ht="24.75" x14ac:dyDescent="0.25">
      <c r="A995" s="4" t="s">
        <v>12710</v>
      </c>
      <c r="B995" s="2" t="s">
        <v>2072</v>
      </c>
      <c r="C995" s="3">
        <v>3</v>
      </c>
      <c r="D995" s="5">
        <v>9.99</v>
      </c>
      <c r="E995" s="3" t="s">
        <v>2073</v>
      </c>
      <c r="F995" s="2" t="s">
        <v>3267</v>
      </c>
      <c r="G995" s="6"/>
      <c r="H995" s="2" t="s">
        <v>1425</v>
      </c>
      <c r="I995" s="2" t="s">
        <v>1426</v>
      </c>
      <c r="J995" s="2" t="s">
        <v>19</v>
      </c>
      <c r="K995" s="2" t="s">
        <v>990</v>
      </c>
      <c r="L995" s="7" t="str">
        <f t="shared" si="7"/>
        <v xml:space="preserve">http://slimages.macys.com/is/image/MCY/10741444 </v>
      </c>
    </row>
    <row r="996" spans="1:12" ht="24.75" x14ac:dyDescent="0.25">
      <c r="A996" s="4" t="s">
        <v>12711</v>
      </c>
      <c r="B996" s="2" t="s">
        <v>2072</v>
      </c>
      <c r="C996" s="3">
        <v>3</v>
      </c>
      <c r="D996" s="5">
        <v>9.99</v>
      </c>
      <c r="E996" s="3" t="s">
        <v>2073</v>
      </c>
      <c r="F996" s="2" t="s">
        <v>3267</v>
      </c>
      <c r="G996" s="6" t="s">
        <v>219</v>
      </c>
      <c r="H996" s="2" t="s">
        <v>1425</v>
      </c>
      <c r="I996" s="2" t="s">
        <v>1426</v>
      </c>
      <c r="J996" s="2" t="s">
        <v>19</v>
      </c>
      <c r="K996" s="2" t="s">
        <v>990</v>
      </c>
      <c r="L996" s="7" t="str">
        <f t="shared" si="7"/>
        <v xml:space="preserve">http://slimages.macys.com/is/image/MCY/10741444 </v>
      </c>
    </row>
    <row r="997" spans="1:12" ht="24.75" x14ac:dyDescent="0.25">
      <c r="A997" s="4" t="s">
        <v>12712</v>
      </c>
      <c r="B997" s="2" t="s">
        <v>2072</v>
      </c>
      <c r="C997" s="3">
        <v>1</v>
      </c>
      <c r="D997" s="5">
        <v>9.99</v>
      </c>
      <c r="E997" s="3" t="s">
        <v>2073</v>
      </c>
      <c r="F997" s="2" t="s">
        <v>15</v>
      </c>
      <c r="G997" s="6" t="s">
        <v>187</v>
      </c>
      <c r="H997" s="2" t="s">
        <v>1425</v>
      </c>
      <c r="I997" s="2" t="s">
        <v>1426</v>
      </c>
      <c r="J997" s="2" t="s">
        <v>19</v>
      </c>
      <c r="K997" s="2" t="s">
        <v>990</v>
      </c>
      <c r="L997" s="7" t="str">
        <f t="shared" si="7"/>
        <v xml:space="preserve">http://slimages.macys.com/is/image/MCY/10741444 </v>
      </c>
    </row>
    <row r="998" spans="1:12" ht="24.75" x14ac:dyDescent="0.25">
      <c r="A998" s="4" t="s">
        <v>12713</v>
      </c>
      <c r="B998" s="2" t="s">
        <v>2072</v>
      </c>
      <c r="C998" s="3">
        <v>1</v>
      </c>
      <c r="D998" s="5">
        <v>9.99</v>
      </c>
      <c r="E998" s="3" t="s">
        <v>2073</v>
      </c>
      <c r="F998" s="2" t="s">
        <v>15</v>
      </c>
      <c r="G998" s="6"/>
      <c r="H998" s="2" t="s">
        <v>1425</v>
      </c>
      <c r="I998" s="2" t="s">
        <v>1426</v>
      </c>
      <c r="J998" s="2" t="s">
        <v>19</v>
      </c>
      <c r="K998" s="2" t="s">
        <v>990</v>
      </c>
      <c r="L998" s="7" t="str">
        <f t="shared" si="7"/>
        <v xml:space="preserve">http://slimages.macys.com/is/image/MCY/10741444 </v>
      </c>
    </row>
    <row r="999" spans="1:12" ht="24.75" x14ac:dyDescent="0.25">
      <c r="A999" s="4" t="s">
        <v>12714</v>
      </c>
      <c r="B999" s="2" t="s">
        <v>2072</v>
      </c>
      <c r="C999" s="3">
        <v>3</v>
      </c>
      <c r="D999" s="5">
        <v>9.99</v>
      </c>
      <c r="E999" s="3" t="s">
        <v>2073</v>
      </c>
      <c r="F999" s="2" t="s">
        <v>15</v>
      </c>
      <c r="G999" s="6" t="s">
        <v>219</v>
      </c>
      <c r="H999" s="2" t="s">
        <v>1425</v>
      </c>
      <c r="I999" s="2" t="s">
        <v>1426</v>
      </c>
      <c r="J999" s="2" t="s">
        <v>19</v>
      </c>
      <c r="K999" s="2" t="s">
        <v>990</v>
      </c>
      <c r="L999" s="7" t="str">
        <f t="shared" si="7"/>
        <v xml:space="preserve">http://slimages.macys.com/is/image/MCY/10741444 </v>
      </c>
    </row>
    <row r="1000" spans="1:12" ht="24.75" x14ac:dyDescent="0.25">
      <c r="A1000" s="4" t="s">
        <v>12715</v>
      </c>
      <c r="B1000" s="2" t="s">
        <v>7764</v>
      </c>
      <c r="C1000" s="3">
        <v>1</v>
      </c>
      <c r="D1000" s="5">
        <v>12.99</v>
      </c>
      <c r="E1000" s="3" t="s">
        <v>7765</v>
      </c>
      <c r="F1000" s="2" t="s">
        <v>1614</v>
      </c>
      <c r="G1000" s="6" t="s">
        <v>245</v>
      </c>
      <c r="H1000" s="2" t="s">
        <v>2029</v>
      </c>
      <c r="I1000" s="2" t="s">
        <v>2030</v>
      </c>
      <c r="J1000" s="2" t="s">
        <v>19</v>
      </c>
      <c r="K1000" s="2" t="s">
        <v>495</v>
      </c>
      <c r="L1000" s="7" t="str">
        <f>HYPERLINK("http://slimages.macys.com/is/image/MCY/11753159 ")</f>
        <v xml:space="preserve">http://slimages.macys.com/is/image/MCY/11753159 </v>
      </c>
    </row>
    <row r="1001" spans="1:12" ht="24.75" x14ac:dyDescent="0.25">
      <c r="A1001" s="4" t="s">
        <v>12716</v>
      </c>
      <c r="B1001" s="2" t="s">
        <v>12704</v>
      </c>
      <c r="C1001" s="3">
        <v>1</v>
      </c>
      <c r="D1001" s="5">
        <v>12.99</v>
      </c>
      <c r="E1001" s="3">
        <v>100007649</v>
      </c>
      <c r="F1001" s="2" t="s">
        <v>111</v>
      </c>
      <c r="G1001" s="6" t="s">
        <v>154</v>
      </c>
      <c r="H1001" s="2" t="s">
        <v>2029</v>
      </c>
      <c r="I1001" s="2" t="s">
        <v>2030</v>
      </c>
      <c r="J1001" s="2" t="s">
        <v>19</v>
      </c>
      <c r="K1001" s="2" t="s">
        <v>201</v>
      </c>
      <c r="L1001" s="7" t="str">
        <f>HYPERLINK("http://slimages.macys.com/is/image/MCY/9542834 ")</f>
        <v xml:space="preserve">http://slimages.macys.com/is/image/MCY/9542834 </v>
      </c>
    </row>
    <row r="1002" spans="1:12" ht="24.75" x14ac:dyDescent="0.25">
      <c r="A1002" s="4" t="s">
        <v>12717</v>
      </c>
      <c r="B1002" s="2" t="s">
        <v>7764</v>
      </c>
      <c r="C1002" s="3">
        <v>2</v>
      </c>
      <c r="D1002" s="5">
        <v>12.99</v>
      </c>
      <c r="E1002" s="3" t="s">
        <v>7765</v>
      </c>
      <c r="F1002" s="2" t="s">
        <v>74</v>
      </c>
      <c r="G1002" s="6" t="s">
        <v>245</v>
      </c>
      <c r="H1002" s="2" t="s">
        <v>2029</v>
      </c>
      <c r="I1002" s="2" t="s">
        <v>2030</v>
      </c>
      <c r="J1002" s="2" t="s">
        <v>19</v>
      </c>
      <c r="K1002" s="2" t="s">
        <v>495</v>
      </c>
      <c r="L1002" s="7" t="str">
        <f>HYPERLINK("http://slimages.macys.com/is/image/MCY/11753159 ")</f>
        <v xml:space="preserve">http://slimages.macys.com/is/image/MCY/11753159 </v>
      </c>
    </row>
    <row r="1003" spans="1:12" ht="24.75" x14ac:dyDescent="0.25">
      <c r="A1003" s="4" t="s">
        <v>12718</v>
      </c>
      <c r="B1003" s="2" t="s">
        <v>2072</v>
      </c>
      <c r="C1003" s="3">
        <v>4</v>
      </c>
      <c r="D1003" s="5">
        <v>9.99</v>
      </c>
      <c r="E1003" s="3" t="s">
        <v>2073</v>
      </c>
      <c r="F1003" s="2" t="s">
        <v>15</v>
      </c>
      <c r="G1003" s="6"/>
      <c r="H1003" s="2" t="s">
        <v>1425</v>
      </c>
      <c r="I1003" s="2" t="s">
        <v>1426</v>
      </c>
      <c r="J1003" s="2" t="s">
        <v>19</v>
      </c>
      <c r="K1003" s="2" t="s">
        <v>990</v>
      </c>
      <c r="L1003" s="7" t="str">
        <f>HYPERLINK("http://slimages.macys.com/is/image/MCY/10741444 ")</f>
        <v xml:space="preserve">http://slimages.macys.com/is/image/MCY/10741444 </v>
      </c>
    </row>
    <row r="1004" spans="1:12" ht="24.75" x14ac:dyDescent="0.25">
      <c r="A1004" s="4" t="s">
        <v>12719</v>
      </c>
      <c r="B1004" s="2" t="s">
        <v>2072</v>
      </c>
      <c r="C1004" s="3">
        <v>1</v>
      </c>
      <c r="D1004" s="5">
        <v>9.99</v>
      </c>
      <c r="E1004" s="3" t="s">
        <v>2073</v>
      </c>
      <c r="F1004" s="2" t="s">
        <v>820</v>
      </c>
      <c r="G1004" s="6" t="s">
        <v>187</v>
      </c>
      <c r="H1004" s="2" t="s">
        <v>1425</v>
      </c>
      <c r="I1004" s="2" t="s">
        <v>1426</v>
      </c>
      <c r="J1004" s="2" t="s">
        <v>19</v>
      </c>
      <c r="K1004" s="2" t="s">
        <v>990</v>
      </c>
      <c r="L1004" s="7" t="str">
        <f>HYPERLINK("http://slimages.macys.com/is/image/MCY/10741444 ")</f>
        <v xml:space="preserve">http://slimages.macys.com/is/image/MCY/10741444 </v>
      </c>
    </row>
    <row r="1005" spans="1:12" ht="24.75" x14ac:dyDescent="0.25">
      <c r="A1005" s="4" t="s">
        <v>12720</v>
      </c>
      <c r="B1005" s="2" t="s">
        <v>7013</v>
      </c>
      <c r="C1005" s="3">
        <v>1</v>
      </c>
      <c r="D1005" s="5">
        <v>9.98</v>
      </c>
      <c r="E1005" s="3" t="s">
        <v>7014</v>
      </c>
      <c r="F1005" s="2" t="s">
        <v>74</v>
      </c>
      <c r="G1005" s="6" t="s">
        <v>181</v>
      </c>
      <c r="H1005" s="2" t="s">
        <v>1473</v>
      </c>
      <c r="I1005" s="2" t="s">
        <v>1426</v>
      </c>
      <c r="J1005" s="2"/>
      <c r="K1005" s="2"/>
      <c r="L1005" s="7" t="str">
        <f>HYPERLINK("http://slimages.macys.com/is/image/MCY/8076960 ")</f>
        <v xml:space="preserve">http://slimages.macys.com/is/image/MCY/8076960 </v>
      </c>
    </row>
    <row r="1006" spans="1:12" ht="24.75" x14ac:dyDescent="0.25">
      <c r="A1006" s="4" t="s">
        <v>12721</v>
      </c>
      <c r="B1006" s="2" t="s">
        <v>7768</v>
      </c>
      <c r="C1006" s="3">
        <v>1</v>
      </c>
      <c r="D1006" s="5">
        <v>9.99</v>
      </c>
      <c r="E1006" s="3">
        <v>100007638</v>
      </c>
      <c r="F1006" s="2" t="s">
        <v>111</v>
      </c>
      <c r="G1006" s="6" t="s">
        <v>245</v>
      </c>
      <c r="H1006" s="2" t="s">
        <v>2029</v>
      </c>
      <c r="I1006" s="2" t="s">
        <v>2030</v>
      </c>
      <c r="J1006" s="2" t="s">
        <v>19</v>
      </c>
      <c r="K1006" s="2" t="s">
        <v>201</v>
      </c>
      <c r="L1006" s="7" t="str">
        <f>HYPERLINK("http://slimages.macys.com/is/image/MCY/9494762 ")</f>
        <v xml:space="preserve">http://slimages.macys.com/is/image/MCY/9494762 </v>
      </c>
    </row>
    <row r="1007" spans="1:12" ht="24.75" x14ac:dyDescent="0.25">
      <c r="A1007" s="4" t="s">
        <v>12722</v>
      </c>
      <c r="B1007" s="2" t="s">
        <v>5332</v>
      </c>
      <c r="C1007" s="3">
        <v>1</v>
      </c>
      <c r="D1007" s="5">
        <v>9.99</v>
      </c>
      <c r="E1007" s="3" t="s">
        <v>5333</v>
      </c>
      <c r="F1007" s="2" t="s">
        <v>74</v>
      </c>
      <c r="G1007" s="6" t="s">
        <v>234</v>
      </c>
      <c r="H1007" s="2" t="s">
        <v>2029</v>
      </c>
      <c r="I1007" s="2" t="s">
        <v>2030</v>
      </c>
      <c r="J1007" s="2" t="s">
        <v>19</v>
      </c>
      <c r="K1007" s="2" t="s">
        <v>201</v>
      </c>
      <c r="L1007" s="7" t="str">
        <f>HYPERLINK("http://slimages.macys.com/is/image/MCY/9567428 ")</f>
        <v xml:space="preserve">http://slimages.macys.com/is/image/MCY/9567428 </v>
      </c>
    </row>
    <row r="1008" spans="1:12" ht="24.75" x14ac:dyDescent="0.25">
      <c r="A1008" s="4" t="s">
        <v>12723</v>
      </c>
      <c r="B1008" s="2" t="s">
        <v>5332</v>
      </c>
      <c r="C1008" s="3">
        <v>1</v>
      </c>
      <c r="D1008" s="5">
        <v>9.99</v>
      </c>
      <c r="E1008" s="3" t="s">
        <v>5333</v>
      </c>
      <c r="F1008" s="2" t="s">
        <v>74</v>
      </c>
      <c r="G1008" s="6" t="s">
        <v>181</v>
      </c>
      <c r="H1008" s="2" t="s">
        <v>2029</v>
      </c>
      <c r="I1008" s="2" t="s">
        <v>2030</v>
      </c>
      <c r="J1008" s="2" t="s">
        <v>19</v>
      </c>
      <c r="K1008" s="2" t="s">
        <v>201</v>
      </c>
      <c r="L1008" s="7" t="str">
        <f>HYPERLINK("http://slimages.macys.com/is/image/MCY/9567428 ")</f>
        <v xml:space="preserve">http://slimages.macys.com/is/image/MCY/9567428 </v>
      </c>
    </row>
    <row r="1009" spans="1:12" ht="24.75" x14ac:dyDescent="0.25">
      <c r="A1009" s="4" t="s">
        <v>2112</v>
      </c>
      <c r="B1009" s="2" t="s">
        <v>2113</v>
      </c>
      <c r="C1009" s="3">
        <v>1</v>
      </c>
      <c r="D1009" s="5">
        <v>9.99</v>
      </c>
      <c r="E1009" s="3" t="s">
        <v>2114</v>
      </c>
      <c r="F1009" s="2" t="s">
        <v>74</v>
      </c>
      <c r="G1009" s="6"/>
      <c r="H1009" s="2" t="s">
        <v>1425</v>
      </c>
      <c r="I1009" s="2" t="s">
        <v>1426</v>
      </c>
      <c r="J1009" s="2" t="s">
        <v>19</v>
      </c>
      <c r="K1009" s="2" t="s">
        <v>648</v>
      </c>
      <c r="L1009" s="7" t="str">
        <f>HYPERLINK("http://slimages.macys.com/is/image/MCY/10703601 ")</f>
        <v xml:space="preserve">http://slimages.macys.com/is/image/MCY/10703601 </v>
      </c>
    </row>
    <row r="1010" spans="1:12" ht="24.75" x14ac:dyDescent="0.25">
      <c r="A1010" s="4" t="s">
        <v>10344</v>
      </c>
      <c r="B1010" s="2" t="s">
        <v>2113</v>
      </c>
      <c r="C1010" s="3">
        <v>1</v>
      </c>
      <c r="D1010" s="5">
        <v>9.99</v>
      </c>
      <c r="E1010" s="3" t="s">
        <v>2114</v>
      </c>
      <c r="F1010" s="2" t="s">
        <v>26</v>
      </c>
      <c r="G1010" s="6"/>
      <c r="H1010" s="2" t="s">
        <v>1425</v>
      </c>
      <c r="I1010" s="2" t="s">
        <v>1426</v>
      </c>
      <c r="J1010" s="2" t="s">
        <v>19</v>
      </c>
      <c r="K1010" s="2" t="s">
        <v>648</v>
      </c>
      <c r="L1010" s="7" t="str">
        <f>HYPERLINK("http://slimages.macys.com/is/image/MCY/10703601 ")</f>
        <v xml:space="preserve">http://slimages.macys.com/is/image/MCY/10703601 </v>
      </c>
    </row>
    <row r="1011" spans="1:12" ht="24.75" x14ac:dyDescent="0.25">
      <c r="A1011" s="4" t="s">
        <v>12724</v>
      </c>
      <c r="B1011" s="2" t="s">
        <v>2113</v>
      </c>
      <c r="C1011" s="3">
        <v>1</v>
      </c>
      <c r="D1011" s="5">
        <v>9.99</v>
      </c>
      <c r="E1011" s="3" t="s">
        <v>2114</v>
      </c>
      <c r="F1011" s="2" t="s">
        <v>1322</v>
      </c>
      <c r="G1011" s="6"/>
      <c r="H1011" s="2" t="s">
        <v>1425</v>
      </c>
      <c r="I1011" s="2" t="s">
        <v>1426</v>
      </c>
      <c r="J1011" s="2" t="s">
        <v>19</v>
      </c>
      <c r="K1011" s="2" t="s">
        <v>648</v>
      </c>
      <c r="L1011" s="7" t="str">
        <f>HYPERLINK("http://slimages.macys.com/is/image/MCY/10703601 ")</f>
        <v xml:space="preserve">http://slimages.macys.com/is/image/MCY/10703601 </v>
      </c>
    </row>
    <row r="1012" spans="1:12" ht="24.75" x14ac:dyDescent="0.25">
      <c r="A1012" s="4" t="s">
        <v>10345</v>
      </c>
      <c r="B1012" s="2" t="s">
        <v>2083</v>
      </c>
      <c r="C1012" s="3">
        <v>1</v>
      </c>
      <c r="D1012" s="5">
        <v>9.99</v>
      </c>
      <c r="E1012" s="3" t="s">
        <v>2084</v>
      </c>
      <c r="F1012" s="2" t="s">
        <v>74</v>
      </c>
      <c r="G1012" s="6" t="s">
        <v>181</v>
      </c>
      <c r="H1012" s="2" t="s">
        <v>1473</v>
      </c>
      <c r="I1012" s="2" t="s">
        <v>1426</v>
      </c>
      <c r="J1012" s="2" t="s">
        <v>19</v>
      </c>
      <c r="K1012" s="2" t="s">
        <v>648</v>
      </c>
      <c r="L1012" s="7" t="str">
        <f>HYPERLINK("http://slimages.macys.com/is/image/MCY/10703349 ")</f>
        <v xml:space="preserve">http://slimages.macys.com/is/image/MCY/10703349 </v>
      </c>
    </row>
    <row r="1013" spans="1:12" ht="24.75" x14ac:dyDescent="0.25">
      <c r="A1013" s="4" t="s">
        <v>12725</v>
      </c>
      <c r="B1013" s="2" t="s">
        <v>11614</v>
      </c>
      <c r="C1013" s="3">
        <v>1</v>
      </c>
      <c r="D1013" s="5">
        <v>12.99</v>
      </c>
      <c r="E1013" s="3" t="s">
        <v>11615</v>
      </c>
      <c r="F1013" s="2" t="s">
        <v>111</v>
      </c>
      <c r="G1013" s="6" t="s">
        <v>234</v>
      </c>
      <c r="H1013" s="2" t="s">
        <v>2029</v>
      </c>
      <c r="I1013" s="2" t="s">
        <v>2030</v>
      </c>
      <c r="J1013" s="2" t="s">
        <v>19</v>
      </c>
      <c r="K1013" s="2" t="s">
        <v>495</v>
      </c>
      <c r="L1013" s="7" t="str">
        <f>HYPERLINK("http://slimages.macys.com/is/image/MCY/9494712 ")</f>
        <v xml:space="preserve">http://slimages.macys.com/is/image/MCY/9494712 </v>
      </c>
    </row>
    <row r="1014" spans="1:12" ht="24.75" x14ac:dyDescent="0.25">
      <c r="A1014" s="4" t="s">
        <v>12726</v>
      </c>
      <c r="B1014" s="2" t="s">
        <v>9769</v>
      </c>
      <c r="C1014" s="3">
        <v>1</v>
      </c>
      <c r="D1014" s="5">
        <v>48</v>
      </c>
      <c r="E1014" s="3" t="s">
        <v>12727</v>
      </c>
      <c r="F1014" s="2" t="s">
        <v>74</v>
      </c>
      <c r="G1014" s="6" t="s">
        <v>12728</v>
      </c>
      <c r="H1014" s="2" t="s">
        <v>447</v>
      </c>
      <c r="I1014" s="2" t="s">
        <v>3409</v>
      </c>
      <c r="J1014" s="2"/>
      <c r="K1014" s="2"/>
      <c r="L1014" s="7"/>
    </row>
    <row r="1015" spans="1:12" ht="24.75" x14ac:dyDescent="0.25">
      <c r="A1015" s="4" t="s">
        <v>12729</v>
      </c>
      <c r="B1015" s="2" t="s">
        <v>2064</v>
      </c>
      <c r="C1015" s="3">
        <v>1</v>
      </c>
      <c r="D1015" s="5">
        <v>9.99</v>
      </c>
      <c r="E1015" s="3" t="s">
        <v>3279</v>
      </c>
      <c r="F1015" s="2" t="s">
        <v>136</v>
      </c>
      <c r="G1015" s="6" t="s">
        <v>156</v>
      </c>
      <c r="H1015" s="2" t="s">
        <v>1473</v>
      </c>
      <c r="I1015" s="2" t="s">
        <v>1426</v>
      </c>
      <c r="J1015" s="2"/>
      <c r="K1015" s="2"/>
      <c r="L1015" s="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51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12730</v>
      </c>
      <c r="B2" s="2" t="s">
        <v>12731</v>
      </c>
      <c r="C2" s="3">
        <v>1</v>
      </c>
      <c r="D2" s="5">
        <v>149.25</v>
      </c>
      <c r="E2" s="3" t="s">
        <v>12732</v>
      </c>
      <c r="F2" s="2" t="s">
        <v>74</v>
      </c>
      <c r="G2" s="6" t="s">
        <v>8087</v>
      </c>
      <c r="H2" s="2" t="s">
        <v>5344</v>
      </c>
      <c r="I2" s="2" t="s">
        <v>189</v>
      </c>
      <c r="J2" s="2" t="s">
        <v>19</v>
      </c>
      <c r="K2" s="2" t="s">
        <v>12733</v>
      </c>
      <c r="L2" s="7" t="str">
        <f>HYPERLINK("http://slimages.macys.com/is/image/MCY/11339179 ")</f>
        <v xml:space="preserve">http://slimages.macys.com/is/image/MCY/11339179 </v>
      </c>
    </row>
    <row r="3" spans="1:12" ht="24.75" x14ac:dyDescent="0.25">
      <c r="A3" s="4" t="s">
        <v>12734</v>
      </c>
      <c r="B3" s="2" t="s">
        <v>10363</v>
      </c>
      <c r="C3" s="3">
        <v>2</v>
      </c>
      <c r="D3" s="5">
        <v>148</v>
      </c>
      <c r="E3" s="3" t="s">
        <v>10364</v>
      </c>
      <c r="F3" s="2" t="s">
        <v>26</v>
      </c>
      <c r="G3" s="6" t="s">
        <v>106</v>
      </c>
      <c r="H3" s="2" t="s">
        <v>17</v>
      </c>
      <c r="I3" s="2" t="s">
        <v>18</v>
      </c>
      <c r="J3" s="2" t="s">
        <v>19</v>
      </c>
      <c r="K3" s="2" t="s">
        <v>258</v>
      </c>
      <c r="L3" s="7" t="str">
        <f>HYPERLINK("http://slimages.macys.com/is/image/MCY/12847546 ")</f>
        <v xml:space="preserve">http://slimages.macys.com/is/image/MCY/12847546 </v>
      </c>
    </row>
    <row r="4" spans="1:12" ht="36.75" x14ac:dyDescent="0.25">
      <c r="A4" s="4" t="s">
        <v>12735</v>
      </c>
      <c r="B4" s="2" t="s">
        <v>9888</v>
      </c>
      <c r="C4" s="3">
        <v>1</v>
      </c>
      <c r="D4" s="5">
        <v>128</v>
      </c>
      <c r="E4" s="3" t="s">
        <v>9889</v>
      </c>
      <c r="F4" s="2" t="s">
        <v>26</v>
      </c>
      <c r="G4" s="6" t="s">
        <v>39</v>
      </c>
      <c r="H4" s="2" t="s">
        <v>17</v>
      </c>
      <c r="I4" s="2" t="s">
        <v>18</v>
      </c>
      <c r="J4" s="2" t="s">
        <v>19</v>
      </c>
      <c r="K4" s="2" t="s">
        <v>2419</v>
      </c>
      <c r="L4" s="7" t="str">
        <f>HYPERLINK("http://slimages.macys.com/is/image/MCY/12877338 ")</f>
        <v xml:space="preserve">http://slimages.macys.com/is/image/MCY/12877338 </v>
      </c>
    </row>
    <row r="5" spans="1:12" ht="24.75" x14ac:dyDescent="0.25">
      <c r="A5" s="4" t="s">
        <v>12736</v>
      </c>
      <c r="B5" s="2" t="s">
        <v>11646</v>
      </c>
      <c r="C5" s="3">
        <v>1</v>
      </c>
      <c r="D5" s="5">
        <v>138</v>
      </c>
      <c r="E5" s="3" t="s">
        <v>11647</v>
      </c>
      <c r="F5" s="2" t="s">
        <v>15</v>
      </c>
      <c r="G5" s="6" t="s">
        <v>5361</v>
      </c>
      <c r="H5" s="2" t="s">
        <v>17</v>
      </c>
      <c r="I5" s="2" t="s">
        <v>5356</v>
      </c>
      <c r="J5" s="2" t="s">
        <v>19</v>
      </c>
      <c r="K5" s="2" t="s">
        <v>160</v>
      </c>
      <c r="L5" s="7" t="str">
        <f>HYPERLINK("http://slimages.macys.com/is/image/MCY/11723826 ")</f>
        <v xml:space="preserve">http://slimages.macys.com/is/image/MCY/11723826 </v>
      </c>
    </row>
    <row r="6" spans="1:12" ht="24.75" x14ac:dyDescent="0.25">
      <c r="A6" s="4" t="s">
        <v>12737</v>
      </c>
      <c r="B6" s="2" t="s">
        <v>10385</v>
      </c>
      <c r="C6" s="3">
        <v>1</v>
      </c>
      <c r="D6" s="5">
        <v>99</v>
      </c>
      <c r="E6" s="3" t="s">
        <v>10386</v>
      </c>
      <c r="F6" s="2" t="s">
        <v>53</v>
      </c>
      <c r="G6" s="6" t="s">
        <v>3309</v>
      </c>
      <c r="H6" s="2" t="s">
        <v>17</v>
      </c>
      <c r="I6" s="2" t="s">
        <v>117</v>
      </c>
      <c r="J6" s="2" t="s">
        <v>19</v>
      </c>
      <c r="K6" s="2" t="s">
        <v>160</v>
      </c>
      <c r="L6" s="7" t="str">
        <f>HYPERLINK("http://slimages.macys.com/is/image/MCY/12936498 ")</f>
        <v xml:space="preserve">http://slimages.macys.com/is/image/MCY/12936498 </v>
      </c>
    </row>
    <row r="7" spans="1:12" ht="24.75" x14ac:dyDescent="0.25">
      <c r="A7" s="4" t="s">
        <v>12738</v>
      </c>
      <c r="B7" s="2" t="s">
        <v>12739</v>
      </c>
      <c r="C7" s="3">
        <v>1</v>
      </c>
      <c r="D7" s="5">
        <v>99.5</v>
      </c>
      <c r="E7" s="3">
        <v>10719688</v>
      </c>
      <c r="F7" s="2" t="s">
        <v>252</v>
      </c>
      <c r="G7" s="6" t="s">
        <v>16</v>
      </c>
      <c r="H7" s="2" t="s">
        <v>17</v>
      </c>
      <c r="I7" s="2" t="s">
        <v>121</v>
      </c>
      <c r="J7" s="2" t="s">
        <v>19</v>
      </c>
      <c r="K7" s="2" t="s">
        <v>258</v>
      </c>
      <c r="L7" s="7" t="str">
        <f>HYPERLINK("http://slimages.macys.com/is/image/MCY/11519386 ")</f>
        <v xml:space="preserve">http://slimages.macys.com/is/image/MCY/11519386 </v>
      </c>
    </row>
    <row r="8" spans="1:12" ht="24.75" x14ac:dyDescent="0.25">
      <c r="A8" s="4" t="s">
        <v>12740</v>
      </c>
      <c r="B8" s="2" t="s">
        <v>10399</v>
      </c>
      <c r="C8" s="3">
        <v>1</v>
      </c>
      <c r="D8" s="5">
        <v>99</v>
      </c>
      <c r="E8" s="3" t="s">
        <v>10400</v>
      </c>
      <c r="F8" s="2" t="s">
        <v>887</v>
      </c>
      <c r="G8" s="6" t="s">
        <v>5361</v>
      </c>
      <c r="H8" s="2" t="s">
        <v>17</v>
      </c>
      <c r="I8" s="2" t="s">
        <v>145</v>
      </c>
      <c r="J8" s="2" t="s">
        <v>19</v>
      </c>
      <c r="K8" s="2" t="s">
        <v>75</v>
      </c>
      <c r="L8" s="7" t="str">
        <f>HYPERLINK("http://slimages.macys.com/is/image/MCY/11407685 ")</f>
        <v xml:space="preserve">http://slimages.macys.com/is/image/MCY/11407685 </v>
      </c>
    </row>
    <row r="9" spans="1:12" ht="36.75" x14ac:dyDescent="0.25">
      <c r="A9" s="4" t="s">
        <v>12741</v>
      </c>
      <c r="B9" s="2" t="s">
        <v>3328</v>
      </c>
      <c r="C9" s="3">
        <v>1</v>
      </c>
      <c r="D9" s="5">
        <v>69</v>
      </c>
      <c r="E9" s="3">
        <v>10717648</v>
      </c>
      <c r="F9" s="2" t="s">
        <v>15</v>
      </c>
      <c r="G9" s="6" t="s">
        <v>141</v>
      </c>
      <c r="H9" s="2" t="s">
        <v>2154</v>
      </c>
      <c r="I9" s="2" t="s">
        <v>2155</v>
      </c>
      <c r="J9" s="2" t="s">
        <v>19</v>
      </c>
      <c r="K9" s="2" t="s">
        <v>3337</v>
      </c>
      <c r="L9" s="7" t="str">
        <f>HYPERLINK("http://slimages.macys.com/is/image/MCY/11853587 ")</f>
        <v xml:space="preserve">http://slimages.macys.com/is/image/MCY/11853587 </v>
      </c>
    </row>
    <row r="10" spans="1:12" ht="48.75" x14ac:dyDescent="0.25">
      <c r="A10" s="4" t="s">
        <v>161</v>
      </c>
      <c r="B10" s="2" t="s">
        <v>162</v>
      </c>
      <c r="C10" s="3">
        <v>1</v>
      </c>
      <c r="D10" s="5">
        <v>99.5</v>
      </c>
      <c r="E10" s="3" t="s">
        <v>163</v>
      </c>
      <c r="F10" s="2" t="s">
        <v>164</v>
      </c>
      <c r="G10" s="6" t="s">
        <v>165</v>
      </c>
      <c r="H10" s="2" t="s">
        <v>127</v>
      </c>
      <c r="I10" s="2" t="s">
        <v>128</v>
      </c>
      <c r="J10" s="2" t="s">
        <v>19</v>
      </c>
      <c r="K10" s="2" t="s">
        <v>166</v>
      </c>
      <c r="L10" s="7" t="str">
        <f>HYPERLINK("http://slimages.macys.com/is/image/MCY/13386163 ")</f>
        <v xml:space="preserve">http://slimages.macys.com/is/image/MCY/13386163 </v>
      </c>
    </row>
    <row r="11" spans="1:12" ht="48.75" x14ac:dyDescent="0.25">
      <c r="A11" s="4" t="s">
        <v>12742</v>
      </c>
      <c r="B11" s="2" t="s">
        <v>162</v>
      </c>
      <c r="C11" s="3">
        <v>1</v>
      </c>
      <c r="D11" s="5">
        <v>99.5</v>
      </c>
      <c r="E11" s="3" t="s">
        <v>163</v>
      </c>
      <c r="F11" s="2" t="s">
        <v>164</v>
      </c>
      <c r="G11" s="6" t="s">
        <v>802</v>
      </c>
      <c r="H11" s="2" t="s">
        <v>127</v>
      </c>
      <c r="I11" s="2" t="s">
        <v>128</v>
      </c>
      <c r="J11" s="2" t="s">
        <v>19</v>
      </c>
      <c r="K11" s="2" t="s">
        <v>166</v>
      </c>
      <c r="L11" s="7" t="str">
        <f>HYPERLINK("http://slimages.macys.com/is/image/MCY/13386163 ")</f>
        <v xml:space="preserve">http://slimages.macys.com/is/image/MCY/13386163 </v>
      </c>
    </row>
    <row r="12" spans="1:12" x14ac:dyDescent="0.25">
      <c r="A12" s="4" t="s">
        <v>12743</v>
      </c>
      <c r="B12" s="2" t="s">
        <v>10407</v>
      </c>
      <c r="C12" s="3">
        <v>1</v>
      </c>
      <c r="D12" s="5">
        <v>99.5</v>
      </c>
      <c r="E12" s="3">
        <v>100064244</v>
      </c>
      <c r="F12" s="2" t="s">
        <v>252</v>
      </c>
      <c r="G12" s="6" t="s">
        <v>141</v>
      </c>
      <c r="H12" s="2" t="s">
        <v>386</v>
      </c>
      <c r="I12" s="2" t="s">
        <v>207</v>
      </c>
      <c r="J12" s="2" t="s">
        <v>19</v>
      </c>
      <c r="K12" s="2" t="s">
        <v>353</v>
      </c>
      <c r="L12" s="7" t="str">
        <f>HYPERLINK("http://slimages.macys.com/is/image/MCY/12282267 ")</f>
        <v xml:space="preserve">http://slimages.macys.com/is/image/MCY/12282267 </v>
      </c>
    </row>
    <row r="13" spans="1:12" ht="24.75" x14ac:dyDescent="0.25">
      <c r="A13" s="4" t="s">
        <v>12744</v>
      </c>
      <c r="B13" s="2" t="s">
        <v>10409</v>
      </c>
      <c r="C13" s="3">
        <v>1</v>
      </c>
      <c r="D13" s="5">
        <v>99.5</v>
      </c>
      <c r="E13" s="3">
        <v>100050164</v>
      </c>
      <c r="F13" s="2" t="s">
        <v>64</v>
      </c>
      <c r="G13" s="6" t="s">
        <v>2208</v>
      </c>
      <c r="H13" s="2" t="s">
        <v>386</v>
      </c>
      <c r="I13" s="2" t="s">
        <v>337</v>
      </c>
      <c r="J13" s="2" t="s">
        <v>19</v>
      </c>
      <c r="K13" s="2" t="s">
        <v>338</v>
      </c>
      <c r="L13" s="7" t="str">
        <f>HYPERLINK("http://slimages.macys.com/is/image/MCY/12387580 ")</f>
        <v xml:space="preserve">http://slimages.macys.com/is/image/MCY/12387580 </v>
      </c>
    </row>
    <row r="14" spans="1:12" ht="24.75" x14ac:dyDescent="0.25">
      <c r="A14" s="4" t="s">
        <v>12745</v>
      </c>
      <c r="B14" s="2" t="s">
        <v>175</v>
      </c>
      <c r="C14" s="3">
        <v>1</v>
      </c>
      <c r="D14" s="5">
        <v>89.5</v>
      </c>
      <c r="E14" s="3" t="s">
        <v>12746</v>
      </c>
      <c r="F14" s="2" t="s">
        <v>74</v>
      </c>
      <c r="G14" s="6" t="s">
        <v>336</v>
      </c>
      <c r="H14" s="2" t="s">
        <v>127</v>
      </c>
      <c r="I14" s="2" t="s">
        <v>128</v>
      </c>
      <c r="J14" s="2" t="s">
        <v>19</v>
      </c>
      <c r="K14" s="2" t="s">
        <v>160</v>
      </c>
      <c r="L14" s="7" t="str">
        <f>HYPERLINK("http://slimages.macys.com/is/image/MCY/14608238 ")</f>
        <v xml:space="preserve">http://slimages.macys.com/is/image/MCY/14608238 </v>
      </c>
    </row>
    <row r="15" spans="1:12" ht="24.75" x14ac:dyDescent="0.25">
      <c r="A15" s="4" t="s">
        <v>12747</v>
      </c>
      <c r="B15" s="2" t="s">
        <v>175</v>
      </c>
      <c r="C15" s="3">
        <v>1</v>
      </c>
      <c r="D15" s="5">
        <v>89.5</v>
      </c>
      <c r="E15" s="3" t="s">
        <v>12746</v>
      </c>
      <c r="F15" s="2" t="s">
        <v>74</v>
      </c>
      <c r="G15" s="6" t="s">
        <v>165</v>
      </c>
      <c r="H15" s="2" t="s">
        <v>127</v>
      </c>
      <c r="I15" s="2" t="s">
        <v>128</v>
      </c>
      <c r="J15" s="2" t="s">
        <v>19</v>
      </c>
      <c r="K15" s="2" t="s">
        <v>160</v>
      </c>
      <c r="L15" s="7" t="str">
        <f>HYPERLINK("http://slimages.macys.com/is/image/MCY/14608238 ")</f>
        <v xml:space="preserve">http://slimages.macys.com/is/image/MCY/14608238 </v>
      </c>
    </row>
    <row r="16" spans="1:12" ht="24.75" x14ac:dyDescent="0.25">
      <c r="A16" s="4" t="s">
        <v>12748</v>
      </c>
      <c r="B16" s="2" t="s">
        <v>12749</v>
      </c>
      <c r="C16" s="3">
        <v>1</v>
      </c>
      <c r="D16" s="5">
        <v>66.5</v>
      </c>
      <c r="E16" s="3" t="s">
        <v>12750</v>
      </c>
      <c r="F16" s="2" t="s">
        <v>26</v>
      </c>
      <c r="G16" s="6" t="s">
        <v>234</v>
      </c>
      <c r="H16" s="2" t="s">
        <v>246</v>
      </c>
      <c r="I16" s="2" t="s">
        <v>189</v>
      </c>
      <c r="J16" s="2" t="s">
        <v>19</v>
      </c>
      <c r="K16" s="2" t="s">
        <v>241</v>
      </c>
      <c r="L16" s="7" t="str">
        <f>HYPERLINK("http://slimages.macys.com/is/image/MCY/11746895 ")</f>
        <v xml:space="preserve">http://slimages.macys.com/is/image/MCY/11746895 </v>
      </c>
    </row>
    <row r="17" spans="1:12" x14ac:dyDescent="0.25">
      <c r="A17" s="4" t="s">
        <v>11688</v>
      </c>
      <c r="B17" s="2" t="s">
        <v>11689</v>
      </c>
      <c r="C17" s="3">
        <v>1</v>
      </c>
      <c r="D17" s="5">
        <v>89.5</v>
      </c>
      <c r="E17" s="3">
        <v>100058438</v>
      </c>
      <c r="F17" s="2" t="s">
        <v>64</v>
      </c>
      <c r="G17" s="6" t="s">
        <v>2208</v>
      </c>
      <c r="H17" s="2" t="s">
        <v>386</v>
      </c>
      <c r="I17" s="2" t="s">
        <v>337</v>
      </c>
      <c r="J17" s="2" t="s">
        <v>19</v>
      </c>
      <c r="K17" s="2" t="s">
        <v>353</v>
      </c>
      <c r="L17" s="7" t="str">
        <f>HYPERLINK("http://slimages.macys.com/is/image/MCY/12065705 ")</f>
        <v xml:space="preserve">http://slimages.macys.com/is/image/MCY/12065705 </v>
      </c>
    </row>
    <row r="18" spans="1:12" ht="24.75" x14ac:dyDescent="0.25">
      <c r="A18" s="4" t="s">
        <v>11690</v>
      </c>
      <c r="B18" s="2" t="s">
        <v>11691</v>
      </c>
      <c r="C18" s="3">
        <v>1</v>
      </c>
      <c r="D18" s="5">
        <v>59.63</v>
      </c>
      <c r="E18" s="3">
        <v>100053416</v>
      </c>
      <c r="F18" s="2" t="s">
        <v>111</v>
      </c>
      <c r="G18" s="6" t="s">
        <v>234</v>
      </c>
      <c r="H18" s="2" t="s">
        <v>194</v>
      </c>
      <c r="I18" s="2" t="s">
        <v>195</v>
      </c>
      <c r="J18" s="2" t="s">
        <v>19</v>
      </c>
      <c r="K18" s="2" t="s">
        <v>546</v>
      </c>
      <c r="L18" s="7" t="str">
        <f>HYPERLINK("http://slimages.macys.com/is/image/MCY/12316818 ")</f>
        <v xml:space="preserve">http://slimages.macys.com/is/image/MCY/12316818 </v>
      </c>
    </row>
    <row r="19" spans="1:12" ht="24.75" x14ac:dyDescent="0.25">
      <c r="A19" s="4" t="s">
        <v>12751</v>
      </c>
      <c r="B19" s="2" t="s">
        <v>198</v>
      </c>
      <c r="C19" s="3">
        <v>1</v>
      </c>
      <c r="D19" s="5">
        <v>52.13</v>
      </c>
      <c r="E19" s="3">
        <v>100054438</v>
      </c>
      <c r="F19" s="2" t="s">
        <v>199</v>
      </c>
      <c r="G19" s="6" t="s">
        <v>234</v>
      </c>
      <c r="H19" s="2" t="s">
        <v>194</v>
      </c>
      <c r="I19" s="2" t="s">
        <v>195</v>
      </c>
      <c r="J19" s="2" t="s">
        <v>19</v>
      </c>
      <c r="K19" s="2" t="s">
        <v>201</v>
      </c>
      <c r="L19" s="7" t="str">
        <f>HYPERLINK("http://slimages.macys.com/is/image/MCY/12316594 ")</f>
        <v xml:space="preserve">http://slimages.macys.com/is/image/MCY/12316594 </v>
      </c>
    </row>
    <row r="20" spans="1:12" ht="24.75" x14ac:dyDescent="0.25">
      <c r="A20" s="4" t="s">
        <v>3345</v>
      </c>
      <c r="B20" s="2" t="s">
        <v>3346</v>
      </c>
      <c r="C20" s="3">
        <v>1</v>
      </c>
      <c r="D20" s="5">
        <v>52.13</v>
      </c>
      <c r="E20" s="3" t="s">
        <v>3347</v>
      </c>
      <c r="F20" s="2" t="s">
        <v>887</v>
      </c>
      <c r="G20" s="6" t="s">
        <v>154</v>
      </c>
      <c r="H20" s="2" t="s">
        <v>194</v>
      </c>
      <c r="I20" s="2" t="s">
        <v>195</v>
      </c>
      <c r="J20" s="2" t="s">
        <v>19</v>
      </c>
      <c r="K20" s="2" t="s">
        <v>3350</v>
      </c>
      <c r="L20" s="7" t="str">
        <f>HYPERLINK("http://slimages.macys.com/is/image/MCY/12034735 ")</f>
        <v xml:space="preserve">http://slimages.macys.com/is/image/MCY/12034735 </v>
      </c>
    </row>
    <row r="21" spans="1:12" x14ac:dyDescent="0.25">
      <c r="A21" s="4" t="s">
        <v>2171</v>
      </c>
      <c r="B21" s="2" t="s">
        <v>178</v>
      </c>
      <c r="C21" s="3">
        <v>1</v>
      </c>
      <c r="D21" s="5">
        <v>55.65</v>
      </c>
      <c r="E21" s="3" t="s">
        <v>179</v>
      </c>
      <c r="F21" s="2" t="s">
        <v>74</v>
      </c>
      <c r="G21" s="6" t="s">
        <v>156</v>
      </c>
      <c r="H21" s="2" t="s">
        <v>182</v>
      </c>
      <c r="I21" s="2" t="s">
        <v>183</v>
      </c>
      <c r="J21" s="2" t="s">
        <v>19</v>
      </c>
      <c r="K21" s="2" t="s">
        <v>34</v>
      </c>
      <c r="L21" s="7" t="str">
        <f>HYPERLINK("http://slimages.macys.com/is/image/MCY/12935648 ")</f>
        <v xml:space="preserve">http://slimages.macys.com/is/image/MCY/12935648 </v>
      </c>
    </row>
    <row r="22" spans="1:12" ht="24.75" x14ac:dyDescent="0.25">
      <c r="A22" s="4" t="s">
        <v>10428</v>
      </c>
      <c r="B22" s="2" t="s">
        <v>7069</v>
      </c>
      <c r="C22" s="3">
        <v>1</v>
      </c>
      <c r="D22" s="5">
        <v>52.13</v>
      </c>
      <c r="E22" s="3" t="s">
        <v>10427</v>
      </c>
      <c r="F22" s="2" t="s">
        <v>376</v>
      </c>
      <c r="G22" s="6" t="s">
        <v>181</v>
      </c>
      <c r="H22" s="2" t="s">
        <v>194</v>
      </c>
      <c r="I22" s="2" t="s">
        <v>195</v>
      </c>
      <c r="J22" s="2" t="s">
        <v>19</v>
      </c>
      <c r="K22" s="2" t="s">
        <v>160</v>
      </c>
      <c r="L22" s="7" t="str">
        <f>HYPERLINK("http://slimages.macys.com/is/image/MCY/12316659 ")</f>
        <v xml:space="preserve">http://slimages.macys.com/is/image/MCY/12316659 </v>
      </c>
    </row>
    <row r="23" spans="1:12" ht="24.75" x14ac:dyDescent="0.25">
      <c r="A23" s="4" t="s">
        <v>10429</v>
      </c>
      <c r="B23" s="2" t="s">
        <v>7069</v>
      </c>
      <c r="C23" s="3">
        <v>1</v>
      </c>
      <c r="D23" s="5">
        <v>52.13</v>
      </c>
      <c r="E23" s="3" t="s">
        <v>10427</v>
      </c>
      <c r="F23" s="2" t="s">
        <v>376</v>
      </c>
      <c r="G23" s="6" t="s">
        <v>154</v>
      </c>
      <c r="H23" s="2" t="s">
        <v>194</v>
      </c>
      <c r="I23" s="2" t="s">
        <v>195</v>
      </c>
      <c r="J23" s="2" t="s">
        <v>19</v>
      </c>
      <c r="K23" s="2" t="s">
        <v>160</v>
      </c>
      <c r="L23" s="7" t="str">
        <f>HYPERLINK("http://slimages.macys.com/is/image/MCY/12316659 ")</f>
        <v xml:space="preserve">http://slimages.macys.com/is/image/MCY/12316659 </v>
      </c>
    </row>
    <row r="24" spans="1:12" ht="24.75" x14ac:dyDescent="0.25">
      <c r="A24" s="4" t="s">
        <v>12752</v>
      </c>
      <c r="B24" s="2" t="s">
        <v>12753</v>
      </c>
      <c r="C24" s="3">
        <v>1</v>
      </c>
      <c r="D24" s="5">
        <v>89.5</v>
      </c>
      <c r="E24" s="3" t="s">
        <v>12754</v>
      </c>
      <c r="F24" s="2" t="s">
        <v>64</v>
      </c>
      <c r="G24" s="6" t="s">
        <v>156</v>
      </c>
      <c r="H24" s="2" t="s">
        <v>386</v>
      </c>
      <c r="I24" s="2" t="s">
        <v>337</v>
      </c>
      <c r="J24" s="2" t="s">
        <v>19</v>
      </c>
      <c r="K24" s="2" t="s">
        <v>338</v>
      </c>
      <c r="L24" s="7" t="str">
        <f>HYPERLINK("http://slimages.macys.com/is/image/MCY/9139999 ")</f>
        <v xml:space="preserve">http://slimages.macys.com/is/image/MCY/9139999 </v>
      </c>
    </row>
    <row r="25" spans="1:12" ht="24.75" x14ac:dyDescent="0.25">
      <c r="A25" s="4" t="s">
        <v>12755</v>
      </c>
      <c r="B25" s="2" t="s">
        <v>7807</v>
      </c>
      <c r="C25" s="3">
        <v>1</v>
      </c>
      <c r="D25" s="5">
        <v>69.5</v>
      </c>
      <c r="E25" s="3" t="s">
        <v>7808</v>
      </c>
      <c r="F25" s="2" t="s">
        <v>26</v>
      </c>
      <c r="G25" s="6" t="s">
        <v>363</v>
      </c>
      <c r="H25" s="2" t="s">
        <v>206</v>
      </c>
      <c r="I25" s="2" t="s">
        <v>207</v>
      </c>
      <c r="J25" s="2" t="s">
        <v>19</v>
      </c>
      <c r="K25" s="2" t="s">
        <v>7809</v>
      </c>
      <c r="L25" s="7" t="str">
        <f>HYPERLINK("http://slimages.macys.com/is/image/MCY/9381169 ")</f>
        <v xml:space="preserve">http://slimages.macys.com/is/image/MCY/9381169 </v>
      </c>
    </row>
    <row r="26" spans="1:12" ht="24.75" x14ac:dyDescent="0.25">
      <c r="A26" s="4" t="s">
        <v>12756</v>
      </c>
      <c r="B26" s="2" t="s">
        <v>12757</v>
      </c>
      <c r="C26" s="3">
        <v>1</v>
      </c>
      <c r="D26" s="5">
        <v>59.63</v>
      </c>
      <c r="E26" s="3" t="s">
        <v>12758</v>
      </c>
      <c r="F26" s="2" t="s">
        <v>26</v>
      </c>
      <c r="G26" s="6" t="s">
        <v>245</v>
      </c>
      <c r="H26" s="2" t="s">
        <v>246</v>
      </c>
      <c r="I26" s="2" t="s">
        <v>189</v>
      </c>
      <c r="J26" s="2" t="s">
        <v>19</v>
      </c>
      <c r="K26" s="2" t="s">
        <v>34</v>
      </c>
      <c r="L26" s="7" t="str">
        <f>HYPERLINK("http://slimages.macys.com/is/image/MCY/13300523 ")</f>
        <v xml:space="preserve">http://slimages.macys.com/is/image/MCY/13300523 </v>
      </c>
    </row>
    <row r="27" spans="1:12" ht="24.75" x14ac:dyDescent="0.25">
      <c r="A27" s="4" t="s">
        <v>12759</v>
      </c>
      <c r="B27" s="2" t="s">
        <v>12760</v>
      </c>
      <c r="C27" s="3">
        <v>1</v>
      </c>
      <c r="D27" s="5">
        <v>63.5</v>
      </c>
      <c r="E27" s="3" t="s">
        <v>12761</v>
      </c>
      <c r="F27" s="2" t="s">
        <v>74</v>
      </c>
      <c r="G27" s="6" t="s">
        <v>336</v>
      </c>
      <c r="H27" s="2" t="s">
        <v>127</v>
      </c>
      <c r="I27" s="2" t="s">
        <v>128</v>
      </c>
      <c r="J27" s="2" t="s">
        <v>19</v>
      </c>
      <c r="K27" s="2" t="s">
        <v>12762</v>
      </c>
      <c r="L27" s="7" t="str">
        <f>HYPERLINK("http://slimages.macys.com/is/image/MCY/9369480 ")</f>
        <v xml:space="preserve">http://slimages.macys.com/is/image/MCY/9369480 </v>
      </c>
    </row>
    <row r="28" spans="1:12" ht="24.75" x14ac:dyDescent="0.25">
      <c r="A28" s="4" t="s">
        <v>12763</v>
      </c>
      <c r="B28" s="2" t="s">
        <v>5397</v>
      </c>
      <c r="C28" s="3">
        <v>1</v>
      </c>
      <c r="D28" s="5">
        <v>59.63</v>
      </c>
      <c r="E28" s="3" t="s">
        <v>12764</v>
      </c>
      <c r="F28" s="2" t="s">
        <v>376</v>
      </c>
      <c r="G28" s="6" t="s">
        <v>156</v>
      </c>
      <c r="H28" s="2" t="s">
        <v>194</v>
      </c>
      <c r="I28" s="2" t="s">
        <v>195</v>
      </c>
      <c r="J28" s="2" t="s">
        <v>19</v>
      </c>
      <c r="K28" s="2" t="s">
        <v>34</v>
      </c>
      <c r="L28" s="7" t="str">
        <f>HYPERLINK("http://slimages.macys.com/is/image/MCY/14826203 ")</f>
        <v xml:space="preserve">http://slimages.macys.com/is/image/MCY/14826203 </v>
      </c>
    </row>
    <row r="29" spans="1:12" ht="24.75" x14ac:dyDescent="0.25">
      <c r="A29" s="4" t="s">
        <v>8463</v>
      </c>
      <c r="B29" s="2" t="s">
        <v>7079</v>
      </c>
      <c r="C29" s="3">
        <v>1</v>
      </c>
      <c r="D29" s="5">
        <v>52.13</v>
      </c>
      <c r="E29" s="3" t="s">
        <v>7080</v>
      </c>
      <c r="F29" s="2" t="s">
        <v>26</v>
      </c>
      <c r="G29" s="6" t="s">
        <v>154</v>
      </c>
      <c r="H29" s="2" t="s">
        <v>194</v>
      </c>
      <c r="I29" s="2" t="s">
        <v>580</v>
      </c>
      <c r="J29" s="2" t="s">
        <v>19</v>
      </c>
      <c r="K29" s="2" t="s">
        <v>1082</v>
      </c>
      <c r="L29" s="7" t="str">
        <f>HYPERLINK("http://slimages.macys.com/is/image/MCY/12404786 ")</f>
        <v xml:space="preserve">http://slimages.macys.com/is/image/MCY/12404786 </v>
      </c>
    </row>
    <row r="30" spans="1:12" ht="24.75" x14ac:dyDescent="0.25">
      <c r="A30" s="4" t="s">
        <v>6316</v>
      </c>
      <c r="B30" s="2" t="s">
        <v>3358</v>
      </c>
      <c r="C30" s="3">
        <v>1</v>
      </c>
      <c r="D30" s="5">
        <v>52.13</v>
      </c>
      <c r="E30" s="3" t="s">
        <v>3359</v>
      </c>
      <c r="F30" s="2" t="s">
        <v>26</v>
      </c>
      <c r="G30" s="6" t="s">
        <v>234</v>
      </c>
      <c r="H30" s="2" t="s">
        <v>246</v>
      </c>
      <c r="I30" s="2" t="s">
        <v>189</v>
      </c>
      <c r="J30" s="2" t="s">
        <v>19</v>
      </c>
      <c r="K30" s="2" t="s">
        <v>705</v>
      </c>
      <c r="L30" s="7" t="str">
        <f>HYPERLINK("http://slimages.macys.com/is/image/MCY/13300525 ")</f>
        <v xml:space="preserve">http://slimages.macys.com/is/image/MCY/13300525 </v>
      </c>
    </row>
    <row r="31" spans="1:12" ht="24.75" x14ac:dyDescent="0.25">
      <c r="A31" s="4" t="s">
        <v>12765</v>
      </c>
      <c r="B31" s="2" t="s">
        <v>12766</v>
      </c>
      <c r="C31" s="3">
        <v>1</v>
      </c>
      <c r="D31" s="5">
        <v>69.5</v>
      </c>
      <c r="E31" s="3">
        <v>100049633</v>
      </c>
      <c r="F31" s="2" t="s">
        <v>74</v>
      </c>
      <c r="G31" s="6" t="s">
        <v>39</v>
      </c>
      <c r="H31" s="2" t="s">
        <v>386</v>
      </c>
      <c r="I31" s="2" t="s">
        <v>337</v>
      </c>
      <c r="J31" s="2" t="s">
        <v>19</v>
      </c>
      <c r="K31" s="2" t="s">
        <v>338</v>
      </c>
      <c r="L31" s="7" t="str">
        <f>HYPERLINK("http://slimages.macys.com/is/image/MCY/11488394 ")</f>
        <v xml:space="preserve">http://slimages.macys.com/is/image/MCY/11488394 </v>
      </c>
    </row>
    <row r="32" spans="1:12" ht="24.75" x14ac:dyDescent="0.25">
      <c r="A32" s="4" t="s">
        <v>12767</v>
      </c>
      <c r="B32" s="2" t="s">
        <v>12768</v>
      </c>
      <c r="C32" s="3">
        <v>1</v>
      </c>
      <c r="D32" s="5">
        <v>55.88</v>
      </c>
      <c r="E32" s="3" t="s">
        <v>12769</v>
      </c>
      <c r="F32" s="2" t="s">
        <v>26</v>
      </c>
      <c r="G32" s="6" t="s">
        <v>154</v>
      </c>
      <c r="H32" s="2" t="s">
        <v>246</v>
      </c>
      <c r="I32" s="2" t="s">
        <v>189</v>
      </c>
      <c r="J32" s="2" t="s">
        <v>19</v>
      </c>
      <c r="K32" s="2" t="s">
        <v>803</v>
      </c>
      <c r="L32" s="7" t="str">
        <f>HYPERLINK("http://slimages.macys.com/is/image/MCY/11940134 ")</f>
        <v xml:space="preserve">http://slimages.macys.com/is/image/MCY/11940134 </v>
      </c>
    </row>
    <row r="33" spans="1:12" ht="24.75" x14ac:dyDescent="0.25">
      <c r="A33" s="4" t="s">
        <v>12770</v>
      </c>
      <c r="B33" s="2" t="s">
        <v>282</v>
      </c>
      <c r="C33" s="3">
        <v>1</v>
      </c>
      <c r="D33" s="5">
        <v>44.63</v>
      </c>
      <c r="E33" s="3" t="s">
        <v>283</v>
      </c>
      <c r="F33" s="2" t="s">
        <v>74</v>
      </c>
      <c r="G33" s="6" t="s">
        <v>181</v>
      </c>
      <c r="H33" s="2" t="s">
        <v>284</v>
      </c>
      <c r="I33" s="2" t="s">
        <v>285</v>
      </c>
      <c r="J33" s="2" t="s">
        <v>19</v>
      </c>
      <c r="K33" s="2" t="s">
        <v>286</v>
      </c>
      <c r="L33" s="7" t="str">
        <f>HYPERLINK("http://slimages.macys.com/is/image/MCY/11859243 ")</f>
        <v xml:space="preserve">http://slimages.macys.com/is/image/MCY/11859243 </v>
      </c>
    </row>
    <row r="34" spans="1:12" ht="24.75" x14ac:dyDescent="0.25">
      <c r="A34" s="4" t="s">
        <v>12771</v>
      </c>
      <c r="B34" s="2" t="s">
        <v>7087</v>
      </c>
      <c r="C34" s="3">
        <v>1</v>
      </c>
      <c r="D34" s="5">
        <v>52.13</v>
      </c>
      <c r="E34" s="3" t="s">
        <v>7088</v>
      </c>
      <c r="F34" s="2" t="s">
        <v>64</v>
      </c>
      <c r="G34" s="6" t="s">
        <v>154</v>
      </c>
      <c r="H34" s="2" t="s">
        <v>246</v>
      </c>
      <c r="I34" s="2" t="s">
        <v>189</v>
      </c>
      <c r="J34" s="2" t="s">
        <v>19</v>
      </c>
      <c r="K34" s="2" t="s">
        <v>263</v>
      </c>
      <c r="L34" s="7" t="str">
        <f>HYPERLINK("http://slimages.macys.com/is/image/MCY/11972329 ")</f>
        <v xml:space="preserve">http://slimages.macys.com/is/image/MCY/11972329 </v>
      </c>
    </row>
    <row r="35" spans="1:12" ht="24.75" x14ac:dyDescent="0.25">
      <c r="A35" s="4" t="s">
        <v>12772</v>
      </c>
      <c r="B35" s="2" t="s">
        <v>12773</v>
      </c>
      <c r="C35" s="3">
        <v>1</v>
      </c>
      <c r="D35" s="5">
        <v>52.13</v>
      </c>
      <c r="E35" s="3" t="s">
        <v>12774</v>
      </c>
      <c r="F35" s="2" t="s">
        <v>64</v>
      </c>
      <c r="G35" s="6" t="s">
        <v>200</v>
      </c>
      <c r="H35" s="2" t="s">
        <v>194</v>
      </c>
      <c r="I35" s="2" t="s">
        <v>195</v>
      </c>
      <c r="J35" s="2" t="s">
        <v>19</v>
      </c>
      <c r="K35" s="2" t="s">
        <v>247</v>
      </c>
      <c r="L35" s="7" t="str">
        <f>HYPERLINK("http://slimages.macys.com/is/image/MCY/12849982 ")</f>
        <v xml:space="preserve">http://slimages.macys.com/is/image/MCY/12849982 </v>
      </c>
    </row>
    <row r="36" spans="1:12" ht="24.75" x14ac:dyDescent="0.25">
      <c r="A36" s="4" t="s">
        <v>287</v>
      </c>
      <c r="B36" s="2" t="s">
        <v>288</v>
      </c>
      <c r="C36" s="3">
        <v>1</v>
      </c>
      <c r="D36" s="5">
        <v>52.13</v>
      </c>
      <c r="E36" s="3" t="s">
        <v>289</v>
      </c>
      <c r="F36" s="2" t="s">
        <v>74</v>
      </c>
      <c r="G36" s="6" t="s">
        <v>234</v>
      </c>
      <c r="H36" s="2" t="s">
        <v>194</v>
      </c>
      <c r="I36" s="2" t="s">
        <v>195</v>
      </c>
      <c r="J36" s="2" t="s">
        <v>19</v>
      </c>
      <c r="K36" s="2" t="s">
        <v>247</v>
      </c>
      <c r="L36" s="7" t="str">
        <f>HYPERLINK("http://slimages.macys.com/is/image/MCY/12849982 ")</f>
        <v xml:space="preserve">http://slimages.macys.com/is/image/MCY/12849982 </v>
      </c>
    </row>
    <row r="37" spans="1:12" ht="24.75" x14ac:dyDescent="0.25">
      <c r="A37" s="4" t="s">
        <v>10452</v>
      </c>
      <c r="B37" s="2" t="s">
        <v>10453</v>
      </c>
      <c r="C37" s="3">
        <v>1</v>
      </c>
      <c r="D37" s="5">
        <v>52.13</v>
      </c>
      <c r="E37" s="3" t="s">
        <v>10454</v>
      </c>
      <c r="F37" s="2" t="s">
        <v>417</v>
      </c>
      <c r="G37" s="6" t="s">
        <v>154</v>
      </c>
      <c r="H37" s="2" t="s">
        <v>194</v>
      </c>
      <c r="I37" s="2" t="s">
        <v>195</v>
      </c>
      <c r="J37" s="2" t="s">
        <v>19</v>
      </c>
      <c r="K37" s="2" t="s">
        <v>438</v>
      </c>
      <c r="L37" s="7" t="str">
        <f>HYPERLINK("http://slimages.macys.com/is/image/MCY/12279959 ")</f>
        <v xml:space="preserve">http://slimages.macys.com/is/image/MCY/12279959 </v>
      </c>
    </row>
    <row r="38" spans="1:12" ht="24.75" x14ac:dyDescent="0.25">
      <c r="A38" s="4" t="s">
        <v>11728</v>
      </c>
      <c r="B38" s="2" t="s">
        <v>10453</v>
      </c>
      <c r="C38" s="3">
        <v>2</v>
      </c>
      <c r="D38" s="5">
        <v>52.13</v>
      </c>
      <c r="E38" s="3" t="s">
        <v>10454</v>
      </c>
      <c r="F38" s="2" t="s">
        <v>417</v>
      </c>
      <c r="G38" s="6" t="s">
        <v>181</v>
      </c>
      <c r="H38" s="2" t="s">
        <v>194</v>
      </c>
      <c r="I38" s="2" t="s">
        <v>195</v>
      </c>
      <c r="J38" s="2" t="s">
        <v>19</v>
      </c>
      <c r="K38" s="2" t="s">
        <v>438</v>
      </c>
      <c r="L38" s="7" t="str">
        <f>HYPERLINK("http://slimages.macys.com/is/image/MCY/12279959 ")</f>
        <v xml:space="preserve">http://slimages.macys.com/is/image/MCY/12279959 </v>
      </c>
    </row>
    <row r="39" spans="1:12" ht="24.75" x14ac:dyDescent="0.25">
      <c r="A39" s="4" t="s">
        <v>11730</v>
      </c>
      <c r="B39" s="2" t="s">
        <v>288</v>
      </c>
      <c r="C39" s="3">
        <v>1</v>
      </c>
      <c r="D39" s="5">
        <v>52.13</v>
      </c>
      <c r="E39" s="3" t="s">
        <v>10459</v>
      </c>
      <c r="F39" s="2" t="s">
        <v>64</v>
      </c>
      <c r="G39" s="6"/>
      <c r="H39" s="2" t="s">
        <v>312</v>
      </c>
      <c r="I39" s="2" t="s">
        <v>195</v>
      </c>
      <c r="J39" s="2" t="s">
        <v>19</v>
      </c>
      <c r="K39" s="2" t="s">
        <v>247</v>
      </c>
      <c r="L39" s="7" t="str">
        <f>HYPERLINK("http://slimages.macys.com/is/image/MCY/12849992 ")</f>
        <v xml:space="preserve">http://slimages.macys.com/is/image/MCY/12849992 </v>
      </c>
    </row>
    <row r="40" spans="1:12" ht="24.75" x14ac:dyDescent="0.25">
      <c r="A40" s="4" t="s">
        <v>4477</v>
      </c>
      <c r="B40" s="2" t="s">
        <v>2202</v>
      </c>
      <c r="C40" s="3">
        <v>1</v>
      </c>
      <c r="D40" s="5">
        <v>48.38</v>
      </c>
      <c r="E40" s="3" t="s">
        <v>2203</v>
      </c>
      <c r="F40" s="2" t="s">
        <v>26</v>
      </c>
      <c r="G40" s="6" t="s">
        <v>2276</v>
      </c>
      <c r="H40" s="2" t="s">
        <v>349</v>
      </c>
      <c r="I40" s="2" t="s">
        <v>285</v>
      </c>
      <c r="J40" s="2" t="s">
        <v>19</v>
      </c>
      <c r="K40" s="2" t="s">
        <v>2204</v>
      </c>
      <c r="L40" s="7" t="str">
        <f>HYPERLINK("http://slimages.macys.com/is/image/MCY/11859318 ")</f>
        <v xml:space="preserve">http://slimages.macys.com/is/image/MCY/11859318 </v>
      </c>
    </row>
    <row r="41" spans="1:12" ht="24.75" x14ac:dyDescent="0.25">
      <c r="A41" s="4" t="s">
        <v>12775</v>
      </c>
      <c r="B41" s="2" t="s">
        <v>305</v>
      </c>
      <c r="C41" s="3">
        <v>2</v>
      </c>
      <c r="D41" s="5">
        <v>52.13</v>
      </c>
      <c r="E41" s="3" t="s">
        <v>306</v>
      </c>
      <c r="F41" s="2" t="s">
        <v>74</v>
      </c>
      <c r="G41" s="6" t="s">
        <v>181</v>
      </c>
      <c r="H41" s="2" t="s">
        <v>194</v>
      </c>
      <c r="I41" s="2" t="s">
        <v>307</v>
      </c>
      <c r="J41" s="2" t="s">
        <v>19</v>
      </c>
      <c r="K41" s="2" t="s">
        <v>247</v>
      </c>
      <c r="L41" s="7" t="str">
        <f>HYPERLINK("http://slimages.macys.com/is/image/MCY/11937882 ")</f>
        <v xml:space="preserve">http://slimages.macys.com/is/image/MCY/11937882 </v>
      </c>
    </row>
    <row r="42" spans="1:12" ht="24.75" x14ac:dyDescent="0.25">
      <c r="A42" s="4" t="s">
        <v>12776</v>
      </c>
      <c r="B42" s="2" t="s">
        <v>12768</v>
      </c>
      <c r="C42" s="3">
        <v>1</v>
      </c>
      <c r="D42" s="5">
        <v>55.88</v>
      </c>
      <c r="E42" s="3" t="s">
        <v>12769</v>
      </c>
      <c r="F42" s="2" t="s">
        <v>74</v>
      </c>
      <c r="G42" s="6" t="s">
        <v>245</v>
      </c>
      <c r="H42" s="2" t="s">
        <v>246</v>
      </c>
      <c r="I42" s="2" t="s">
        <v>189</v>
      </c>
      <c r="J42" s="2" t="s">
        <v>19</v>
      </c>
      <c r="K42" s="2" t="s">
        <v>803</v>
      </c>
      <c r="L42" s="7" t="str">
        <f>HYPERLINK("http://slimages.macys.com/is/image/MCY/11940134 ")</f>
        <v xml:space="preserve">http://slimages.macys.com/is/image/MCY/11940134 </v>
      </c>
    </row>
    <row r="43" spans="1:12" ht="24.75" x14ac:dyDescent="0.25">
      <c r="A43" s="4" t="s">
        <v>12777</v>
      </c>
      <c r="B43" s="2" t="s">
        <v>10463</v>
      </c>
      <c r="C43" s="3">
        <v>1</v>
      </c>
      <c r="D43" s="5">
        <v>48.38</v>
      </c>
      <c r="E43" s="3" t="s">
        <v>10464</v>
      </c>
      <c r="F43" s="2" t="s">
        <v>417</v>
      </c>
      <c r="G43" s="6" t="s">
        <v>22</v>
      </c>
      <c r="H43" s="2" t="s">
        <v>213</v>
      </c>
      <c r="I43" s="2" t="s">
        <v>214</v>
      </c>
      <c r="J43" s="2" t="s">
        <v>19</v>
      </c>
      <c r="K43" s="2" t="s">
        <v>2231</v>
      </c>
      <c r="L43" s="7" t="str">
        <f>HYPERLINK("http://slimages.macys.com/is/image/MCY/11939924 ")</f>
        <v xml:space="preserve">http://slimages.macys.com/is/image/MCY/11939924 </v>
      </c>
    </row>
    <row r="44" spans="1:12" ht="24.75" x14ac:dyDescent="0.25">
      <c r="A44" s="4" t="s">
        <v>12778</v>
      </c>
      <c r="B44" s="2" t="s">
        <v>10463</v>
      </c>
      <c r="C44" s="3">
        <v>1</v>
      </c>
      <c r="D44" s="5">
        <v>48.38</v>
      </c>
      <c r="E44" s="3" t="s">
        <v>10464</v>
      </c>
      <c r="F44" s="2" t="s">
        <v>417</v>
      </c>
      <c r="G44" s="6" t="s">
        <v>141</v>
      </c>
      <c r="H44" s="2" t="s">
        <v>213</v>
      </c>
      <c r="I44" s="2" t="s">
        <v>214</v>
      </c>
      <c r="J44" s="2" t="s">
        <v>19</v>
      </c>
      <c r="K44" s="2" t="s">
        <v>2231</v>
      </c>
      <c r="L44" s="7" t="str">
        <f>HYPERLINK("http://slimages.macys.com/is/image/MCY/11939924 ")</f>
        <v xml:space="preserve">http://slimages.macys.com/is/image/MCY/11939924 </v>
      </c>
    </row>
    <row r="45" spans="1:12" ht="24.75" x14ac:dyDescent="0.25">
      <c r="A45" s="4" t="s">
        <v>318</v>
      </c>
      <c r="B45" s="2" t="s">
        <v>319</v>
      </c>
      <c r="C45" s="3">
        <v>1</v>
      </c>
      <c r="D45" s="5">
        <v>44.63</v>
      </c>
      <c r="E45" s="3" t="s">
        <v>320</v>
      </c>
      <c r="F45" s="2" t="s">
        <v>26</v>
      </c>
      <c r="G45" s="6" t="s">
        <v>156</v>
      </c>
      <c r="H45" s="2" t="s">
        <v>194</v>
      </c>
      <c r="I45" s="2" t="s">
        <v>195</v>
      </c>
      <c r="J45" s="2" t="s">
        <v>19</v>
      </c>
      <c r="K45" s="2" t="s">
        <v>107</v>
      </c>
      <c r="L45" s="7" t="str">
        <f>HYPERLINK("http://slimages.macys.com/is/image/MCY/12794080 ")</f>
        <v xml:space="preserve">http://slimages.macys.com/is/image/MCY/12794080 </v>
      </c>
    </row>
    <row r="46" spans="1:12" ht="24.75" x14ac:dyDescent="0.25">
      <c r="A46" s="4" t="s">
        <v>12779</v>
      </c>
      <c r="B46" s="2" t="s">
        <v>12780</v>
      </c>
      <c r="C46" s="3">
        <v>1</v>
      </c>
      <c r="D46" s="5">
        <v>52.13</v>
      </c>
      <c r="E46" s="3" t="s">
        <v>12781</v>
      </c>
      <c r="F46" s="2" t="s">
        <v>33</v>
      </c>
      <c r="G46" s="6" t="s">
        <v>200</v>
      </c>
      <c r="H46" s="2" t="s">
        <v>246</v>
      </c>
      <c r="I46" s="2" t="s">
        <v>189</v>
      </c>
      <c r="J46" s="2" t="s">
        <v>19</v>
      </c>
      <c r="K46" s="2" t="s">
        <v>263</v>
      </c>
      <c r="L46" s="7" t="str">
        <f>HYPERLINK("http://slimages.macys.com/is/image/MCY/12281890 ")</f>
        <v xml:space="preserve">http://slimages.macys.com/is/image/MCY/12281890 </v>
      </c>
    </row>
    <row r="47" spans="1:12" ht="36.75" x14ac:dyDescent="0.25">
      <c r="A47" s="4" t="s">
        <v>3378</v>
      </c>
      <c r="B47" s="2" t="s">
        <v>3375</v>
      </c>
      <c r="C47" s="3">
        <v>1</v>
      </c>
      <c r="D47" s="5">
        <v>48.38</v>
      </c>
      <c r="E47" s="3" t="s">
        <v>3376</v>
      </c>
      <c r="F47" s="2" t="s">
        <v>15</v>
      </c>
      <c r="G47" s="6" t="s">
        <v>746</v>
      </c>
      <c r="H47" s="2" t="s">
        <v>349</v>
      </c>
      <c r="I47" s="2" t="s">
        <v>285</v>
      </c>
      <c r="J47" s="2" t="s">
        <v>19</v>
      </c>
      <c r="K47" s="2" t="s">
        <v>274</v>
      </c>
      <c r="L47" s="7" t="str">
        <f>HYPERLINK("http://slimages.macys.com/is/image/MCY/11644713 ")</f>
        <v xml:space="preserve">http://slimages.macys.com/is/image/MCY/11644713 </v>
      </c>
    </row>
    <row r="48" spans="1:12" ht="24.75" x14ac:dyDescent="0.25">
      <c r="A48" s="4" t="s">
        <v>7086</v>
      </c>
      <c r="B48" s="2" t="s">
        <v>7087</v>
      </c>
      <c r="C48" s="3">
        <v>1</v>
      </c>
      <c r="D48" s="5">
        <v>52.13</v>
      </c>
      <c r="E48" s="3" t="s">
        <v>7088</v>
      </c>
      <c r="F48" s="2" t="s">
        <v>413</v>
      </c>
      <c r="G48" s="6" t="s">
        <v>181</v>
      </c>
      <c r="H48" s="2" t="s">
        <v>246</v>
      </c>
      <c r="I48" s="2" t="s">
        <v>189</v>
      </c>
      <c r="J48" s="2" t="s">
        <v>19</v>
      </c>
      <c r="K48" s="2" t="s">
        <v>263</v>
      </c>
      <c r="L48" s="7" t="str">
        <f>HYPERLINK("http://slimages.macys.com/is/image/MCY/11972331 ")</f>
        <v xml:space="preserve">http://slimages.macys.com/is/image/MCY/11972331 </v>
      </c>
    </row>
    <row r="49" spans="1:12" ht="24.75" x14ac:dyDescent="0.25">
      <c r="A49" s="4" t="s">
        <v>333</v>
      </c>
      <c r="B49" s="2" t="s">
        <v>334</v>
      </c>
      <c r="C49" s="3">
        <v>2</v>
      </c>
      <c r="D49" s="5">
        <v>79.5</v>
      </c>
      <c r="E49" s="3" t="s">
        <v>335</v>
      </c>
      <c r="F49" s="2" t="s">
        <v>64</v>
      </c>
      <c r="G49" s="6" t="s">
        <v>336</v>
      </c>
      <c r="H49" s="2" t="s">
        <v>206</v>
      </c>
      <c r="I49" s="2" t="s">
        <v>337</v>
      </c>
      <c r="J49" s="2" t="s">
        <v>19</v>
      </c>
      <c r="K49" s="2" t="s">
        <v>338</v>
      </c>
      <c r="L49" s="7" t="str">
        <f>HYPERLINK("http://slimages.macys.com/is/image/MCY/12231410 ")</f>
        <v xml:space="preserve">http://slimages.macys.com/is/image/MCY/12231410 </v>
      </c>
    </row>
    <row r="50" spans="1:12" ht="24.75" x14ac:dyDescent="0.25">
      <c r="A50" s="4" t="s">
        <v>11748</v>
      </c>
      <c r="B50" s="2" t="s">
        <v>334</v>
      </c>
      <c r="C50" s="3">
        <v>1</v>
      </c>
      <c r="D50" s="5">
        <v>79.5</v>
      </c>
      <c r="E50" s="3" t="s">
        <v>335</v>
      </c>
      <c r="F50" s="2" t="s">
        <v>64</v>
      </c>
      <c r="G50" s="6" t="s">
        <v>363</v>
      </c>
      <c r="H50" s="2" t="s">
        <v>206</v>
      </c>
      <c r="I50" s="2" t="s">
        <v>337</v>
      </c>
      <c r="J50" s="2" t="s">
        <v>19</v>
      </c>
      <c r="K50" s="2" t="s">
        <v>338</v>
      </c>
      <c r="L50" s="7" t="str">
        <f>HYPERLINK("http://slimages.macys.com/is/image/MCY/12231410 ")</f>
        <v xml:space="preserve">http://slimages.macys.com/is/image/MCY/12231410 </v>
      </c>
    </row>
    <row r="51" spans="1:12" ht="24.75" x14ac:dyDescent="0.25">
      <c r="A51" s="4" t="s">
        <v>12782</v>
      </c>
      <c r="B51" s="2" t="s">
        <v>6328</v>
      </c>
      <c r="C51" s="3">
        <v>1</v>
      </c>
      <c r="D51" s="5">
        <v>52.13</v>
      </c>
      <c r="E51" s="3" t="s">
        <v>6329</v>
      </c>
      <c r="F51" s="2" t="s">
        <v>64</v>
      </c>
      <c r="G51" s="6" t="s">
        <v>156</v>
      </c>
      <c r="H51" s="2" t="s">
        <v>246</v>
      </c>
      <c r="I51" s="2" t="s">
        <v>189</v>
      </c>
      <c r="J51" s="2" t="s">
        <v>19</v>
      </c>
      <c r="K51" s="2" t="s">
        <v>34</v>
      </c>
      <c r="L51" s="7" t="str">
        <f>HYPERLINK("http://slimages.macys.com/is/image/MCY/11937711 ")</f>
        <v xml:space="preserve">http://slimages.macys.com/is/image/MCY/11937711 </v>
      </c>
    </row>
    <row r="52" spans="1:12" ht="24.75" x14ac:dyDescent="0.25">
      <c r="A52" s="4" t="s">
        <v>12783</v>
      </c>
      <c r="B52" s="2" t="s">
        <v>12784</v>
      </c>
      <c r="C52" s="3">
        <v>1</v>
      </c>
      <c r="D52" s="5">
        <v>29.98</v>
      </c>
      <c r="E52" s="3">
        <v>9509</v>
      </c>
      <c r="F52" s="2" t="s">
        <v>417</v>
      </c>
      <c r="G52" s="6" t="s">
        <v>3401</v>
      </c>
      <c r="H52" s="2" t="s">
        <v>3402</v>
      </c>
      <c r="I52" s="2" t="s">
        <v>3409</v>
      </c>
      <c r="J52" s="2" t="s">
        <v>19</v>
      </c>
      <c r="K52" s="2" t="s">
        <v>338</v>
      </c>
      <c r="L52" s="7" t="str">
        <f>HYPERLINK("http://slimages.macys.com/is/image/MCY/663497 ")</f>
        <v xml:space="preserve">http://slimages.macys.com/is/image/MCY/663497 </v>
      </c>
    </row>
    <row r="53" spans="1:12" ht="24.75" x14ac:dyDescent="0.25">
      <c r="A53" s="4" t="s">
        <v>12785</v>
      </c>
      <c r="B53" s="2" t="s">
        <v>12786</v>
      </c>
      <c r="C53" s="3">
        <v>1</v>
      </c>
      <c r="D53" s="5">
        <v>48.38</v>
      </c>
      <c r="E53" s="3" t="s">
        <v>12787</v>
      </c>
      <c r="F53" s="2" t="s">
        <v>74</v>
      </c>
      <c r="G53" s="6" t="s">
        <v>2456</v>
      </c>
      <c r="H53" s="2" t="s">
        <v>349</v>
      </c>
      <c r="I53" s="2" t="s">
        <v>408</v>
      </c>
      <c r="J53" s="2" t="s">
        <v>19</v>
      </c>
      <c r="K53" s="2" t="s">
        <v>409</v>
      </c>
      <c r="L53" s="7" t="str">
        <f>HYPERLINK("http://slimages.macys.com/is/image/MCY/11603241 ")</f>
        <v xml:space="preserve">http://slimages.macys.com/is/image/MCY/11603241 </v>
      </c>
    </row>
    <row r="54" spans="1:12" ht="24.75" x14ac:dyDescent="0.25">
      <c r="A54" s="4" t="s">
        <v>12788</v>
      </c>
      <c r="B54" s="2" t="s">
        <v>12789</v>
      </c>
      <c r="C54" s="3">
        <v>1</v>
      </c>
      <c r="D54" s="5">
        <v>52.13</v>
      </c>
      <c r="E54" s="3" t="s">
        <v>12790</v>
      </c>
      <c r="F54" s="2" t="s">
        <v>15</v>
      </c>
      <c r="G54" s="6" t="s">
        <v>156</v>
      </c>
      <c r="H54" s="2" t="s">
        <v>246</v>
      </c>
      <c r="I54" s="2" t="s">
        <v>189</v>
      </c>
      <c r="J54" s="2" t="s">
        <v>19</v>
      </c>
      <c r="K54" s="2" t="s">
        <v>263</v>
      </c>
      <c r="L54" s="7" t="str">
        <f>HYPERLINK("http://slimages.macys.com/is/image/MCY/12266976 ")</f>
        <v xml:space="preserve">http://slimages.macys.com/is/image/MCY/12266976 </v>
      </c>
    </row>
    <row r="55" spans="1:12" ht="24.75" x14ac:dyDescent="0.25">
      <c r="A55" s="4" t="s">
        <v>12791</v>
      </c>
      <c r="B55" s="2" t="s">
        <v>10483</v>
      </c>
      <c r="C55" s="3">
        <v>1</v>
      </c>
      <c r="D55" s="5">
        <v>44.63</v>
      </c>
      <c r="E55" s="3" t="s">
        <v>10484</v>
      </c>
      <c r="F55" s="2" t="s">
        <v>26</v>
      </c>
      <c r="G55" s="6" t="s">
        <v>234</v>
      </c>
      <c r="H55" s="2" t="s">
        <v>194</v>
      </c>
      <c r="I55" s="2" t="s">
        <v>307</v>
      </c>
      <c r="J55" s="2" t="s">
        <v>19</v>
      </c>
      <c r="K55" s="2" t="s">
        <v>438</v>
      </c>
      <c r="L55" s="7" t="str">
        <f>HYPERLINK("http://slimages.macys.com/is/image/MCY/13315785 ")</f>
        <v xml:space="preserve">http://slimages.macys.com/is/image/MCY/13315785 </v>
      </c>
    </row>
    <row r="56" spans="1:12" ht="24.75" x14ac:dyDescent="0.25">
      <c r="A56" s="4" t="s">
        <v>10486</v>
      </c>
      <c r="B56" s="2" t="s">
        <v>2236</v>
      </c>
      <c r="C56" s="3">
        <v>1</v>
      </c>
      <c r="D56" s="5">
        <v>48.38</v>
      </c>
      <c r="E56" s="3" t="s">
        <v>2237</v>
      </c>
      <c r="F56" s="2" t="s">
        <v>413</v>
      </c>
      <c r="G56" s="6" t="s">
        <v>154</v>
      </c>
      <c r="H56" s="2" t="s">
        <v>246</v>
      </c>
      <c r="I56" s="2" t="s">
        <v>189</v>
      </c>
      <c r="J56" s="2" t="s">
        <v>19</v>
      </c>
      <c r="K56" s="2" t="s">
        <v>241</v>
      </c>
      <c r="L56" s="7" t="str">
        <f>HYPERLINK("http://slimages.macys.com/is/image/MCY/11938495 ")</f>
        <v xml:space="preserve">http://slimages.macys.com/is/image/MCY/11938495 </v>
      </c>
    </row>
    <row r="57" spans="1:12" ht="24.75" x14ac:dyDescent="0.25">
      <c r="A57" s="4" t="s">
        <v>12792</v>
      </c>
      <c r="B57" s="2" t="s">
        <v>2236</v>
      </c>
      <c r="C57" s="3">
        <v>1</v>
      </c>
      <c r="D57" s="5">
        <v>48.38</v>
      </c>
      <c r="E57" s="3" t="s">
        <v>2237</v>
      </c>
      <c r="F57" s="2" t="s">
        <v>413</v>
      </c>
      <c r="G57" s="6" t="s">
        <v>245</v>
      </c>
      <c r="H57" s="2" t="s">
        <v>246</v>
      </c>
      <c r="I57" s="2" t="s">
        <v>189</v>
      </c>
      <c r="J57" s="2" t="s">
        <v>19</v>
      </c>
      <c r="K57" s="2" t="s">
        <v>241</v>
      </c>
      <c r="L57" s="7" t="str">
        <f>HYPERLINK("http://slimages.macys.com/is/image/MCY/11938495 ")</f>
        <v xml:space="preserve">http://slimages.macys.com/is/image/MCY/11938495 </v>
      </c>
    </row>
    <row r="58" spans="1:12" ht="24.75" x14ac:dyDescent="0.25">
      <c r="A58" s="4" t="s">
        <v>12793</v>
      </c>
      <c r="B58" s="2" t="s">
        <v>2236</v>
      </c>
      <c r="C58" s="3">
        <v>1</v>
      </c>
      <c r="D58" s="5">
        <v>48.38</v>
      </c>
      <c r="E58" s="3" t="s">
        <v>2237</v>
      </c>
      <c r="F58" s="2" t="s">
        <v>53</v>
      </c>
      <c r="G58" s="6" t="s">
        <v>181</v>
      </c>
      <c r="H58" s="2" t="s">
        <v>246</v>
      </c>
      <c r="I58" s="2" t="s">
        <v>189</v>
      </c>
      <c r="J58" s="2" t="s">
        <v>19</v>
      </c>
      <c r="K58" s="2" t="s">
        <v>241</v>
      </c>
      <c r="L58" s="7" t="str">
        <f>HYPERLINK("http://slimages.macys.com/is/image/MCY/11938495 ")</f>
        <v xml:space="preserve">http://slimages.macys.com/is/image/MCY/11938495 </v>
      </c>
    </row>
    <row r="59" spans="1:12" ht="24.75" x14ac:dyDescent="0.25">
      <c r="A59" s="4" t="s">
        <v>356</v>
      </c>
      <c r="B59" s="2" t="s">
        <v>355</v>
      </c>
      <c r="C59" s="3">
        <v>1</v>
      </c>
      <c r="D59" s="5">
        <v>48</v>
      </c>
      <c r="E59" s="3">
        <v>100053387</v>
      </c>
      <c r="F59" s="2" t="s">
        <v>111</v>
      </c>
      <c r="G59" s="6" t="s">
        <v>65</v>
      </c>
      <c r="H59" s="2" t="s">
        <v>228</v>
      </c>
      <c r="I59" s="2" t="s">
        <v>229</v>
      </c>
      <c r="J59" s="2" t="s">
        <v>19</v>
      </c>
      <c r="K59" s="2" t="s">
        <v>338</v>
      </c>
      <c r="L59" s="7" t="str">
        <f>HYPERLINK("http://slimages.macys.com/is/image/MCY/13829477 ")</f>
        <v xml:space="preserve">http://slimages.macys.com/is/image/MCY/13829477 </v>
      </c>
    </row>
    <row r="60" spans="1:12" ht="24.75" x14ac:dyDescent="0.25">
      <c r="A60" s="4" t="s">
        <v>11763</v>
      </c>
      <c r="B60" s="2" t="s">
        <v>10495</v>
      </c>
      <c r="C60" s="3">
        <v>1</v>
      </c>
      <c r="D60" s="5">
        <v>48.38</v>
      </c>
      <c r="E60" s="3" t="s">
        <v>10496</v>
      </c>
      <c r="F60" s="2" t="s">
        <v>413</v>
      </c>
      <c r="G60" s="6" t="s">
        <v>156</v>
      </c>
      <c r="H60" s="2" t="s">
        <v>246</v>
      </c>
      <c r="I60" s="2" t="s">
        <v>189</v>
      </c>
      <c r="J60" s="2" t="s">
        <v>19</v>
      </c>
      <c r="K60" s="2" t="s">
        <v>263</v>
      </c>
      <c r="L60" s="7" t="str">
        <f>HYPERLINK("http://slimages.macys.com/is/image/MCY/11808373 ")</f>
        <v xml:space="preserve">http://slimages.macys.com/is/image/MCY/11808373 </v>
      </c>
    </row>
    <row r="61" spans="1:12" ht="24.75" x14ac:dyDescent="0.25">
      <c r="A61" s="4" t="s">
        <v>12794</v>
      </c>
      <c r="B61" s="2" t="s">
        <v>10495</v>
      </c>
      <c r="C61" s="3">
        <v>1</v>
      </c>
      <c r="D61" s="5">
        <v>48.38</v>
      </c>
      <c r="E61" s="3" t="s">
        <v>10496</v>
      </c>
      <c r="F61" s="2" t="s">
        <v>413</v>
      </c>
      <c r="G61" s="6" t="s">
        <v>200</v>
      </c>
      <c r="H61" s="2" t="s">
        <v>246</v>
      </c>
      <c r="I61" s="2" t="s">
        <v>189</v>
      </c>
      <c r="J61" s="2" t="s">
        <v>19</v>
      </c>
      <c r="K61" s="2" t="s">
        <v>263</v>
      </c>
      <c r="L61" s="7" t="str">
        <f>HYPERLINK("http://slimages.macys.com/is/image/MCY/11808373 ")</f>
        <v xml:space="preserve">http://slimages.macys.com/is/image/MCY/11808373 </v>
      </c>
    </row>
    <row r="62" spans="1:12" ht="24.75" x14ac:dyDescent="0.25">
      <c r="A62" s="4" t="s">
        <v>12795</v>
      </c>
      <c r="B62" s="2" t="s">
        <v>10491</v>
      </c>
      <c r="C62" s="3">
        <v>1</v>
      </c>
      <c r="D62" s="5">
        <v>55</v>
      </c>
      <c r="E62" s="3" t="s">
        <v>10492</v>
      </c>
      <c r="F62" s="2" t="s">
        <v>887</v>
      </c>
      <c r="G62" s="6" t="s">
        <v>22</v>
      </c>
      <c r="H62" s="2" t="s">
        <v>716</v>
      </c>
      <c r="I62" s="2" t="s">
        <v>717</v>
      </c>
      <c r="J62" s="2" t="s">
        <v>19</v>
      </c>
      <c r="K62" s="2" t="s">
        <v>648</v>
      </c>
      <c r="L62" s="7" t="str">
        <f>HYPERLINK("http://slimages.macys.com/is/image/MCY/11536348 ")</f>
        <v xml:space="preserve">http://slimages.macys.com/is/image/MCY/11536348 </v>
      </c>
    </row>
    <row r="63" spans="1:12" ht="24.75" x14ac:dyDescent="0.25">
      <c r="A63" s="4" t="s">
        <v>12796</v>
      </c>
      <c r="B63" s="2" t="s">
        <v>12797</v>
      </c>
      <c r="C63" s="3">
        <v>1</v>
      </c>
      <c r="D63" s="5">
        <v>69.5</v>
      </c>
      <c r="E63" s="3">
        <v>100061819</v>
      </c>
      <c r="F63" s="2" t="s">
        <v>64</v>
      </c>
      <c r="G63" s="6" t="s">
        <v>141</v>
      </c>
      <c r="H63" s="2" t="s">
        <v>386</v>
      </c>
      <c r="I63" s="2" t="s">
        <v>207</v>
      </c>
      <c r="J63" s="2" t="s">
        <v>19</v>
      </c>
      <c r="K63" s="2" t="s">
        <v>338</v>
      </c>
      <c r="L63" s="7" t="str">
        <f>HYPERLINK("http://slimages.macys.com/is/image/MCY/13585589 ")</f>
        <v xml:space="preserve">http://slimages.macys.com/is/image/MCY/13585589 </v>
      </c>
    </row>
    <row r="64" spans="1:12" ht="24.75" x14ac:dyDescent="0.25">
      <c r="A64" s="4" t="s">
        <v>12798</v>
      </c>
      <c r="B64" s="2" t="s">
        <v>12797</v>
      </c>
      <c r="C64" s="3">
        <v>1</v>
      </c>
      <c r="D64" s="5">
        <v>69.5</v>
      </c>
      <c r="E64" s="3">
        <v>100061819</v>
      </c>
      <c r="F64" s="2" t="s">
        <v>64</v>
      </c>
      <c r="G64" s="6" t="s">
        <v>27</v>
      </c>
      <c r="H64" s="2" t="s">
        <v>386</v>
      </c>
      <c r="I64" s="2" t="s">
        <v>207</v>
      </c>
      <c r="J64" s="2" t="s">
        <v>19</v>
      </c>
      <c r="K64" s="2" t="s">
        <v>338</v>
      </c>
      <c r="L64" s="7" t="str">
        <f>HYPERLINK("http://slimages.macys.com/is/image/MCY/13585589 ")</f>
        <v xml:space="preserve">http://slimages.macys.com/is/image/MCY/13585589 </v>
      </c>
    </row>
    <row r="65" spans="1:12" ht="24.75" x14ac:dyDescent="0.25">
      <c r="A65" s="4" t="s">
        <v>12799</v>
      </c>
      <c r="B65" s="2" t="s">
        <v>5419</v>
      </c>
      <c r="C65" s="3">
        <v>1</v>
      </c>
      <c r="D65" s="5">
        <v>67.13</v>
      </c>
      <c r="E65" s="3" t="s">
        <v>12800</v>
      </c>
      <c r="F65" s="2" t="s">
        <v>132</v>
      </c>
      <c r="G65" s="6" t="s">
        <v>234</v>
      </c>
      <c r="H65" s="2" t="s">
        <v>246</v>
      </c>
      <c r="I65" s="2" t="s">
        <v>189</v>
      </c>
      <c r="J65" s="2" t="s">
        <v>19</v>
      </c>
      <c r="K65" s="2" t="s">
        <v>3423</v>
      </c>
      <c r="L65" s="7" t="str">
        <f>HYPERLINK("http://slimages.macys.com/is/image/MCY/13330644 ")</f>
        <v xml:space="preserve">http://slimages.macys.com/is/image/MCY/13330644 </v>
      </c>
    </row>
    <row r="66" spans="1:12" ht="24.75" x14ac:dyDescent="0.25">
      <c r="A66" s="4" t="s">
        <v>12801</v>
      </c>
      <c r="B66" s="2" t="s">
        <v>5423</v>
      </c>
      <c r="C66" s="3">
        <v>1</v>
      </c>
      <c r="D66" s="5">
        <v>69.5</v>
      </c>
      <c r="E66" s="3" t="s">
        <v>5424</v>
      </c>
      <c r="F66" s="2" t="s">
        <v>464</v>
      </c>
      <c r="G66" s="6" t="s">
        <v>165</v>
      </c>
      <c r="H66" s="2" t="s">
        <v>127</v>
      </c>
      <c r="I66" s="2" t="s">
        <v>128</v>
      </c>
      <c r="J66" s="2" t="s">
        <v>19</v>
      </c>
      <c r="K66" s="2" t="s">
        <v>361</v>
      </c>
      <c r="L66" s="7" t="str">
        <f>HYPERLINK("http://slimages.macys.com/is/image/MCY/9777982 ")</f>
        <v xml:space="preserve">http://slimages.macys.com/is/image/MCY/9777982 </v>
      </c>
    </row>
    <row r="67" spans="1:12" ht="36.75" x14ac:dyDescent="0.25">
      <c r="A67" s="4" t="s">
        <v>12802</v>
      </c>
      <c r="B67" s="2" t="s">
        <v>12803</v>
      </c>
      <c r="C67" s="3">
        <v>1</v>
      </c>
      <c r="D67" s="5">
        <v>79.5</v>
      </c>
      <c r="E67" s="3">
        <v>100049830</v>
      </c>
      <c r="F67" s="2" t="s">
        <v>74</v>
      </c>
      <c r="G67" s="6" t="s">
        <v>141</v>
      </c>
      <c r="H67" s="2" t="s">
        <v>386</v>
      </c>
      <c r="I67" s="2" t="s">
        <v>207</v>
      </c>
      <c r="J67" s="2" t="s">
        <v>19</v>
      </c>
      <c r="K67" s="2" t="s">
        <v>2209</v>
      </c>
      <c r="L67" s="7" t="str">
        <f>HYPERLINK("http://slimages.macys.com/is/image/MCY/11943211 ")</f>
        <v xml:space="preserve">http://slimages.macys.com/is/image/MCY/11943211 </v>
      </c>
    </row>
    <row r="68" spans="1:12" ht="24.75" x14ac:dyDescent="0.25">
      <c r="A68" s="4" t="s">
        <v>12804</v>
      </c>
      <c r="B68" s="2" t="s">
        <v>12805</v>
      </c>
      <c r="C68" s="3">
        <v>1</v>
      </c>
      <c r="D68" s="5">
        <v>48.38</v>
      </c>
      <c r="E68" s="3" t="s">
        <v>12806</v>
      </c>
      <c r="F68" s="2" t="s">
        <v>572</v>
      </c>
      <c r="G68" s="6" t="s">
        <v>27</v>
      </c>
      <c r="H68" s="2" t="s">
        <v>213</v>
      </c>
      <c r="I68" s="2" t="s">
        <v>214</v>
      </c>
      <c r="J68" s="2" t="s">
        <v>19</v>
      </c>
      <c r="K68" s="2" t="s">
        <v>215</v>
      </c>
      <c r="L68" s="7" t="str">
        <f>HYPERLINK("http://slimages.macys.com/is/image/MCY/10434711 ")</f>
        <v xml:space="preserve">http://slimages.macys.com/is/image/MCY/10434711 </v>
      </c>
    </row>
    <row r="69" spans="1:12" ht="24.75" x14ac:dyDescent="0.25">
      <c r="A69" s="4" t="s">
        <v>12807</v>
      </c>
      <c r="B69" s="2" t="s">
        <v>9334</v>
      </c>
      <c r="C69" s="3">
        <v>1</v>
      </c>
      <c r="D69" s="5">
        <v>79.5</v>
      </c>
      <c r="E69" s="3" t="s">
        <v>11781</v>
      </c>
      <c r="F69" s="2" t="s">
        <v>64</v>
      </c>
      <c r="G69" s="6" t="s">
        <v>141</v>
      </c>
      <c r="H69" s="2" t="s">
        <v>386</v>
      </c>
      <c r="I69" s="2" t="s">
        <v>337</v>
      </c>
      <c r="J69" s="2" t="s">
        <v>19</v>
      </c>
      <c r="K69" s="2" t="s">
        <v>338</v>
      </c>
      <c r="L69" s="7" t="str">
        <f>HYPERLINK("http://slimages.macys.com/is/image/MCY/8693729 ")</f>
        <v xml:space="preserve">http://slimages.macys.com/is/image/MCY/8693729 </v>
      </c>
    </row>
    <row r="70" spans="1:12" ht="24.75" x14ac:dyDescent="0.25">
      <c r="A70" s="4" t="s">
        <v>11780</v>
      </c>
      <c r="B70" s="2" t="s">
        <v>9334</v>
      </c>
      <c r="C70" s="3">
        <v>1</v>
      </c>
      <c r="D70" s="5">
        <v>79.5</v>
      </c>
      <c r="E70" s="3" t="s">
        <v>11781</v>
      </c>
      <c r="F70" s="2" t="s">
        <v>64</v>
      </c>
      <c r="G70" s="6" t="s">
        <v>39</v>
      </c>
      <c r="H70" s="2" t="s">
        <v>386</v>
      </c>
      <c r="I70" s="2" t="s">
        <v>337</v>
      </c>
      <c r="J70" s="2" t="s">
        <v>19</v>
      </c>
      <c r="K70" s="2" t="s">
        <v>338</v>
      </c>
      <c r="L70" s="7" t="str">
        <f>HYPERLINK("http://slimages.macys.com/is/image/MCY/8693729 ")</f>
        <v xml:space="preserve">http://slimages.macys.com/is/image/MCY/8693729 </v>
      </c>
    </row>
    <row r="71" spans="1:12" ht="24.75" x14ac:dyDescent="0.25">
      <c r="A71" s="4" t="s">
        <v>12808</v>
      </c>
      <c r="B71" s="2" t="s">
        <v>9334</v>
      </c>
      <c r="C71" s="3">
        <v>2</v>
      </c>
      <c r="D71" s="5">
        <v>79.5</v>
      </c>
      <c r="E71" s="3" t="s">
        <v>11781</v>
      </c>
      <c r="F71" s="2" t="s">
        <v>64</v>
      </c>
      <c r="G71" s="6" t="s">
        <v>65</v>
      </c>
      <c r="H71" s="2" t="s">
        <v>386</v>
      </c>
      <c r="I71" s="2" t="s">
        <v>337</v>
      </c>
      <c r="J71" s="2" t="s">
        <v>19</v>
      </c>
      <c r="K71" s="2" t="s">
        <v>338</v>
      </c>
      <c r="L71" s="7" t="str">
        <f>HYPERLINK("http://slimages.macys.com/is/image/MCY/8693729 ")</f>
        <v xml:space="preserve">http://slimages.macys.com/is/image/MCY/8693729 </v>
      </c>
    </row>
    <row r="72" spans="1:12" ht="24.75" x14ac:dyDescent="0.25">
      <c r="A72" s="4" t="s">
        <v>11791</v>
      </c>
      <c r="B72" s="2" t="s">
        <v>11792</v>
      </c>
      <c r="C72" s="3">
        <v>1</v>
      </c>
      <c r="D72" s="5">
        <v>69.5</v>
      </c>
      <c r="E72" s="3" t="s">
        <v>11793</v>
      </c>
      <c r="F72" s="2" t="s">
        <v>252</v>
      </c>
      <c r="G72" s="6" t="s">
        <v>2208</v>
      </c>
      <c r="H72" s="2" t="s">
        <v>386</v>
      </c>
      <c r="I72" s="2" t="s">
        <v>207</v>
      </c>
      <c r="J72" s="2" t="s">
        <v>19</v>
      </c>
      <c r="K72" s="2" t="s">
        <v>929</v>
      </c>
      <c r="L72" s="7" t="str">
        <f>HYPERLINK("http://slimages.macys.com/is/image/MCY/3962661 ")</f>
        <v xml:space="preserve">http://slimages.macys.com/is/image/MCY/3962661 </v>
      </c>
    </row>
    <row r="73" spans="1:12" ht="36.75" x14ac:dyDescent="0.25">
      <c r="A73" s="4" t="s">
        <v>12809</v>
      </c>
      <c r="B73" s="2" t="s">
        <v>12810</v>
      </c>
      <c r="C73" s="3">
        <v>1</v>
      </c>
      <c r="D73" s="5">
        <v>44.63</v>
      </c>
      <c r="E73" s="3" t="s">
        <v>12811</v>
      </c>
      <c r="F73" s="2" t="s">
        <v>74</v>
      </c>
      <c r="G73" s="6"/>
      <c r="H73" s="2" t="s">
        <v>632</v>
      </c>
      <c r="I73" s="2" t="s">
        <v>408</v>
      </c>
      <c r="J73" s="2" t="s">
        <v>19</v>
      </c>
      <c r="K73" s="2" t="s">
        <v>12812</v>
      </c>
      <c r="L73" s="7" t="str">
        <f>HYPERLINK("http://slimages.macys.com/is/image/MCY/11640668 ")</f>
        <v xml:space="preserve">http://slimages.macys.com/is/image/MCY/11640668 </v>
      </c>
    </row>
    <row r="74" spans="1:12" ht="24.75" x14ac:dyDescent="0.25">
      <c r="A74" s="4" t="s">
        <v>12813</v>
      </c>
      <c r="B74" s="2" t="s">
        <v>10854</v>
      </c>
      <c r="C74" s="3">
        <v>2</v>
      </c>
      <c r="D74" s="5">
        <v>79.5</v>
      </c>
      <c r="E74" s="3">
        <v>100049835</v>
      </c>
      <c r="F74" s="2" t="s">
        <v>64</v>
      </c>
      <c r="G74" s="6" t="s">
        <v>106</v>
      </c>
      <c r="H74" s="2" t="s">
        <v>386</v>
      </c>
      <c r="I74" s="2" t="s">
        <v>337</v>
      </c>
      <c r="J74" s="2" t="s">
        <v>19</v>
      </c>
      <c r="K74" s="2" t="s">
        <v>387</v>
      </c>
      <c r="L74" s="7" t="str">
        <f>HYPERLINK("http://slimages.macys.com/is/image/MCY/11644929 ")</f>
        <v xml:space="preserve">http://slimages.macys.com/is/image/MCY/11644929 </v>
      </c>
    </row>
    <row r="75" spans="1:12" ht="24.75" x14ac:dyDescent="0.25">
      <c r="A75" s="4" t="s">
        <v>12814</v>
      </c>
      <c r="B75" s="2" t="s">
        <v>1160</v>
      </c>
      <c r="C75" s="3">
        <v>1</v>
      </c>
      <c r="D75" s="5">
        <v>79.5</v>
      </c>
      <c r="E75" s="3">
        <v>100055810</v>
      </c>
      <c r="F75" s="2" t="s">
        <v>64</v>
      </c>
      <c r="G75" s="6" t="s">
        <v>2208</v>
      </c>
      <c r="H75" s="2" t="s">
        <v>386</v>
      </c>
      <c r="I75" s="2" t="s">
        <v>337</v>
      </c>
      <c r="J75" s="2" t="s">
        <v>19</v>
      </c>
      <c r="K75" s="2" t="s">
        <v>387</v>
      </c>
      <c r="L75" s="7" t="str">
        <f>HYPERLINK("http://slimages.macys.com/is/image/MCY/13038892 ")</f>
        <v xml:space="preserve">http://slimages.macys.com/is/image/MCY/13038892 </v>
      </c>
    </row>
    <row r="76" spans="1:12" ht="24.75" x14ac:dyDescent="0.25">
      <c r="A76" s="4" t="s">
        <v>12815</v>
      </c>
      <c r="B76" s="2" t="s">
        <v>10854</v>
      </c>
      <c r="C76" s="3">
        <v>3</v>
      </c>
      <c r="D76" s="5">
        <v>79.5</v>
      </c>
      <c r="E76" s="3">
        <v>100049835</v>
      </c>
      <c r="F76" s="2" t="s">
        <v>64</v>
      </c>
      <c r="G76" s="6" t="s">
        <v>141</v>
      </c>
      <c r="H76" s="2" t="s">
        <v>386</v>
      </c>
      <c r="I76" s="2" t="s">
        <v>337</v>
      </c>
      <c r="J76" s="2" t="s">
        <v>19</v>
      </c>
      <c r="K76" s="2" t="s">
        <v>387</v>
      </c>
      <c r="L76" s="7" t="str">
        <f>HYPERLINK("http://slimages.macys.com/is/image/MCY/11644929 ")</f>
        <v xml:space="preserve">http://slimages.macys.com/is/image/MCY/11644929 </v>
      </c>
    </row>
    <row r="77" spans="1:12" ht="24.75" x14ac:dyDescent="0.25">
      <c r="A77" s="4" t="s">
        <v>12816</v>
      </c>
      <c r="B77" s="2" t="s">
        <v>1160</v>
      </c>
      <c r="C77" s="3">
        <v>1</v>
      </c>
      <c r="D77" s="5">
        <v>79.5</v>
      </c>
      <c r="E77" s="3">
        <v>100055810</v>
      </c>
      <c r="F77" s="2" t="s">
        <v>64</v>
      </c>
      <c r="G77" s="6" t="s">
        <v>58</v>
      </c>
      <c r="H77" s="2" t="s">
        <v>386</v>
      </c>
      <c r="I77" s="2" t="s">
        <v>337</v>
      </c>
      <c r="J77" s="2" t="s">
        <v>19</v>
      </c>
      <c r="K77" s="2" t="s">
        <v>387</v>
      </c>
      <c r="L77" s="7" t="str">
        <f>HYPERLINK("http://slimages.macys.com/is/image/MCY/13038892 ")</f>
        <v xml:space="preserve">http://slimages.macys.com/is/image/MCY/13038892 </v>
      </c>
    </row>
    <row r="78" spans="1:12" ht="24.75" x14ac:dyDescent="0.25">
      <c r="A78" s="4" t="s">
        <v>12817</v>
      </c>
      <c r="B78" s="2" t="s">
        <v>12818</v>
      </c>
      <c r="C78" s="3">
        <v>1</v>
      </c>
      <c r="D78" s="5">
        <v>40.880000000000003</v>
      </c>
      <c r="E78" s="3">
        <v>100047673</v>
      </c>
      <c r="F78" s="2" t="s">
        <v>111</v>
      </c>
      <c r="G78" s="6" t="s">
        <v>181</v>
      </c>
      <c r="H78" s="2" t="s">
        <v>194</v>
      </c>
      <c r="I78" s="2" t="s">
        <v>195</v>
      </c>
      <c r="J78" s="2" t="s">
        <v>19</v>
      </c>
      <c r="K78" s="2" t="s">
        <v>546</v>
      </c>
      <c r="L78" s="7" t="str">
        <f>HYPERLINK("http://slimages.macys.com/is/image/MCY/12143486 ")</f>
        <v xml:space="preserve">http://slimages.macys.com/is/image/MCY/12143486 </v>
      </c>
    </row>
    <row r="79" spans="1:12" ht="24.75" x14ac:dyDescent="0.25">
      <c r="A79" s="4" t="s">
        <v>12819</v>
      </c>
      <c r="B79" s="2" t="s">
        <v>12818</v>
      </c>
      <c r="C79" s="3">
        <v>1</v>
      </c>
      <c r="D79" s="5">
        <v>40.880000000000003</v>
      </c>
      <c r="E79" s="3">
        <v>100047673</v>
      </c>
      <c r="F79" s="2" t="s">
        <v>111</v>
      </c>
      <c r="G79" s="6" t="s">
        <v>234</v>
      </c>
      <c r="H79" s="2" t="s">
        <v>194</v>
      </c>
      <c r="I79" s="2" t="s">
        <v>195</v>
      </c>
      <c r="J79" s="2" t="s">
        <v>19</v>
      </c>
      <c r="K79" s="2" t="s">
        <v>546</v>
      </c>
      <c r="L79" s="7" t="str">
        <f>HYPERLINK("http://slimages.macys.com/is/image/MCY/12143486 ")</f>
        <v xml:space="preserve">http://slimages.macys.com/is/image/MCY/12143486 </v>
      </c>
    </row>
    <row r="80" spans="1:12" ht="36.75" x14ac:dyDescent="0.25">
      <c r="A80" s="4" t="s">
        <v>12820</v>
      </c>
      <c r="B80" s="2" t="s">
        <v>374</v>
      </c>
      <c r="C80" s="3">
        <v>1</v>
      </c>
      <c r="D80" s="5">
        <v>52.13</v>
      </c>
      <c r="E80" s="3" t="s">
        <v>394</v>
      </c>
      <c r="F80" s="2" t="s">
        <v>74</v>
      </c>
      <c r="G80" s="6" t="s">
        <v>238</v>
      </c>
      <c r="H80" s="2" t="s">
        <v>188</v>
      </c>
      <c r="I80" s="2" t="s">
        <v>189</v>
      </c>
      <c r="J80" s="2" t="s">
        <v>19</v>
      </c>
      <c r="K80" s="2" t="s">
        <v>395</v>
      </c>
      <c r="L80" s="7" t="str">
        <f>HYPERLINK("http://slimages.macys.com/is/image/MCY/11626905 ")</f>
        <v xml:space="preserve">http://slimages.macys.com/is/image/MCY/11626905 </v>
      </c>
    </row>
    <row r="81" spans="1:12" ht="24.75" x14ac:dyDescent="0.25">
      <c r="A81" s="4" t="s">
        <v>12821</v>
      </c>
      <c r="B81" s="2" t="s">
        <v>9352</v>
      </c>
      <c r="C81" s="3">
        <v>1</v>
      </c>
      <c r="D81" s="5">
        <v>29.98</v>
      </c>
      <c r="E81" s="3">
        <v>8529</v>
      </c>
      <c r="F81" s="2" t="s">
        <v>38</v>
      </c>
      <c r="G81" s="6" t="s">
        <v>4401</v>
      </c>
      <c r="H81" s="2" t="s">
        <v>3402</v>
      </c>
      <c r="I81" s="2" t="s">
        <v>3409</v>
      </c>
      <c r="J81" s="2" t="s">
        <v>19</v>
      </c>
      <c r="K81" s="2" t="s">
        <v>353</v>
      </c>
      <c r="L81" s="7" t="str">
        <f>HYPERLINK("http://slimages.macys.com/is/image/MCY/3210696 ")</f>
        <v xml:space="preserve">http://slimages.macys.com/is/image/MCY/3210696 </v>
      </c>
    </row>
    <row r="82" spans="1:12" ht="24.75" x14ac:dyDescent="0.25">
      <c r="A82" s="4" t="s">
        <v>12822</v>
      </c>
      <c r="B82" s="2" t="s">
        <v>12823</v>
      </c>
      <c r="C82" s="3">
        <v>1</v>
      </c>
      <c r="D82" s="5">
        <v>44.63</v>
      </c>
      <c r="E82" s="3" t="s">
        <v>12824</v>
      </c>
      <c r="F82" s="2" t="s">
        <v>26</v>
      </c>
      <c r="G82" s="6" t="s">
        <v>181</v>
      </c>
      <c r="H82" s="2" t="s">
        <v>284</v>
      </c>
      <c r="I82" s="2" t="s">
        <v>285</v>
      </c>
      <c r="J82" s="2" t="s">
        <v>19</v>
      </c>
      <c r="K82" s="2" t="s">
        <v>201</v>
      </c>
      <c r="L82" s="7" t="str">
        <f>HYPERLINK("http://slimages.macys.com/is/image/MCY/12877267 ")</f>
        <v xml:space="preserve">http://slimages.macys.com/is/image/MCY/12877267 </v>
      </c>
    </row>
    <row r="83" spans="1:12" x14ac:dyDescent="0.25">
      <c r="A83" s="4" t="s">
        <v>8491</v>
      </c>
      <c r="B83" s="2" t="s">
        <v>2265</v>
      </c>
      <c r="C83" s="3">
        <v>1</v>
      </c>
      <c r="D83" s="5">
        <v>79.5</v>
      </c>
      <c r="E83" s="3">
        <v>100060510</v>
      </c>
      <c r="F83" s="2" t="s">
        <v>74</v>
      </c>
      <c r="G83" s="6" t="s">
        <v>58</v>
      </c>
      <c r="H83" s="2" t="s">
        <v>386</v>
      </c>
      <c r="I83" s="2" t="s">
        <v>207</v>
      </c>
      <c r="J83" s="2" t="s">
        <v>19</v>
      </c>
      <c r="K83" s="2" t="s">
        <v>353</v>
      </c>
      <c r="L83" s="7" t="str">
        <f>HYPERLINK("http://slimages.macys.com/is/image/MCY/12792713 ")</f>
        <v xml:space="preserve">http://slimages.macys.com/is/image/MCY/12792713 </v>
      </c>
    </row>
    <row r="84" spans="1:12" x14ac:dyDescent="0.25">
      <c r="A84" s="4" t="s">
        <v>12825</v>
      </c>
      <c r="B84" s="2" t="s">
        <v>7126</v>
      </c>
      <c r="C84" s="3">
        <v>1</v>
      </c>
      <c r="D84" s="5">
        <v>79.5</v>
      </c>
      <c r="E84" s="3">
        <v>100068167</v>
      </c>
      <c r="F84" s="2" t="s">
        <v>74</v>
      </c>
      <c r="G84" s="6" t="s">
        <v>58</v>
      </c>
      <c r="H84" s="2" t="s">
        <v>386</v>
      </c>
      <c r="I84" s="2" t="s">
        <v>207</v>
      </c>
      <c r="J84" s="2" t="s">
        <v>19</v>
      </c>
      <c r="K84" s="2" t="s">
        <v>353</v>
      </c>
      <c r="L84" s="7" t="str">
        <f>HYPERLINK("http://slimages.macys.com/is/image/MCY/13080526 ")</f>
        <v xml:space="preserve">http://slimages.macys.com/is/image/MCY/13080526 </v>
      </c>
    </row>
    <row r="85" spans="1:12" ht="24.75" x14ac:dyDescent="0.25">
      <c r="A85" s="4" t="s">
        <v>12826</v>
      </c>
      <c r="B85" s="2" t="s">
        <v>12823</v>
      </c>
      <c r="C85" s="3">
        <v>1</v>
      </c>
      <c r="D85" s="5">
        <v>44.63</v>
      </c>
      <c r="E85" s="3" t="s">
        <v>12824</v>
      </c>
      <c r="F85" s="2" t="s">
        <v>26</v>
      </c>
      <c r="G85" s="6" t="s">
        <v>200</v>
      </c>
      <c r="H85" s="2" t="s">
        <v>284</v>
      </c>
      <c r="I85" s="2" t="s">
        <v>285</v>
      </c>
      <c r="J85" s="2" t="s">
        <v>19</v>
      </c>
      <c r="K85" s="2" t="s">
        <v>201</v>
      </c>
      <c r="L85" s="7" t="str">
        <f>HYPERLINK("http://slimages.macys.com/is/image/MCY/12877267 ")</f>
        <v xml:space="preserve">http://slimages.macys.com/is/image/MCY/12877267 </v>
      </c>
    </row>
    <row r="86" spans="1:12" ht="24.75" x14ac:dyDescent="0.25">
      <c r="A86" s="4" t="s">
        <v>12827</v>
      </c>
      <c r="B86" s="2" t="s">
        <v>381</v>
      </c>
      <c r="C86" s="3">
        <v>1</v>
      </c>
      <c r="D86" s="5">
        <v>48.38</v>
      </c>
      <c r="E86" s="3" t="s">
        <v>9983</v>
      </c>
      <c r="F86" s="2"/>
      <c r="G86" s="6" t="s">
        <v>106</v>
      </c>
      <c r="H86" s="2" t="s">
        <v>213</v>
      </c>
      <c r="I86" s="2" t="s">
        <v>214</v>
      </c>
      <c r="J86" s="2" t="s">
        <v>19</v>
      </c>
      <c r="K86" s="2" t="s">
        <v>338</v>
      </c>
      <c r="L86" s="7" t="str">
        <f>HYPERLINK("http://slimages.macys.com/is/image/MCY/11686786 ")</f>
        <v xml:space="preserve">http://slimages.macys.com/is/image/MCY/11686786 </v>
      </c>
    </row>
    <row r="87" spans="1:12" ht="24.75" x14ac:dyDescent="0.25">
      <c r="A87" s="4" t="s">
        <v>12828</v>
      </c>
      <c r="B87" s="2" t="s">
        <v>11804</v>
      </c>
      <c r="C87" s="3">
        <v>1</v>
      </c>
      <c r="D87" s="5">
        <v>52.13</v>
      </c>
      <c r="E87" s="3" t="s">
        <v>11805</v>
      </c>
      <c r="F87" s="2" t="s">
        <v>64</v>
      </c>
      <c r="G87" s="6" t="s">
        <v>181</v>
      </c>
      <c r="H87" s="2" t="s">
        <v>246</v>
      </c>
      <c r="I87" s="2" t="s">
        <v>189</v>
      </c>
      <c r="J87" s="2" t="s">
        <v>19</v>
      </c>
      <c r="K87" s="2" t="s">
        <v>220</v>
      </c>
      <c r="L87" s="7" t="str">
        <f>HYPERLINK("http://slimages.macys.com/is/image/MCY/12266883 ")</f>
        <v xml:space="preserve">http://slimages.macys.com/is/image/MCY/12266883 </v>
      </c>
    </row>
    <row r="88" spans="1:12" ht="24.75" x14ac:dyDescent="0.25">
      <c r="A88" s="4" t="s">
        <v>12829</v>
      </c>
      <c r="B88" s="2" t="s">
        <v>420</v>
      </c>
      <c r="C88" s="3">
        <v>1</v>
      </c>
      <c r="D88" s="5">
        <v>48.38</v>
      </c>
      <c r="E88" s="3" t="s">
        <v>451</v>
      </c>
      <c r="F88" s="2" t="s">
        <v>64</v>
      </c>
      <c r="G88" s="6" t="s">
        <v>156</v>
      </c>
      <c r="H88" s="2" t="s">
        <v>246</v>
      </c>
      <c r="I88" s="2" t="s">
        <v>189</v>
      </c>
      <c r="J88" s="2" t="s">
        <v>19</v>
      </c>
      <c r="K88" s="2" t="s">
        <v>422</v>
      </c>
      <c r="L88" s="7" t="str">
        <f>HYPERLINK("http://slimages.macys.com/is/image/MCY/11622165 ")</f>
        <v xml:space="preserve">http://slimages.macys.com/is/image/MCY/11622165 </v>
      </c>
    </row>
    <row r="89" spans="1:12" ht="24.75" x14ac:dyDescent="0.25">
      <c r="A89" s="4" t="s">
        <v>452</v>
      </c>
      <c r="B89" s="2" t="s">
        <v>453</v>
      </c>
      <c r="C89" s="3">
        <v>1</v>
      </c>
      <c r="D89" s="5">
        <v>44.63</v>
      </c>
      <c r="E89" s="3" t="s">
        <v>454</v>
      </c>
      <c r="F89" s="2" t="s">
        <v>74</v>
      </c>
      <c r="G89" s="6" t="s">
        <v>348</v>
      </c>
      <c r="H89" s="2" t="s">
        <v>349</v>
      </c>
      <c r="I89" s="2" t="s">
        <v>285</v>
      </c>
      <c r="J89" s="2" t="s">
        <v>19</v>
      </c>
      <c r="K89" s="2" t="s">
        <v>323</v>
      </c>
      <c r="L89" s="7" t="str">
        <f>HYPERLINK("http://slimages.macys.com/is/image/MCY/12343071 ")</f>
        <v xml:space="preserve">http://slimages.macys.com/is/image/MCY/12343071 </v>
      </c>
    </row>
    <row r="90" spans="1:12" ht="24.75" x14ac:dyDescent="0.25">
      <c r="A90" s="4" t="s">
        <v>12830</v>
      </c>
      <c r="B90" s="2" t="s">
        <v>11813</v>
      </c>
      <c r="C90" s="3">
        <v>1</v>
      </c>
      <c r="D90" s="5">
        <v>52.13</v>
      </c>
      <c r="E90" s="3" t="s">
        <v>11814</v>
      </c>
      <c r="F90" s="2" t="s">
        <v>64</v>
      </c>
      <c r="G90" s="6" t="s">
        <v>181</v>
      </c>
      <c r="H90" s="2" t="s">
        <v>246</v>
      </c>
      <c r="I90" s="2" t="s">
        <v>189</v>
      </c>
      <c r="J90" s="2" t="s">
        <v>19</v>
      </c>
      <c r="K90" s="2" t="s">
        <v>3423</v>
      </c>
      <c r="L90" s="7" t="str">
        <f>HYPERLINK("http://slimages.macys.com/is/image/MCY/13382492 ")</f>
        <v xml:space="preserve">http://slimages.macys.com/is/image/MCY/13382492 </v>
      </c>
    </row>
    <row r="91" spans="1:12" ht="24.75" x14ac:dyDescent="0.25">
      <c r="A91" s="4" t="s">
        <v>12831</v>
      </c>
      <c r="B91" s="2" t="s">
        <v>535</v>
      </c>
      <c r="C91" s="3">
        <v>1</v>
      </c>
      <c r="D91" s="5">
        <v>52.13</v>
      </c>
      <c r="E91" s="3" t="s">
        <v>536</v>
      </c>
      <c r="F91" s="2" t="s">
        <v>680</v>
      </c>
      <c r="G91" s="6" t="s">
        <v>154</v>
      </c>
      <c r="H91" s="2" t="s">
        <v>246</v>
      </c>
      <c r="I91" s="2" t="s">
        <v>189</v>
      </c>
      <c r="J91" s="2" t="s">
        <v>19</v>
      </c>
      <c r="K91" s="2" t="s">
        <v>537</v>
      </c>
      <c r="L91" s="7" t="str">
        <f>HYPERLINK("http://slimages.macys.com/is/image/MCY/11884249 ")</f>
        <v xml:space="preserve">http://slimages.macys.com/is/image/MCY/11884249 </v>
      </c>
    </row>
    <row r="92" spans="1:12" ht="24.75" x14ac:dyDescent="0.25">
      <c r="A92" s="4" t="s">
        <v>10516</v>
      </c>
      <c r="B92" s="2" t="s">
        <v>535</v>
      </c>
      <c r="C92" s="3">
        <v>2</v>
      </c>
      <c r="D92" s="5">
        <v>52.13</v>
      </c>
      <c r="E92" s="3" t="s">
        <v>536</v>
      </c>
      <c r="F92" s="2" t="s">
        <v>680</v>
      </c>
      <c r="G92" s="6" t="s">
        <v>234</v>
      </c>
      <c r="H92" s="2" t="s">
        <v>246</v>
      </c>
      <c r="I92" s="2" t="s">
        <v>189</v>
      </c>
      <c r="J92" s="2" t="s">
        <v>19</v>
      </c>
      <c r="K92" s="2" t="s">
        <v>537</v>
      </c>
      <c r="L92" s="7" t="str">
        <f>HYPERLINK("http://slimages.macys.com/is/image/MCY/11884249 ")</f>
        <v xml:space="preserve">http://slimages.macys.com/is/image/MCY/11884249 </v>
      </c>
    </row>
    <row r="93" spans="1:12" ht="24.75" x14ac:dyDescent="0.25">
      <c r="A93" s="4" t="s">
        <v>11820</v>
      </c>
      <c r="B93" s="2" t="s">
        <v>11821</v>
      </c>
      <c r="C93" s="3">
        <v>1</v>
      </c>
      <c r="D93" s="5">
        <v>48.38</v>
      </c>
      <c r="E93" s="3" t="s">
        <v>11822</v>
      </c>
      <c r="F93" s="2" t="s">
        <v>252</v>
      </c>
      <c r="G93" s="6" t="s">
        <v>141</v>
      </c>
      <c r="H93" s="2" t="s">
        <v>213</v>
      </c>
      <c r="I93" s="2" t="s">
        <v>214</v>
      </c>
      <c r="J93" s="2" t="s">
        <v>19</v>
      </c>
      <c r="K93" s="2" t="s">
        <v>2231</v>
      </c>
      <c r="L93" s="7" t="str">
        <f>HYPERLINK("http://slimages.macys.com/is/image/MCY/11939924 ")</f>
        <v xml:space="preserve">http://slimages.macys.com/is/image/MCY/11939924 </v>
      </c>
    </row>
    <row r="94" spans="1:12" ht="24.75" x14ac:dyDescent="0.25">
      <c r="A94" s="4" t="s">
        <v>12832</v>
      </c>
      <c r="B94" s="2" t="s">
        <v>11821</v>
      </c>
      <c r="C94" s="3">
        <v>1</v>
      </c>
      <c r="D94" s="5">
        <v>48.38</v>
      </c>
      <c r="E94" s="3" t="s">
        <v>11822</v>
      </c>
      <c r="F94" s="2" t="s">
        <v>252</v>
      </c>
      <c r="G94" s="6" t="s">
        <v>16</v>
      </c>
      <c r="H94" s="2" t="s">
        <v>213</v>
      </c>
      <c r="I94" s="2" t="s">
        <v>214</v>
      </c>
      <c r="J94" s="2" t="s">
        <v>19</v>
      </c>
      <c r="K94" s="2" t="s">
        <v>2231</v>
      </c>
      <c r="L94" s="7" t="str">
        <f>HYPERLINK("http://slimages.macys.com/is/image/MCY/11939924 ")</f>
        <v xml:space="preserve">http://slimages.macys.com/is/image/MCY/11939924 </v>
      </c>
    </row>
    <row r="95" spans="1:12" ht="36.75" x14ac:dyDescent="0.25">
      <c r="A95" s="4" t="s">
        <v>12833</v>
      </c>
      <c r="B95" s="2" t="s">
        <v>3545</v>
      </c>
      <c r="C95" s="3">
        <v>1</v>
      </c>
      <c r="D95" s="5">
        <v>43.86</v>
      </c>
      <c r="E95" s="3" t="s">
        <v>12834</v>
      </c>
      <c r="F95" s="2" t="s">
        <v>53</v>
      </c>
      <c r="G95" s="6" t="s">
        <v>746</v>
      </c>
      <c r="H95" s="2" t="s">
        <v>349</v>
      </c>
      <c r="I95" s="2" t="s">
        <v>285</v>
      </c>
      <c r="J95" s="2" t="s">
        <v>19</v>
      </c>
      <c r="K95" s="2" t="s">
        <v>2419</v>
      </c>
      <c r="L95" s="7" t="str">
        <f>HYPERLINK("http://slimages.macys.com/is/image/MCY/13040792 ")</f>
        <v xml:space="preserve">http://slimages.macys.com/is/image/MCY/13040792 </v>
      </c>
    </row>
    <row r="96" spans="1:12" ht="24.75" x14ac:dyDescent="0.25">
      <c r="A96" s="4" t="s">
        <v>12835</v>
      </c>
      <c r="B96" s="2" t="s">
        <v>3418</v>
      </c>
      <c r="C96" s="3">
        <v>1</v>
      </c>
      <c r="D96" s="5">
        <v>59.5</v>
      </c>
      <c r="E96" s="3" t="s">
        <v>3419</v>
      </c>
      <c r="F96" s="2" t="s">
        <v>164</v>
      </c>
      <c r="G96" s="6"/>
      <c r="H96" s="2" t="s">
        <v>127</v>
      </c>
      <c r="I96" s="2" t="s">
        <v>128</v>
      </c>
      <c r="J96" s="2" t="s">
        <v>19</v>
      </c>
      <c r="K96" s="2" t="s">
        <v>160</v>
      </c>
      <c r="L96" s="7" t="str">
        <f>HYPERLINK("http://slimages.macys.com/is/image/MCY/13786793 ")</f>
        <v xml:space="preserve">http://slimages.macys.com/is/image/MCY/13786793 </v>
      </c>
    </row>
    <row r="97" spans="1:12" ht="24.75" x14ac:dyDescent="0.25">
      <c r="A97" s="4" t="s">
        <v>12836</v>
      </c>
      <c r="B97" s="2" t="s">
        <v>773</v>
      </c>
      <c r="C97" s="3">
        <v>2</v>
      </c>
      <c r="D97" s="5">
        <v>44.63</v>
      </c>
      <c r="E97" s="3" t="s">
        <v>10527</v>
      </c>
      <c r="F97" s="2" t="s">
        <v>26</v>
      </c>
      <c r="G97" s="6" t="s">
        <v>9319</v>
      </c>
      <c r="H97" s="2" t="s">
        <v>349</v>
      </c>
      <c r="I97" s="2" t="s">
        <v>408</v>
      </c>
      <c r="J97" s="2" t="s">
        <v>19</v>
      </c>
      <c r="K97" s="2" t="s">
        <v>409</v>
      </c>
      <c r="L97" s="7" t="str">
        <f>HYPERLINK("http://slimages.macys.com/is/image/MCY/13535080 ")</f>
        <v xml:space="preserve">http://slimages.macys.com/is/image/MCY/13535080 </v>
      </c>
    </row>
    <row r="98" spans="1:12" ht="24.75" x14ac:dyDescent="0.25">
      <c r="A98" s="4" t="s">
        <v>12837</v>
      </c>
      <c r="B98" s="2" t="s">
        <v>773</v>
      </c>
      <c r="C98" s="3">
        <v>2</v>
      </c>
      <c r="D98" s="5">
        <v>44.63</v>
      </c>
      <c r="E98" s="3" t="s">
        <v>10527</v>
      </c>
      <c r="F98" s="2" t="s">
        <v>26</v>
      </c>
      <c r="G98" s="6" t="s">
        <v>6319</v>
      </c>
      <c r="H98" s="2" t="s">
        <v>349</v>
      </c>
      <c r="I98" s="2" t="s">
        <v>408</v>
      </c>
      <c r="J98" s="2" t="s">
        <v>19</v>
      </c>
      <c r="K98" s="2" t="s">
        <v>409</v>
      </c>
      <c r="L98" s="7" t="str">
        <f>HYPERLINK("http://slimages.macys.com/is/image/MCY/13535080 ")</f>
        <v xml:space="preserve">http://slimages.macys.com/is/image/MCY/13535080 </v>
      </c>
    </row>
    <row r="99" spans="1:12" ht="24.75" x14ac:dyDescent="0.25">
      <c r="A99" s="4" t="s">
        <v>11832</v>
      </c>
      <c r="B99" s="2" t="s">
        <v>2328</v>
      </c>
      <c r="C99" s="3">
        <v>1</v>
      </c>
      <c r="D99" s="5">
        <v>44.63</v>
      </c>
      <c r="E99" s="3">
        <v>100060780</v>
      </c>
      <c r="F99" s="2" t="s">
        <v>199</v>
      </c>
      <c r="G99" s="6" t="s">
        <v>154</v>
      </c>
      <c r="H99" s="2" t="s">
        <v>194</v>
      </c>
      <c r="I99" s="2" t="s">
        <v>503</v>
      </c>
      <c r="J99" s="2" t="s">
        <v>19</v>
      </c>
      <c r="K99" s="2" t="s">
        <v>201</v>
      </c>
      <c r="L99" s="7" t="str">
        <f>HYPERLINK("http://slimages.macys.com/is/image/MCY/12279791 ")</f>
        <v xml:space="preserve">http://slimages.macys.com/is/image/MCY/12279791 </v>
      </c>
    </row>
    <row r="100" spans="1:12" ht="24.75" x14ac:dyDescent="0.25">
      <c r="A100" s="4" t="s">
        <v>10529</v>
      </c>
      <c r="B100" s="2" t="s">
        <v>10530</v>
      </c>
      <c r="C100" s="3">
        <v>1</v>
      </c>
      <c r="D100" s="5">
        <v>44.63</v>
      </c>
      <c r="E100" s="3">
        <v>100063472</v>
      </c>
      <c r="F100" s="2" t="s">
        <v>15</v>
      </c>
      <c r="G100" s="6" t="s">
        <v>200</v>
      </c>
      <c r="H100" s="2" t="s">
        <v>194</v>
      </c>
      <c r="I100" s="2" t="s">
        <v>195</v>
      </c>
      <c r="J100" s="2" t="s">
        <v>19</v>
      </c>
      <c r="K100" s="2" t="s">
        <v>107</v>
      </c>
      <c r="L100" s="7" t="str">
        <f>HYPERLINK("http://slimages.macys.com/is/image/MCY/12851426 ")</f>
        <v xml:space="preserve">http://slimages.macys.com/is/image/MCY/12851426 </v>
      </c>
    </row>
    <row r="101" spans="1:12" ht="24.75" x14ac:dyDescent="0.25">
      <c r="A101" s="4" t="s">
        <v>10532</v>
      </c>
      <c r="B101" s="2" t="s">
        <v>10533</v>
      </c>
      <c r="C101" s="3">
        <v>1</v>
      </c>
      <c r="D101" s="5">
        <v>48.38</v>
      </c>
      <c r="E101" s="3" t="s">
        <v>10534</v>
      </c>
      <c r="F101" s="2" t="s">
        <v>26</v>
      </c>
      <c r="G101" s="6" t="s">
        <v>27</v>
      </c>
      <c r="H101" s="2" t="s">
        <v>213</v>
      </c>
      <c r="I101" s="2" t="s">
        <v>214</v>
      </c>
      <c r="J101" s="2" t="s">
        <v>19</v>
      </c>
      <c r="K101" s="2" t="s">
        <v>253</v>
      </c>
      <c r="L101" s="7" t="str">
        <f>HYPERLINK("http://slimages.macys.com/is/image/MCY/11525399 ")</f>
        <v xml:space="preserve">http://slimages.macys.com/is/image/MCY/11525399 </v>
      </c>
    </row>
    <row r="102" spans="1:12" ht="24.75" x14ac:dyDescent="0.25">
      <c r="A102" s="4" t="s">
        <v>2303</v>
      </c>
      <c r="B102" s="2" t="s">
        <v>2300</v>
      </c>
      <c r="C102" s="3">
        <v>1</v>
      </c>
      <c r="D102" s="5">
        <v>44.63</v>
      </c>
      <c r="E102" s="3" t="s">
        <v>2301</v>
      </c>
      <c r="F102" s="2" t="s">
        <v>15</v>
      </c>
      <c r="G102" s="6" t="s">
        <v>154</v>
      </c>
      <c r="H102" s="2" t="s">
        <v>194</v>
      </c>
      <c r="I102" s="2" t="s">
        <v>195</v>
      </c>
      <c r="J102" s="2" t="s">
        <v>19</v>
      </c>
      <c r="K102" s="2" t="s">
        <v>2302</v>
      </c>
      <c r="L102" s="7" t="str">
        <f>HYPERLINK("http://slimages.macys.com/is/image/MCY/12668044 ")</f>
        <v xml:space="preserve">http://slimages.macys.com/is/image/MCY/12668044 </v>
      </c>
    </row>
    <row r="103" spans="1:12" ht="24.75" x14ac:dyDescent="0.25">
      <c r="A103" s="4" t="s">
        <v>2299</v>
      </c>
      <c r="B103" s="2" t="s">
        <v>2300</v>
      </c>
      <c r="C103" s="3">
        <v>1</v>
      </c>
      <c r="D103" s="5">
        <v>44.63</v>
      </c>
      <c r="E103" s="3" t="s">
        <v>2301</v>
      </c>
      <c r="F103" s="2" t="s">
        <v>15</v>
      </c>
      <c r="G103" s="6" t="s">
        <v>181</v>
      </c>
      <c r="H103" s="2" t="s">
        <v>194</v>
      </c>
      <c r="I103" s="2" t="s">
        <v>195</v>
      </c>
      <c r="J103" s="2" t="s">
        <v>19</v>
      </c>
      <c r="K103" s="2" t="s">
        <v>2302</v>
      </c>
      <c r="L103" s="7" t="str">
        <f>HYPERLINK("http://slimages.macys.com/is/image/MCY/12668044 ")</f>
        <v xml:space="preserve">http://slimages.macys.com/is/image/MCY/12668044 </v>
      </c>
    </row>
    <row r="104" spans="1:12" ht="24.75" x14ac:dyDescent="0.25">
      <c r="A104" s="4" t="s">
        <v>12838</v>
      </c>
      <c r="B104" s="2" t="s">
        <v>12839</v>
      </c>
      <c r="C104" s="3">
        <v>1</v>
      </c>
      <c r="D104" s="5">
        <v>52.13</v>
      </c>
      <c r="E104" s="3" t="s">
        <v>12840</v>
      </c>
      <c r="F104" s="2" t="s">
        <v>26</v>
      </c>
      <c r="G104" s="6" t="s">
        <v>234</v>
      </c>
      <c r="H104" s="2" t="s">
        <v>246</v>
      </c>
      <c r="I104" s="2" t="s">
        <v>189</v>
      </c>
      <c r="J104" s="2" t="s">
        <v>19</v>
      </c>
      <c r="K104" s="2" t="s">
        <v>3423</v>
      </c>
      <c r="L104" s="7" t="str">
        <f>HYPERLINK("http://slimages.macys.com/is/image/MCY/12894406 ")</f>
        <v xml:space="preserve">http://slimages.macys.com/is/image/MCY/12894406 </v>
      </c>
    </row>
    <row r="105" spans="1:12" x14ac:dyDescent="0.25">
      <c r="A105" s="4" t="s">
        <v>12841</v>
      </c>
      <c r="B105" s="2" t="s">
        <v>8959</v>
      </c>
      <c r="C105" s="3">
        <v>1</v>
      </c>
      <c r="D105" s="5">
        <v>59.5</v>
      </c>
      <c r="E105" s="3">
        <v>100061336</v>
      </c>
      <c r="F105" s="2" t="s">
        <v>64</v>
      </c>
      <c r="G105" s="6" t="s">
        <v>27</v>
      </c>
      <c r="H105" s="2" t="s">
        <v>386</v>
      </c>
      <c r="I105" s="2" t="s">
        <v>207</v>
      </c>
      <c r="J105" s="2" t="s">
        <v>19</v>
      </c>
      <c r="K105" s="2" t="s">
        <v>353</v>
      </c>
      <c r="L105" s="7" t="str">
        <f>HYPERLINK("http://slimages.macys.com/is/image/MCY/12792778 ")</f>
        <v xml:space="preserve">http://slimages.macys.com/is/image/MCY/12792778 </v>
      </c>
    </row>
    <row r="106" spans="1:12" x14ac:dyDescent="0.25">
      <c r="A106" s="4" t="s">
        <v>12842</v>
      </c>
      <c r="B106" s="2" t="s">
        <v>8959</v>
      </c>
      <c r="C106" s="3">
        <v>1</v>
      </c>
      <c r="D106" s="5">
        <v>59.5</v>
      </c>
      <c r="E106" s="3">
        <v>100061336</v>
      </c>
      <c r="F106" s="2" t="s">
        <v>64</v>
      </c>
      <c r="G106" s="6" t="s">
        <v>106</v>
      </c>
      <c r="H106" s="2" t="s">
        <v>386</v>
      </c>
      <c r="I106" s="2" t="s">
        <v>207</v>
      </c>
      <c r="J106" s="2" t="s">
        <v>19</v>
      </c>
      <c r="K106" s="2" t="s">
        <v>353</v>
      </c>
      <c r="L106" s="7" t="str">
        <f>HYPERLINK("http://slimages.macys.com/is/image/MCY/12792778 ")</f>
        <v xml:space="preserve">http://slimages.macys.com/is/image/MCY/12792778 </v>
      </c>
    </row>
    <row r="107" spans="1:12" ht="24.75" x14ac:dyDescent="0.25">
      <c r="A107" s="4" t="s">
        <v>12843</v>
      </c>
      <c r="B107" s="2" t="s">
        <v>12844</v>
      </c>
      <c r="C107" s="3">
        <v>1</v>
      </c>
      <c r="D107" s="5">
        <v>52.12</v>
      </c>
      <c r="E107" s="3" t="s">
        <v>12845</v>
      </c>
      <c r="F107" s="2" t="s">
        <v>74</v>
      </c>
      <c r="G107" s="6"/>
      <c r="H107" s="2" t="s">
        <v>312</v>
      </c>
      <c r="I107" s="2" t="s">
        <v>195</v>
      </c>
      <c r="J107" s="2" t="s">
        <v>19</v>
      </c>
      <c r="K107" s="2" t="s">
        <v>160</v>
      </c>
      <c r="L107" s="7" t="str">
        <f>HYPERLINK("http://slimages.macys.com/is/image/MCY/10339542 ")</f>
        <v xml:space="preserve">http://slimages.macys.com/is/image/MCY/10339542 </v>
      </c>
    </row>
    <row r="108" spans="1:12" x14ac:dyDescent="0.25">
      <c r="A108" s="4" t="s">
        <v>12846</v>
      </c>
      <c r="B108" s="2" t="s">
        <v>12045</v>
      </c>
      <c r="C108" s="3">
        <v>1</v>
      </c>
      <c r="D108" s="5">
        <v>54.5</v>
      </c>
      <c r="E108" s="3">
        <v>100055965</v>
      </c>
      <c r="F108" s="2" t="s">
        <v>64</v>
      </c>
      <c r="G108" s="6" t="s">
        <v>65</v>
      </c>
      <c r="H108" s="2" t="s">
        <v>386</v>
      </c>
      <c r="I108" s="2" t="s">
        <v>207</v>
      </c>
      <c r="J108" s="2" t="s">
        <v>19</v>
      </c>
      <c r="K108" s="2" t="s">
        <v>353</v>
      </c>
      <c r="L108" s="7" t="str">
        <f>HYPERLINK("http://slimages.macys.com/is/image/MCY/11950570 ")</f>
        <v xml:space="preserve">http://slimages.macys.com/is/image/MCY/11950570 </v>
      </c>
    </row>
    <row r="109" spans="1:12" ht="24.75" x14ac:dyDescent="0.25">
      <c r="A109" s="4" t="s">
        <v>12847</v>
      </c>
      <c r="B109" s="2" t="s">
        <v>543</v>
      </c>
      <c r="C109" s="3">
        <v>1</v>
      </c>
      <c r="D109" s="5">
        <v>69.5</v>
      </c>
      <c r="E109" s="3">
        <v>100061565</v>
      </c>
      <c r="F109" s="2" t="s">
        <v>74</v>
      </c>
      <c r="G109" s="6" t="s">
        <v>39</v>
      </c>
      <c r="H109" s="2" t="s">
        <v>386</v>
      </c>
      <c r="I109" s="2" t="s">
        <v>207</v>
      </c>
      <c r="J109" s="2" t="s">
        <v>19</v>
      </c>
      <c r="K109" s="2" t="s">
        <v>338</v>
      </c>
      <c r="L109" s="7" t="str">
        <f>HYPERLINK("http://slimages.macys.com/is/image/MCY/11943173 ")</f>
        <v xml:space="preserve">http://slimages.macys.com/is/image/MCY/11943173 </v>
      </c>
    </row>
    <row r="110" spans="1:12" ht="24.75" x14ac:dyDescent="0.25">
      <c r="A110" s="4" t="s">
        <v>12848</v>
      </c>
      <c r="B110" s="2">
        <v>10046</v>
      </c>
      <c r="C110" s="3">
        <v>1</v>
      </c>
      <c r="D110" s="5">
        <v>69.5</v>
      </c>
      <c r="E110" s="3">
        <v>100055242</v>
      </c>
      <c r="F110" s="2" t="s">
        <v>64</v>
      </c>
      <c r="G110" s="6" t="s">
        <v>2208</v>
      </c>
      <c r="H110" s="2" t="s">
        <v>386</v>
      </c>
      <c r="I110" s="2" t="s">
        <v>337</v>
      </c>
      <c r="J110" s="2" t="s">
        <v>19</v>
      </c>
      <c r="K110" s="2" t="s">
        <v>387</v>
      </c>
      <c r="L110" s="7" t="str">
        <f>HYPERLINK("http://slimages.macys.com/is/image/MCY/11535562 ")</f>
        <v xml:space="preserve">http://slimages.macys.com/is/image/MCY/11535562 </v>
      </c>
    </row>
    <row r="111" spans="1:12" ht="24.75" x14ac:dyDescent="0.25">
      <c r="A111" s="4" t="s">
        <v>5509</v>
      </c>
      <c r="B111" s="2" t="s">
        <v>577</v>
      </c>
      <c r="C111" s="3">
        <v>1</v>
      </c>
      <c r="D111" s="5">
        <v>44.63</v>
      </c>
      <c r="E111" s="3" t="s">
        <v>578</v>
      </c>
      <c r="F111" s="2" t="s">
        <v>15</v>
      </c>
      <c r="G111" s="6" t="s">
        <v>245</v>
      </c>
      <c r="H111" s="2" t="s">
        <v>194</v>
      </c>
      <c r="I111" s="2" t="s">
        <v>580</v>
      </c>
      <c r="J111" s="2" t="s">
        <v>19</v>
      </c>
      <c r="K111" s="2" t="s">
        <v>247</v>
      </c>
      <c r="L111" s="7" t="str">
        <f>HYPERLINK("http://slimages.macys.com/is/image/MCY/12743841 ")</f>
        <v xml:space="preserve">http://slimages.macys.com/is/image/MCY/12743841 </v>
      </c>
    </row>
    <row r="112" spans="1:12" ht="36.75" x14ac:dyDescent="0.25">
      <c r="A112" s="4" t="s">
        <v>10553</v>
      </c>
      <c r="B112" s="2" t="s">
        <v>10554</v>
      </c>
      <c r="C112" s="3">
        <v>2</v>
      </c>
      <c r="D112" s="5">
        <v>40.880000000000003</v>
      </c>
      <c r="E112" s="3" t="s">
        <v>10555</v>
      </c>
      <c r="F112" s="2" t="s">
        <v>331</v>
      </c>
      <c r="G112" s="6" t="s">
        <v>181</v>
      </c>
      <c r="H112" s="2" t="s">
        <v>194</v>
      </c>
      <c r="I112" s="2" t="s">
        <v>1398</v>
      </c>
      <c r="J112" s="2" t="s">
        <v>19</v>
      </c>
      <c r="K112" s="2" t="s">
        <v>10556</v>
      </c>
      <c r="L112" s="7" t="str">
        <f>HYPERLINK("http://slimages.macys.com/is/image/MCY/13368002 ")</f>
        <v xml:space="preserve">http://slimages.macys.com/is/image/MCY/13368002 </v>
      </c>
    </row>
    <row r="113" spans="1:12" ht="24.75" x14ac:dyDescent="0.25">
      <c r="A113" s="4" t="s">
        <v>10560</v>
      </c>
      <c r="B113" s="2" t="s">
        <v>570</v>
      </c>
      <c r="C113" s="3">
        <v>1</v>
      </c>
      <c r="D113" s="5">
        <v>40.880000000000003</v>
      </c>
      <c r="E113" s="3" t="s">
        <v>571</v>
      </c>
      <c r="F113" s="2" t="s">
        <v>572</v>
      </c>
      <c r="G113" s="6" t="s">
        <v>141</v>
      </c>
      <c r="H113" s="2" t="s">
        <v>246</v>
      </c>
      <c r="I113" s="2" t="s">
        <v>525</v>
      </c>
      <c r="J113" s="2" t="s">
        <v>19</v>
      </c>
      <c r="K113" s="2" t="s">
        <v>338</v>
      </c>
      <c r="L113" s="7" t="str">
        <f>HYPERLINK("http://slimages.macys.com/is/image/MCY/11746434 ")</f>
        <v xml:space="preserve">http://slimages.macys.com/is/image/MCY/11746434 </v>
      </c>
    </row>
    <row r="114" spans="1:12" ht="36.75" x14ac:dyDescent="0.25">
      <c r="A114" s="4" t="s">
        <v>10558</v>
      </c>
      <c r="B114" s="2" t="s">
        <v>10554</v>
      </c>
      <c r="C114" s="3">
        <v>2</v>
      </c>
      <c r="D114" s="5">
        <v>40.880000000000003</v>
      </c>
      <c r="E114" s="3" t="s">
        <v>10555</v>
      </c>
      <c r="F114" s="2" t="s">
        <v>331</v>
      </c>
      <c r="G114" s="6" t="s">
        <v>234</v>
      </c>
      <c r="H114" s="2" t="s">
        <v>194</v>
      </c>
      <c r="I114" s="2" t="s">
        <v>1398</v>
      </c>
      <c r="J114" s="2" t="s">
        <v>19</v>
      </c>
      <c r="K114" s="2" t="s">
        <v>10556</v>
      </c>
      <c r="L114" s="7" t="str">
        <f>HYPERLINK("http://slimages.macys.com/is/image/MCY/13368002 ")</f>
        <v xml:space="preserve">http://slimages.macys.com/is/image/MCY/13368002 </v>
      </c>
    </row>
    <row r="115" spans="1:12" ht="36.75" x14ac:dyDescent="0.25">
      <c r="A115" s="4" t="s">
        <v>10557</v>
      </c>
      <c r="B115" s="2" t="s">
        <v>10554</v>
      </c>
      <c r="C115" s="3">
        <v>4</v>
      </c>
      <c r="D115" s="5">
        <v>40.880000000000003</v>
      </c>
      <c r="E115" s="3" t="s">
        <v>10555</v>
      </c>
      <c r="F115" s="2" t="s">
        <v>331</v>
      </c>
      <c r="G115" s="6" t="s">
        <v>154</v>
      </c>
      <c r="H115" s="2" t="s">
        <v>194</v>
      </c>
      <c r="I115" s="2" t="s">
        <v>1398</v>
      </c>
      <c r="J115" s="2" t="s">
        <v>19</v>
      </c>
      <c r="K115" s="2" t="s">
        <v>10556</v>
      </c>
      <c r="L115" s="7" t="str">
        <f>HYPERLINK("http://slimages.macys.com/is/image/MCY/13368002 ")</f>
        <v xml:space="preserve">http://slimages.macys.com/is/image/MCY/13368002 </v>
      </c>
    </row>
    <row r="116" spans="1:12" ht="24.75" x14ac:dyDescent="0.25">
      <c r="A116" s="4" t="s">
        <v>12849</v>
      </c>
      <c r="B116" s="2" t="s">
        <v>10563</v>
      </c>
      <c r="C116" s="3">
        <v>1</v>
      </c>
      <c r="D116" s="5">
        <v>44.63</v>
      </c>
      <c r="E116" s="3">
        <v>100016078</v>
      </c>
      <c r="F116" s="2" t="s">
        <v>64</v>
      </c>
      <c r="G116" s="6" t="s">
        <v>245</v>
      </c>
      <c r="H116" s="2" t="s">
        <v>194</v>
      </c>
      <c r="I116" s="2" t="s">
        <v>195</v>
      </c>
      <c r="J116" s="2" t="s">
        <v>19</v>
      </c>
      <c r="K116" s="2" t="s">
        <v>1108</v>
      </c>
      <c r="L116" s="7" t="str">
        <f>HYPERLINK("http://slimages.macys.com/is/image/MCY/9646618 ")</f>
        <v xml:space="preserve">http://slimages.macys.com/is/image/MCY/9646618 </v>
      </c>
    </row>
    <row r="117" spans="1:12" ht="24.75" x14ac:dyDescent="0.25">
      <c r="A117" s="4" t="s">
        <v>12850</v>
      </c>
      <c r="B117" s="2" t="s">
        <v>6387</v>
      </c>
      <c r="C117" s="3">
        <v>1</v>
      </c>
      <c r="D117" s="5">
        <v>44.63</v>
      </c>
      <c r="E117" s="3" t="s">
        <v>6388</v>
      </c>
      <c r="F117" s="2" t="s">
        <v>170</v>
      </c>
      <c r="G117" s="6" t="s">
        <v>219</v>
      </c>
      <c r="H117" s="2" t="s">
        <v>188</v>
      </c>
      <c r="I117" s="2" t="s">
        <v>189</v>
      </c>
      <c r="J117" s="2" t="s">
        <v>19</v>
      </c>
      <c r="K117" s="2" t="s">
        <v>1230</v>
      </c>
      <c r="L117" s="7" t="str">
        <f>HYPERLINK("http://slimages.macys.com/is/image/MCY/11516881 ")</f>
        <v xml:space="preserve">http://slimages.macys.com/is/image/MCY/11516881 </v>
      </c>
    </row>
    <row r="118" spans="1:12" ht="24.75" x14ac:dyDescent="0.25">
      <c r="A118" s="4" t="s">
        <v>12851</v>
      </c>
      <c r="B118" s="2" t="s">
        <v>12852</v>
      </c>
      <c r="C118" s="3">
        <v>1</v>
      </c>
      <c r="D118" s="5">
        <v>37.130000000000003</v>
      </c>
      <c r="E118" s="3" t="s">
        <v>12853</v>
      </c>
      <c r="F118" s="2" t="s">
        <v>74</v>
      </c>
      <c r="G118" s="6" t="s">
        <v>181</v>
      </c>
      <c r="H118" s="2" t="s">
        <v>284</v>
      </c>
      <c r="I118" s="2" t="s">
        <v>408</v>
      </c>
      <c r="J118" s="2" t="s">
        <v>19</v>
      </c>
      <c r="K118" s="2" t="s">
        <v>409</v>
      </c>
      <c r="L118" s="7" t="str">
        <f>HYPERLINK("http://slimages.macys.com/is/image/MCY/11940200 ")</f>
        <v xml:space="preserve">http://slimages.macys.com/is/image/MCY/11940200 </v>
      </c>
    </row>
    <row r="119" spans="1:12" ht="24.75" x14ac:dyDescent="0.25">
      <c r="A119" s="4" t="s">
        <v>12854</v>
      </c>
      <c r="B119" s="2" t="s">
        <v>12855</v>
      </c>
      <c r="C119" s="3">
        <v>1</v>
      </c>
      <c r="D119" s="5">
        <v>44.63</v>
      </c>
      <c r="E119" s="3" t="s">
        <v>12856</v>
      </c>
      <c r="F119" s="2" t="s">
        <v>1584</v>
      </c>
      <c r="G119" s="6" t="s">
        <v>746</v>
      </c>
      <c r="H119" s="2" t="s">
        <v>349</v>
      </c>
      <c r="I119" s="2" t="s">
        <v>285</v>
      </c>
      <c r="J119" s="2" t="s">
        <v>19</v>
      </c>
      <c r="K119" s="2" t="s">
        <v>160</v>
      </c>
      <c r="L119" s="7" t="str">
        <f>HYPERLINK("http://slimages.macys.com/is/image/MCY/13925230 ")</f>
        <v xml:space="preserve">http://slimages.macys.com/is/image/MCY/13925230 </v>
      </c>
    </row>
    <row r="120" spans="1:12" ht="24.75" x14ac:dyDescent="0.25">
      <c r="A120" s="4" t="s">
        <v>12857</v>
      </c>
      <c r="B120" s="2" t="s">
        <v>12855</v>
      </c>
      <c r="C120" s="3">
        <v>1</v>
      </c>
      <c r="D120" s="5">
        <v>44.63</v>
      </c>
      <c r="E120" s="3" t="s">
        <v>12856</v>
      </c>
      <c r="F120" s="2" t="s">
        <v>74</v>
      </c>
      <c r="G120" s="6" t="s">
        <v>746</v>
      </c>
      <c r="H120" s="2" t="s">
        <v>349</v>
      </c>
      <c r="I120" s="2" t="s">
        <v>285</v>
      </c>
      <c r="J120" s="2" t="s">
        <v>19</v>
      </c>
      <c r="K120" s="2" t="s">
        <v>160</v>
      </c>
      <c r="L120" s="7" t="str">
        <f>HYPERLINK("http://slimages.macys.com/is/image/MCY/13925230 ")</f>
        <v xml:space="preserve">http://slimages.macys.com/is/image/MCY/13925230 </v>
      </c>
    </row>
    <row r="121" spans="1:12" ht="24.75" x14ac:dyDescent="0.25">
      <c r="A121" s="4" t="s">
        <v>12858</v>
      </c>
      <c r="B121" s="2" t="s">
        <v>12859</v>
      </c>
      <c r="C121" s="3">
        <v>1</v>
      </c>
      <c r="D121" s="5">
        <v>44.38</v>
      </c>
      <c r="E121" s="3" t="s">
        <v>12860</v>
      </c>
      <c r="F121" s="2" t="s">
        <v>494</v>
      </c>
      <c r="G121" s="6" t="s">
        <v>2276</v>
      </c>
      <c r="H121" s="2" t="s">
        <v>349</v>
      </c>
      <c r="I121" s="2" t="s">
        <v>458</v>
      </c>
      <c r="J121" s="2" t="s">
        <v>19</v>
      </c>
      <c r="K121" s="2" t="s">
        <v>160</v>
      </c>
      <c r="L121" s="7" t="str">
        <f>HYPERLINK("http://slimages.macys.com/is/image/MCY/14357572 ")</f>
        <v xml:space="preserve">http://slimages.macys.com/is/image/MCY/14357572 </v>
      </c>
    </row>
    <row r="122" spans="1:12" ht="48.75" x14ac:dyDescent="0.25">
      <c r="A122" s="4" t="s">
        <v>604</v>
      </c>
      <c r="B122" s="2" t="s">
        <v>599</v>
      </c>
      <c r="C122" s="3">
        <v>1</v>
      </c>
      <c r="D122" s="5">
        <v>37.130000000000003</v>
      </c>
      <c r="E122" s="3" t="s">
        <v>600</v>
      </c>
      <c r="F122" s="2" t="s">
        <v>125</v>
      </c>
      <c r="G122" s="6" t="s">
        <v>234</v>
      </c>
      <c r="H122" s="2" t="s">
        <v>194</v>
      </c>
      <c r="I122" s="2" t="s">
        <v>195</v>
      </c>
      <c r="J122" s="2" t="s">
        <v>19</v>
      </c>
      <c r="K122" s="2" t="s">
        <v>601</v>
      </c>
      <c r="L122" s="7" t="str">
        <f>HYPERLINK("http://slimages.macys.com/is/image/MCY/12734338 ")</f>
        <v xml:space="preserve">http://slimages.macys.com/is/image/MCY/12734338 </v>
      </c>
    </row>
    <row r="123" spans="1:12" ht="36.75" x14ac:dyDescent="0.25">
      <c r="A123" s="4" t="s">
        <v>12861</v>
      </c>
      <c r="B123" s="2" t="s">
        <v>10571</v>
      </c>
      <c r="C123" s="3">
        <v>1</v>
      </c>
      <c r="D123" s="5">
        <v>48.38</v>
      </c>
      <c r="E123" s="3" t="s">
        <v>10572</v>
      </c>
      <c r="F123" s="2" t="s">
        <v>64</v>
      </c>
      <c r="G123" s="6" t="s">
        <v>181</v>
      </c>
      <c r="H123" s="2" t="s">
        <v>246</v>
      </c>
      <c r="I123" s="2" t="s">
        <v>189</v>
      </c>
      <c r="J123" s="2" t="s">
        <v>19</v>
      </c>
      <c r="K123" s="2" t="s">
        <v>2419</v>
      </c>
      <c r="L123" s="7" t="str">
        <f>HYPERLINK("http://slimages.macys.com/is/image/MCY/12928701 ")</f>
        <v xml:space="preserve">http://slimages.macys.com/is/image/MCY/12928701 </v>
      </c>
    </row>
    <row r="124" spans="1:12" ht="36.75" x14ac:dyDescent="0.25">
      <c r="A124" s="4" t="s">
        <v>12862</v>
      </c>
      <c r="B124" s="2" t="s">
        <v>12863</v>
      </c>
      <c r="C124" s="3">
        <v>1</v>
      </c>
      <c r="D124" s="5">
        <v>48.38</v>
      </c>
      <c r="E124" s="3" t="s">
        <v>12864</v>
      </c>
      <c r="F124" s="2" t="s">
        <v>57</v>
      </c>
      <c r="G124" s="6" t="s">
        <v>154</v>
      </c>
      <c r="H124" s="2" t="s">
        <v>246</v>
      </c>
      <c r="I124" s="2" t="s">
        <v>189</v>
      </c>
      <c r="J124" s="2" t="s">
        <v>19</v>
      </c>
      <c r="K124" s="2" t="s">
        <v>2419</v>
      </c>
      <c r="L124" s="7" t="str">
        <f>HYPERLINK("http://slimages.macys.com/is/image/MCY/12928701 ")</f>
        <v xml:space="preserve">http://slimages.macys.com/is/image/MCY/12928701 </v>
      </c>
    </row>
    <row r="125" spans="1:12" ht="24.75" x14ac:dyDescent="0.25">
      <c r="A125" s="4" t="s">
        <v>5517</v>
      </c>
      <c r="B125" s="2" t="s">
        <v>609</v>
      </c>
      <c r="C125" s="3">
        <v>1</v>
      </c>
      <c r="D125" s="5">
        <v>44.63</v>
      </c>
      <c r="E125" s="3">
        <v>100015690</v>
      </c>
      <c r="F125" s="2" t="s">
        <v>74</v>
      </c>
      <c r="G125" s="6" t="s">
        <v>200</v>
      </c>
      <c r="H125" s="2" t="s">
        <v>194</v>
      </c>
      <c r="I125" s="2" t="s">
        <v>195</v>
      </c>
      <c r="J125" s="2" t="s">
        <v>19</v>
      </c>
      <c r="K125" s="2" t="s">
        <v>610</v>
      </c>
      <c r="L125" s="7" t="str">
        <f>HYPERLINK("http://slimages.macys.com/is/image/MCY/9508600 ")</f>
        <v xml:space="preserve">http://slimages.macys.com/is/image/MCY/9508600 </v>
      </c>
    </row>
    <row r="126" spans="1:12" ht="24.75" x14ac:dyDescent="0.25">
      <c r="A126" s="4" t="s">
        <v>12865</v>
      </c>
      <c r="B126" s="2" t="s">
        <v>7928</v>
      </c>
      <c r="C126" s="3">
        <v>1</v>
      </c>
      <c r="D126" s="5">
        <v>45.15</v>
      </c>
      <c r="E126" s="3" t="s">
        <v>7929</v>
      </c>
      <c r="F126" s="2" t="s">
        <v>257</v>
      </c>
      <c r="G126" s="6" t="s">
        <v>200</v>
      </c>
      <c r="H126" s="2" t="s">
        <v>182</v>
      </c>
      <c r="I126" s="2" t="s">
        <v>183</v>
      </c>
      <c r="J126" s="2" t="s">
        <v>19</v>
      </c>
      <c r="K126" s="2" t="s">
        <v>258</v>
      </c>
      <c r="L126" s="7" t="str">
        <f>HYPERLINK("http://slimages.macys.com/is/image/MCY/12851606 ")</f>
        <v xml:space="preserve">http://slimages.macys.com/is/image/MCY/12851606 </v>
      </c>
    </row>
    <row r="127" spans="1:12" ht="24.75" x14ac:dyDescent="0.25">
      <c r="A127" s="4" t="s">
        <v>12866</v>
      </c>
      <c r="B127" s="2" t="s">
        <v>12867</v>
      </c>
      <c r="C127" s="3">
        <v>1</v>
      </c>
      <c r="D127" s="5">
        <v>44.63</v>
      </c>
      <c r="E127" s="3" t="s">
        <v>12868</v>
      </c>
      <c r="F127" s="2" t="s">
        <v>26</v>
      </c>
      <c r="G127" s="6" t="s">
        <v>154</v>
      </c>
      <c r="H127" s="2" t="s">
        <v>246</v>
      </c>
      <c r="I127" s="2" t="s">
        <v>189</v>
      </c>
      <c r="J127" s="2" t="s">
        <v>19</v>
      </c>
      <c r="K127" s="2" t="s">
        <v>990</v>
      </c>
      <c r="L127" s="7" t="str">
        <f>HYPERLINK("http://slimages.macys.com/is/image/MCY/12773254 ")</f>
        <v xml:space="preserve">http://slimages.macys.com/is/image/MCY/12773254 </v>
      </c>
    </row>
    <row r="128" spans="1:12" ht="24.75" x14ac:dyDescent="0.25">
      <c r="A128" s="4" t="s">
        <v>12869</v>
      </c>
      <c r="B128" s="2" t="s">
        <v>10479</v>
      </c>
      <c r="C128" s="3">
        <v>1</v>
      </c>
      <c r="D128" s="5">
        <v>40.880000000000003</v>
      </c>
      <c r="E128" s="3" t="s">
        <v>10574</v>
      </c>
      <c r="F128" s="2" t="s">
        <v>26</v>
      </c>
      <c r="G128" s="6" t="s">
        <v>234</v>
      </c>
      <c r="H128" s="2" t="s">
        <v>284</v>
      </c>
      <c r="I128" s="2" t="s">
        <v>408</v>
      </c>
      <c r="J128" s="2" t="s">
        <v>19</v>
      </c>
      <c r="K128" s="2" t="s">
        <v>409</v>
      </c>
      <c r="L128" s="7" t="str">
        <f>HYPERLINK("http://slimages.macys.com/is/image/MCY/13382940 ")</f>
        <v xml:space="preserve">http://slimages.macys.com/is/image/MCY/13382940 </v>
      </c>
    </row>
    <row r="129" spans="1:12" ht="36.75" x14ac:dyDescent="0.25">
      <c r="A129" s="4" t="s">
        <v>12870</v>
      </c>
      <c r="B129" s="2" t="s">
        <v>614</v>
      </c>
      <c r="C129" s="3">
        <v>1</v>
      </c>
      <c r="D129" s="5">
        <v>40.880000000000003</v>
      </c>
      <c r="E129" s="3" t="s">
        <v>615</v>
      </c>
      <c r="F129" s="2" t="s">
        <v>417</v>
      </c>
      <c r="G129" s="6" t="s">
        <v>200</v>
      </c>
      <c r="H129" s="2" t="s">
        <v>284</v>
      </c>
      <c r="I129" s="2" t="s">
        <v>408</v>
      </c>
      <c r="J129" s="2" t="s">
        <v>19</v>
      </c>
      <c r="K129" s="2" t="s">
        <v>500</v>
      </c>
      <c r="L129" s="7" t="str">
        <f>HYPERLINK("http://slimages.macys.com/is/image/MCY/12672193 ")</f>
        <v xml:space="preserve">http://slimages.macys.com/is/image/MCY/12672193 </v>
      </c>
    </row>
    <row r="130" spans="1:12" ht="24.75" x14ac:dyDescent="0.25">
      <c r="A130" s="4" t="s">
        <v>12871</v>
      </c>
      <c r="B130" s="2" t="s">
        <v>10028</v>
      </c>
      <c r="C130" s="3">
        <v>1</v>
      </c>
      <c r="D130" s="5">
        <v>51.5</v>
      </c>
      <c r="E130" s="3" t="s">
        <v>10029</v>
      </c>
      <c r="F130" s="2" t="s">
        <v>64</v>
      </c>
      <c r="G130" s="6" t="s">
        <v>245</v>
      </c>
      <c r="H130" s="2" t="s">
        <v>246</v>
      </c>
      <c r="I130" s="2" t="s">
        <v>3427</v>
      </c>
      <c r="J130" s="2" t="s">
        <v>19</v>
      </c>
      <c r="K130" s="2" t="s">
        <v>201</v>
      </c>
      <c r="L130" s="7" t="str">
        <f>HYPERLINK("http://slimages.macys.com/is/image/MCY/11680929 ")</f>
        <v xml:space="preserve">http://slimages.macys.com/is/image/MCY/11680929 </v>
      </c>
    </row>
    <row r="131" spans="1:12" ht="36.75" x14ac:dyDescent="0.25">
      <c r="A131" s="4" t="s">
        <v>12872</v>
      </c>
      <c r="B131" s="2" t="s">
        <v>12873</v>
      </c>
      <c r="C131" s="3">
        <v>1</v>
      </c>
      <c r="D131" s="5">
        <v>40.880000000000003</v>
      </c>
      <c r="E131" s="3" t="s">
        <v>12874</v>
      </c>
      <c r="F131" s="2" t="s">
        <v>26</v>
      </c>
      <c r="G131" s="6" t="s">
        <v>154</v>
      </c>
      <c r="H131" s="2" t="s">
        <v>284</v>
      </c>
      <c r="I131" s="2" t="s">
        <v>285</v>
      </c>
      <c r="J131" s="2" t="s">
        <v>19</v>
      </c>
      <c r="K131" s="2" t="s">
        <v>12875</v>
      </c>
      <c r="L131" s="7" t="str">
        <f>HYPERLINK("http://slimages.macys.com/is/image/MCY/13761946 ")</f>
        <v xml:space="preserve">http://slimages.macys.com/is/image/MCY/13761946 </v>
      </c>
    </row>
    <row r="132" spans="1:12" ht="24.75" x14ac:dyDescent="0.25">
      <c r="A132" s="4" t="s">
        <v>12876</v>
      </c>
      <c r="B132" s="2" t="s">
        <v>626</v>
      </c>
      <c r="C132" s="3">
        <v>1</v>
      </c>
      <c r="D132" s="5">
        <v>40.880000000000003</v>
      </c>
      <c r="E132" s="3" t="s">
        <v>627</v>
      </c>
      <c r="F132" s="2" t="s">
        <v>572</v>
      </c>
      <c r="G132" s="6" t="s">
        <v>58</v>
      </c>
      <c r="H132" s="2" t="s">
        <v>246</v>
      </c>
      <c r="I132" s="2" t="s">
        <v>525</v>
      </c>
      <c r="J132" s="2" t="s">
        <v>19</v>
      </c>
      <c r="K132" s="2" t="s">
        <v>628</v>
      </c>
      <c r="L132" s="7" t="str">
        <f>HYPERLINK("http://slimages.macys.com/is/image/MCY/11620905 ")</f>
        <v xml:space="preserve">http://slimages.macys.com/is/image/MCY/11620905 </v>
      </c>
    </row>
    <row r="133" spans="1:12" ht="24.75" x14ac:dyDescent="0.25">
      <c r="A133" s="4" t="s">
        <v>625</v>
      </c>
      <c r="B133" s="2" t="s">
        <v>626</v>
      </c>
      <c r="C133" s="3">
        <v>1</v>
      </c>
      <c r="D133" s="5">
        <v>40.880000000000003</v>
      </c>
      <c r="E133" s="3" t="s">
        <v>627</v>
      </c>
      <c r="F133" s="2" t="s">
        <v>572</v>
      </c>
      <c r="G133" s="6" t="s">
        <v>27</v>
      </c>
      <c r="H133" s="2" t="s">
        <v>246</v>
      </c>
      <c r="I133" s="2" t="s">
        <v>525</v>
      </c>
      <c r="J133" s="2" t="s">
        <v>19</v>
      </c>
      <c r="K133" s="2" t="s">
        <v>628</v>
      </c>
      <c r="L133" s="7" t="str">
        <f>HYPERLINK("http://slimages.macys.com/is/image/MCY/11620905 ")</f>
        <v xml:space="preserve">http://slimages.macys.com/is/image/MCY/11620905 </v>
      </c>
    </row>
    <row r="134" spans="1:12" ht="24.75" x14ac:dyDescent="0.25">
      <c r="A134" s="4" t="s">
        <v>12877</v>
      </c>
      <c r="B134" s="2" t="s">
        <v>626</v>
      </c>
      <c r="C134" s="3">
        <v>1</v>
      </c>
      <c r="D134" s="5">
        <v>40.880000000000003</v>
      </c>
      <c r="E134" s="3" t="s">
        <v>627</v>
      </c>
      <c r="F134" s="2" t="s">
        <v>572</v>
      </c>
      <c r="G134" s="6" t="s">
        <v>65</v>
      </c>
      <c r="H134" s="2" t="s">
        <v>246</v>
      </c>
      <c r="I134" s="2" t="s">
        <v>525</v>
      </c>
      <c r="J134" s="2" t="s">
        <v>19</v>
      </c>
      <c r="K134" s="2" t="s">
        <v>628</v>
      </c>
      <c r="L134" s="7" t="str">
        <f>HYPERLINK("http://slimages.macys.com/is/image/MCY/11620905 ")</f>
        <v xml:space="preserve">http://slimages.macys.com/is/image/MCY/11620905 </v>
      </c>
    </row>
    <row r="135" spans="1:12" ht="24.75" x14ac:dyDescent="0.25">
      <c r="A135" s="4" t="s">
        <v>10584</v>
      </c>
      <c r="B135" s="2" t="s">
        <v>10585</v>
      </c>
      <c r="C135" s="3">
        <v>1</v>
      </c>
      <c r="D135" s="5">
        <v>44.63</v>
      </c>
      <c r="E135" s="3" t="s">
        <v>10586</v>
      </c>
      <c r="F135" s="2" t="s">
        <v>48</v>
      </c>
      <c r="G135" s="6" t="s">
        <v>234</v>
      </c>
      <c r="H135" s="2" t="s">
        <v>194</v>
      </c>
      <c r="I135" s="2" t="s">
        <v>195</v>
      </c>
      <c r="J135" s="2" t="s">
        <v>19</v>
      </c>
      <c r="K135" s="2" t="s">
        <v>648</v>
      </c>
      <c r="L135" s="7" t="str">
        <f>HYPERLINK("http://slimages.macys.com/is/image/MCY/13120803 ")</f>
        <v xml:space="preserve">http://slimages.macys.com/is/image/MCY/13120803 </v>
      </c>
    </row>
    <row r="136" spans="1:12" ht="24.75" x14ac:dyDescent="0.25">
      <c r="A136" s="4" t="s">
        <v>12878</v>
      </c>
      <c r="B136" s="2" t="s">
        <v>10585</v>
      </c>
      <c r="C136" s="3">
        <v>1</v>
      </c>
      <c r="D136" s="5">
        <v>44.63</v>
      </c>
      <c r="E136" s="3" t="s">
        <v>10586</v>
      </c>
      <c r="F136" s="2" t="s">
        <v>48</v>
      </c>
      <c r="G136" s="6" t="s">
        <v>200</v>
      </c>
      <c r="H136" s="2" t="s">
        <v>194</v>
      </c>
      <c r="I136" s="2" t="s">
        <v>195</v>
      </c>
      <c r="J136" s="2" t="s">
        <v>19</v>
      </c>
      <c r="K136" s="2" t="s">
        <v>648</v>
      </c>
      <c r="L136" s="7" t="str">
        <f>HYPERLINK("http://slimages.macys.com/is/image/MCY/13120803 ")</f>
        <v xml:space="preserve">http://slimages.macys.com/is/image/MCY/13120803 </v>
      </c>
    </row>
    <row r="137" spans="1:12" ht="24.75" x14ac:dyDescent="0.25">
      <c r="A137" s="4" t="s">
        <v>12879</v>
      </c>
      <c r="B137" s="2" t="s">
        <v>11865</v>
      </c>
      <c r="C137" s="3">
        <v>1</v>
      </c>
      <c r="D137" s="5">
        <v>44.63</v>
      </c>
      <c r="E137" s="3" t="s">
        <v>11866</v>
      </c>
      <c r="F137" s="2" t="s">
        <v>64</v>
      </c>
      <c r="G137" s="6" t="s">
        <v>156</v>
      </c>
      <c r="H137" s="2" t="s">
        <v>194</v>
      </c>
      <c r="I137" s="2" t="s">
        <v>195</v>
      </c>
      <c r="J137" s="2" t="s">
        <v>19</v>
      </c>
      <c r="K137" s="2" t="s">
        <v>438</v>
      </c>
      <c r="L137" s="7" t="str">
        <f>HYPERLINK("http://slimages.macys.com/is/image/MCY/12279907 ")</f>
        <v xml:space="preserve">http://slimages.macys.com/is/image/MCY/12279907 </v>
      </c>
    </row>
    <row r="138" spans="1:12" ht="24.75" x14ac:dyDescent="0.25">
      <c r="A138" s="4" t="s">
        <v>11864</v>
      </c>
      <c r="B138" s="2" t="s">
        <v>11865</v>
      </c>
      <c r="C138" s="3">
        <v>1</v>
      </c>
      <c r="D138" s="5">
        <v>44.63</v>
      </c>
      <c r="E138" s="3" t="s">
        <v>11866</v>
      </c>
      <c r="F138" s="2" t="s">
        <v>125</v>
      </c>
      <c r="G138" s="6" t="s">
        <v>234</v>
      </c>
      <c r="H138" s="2" t="s">
        <v>194</v>
      </c>
      <c r="I138" s="2" t="s">
        <v>195</v>
      </c>
      <c r="J138" s="2" t="s">
        <v>19</v>
      </c>
      <c r="K138" s="2" t="s">
        <v>438</v>
      </c>
      <c r="L138" s="7" t="str">
        <f>HYPERLINK("http://slimages.macys.com/is/image/MCY/12279907 ")</f>
        <v xml:space="preserve">http://slimages.macys.com/is/image/MCY/12279907 </v>
      </c>
    </row>
    <row r="139" spans="1:12" ht="24.75" x14ac:dyDescent="0.25">
      <c r="A139" s="4" t="s">
        <v>12880</v>
      </c>
      <c r="B139" s="2" t="s">
        <v>12881</v>
      </c>
      <c r="C139" s="3">
        <v>1</v>
      </c>
      <c r="D139" s="5">
        <v>40.880000000000003</v>
      </c>
      <c r="E139" s="3" t="s">
        <v>12882</v>
      </c>
      <c r="F139" s="2" t="s">
        <v>74</v>
      </c>
      <c r="G139" s="6"/>
      <c r="H139" s="2" t="s">
        <v>632</v>
      </c>
      <c r="I139" s="2" t="s">
        <v>7103</v>
      </c>
      <c r="J139" s="2" t="s">
        <v>19</v>
      </c>
      <c r="K139" s="2" t="s">
        <v>160</v>
      </c>
      <c r="L139" s="7" t="str">
        <f>HYPERLINK("http://slimages.macys.com/is/image/MCY/11471114 ")</f>
        <v xml:space="preserve">http://slimages.macys.com/is/image/MCY/11471114 </v>
      </c>
    </row>
    <row r="140" spans="1:12" ht="24.75" x14ac:dyDescent="0.25">
      <c r="A140" s="4" t="s">
        <v>12883</v>
      </c>
      <c r="B140" s="2" t="s">
        <v>12884</v>
      </c>
      <c r="C140" s="3">
        <v>1</v>
      </c>
      <c r="D140" s="5">
        <v>44.63</v>
      </c>
      <c r="E140" s="3" t="s">
        <v>12885</v>
      </c>
      <c r="F140" s="2" t="s">
        <v>199</v>
      </c>
      <c r="G140" s="6" t="s">
        <v>112</v>
      </c>
      <c r="H140" s="2" t="s">
        <v>213</v>
      </c>
      <c r="I140" s="2" t="s">
        <v>214</v>
      </c>
      <c r="J140" s="2" t="s">
        <v>19</v>
      </c>
      <c r="K140" s="2" t="s">
        <v>215</v>
      </c>
      <c r="L140" s="7" t="str">
        <f>HYPERLINK("http://slimages.macys.com/is/image/MCY/9176401 ")</f>
        <v xml:space="preserve">http://slimages.macys.com/is/image/MCY/9176401 </v>
      </c>
    </row>
    <row r="141" spans="1:12" ht="24.75" x14ac:dyDescent="0.25">
      <c r="A141" s="4" t="s">
        <v>12886</v>
      </c>
      <c r="B141" s="2" t="s">
        <v>635</v>
      </c>
      <c r="C141" s="3">
        <v>1</v>
      </c>
      <c r="D141" s="5">
        <v>44.5</v>
      </c>
      <c r="E141" s="3" t="s">
        <v>636</v>
      </c>
      <c r="F141" s="2" t="s">
        <v>417</v>
      </c>
      <c r="G141" s="6" t="s">
        <v>27</v>
      </c>
      <c r="H141" s="2" t="s">
        <v>213</v>
      </c>
      <c r="I141" s="2" t="s">
        <v>214</v>
      </c>
      <c r="J141" s="2" t="s">
        <v>19</v>
      </c>
      <c r="K141" s="2" t="s">
        <v>253</v>
      </c>
      <c r="L141" s="7" t="str">
        <f>HYPERLINK("http://slimages.macys.com/is/image/MCY/8486169 ")</f>
        <v xml:space="preserve">http://slimages.macys.com/is/image/MCY/8486169 </v>
      </c>
    </row>
    <row r="142" spans="1:12" ht="24.75" x14ac:dyDescent="0.25">
      <c r="A142" s="4" t="s">
        <v>12887</v>
      </c>
      <c r="B142" s="2" t="s">
        <v>7936</v>
      </c>
      <c r="C142" s="3">
        <v>1</v>
      </c>
      <c r="D142" s="5">
        <v>69.5</v>
      </c>
      <c r="E142" s="3" t="s">
        <v>7937</v>
      </c>
      <c r="F142" s="2" t="s">
        <v>74</v>
      </c>
      <c r="G142" s="6"/>
      <c r="H142" s="2" t="s">
        <v>206</v>
      </c>
      <c r="I142" s="2" t="s">
        <v>207</v>
      </c>
      <c r="J142" s="2" t="s">
        <v>19</v>
      </c>
      <c r="K142" s="2" t="s">
        <v>7938</v>
      </c>
      <c r="L142" s="7" t="str">
        <f>HYPERLINK("http://slimages.macys.com/is/image/MCY/12319273 ")</f>
        <v xml:space="preserve">http://slimages.macys.com/is/image/MCY/12319273 </v>
      </c>
    </row>
    <row r="143" spans="1:12" ht="24.75" x14ac:dyDescent="0.25">
      <c r="A143" s="4" t="s">
        <v>12888</v>
      </c>
      <c r="B143" s="2" t="s">
        <v>11865</v>
      </c>
      <c r="C143" s="3">
        <v>1</v>
      </c>
      <c r="D143" s="5">
        <v>44.63</v>
      </c>
      <c r="E143" s="3" t="s">
        <v>12889</v>
      </c>
      <c r="F143" s="2" t="s">
        <v>125</v>
      </c>
      <c r="G143" s="6"/>
      <c r="H143" s="2" t="s">
        <v>312</v>
      </c>
      <c r="I143" s="2" t="s">
        <v>195</v>
      </c>
      <c r="J143" s="2" t="s">
        <v>19</v>
      </c>
      <c r="K143" s="2" t="s">
        <v>438</v>
      </c>
      <c r="L143" s="7" t="str">
        <f>HYPERLINK("http://slimages.macys.com/is/image/MCY/12279903 ")</f>
        <v xml:space="preserve">http://slimages.macys.com/is/image/MCY/12279903 </v>
      </c>
    </row>
    <row r="144" spans="1:12" ht="24.75" x14ac:dyDescent="0.25">
      <c r="A144" s="4" t="s">
        <v>3498</v>
      </c>
      <c r="B144" s="2" t="s">
        <v>641</v>
      </c>
      <c r="C144" s="3">
        <v>1</v>
      </c>
      <c r="D144" s="5">
        <v>34.99</v>
      </c>
      <c r="E144" s="3" t="s">
        <v>642</v>
      </c>
      <c r="F144" s="2" t="s">
        <v>64</v>
      </c>
      <c r="G144" s="6" t="s">
        <v>746</v>
      </c>
      <c r="H144" s="2" t="s">
        <v>349</v>
      </c>
      <c r="I144" s="2" t="s">
        <v>408</v>
      </c>
      <c r="J144" s="2" t="s">
        <v>19</v>
      </c>
      <c r="K144" s="2" t="s">
        <v>409</v>
      </c>
      <c r="L144" s="7" t="str">
        <f>HYPERLINK("http://slimages.macys.com/is/image/MCY/9297288 ")</f>
        <v xml:space="preserve">http://slimages.macys.com/is/image/MCY/9297288 </v>
      </c>
    </row>
    <row r="145" spans="1:12" ht="24.75" x14ac:dyDescent="0.25">
      <c r="A145" s="4" t="s">
        <v>7197</v>
      </c>
      <c r="B145" s="2" t="s">
        <v>641</v>
      </c>
      <c r="C145" s="3">
        <v>9</v>
      </c>
      <c r="D145" s="5">
        <v>34.99</v>
      </c>
      <c r="E145" s="3" t="s">
        <v>644</v>
      </c>
      <c r="F145" s="2" t="s">
        <v>26</v>
      </c>
      <c r="G145" s="6" t="s">
        <v>2276</v>
      </c>
      <c r="H145" s="2" t="s">
        <v>349</v>
      </c>
      <c r="I145" s="2" t="s">
        <v>408</v>
      </c>
      <c r="J145" s="2" t="s">
        <v>19</v>
      </c>
      <c r="K145" s="2" t="s">
        <v>409</v>
      </c>
      <c r="L145" s="7" t="str">
        <f>HYPERLINK("http://slimages.macys.com/is/image/MCY/9420343 ")</f>
        <v xml:space="preserve">http://slimages.macys.com/is/image/MCY/9420343 </v>
      </c>
    </row>
    <row r="146" spans="1:12" ht="24.75" x14ac:dyDescent="0.25">
      <c r="A146" s="4" t="s">
        <v>643</v>
      </c>
      <c r="B146" s="2" t="s">
        <v>641</v>
      </c>
      <c r="C146" s="3">
        <v>2</v>
      </c>
      <c r="D146" s="5">
        <v>34.99</v>
      </c>
      <c r="E146" s="3" t="s">
        <v>644</v>
      </c>
      <c r="F146" s="2" t="s">
        <v>26</v>
      </c>
      <c r="G146" s="6" t="s">
        <v>348</v>
      </c>
      <c r="H146" s="2" t="s">
        <v>349</v>
      </c>
      <c r="I146" s="2" t="s">
        <v>408</v>
      </c>
      <c r="J146" s="2" t="s">
        <v>19</v>
      </c>
      <c r="K146" s="2" t="s">
        <v>409</v>
      </c>
      <c r="L146" s="7" t="str">
        <f>HYPERLINK("http://slimages.macys.com/is/image/MCY/9420343 ")</f>
        <v xml:space="preserve">http://slimages.macys.com/is/image/MCY/9420343 </v>
      </c>
    </row>
    <row r="147" spans="1:12" ht="24.75" x14ac:dyDescent="0.25">
      <c r="A147" s="4" t="s">
        <v>11883</v>
      </c>
      <c r="B147" s="2" t="s">
        <v>641</v>
      </c>
      <c r="C147" s="3">
        <v>2</v>
      </c>
      <c r="D147" s="5">
        <v>34.99</v>
      </c>
      <c r="E147" s="3" t="s">
        <v>644</v>
      </c>
      <c r="F147" s="2" t="s">
        <v>26</v>
      </c>
      <c r="G147" s="6" t="s">
        <v>746</v>
      </c>
      <c r="H147" s="2" t="s">
        <v>349</v>
      </c>
      <c r="I147" s="2" t="s">
        <v>408</v>
      </c>
      <c r="J147" s="2" t="s">
        <v>19</v>
      </c>
      <c r="K147" s="2" t="s">
        <v>409</v>
      </c>
      <c r="L147" s="7" t="str">
        <f>HYPERLINK("http://slimages.macys.com/is/image/MCY/9420343 ")</f>
        <v xml:space="preserve">http://slimages.macys.com/is/image/MCY/9420343 </v>
      </c>
    </row>
    <row r="148" spans="1:12" ht="48.75" x14ac:dyDescent="0.25">
      <c r="A148" s="4" t="s">
        <v>12890</v>
      </c>
      <c r="B148" s="2" t="s">
        <v>2248</v>
      </c>
      <c r="C148" s="3">
        <v>1</v>
      </c>
      <c r="D148" s="5">
        <v>37.130000000000003</v>
      </c>
      <c r="E148" s="3" t="s">
        <v>7203</v>
      </c>
      <c r="F148" s="2" t="s">
        <v>64</v>
      </c>
      <c r="G148" s="6" t="s">
        <v>12891</v>
      </c>
      <c r="H148" s="2" t="s">
        <v>632</v>
      </c>
      <c r="I148" s="2" t="s">
        <v>408</v>
      </c>
      <c r="J148" s="2" t="s">
        <v>19</v>
      </c>
      <c r="K148" s="2" t="s">
        <v>787</v>
      </c>
      <c r="L148" s="7" t="str">
        <f>HYPERLINK("http://slimages.macys.com/is/image/MCY/11241401 ")</f>
        <v xml:space="preserve">http://slimages.macys.com/is/image/MCY/11241401 </v>
      </c>
    </row>
    <row r="149" spans="1:12" ht="24.75" x14ac:dyDescent="0.25">
      <c r="A149" s="4" t="s">
        <v>12892</v>
      </c>
      <c r="B149" s="2" t="s">
        <v>657</v>
      </c>
      <c r="C149" s="3">
        <v>1</v>
      </c>
      <c r="D149" s="5">
        <v>44.63</v>
      </c>
      <c r="E149" s="3" t="s">
        <v>658</v>
      </c>
      <c r="F149" s="2" t="s">
        <v>64</v>
      </c>
      <c r="G149" s="6" t="s">
        <v>16</v>
      </c>
      <c r="H149" s="2" t="s">
        <v>213</v>
      </c>
      <c r="I149" s="2" t="s">
        <v>214</v>
      </c>
      <c r="J149" s="2" t="s">
        <v>19</v>
      </c>
      <c r="K149" s="2" t="s">
        <v>338</v>
      </c>
      <c r="L149" s="7" t="str">
        <f>HYPERLINK("http://slimages.macys.com/is/image/MCY/12284095 ")</f>
        <v xml:space="preserve">http://slimages.macys.com/is/image/MCY/12284095 </v>
      </c>
    </row>
    <row r="150" spans="1:12" ht="24.75" x14ac:dyDescent="0.25">
      <c r="A150" s="4" t="s">
        <v>12893</v>
      </c>
      <c r="B150" s="2" t="s">
        <v>12894</v>
      </c>
      <c r="C150" s="3">
        <v>1</v>
      </c>
      <c r="D150" s="5">
        <v>69.5</v>
      </c>
      <c r="E150" s="3" t="s">
        <v>12895</v>
      </c>
      <c r="F150" s="2" t="s">
        <v>74</v>
      </c>
      <c r="G150" s="6" t="s">
        <v>219</v>
      </c>
      <c r="H150" s="2" t="s">
        <v>206</v>
      </c>
      <c r="I150" s="2" t="s">
        <v>207</v>
      </c>
      <c r="J150" s="2" t="s">
        <v>19</v>
      </c>
      <c r="K150" s="2" t="s">
        <v>258</v>
      </c>
      <c r="L150" s="7" t="str">
        <f>HYPERLINK("http://slimages.macys.com/is/image/MCY/11702750 ")</f>
        <v xml:space="preserve">http://slimages.macys.com/is/image/MCY/11702750 </v>
      </c>
    </row>
    <row r="151" spans="1:12" ht="24.75" x14ac:dyDescent="0.25">
      <c r="A151" s="4" t="s">
        <v>12896</v>
      </c>
      <c r="B151" s="2" t="s">
        <v>657</v>
      </c>
      <c r="C151" s="3">
        <v>1</v>
      </c>
      <c r="D151" s="5">
        <v>44.63</v>
      </c>
      <c r="E151" s="3" t="s">
        <v>658</v>
      </c>
      <c r="F151" s="2" t="s">
        <v>64</v>
      </c>
      <c r="G151" s="6" t="s">
        <v>58</v>
      </c>
      <c r="H151" s="2" t="s">
        <v>213</v>
      </c>
      <c r="I151" s="2" t="s">
        <v>214</v>
      </c>
      <c r="J151" s="2" t="s">
        <v>19</v>
      </c>
      <c r="K151" s="2" t="s">
        <v>338</v>
      </c>
      <c r="L151" s="7" t="str">
        <f>HYPERLINK("http://slimages.macys.com/is/image/MCY/12284095 ")</f>
        <v xml:space="preserve">http://slimages.macys.com/is/image/MCY/12284095 </v>
      </c>
    </row>
    <row r="152" spans="1:12" ht="24.75" x14ac:dyDescent="0.25">
      <c r="A152" s="4" t="s">
        <v>12897</v>
      </c>
      <c r="B152" s="2" t="s">
        <v>657</v>
      </c>
      <c r="C152" s="3">
        <v>1</v>
      </c>
      <c r="D152" s="5">
        <v>44.63</v>
      </c>
      <c r="E152" s="3" t="s">
        <v>658</v>
      </c>
      <c r="F152" s="2" t="s">
        <v>64</v>
      </c>
      <c r="G152" s="6" t="s">
        <v>106</v>
      </c>
      <c r="H152" s="2" t="s">
        <v>213</v>
      </c>
      <c r="I152" s="2" t="s">
        <v>214</v>
      </c>
      <c r="J152" s="2" t="s">
        <v>19</v>
      </c>
      <c r="K152" s="2" t="s">
        <v>338</v>
      </c>
      <c r="L152" s="7" t="str">
        <f>HYPERLINK("http://slimages.macys.com/is/image/MCY/12284095 ")</f>
        <v xml:space="preserve">http://slimages.macys.com/is/image/MCY/12284095 </v>
      </c>
    </row>
    <row r="153" spans="1:12" ht="24.75" x14ac:dyDescent="0.25">
      <c r="A153" s="4" t="s">
        <v>12898</v>
      </c>
      <c r="B153" s="2" t="s">
        <v>12899</v>
      </c>
      <c r="C153" s="3">
        <v>1</v>
      </c>
      <c r="D153" s="5">
        <v>37.130000000000003</v>
      </c>
      <c r="E153" s="3" t="s">
        <v>12900</v>
      </c>
      <c r="F153" s="2" t="s">
        <v>33</v>
      </c>
      <c r="G153" s="6" t="s">
        <v>156</v>
      </c>
      <c r="H153" s="2" t="s">
        <v>194</v>
      </c>
      <c r="I153" s="2" t="s">
        <v>503</v>
      </c>
      <c r="J153" s="2" t="s">
        <v>19</v>
      </c>
      <c r="K153" s="2" t="s">
        <v>546</v>
      </c>
      <c r="L153" s="7" t="str">
        <f>HYPERLINK("http://slimages.macys.com/is/image/MCY/13316428 ")</f>
        <v xml:space="preserve">http://slimages.macys.com/is/image/MCY/13316428 </v>
      </c>
    </row>
    <row r="154" spans="1:12" ht="24.75" x14ac:dyDescent="0.25">
      <c r="A154" s="4" t="s">
        <v>12901</v>
      </c>
      <c r="B154" s="2" t="s">
        <v>12902</v>
      </c>
      <c r="C154" s="3">
        <v>1</v>
      </c>
      <c r="D154" s="5">
        <v>44.63</v>
      </c>
      <c r="E154" s="3" t="s">
        <v>12903</v>
      </c>
      <c r="F154" s="2" t="s">
        <v>887</v>
      </c>
      <c r="G154" s="6"/>
      <c r="H154" s="2" t="s">
        <v>312</v>
      </c>
      <c r="I154" s="2" t="s">
        <v>195</v>
      </c>
      <c r="J154" s="2" t="s">
        <v>19</v>
      </c>
      <c r="K154" s="2" t="s">
        <v>12904</v>
      </c>
      <c r="L154" s="7" t="str">
        <f>HYPERLINK("http://slimages.macys.com/is/image/MCY/13314798 ")</f>
        <v xml:space="preserve">http://slimages.macys.com/is/image/MCY/13314798 </v>
      </c>
    </row>
    <row r="155" spans="1:12" ht="24.75" x14ac:dyDescent="0.25">
      <c r="A155" s="4" t="s">
        <v>12905</v>
      </c>
      <c r="B155" s="2" t="s">
        <v>8543</v>
      </c>
      <c r="C155" s="3">
        <v>1</v>
      </c>
      <c r="D155" s="5">
        <v>69.5</v>
      </c>
      <c r="E155" s="3" t="s">
        <v>7808</v>
      </c>
      <c r="F155" s="2" t="s">
        <v>74</v>
      </c>
      <c r="G155" s="6" t="s">
        <v>363</v>
      </c>
      <c r="H155" s="2" t="s">
        <v>206</v>
      </c>
      <c r="I155" s="2" t="s">
        <v>207</v>
      </c>
      <c r="J155" s="2" t="s">
        <v>19</v>
      </c>
      <c r="K155" s="2" t="s">
        <v>7809</v>
      </c>
      <c r="L155" s="7" t="str">
        <f>HYPERLINK("http://slimages.macys.com/is/image/MCY/9381169 ")</f>
        <v xml:space="preserve">http://slimages.macys.com/is/image/MCY/9381169 </v>
      </c>
    </row>
    <row r="156" spans="1:12" ht="24.75" x14ac:dyDescent="0.25">
      <c r="A156" s="4" t="s">
        <v>12906</v>
      </c>
      <c r="B156" s="2" t="s">
        <v>11890</v>
      </c>
      <c r="C156" s="3">
        <v>1</v>
      </c>
      <c r="D156" s="5">
        <v>24.98</v>
      </c>
      <c r="E156" s="3">
        <v>9101</v>
      </c>
      <c r="F156" s="2" t="s">
        <v>494</v>
      </c>
      <c r="G156" s="6" t="s">
        <v>5361</v>
      </c>
      <c r="H156" s="2" t="s">
        <v>3402</v>
      </c>
      <c r="I156" s="2" t="s">
        <v>3409</v>
      </c>
      <c r="J156" s="2" t="s">
        <v>19</v>
      </c>
      <c r="K156" s="2" t="s">
        <v>34</v>
      </c>
      <c r="L156" s="7" t="str">
        <f>HYPERLINK("http://slimages.macys.com/is/image/MCY/3542180 ")</f>
        <v xml:space="preserve">http://slimages.macys.com/is/image/MCY/3542180 </v>
      </c>
    </row>
    <row r="157" spans="1:12" ht="24.75" x14ac:dyDescent="0.25">
      <c r="A157" s="4" t="s">
        <v>12907</v>
      </c>
      <c r="B157" s="2" t="s">
        <v>10036</v>
      </c>
      <c r="C157" s="3">
        <v>1</v>
      </c>
      <c r="D157" s="5">
        <v>44.63</v>
      </c>
      <c r="E157" s="3" t="s">
        <v>10037</v>
      </c>
      <c r="F157" s="2" t="s">
        <v>26</v>
      </c>
      <c r="G157" s="6" t="s">
        <v>112</v>
      </c>
      <c r="H157" s="2" t="s">
        <v>213</v>
      </c>
      <c r="I157" s="2" t="s">
        <v>214</v>
      </c>
      <c r="J157" s="2" t="s">
        <v>19</v>
      </c>
      <c r="K157" s="2" t="s">
        <v>215</v>
      </c>
      <c r="L157" s="7" t="str">
        <f>HYPERLINK("http://slimages.macys.com/is/image/MCY/10203259 ")</f>
        <v xml:space="preserve">http://slimages.macys.com/is/image/MCY/10203259 </v>
      </c>
    </row>
    <row r="158" spans="1:12" ht="24.75" x14ac:dyDescent="0.25">
      <c r="A158" s="4" t="s">
        <v>12908</v>
      </c>
      <c r="B158" s="2" t="s">
        <v>7918</v>
      </c>
      <c r="C158" s="3">
        <v>1</v>
      </c>
      <c r="D158" s="5">
        <v>40.880000000000003</v>
      </c>
      <c r="E158" s="3" t="s">
        <v>10602</v>
      </c>
      <c r="F158" s="2" t="s">
        <v>33</v>
      </c>
      <c r="G158" s="6" t="s">
        <v>234</v>
      </c>
      <c r="H158" s="2" t="s">
        <v>194</v>
      </c>
      <c r="I158" s="2" t="s">
        <v>195</v>
      </c>
      <c r="J158" s="2" t="s">
        <v>19</v>
      </c>
      <c r="K158" s="2" t="s">
        <v>7920</v>
      </c>
      <c r="L158" s="7" t="str">
        <f>HYPERLINK("http://slimages.macys.com/is/image/MCY/12950227 ")</f>
        <v xml:space="preserve">http://slimages.macys.com/is/image/MCY/12950227 </v>
      </c>
    </row>
    <row r="159" spans="1:12" ht="24.75" x14ac:dyDescent="0.25">
      <c r="A159" s="4" t="s">
        <v>5553</v>
      </c>
      <c r="B159" s="2" t="s">
        <v>2376</v>
      </c>
      <c r="C159" s="3">
        <v>1</v>
      </c>
      <c r="D159" s="5">
        <v>40.880000000000003</v>
      </c>
      <c r="E159" s="3" t="s">
        <v>2377</v>
      </c>
      <c r="F159" s="2" t="s">
        <v>26</v>
      </c>
      <c r="G159" s="6" t="s">
        <v>200</v>
      </c>
      <c r="H159" s="2" t="s">
        <v>284</v>
      </c>
      <c r="I159" s="2" t="s">
        <v>285</v>
      </c>
      <c r="J159" s="2" t="s">
        <v>19</v>
      </c>
      <c r="K159" s="2" t="s">
        <v>34</v>
      </c>
      <c r="L159" s="7" t="str">
        <f>HYPERLINK("http://slimages.macys.com/is/image/MCY/12671730 ")</f>
        <v xml:space="preserve">http://slimages.macys.com/is/image/MCY/12671730 </v>
      </c>
    </row>
    <row r="160" spans="1:12" ht="24.75" x14ac:dyDescent="0.25">
      <c r="A160" s="4" t="s">
        <v>12909</v>
      </c>
      <c r="B160" s="2" t="s">
        <v>10605</v>
      </c>
      <c r="C160" s="3">
        <v>1</v>
      </c>
      <c r="D160" s="5">
        <v>52.13</v>
      </c>
      <c r="E160" s="3" t="s">
        <v>10606</v>
      </c>
      <c r="F160" s="2" t="s">
        <v>125</v>
      </c>
      <c r="G160" s="6" t="s">
        <v>234</v>
      </c>
      <c r="H160" s="2" t="s">
        <v>194</v>
      </c>
      <c r="I160" s="2" t="s">
        <v>580</v>
      </c>
      <c r="J160" s="2" t="s">
        <v>19</v>
      </c>
      <c r="K160" s="2" t="s">
        <v>160</v>
      </c>
      <c r="L160" s="7" t="str">
        <f>HYPERLINK("http://slimages.macys.com/is/image/MCY/12316632 ")</f>
        <v xml:space="preserve">http://slimages.macys.com/is/image/MCY/12316632 </v>
      </c>
    </row>
    <row r="161" spans="1:12" ht="24.75" x14ac:dyDescent="0.25">
      <c r="A161" s="4" t="s">
        <v>10608</v>
      </c>
      <c r="B161" s="2" t="s">
        <v>10605</v>
      </c>
      <c r="C161" s="3">
        <v>1</v>
      </c>
      <c r="D161" s="5">
        <v>52.13</v>
      </c>
      <c r="E161" s="3" t="s">
        <v>10606</v>
      </c>
      <c r="F161" s="2" t="s">
        <v>125</v>
      </c>
      <c r="G161" s="6" t="s">
        <v>154</v>
      </c>
      <c r="H161" s="2" t="s">
        <v>194</v>
      </c>
      <c r="I161" s="2" t="s">
        <v>580</v>
      </c>
      <c r="J161" s="2" t="s">
        <v>19</v>
      </c>
      <c r="K161" s="2" t="s">
        <v>160</v>
      </c>
      <c r="L161" s="7" t="str">
        <f>HYPERLINK("http://slimages.macys.com/is/image/MCY/12316632 ")</f>
        <v xml:space="preserve">http://slimages.macys.com/is/image/MCY/12316632 </v>
      </c>
    </row>
    <row r="162" spans="1:12" ht="24.75" x14ac:dyDescent="0.25">
      <c r="A162" s="4" t="s">
        <v>3522</v>
      </c>
      <c r="B162" s="2" t="s">
        <v>682</v>
      </c>
      <c r="C162" s="3">
        <v>1</v>
      </c>
      <c r="D162" s="5">
        <v>40.880000000000003</v>
      </c>
      <c r="E162" s="3" t="s">
        <v>683</v>
      </c>
      <c r="F162" s="2" t="s">
        <v>111</v>
      </c>
      <c r="G162" s="6" t="s">
        <v>154</v>
      </c>
      <c r="H162" s="2" t="s">
        <v>194</v>
      </c>
      <c r="I162" s="2" t="s">
        <v>503</v>
      </c>
      <c r="J162" s="2" t="s">
        <v>19</v>
      </c>
      <c r="K162" s="2" t="s">
        <v>546</v>
      </c>
      <c r="L162" s="7" t="str">
        <f>HYPERLINK("http://slimages.macys.com/is/image/MCY/12316740 ")</f>
        <v xml:space="preserve">http://slimages.macys.com/is/image/MCY/12316740 </v>
      </c>
    </row>
    <row r="163" spans="1:12" ht="24.75" x14ac:dyDescent="0.25">
      <c r="A163" s="4" t="s">
        <v>11904</v>
      </c>
      <c r="B163" s="2" t="s">
        <v>11905</v>
      </c>
      <c r="C163" s="3">
        <v>1</v>
      </c>
      <c r="D163" s="5">
        <v>40.880000000000003</v>
      </c>
      <c r="E163" s="3" t="s">
        <v>11906</v>
      </c>
      <c r="F163" s="2" t="s">
        <v>74</v>
      </c>
      <c r="G163" s="6"/>
      <c r="H163" s="2" t="s">
        <v>312</v>
      </c>
      <c r="I163" s="2" t="s">
        <v>195</v>
      </c>
      <c r="J163" s="2" t="s">
        <v>19</v>
      </c>
      <c r="K163" s="2" t="s">
        <v>11907</v>
      </c>
      <c r="L163" s="7" t="str">
        <f>HYPERLINK("http://slimages.macys.com/is/image/MCY/13758514 ")</f>
        <v xml:space="preserve">http://slimages.macys.com/is/image/MCY/13758514 </v>
      </c>
    </row>
    <row r="164" spans="1:12" ht="24.75" x14ac:dyDescent="0.25">
      <c r="A164" s="4" t="s">
        <v>12910</v>
      </c>
      <c r="B164" s="2" t="s">
        <v>10617</v>
      </c>
      <c r="C164" s="3">
        <v>1</v>
      </c>
      <c r="D164" s="5">
        <v>37.130000000000003</v>
      </c>
      <c r="E164" s="3" t="s">
        <v>10618</v>
      </c>
      <c r="F164" s="2" t="s">
        <v>26</v>
      </c>
      <c r="G164" s="6" t="s">
        <v>200</v>
      </c>
      <c r="H164" s="2" t="s">
        <v>284</v>
      </c>
      <c r="I164" s="2" t="s">
        <v>408</v>
      </c>
      <c r="J164" s="2" t="s">
        <v>19</v>
      </c>
      <c r="K164" s="2" t="s">
        <v>409</v>
      </c>
      <c r="L164" s="7" t="str">
        <f>HYPERLINK("http://slimages.macys.com/is/image/MCY/12877220 ")</f>
        <v xml:space="preserve">http://slimages.macys.com/is/image/MCY/12877220 </v>
      </c>
    </row>
    <row r="165" spans="1:12" ht="24.75" x14ac:dyDescent="0.25">
      <c r="A165" s="4" t="s">
        <v>12911</v>
      </c>
      <c r="B165" s="2" t="s">
        <v>10617</v>
      </c>
      <c r="C165" s="3">
        <v>1</v>
      </c>
      <c r="D165" s="5">
        <v>37.130000000000003</v>
      </c>
      <c r="E165" s="3" t="s">
        <v>10618</v>
      </c>
      <c r="F165" s="2" t="s">
        <v>26</v>
      </c>
      <c r="G165" s="6" t="s">
        <v>154</v>
      </c>
      <c r="H165" s="2" t="s">
        <v>284</v>
      </c>
      <c r="I165" s="2" t="s">
        <v>408</v>
      </c>
      <c r="J165" s="2" t="s">
        <v>19</v>
      </c>
      <c r="K165" s="2" t="s">
        <v>409</v>
      </c>
      <c r="L165" s="7" t="str">
        <f>HYPERLINK("http://slimages.macys.com/is/image/MCY/12877220 ")</f>
        <v xml:space="preserve">http://slimages.macys.com/is/image/MCY/12877220 </v>
      </c>
    </row>
    <row r="166" spans="1:12" ht="36.75" x14ac:dyDescent="0.25">
      <c r="A166" s="4" t="s">
        <v>12912</v>
      </c>
      <c r="B166" s="2" t="s">
        <v>1028</v>
      </c>
      <c r="C166" s="3">
        <v>1</v>
      </c>
      <c r="D166" s="5">
        <v>29.99</v>
      </c>
      <c r="E166" s="3" t="s">
        <v>12913</v>
      </c>
      <c r="F166" s="2" t="s">
        <v>562</v>
      </c>
      <c r="G166" s="6" t="s">
        <v>154</v>
      </c>
      <c r="H166" s="2" t="s">
        <v>284</v>
      </c>
      <c r="I166" s="2" t="s">
        <v>408</v>
      </c>
      <c r="J166" s="2" t="s">
        <v>19</v>
      </c>
      <c r="K166" s="2" t="s">
        <v>500</v>
      </c>
      <c r="L166" s="7" t="str">
        <f>HYPERLINK("http://slimages.macys.com/is/image/MCY/11636529 ")</f>
        <v xml:space="preserve">http://slimages.macys.com/is/image/MCY/11636529 </v>
      </c>
    </row>
    <row r="167" spans="1:12" ht="36.75" x14ac:dyDescent="0.25">
      <c r="A167" s="4" t="s">
        <v>12914</v>
      </c>
      <c r="B167" s="2" t="s">
        <v>1028</v>
      </c>
      <c r="C167" s="3">
        <v>1</v>
      </c>
      <c r="D167" s="5">
        <v>29.99</v>
      </c>
      <c r="E167" s="3" t="s">
        <v>12915</v>
      </c>
      <c r="F167" s="2" t="s">
        <v>413</v>
      </c>
      <c r="G167" s="6" t="s">
        <v>154</v>
      </c>
      <c r="H167" s="2" t="s">
        <v>284</v>
      </c>
      <c r="I167" s="2" t="s">
        <v>408</v>
      </c>
      <c r="J167" s="2" t="s">
        <v>19</v>
      </c>
      <c r="K167" s="2" t="s">
        <v>500</v>
      </c>
      <c r="L167" s="7" t="str">
        <f>HYPERLINK("http://slimages.macys.com/is/image/MCY/8191311 ")</f>
        <v xml:space="preserve">http://slimages.macys.com/is/image/MCY/8191311 </v>
      </c>
    </row>
    <row r="168" spans="1:12" ht="36.75" x14ac:dyDescent="0.25">
      <c r="A168" s="4" t="s">
        <v>10619</v>
      </c>
      <c r="B168" s="2" t="s">
        <v>1028</v>
      </c>
      <c r="C168" s="3">
        <v>1</v>
      </c>
      <c r="D168" s="5">
        <v>29.99</v>
      </c>
      <c r="E168" s="3" t="s">
        <v>10620</v>
      </c>
      <c r="F168" s="2" t="s">
        <v>94</v>
      </c>
      <c r="G168" s="6" t="s">
        <v>200</v>
      </c>
      <c r="H168" s="2" t="s">
        <v>284</v>
      </c>
      <c r="I168" s="2" t="s">
        <v>408</v>
      </c>
      <c r="J168" s="2" t="s">
        <v>19</v>
      </c>
      <c r="K168" s="2" t="s">
        <v>500</v>
      </c>
      <c r="L168" s="7" t="str">
        <f>HYPERLINK("http://slimages.macys.com/is/image/MCY/8191311 ")</f>
        <v xml:space="preserve">http://slimages.macys.com/is/image/MCY/8191311 </v>
      </c>
    </row>
    <row r="169" spans="1:12" ht="24.75" x14ac:dyDescent="0.25">
      <c r="A169" s="4" t="s">
        <v>12916</v>
      </c>
      <c r="B169" s="2" t="s">
        <v>10625</v>
      </c>
      <c r="C169" s="3">
        <v>1</v>
      </c>
      <c r="D169" s="5">
        <v>37.130000000000003</v>
      </c>
      <c r="E169" s="3" t="s">
        <v>10626</v>
      </c>
      <c r="F169" s="2" t="s">
        <v>111</v>
      </c>
      <c r="G169" s="6" t="s">
        <v>156</v>
      </c>
      <c r="H169" s="2" t="s">
        <v>194</v>
      </c>
      <c r="I169" s="2" t="s">
        <v>195</v>
      </c>
      <c r="J169" s="2" t="s">
        <v>19</v>
      </c>
      <c r="K169" s="2" t="s">
        <v>546</v>
      </c>
      <c r="L169" s="7" t="str">
        <f>HYPERLINK("http://slimages.macys.com/is/image/MCY/12850912 ")</f>
        <v xml:space="preserve">http://slimages.macys.com/is/image/MCY/12850912 </v>
      </c>
    </row>
    <row r="170" spans="1:12" ht="24.75" x14ac:dyDescent="0.25">
      <c r="A170" s="4" t="s">
        <v>12917</v>
      </c>
      <c r="B170" s="2" t="s">
        <v>10625</v>
      </c>
      <c r="C170" s="3">
        <v>1</v>
      </c>
      <c r="D170" s="5">
        <v>37.130000000000003</v>
      </c>
      <c r="E170" s="3" t="s">
        <v>10626</v>
      </c>
      <c r="F170" s="2" t="s">
        <v>111</v>
      </c>
      <c r="G170" s="6" t="s">
        <v>154</v>
      </c>
      <c r="H170" s="2" t="s">
        <v>194</v>
      </c>
      <c r="I170" s="2" t="s">
        <v>195</v>
      </c>
      <c r="J170" s="2" t="s">
        <v>19</v>
      </c>
      <c r="K170" s="2" t="s">
        <v>546</v>
      </c>
      <c r="L170" s="7" t="str">
        <f>HYPERLINK("http://slimages.macys.com/is/image/MCY/12850912 ")</f>
        <v xml:space="preserve">http://slimages.macys.com/is/image/MCY/12850912 </v>
      </c>
    </row>
    <row r="171" spans="1:12" ht="24.75" x14ac:dyDescent="0.25">
      <c r="A171" s="4" t="s">
        <v>10627</v>
      </c>
      <c r="B171" s="2" t="s">
        <v>10628</v>
      </c>
      <c r="C171" s="3">
        <v>1</v>
      </c>
      <c r="D171" s="5">
        <v>40.880000000000003</v>
      </c>
      <c r="E171" s="3" t="s">
        <v>10629</v>
      </c>
      <c r="F171" s="2" t="s">
        <v>26</v>
      </c>
      <c r="G171" s="6" t="s">
        <v>181</v>
      </c>
      <c r="H171" s="2" t="s">
        <v>194</v>
      </c>
      <c r="I171" s="2" t="s">
        <v>195</v>
      </c>
      <c r="J171" s="2" t="s">
        <v>19</v>
      </c>
      <c r="K171" s="2" t="s">
        <v>107</v>
      </c>
      <c r="L171" s="7" t="str">
        <f>HYPERLINK("http://slimages.macys.com/is/image/MCY/12802461 ")</f>
        <v xml:space="preserve">http://slimages.macys.com/is/image/MCY/12802461 </v>
      </c>
    </row>
    <row r="172" spans="1:12" ht="36.75" x14ac:dyDescent="0.25">
      <c r="A172" s="4" t="s">
        <v>12918</v>
      </c>
      <c r="B172" s="2" t="s">
        <v>4653</v>
      </c>
      <c r="C172" s="3">
        <v>1</v>
      </c>
      <c r="D172" s="5">
        <v>37.130000000000003</v>
      </c>
      <c r="E172" s="3" t="s">
        <v>4654</v>
      </c>
      <c r="F172" s="2" t="s">
        <v>1584</v>
      </c>
      <c r="G172" s="6" t="s">
        <v>181</v>
      </c>
      <c r="H172" s="2" t="s">
        <v>284</v>
      </c>
      <c r="I172" s="2" t="s">
        <v>408</v>
      </c>
      <c r="J172" s="2" t="s">
        <v>19</v>
      </c>
      <c r="K172" s="2" t="s">
        <v>500</v>
      </c>
      <c r="L172" s="7" t="str">
        <f>HYPERLINK("http://slimages.macys.com/is/image/MCY/12672239 ")</f>
        <v xml:space="preserve">http://slimages.macys.com/is/image/MCY/12672239 </v>
      </c>
    </row>
    <row r="173" spans="1:12" ht="24.75" x14ac:dyDescent="0.25">
      <c r="A173" s="4" t="s">
        <v>12919</v>
      </c>
      <c r="B173" s="2" t="s">
        <v>2268</v>
      </c>
      <c r="C173" s="3">
        <v>1</v>
      </c>
      <c r="D173" s="5">
        <v>37.130000000000003</v>
      </c>
      <c r="E173" s="3" t="s">
        <v>7967</v>
      </c>
      <c r="F173" s="2" t="s">
        <v>566</v>
      </c>
      <c r="G173" s="6"/>
      <c r="H173" s="2" t="s">
        <v>632</v>
      </c>
      <c r="I173" s="2" t="s">
        <v>285</v>
      </c>
      <c r="J173" s="2" t="s">
        <v>19</v>
      </c>
      <c r="K173" s="2" t="s">
        <v>160</v>
      </c>
      <c r="L173" s="7" t="str">
        <f>HYPERLINK("http://slimages.macys.com/is/image/MCY/13041359 ")</f>
        <v xml:space="preserve">http://slimages.macys.com/is/image/MCY/13041359 </v>
      </c>
    </row>
    <row r="174" spans="1:12" ht="24.75" x14ac:dyDescent="0.25">
      <c r="A174" s="4" t="s">
        <v>12920</v>
      </c>
      <c r="B174" s="2" t="s">
        <v>2268</v>
      </c>
      <c r="C174" s="3">
        <v>1</v>
      </c>
      <c r="D174" s="5">
        <v>37.130000000000003</v>
      </c>
      <c r="E174" s="3" t="s">
        <v>7967</v>
      </c>
      <c r="F174" s="2" t="s">
        <v>94</v>
      </c>
      <c r="G174" s="6" t="s">
        <v>794</v>
      </c>
      <c r="H174" s="2" t="s">
        <v>632</v>
      </c>
      <c r="I174" s="2" t="s">
        <v>285</v>
      </c>
      <c r="J174" s="2" t="s">
        <v>19</v>
      </c>
      <c r="K174" s="2" t="s">
        <v>160</v>
      </c>
      <c r="L174" s="7" t="str">
        <f>HYPERLINK("http://slimages.macys.com/is/image/MCY/13041359 ")</f>
        <v xml:space="preserve">http://slimages.macys.com/is/image/MCY/13041359 </v>
      </c>
    </row>
    <row r="175" spans="1:12" ht="24.75" x14ac:dyDescent="0.25">
      <c r="A175" s="4" t="s">
        <v>12921</v>
      </c>
      <c r="B175" s="2" t="s">
        <v>693</v>
      </c>
      <c r="C175" s="3">
        <v>1</v>
      </c>
      <c r="D175" s="5">
        <v>29.99</v>
      </c>
      <c r="E175" s="3" t="s">
        <v>12922</v>
      </c>
      <c r="F175" s="2" t="s">
        <v>1584</v>
      </c>
      <c r="G175" s="6" t="s">
        <v>200</v>
      </c>
      <c r="H175" s="2" t="s">
        <v>284</v>
      </c>
      <c r="I175" s="2" t="s">
        <v>408</v>
      </c>
      <c r="J175" s="2" t="s">
        <v>19</v>
      </c>
      <c r="K175" s="2" t="s">
        <v>409</v>
      </c>
      <c r="L175" s="7" t="str">
        <f>HYPERLINK("http://slimages.macys.com/is/image/MCY/13397153 ")</f>
        <v xml:space="preserve">http://slimages.macys.com/is/image/MCY/13397153 </v>
      </c>
    </row>
    <row r="176" spans="1:12" ht="24.75" x14ac:dyDescent="0.25">
      <c r="A176" s="4" t="s">
        <v>12923</v>
      </c>
      <c r="B176" s="2" t="s">
        <v>5474</v>
      </c>
      <c r="C176" s="3">
        <v>1</v>
      </c>
      <c r="D176" s="5">
        <v>40.880000000000003</v>
      </c>
      <c r="E176" s="3" t="s">
        <v>12924</v>
      </c>
      <c r="F176" s="2" t="s">
        <v>15</v>
      </c>
      <c r="G176" s="6" t="s">
        <v>156</v>
      </c>
      <c r="H176" s="2" t="s">
        <v>284</v>
      </c>
      <c r="I176" s="2" t="s">
        <v>285</v>
      </c>
      <c r="J176" s="2" t="s">
        <v>19</v>
      </c>
      <c r="K176" s="2" t="s">
        <v>5476</v>
      </c>
      <c r="L176" s="7" t="str">
        <f>HYPERLINK("http://slimages.macys.com/is/image/MCY/12461886 ")</f>
        <v xml:space="preserve">http://slimages.macys.com/is/image/MCY/12461886 </v>
      </c>
    </row>
    <row r="177" spans="1:12" ht="24.75" x14ac:dyDescent="0.25">
      <c r="A177" s="4" t="s">
        <v>761</v>
      </c>
      <c r="B177" s="2" t="s">
        <v>762</v>
      </c>
      <c r="C177" s="3">
        <v>1</v>
      </c>
      <c r="D177" s="5">
        <v>44.63</v>
      </c>
      <c r="E177" s="3">
        <v>100016229</v>
      </c>
      <c r="F177" s="2" t="s">
        <v>15</v>
      </c>
      <c r="G177" s="6" t="s">
        <v>181</v>
      </c>
      <c r="H177" s="2" t="s">
        <v>194</v>
      </c>
      <c r="I177" s="2" t="s">
        <v>195</v>
      </c>
      <c r="J177" s="2" t="s">
        <v>19</v>
      </c>
      <c r="K177" s="2" t="s">
        <v>648</v>
      </c>
      <c r="L177" s="7" t="str">
        <f>HYPERLINK("http://slimages.macys.com/is/image/MCY/9825357 ")</f>
        <v xml:space="preserve">http://slimages.macys.com/is/image/MCY/9825357 </v>
      </c>
    </row>
    <row r="178" spans="1:12" ht="36.75" x14ac:dyDescent="0.25">
      <c r="A178" s="4" t="s">
        <v>11926</v>
      </c>
      <c r="B178" s="2" t="s">
        <v>764</v>
      </c>
      <c r="C178" s="3">
        <v>2</v>
      </c>
      <c r="D178" s="5">
        <v>37.130000000000003</v>
      </c>
      <c r="E178" s="3" t="s">
        <v>765</v>
      </c>
      <c r="F178" s="2" t="s">
        <v>376</v>
      </c>
      <c r="G178" s="6" t="s">
        <v>200</v>
      </c>
      <c r="H178" s="2" t="s">
        <v>284</v>
      </c>
      <c r="I178" s="2" t="s">
        <v>458</v>
      </c>
      <c r="J178" s="2" t="s">
        <v>19</v>
      </c>
      <c r="K178" s="2" t="s">
        <v>514</v>
      </c>
      <c r="L178" s="7" t="str">
        <f>HYPERLINK("http://slimages.macys.com/is/image/MCY/13804604 ")</f>
        <v xml:space="preserve">http://slimages.macys.com/is/image/MCY/13804604 </v>
      </c>
    </row>
    <row r="179" spans="1:12" ht="24.75" x14ac:dyDescent="0.25">
      <c r="A179" s="4" t="s">
        <v>12925</v>
      </c>
      <c r="B179" s="2" t="s">
        <v>12926</v>
      </c>
      <c r="C179" s="3">
        <v>1</v>
      </c>
      <c r="D179" s="5">
        <v>69.5</v>
      </c>
      <c r="E179" s="3" t="s">
        <v>12927</v>
      </c>
      <c r="F179" s="2" t="s">
        <v>74</v>
      </c>
      <c r="G179" s="6"/>
      <c r="H179" s="2" t="s">
        <v>206</v>
      </c>
      <c r="I179" s="2" t="s">
        <v>207</v>
      </c>
      <c r="J179" s="2" t="s">
        <v>19</v>
      </c>
      <c r="K179" s="2" t="s">
        <v>34</v>
      </c>
      <c r="L179" s="7" t="str">
        <f>HYPERLINK("http://slimages.macys.com/is/image/MCY/9379356 ")</f>
        <v xml:space="preserve">http://slimages.macys.com/is/image/MCY/9379356 </v>
      </c>
    </row>
    <row r="180" spans="1:12" ht="24.75" x14ac:dyDescent="0.25">
      <c r="A180" s="4" t="s">
        <v>12928</v>
      </c>
      <c r="B180" s="2" t="s">
        <v>12929</v>
      </c>
      <c r="C180" s="3">
        <v>1</v>
      </c>
      <c r="D180" s="5">
        <v>37.130000000000003</v>
      </c>
      <c r="E180" s="3" t="s">
        <v>12930</v>
      </c>
      <c r="F180" s="2" t="s">
        <v>74</v>
      </c>
      <c r="G180" s="6" t="s">
        <v>112</v>
      </c>
      <c r="H180" s="2" t="s">
        <v>246</v>
      </c>
      <c r="I180" s="2" t="s">
        <v>214</v>
      </c>
      <c r="J180" s="2" t="s">
        <v>19</v>
      </c>
      <c r="K180" s="2" t="s">
        <v>253</v>
      </c>
      <c r="L180" s="7" t="str">
        <f>HYPERLINK("http://slimages.macys.com/is/image/MCY/12401659 ")</f>
        <v xml:space="preserve">http://slimages.macys.com/is/image/MCY/12401659 </v>
      </c>
    </row>
    <row r="181" spans="1:12" ht="24.75" x14ac:dyDescent="0.25">
      <c r="A181" s="4" t="s">
        <v>10647</v>
      </c>
      <c r="B181" s="2" t="s">
        <v>773</v>
      </c>
      <c r="C181" s="3">
        <v>1</v>
      </c>
      <c r="D181" s="5">
        <v>37.130000000000003</v>
      </c>
      <c r="E181" s="3" t="s">
        <v>10648</v>
      </c>
      <c r="F181" s="2" t="s">
        <v>26</v>
      </c>
      <c r="G181" s="6" t="s">
        <v>200</v>
      </c>
      <c r="H181" s="2" t="s">
        <v>284</v>
      </c>
      <c r="I181" s="2" t="s">
        <v>408</v>
      </c>
      <c r="J181" s="2" t="s">
        <v>19</v>
      </c>
      <c r="K181" s="2" t="s">
        <v>409</v>
      </c>
      <c r="L181" s="7" t="str">
        <f>HYPERLINK("http://slimages.macys.com/is/image/MCY/12876504 ")</f>
        <v xml:space="preserve">http://slimages.macys.com/is/image/MCY/12876504 </v>
      </c>
    </row>
    <row r="182" spans="1:12" ht="36.75" x14ac:dyDescent="0.25">
      <c r="A182" s="4" t="s">
        <v>5603</v>
      </c>
      <c r="B182" s="2" t="s">
        <v>895</v>
      </c>
      <c r="C182" s="3">
        <v>1</v>
      </c>
      <c r="D182" s="5">
        <v>44.99</v>
      </c>
      <c r="E182" s="3" t="s">
        <v>4682</v>
      </c>
      <c r="F182" s="2" t="s">
        <v>164</v>
      </c>
      <c r="G182" s="6" t="s">
        <v>165</v>
      </c>
      <c r="H182" s="2" t="s">
        <v>127</v>
      </c>
      <c r="I182" s="2" t="s">
        <v>541</v>
      </c>
      <c r="J182" s="2" t="s">
        <v>19</v>
      </c>
      <c r="K182" s="2" t="s">
        <v>500</v>
      </c>
      <c r="L182" s="7" t="str">
        <f>HYPERLINK("http://slimages.macys.com/is/image/MCY/16583426 ")</f>
        <v xml:space="preserve">http://slimages.macys.com/is/image/MCY/16583426 </v>
      </c>
    </row>
    <row r="183" spans="1:12" ht="48.75" x14ac:dyDescent="0.25">
      <c r="A183" s="4" t="s">
        <v>3561</v>
      </c>
      <c r="B183" s="2" t="s">
        <v>750</v>
      </c>
      <c r="C183" s="3">
        <v>1</v>
      </c>
      <c r="D183" s="5">
        <v>44.63</v>
      </c>
      <c r="E183" s="3" t="s">
        <v>770</v>
      </c>
      <c r="F183" s="2" t="s">
        <v>752</v>
      </c>
      <c r="G183" s="6"/>
      <c r="H183" s="2" t="s">
        <v>312</v>
      </c>
      <c r="I183" s="2" t="s">
        <v>195</v>
      </c>
      <c r="J183" s="2" t="s">
        <v>19</v>
      </c>
      <c r="K183" s="2" t="s">
        <v>771</v>
      </c>
      <c r="L183" s="7" t="str">
        <f>HYPERLINK("http://slimages.macys.com/is/image/MCY/12734332 ")</f>
        <v xml:space="preserve">http://slimages.macys.com/is/image/MCY/12734332 </v>
      </c>
    </row>
    <row r="184" spans="1:12" ht="24.75" x14ac:dyDescent="0.25">
      <c r="A184" s="4" t="s">
        <v>10652</v>
      </c>
      <c r="B184" s="2" t="s">
        <v>10653</v>
      </c>
      <c r="C184" s="3">
        <v>1</v>
      </c>
      <c r="D184" s="5">
        <v>40.880000000000003</v>
      </c>
      <c r="E184" s="3" t="s">
        <v>10654</v>
      </c>
      <c r="F184" s="2" t="s">
        <v>33</v>
      </c>
      <c r="G184" s="6" t="s">
        <v>141</v>
      </c>
      <c r="H184" s="2" t="s">
        <v>213</v>
      </c>
      <c r="I184" s="2" t="s">
        <v>214</v>
      </c>
      <c r="J184" s="2" t="s">
        <v>19</v>
      </c>
      <c r="K184" s="2" t="s">
        <v>215</v>
      </c>
      <c r="L184" s="7" t="str">
        <f>HYPERLINK("http://slimages.macys.com/is/image/MCY/11699651 ")</f>
        <v xml:space="preserve">http://slimages.macys.com/is/image/MCY/11699651 </v>
      </c>
    </row>
    <row r="185" spans="1:12" ht="24.75" x14ac:dyDescent="0.25">
      <c r="A185" s="4" t="s">
        <v>12931</v>
      </c>
      <c r="B185" s="2" t="s">
        <v>10653</v>
      </c>
      <c r="C185" s="3">
        <v>1</v>
      </c>
      <c r="D185" s="5">
        <v>40.880000000000003</v>
      </c>
      <c r="E185" s="3" t="s">
        <v>10654</v>
      </c>
      <c r="F185" s="2" t="s">
        <v>33</v>
      </c>
      <c r="G185" s="6" t="s">
        <v>112</v>
      </c>
      <c r="H185" s="2" t="s">
        <v>213</v>
      </c>
      <c r="I185" s="2" t="s">
        <v>214</v>
      </c>
      <c r="J185" s="2" t="s">
        <v>19</v>
      </c>
      <c r="K185" s="2" t="s">
        <v>215</v>
      </c>
      <c r="L185" s="7" t="str">
        <f>HYPERLINK("http://slimages.macys.com/is/image/MCY/11699651 ")</f>
        <v xml:space="preserve">http://slimages.macys.com/is/image/MCY/11699651 </v>
      </c>
    </row>
    <row r="186" spans="1:12" ht="24.75" x14ac:dyDescent="0.25">
      <c r="A186" s="4" t="s">
        <v>12932</v>
      </c>
      <c r="B186" s="2" t="s">
        <v>10653</v>
      </c>
      <c r="C186" s="3">
        <v>1</v>
      </c>
      <c r="D186" s="5">
        <v>40.880000000000003</v>
      </c>
      <c r="E186" s="3" t="s">
        <v>10654</v>
      </c>
      <c r="F186" s="2" t="s">
        <v>33</v>
      </c>
      <c r="G186" s="6" t="s">
        <v>65</v>
      </c>
      <c r="H186" s="2" t="s">
        <v>213</v>
      </c>
      <c r="I186" s="2" t="s">
        <v>214</v>
      </c>
      <c r="J186" s="2" t="s">
        <v>19</v>
      </c>
      <c r="K186" s="2" t="s">
        <v>215</v>
      </c>
      <c r="L186" s="7" t="str">
        <f>HYPERLINK("http://slimages.macys.com/is/image/MCY/11699651 ")</f>
        <v xml:space="preserve">http://slimages.macys.com/is/image/MCY/11699651 </v>
      </c>
    </row>
    <row r="187" spans="1:12" ht="24.75" x14ac:dyDescent="0.25">
      <c r="A187" s="4" t="s">
        <v>12933</v>
      </c>
      <c r="B187" s="2" t="s">
        <v>10653</v>
      </c>
      <c r="C187" s="3">
        <v>1</v>
      </c>
      <c r="D187" s="5">
        <v>40.880000000000003</v>
      </c>
      <c r="E187" s="3" t="s">
        <v>10654</v>
      </c>
      <c r="F187" s="2" t="s">
        <v>33</v>
      </c>
      <c r="G187" s="6" t="s">
        <v>27</v>
      </c>
      <c r="H187" s="2" t="s">
        <v>213</v>
      </c>
      <c r="I187" s="2" t="s">
        <v>214</v>
      </c>
      <c r="J187" s="2" t="s">
        <v>19</v>
      </c>
      <c r="K187" s="2" t="s">
        <v>215</v>
      </c>
      <c r="L187" s="7" t="str">
        <f>HYPERLINK("http://slimages.macys.com/is/image/MCY/11699651 ")</f>
        <v xml:space="preserve">http://slimages.macys.com/is/image/MCY/11699651 </v>
      </c>
    </row>
    <row r="188" spans="1:12" ht="36.75" x14ac:dyDescent="0.25">
      <c r="A188" s="4" t="s">
        <v>3574</v>
      </c>
      <c r="B188" s="2" t="s">
        <v>3572</v>
      </c>
      <c r="C188" s="3">
        <v>1</v>
      </c>
      <c r="D188" s="5">
        <v>34.979999999999997</v>
      </c>
      <c r="E188" s="3" t="s">
        <v>3573</v>
      </c>
      <c r="F188" s="2" t="s">
        <v>74</v>
      </c>
      <c r="G188" s="6" t="s">
        <v>2456</v>
      </c>
      <c r="H188" s="2" t="s">
        <v>349</v>
      </c>
      <c r="I188" s="2" t="s">
        <v>408</v>
      </c>
      <c r="J188" s="2" t="s">
        <v>19</v>
      </c>
      <c r="K188" s="2" t="s">
        <v>3579</v>
      </c>
      <c r="L188" s="7" t="str">
        <f>HYPERLINK("http://slimages.macys.com/is/image/MCY/1697450 ")</f>
        <v xml:space="preserve">http://slimages.macys.com/is/image/MCY/1697450 </v>
      </c>
    </row>
    <row r="189" spans="1:12" ht="36.75" x14ac:dyDescent="0.25">
      <c r="A189" s="4" t="s">
        <v>12934</v>
      </c>
      <c r="B189" s="2" t="s">
        <v>3572</v>
      </c>
      <c r="C189" s="3">
        <v>1</v>
      </c>
      <c r="D189" s="5">
        <v>34.979999999999997</v>
      </c>
      <c r="E189" s="3" t="s">
        <v>3573</v>
      </c>
      <c r="F189" s="2" t="s">
        <v>38</v>
      </c>
      <c r="G189" s="6" t="s">
        <v>2458</v>
      </c>
      <c r="H189" s="2" t="s">
        <v>349</v>
      </c>
      <c r="I189" s="2" t="s">
        <v>408</v>
      </c>
      <c r="J189" s="2" t="s">
        <v>19</v>
      </c>
      <c r="K189" s="2" t="s">
        <v>3579</v>
      </c>
      <c r="L189" s="7" t="str">
        <f>HYPERLINK("http://slimages.macys.com/is/image/MCY/1697450 ")</f>
        <v xml:space="preserve">http://slimages.macys.com/is/image/MCY/1697450 </v>
      </c>
    </row>
    <row r="190" spans="1:12" ht="36.75" x14ac:dyDescent="0.25">
      <c r="A190" s="4" t="s">
        <v>11936</v>
      </c>
      <c r="B190" s="2" t="s">
        <v>3572</v>
      </c>
      <c r="C190" s="3">
        <v>1</v>
      </c>
      <c r="D190" s="5">
        <v>34.979999999999997</v>
      </c>
      <c r="E190" s="3" t="s">
        <v>3573</v>
      </c>
      <c r="F190" s="2" t="s">
        <v>74</v>
      </c>
      <c r="G190" s="6" t="s">
        <v>407</v>
      </c>
      <c r="H190" s="2" t="s">
        <v>349</v>
      </c>
      <c r="I190" s="2" t="s">
        <v>408</v>
      </c>
      <c r="J190" s="2" t="s">
        <v>19</v>
      </c>
      <c r="K190" s="2" t="s">
        <v>3579</v>
      </c>
      <c r="L190" s="7" t="str">
        <f>HYPERLINK("http://slimages.macys.com/is/image/MCY/1697450 ")</f>
        <v xml:space="preserve">http://slimages.macys.com/is/image/MCY/1697450 </v>
      </c>
    </row>
    <row r="191" spans="1:12" ht="24.75" x14ac:dyDescent="0.25">
      <c r="A191" s="4" t="s">
        <v>12935</v>
      </c>
      <c r="B191" s="2" t="s">
        <v>12936</v>
      </c>
      <c r="C191" s="3">
        <v>1</v>
      </c>
      <c r="D191" s="5">
        <v>39.99</v>
      </c>
      <c r="E191" s="3" t="s">
        <v>12937</v>
      </c>
      <c r="F191" s="2" t="s">
        <v>413</v>
      </c>
      <c r="G191" s="6" t="s">
        <v>181</v>
      </c>
      <c r="H191" s="2" t="s">
        <v>246</v>
      </c>
      <c r="I191" s="2" t="s">
        <v>189</v>
      </c>
      <c r="J191" s="2" t="s">
        <v>19</v>
      </c>
      <c r="K191" s="2" t="s">
        <v>1480</v>
      </c>
      <c r="L191" s="7" t="str">
        <f>HYPERLINK("http://slimages.macys.com/is/image/MCY/11680738 ")</f>
        <v xml:space="preserve">http://slimages.macys.com/is/image/MCY/11680738 </v>
      </c>
    </row>
    <row r="192" spans="1:12" ht="36.75" x14ac:dyDescent="0.25">
      <c r="A192" s="4" t="s">
        <v>12938</v>
      </c>
      <c r="B192" s="2" t="s">
        <v>7903</v>
      </c>
      <c r="C192" s="3">
        <v>1</v>
      </c>
      <c r="D192" s="5">
        <v>44.63</v>
      </c>
      <c r="E192" s="3" t="s">
        <v>11938</v>
      </c>
      <c r="F192" s="2" t="s">
        <v>111</v>
      </c>
      <c r="G192" s="6" t="s">
        <v>154</v>
      </c>
      <c r="H192" s="2" t="s">
        <v>284</v>
      </c>
      <c r="I192" s="2" t="s">
        <v>285</v>
      </c>
      <c r="J192" s="2" t="s">
        <v>19</v>
      </c>
      <c r="K192" s="2" t="s">
        <v>2419</v>
      </c>
      <c r="L192" s="7" t="str">
        <f>HYPERLINK("http://slimages.macys.com/is/image/MCY/13401476 ")</f>
        <v xml:space="preserve">http://slimages.macys.com/is/image/MCY/13401476 </v>
      </c>
    </row>
    <row r="193" spans="1:12" ht="36.75" x14ac:dyDescent="0.25">
      <c r="A193" s="4" t="s">
        <v>12939</v>
      </c>
      <c r="B193" s="2" t="s">
        <v>780</v>
      </c>
      <c r="C193" s="3">
        <v>1</v>
      </c>
      <c r="D193" s="5">
        <v>59.5</v>
      </c>
      <c r="E193" s="3" t="s">
        <v>781</v>
      </c>
      <c r="F193" s="2" t="s">
        <v>53</v>
      </c>
      <c r="G193" s="6"/>
      <c r="H193" s="2" t="s">
        <v>127</v>
      </c>
      <c r="I193" s="2" t="s">
        <v>128</v>
      </c>
      <c r="J193" s="2" t="s">
        <v>19</v>
      </c>
      <c r="K193" s="2" t="s">
        <v>782</v>
      </c>
      <c r="L193" s="7" t="str">
        <f>HYPERLINK("http://slimages.macys.com/is/image/MCY/13039364 ")</f>
        <v xml:space="preserve">http://slimages.macys.com/is/image/MCY/13039364 </v>
      </c>
    </row>
    <row r="194" spans="1:12" ht="36.75" x14ac:dyDescent="0.25">
      <c r="A194" s="4" t="s">
        <v>12940</v>
      </c>
      <c r="B194" s="2" t="s">
        <v>4602</v>
      </c>
      <c r="C194" s="3">
        <v>1</v>
      </c>
      <c r="D194" s="5">
        <v>69.5</v>
      </c>
      <c r="E194" s="3">
        <v>100056409</v>
      </c>
      <c r="F194" s="2" t="s">
        <v>252</v>
      </c>
      <c r="G194" s="6" t="s">
        <v>141</v>
      </c>
      <c r="H194" s="2" t="s">
        <v>386</v>
      </c>
      <c r="I194" s="2" t="s">
        <v>337</v>
      </c>
      <c r="J194" s="2" t="s">
        <v>19</v>
      </c>
      <c r="K194" s="2" t="s">
        <v>4603</v>
      </c>
      <c r="L194" s="7" t="str">
        <f>HYPERLINK("http://slimages.macys.com/is/image/MCY/11647055 ")</f>
        <v xml:space="preserve">http://slimages.macys.com/is/image/MCY/11647055 </v>
      </c>
    </row>
    <row r="195" spans="1:12" ht="24.75" x14ac:dyDescent="0.25">
      <c r="A195" s="4" t="s">
        <v>12941</v>
      </c>
      <c r="B195" s="2" t="s">
        <v>12942</v>
      </c>
      <c r="C195" s="3">
        <v>1</v>
      </c>
      <c r="D195" s="5">
        <v>33</v>
      </c>
      <c r="E195" s="3" t="s">
        <v>12943</v>
      </c>
      <c r="F195" s="2" t="s">
        <v>7843</v>
      </c>
      <c r="G195" s="6" t="s">
        <v>181</v>
      </c>
      <c r="H195" s="2" t="s">
        <v>10225</v>
      </c>
      <c r="I195" s="2" t="s">
        <v>10226</v>
      </c>
      <c r="J195" s="2" t="s">
        <v>19</v>
      </c>
      <c r="K195" s="2" t="s">
        <v>12036</v>
      </c>
      <c r="L195" s="7" t="str">
        <f>HYPERLINK("http://slimages.macys.com/is/image/MCY/12334196 ")</f>
        <v xml:space="preserve">http://slimages.macys.com/is/image/MCY/12334196 </v>
      </c>
    </row>
    <row r="196" spans="1:12" ht="24.75" x14ac:dyDescent="0.25">
      <c r="A196" s="4" t="s">
        <v>12944</v>
      </c>
      <c r="B196" s="2" t="s">
        <v>808</v>
      </c>
      <c r="C196" s="3">
        <v>1</v>
      </c>
      <c r="D196" s="5">
        <v>37.130000000000003</v>
      </c>
      <c r="E196" s="3">
        <v>100013676</v>
      </c>
      <c r="F196" s="2" t="s">
        <v>257</v>
      </c>
      <c r="G196" s="6" t="s">
        <v>200</v>
      </c>
      <c r="H196" s="2" t="s">
        <v>194</v>
      </c>
      <c r="I196" s="2" t="s">
        <v>503</v>
      </c>
      <c r="J196" s="2" t="s">
        <v>19</v>
      </c>
      <c r="K196" s="2" t="s">
        <v>546</v>
      </c>
      <c r="L196" s="7" t="str">
        <f>HYPERLINK("http://slimages.macys.com/is/image/MCY/9340718 ")</f>
        <v xml:space="preserve">http://slimages.macys.com/is/image/MCY/9340718 </v>
      </c>
    </row>
    <row r="197" spans="1:12" ht="24.75" x14ac:dyDescent="0.25">
      <c r="A197" s="4" t="s">
        <v>11947</v>
      </c>
      <c r="B197" s="2" t="s">
        <v>808</v>
      </c>
      <c r="C197" s="3">
        <v>1</v>
      </c>
      <c r="D197" s="5">
        <v>37.130000000000003</v>
      </c>
      <c r="E197" s="3">
        <v>100013676</v>
      </c>
      <c r="F197" s="2" t="s">
        <v>566</v>
      </c>
      <c r="G197" s="6" t="s">
        <v>181</v>
      </c>
      <c r="H197" s="2" t="s">
        <v>194</v>
      </c>
      <c r="I197" s="2" t="s">
        <v>503</v>
      </c>
      <c r="J197" s="2" t="s">
        <v>19</v>
      </c>
      <c r="K197" s="2" t="s">
        <v>546</v>
      </c>
      <c r="L197" s="7" t="str">
        <f>HYPERLINK("http://slimages.macys.com/is/image/MCY/9340718 ")</f>
        <v xml:space="preserve">http://slimages.macys.com/is/image/MCY/9340718 </v>
      </c>
    </row>
    <row r="198" spans="1:12" ht="24.75" x14ac:dyDescent="0.25">
      <c r="A198" s="4" t="s">
        <v>12945</v>
      </c>
      <c r="B198" s="2" t="s">
        <v>8573</v>
      </c>
      <c r="C198" s="3">
        <v>1</v>
      </c>
      <c r="D198" s="5">
        <v>40.880000000000003</v>
      </c>
      <c r="E198" s="3" t="s">
        <v>8574</v>
      </c>
      <c r="F198" s="2" t="s">
        <v>331</v>
      </c>
      <c r="G198" s="6" t="s">
        <v>181</v>
      </c>
      <c r="H198" s="2" t="s">
        <v>246</v>
      </c>
      <c r="I198" s="2" t="s">
        <v>189</v>
      </c>
      <c r="J198" s="2" t="s">
        <v>19</v>
      </c>
      <c r="K198" s="2" t="s">
        <v>75</v>
      </c>
      <c r="L198" s="7" t="str">
        <f>HYPERLINK("http://slimages.macys.com/is/image/MCY/11995542 ")</f>
        <v xml:space="preserve">http://slimages.macys.com/is/image/MCY/11995542 </v>
      </c>
    </row>
    <row r="199" spans="1:12" ht="24.75" x14ac:dyDescent="0.25">
      <c r="A199" s="4" t="s">
        <v>12946</v>
      </c>
      <c r="B199" s="2" t="s">
        <v>8573</v>
      </c>
      <c r="C199" s="3">
        <v>1</v>
      </c>
      <c r="D199" s="5">
        <v>40.880000000000003</v>
      </c>
      <c r="E199" s="3" t="s">
        <v>8574</v>
      </c>
      <c r="F199" s="2" t="s">
        <v>331</v>
      </c>
      <c r="G199" s="6" t="s">
        <v>234</v>
      </c>
      <c r="H199" s="2" t="s">
        <v>246</v>
      </c>
      <c r="I199" s="2" t="s">
        <v>189</v>
      </c>
      <c r="J199" s="2" t="s">
        <v>19</v>
      </c>
      <c r="K199" s="2" t="s">
        <v>75</v>
      </c>
      <c r="L199" s="7" t="str">
        <f>HYPERLINK("http://slimages.macys.com/is/image/MCY/11995542 ")</f>
        <v xml:space="preserve">http://slimages.macys.com/is/image/MCY/11995542 </v>
      </c>
    </row>
    <row r="200" spans="1:12" ht="24.75" x14ac:dyDescent="0.25">
      <c r="A200" s="4" t="s">
        <v>10674</v>
      </c>
      <c r="B200" s="2" t="s">
        <v>10671</v>
      </c>
      <c r="C200" s="3">
        <v>1</v>
      </c>
      <c r="D200" s="5">
        <v>37.130000000000003</v>
      </c>
      <c r="E200" s="3" t="s">
        <v>10672</v>
      </c>
      <c r="F200" s="2" t="s">
        <v>15</v>
      </c>
      <c r="G200" s="6" t="s">
        <v>156</v>
      </c>
      <c r="H200" s="2" t="s">
        <v>194</v>
      </c>
      <c r="I200" s="2" t="s">
        <v>195</v>
      </c>
      <c r="J200" s="2" t="s">
        <v>19</v>
      </c>
      <c r="K200" s="2" t="s">
        <v>201</v>
      </c>
      <c r="L200" s="7" t="str">
        <f>HYPERLINK("http://slimages.macys.com/is/image/MCY/12794071 ")</f>
        <v xml:space="preserve">http://slimages.macys.com/is/image/MCY/12794071 </v>
      </c>
    </row>
    <row r="201" spans="1:12" ht="24.75" x14ac:dyDescent="0.25">
      <c r="A201" s="4" t="s">
        <v>10675</v>
      </c>
      <c r="B201" s="2" t="s">
        <v>10671</v>
      </c>
      <c r="C201" s="3">
        <v>1</v>
      </c>
      <c r="D201" s="5">
        <v>37.130000000000003</v>
      </c>
      <c r="E201" s="3" t="s">
        <v>10672</v>
      </c>
      <c r="F201" s="2" t="s">
        <v>15</v>
      </c>
      <c r="G201" s="6" t="s">
        <v>234</v>
      </c>
      <c r="H201" s="2" t="s">
        <v>194</v>
      </c>
      <c r="I201" s="2" t="s">
        <v>195</v>
      </c>
      <c r="J201" s="2" t="s">
        <v>19</v>
      </c>
      <c r="K201" s="2" t="s">
        <v>201</v>
      </c>
      <c r="L201" s="7" t="str">
        <f>HYPERLINK("http://slimages.macys.com/is/image/MCY/12794071 ")</f>
        <v xml:space="preserve">http://slimages.macys.com/is/image/MCY/12794071 </v>
      </c>
    </row>
    <row r="202" spans="1:12" ht="24.75" x14ac:dyDescent="0.25">
      <c r="A202" s="4" t="s">
        <v>10676</v>
      </c>
      <c r="B202" s="2" t="s">
        <v>10671</v>
      </c>
      <c r="C202" s="3">
        <v>3</v>
      </c>
      <c r="D202" s="5">
        <v>37.130000000000003</v>
      </c>
      <c r="E202" s="3" t="s">
        <v>10672</v>
      </c>
      <c r="F202" s="2" t="s">
        <v>15</v>
      </c>
      <c r="G202" s="6" t="s">
        <v>154</v>
      </c>
      <c r="H202" s="2" t="s">
        <v>194</v>
      </c>
      <c r="I202" s="2" t="s">
        <v>195</v>
      </c>
      <c r="J202" s="2" t="s">
        <v>19</v>
      </c>
      <c r="K202" s="2" t="s">
        <v>201</v>
      </c>
      <c r="L202" s="7" t="str">
        <f>HYPERLINK("http://slimages.macys.com/is/image/MCY/12794071 ")</f>
        <v xml:space="preserve">http://slimages.macys.com/is/image/MCY/12794071 </v>
      </c>
    </row>
    <row r="203" spans="1:12" ht="24.75" x14ac:dyDescent="0.25">
      <c r="A203" s="4" t="s">
        <v>10673</v>
      </c>
      <c r="B203" s="2" t="s">
        <v>10671</v>
      </c>
      <c r="C203" s="3">
        <v>4</v>
      </c>
      <c r="D203" s="5">
        <v>37.130000000000003</v>
      </c>
      <c r="E203" s="3" t="s">
        <v>10672</v>
      </c>
      <c r="F203" s="2" t="s">
        <v>15</v>
      </c>
      <c r="G203" s="6" t="s">
        <v>181</v>
      </c>
      <c r="H203" s="2" t="s">
        <v>194</v>
      </c>
      <c r="I203" s="2" t="s">
        <v>195</v>
      </c>
      <c r="J203" s="2" t="s">
        <v>19</v>
      </c>
      <c r="K203" s="2" t="s">
        <v>201</v>
      </c>
      <c r="L203" s="7" t="str">
        <f>HYPERLINK("http://slimages.macys.com/is/image/MCY/12794071 ")</f>
        <v xml:space="preserve">http://slimages.macys.com/is/image/MCY/12794071 </v>
      </c>
    </row>
    <row r="204" spans="1:12" ht="24.75" x14ac:dyDescent="0.25">
      <c r="A204" s="4" t="s">
        <v>10670</v>
      </c>
      <c r="B204" s="2" t="s">
        <v>10671</v>
      </c>
      <c r="C204" s="3">
        <v>1</v>
      </c>
      <c r="D204" s="5">
        <v>37.130000000000003</v>
      </c>
      <c r="E204" s="3" t="s">
        <v>10672</v>
      </c>
      <c r="F204" s="2" t="s">
        <v>15</v>
      </c>
      <c r="G204" s="6" t="s">
        <v>200</v>
      </c>
      <c r="H204" s="2" t="s">
        <v>194</v>
      </c>
      <c r="I204" s="2" t="s">
        <v>195</v>
      </c>
      <c r="J204" s="2" t="s">
        <v>19</v>
      </c>
      <c r="K204" s="2" t="s">
        <v>201</v>
      </c>
      <c r="L204" s="7" t="str">
        <f>HYPERLINK("http://slimages.macys.com/is/image/MCY/12794071 ")</f>
        <v xml:space="preserve">http://slimages.macys.com/is/image/MCY/12794071 </v>
      </c>
    </row>
    <row r="205" spans="1:12" ht="24.75" x14ac:dyDescent="0.25">
      <c r="A205" s="4" t="s">
        <v>2432</v>
      </c>
      <c r="B205" s="2" t="s">
        <v>818</v>
      </c>
      <c r="C205" s="3">
        <v>1</v>
      </c>
      <c r="D205" s="5">
        <v>36.5</v>
      </c>
      <c r="E205" s="3" t="s">
        <v>819</v>
      </c>
      <c r="F205" s="2" t="s">
        <v>820</v>
      </c>
      <c r="G205" s="6" t="s">
        <v>181</v>
      </c>
      <c r="H205" s="2" t="s">
        <v>194</v>
      </c>
      <c r="I205" s="2" t="s">
        <v>195</v>
      </c>
      <c r="J205" s="2" t="s">
        <v>19</v>
      </c>
      <c r="K205" s="2" t="s">
        <v>201</v>
      </c>
      <c r="L205" s="7" t="str">
        <f>HYPERLINK("http://slimages.macys.com/is/image/MCY/11935616 ")</f>
        <v xml:space="preserve">http://slimages.macys.com/is/image/MCY/11935616 </v>
      </c>
    </row>
    <row r="206" spans="1:12" ht="24.75" x14ac:dyDescent="0.25">
      <c r="A206" s="4" t="s">
        <v>12947</v>
      </c>
      <c r="B206" s="2" t="s">
        <v>818</v>
      </c>
      <c r="C206" s="3">
        <v>1</v>
      </c>
      <c r="D206" s="5">
        <v>37.130000000000003</v>
      </c>
      <c r="E206" s="3" t="s">
        <v>819</v>
      </c>
      <c r="F206" s="2" t="s">
        <v>170</v>
      </c>
      <c r="G206" s="6" t="s">
        <v>234</v>
      </c>
      <c r="H206" s="2" t="s">
        <v>194</v>
      </c>
      <c r="I206" s="2" t="s">
        <v>195</v>
      </c>
      <c r="J206" s="2" t="s">
        <v>19</v>
      </c>
      <c r="K206" s="2" t="s">
        <v>201</v>
      </c>
      <c r="L206" s="7" t="str">
        <f>HYPERLINK("http://slimages.macys.com/is/image/MCY/11935616 ")</f>
        <v xml:space="preserve">http://slimages.macys.com/is/image/MCY/11935616 </v>
      </c>
    </row>
    <row r="207" spans="1:12" ht="24.75" x14ac:dyDescent="0.25">
      <c r="A207" s="4" t="s">
        <v>12948</v>
      </c>
      <c r="B207" s="2" t="s">
        <v>12949</v>
      </c>
      <c r="C207" s="3">
        <v>1</v>
      </c>
      <c r="D207" s="5">
        <v>49.5</v>
      </c>
      <c r="E207" s="3" t="s">
        <v>12950</v>
      </c>
      <c r="F207" s="2" t="s">
        <v>413</v>
      </c>
      <c r="G207" s="6" t="s">
        <v>187</v>
      </c>
      <c r="H207" s="2" t="s">
        <v>127</v>
      </c>
      <c r="I207" s="2" t="s">
        <v>128</v>
      </c>
      <c r="J207" s="2" t="s">
        <v>19</v>
      </c>
      <c r="K207" s="2" t="s">
        <v>160</v>
      </c>
      <c r="L207" s="7" t="str">
        <f>HYPERLINK("http://slimages.macys.com/is/image/MCY/11947613 ")</f>
        <v xml:space="preserve">http://slimages.macys.com/is/image/MCY/11947613 </v>
      </c>
    </row>
    <row r="208" spans="1:12" ht="24.75" x14ac:dyDescent="0.25">
      <c r="A208" s="4" t="s">
        <v>10678</v>
      </c>
      <c r="B208" s="2" t="s">
        <v>10679</v>
      </c>
      <c r="C208" s="3">
        <v>1</v>
      </c>
      <c r="D208" s="5">
        <v>33.380000000000003</v>
      </c>
      <c r="E208" s="3" t="s">
        <v>10680</v>
      </c>
      <c r="F208" s="2" t="s">
        <v>26</v>
      </c>
      <c r="G208" s="6" t="s">
        <v>181</v>
      </c>
      <c r="H208" s="2" t="s">
        <v>194</v>
      </c>
      <c r="I208" s="2" t="s">
        <v>195</v>
      </c>
      <c r="J208" s="2" t="s">
        <v>19</v>
      </c>
      <c r="K208" s="2" t="s">
        <v>10681</v>
      </c>
      <c r="L208" s="7" t="str">
        <f>HYPERLINK("http://slimages.macys.com/is/image/MCY/12801345 ")</f>
        <v xml:space="preserve">http://slimages.macys.com/is/image/MCY/12801345 </v>
      </c>
    </row>
    <row r="209" spans="1:12" ht="24.75" x14ac:dyDescent="0.25">
      <c r="A209" s="4" t="s">
        <v>12951</v>
      </c>
      <c r="B209" s="2" t="s">
        <v>10679</v>
      </c>
      <c r="C209" s="3">
        <v>1</v>
      </c>
      <c r="D209" s="5">
        <v>33.380000000000003</v>
      </c>
      <c r="E209" s="3" t="s">
        <v>10680</v>
      </c>
      <c r="F209" s="2" t="s">
        <v>26</v>
      </c>
      <c r="G209" s="6" t="s">
        <v>245</v>
      </c>
      <c r="H209" s="2" t="s">
        <v>194</v>
      </c>
      <c r="I209" s="2" t="s">
        <v>195</v>
      </c>
      <c r="J209" s="2" t="s">
        <v>19</v>
      </c>
      <c r="K209" s="2" t="s">
        <v>10681</v>
      </c>
      <c r="L209" s="7" t="str">
        <f>HYPERLINK("http://slimages.macys.com/is/image/MCY/12801345 ")</f>
        <v xml:space="preserve">http://slimages.macys.com/is/image/MCY/12801345 </v>
      </c>
    </row>
    <row r="210" spans="1:12" ht="24.75" x14ac:dyDescent="0.25">
      <c r="A210" s="4" t="s">
        <v>12952</v>
      </c>
      <c r="B210" s="2" t="s">
        <v>10679</v>
      </c>
      <c r="C210" s="3">
        <v>2</v>
      </c>
      <c r="D210" s="5">
        <v>33.380000000000003</v>
      </c>
      <c r="E210" s="3" t="s">
        <v>10680</v>
      </c>
      <c r="F210" s="2" t="s">
        <v>26</v>
      </c>
      <c r="G210" s="6" t="s">
        <v>200</v>
      </c>
      <c r="H210" s="2" t="s">
        <v>194</v>
      </c>
      <c r="I210" s="2" t="s">
        <v>195</v>
      </c>
      <c r="J210" s="2" t="s">
        <v>19</v>
      </c>
      <c r="K210" s="2" t="s">
        <v>10681</v>
      </c>
      <c r="L210" s="7" t="str">
        <f>HYPERLINK("http://slimages.macys.com/is/image/MCY/12801345 ")</f>
        <v xml:space="preserve">http://slimages.macys.com/is/image/MCY/12801345 </v>
      </c>
    </row>
    <row r="211" spans="1:12" ht="24.75" x14ac:dyDescent="0.25">
      <c r="A211" s="4" t="s">
        <v>12953</v>
      </c>
      <c r="B211" s="2" t="s">
        <v>10625</v>
      </c>
      <c r="C211" s="3">
        <v>1</v>
      </c>
      <c r="D211" s="5">
        <v>37.130000000000003</v>
      </c>
      <c r="E211" s="3" t="s">
        <v>12954</v>
      </c>
      <c r="F211" s="2" t="s">
        <v>111</v>
      </c>
      <c r="G211" s="6" t="s">
        <v>156</v>
      </c>
      <c r="H211" s="2" t="s">
        <v>194</v>
      </c>
      <c r="I211" s="2" t="s">
        <v>503</v>
      </c>
      <c r="J211" s="2" t="s">
        <v>19</v>
      </c>
      <c r="K211" s="2" t="s">
        <v>546</v>
      </c>
      <c r="L211" s="7" t="str">
        <f>HYPERLINK("http://slimages.macys.com/is/image/MCY/12850912 ")</f>
        <v xml:space="preserve">http://slimages.macys.com/is/image/MCY/12850912 </v>
      </c>
    </row>
    <row r="212" spans="1:12" ht="24.75" x14ac:dyDescent="0.25">
      <c r="A212" s="4" t="s">
        <v>4711</v>
      </c>
      <c r="B212" s="2" t="s">
        <v>827</v>
      </c>
      <c r="C212" s="3">
        <v>1</v>
      </c>
      <c r="D212" s="5">
        <v>37.130000000000003</v>
      </c>
      <c r="E212" s="3">
        <v>100009535</v>
      </c>
      <c r="F212" s="2" t="s">
        <v>15</v>
      </c>
      <c r="G212" s="6" t="s">
        <v>16</v>
      </c>
      <c r="H212" s="2" t="s">
        <v>194</v>
      </c>
      <c r="I212" s="2" t="s">
        <v>503</v>
      </c>
      <c r="J212" s="2" t="s">
        <v>19</v>
      </c>
      <c r="K212" s="2" t="s">
        <v>353</v>
      </c>
      <c r="L212" s="7" t="str">
        <f>HYPERLINK("http://slimages.macys.com/is/image/MCY/9340634 ")</f>
        <v xml:space="preserve">http://slimages.macys.com/is/image/MCY/9340634 </v>
      </c>
    </row>
    <row r="213" spans="1:12" ht="24.75" x14ac:dyDescent="0.25">
      <c r="A213" s="4" t="s">
        <v>9475</v>
      </c>
      <c r="B213" s="2" t="s">
        <v>827</v>
      </c>
      <c r="C213" s="3">
        <v>1</v>
      </c>
      <c r="D213" s="5">
        <v>37.130000000000003</v>
      </c>
      <c r="E213" s="3">
        <v>100009535</v>
      </c>
      <c r="F213" s="2" t="s">
        <v>26</v>
      </c>
      <c r="G213" s="6" t="s">
        <v>27</v>
      </c>
      <c r="H213" s="2" t="s">
        <v>194</v>
      </c>
      <c r="I213" s="2" t="s">
        <v>503</v>
      </c>
      <c r="J213" s="2" t="s">
        <v>19</v>
      </c>
      <c r="K213" s="2" t="s">
        <v>353</v>
      </c>
      <c r="L213" s="7" t="str">
        <f>HYPERLINK("http://slimages.macys.com/is/image/MCY/9450411 ")</f>
        <v xml:space="preserve">http://slimages.macys.com/is/image/MCY/9450411 </v>
      </c>
    </row>
    <row r="214" spans="1:12" ht="24.75" x14ac:dyDescent="0.25">
      <c r="A214" s="4" t="s">
        <v>7263</v>
      </c>
      <c r="B214" s="2" t="s">
        <v>827</v>
      </c>
      <c r="C214" s="3">
        <v>1</v>
      </c>
      <c r="D214" s="5">
        <v>37.130000000000003</v>
      </c>
      <c r="E214" s="3">
        <v>100009535</v>
      </c>
      <c r="F214" s="2" t="s">
        <v>15</v>
      </c>
      <c r="G214" s="6" t="s">
        <v>22</v>
      </c>
      <c r="H214" s="2" t="s">
        <v>194</v>
      </c>
      <c r="I214" s="2" t="s">
        <v>503</v>
      </c>
      <c r="J214" s="2" t="s">
        <v>19</v>
      </c>
      <c r="K214" s="2" t="s">
        <v>353</v>
      </c>
      <c r="L214" s="7" t="str">
        <f>HYPERLINK("http://slimages.macys.com/is/image/MCY/9340634 ")</f>
        <v xml:space="preserve">http://slimages.macys.com/is/image/MCY/9340634 </v>
      </c>
    </row>
    <row r="215" spans="1:12" ht="24.75" x14ac:dyDescent="0.25">
      <c r="A215" s="4" t="s">
        <v>2444</v>
      </c>
      <c r="B215" s="2" t="s">
        <v>2439</v>
      </c>
      <c r="C215" s="3">
        <v>1</v>
      </c>
      <c r="D215" s="5">
        <v>44.63</v>
      </c>
      <c r="E215" s="3" t="s">
        <v>2440</v>
      </c>
      <c r="F215" s="2" t="s">
        <v>956</v>
      </c>
      <c r="G215" s="6" t="s">
        <v>181</v>
      </c>
      <c r="H215" s="2" t="s">
        <v>194</v>
      </c>
      <c r="I215" s="2" t="s">
        <v>195</v>
      </c>
      <c r="J215" s="2" t="s">
        <v>19</v>
      </c>
      <c r="K215" s="2" t="s">
        <v>34</v>
      </c>
      <c r="L215" s="7" t="str">
        <f>HYPERLINK("http://slimages.macys.com/is/image/MCY/11527019 ")</f>
        <v xml:space="preserve">http://slimages.macys.com/is/image/MCY/11527019 </v>
      </c>
    </row>
    <row r="216" spans="1:12" ht="24.75" x14ac:dyDescent="0.25">
      <c r="A216" s="4" t="s">
        <v>9476</v>
      </c>
      <c r="B216" s="2" t="s">
        <v>827</v>
      </c>
      <c r="C216" s="3">
        <v>1</v>
      </c>
      <c r="D216" s="5">
        <v>37.130000000000003</v>
      </c>
      <c r="E216" s="3">
        <v>100009535</v>
      </c>
      <c r="F216" s="2" t="s">
        <v>15</v>
      </c>
      <c r="G216" s="6" t="s">
        <v>112</v>
      </c>
      <c r="H216" s="2" t="s">
        <v>194</v>
      </c>
      <c r="I216" s="2" t="s">
        <v>503</v>
      </c>
      <c r="J216" s="2" t="s">
        <v>19</v>
      </c>
      <c r="K216" s="2" t="s">
        <v>353</v>
      </c>
      <c r="L216" s="7" t="str">
        <f>HYPERLINK("http://slimages.macys.com/is/image/MCY/9340634 ")</f>
        <v xml:space="preserve">http://slimages.macys.com/is/image/MCY/9340634 </v>
      </c>
    </row>
    <row r="217" spans="1:12" ht="24.75" x14ac:dyDescent="0.25">
      <c r="A217" s="4" t="s">
        <v>12955</v>
      </c>
      <c r="B217" s="2" t="s">
        <v>827</v>
      </c>
      <c r="C217" s="3">
        <v>1</v>
      </c>
      <c r="D217" s="5">
        <v>37.130000000000003</v>
      </c>
      <c r="E217" s="3">
        <v>100009535</v>
      </c>
      <c r="F217" s="2" t="s">
        <v>74</v>
      </c>
      <c r="G217" s="6" t="s">
        <v>141</v>
      </c>
      <c r="H217" s="2" t="s">
        <v>194</v>
      </c>
      <c r="I217" s="2" t="s">
        <v>503</v>
      </c>
      <c r="J217" s="2" t="s">
        <v>19</v>
      </c>
      <c r="K217" s="2" t="s">
        <v>353</v>
      </c>
      <c r="L217" s="7" t="str">
        <f>HYPERLINK("http://slimages.macys.com/is/image/MCY/9340634 ")</f>
        <v xml:space="preserve">http://slimages.macys.com/is/image/MCY/9340634 </v>
      </c>
    </row>
    <row r="218" spans="1:12" ht="24.75" x14ac:dyDescent="0.25">
      <c r="A218" s="4" t="s">
        <v>826</v>
      </c>
      <c r="B218" s="2" t="s">
        <v>827</v>
      </c>
      <c r="C218" s="3">
        <v>1</v>
      </c>
      <c r="D218" s="5">
        <v>37.130000000000003</v>
      </c>
      <c r="E218" s="3">
        <v>100009535</v>
      </c>
      <c r="F218" s="2" t="s">
        <v>64</v>
      </c>
      <c r="G218" s="6" t="s">
        <v>112</v>
      </c>
      <c r="H218" s="2" t="s">
        <v>194</v>
      </c>
      <c r="I218" s="2" t="s">
        <v>503</v>
      </c>
      <c r="J218" s="2" t="s">
        <v>19</v>
      </c>
      <c r="K218" s="2" t="s">
        <v>353</v>
      </c>
      <c r="L218" s="7" t="str">
        <f>HYPERLINK("http://slimages.macys.com/is/image/MCY/9340634 ")</f>
        <v xml:space="preserve">http://slimages.macys.com/is/image/MCY/9340634 </v>
      </c>
    </row>
    <row r="219" spans="1:12" ht="24.75" x14ac:dyDescent="0.25">
      <c r="A219" s="4" t="s">
        <v>12956</v>
      </c>
      <c r="B219" s="2" t="s">
        <v>12957</v>
      </c>
      <c r="C219" s="3">
        <v>1</v>
      </c>
      <c r="D219" s="5">
        <v>44.63</v>
      </c>
      <c r="E219" s="3" t="s">
        <v>12958</v>
      </c>
      <c r="F219" s="2" t="s">
        <v>70</v>
      </c>
      <c r="G219" s="6" t="s">
        <v>22</v>
      </c>
      <c r="H219" s="2" t="s">
        <v>246</v>
      </c>
      <c r="I219" s="2" t="s">
        <v>487</v>
      </c>
      <c r="J219" s="2" t="s">
        <v>19</v>
      </c>
      <c r="K219" s="2" t="s">
        <v>409</v>
      </c>
      <c r="L219" s="7" t="str">
        <f>HYPERLINK("http://slimages.macys.com/is/image/MCY/11938877 ")</f>
        <v xml:space="preserve">http://slimages.macys.com/is/image/MCY/11938877 </v>
      </c>
    </row>
    <row r="220" spans="1:12" ht="36.75" x14ac:dyDescent="0.25">
      <c r="A220" s="4" t="s">
        <v>12959</v>
      </c>
      <c r="B220" s="2" t="s">
        <v>12960</v>
      </c>
      <c r="C220" s="3">
        <v>1</v>
      </c>
      <c r="D220" s="5">
        <v>40.880000000000003</v>
      </c>
      <c r="E220" s="3" t="s">
        <v>12961</v>
      </c>
      <c r="F220" s="2" t="s">
        <v>26</v>
      </c>
      <c r="G220" s="6" t="s">
        <v>245</v>
      </c>
      <c r="H220" s="2" t="s">
        <v>246</v>
      </c>
      <c r="I220" s="2" t="s">
        <v>189</v>
      </c>
      <c r="J220" s="2" t="s">
        <v>19</v>
      </c>
      <c r="K220" s="2" t="s">
        <v>12962</v>
      </c>
      <c r="L220" s="7" t="str">
        <f>HYPERLINK("http://slimages.macys.com/is/image/MCY/11621255 ")</f>
        <v xml:space="preserve">http://slimages.macys.com/is/image/MCY/11621255 </v>
      </c>
    </row>
    <row r="221" spans="1:12" ht="48.75" x14ac:dyDescent="0.25">
      <c r="A221" s="4" t="s">
        <v>846</v>
      </c>
      <c r="B221" s="2" t="s">
        <v>841</v>
      </c>
      <c r="C221" s="3">
        <v>1</v>
      </c>
      <c r="D221" s="5">
        <v>34.99</v>
      </c>
      <c r="E221" s="3" t="s">
        <v>842</v>
      </c>
      <c r="F221" s="2" t="s">
        <v>26</v>
      </c>
      <c r="G221" s="6" t="s">
        <v>847</v>
      </c>
      <c r="H221" s="2" t="s">
        <v>349</v>
      </c>
      <c r="I221" s="2" t="s">
        <v>408</v>
      </c>
      <c r="J221" s="2" t="s">
        <v>19</v>
      </c>
      <c r="K221" s="2" t="s">
        <v>787</v>
      </c>
      <c r="L221" s="7" t="str">
        <f>HYPERLINK("http://slimages.macys.com/is/image/MCY/3935281 ")</f>
        <v xml:space="preserve">http://slimages.macys.com/is/image/MCY/3935281 </v>
      </c>
    </row>
    <row r="222" spans="1:12" ht="48.75" x14ac:dyDescent="0.25">
      <c r="A222" s="4" t="s">
        <v>840</v>
      </c>
      <c r="B222" s="2" t="s">
        <v>841</v>
      </c>
      <c r="C222" s="3">
        <v>2</v>
      </c>
      <c r="D222" s="5">
        <v>34.99</v>
      </c>
      <c r="E222" s="3" t="s">
        <v>842</v>
      </c>
      <c r="F222" s="2" t="s">
        <v>26</v>
      </c>
      <c r="G222" s="6" t="s">
        <v>407</v>
      </c>
      <c r="H222" s="2" t="s">
        <v>349</v>
      </c>
      <c r="I222" s="2" t="s">
        <v>408</v>
      </c>
      <c r="J222" s="2" t="s">
        <v>19</v>
      </c>
      <c r="K222" s="2" t="s">
        <v>787</v>
      </c>
      <c r="L222" s="7" t="str">
        <f>HYPERLINK("http://slimages.macys.com/is/image/MCY/3935281 ")</f>
        <v xml:space="preserve">http://slimages.macys.com/is/image/MCY/3935281 </v>
      </c>
    </row>
    <row r="223" spans="1:12" ht="24.75" x14ac:dyDescent="0.25">
      <c r="A223" s="4" t="s">
        <v>12963</v>
      </c>
      <c r="B223" s="2" t="s">
        <v>2460</v>
      </c>
      <c r="C223" s="3">
        <v>1</v>
      </c>
      <c r="D223" s="5">
        <v>34.880000000000003</v>
      </c>
      <c r="E223" s="3" t="s">
        <v>2461</v>
      </c>
      <c r="F223" s="2" t="s">
        <v>26</v>
      </c>
      <c r="G223" s="6" t="s">
        <v>336</v>
      </c>
      <c r="H223" s="2" t="s">
        <v>312</v>
      </c>
      <c r="I223" s="2" t="s">
        <v>503</v>
      </c>
      <c r="J223" s="2" t="s">
        <v>19</v>
      </c>
      <c r="K223" s="2" t="s">
        <v>353</v>
      </c>
      <c r="L223" s="7" t="str">
        <f>HYPERLINK("http://slimages.macys.com/is/image/MCY/9325305 ")</f>
        <v xml:space="preserve">http://slimages.macys.com/is/image/MCY/9325305 </v>
      </c>
    </row>
    <row r="224" spans="1:12" ht="24.75" x14ac:dyDescent="0.25">
      <c r="A224" s="4" t="s">
        <v>10690</v>
      </c>
      <c r="B224" s="2" t="s">
        <v>844</v>
      </c>
      <c r="C224" s="3">
        <v>2</v>
      </c>
      <c r="D224" s="5">
        <v>40.880000000000003</v>
      </c>
      <c r="E224" s="3" t="s">
        <v>845</v>
      </c>
      <c r="F224" s="2" t="s">
        <v>89</v>
      </c>
      <c r="G224" s="6" t="s">
        <v>16</v>
      </c>
      <c r="H224" s="2" t="s">
        <v>213</v>
      </c>
      <c r="I224" s="2" t="s">
        <v>214</v>
      </c>
      <c r="J224" s="2" t="s">
        <v>19</v>
      </c>
      <c r="K224" s="2" t="s">
        <v>353</v>
      </c>
      <c r="L224" s="7" t="str">
        <f>HYPERLINK("http://slimages.macys.com/is/image/MCY/11206527 ")</f>
        <v xml:space="preserve">http://slimages.macys.com/is/image/MCY/11206527 </v>
      </c>
    </row>
    <row r="225" spans="1:12" ht="24.75" x14ac:dyDescent="0.25">
      <c r="A225" s="4" t="s">
        <v>12964</v>
      </c>
      <c r="B225" s="2" t="s">
        <v>2403</v>
      </c>
      <c r="C225" s="3">
        <v>1</v>
      </c>
      <c r="D225" s="5">
        <v>36.75</v>
      </c>
      <c r="E225" s="3">
        <v>100009360</v>
      </c>
      <c r="F225" s="2" t="s">
        <v>74</v>
      </c>
      <c r="G225" s="6" t="s">
        <v>154</v>
      </c>
      <c r="H225" s="2" t="s">
        <v>194</v>
      </c>
      <c r="I225" s="2" t="s">
        <v>503</v>
      </c>
      <c r="J225" s="2" t="s">
        <v>19</v>
      </c>
      <c r="K225" s="2" t="s">
        <v>160</v>
      </c>
      <c r="L225" s="7" t="str">
        <f>HYPERLINK("http://slimages.macys.com/is/image/MCY/12734522 ")</f>
        <v xml:space="preserve">http://slimages.macys.com/is/image/MCY/12734522 </v>
      </c>
    </row>
    <row r="226" spans="1:12" ht="24.75" x14ac:dyDescent="0.25">
      <c r="A226" s="4" t="s">
        <v>12965</v>
      </c>
      <c r="B226" s="2" t="s">
        <v>2403</v>
      </c>
      <c r="C226" s="3">
        <v>2</v>
      </c>
      <c r="D226" s="5">
        <v>36.75</v>
      </c>
      <c r="E226" s="3">
        <v>100009360</v>
      </c>
      <c r="F226" s="2" t="s">
        <v>74</v>
      </c>
      <c r="G226" s="6" t="s">
        <v>234</v>
      </c>
      <c r="H226" s="2" t="s">
        <v>194</v>
      </c>
      <c r="I226" s="2" t="s">
        <v>503</v>
      </c>
      <c r="J226" s="2" t="s">
        <v>19</v>
      </c>
      <c r="K226" s="2" t="s">
        <v>160</v>
      </c>
      <c r="L226" s="7" t="str">
        <f>HYPERLINK("http://slimages.macys.com/is/image/MCY/12734522 ")</f>
        <v xml:space="preserve">http://slimages.macys.com/is/image/MCY/12734522 </v>
      </c>
    </row>
    <row r="227" spans="1:12" ht="24.75" x14ac:dyDescent="0.25">
      <c r="A227" s="4" t="s">
        <v>11960</v>
      </c>
      <c r="B227" s="2" t="s">
        <v>2403</v>
      </c>
      <c r="C227" s="3">
        <v>2</v>
      </c>
      <c r="D227" s="5">
        <v>36.75</v>
      </c>
      <c r="E227" s="3">
        <v>100009360</v>
      </c>
      <c r="F227" s="2" t="s">
        <v>15</v>
      </c>
      <c r="G227" s="6" t="s">
        <v>154</v>
      </c>
      <c r="H227" s="2" t="s">
        <v>194</v>
      </c>
      <c r="I227" s="2" t="s">
        <v>503</v>
      </c>
      <c r="J227" s="2" t="s">
        <v>19</v>
      </c>
      <c r="K227" s="2" t="s">
        <v>160</v>
      </c>
      <c r="L227" s="7" t="str">
        <f>HYPERLINK("http://slimages.macys.com/is/image/MCY/12734522 ")</f>
        <v xml:space="preserve">http://slimages.macys.com/is/image/MCY/12734522 </v>
      </c>
    </row>
    <row r="228" spans="1:12" ht="24.75" x14ac:dyDescent="0.25">
      <c r="A228" s="4" t="s">
        <v>7279</v>
      </c>
      <c r="B228" s="2" t="s">
        <v>374</v>
      </c>
      <c r="C228" s="3">
        <v>1</v>
      </c>
      <c r="D228" s="5">
        <v>52.13</v>
      </c>
      <c r="E228" s="3" t="s">
        <v>375</v>
      </c>
      <c r="F228" s="2" t="s">
        <v>74</v>
      </c>
      <c r="G228" s="6" t="s">
        <v>58</v>
      </c>
      <c r="H228" s="2" t="s">
        <v>246</v>
      </c>
      <c r="I228" s="2" t="s">
        <v>189</v>
      </c>
      <c r="J228" s="2" t="s">
        <v>19</v>
      </c>
      <c r="K228" s="2" t="s">
        <v>361</v>
      </c>
      <c r="L228" s="7" t="str">
        <f>HYPERLINK("http://slimages.macys.com/is/image/MCY/10676355 ")</f>
        <v xml:space="preserve">http://slimages.macys.com/is/image/MCY/10676355 </v>
      </c>
    </row>
    <row r="229" spans="1:12" ht="24.75" x14ac:dyDescent="0.25">
      <c r="A229" s="4" t="s">
        <v>12966</v>
      </c>
      <c r="B229" s="2" t="s">
        <v>374</v>
      </c>
      <c r="C229" s="3">
        <v>2</v>
      </c>
      <c r="D229" s="5">
        <v>52.13</v>
      </c>
      <c r="E229" s="3" t="s">
        <v>375</v>
      </c>
      <c r="F229" s="2" t="s">
        <v>74</v>
      </c>
      <c r="G229" s="6" t="s">
        <v>16</v>
      </c>
      <c r="H229" s="2" t="s">
        <v>246</v>
      </c>
      <c r="I229" s="2" t="s">
        <v>189</v>
      </c>
      <c r="J229" s="2" t="s">
        <v>19</v>
      </c>
      <c r="K229" s="2" t="s">
        <v>361</v>
      </c>
      <c r="L229" s="7" t="str">
        <f>HYPERLINK("http://slimages.macys.com/is/image/MCY/10676355 ")</f>
        <v xml:space="preserve">http://slimages.macys.com/is/image/MCY/10676355 </v>
      </c>
    </row>
    <row r="230" spans="1:12" ht="24.75" x14ac:dyDescent="0.25">
      <c r="A230" s="4" t="s">
        <v>12967</v>
      </c>
      <c r="B230" s="2" t="s">
        <v>861</v>
      </c>
      <c r="C230" s="3">
        <v>1</v>
      </c>
      <c r="D230" s="5">
        <v>34.5</v>
      </c>
      <c r="E230" s="3" t="s">
        <v>862</v>
      </c>
      <c r="F230" s="2" t="s">
        <v>64</v>
      </c>
      <c r="G230" s="6" t="s">
        <v>106</v>
      </c>
      <c r="H230" s="2" t="s">
        <v>228</v>
      </c>
      <c r="I230" s="2" t="s">
        <v>863</v>
      </c>
      <c r="J230" s="2" t="s">
        <v>19</v>
      </c>
      <c r="K230" s="2" t="s">
        <v>253</v>
      </c>
      <c r="L230" s="7" t="str">
        <f>HYPERLINK("http://slimages.macys.com/is/image/MCY/3650197 ")</f>
        <v xml:space="preserve">http://slimages.macys.com/is/image/MCY/3650197 </v>
      </c>
    </row>
    <row r="231" spans="1:12" ht="24.75" x14ac:dyDescent="0.25">
      <c r="A231" s="4" t="s">
        <v>12968</v>
      </c>
      <c r="B231" s="2" t="s">
        <v>861</v>
      </c>
      <c r="C231" s="3">
        <v>2</v>
      </c>
      <c r="D231" s="5">
        <v>34.5</v>
      </c>
      <c r="E231" s="3" t="s">
        <v>862</v>
      </c>
      <c r="F231" s="2" t="s">
        <v>64</v>
      </c>
      <c r="G231" s="6" t="s">
        <v>112</v>
      </c>
      <c r="H231" s="2" t="s">
        <v>228</v>
      </c>
      <c r="I231" s="2" t="s">
        <v>863</v>
      </c>
      <c r="J231" s="2" t="s">
        <v>19</v>
      </c>
      <c r="K231" s="2" t="s">
        <v>253</v>
      </c>
      <c r="L231" s="7" t="str">
        <f>HYPERLINK("http://slimages.macys.com/is/image/MCY/3650197 ")</f>
        <v xml:space="preserve">http://slimages.macys.com/is/image/MCY/3650197 </v>
      </c>
    </row>
    <row r="232" spans="1:12" ht="24.75" x14ac:dyDescent="0.25">
      <c r="A232" s="4" t="s">
        <v>12969</v>
      </c>
      <c r="B232" s="2" t="s">
        <v>913</v>
      </c>
      <c r="C232" s="3">
        <v>1</v>
      </c>
      <c r="D232" s="5">
        <v>40.880000000000003</v>
      </c>
      <c r="E232" s="3" t="s">
        <v>10703</v>
      </c>
      <c r="F232" s="2" t="s">
        <v>15</v>
      </c>
      <c r="G232" s="6" t="s">
        <v>234</v>
      </c>
      <c r="H232" s="2" t="s">
        <v>194</v>
      </c>
      <c r="I232" s="2" t="s">
        <v>195</v>
      </c>
      <c r="J232" s="2" t="s">
        <v>19</v>
      </c>
      <c r="K232" s="2" t="s">
        <v>34</v>
      </c>
      <c r="L232" s="7" t="str">
        <f>HYPERLINK("http://slimages.macys.com/is/image/MCY/12279885 ")</f>
        <v xml:space="preserve">http://slimages.macys.com/is/image/MCY/12279885 </v>
      </c>
    </row>
    <row r="233" spans="1:12" ht="24.75" x14ac:dyDescent="0.25">
      <c r="A233" s="4" t="s">
        <v>12970</v>
      </c>
      <c r="B233" s="2" t="s">
        <v>913</v>
      </c>
      <c r="C233" s="3">
        <v>2</v>
      </c>
      <c r="D233" s="5">
        <v>40.880000000000003</v>
      </c>
      <c r="E233" s="3" t="s">
        <v>10703</v>
      </c>
      <c r="F233" s="2" t="s">
        <v>15</v>
      </c>
      <c r="G233" s="6" t="s">
        <v>156</v>
      </c>
      <c r="H233" s="2" t="s">
        <v>194</v>
      </c>
      <c r="I233" s="2" t="s">
        <v>195</v>
      </c>
      <c r="J233" s="2" t="s">
        <v>19</v>
      </c>
      <c r="K233" s="2" t="s">
        <v>34</v>
      </c>
      <c r="L233" s="7" t="str">
        <f>HYPERLINK("http://slimages.macys.com/is/image/MCY/12279885 ")</f>
        <v xml:space="preserve">http://slimages.macys.com/is/image/MCY/12279885 </v>
      </c>
    </row>
    <row r="234" spans="1:12" ht="24.75" x14ac:dyDescent="0.25">
      <c r="A234" s="4" t="s">
        <v>12971</v>
      </c>
      <c r="B234" s="2" t="s">
        <v>913</v>
      </c>
      <c r="C234" s="3">
        <v>1</v>
      </c>
      <c r="D234" s="5">
        <v>40.880000000000003</v>
      </c>
      <c r="E234" s="3" t="s">
        <v>10701</v>
      </c>
      <c r="F234" s="2" t="s">
        <v>413</v>
      </c>
      <c r="G234" s="6" t="s">
        <v>156</v>
      </c>
      <c r="H234" s="2" t="s">
        <v>194</v>
      </c>
      <c r="I234" s="2" t="s">
        <v>195</v>
      </c>
      <c r="J234" s="2" t="s">
        <v>19</v>
      </c>
      <c r="K234" s="2" t="s">
        <v>34</v>
      </c>
      <c r="L234" s="7" t="str">
        <f>HYPERLINK("http://slimages.macys.com/is/image/MCY/12279885 ")</f>
        <v xml:space="preserve">http://slimages.macys.com/is/image/MCY/12279885 </v>
      </c>
    </row>
    <row r="235" spans="1:12" ht="24.75" x14ac:dyDescent="0.25">
      <c r="A235" s="4" t="s">
        <v>3619</v>
      </c>
      <c r="B235" s="2" t="s">
        <v>880</v>
      </c>
      <c r="C235" s="3">
        <v>1</v>
      </c>
      <c r="D235" s="5">
        <v>34.5</v>
      </c>
      <c r="E235" s="3" t="s">
        <v>881</v>
      </c>
      <c r="F235" s="2" t="s">
        <v>111</v>
      </c>
      <c r="G235" s="6" t="s">
        <v>58</v>
      </c>
      <c r="H235" s="2" t="s">
        <v>228</v>
      </c>
      <c r="I235" s="2" t="s">
        <v>229</v>
      </c>
      <c r="J235" s="2" t="s">
        <v>19</v>
      </c>
      <c r="K235" s="2" t="s">
        <v>253</v>
      </c>
      <c r="L235" s="7" t="str">
        <f>HYPERLINK("http://slimages.macys.com/is/image/MCY/9867135 ")</f>
        <v xml:space="preserve">http://slimages.macys.com/is/image/MCY/9867135 </v>
      </c>
    </row>
    <row r="236" spans="1:12" ht="24.75" x14ac:dyDescent="0.25">
      <c r="A236" s="4" t="s">
        <v>2480</v>
      </c>
      <c r="B236" s="2" t="s">
        <v>876</v>
      </c>
      <c r="C236" s="3">
        <v>1</v>
      </c>
      <c r="D236" s="5">
        <v>34.5</v>
      </c>
      <c r="E236" s="3" t="s">
        <v>877</v>
      </c>
      <c r="F236" s="2" t="s">
        <v>878</v>
      </c>
      <c r="G236" s="6" t="s">
        <v>205</v>
      </c>
      <c r="H236" s="2" t="s">
        <v>426</v>
      </c>
      <c r="I236" s="2" t="s">
        <v>229</v>
      </c>
      <c r="J236" s="2" t="s">
        <v>19</v>
      </c>
      <c r="K236" s="2" t="s">
        <v>253</v>
      </c>
      <c r="L236" s="7" t="str">
        <f>HYPERLINK("http://slimages.macys.com/is/image/MCY/1290325 ")</f>
        <v xml:space="preserve">http://slimages.macys.com/is/image/MCY/1290325 </v>
      </c>
    </row>
    <row r="237" spans="1:12" ht="24.75" x14ac:dyDescent="0.25">
      <c r="A237" s="4" t="s">
        <v>2481</v>
      </c>
      <c r="B237" s="2" t="s">
        <v>876</v>
      </c>
      <c r="C237" s="3">
        <v>1</v>
      </c>
      <c r="D237" s="5">
        <v>34.5</v>
      </c>
      <c r="E237" s="3" t="s">
        <v>877</v>
      </c>
      <c r="F237" s="2" t="s">
        <v>878</v>
      </c>
      <c r="G237" s="6" t="s">
        <v>934</v>
      </c>
      <c r="H237" s="2" t="s">
        <v>426</v>
      </c>
      <c r="I237" s="2" t="s">
        <v>229</v>
      </c>
      <c r="J237" s="2" t="s">
        <v>19</v>
      </c>
      <c r="K237" s="2" t="s">
        <v>253</v>
      </c>
      <c r="L237" s="7" t="str">
        <f>HYPERLINK("http://slimages.macys.com/is/image/MCY/1290325 ")</f>
        <v xml:space="preserve">http://slimages.macys.com/is/image/MCY/1290325 </v>
      </c>
    </row>
    <row r="238" spans="1:12" ht="24.75" x14ac:dyDescent="0.25">
      <c r="A238" s="4" t="s">
        <v>12972</v>
      </c>
      <c r="B238" s="2" t="s">
        <v>2483</v>
      </c>
      <c r="C238" s="3">
        <v>1</v>
      </c>
      <c r="D238" s="5">
        <v>34.880000000000003</v>
      </c>
      <c r="E238" s="3">
        <v>100058189</v>
      </c>
      <c r="F238" s="2" t="s">
        <v>15</v>
      </c>
      <c r="G238" s="6" t="s">
        <v>141</v>
      </c>
      <c r="H238" s="2" t="s">
        <v>194</v>
      </c>
      <c r="I238" s="2" t="s">
        <v>195</v>
      </c>
      <c r="J238" s="2" t="s">
        <v>19</v>
      </c>
      <c r="K238" s="2" t="s">
        <v>648</v>
      </c>
      <c r="L238" s="7" t="str">
        <f>HYPERLINK("http://slimages.macys.com/is/image/MCY/12802459 ")</f>
        <v xml:space="preserve">http://slimages.macys.com/is/image/MCY/12802459 </v>
      </c>
    </row>
    <row r="239" spans="1:12" ht="24.75" x14ac:dyDescent="0.25">
      <c r="A239" s="4" t="s">
        <v>4725</v>
      </c>
      <c r="B239" s="2" t="s">
        <v>926</v>
      </c>
      <c r="C239" s="3">
        <v>1</v>
      </c>
      <c r="D239" s="5">
        <v>37.130000000000003</v>
      </c>
      <c r="E239" s="3">
        <v>100009311</v>
      </c>
      <c r="F239" s="2" t="s">
        <v>64</v>
      </c>
      <c r="G239" s="6" t="s">
        <v>27</v>
      </c>
      <c r="H239" s="2" t="s">
        <v>194</v>
      </c>
      <c r="I239" s="2" t="s">
        <v>928</v>
      </c>
      <c r="J239" s="2" t="s">
        <v>19</v>
      </c>
      <c r="K239" s="2" t="s">
        <v>929</v>
      </c>
      <c r="L239" s="7" t="str">
        <f>HYPERLINK("http://slimages.macys.com/is/image/MCY/10249270 ")</f>
        <v xml:space="preserve">http://slimages.macys.com/is/image/MCY/10249270 </v>
      </c>
    </row>
    <row r="240" spans="1:12" ht="24.75" x14ac:dyDescent="0.25">
      <c r="A240" s="4" t="s">
        <v>8591</v>
      </c>
      <c r="B240" s="2" t="s">
        <v>926</v>
      </c>
      <c r="C240" s="3">
        <v>1</v>
      </c>
      <c r="D240" s="5">
        <v>37.130000000000003</v>
      </c>
      <c r="E240" s="3">
        <v>100009311</v>
      </c>
      <c r="F240" s="2" t="s">
        <v>64</v>
      </c>
      <c r="G240" s="6" t="s">
        <v>58</v>
      </c>
      <c r="H240" s="2" t="s">
        <v>194</v>
      </c>
      <c r="I240" s="2" t="s">
        <v>928</v>
      </c>
      <c r="J240" s="2" t="s">
        <v>19</v>
      </c>
      <c r="K240" s="2" t="s">
        <v>929</v>
      </c>
      <c r="L240" s="7" t="str">
        <f>HYPERLINK("http://slimages.macys.com/is/image/MCY/10249270 ")</f>
        <v xml:space="preserve">http://slimages.macys.com/is/image/MCY/10249270 </v>
      </c>
    </row>
    <row r="241" spans="1:12" ht="24.75" x14ac:dyDescent="0.25">
      <c r="A241" s="4" t="s">
        <v>8594</v>
      </c>
      <c r="B241" s="2" t="s">
        <v>890</v>
      </c>
      <c r="C241" s="3">
        <v>1</v>
      </c>
      <c r="D241" s="5">
        <v>34.5</v>
      </c>
      <c r="E241" s="3" t="s">
        <v>891</v>
      </c>
      <c r="F241" s="2" t="s">
        <v>64</v>
      </c>
      <c r="G241" s="6" t="s">
        <v>16</v>
      </c>
      <c r="H241" s="2" t="s">
        <v>228</v>
      </c>
      <c r="I241" s="2" t="s">
        <v>229</v>
      </c>
      <c r="J241" s="2" t="s">
        <v>19</v>
      </c>
      <c r="K241" s="2" t="s">
        <v>253</v>
      </c>
      <c r="L241" s="7" t="str">
        <f>HYPERLINK("http://slimages.macys.com/is/image/MCY/3623510 ")</f>
        <v xml:space="preserve">http://slimages.macys.com/is/image/MCY/3623510 </v>
      </c>
    </row>
    <row r="242" spans="1:12" ht="24.75" x14ac:dyDescent="0.25">
      <c r="A242" s="4" t="s">
        <v>7289</v>
      </c>
      <c r="B242" s="2" t="s">
        <v>890</v>
      </c>
      <c r="C242" s="3">
        <v>1</v>
      </c>
      <c r="D242" s="5">
        <v>34.5</v>
      </c>
      <c r="E242" s="3" t="s">
        <v>891</v>
      </c>
      <c r="F242" s="2" t="s">
        <v>64</v>
      </c>
      <c r="G242" s="6" t="s">
        <v>106</v>
      </c>
      <c r="H242" s="2" t="s">
        <v>228</v>
      </c>
      <c r="I242" s="2" t="s">
        <v>229</v>
      </c>
      <c r="J242" s="2" t="s">
        <v>19</v>
      </c>
      <c r="K242" s="2" t="s">
        <v>253</v>
      </c>
      <c r="L242" s="7" t="str">
        <f>HYPERLINK("http://slimages.macys.com/is/image/MCY/3623510 ")</f>
        <v xml:space="preserve">http://slimages.macys.com/is/image/MCY/3623510 </v>
      </c>
    </row>
    <row r="243" spans="1:12" ht="36.75" x14ac:dyDescent="0.25">
      <c r="A243" s="4" t="s">
        <v>8053</v>
      </c>
      <c r="B243" s="2" t="s">
        <v>895</v>
      </c>
      <c r="C243" s="3">
        <v>1</v>
      </c>
      <c r="D243" s="5">
        <v>44.99</v>
      </c>
      <c r="E243" s="3" t="s">
        <v>896</v>
      </c>
      <c r="F243" s="2" t="s">
        <v>53</v>
      </c>
      <c r="G243" s="6" t="s">
        <v>336</v>
      </c>
      <c r="H243" s="2" t="s">
        <v>127</v>
      </c>
      <c r="I243" s="2" t="s">
        <v>541</v>
      </c>
      <c r="J243" s="2" t="s">
        <v>19</v>
      </c>
      <c r="K243" s="2" t="s">
        <v>500</v>
      </c>
      <c r="L243" s="7" t="str">
        <f>HYPERLINK("http://slimages.macys.com/is/image/MCY/16583426 ")</f>
        <v xml:space="preserve">http://slimages.macys.com/is/image/MCY/16583426 </v>
      </c>
    </row>
    <row r="244" spans="1:12" ht="24.75" x14ac:dyDescent="0.25">
      <c r="A244" s="4" t="s">
        <v>12973</v>
      </c>
      <c r="B244" s="2" t="s">
        <v>904</v>
      </c>
      <c r="C244" s="3">
        <v>1</v>
      </c>
      <c r="D244" s="5">
        <v>34.5</v>
      </c>
      <c r="E244" s="3" t="s">
        <v>907</v>
      </c>
      <c r="F244" s="2" t="s">
        <v>26</v>
      </c>
      <c r="G244" s="6" t="s">
        <v>156</v>
      </c>
      <c r="H244" s="2" t="s">
        <v>228</v>
      </c>
      <c r="I244" s="2" t="s">
        <v>229</v>
      </c>
      <c r="J244" s="2" t="s">
        <v>19</v>
      </c>
      <c r="K244" s="2" t="s">
        <v>253</v>
      </c>
      <c r="L244" s="7" t="str">
        <f>HYPERLINK("http://slimages.macys.com/is/image/MCY/12794164 ")</f>
        <v xml:space="preserve">http://slimages.macys.com/is/image/MCY/12794164 </v>
      </c>
    </row>
    <row r="245" spans="1:12" ht="24.75" x14ac:dyDescent="0.25">
      <c r="A245" s="4" t="s">
        <v>12974</v>
      </c>
      <c r="B245" s="2" t="s">
        <v>909</v>
      </c>
      <c r="C245" s="3">
        <v>1</v>
      </c>
      <c r="D245" s="5">
        <v>40.880000000000003</v>
      </c>
      <c r="E245" s="3" t="s">
        <v>7295</v>
      </c>
      <c r="F245" s="2" t="s">
        <v>1584</v>
      </c>
      <c r="G245" s="6" t="s">
        <v>363</v>
      </c>
      <c r="H245" s="2" t="s">
        <v>188</v>
      </c>
      <c r="I245" s="2" t="s">
        <v>189</v>
      </c>
      <c r="J245" s="2" t="s">
        <v>19</v>
      </c>
      <c r="K245" s="2" t="s">
        <v>648</v>
      </c>
      <c r="L245" s="7" t="str">
        <f>HYPERLINK("http://slimages.macys.com/is/image/MCY/12268099 ")</f>
        <v xml:space="preserve">http://slimages.macys.com/is/image/MCY/12268099 </v>
      </c>
    </row>
    <row r="246" spans="1:12" ht="24.75" x14ac:dyDescent="0.25">
      <c r="A246" s="4" t="s">
        <v>7294</v>
      </c>
      <c r="B246" s="2" t="s">
        <v>909</v>
      </c>
      <c r="C246" s="3">
        <v>1</v>
      </c>
      <c r="D246" s="5">
        <v>40.880000000000003</v>
      </c>
      <c r="E246" s="3" t="s">
        <v>7295</v>
      </c>
      <c r="F246" s="2" t="s">
        <v>1584</v>
      </c>
      <c r="G246" s="6" t="s">
        <v>238</v>
      </c>
      <c r="H246" s="2" t="s">
        <v>188</v>
      </c>
      <c r="I246" s="2" t="s">
        <v>189</v>
      </c>
      <c r="J246" s="2" t="s">
        <v>19</v>
      </c>
      <c r="K246" s="2" t="s">
        <v>648</v>
      </c>
      <c r="L246" s="7" t="str">
        <f>HYPERLINK("http://slimages.macys.com/is/image/MCY/12268099 ")</f>
        <v xml:space="preserve">http://slimages.macys.com/is/image/MCY/12268099 </v>
      </c>
    </row>
    <row r="247" spans="1:12" ht="24.75" x14ac:dyDescent="0.25">
      <c r="A247" s="4" t="s">
        <v>7297</v>
      </c>
      <c r="B247" s="2" t="s">
        <v>909</v>
      </c>
      <c r="C247" s="3">
        <v>1</v>
      </c>
      <c r="D247" s="5">
        <v>40.880000000000003</v>
      </c>
      <c r="E247" s="3" t="s">
        <v>7295</v>
      </c>
      <c r="F247" s="2" t="s">
        <v>1584</v>
      </c>
      <c r="G247" s="6" t="s">
        <v>934</v>
      </c>
      <c r="H247" s="2" t="s">
        <v>188</v>
      </c>
      <c r="I247" s="2" t="s">
        <v>189</v>
      </c>
      <c r="J247" s="2" t="s">
        <v>19</v>
      </c>
      <c r="K247" s="2" t="s">
        <v>648</v>
      </c>
      <c r="L247" s="7" t="str">
        <f>HYPERLINK("http://slimages.macys.com/is/image/MCY/12268099 ")</f>
        <v xml:space="preserve">http://slimages.macys.com/is/image/MCY/12268099 </v>
      </c>
    </row>
    <row r="248" spans="1:12" ht="24.75" x14ac:dyDescent="0.25">
      <c r="A248" s="4" t="s">
        <v>3650</v>
      </c>
      <c r="B248" s="2" t="s">
        <v>2476</v>
      </c>
      <c r="C248" s="3">
        <v>1</v>
      </c>
      <c r="D248" s="5">
        <v>40.880000000000003</v>
      </c>
      <c r="E248" s="3" t="s">
        <v>3649</v>
      </c>
      <c r="F248" s="2" t="s">
        <v>1614</v>
      </c>
      <c r="G248" s="6"/>
      <c r="H248" s="2" t="s">
        <v>312</v>
      </c>
      <c r="I248" s="2" t="s">
        <v>195</v>
      </c>
      <c r="J248" s="2" t="s">
        <v>19</v>
      </c>
      <c r="K248" s="2" t="s">
        <v>34</v>
      </c>
      <c r="L248" s="7" t="str">
        <f>HYPERLINK("http://slimages.macys.com/is/image/MCY/11526932 ")</f>
        <v xml:space="preserve">http://slimages.macys.com/is/image/MCY/11526932 </v>
      </c>
    </row>
    <row r="249" spans="1:12" ht="24.75" x14ac:dyDescent="0.25">
      <c r="A249" s="4" t="s">
        <v>12975</v>
      </c>
      <c r="B249" s="2" t="s">
        <v>8598</v>
      </c>
      <c r="C249" s="3">
        <v>1</v>
      </c>
      <c r="D249" s="5">
        <v>44.63</v>
      </c>
      <c r="E249" s="3" t="s">
        <v>10714</v>
      </c>
      <c r="F249" s="2" t="s">
        <v>132</v>
      </c>
      <c r="G249" s="6" t="s">
        <v>156</v>
      </c>
      <c r="H249" s="2" t="s">
        <v>246</v>
      </c>
      <c r="I249" s="2" t="s">
        <v>189</v>
      </c>
      <c r="J249" s="2" t="s">
        <v>19</v>
      </c>
      <c r="K249" s="2" t="s">
        <v>648</v>
      </c>
      <c r="L249" s="7" t="str">
        <f>HYPERLINK("http://slimages.macys.com/is/image/MCY/13330176 ")</f>
        <v xml:space="preserve">http://slimages.macys.com/is/image/MCY/13330176 </v>
      </c>
    </row>
    <row r="250" spans="1:12" ht="24.75" x14ac:dyDescent="0.25">
      <c r="A250" s="4" t="s">
        <v>12976</v>
      </c>
      <c r="B250" s="2" t="s">
        <v>8598</v>
      </c>
      <c r="C250" s="3">
        <v>1</v>
      </c>
      <c r="D250" s="5">
        <v>44.63</v>
      </c>
      <c r="E250" s="3" t="s">
        <v>10714</v>
      </c>
      <c r="F250" s="2" t="s">
        <v>132</v>
      </c>
      <c r="G250" s="6" t="s">
        <v>234</v>
      </c>
      <c r="H250" s="2" t="s">
        <v>246</v>
      </c>
      <c r="I250" s="2" t="s">
        <v>189</v>
      </c>
      <c r="J250" s="2" t="s">
        <v>19</v>
      </c>
      <c r="K250" s="2" t="s">
        <v>648</v>
      </c>
      <c r="L250" s="7" t="str">
        <f>HYPERLINK("http://slimages.macys.com/is/image/MCY/13330176 ")</f>
        <v xml:space="preserve">http://slimages.macys.com/is/image/MCY/13330176 </v>
      </c>
    </row>
    <row r="251" spans="1:12" ht="24.75" x14ac:dyDescent="0.25">
      <c r="A251" s="4" t="s">
        <v>922</v>
      </c>
      <c r="B251" s="2" t="s">
        <v>917</v>
      </c>
      <c r="C251" s="3">
        <v>2</v>
      </c>
      <c r="D251" s="5">
        <v>37.130000000000003</v>
      </c>
      <c r="E251" s="3" t="s">
        <v>918</v>
      </c>
      <c r="F251" s="2" t="s">
        <v>26</v>
      </c>
      <c r="G251" s="6"/>
      <c r="H251" s="2" t="s">
        <v>312</v>
      </c>
      <c r="I251" s="2" t="s">
        <v>919</v>
      </c>
      <c r="J251" s="2" t="s">
        <v>19</v>
      </c>
      <c r="K251" s="2" t="s">
        <v>409</v>
      </c>
      <c r="L251" s="7" t="str">
        <f>HYPERLINK("http://slimages.macys.com/is/image/MCY/11144334 ")</f>
        <v xml:space="preserve">http://slimages.macys.com/is/image/MCY/11144334 </v>
      </c>
    </row>
    <row r="252" spans="1:12" ht="24.75" x14ac:dyDescent="0.25">
      <c r="A252" s="4" t="s">
        <v>12977</v>
      </c>
      <c r="B252" s="2" t="s">
        <v>12053</v>
      </c>
      <c r="C252" s="3">
        <v>1</v>
      </c>
      <c r="D252" s="5">
        <v>34.99</v>
      </c>
      <c r="E252" s="3" t="s">
        <v>12978</v>
      </c>
      <c r="F252" s="2" t="s">
        <v>417</v>
      </c>
      <c r="G252" s="6" t="s">
        <v>238</v>
      </c>
      <c r="H252" s="2" t="s">
        <v>9995</v>
      </c>
      <c r="I252" s="2" t="s">
        <v>1087</v>
      </c>
      <c r="J252" s="2" t="s">
        <v>19</v>
      </c>
      <c r="K252" s="2" t="s">
        <v>387</v>
      </c>
      <c r="L252" s="7" t="str">
        <f>HYPERLINK("http://slimages.macys.com/is/image/MCY/12002481 ")</f>
        <v xml:space="preserve">http://slimages.macys.com/is/image/MCY/12002481 </v>
      </c>
    </row>
    <row r="253" spans="1:12" ht="24.75" x14ac:dyDescent="0.25">
      <c r="A253" s="4" t="s">
        <v>12979</v>
      </c>
      <c r="B253" s="2" t="s">
        <v>11974</v>
      </c>
      <c r="C253" s="3">
        <v>1</v>
      </c>
      <c r="D253" s="5">
        <v>60</v>
      </c>
      <c r="E253" s="3" t="s">
        <v>11975</v>
      </c>
      <c r="F253" s="2" t="s">
        <v>15</v>
      </c>
      <c r="G253" s="6" t="s">
        <v>181</v>
      </c>
      <c r="H253" s="2" t="s">
        <v>10225</v>
      </c>
      <c r="I253" s="2" t="s">
        <v>10226</v>
      </c>
      <c r="J253" s="2" t="s">
        <v>19</v>
      </c>
      <c r="K253" s="2" t="s">
        <v>160</v>
      </c>
      <c r="L253" s="7" t="str">
        <f>HYPERLINK("http://slimages.macys.com/is/image/MCY/13898718 ")</f>
        <v xml:space="preserve">http://slimages.macys.com/is/image/MCY/13898718 </v>
      </c>
    </row>
    <row r="254" spans="1:12" ht="24.75" x14ac:dyDescent="0.25">
      <c r="A254" s="4" t="s">
        <v>12980</v>
      </c>
      <c r="B254" s="2" t="s">
        <v>945</v>
      </c>
      <c r="C254" s="3">
        <v>1</v>
      </c>
      <c r="D254" s="5">
        <v>44.5</v>
      </c>
      <c r="E254" s="3">
        <v>72068</v>
      </c>
      <c r="F254" s="2" t="s">
        <v>74</v>
      </c>
      <c r="G254" s="6" t="s">
        <v>156</v>
      </c>
      <c r="H254" s="2" t="s">
        <v>194</v>
      </c>
      <c r="I254" s="2" t="s">
        <v>195</v>
      </c>
      <c r="J254" s="2" t="s">
        <v>19</v>
      </c>
      <c r="K254" s="2" t="s">
        <v>247</v>
      </c>
      <c r="L254" s="7" t="str">
        <f>HYPERLINK("http://slimages.macys.com/is/image/MCY/3937000 ")</f>
        <v xml:space="preserve">http://slimages.macys.com/is/image/MCY/3937000 </v>
      </c>
    </row>
    <row r="255" spans="1:12" ht="24.75" x14ac:dyDescent="0.25">
      <c r="A255" s="4" t="s">
        <v>12981</v>
      </c>
      <c r="B255" s="2" t="s">
        <v>8063</v>
      </c>
      <c r="C255" s="3">
        <v>1</v>
      </c>
      <c r="D255" s="5">
        <v>59.5</v>
      </c>
      <c r="E255" s="3" t="s">
        <v>7129</v>
      </c>
      <c r="F255" s="2" t="s">
        <v>1322</v>
      </c>
      <c r="G255" s="6" t="s">
        <v>363</v>
      </c>
      <c r="H255" s="2" t="s">
        <v>206</v>
      </c>
      <c r="I255" s="2" t="s">
        <v>1010</v>
      </c>
      <c r="J255" s="2" t="s">
        <v>19</v>
      </c>
      <c r="K255" s="2" t="s">
        <v>160</v>
      </c>
      <c r="L255" s="7" t="str">
        <f>HYPERLINK("http://slimages.macys.com/is/image/MCY/9504083 ")</f>
        <v xml:space="preserve">http://slimages.macys.com/is/image/MCY/9504083 </v>
      </c>
    </row>
    <row r="256" spans="1:12" ht="24.75" x14ac:dyDescent="0.25">
      <c r="A256" s="4" t="s">
        <v>12982</v>
      </c>
      <c r="B256" s="2" t="s">
        <v>12983</v>
      </c>
      <c r="C256" s="3">
        <v>1</v>
      </c>
      <c r="D256" s="5">
        <v>37.130000000000003</v>
      </c>
      <c r="E256" s="3" t="s">
        <v>12984</v>
      </c>
      <c r="F256" s="2" t="s">
        <v>74</v>
      </c>
      <c r="G256" s="6" t="s">
        <v>234</v>
      </c>
      <c r="H256" s="2" t="s">
        <v>194</v>
      </c>
      <c r="I256" s="2" t="s">
        <v>195</v>
      </c>
      <c r="J256" s="2" t="s">
        <v>19</v>
      </c>
      <c r="K256" s="2" t="s">
        <v>442</v>
      </c>
      <c r="L256" s="7" t="str">
        <f>HYPERLINK("http://slimages.macys.com/is/image/MCY/13368006 ")</f>
        <v xml:space="preserve">http://slimages.macys.com/is/image/MCY/13368006 </v>
      </c>
    </row>
    <row r="257" spans="1:12" ht="24.75" x14ac:dyDescent="0.25">
      <c r="A257" s="4" t="s">
        <v>12985</v>
      </c>
      <c r="B257" s="2" t="s">
        <v>2460</v>
      </c>
      <c r="C257" s="3">
        <v>1</v>
      </c>
      <c r="D257" s="5">
        <v>34.880000000000003</v>
      </c>
      <c r="E257" s="3">
        <v>100009313</v>
      </c>
      <c r="F257" s="2" t="s">
        <v>506</v>
      </c>
      <c r="G257" s="6" t="s">
        <v>112</v>
      </c>
      <c r="H257" s="2" t="s">
        <v>194</v>
      </c>
      <c r="I257" s="2" t="s">
        <v>503</v>
      </c>
      <c r="J257" s="2" t="s">
        <v>19</v>
      </c>
      <c r="K257" s="2" t="s">
        <v>353</v>
      </c>
      <c r="L257" s="7" t="str">
        <f>HYPERLINK("http://slimages.macys.com/is/image/MCY/9340611 ")</f>
        <v xml:space="preserve">http://slimages.macys.com/is/image/MCY/9340611 </v>
      </c>
    </row>
    <row r="258" spans="1:12" ht="24.75" x14ac:dyDescent="0.25">
      <c r="A258" s="4" t="s">
        <v>12986</v>
      </c>
      <c r="B258" s="2" t="s">
        <v>941</v>
      </c>
      <c r="C258" s="3">
        <v>1</v>
      </c>
      <c r="D258" s="5">
        <v>40.880000000000003</v>
      </c>
      <c r="E258" s="3" t="s">
        <v>12987</v>
      </c>
      <c r="F258" s="2" t="s">
        <v>74</v>
      </c>
      <c r="G258" s="6" t="s">
        <v>22</v>
      </c>
      <c r="H258" s="2" t="s">
        <v>213</v>
      </c>
      <c r="I258" s="2" t="s">
        <v>214</v>
      </c>
      <c r="J258" s="2" t="s">
        <v>19</v>
      </c>
      <c r="K258" s="2" t="s">
        <v>215</v>
      </c>
      <c r="L258" s="7" t="str">
        <f>HYPERLINK("http://slimages.macys.com/is/image/MCY/11699651 ")</f>
        <v xml:space="preserve">http://slimages.macys.com/is/image/MCY/11699651 </v>
      </c>
    </row>
    <row r="259" spans="1:12" ht="24.75" x14ac:dyDescent="0.25">
      <c r="A259" s="4" t="s">
        <v>12988</v>
      </c>
      <c r="B259" s="2" t="s">
        <v>10719</v>
      </c>
      <c r="C259" s="3">
        <v>4</v>
      </c>
      <c r="D259" s="5">
        <v>40.880000000000003</v>
      </c>
      <c r="E259" s="3" t="s">
        <v>10720</v>
      </c>
      <c r="F259" s="2" t="s">
        <v>26</v>
      </c>
      <c r="G259" s="6" t="s">
        <v>27</v>
      </c>
      <c r="H259" s="2" t="s">
        <v>213</v>
      </c>
      <c r="I259" s="2" t="s">
        <v>214</v>
      </c>
      <c r="J259" s="2" t="s">
        <v>19</v>
      </c>
      <c r="K259" s="2" t="s">
        <v>215</v>
      </c>
      <c r="L259" s="7" t="str">
        <f>HYPERLINK("http://slimages.macys.com/is/image/MCY/11699651 ")</f>
        <v xml:space="preserve">http://slimages.macys.com/is/image/MCY/11699651 </v>
      </c>
    </row>
    <row r="260" spans="1:12" ht="24.75" x14ac:dyDescent="0.25">
      <c r="A260" s="4" t="s">
        <v>12989</v>
      </c>
      <c r="B260" s="2" t="s">
        <v>3658</v>
      </c>
      <c r="C260" s="3">
        <v>1</v>
      </c>
      <c r="D260" s="5">
        <v>37.130000000000003</v>
      </c>
      <c r="E260" s="3" t="s">
        <v>3659</v>
      </c>
      <c r="F260" s="2" t="s">
        <v>15</v>
      </c>
      <c r="G260" s="6" t="s">
        <v>181</v>
      </c>
      <c r="H260" s="2" t="s">
        <v>284</v>
      </c>
      <c r="I260" s="2" t="s">
        <v>408</v>
      </c>
      <c r="J260" s="2" t="s">
        <v>19</v>
      </c>
      <c r="K260" s="2" t="s">
        <v>409</v>
      </c>
      <c r="L260" s="7" t="str">
        <f>HYPERLINK("http://slimages.macys.com/is/image/MCY/12343091 ")</f>
        <v xml:space="preserve">http://slimages.macys.com/is/image/MCY/12343091 </v>
      </c>
    </row>
    <row r="261" spans="1:12" ht="24.75" x14ac:dyDescent="0.25">
      <c r="A261" s="4" t="s">
        <v>2501</v>
      </c>
      <c r="B261" s="2" t="s">
        <v>948</v>
      </c>
      <c r="C261" s="3">
        <v>1</v>
      </c>
      <c r="D261" s="5">
        <v>34.880000000000003</v>
      </c>
      <c r="E261" s="3">
        <v>100038962</v>
      </c>
      <c r="F261" s="2" t="s">
        <v>376</v>
      </c>
      <c r="G261" s="6" t="s">
        <v>58</v>
      </c>
      <c r="H261" s="2" t="s">
        <v>194</v>
      </c>
      <c r="I261" s="2" t="s">
        <v>195</v>
      </c>
      <c r="J261" s="2" t="s">
        <v>19</v>
      </c>
      <c r="K261" s="2" t="s">
        <v>353</v>
      </c>
      <c r="L261" s="7" t="str">
        <f>HYPERLINK("http://slimages.macys.com/is/image/MCY/11145019 ")</f>
        <v xml:space="preserve">http://slimages.macys.com/is/image/MCY/11145019 </v>
      </c>
    </row>
    <row r="262" spans="1:12" ht="24.75" x14ac:dyDescent="0.25">
      <c r="A262" s="4" t="s">
        <v>12990</v>
      </c>
      <c r="B262" s="2" t="s">
        <v>12991</v>
      </c>
      <c r="C262" s="3">
        <v>1</v>
      </c>
      <c r="D262" s="5">
        <v>44.63</v>
      </c>
      <c r="E262" s="3" t="s">
        <v>12992</v>
      </c>
      <c r="F262" s="2" t="s">
        <v>74</v>
      </c>
      <c r="G262" s="6" t="s">
        <v>156</v>
      </c>
      <c r="H262" s="2" t="s">
        <v>284</v>
      </c>
      <c r="I262" s="2" t="s">
        <v>285</v>
      </c>
      <c r="J262" s="2" t="s">
        <v>19</v>
      </c>
      <c r="K262" s="2" t="s">
        <v>75</v>
      </c>
      <c r="L262" s="7" t="str">
        <f>HYPERLINK("http://slimages.macys.com/is/image/MCY/13401445 ")</f>
        <v xml:space="preserve">http://slimages.macys.com/is/image/MCY/13401445 </v>
      </c>
    </row>
    <row r="263" spans="1:12" ht="24.75" x14ac:dyDescent="0.25">
      <c r="A263" s="4" t="s">
        <v>10725</v>
      </c>
      <c r="B263" s="2" t="s">
        <v>10724</v>
      </c>
      <c r="C263" s="3">
        <v>1</v>
      </c>
      <c r="D263" s="5">
        <v>37.130000000000003</v>
      </c>
      <c r="E263" s="3">
        <v>100013675</v>
      </c>
      <c r="F263" s="2" t="s">
        <v>111</v>
      </c>
      <c r="G263" s="6" t="s">
        <v>245</v>
      </c>
      <c r="H263" s="2" t="s">
        <v>194</v>
      </c>
      <c r="I263" s="2" t="s">
        <v>503</v>
      </c>
      <c r="J263" s="2" t="s">
        <v>19</v>
      </c>
      <c r="K263" s="2" t="s">
        <v>546</v>
      </c>
      <c r="L263" s="7" t="str">
        <f>HYPERLINK("http://slimages.macys.com/is/image/MCY/9340718 ")</f>
        <v xml:space="preserve">http://slimages.macys.com/is/image/MCY/9340718 </v>
      </c>
    </row>
    <row r="264" spans="1:12" ht="24.75" x14ac:dyDescent="0.25">
      <c r="A264" s="4" t="s">
        <v>11980</v>
      </c>
      <c r="B264" s="2" t="s">
        <v>10724</v>
      </c>
      <c r="C264" s="3">
        <v>1</v>
      </c>
      <c r="D264" s="5">
        <v>37.130000000000003</v>
      </c>
      <c r="E264" s="3">
        <v>100013675</v>
      </c>
      <c r="F264" s="2" t="s">
        <v>111</v>
      </c>
      <c r="G264" s="6" t="s">
        <v>156</v>
      </c>
      <c r="H264" s="2" t="s">
        <v>194</v>
      </c>
      <c r="I264" s="2" t="s">
        <v>503</v>
      </c>
      <c r="J264" s="2" t="s">
        <v>19</v>
      </c>
      <c r="K264" s="2" t="s">
        <v>546</v>
      </c>
      <c r="L264" s="7" t="str">
        <f>HYPERLINK("http://slimages.macys.com/is/image/MCY/9340718 ")</f>
        <v xml:space="preserve">http://slimages.macys.com/is/image/MCY/9340718 </v>
      </c>
    </row>
    <row r="265" spans="1:12" ht="24.75" x14ac:dyDescent="0.25">
      <c r="A265" s="4" t="s">
        <v>12993</v>
      </c>
      <c r="B265" s="2" t="s">
        <v>10724</v>
      </c>
      <c r="C265" s="3">
        <v>1</v>
      </c>
      <c r="D265" s="5">
        <v>37.130000000000003</v>
      </c>
      <c r="E265" s="3">
        <v>100013675</v>
      </c>
      <c r="F265" s="2" t="s">
        <v>33</v>
      </c>
      <c r="G265" s="6" t="s">
        <v>181</v>
      </c>
      <c r="H265" s="2" t="s">
        <v>194</v>
      </c>
      <c r="I265" s="2" t="s">
        <v>503</v>
      </c>
      <c r="J265" s="2" t="s">
        <v>19</v>
      </c>
      <c r="K265" s="2" t="s">
        <v>546</v>
      </c>
      <c r="L265" s="7" t="str">
        <f>HYPERLINK("http://slimages.macys.com/is/image/MCY/9340718 ")</f>
        <v xml:space="preserve">http://slimages.macys.com/is/image/MCY/9340718 </v>
      </c>
    </row>
    <row r="266" spans="1:12" ht="24.75" x14ac:dyDescent="0.25">
      <c r="A266" s="4" t="s">
        <v>12994</v>
      </c>
      <c r="B266" s="2" t="s">
        <v>808</v>
      </c>
      <c r="C266" s="3">
        <v>1</v>
      </c>
      <c r="D266" s="5">
        <v>37.130000000000003</v>
      </c>
      <c r="E266" s="3">
        <v>100013676</v>
      </c>
      <c r="F266" s="2" t="s">
        <v>170</v>
      </c>
      <c r="G266" s="6" t="s">
        <v>154</v>
      </c>
      <c r="H266" s="2" t="s">
        <v>194</v>
      </c>
      <c r="I266" s="2" t="s">
        <v>503</v>
      </c>
      <c r="J266" s="2" t="s">
        <v>19</v>
      </c>
      <c r="K266" s="2" t="s">
        <v>546</v>
      </c>
      <c r="L266" s="7" t="str">
        <f>HYPERLINK("http://slimages.macys.com/is/image/MCY/13785844 ")</f>
        <v xml:space="preserve">http://slimages.macys.com/is/image/MCY/13785844 </v>
      </c>
    </row>
    <row r="267" spans="1:12" ht="24.75" x14ac:dyDescent="0.25">
      <c r="A267" s="4" t="s">
        <v>12995</v>
      </c>
      <c r="B267" s="2" t="s">
        <v>890</v>
      </c>
      <c r="C267" s="3">
        <v>1</v>
      </c>
      <c r="D267" s="5">
        <v>34.5</v>
      </c>
      <c r="E267" s="3" t="s">
        <v>3670</v>
      </c>
      <c r="F267" s="2" t="s">
        <v>15</v>
      </c>
      <c r="G267" s="6" t="s">
        <v>10852</v>
      </c>
      <c r="H267" s="2" t="s">
        <v>228</v>
      </c>
      <c r="I267" s="2" t="s">
        <v>863</v>
      </c>
      <c r="J267" s="2" t="s">
        <v>19</v>
      </c>
      <c r="K267" s="2" t="s">
        <v>253</v>
      </c>
      <c r="L267" s="7" t="str">
        <f>HYPERLINK("http://slimages.macys.com/is/image/MCY/9864908 ")</f>
        <v xml:space="preserve">http://slimages.macys.com/is/image/MCY/9864908 </v>
      </c>
    </row>
    <row r="268" spans="1:12" ht="36.75" x14ac:dyDescent="0.25">
      <c r="A268" s="4" t="s">
        <v>10735</v>
      </c>
      <c r="B268" s="2" t="s">
        <v>964</v>
      </c>
      <c r="C268" s="3">
        <v>1</v>
      </c>
      <c r="D268" s="5">
        <v>37.130000000000003</v>
      </c>
      <c r="E268" s="3">
        <v>100026210</v>
      </c>
      <c r="F268" s="2" t="s">
        <v>376</v>
      </c>
      <c r="G268" s="6" t="s">
        <v>234</v>
      </c>
      <c r="H268" s="2" t="s">
        <v>194</v>
      </c>
      <c r="I268" s="2" t="s">
        <v>195</v>
      </c>
      <c r="J268" s="2" t="s">
        <v>19</v>
      </c>
      <c r="K268" s="2" t="s">
        <v>965</v>
      </c>
      <c r="L268" s="7" t="str">
        <f>HYPERLINK("http://slimages.macys.com/is/image/MCY/10049790 ")</f>
        <v xml:space="preserve">http://slimages.macys.com/is/image/MCY/10049790 </v>
      </c>
    </row>
    <row r="269" spans="1:12" ht="36.75" x14ac:dyDescent="0.25">
      <c r="A269" s="4" t="s">
        <v>12996</v>
      </c>
      <c r="B269" s="2" t="s">
        <v>964</v>
      </c>
      <c r="C269" s="3">
        <v>1</v>
      </c>
      <c r="D269" s="5">
        <v>37.130000000000003</v>
      </c>
      <c r="E269" s="3">
        <v>100026210</v>
      </c>
      <c r="F269" s="2" t="s">
        <v>956</v>
      </c>
      <c r="G269" s="6" t="s">
        <v>200</v>
      </c>
      <c r="H269" s="2" t="s">
        <v>194</v>
      </c>
      <c r="I269" s="2" t="s">
        <v>195</v>
      </c>
      <c r="J269" s="2" t="s">
        <v>19</v>
      </c>
      <c r="K269" s="2" t="s">
        <v>965</v>
      </c>
      <c r="L269" s="7" t="str">
        <f>HYPERLINK("http://slimages.macys.com/is/image/MCY/9714233 ")</f>
        <v xml:space="preserve">http://slimages.macys.com/is/image/MCY/9714233 </v>
      </c>
    </row>
    <row r="270" spans="1:12" ht="36.75" x14ac:dyDescent="0.25">
      <c r="A270" s="4" t="s">
        <v>12997</v>
      </c>
      <c r="B270" s="2" t="s">
        <v>964</v>
      </c>
      <c r="C270" s="3">
        <v>1</v>
      </c>
      <c r="D270" s="5">
        <v>37.130000000000003</v>
      </c>
      <c r="E270" s="3">
        <v>100026210</v>
      </c>
      <c r="F270" s="2" t="s">
        <v>193</v>
      </c>
      <c r="G270" s="6" t="s">
        <v>234</v>
      </c>
      <c r="H270" s="2" t="s">
        <v>194</v>
      </c>
      <c r="I270" s="2" t="s">
        <v>195</v>
      </c>
      <c r="J270" s="2" t="s">
        <v>19</v>
      </c>
      <c r="K270" s="2" t="s">
        <v>965</v>
      </c>
      <c r="L270" s="7" t="str">
        <f>HYPERLINK("http://slimages.macys.com/is/image/MCY/10049790 ")</f>
        <v xml:space="preserve">http://slimages.macys.com/is/image/MCY/10049790 </v>
      </c>
    </row>
    <row r="271" spans="1:12" ht="24.75" x14ac:dyDescent="0.25">
      <c r="A271" s="4" t="s">
        <v>10739</v>
      </c>
      <c r="B271" s="2" t="s">
        <v>1002</v>
      </c>
      <c r="C271" s="3">
        <v>2</v>
      </c>
      <c r="D271" s="5">
        <v>44.63</v>
      </c>
      <c r="E271" s="3">
        <v>100015592</v>
      </c>
      <c r="F271" s="2" t="s">
        <v>15</v>
      </c>
      <c r="G271" s="6" t="s">
        <v>181</v>
      </c>
      <c r="H271" s="2" t="s">
        <v>194</v>
      </c>
      <c r="I271" s="2" t="s">
        <v>195</v>
      </c>
      <c r="J271" s="2" t="s">
        <v>19</v>
      </c>
      <c r="K271" s="2" t="s">
        <v>137</v>
      </c>
      <c r="L271" s="7" t="str">
        <f>HYPERLINK("http://slimages.macys.com/is/image/MCY/9653304 ")</f>
        <v xml:space="preserve">http://slimages.macys.com/is/image/MCY/9653304 </v>
      </c>
    </row>
    <row r="272" spans="1:12" ht="48.75" x14ac:dyDescent="0.25">
      <c r="A272" s="4" t="s">
        <v>12998</v>
      </c>
      <c r="B272" s="2" t="s">
        <v>12999</v>
      </c>
      <c r="C272" s="3">
        <v>1</v>
      </c>
      <c r="D272" s="5">
        <v>36.5</v>
      </c>
      <c r="E272" s="3" t="s">
        <v>13000</v>
      </c>
      <c r="F272" s="2" t="s">
        <v>64</v>
      </c>
      <c r="G272" s="6" t="s">
        <v>234</v>
      </c>
      <c r="H272" s="2" t="s">
        <v>194</v>
      </c>
      <c r="I272" s="2" t="s">
        <v>195</v>
      </c>
      <c r="J272" s="2" t="s">
        <v>19</v>
      </c>
      <c r="K272" s="2" t="s">
        <v>13001</v>
      </c>
      <c r="L272" s="7" t="str">
        <f>HYPERLINK("http://slimages.macys.com/is/image/MCY/11935547 ")</f>
        <v xml:space="preserve">http://slimages.macys.com/is/image/MCY/11935547 </v>
      </c>
    </row>
    <row r="273" spans="1:12" ht="24.75" x14ac:dyDescent="0.25">
      <c r="A273" s="4" t="s">
        <v>13002</v>
      </c>
      <c r="B273" s="2" t="s">
        <v>1002</v>
      </c>
      <c r="C273" s="3">
        <v>1</v>
      </c>
      <c r="D273" s="5">
        <v>44.63</v>
      </c>
      <c r="E273" s="3">
        <v>100015592</v>
      </c>
      <c r="F273" s="2" t="s">
        <v>15</v>
      </c>
      <c r="G273" s="6" t="s">
        <v>200</v>
      </c>
      <c r="H273" s="2" t="s">
        <v>194</v>
      </c>
      <c r="I273" s="2" t="s">
        <v>195</v>
      </c>
      <c r="J273" s="2" t="s">
        <v>19</v>
      </c>
      <c r="K273" s="2" t="s">
        <v>137</v>
      </c>
      <c r="L273" s="7" t="str">
        <f>HYPERLINK("http://slimages.macys.com/is/image/MCY/9653304 ")</f>
        <v xml:space="preserve">http://slimages.macys.com/is/image/MCY/9653304 </v>
      </c>
    </row>
    <row r="274" spans="1:12" ht="24.75" x14ac:dyDescent="0.25">
      <c r="A274" s="4" t="s">
        <v>10737</v>
      </c>
      <c r="B274" s="2" t="s">
        <v>1002</v>
      </c>
      <c r="C274" s="3">
        <v>3</v>
      </c>
      <c r="D274" s="5">
        <v>44.63</v>
      </c>
      <c r="E274" s="3">
        <v>100015592</v>
      </c>
      <c r="F274" s="2" t="s">
        <v>15</v>
      </c>
      <c r="G274" s="6" t="s">
        <v>234</v>
      </c>
      <c r="H274" s="2" t="s">
        <v>194</v>
      </c>
      <c r="I274" s="2" t="s">
        <v>195</v>
      </c>
      <c r="J274" s="2" t="s">
        <v>19</v>
      </c>
      <c r="K274" s="2" t="s">
        <v>137</v>
      </c>
      <c r="L274" s="7" t="str">
        <f>HYPERLINK("http://slimages.macys.com/is/image/MCY/9653304 ")</f>
        <v xml:space="preserve">http://slimages.macys.com/is/image/MCY/9653304 </v>
      </c>
    </row>
    <row r="275" spans="1:12" ht="24.75" x14ac:dyDescent="0.25">
      <c r="A275" s="4" t="s">
        <v>10740</v>
      </c>
      <c r="B275" s="2" t="s">
        <v>1002</v>
      </c>
      <c r="C275" s="3">
        <v>1</v>
      </c>
      <c r="D275" s="5">
        <v>44.63</v>
      </c>
      <c r="E275" s="3">
        <v>100015592</v>
      </c>
      <c r="F275" s="2" t="s">
        <v>15</v>
      </c>
      <c r="G275" s="6" t="s">
        <v>154</v>
      </c>
      <c r="H275" s="2" t="s">
        <v>194</v>
      </c>
      <c r="I275" s="2" t="s">
        <v>195</v>
      </c>
      <c r="J275" s="2" t="s">
        <v>19</v>
      </c>
      <c r="K275" s="2" t="s">
        <v>137</v>
      </c>
      <c r="L275" s="7" t="str">
        <f>HYPERLINK("http://slimages.macys.com/is/image/MCY/9653304 ")</f>
        <v xml:space="preserve">http://slimages.macys.com/is/image/MCY/9653304 </v>
      </c>
    </row>
    <row r="276" spans="1:12" ht="24.75" x14ac:dyDescent="0.25">
      <c r="A276" s="4" t="s">
        <v>980</v>
      </c>
      <c r="B276" s="2" t="s">
        <v>641</v>
      </c>
      <c r="C276" s="3">
        <v>1</v>
      </c>
      <c r="D276" s="5">
        <v>29.99</v>
      </c>
      <c r="E276" s="3" t="s">
        <v>977</v>
      </c>
      <c r="F276" s="2" t="s">
        <v>74</v>
      </c>
      <c r="G276" s="6" t="s">
        <v>181</v>
      </c>
      <c r="H276" s="2" t="s">
        <v>284</v>
      </c>
      <c r="I276" s="2" t="s">
        <v>408</v>
      </c>
      <c r="J276" s="2" t="s">
        <v>19</v>
      </c>
      <c r="K276" s="2" t="s">
        <v>409</v>
      </c>
      <c r="L276" s="7" t="str">
        <f>HYPERLINK("http://slimages.macys.com/is/image/MCY/9387631 ")</f>
        <v xml:space="preserve">http://slimages.macys.com/is/image/MCY/9387631 </v>
      </c>
    </row>
    <row r="277" spans="1:12" ht="24.75" x14ac:dyDescent="0.25">
      <c r="A277" s="4" t="s">
        <v>13003</v>
      </c>
      <c r="B277" s="2" t="s">
        <v>13004</v>
      </c>
      <c r="C277" s="3">
        <v>1</v>
      </c>
      <c r="D277" s="5">
        <v>56</v>
      </c>
      <c r="E277" s="3" t="s">
        <v>13005</v>
      </c>
      <c r="F277" s="2" t="s">
        <v>79</v>
      </c>
      <c r="G277" s="6" t="s">
        <v>181</v>
      </c>
      <c r="H277" s="2" t="s">
        <v>10225</v>
      </c>
      <c r="I277" s="2" t="s">
        <v>10226</v>
      </c>
      <c r="J277" s="2" t="s">
        <v>19</v>
      </c>
      <c r="K277" s="2" t="s">
        <v>10950</v>
      </c>
      <c r="L277" s="7" t="str">
        <f>HYPERLINK("http://slimages.macys.com/is/image/MCY/11621428 ")</f>
        <v xml:space="preserve">http://slimages.macys.com/is/image/MCY/11621428 </v>
      </c>
    </row>
    <row r="278" spans="1:12" ht="24.75" x14ac:dyDescent="0.25">
      <c r="A278" s="4" t="s">
        <v>10744</v>
      </c>
      <c r="B278" s="2" t="s">
        <v>10745</v>
      </c>
      <c r="C278" s="3">
        <v>1</v>
      </c>
      <c r="D278" s="5">
        <v>58</v>
      </c>
      <c r="E278" s="3" t="s">
        <v>10746</v>
      </c>
      <c r="F278" s="2" t="s">
        <v>64</v>
      </c>
      <c r="G278" s="6" t="s">
        <v>234</v>
      </c>
      <c r="H278" s="2" t="s">
        <v>10225</v>
      </c>
      <c r="I278" s="2" t="s">
        <v>10226</v>
      </c>
      <c r="J278" s="2" t="s">
        <v>19</v>
      </c>
      <c r="K278" s="2" t="s">
        <v>247</v>
      </c>
      <c r="L278" s="7" t="str">
        <f>HYPERLINK("http://slimages.macys.com/is/image/MCY/11621458 ")</f>
        <v xml:space="preserve">http://slimages.macys.com/is/image/MCY/11621458 </v>
      </c>
    </row>
    <row r="279" spans="1:12" ht="24.75" x14ac:dyDescent="0.25">
      <c r="A279" s="4" t="s">
        <v>10747</v>
      </c>
      <c r="B279" s="2" t="s">
        <v>744</v>
      </c>
      <c r="C279" s="3">
        <v>1</v>
      </c>
      <c r="D279" s="5">
        <v>34.99</v>
      </c>
      <c r="E279" s="3" t="s">
        <v>979</v>
      </c>
      <c r="F279" s="2" t="s">
        <v>85</v>
      </c>
      <c r="G279" s="6" t="s">
        <v>181</v>
      </c>
      <c r="H279" s="2" t="s">
        <v>284</v>
      </c>
      <c r="I279" s="2" t="s">
        <v>285</v>
      </c>
      <c r="J279" s="2" t="s">
        <v>19</v>
      </c>
      <c r="K279" s="2" t="s">
        <v>34</v>
      </c>
      <c r="L279" s="7" t="str">
        <f>HYPERLINK("http://slimages.macys.com/is/image/MCY/9723880 ")</f>
        <v xml:space="preserve">http://slimages.macys.com/is/image/MCY/9723880 </v>
      </c>
    </row>
    <row r="280" spans="1:12" ht="24.75" x14ac:dyDescent="0.25">
      <c r="A280" s="4" t="s">
        <v>13006</v>
      </c>
      <c r="B280" s="2" t="s">
        <v>3688</v>
      </c>
      <c r="C280" s="3">
        <v>1</v>
      </c>
      <c r="D280" s="5">
        <v>59.5</v>
      </c>
      <c r="E280" s="3" t="s">
        <v>3689</v>
      </c>
      <c r="F280" s="2" t="s">
        <v>252</v>
      </c>
      <c r="G280" s="6" t="s">
        <v>934</v>
      </c>
      <c r="H280" s="2" t="s">
        <v>206</v>
      </c>
      <c r="I280" s="2" t="s">
        <v>207</v>
      </c>
      <c r="J280" s="2" t="s">
        <v>19</v>
      </c>
      <c r="K280" s="2" t="s">
        <v>338</v>
      </c>
      <c r="L280" s="7" t="str">
        <f>HYPERLINK("http://slimages.macys.com/is/image/MCY/11782534 ")</f>
        <v xml:space="preserve">http://slimages.macys.com/is/image/MCY/11782534 </v>
      </c>
    </row>
    <row r="281" spans="1:12" ht="24.75" x14ac:dyDescent="0.25">
      <c r="A281" s="4" t="s">
        <v>13007</v>
      </c>
      <c r="B281" s="2" t="s">
        <v>10751</v>
      </c>
      <c r="C281" s="3">
        <v>1</v>
      </c>
      <c r="D281" s="5">
        <v>34.880000000000003</v>
      </c>
      <c r="E281" s="3">
        <v>100018048</v>
      </c>
      <c r="F281" s="2" t="s">
        <v>562</v>
      </c>
      <c r="G281" s="6" t="s">
        <v>112</v>
      </c>
      <c r="H281" s="2" t="s">
        <v>194</v>
      </c>
      <c r="I281" s="2" t="s">
        <v>503</v>
      </c>
      <c r="J281" s="2" t="s">
        <v>19</v>
      </c>
      <c r="K281" s="2" t="s">
        <v>353</v>
      </c>
      <c r="L281" s="7" t="str">
        <f t="shared" ref="L281:L288" si="0">HYPERLINK("http://slimages.macys.com/is/image/MCY/9864796 ")</f>
        <v xml:space="preserve">http://slimages.macys.com/is/image/MCY/9864796 </v>
      </c>
    </row>
    <row r="282" spans="1:12" ht="24.75" x14ac:dyDescent="0.25">
      <c r="A282" s="4" t="s">
        <v>10752</v>
      </c>
      <c r="B282" s="2" t="s">
        <v>10751</v>
      </c>
      <c r="C282" s="3">
        <v>1</v>
      </c>
      <c r="D282" s="5">
        <v>34.880000000000003</v>
      </c>
      <c r="E282" s="3">
        <v>100018048</v>
      </c>
      <c r="F282" s="2" t="s">
        <v>74</v>
      </c>
      <c r="G282" s="6" t="s">
        <v>65</v>
      </c>
      <c r="H282" s="2" t="s">
        <v>194</v>
      </c>
      <c r="I282" s="2" t="s">
        <v>503</v>
      </c>
      <c r="J282" s="2" t="s">
        <v>19</v>
      </c>
      <c r="K282" s="2" t="s">
        <v>353</v>
      </c>
      <c r="L282" s="7" t="str">
        <f t="shared" si="0"/>
        <v xml:space="preserve">http://slimages.macys.com/is/image/MCY/9864796 </v>
      </c>
    </row>
    <row r="283" spans="1:12" ht="24.75" x14ac:dyDescent="0.25">
      <c r="A283" s="4" t="s">
        <v>10754</v>
      </c>
      <c r="B283" s="2" t="s">
        <v>10751</v>
      </c>
      <c r="C283" s="3">
        <v>1</v>
      </c>
      <c r="D283" s="5">
        <v>34.880000000000003</v>
      </c>
      <c r="E283" s="3">
        <v>100018048</v>
      </c>
      <c r="F283" s="2" t="s">
        <v>26</v>
      </c>
      <c r="G283" s="6" t="s">
        <v>112</v>
      </c>
      <c r="H283" s="2" t="s">
        <v>194</v>
      </c>
      <c r="I283" s="2" t="s">
        <v>503</v>
      </c>
      <c r="J283" s="2" t="s">
        <v>19</v>
      </c>
      <c r="K283" s="2" t="s">
        <v>353</v>
      </c>
      <c r="L283" s="7" t="str">
        <f t="shared" si="0"/>
        <v xml:space="preserve">http://slimages.macys.com/is/image/MCY/9864796 </v>
      </c>
    </row>
    <row r="284" spans="1:12" ht="24.75" x14ac:dyDescent="0.25">
      <c r="A284" s="4" t="s">
        <v>10753</v>
      </c>
      <c r="B284" s="2" t="s">
        <v>10751</v>
      </c>
      <c r="C284" s="3">
        <v>1</v>
      </c>
      <c r="D284" s="5">
        <v>34.880000000000003</v>
      </c>
      <c r="E284" s="3">
        <v>100018048</v>
      </c>
      <c r="F284" s="2" t="s">
        <v>566</v>
      </c>
      <c r="G284" s="6" t="s">
        <v>22</v>
      </c>
      <c r="H284" s="2" t="s">
        <v>194</v>
      </c>
      <c r="I284" s="2" t="s">
        <v>503</v>
      </c>
      <c r="J284" s="2" t="s">
        <v>19</v>
      </c>
      <c r="K284" s="2" t="s">
        <v>353</v>
      </c>
      <c r="L284" s="7" t="str">
        <f t="shared" si="0"/>
        <v xml:space="preserve">http://slimages.macys.com/is/image/MCY/9864796 </v>
      </c>
    </row>
    <row r="285" spans="1:12" ht="24.75" x14ac:dyDescent="0.25">
      <c r="A285" s="4" t="s">
        <v>13008</v>
      </c>
      <c r="B285" s="2" t="s">
        <v>10751</v>
      </c>
      <c r="C285" s="3">
        <v>1</v>
      </c>
      <c r="D285" s="5">
        <v>34.880000000000003</v>
      </c>
      <c r="E285" s="3">
        <v>100018048</v>
      </c>
      <c r="F285" s="2" t="s">
        <v>74</v>
      </c>
      <c r="G285" s="6" t="s">
        <v>27</v>
      </c>
      <c r="H285" s="2" t="s">
        <v>194</v>
      </c>
      <c r="I285" s="2" t="s">
        <v>503</v>
      </c>
      <c r="J285" s="2" t="s">
        <v>19</v>
      </c>
      <c r="K285" s="2" t="s">
        <v>353</v>
      </c>
      <c r="L285" s="7" t="str">
        <f t="shared" si="0"/>
        <v xml:space="preserve">http://slimages.macys.com/is/image/MCY/9864796 </v>
      </c>
    </row>
    <row r="286" spans="1:12" ht="24.75" x14ac:dyDescent="0.25">
      <c r="A286" s="4" t="s">
        <v>13009</v>
      </c>
      <c r="B286" s="2" t="s">
        <v>10751</v>
      </c>
      <c r="C286" s="3">
        <v>1</v>
      </c>
      <c r="D286" s="5">
        <v>34.880000000000003</v>
      </c>
      <c r="E286" s="3">
        <v>100018048</v>
      </c>
      <c r="F286" s="2" t="s">
        <v>566</v>
      </c>
      <c r="G286" s="6" t="s">
        <v>106</v>
      </c>
      <c r="H286" s="2" t="s">
        <v>194</v>
      </c>
      <c r="I286" s="2" t="s">
        <v>503</v>
      </c>
      <c r="J286" s="2" t="s">
        <v>19</v>
      </c>
      <c r="K286" s="2" t="s">
        <v>353</v>
      </c>
      <c r="L286" s="7" t="str">
        <f t="shared" si="0"/>
        <v xml:space="preserve">http://slimages.macys.com/is/image/MCY/9864796 </v>
      </c>
    </row>
    <row r="287" spans="1:12" ht="24.75" x14ac:dyDescent="0.25">
      <c r="A287" s="4" t="s">
        <v>13010</v>
      </c>
      <c r="B287" s="2" t="s">
        <v>10751</v>
      </c>
      <c r="C287" s="3">
        <v>1</v>
      </c>
      <c r="D287" s="5">
        <v>34.880000000000003</v>
      </c>
      <c r="E287" s="3">
        <v>100018048</v>
      </c>
      <c r="F287" s="2" t="s">
        <v>562</v>
      </c>
      <c r="G287" s="6" t="s">
        <v>16</v>
      </c>
      <c r="H287" s="2" t="s">
        <v>194</v>
      </c>
      <c r="I287" s="2" t="s">
        <v>503</v>
      </c>
      <c r="J287" s="2" t="s">
        <v>19</v>
      </c>
      <c r="K287" s="2" t="s">
        <v>353</v>
      </c>
      <c r="L287" s="7" t="str">
        <f t="shared" si="0"/>
        <v xml:space="preserve">http://slimages.macys.com/is/image/MCY/9864796 </v>
      </c>
    </row>
    <row r="288" spans="1:12" ht="24.75" x14ac:dyDescent="0.25">
      <c r="A288" s="4" t="s">
        <v>13011</v>
      </c>
      <c r="B288" s="2" t="s">
        <v>10751</v>
      </c>
      <c r="C288" s="3">
        <v>1</v>
      </c>
      <c r="D288" s="5">
        <v>34.880000000000003</v>
      </c>
      <c r="E288" s="3">
        <v>100018048</v>
      </c>
      <c r="F288" s="2" t="s">
        <v>26</v>
      </c>
      <c r="G288" s="6" t="s">
        <v>16</v>
      </c>
      <c r="H288" s="2" t="s">
        <v>194</v>
      </c>
      <c r="I288" s="2" t="s">
        <v>503</v>
      </c>
      <c r="J288" s="2" t="s">
        <v>19</v>
      </c>
      <c r="K288" s="2" t="s">
        <v>353</v>
      </c>
      <c r="L288" s="7" t="str">
        <f t="shared" si="0"/>
        <v xml:space="preserve">http://slimages.macys.com/is/image/MCY/9864796 </v>
      </c>
    </row>
    <row r="289" spans="1:12" ht="24.75" x14ac:dyDescent="0.25">
      <c r="A289" s="4" t="s">
        <v>5692</v>
      </c>
      <c r="B289" s="2" t="s">
        <v>936</v>
      </c>
      <c r="C289" s="3">
        <v>1</v>
      </c>
      <c r="D289" s="5">
        <v>34.5</v>
      </c>
      <c r="E289" s="3">
        <v>100040726</v>
      </c>
      <c r="F289" s="2" t="s">
        <v>417</v>
      </c>
      <c r="G289" s="6" t="s">
        <v>106</v>
      </c>
      <c r="H289" s="2" t="s">
        <v>228</v>
      </c>
      <c r="I289" s="2" t="s">
        <v>229</v>
      </c>
      <c r="J289" s="2" t="s">
        <v>19</v>
      </c>
      <c r="K289" s="2" t="s">
        <v>230</v>
      </c>
      <c r="L289" s="7" t="str">
        <f>HYPERLINK("http://slimages.macys.com/is/image/MCY/10985237 ")</f>
        <v xml:space="preserve">http://slimages.macys.com/is/image/MCY/10985237 </v>
      </c>
    </row>
    <row r="290" spans="1:12" ht="24.75" x14ac:dyDescent="0.25">
      <c r="A290" s="4" t="s">
        <v>13012</v>
      </c>
      <c r="B290" s="2" t="s">
        <v>3706</v>
      </c>
      <c r="C290" s="3">
        <v>1</v>
      </c>
      <c r="D290" s="5">
        <v>37.130000000000003</v>
      </c>
      <c r="E290" s="3" t="s">
        <v>10760</v>
      </c>
      <c r="F290" s="2" t="s">
        <v>26</v>
      </c>
      <c r="G290" s="6" t="s">
        <v>181</v>
      </c>
      <c r="H290" s="2" t="s">
        <v>246</v>
      </c>
      <c r="I290" s="2" t="s">
        <v>189</v>
      </c>
      <c r="J290" s="2" t="s">
        <v>19</v>
      </c>
      <c r="K290" s="2" t="s">
        <v>701</v>
      </c>
      <c r="L290" s="7" t="str">
        <f>HYPERLINK("http://slimages.macys.com/is/image/MCY/12894593 ")</f>
        <v xml:space="preserve">http://slimages.macys.com/is/image/MCY/12894593 </v>
      </c>
    </row>
    <row r="291" spans="1:12" ht="24.75" x14ac:dyDescent="0.25">
      <c r="A291" s="4" t="s">
        <v>13013</v>
      </c>
      <c r="B291" s="2" t="s">
        <v>3706</v>
      </c>
      <c r="C291" s="3">
        <v>1</v>
      </c>
      <c r="D291" s="5">
        <v>37.130000000000003</v>
      </c>
      <c r="E291" s="3" t="s">
        <v>10760</v>
      </c>
      <c r="F291" s="2" t="s">
        <v>26</v>
      </c>
      <c r="G291" s="6" t="s">
        <v>154</v>
      </c>
      <c r="H291" s="2" t="s">
        <v>246</v>
      </c>
      <c r="I291" s="2" t="s">
        <v>189</v>
      </c>
      <c r="J291" s="2" t="s">
        <v>19</v>
      </c>
      <c r="K291" s="2" t="s">
        <v>701</v>
      </c>
      <c r="L291" s="7" t="str">
        <f>HYPERLINK("http://slimages.macys.com/is/image/MCY/12894593 ")</f>
        <v xml:space="preserve">http://slimages.macys.com/is/image/MCY/12894593 </v>
      </c>
    </row>
    <row r="292" spans="1:12" ht="24.75" x14ac:dyDescent="0.25">
      <c r="A292" s="4" t="s">
        <v>7332</v>
      </c>
      <c r="B292" s="2" t="s">
        <v>964</v>
      </c>
      <c r="C292" s="3">
        <v>1</v>
      </c>
      <c r="D292" s="5">
        <v>37.130000000000003</v>
      </c>
      <c r="E292" s="3" t="s">
        <v>3695</v>
      </c>
      <c r="F292" s="2" t="s">
        <v>15</v>
      </c>
      <c r="G292" s="6"/>
      <c r="H292" s="2" t="s">
        <v>312</v>
      </c>
      <c r="I292" s="2" t="s">
        <v>195</v>
      </c>
      <c r="J292" s="2" t="s">
        <v>19</v>
      </c>
      <c r="K292" s="2" t="s">
        <v>3699</v>
      </c>
      <c r="L292" s="7" t="str">
        <f>HYPERLINK("http://slimages.macys.com/is/image/MCY/12668240 ")</f>
        <v xml:space="preserve">http://slimages.macys.com/is/image/MCY/12668240 </v>
      </c>
    </row>
    <row r="293" spans="1:12" ht="24.75" x14ac:dyDescent="0.25">
      <c r="A293" s="4" t="s">
        <v>3700</v>
      </c>
      <c r="B293" s="2" t="s">
        <v>1002</v>
      </c>
      <c r="C293" s="3">
        <v>1</v>
      </c>
      <c r="D293" s="5">
        <v>44.63</v>
      </c>
      <c r="E293" s="3" t="s">
        <v>1003</v>
      </c>
      <c r="F293" s="2" t="s">
        <v>15</v>
      </c>
      <c r="G293" s="6"/>
      <c r="H293" s="2" t="s">
        <v>312</v>
      </c>
      <c r="I293" s="2" t="s">
        <v>195</v>
      </c>
      <c r="J293" s="2" t="s">
        <v>19</v>
      </c>
      <c r="K293" s="2" t="s">
        <v>247</v>
      </c>
      <c r="L293" s="7" t="str">
        <f>HYPERLINK("http://slimages.macys.com/is/image/MCY/9653304 ")</f>
        <v xml:space="preserve">http://slimages.macys.com/is/image/MCY/9653304 </v>
      </c>
    </row>
    <row r="294" spans="1:12" ht="24.75" x14ac:dyDescent="0.25">
      <c r="A294" s="4" t="s">
        <v>10773</v>
      </c>
      <c r="B294" s="2" t="s">
        <v>9508</v>
      </c>
      <c r="C294" s="3">
        <v>3</v>
      </c>
      <c r="D294" s="5">
        <v>27.99</v>
      </c>
      <c r="E294" s="3">
        <v>100011587</v>
      </c>
      <c r="F294" s="2" t="s">
        <v>64</v>
      </c>
      <c r="G294" s="6" t="s">
        <v>181</v>
      </c>
      <c r="H294" s="2" t="s">
        <v>194</v>
      </c>
      <c r="I294" s="2" t="s">
        <v>1922</v>
      </c>
      <c r="J294" s="2" t="s">
        <v>19</v>
      </c>
      <c r="K294" s="2" t="s">
        <v>338</v>
      </c>
      <c r="L294" s="7" t="str">
        <f>HYPERLINK("http://slimages.macys.com/is/image/MCY/9029329 ")</f>
        <v xml:space="preserve">http://slimages.macys.com/is/image/MCY/9029329 </v>
      </c>
    </row>
    <row r="295" spans="1:12" ht="24.75" x14ac:dyDescent="0.25">
      <c r="A295" s="4" t="s">
        <v>10771</v>
      </c>
      <c r="B295" s="2" t="s">
        <v>2524</v>
      </c>
      <c r="C295" s="3">
        <v>4</v>
      </c>
      <c r="D295" s="5">
        <v>33.380000000000003</v>
      </c>
      <c r="E295" s="3" t="s">
        <v>10770</v>
      </c>
      <c r="F295" s="2" t="s">
        <v>26</v>
      </c>
      <c r="G295" s="6" t="s">
        <v>154</v>
      </c>
      <c r="H295" s="2" t="s">
        <v>194</v>
      </c>
      <c r="I295" s="2" t="s">
        <v>1398</v>
      </c>
      <c r="J295" s="2" t="s">
        <v>19</v>
      </c>
      <c r="K295" s="2" t="s">
        <v>247</v>
      </c>
      <c r="L295" s="7" t="str">
        <f>HYPERLINK("http://slimages.macys.com/is/image/MCY/13368039 ")</f>
        <v xml:space="preserve">http://slimages.macys.com/is/image/MCY/13368039 </v>
      </c>
    </row>
    <row r="296" spans="1:12" ht="24.75" x14ac:dyDescent="0.25">
      <c r="A296" s="4" t="s">
        <v>13014</v>
      </c>
      <c r="B296" s="2" t="s">
        <v>954</v>
      </c>
      <c r="C296" s="3">
        <v>1</v>
      </c>
      <c r="D296" s="5">
        <v>44.63</v>
      </c>
      <c r="E296" s="3" t="s">
        <v>13015</v>
      </c>
      <c r="F296" s="2" t="s">
        <v>64</v>
      </c>
      <c r="G296" s="6" t="s">
        <v>245</v>
      </c>
      <c r="H296" s="2" t="s">
        <v>194</v>
      </c>
      <c r="I296" s="2" t="s">
        <v>195</v>
      </c>
      <c r="J296" s="2" t="s">
        <v>19</v>
      </c>
      <c r="K296" s="2" t="s">
        <v>438</v>
      </c>
      <c r="L296" s="7" t="str">
        <f>HYPERLINK("http://slimages.macys.com/is/image/MCY/12794003 ")</f>
        <v xml:space="preserve">http://slimages.macys.com/is/image/MCY/12794003 </v>
      </c>
    </row>
    <row r="297" spans="1:12" ht="24.75" x14ac:dyDescent="0.25">
      <c r="A297" s="4" t="s">
        <v>10769</v>
      </c>
      <c r="B297" s="2" t="s">
        <v>2524</v>
      </c>
      <c r="C297" s="3">
        <v>1</v>
      </c>
      <c r="D297" s="5">
        <v>33.380000000000003</v>
      </c>
      <c r="E297" s="3" t="s">
        <v>10770</v>
      </c>
      <c r="F297" s="2" t="s">
        <v>26</v>
      </c>
      <c r="G297" s="6" t="s">
        <v>234</v>
      </c>
      <c r="H297" s="2" t="s">
        <v>194</v>
      </c>
      <c r="I297" s="2" t="s">
        <v>1398</v>
      </c>
      <c r="J297" s="2" t="s">
        <v>19</v>
      </c>
      <c r="K297" s="2" t="s">
        <v>247</v>
      </c>
      <c r="L297" s="7" t="str">
        <f>HYPERLINK("http://slimages.macys.com/is/image/MCY/13368039 ")</f>
        <v xml:space="preserve">http://slimages.macys.com/is/image/MCY/13368039 </v>
      </c>
    </row>
    <row r="298" spans="1:12" ht="24.75" x14ac:dyDescent="0.25">
      <c r="A298" s="4" t="s">
        <v>12000</v>
      </c>
      <c r="B298" s="2" t="s">
        <v>9508</v>
      </c>
      <c r="C298" s="3">
        <v>1</v>
      </c>
      <c r="D298" s="5">
        <v>27.99</v>
      </c>
      <c r="E298" s="3">
        <v>100011587</v>
      </c>
      <c r="F298" s="2" t="s">
        <v>64</v>
      </c>
      <c r="G298" s="6" t="s">
        <v>154</v>
      </c>
      <c r="H298" s="2" t="s">
        <v>194</v>
      </c>
      <c r="I298" s="2" t="s">
        <v>1922</v>
      </c>
      <c r="J298" s="2" t="s">
        <v>19</v>
      </c>
      <c r="K298" s="2" t="s">
        <v>338</v>
      </c>
      <c r="L298" s="7" t="str">
        <f>HYPERLINK("http://slimages.macys.com/is/image/MCY/9029329 ")</f>
        <v xml:space="preserve">http://slimages.macys.com/is/image/MCY/9029329 </v>
      </c>
    </row>
    <row r="299" spans="1:12" ht="24.75" x14ac:dyDescent="0.25">
      <c r="A299" s="4" t="s">
        <v>10772</v>
      </c>
      <c r="B299" s="2" t="s">
        <v>2524</v>
      </c>
      <c r="C299" s="3">
        <v>3</v>
      </c>
      <c r="D299" s="5">
        <v>33.380000000000003</v>
      </c>
      <c r="E299" s="3" t="s">
        <v>10770</v>
      </c>
      <c r="F299" s="2" t="s">
        <v>26</v>
      </c>
      <c r="G299" s="6" t="s">
        <v>181</v>
      </c>
      <c r="H299" s="2" t="s">
        <v>194</v>
      </c>
      <c r="I299" s="2" t="s">
        <v>1398</v>
      </c>
      <c r="J299" s="2" t="s">
        <v>19</v>
      </c>
      <c r="K299" s="2" t="s">
        <v>247</v>
      </c>
      <c r="L299" s="7" t="str">
        <f>HYPERLINK("http://slimages.macys.com/is/image/MCY/13368039 ")</f>
        <v xml:space="preserve">http://slimages.macys.com/is/image/MCY/13368039 </v>
      </c>
    </row>
    <row r="300" spans="1:12" ht="24.75" x14ac:dyDescent="0.25">
      <c r="A300" s="4" t="s">
        <v>10776</v>
      </c>
      <c r="B300" s="2" t="s">
        <v>9508</v>
      </c>
      <c r="C300" s="3">
        <v>6</v>
      </c>
      <c r="D300" s="5">
        <v>27.99</v>
      </c>
      <c r="E300" s="3">
        <v>100011587</v>
      </c>
      <c r="F300" s="2" t="s">
        <v>64</v>
      </c>
      <c r="G300" s="6" t="s">
        <v>156</v>
      </c>
      <c r="H300" s="2" t="s">
        <v>194</v>
      </c>
      <c r="I300" s="2" t="s">
        <v>1922</v>
      </c>
      <c r="J300" s="2" t="s">
        <v>19</v>
      </c>
      <c r="K300" s="2" t="s">
        <v>338</v>
      </c>
      <c r="L300" s="7" t="str">
        <f>HYPERLINK("http://slimages.macys.com/is/image/MCY/9029329 ")</f>
        <v xml:space="preserve">http://slimages.macys.com/is/image/MCY/9029329 </v>
      </c>
    </row>
    <row r="301" spans="1:12" ht="24.75" x14ac:dyDescent="0.25">
      <c r="A301" s="4" t="s">
        <v>13016</v>
      </c>
      <c r="B301" s="2" t="s">
        <v>2515</v>
      </c>
      <c r="C301" s="3">
        <v>1</v>
      </c>
      <c r="D301" s="5">
        <v>37.130000000000003</v>
      </c>
      <c r="E301" s="3" t="s">
        <v>2516</v>
      </c>
      <c r="F301" s="2" t="s">
        <v>64</v>
      </c>
      <c r="G301" s="6" t="s">
        <v>363</v>
      </c>
      <c r="H301" s="2" t="s">
        <v>188</v>
      </c>
      <c r="I301" s="2" t="s">
        <v>214</v>
      </c>
      <c r="J301" s="2" t="s">
        <v>19</v>
      </c>
      <c r="K301" s="2" t="s">
        <v>353</v>
      </c>
      <c r="L301" s="7" t="str">
        <f>HYPERLINK("http://slimages.macys.com/is/image/MCY/10679372 ")</f>
        <v xml:space="preserve">http://slimages.macys.com/is/image/MCY/10679372 </v>
      </c>
    </row>
    <row r="302" spans="1:12" ht="24.75" x14ac:dyDescent="0.25">
      <c r="A302" s="4" t="s">
        <v>13017</v>
      </c>
      <c r="B302" s="2" t="s">
        <v>2515</v>
      </c>
      <c r="C302" s="3">
        <v>2</v>
      </c>
      <c r="D302" s="5">
        <v>37.130000000000003</v>
      </c>
      <c r="E302" s="3" t="s">
        <v>2516</v>
      </c>
      <c r="F302" s="2" t="s">
        <v>26</v>
      </c>
      <c r="G302" s="6" t="s">
        <v>363</v>
      </c>
      <c r="H302" s="2" t="s">
        <v>188</v>
      </c>
      <c r="I302" s="2" t="s">
        <v>214</v>
      </c>
      <c r="J302" s="2" t="s">
        <v>19</v>
      </c>
      <c r="K302" s="2" t="s">
        <v>353</v>
      </c>
      <c r="L302" s="7" t="str">
        <f>HYPERLINK("http://slimages.macys.com/is/image/MCY/10679372 ")</f>
        <v xml:space="preserve">http://slimages.macys.com/is/image/MCY/10679372 </v>
      </c>
    </row>
    <row r="303" spans="1:12" ht="24.75" x14ac:dyDescent="0.25">
      <c r="A303" s="4" t="s">
        <v>13018</v>
      </c>
      <c r="B303" s="2" t="s">
        <v>12010</v>
      </c>
      <c r="C303" s="3">
        <v>1</v>
      </c>
      <c r="D303" s="5">
        <v>37.130000000000003</v>
      </c>
      <c r="E303" s="3" t="s">
        <v>12011</v>
      </c>
      <c r="F303" s="2" t="s">
        <v>26</v>
      </c>
      <c r="G303" s="6" t="s">
        <v>200</v>
      </c>
      <c r="H303" s="2" t="s">
        <v>194</v>
      </c>
      <c r="I303" s="2" t="s">
        <v>195</v>
      </c>
      <c r="J303" s="2" t="s">
        <v>19</v>
      </c>
      <c r="K303" s="2" t="s">
        <v>107</v>
      </c>
      <c r="L303" s="7" t="str">
        <f>HYPERLINK("http://slimages.macys.com/is/image/MCY/12316735 ")</f>
        <v xml:space="preserve">http://slimages.macys.com/is/image/MCY/12316735 </v>
      </c>
    </row>
    <row r="304" spans="1:12" ht="24.75" x14ac:dyDescent="0.25">
      <c r="A304" s="4" t="s">
        <v>12009</v>
      </c>
      <c r="B304" s="2" t="s">
        <v>12010</v>
      </c>
      <c r="C304" s="3">
        <v>1</v>
      </c>
      <c r="D304" s="5">
        <v>37.130000000000003</v>
      </c>
      <c r="E304" s="3" t="s">
        <v>12011</v>
      </c>
      <c r="F304" s="2" t="s">
        <v>26</v>
      </c>
      <c r="G304" s="6" t="s">
        <v>154</v>
      </c>
      <c r="H304" s="2" t="s">
        <v>194</v>
      </c>
      <c r="I304" s="2" t="s">
        <v>195</v>
      </c>
      <c r="J304" s="2" t="s">
        <v>19</v>
      </c>
      <c r="K304" s="2" t="s">
        <v>107</v>
      </c>
      <c r="L304" s="7" t="str">
        <f>HYPERLINK("http://slimages.macys.com/is/image/MCY/12316735 ")</f>
        <v xml:space="preserve">http://slimages.macys.com/is/image/MCY/12316735 </v>
      </c>
    </row>
    <row r="305" spans="1:12" ht="24.75" x14ac:dyDescent="0.25">
      <c r="A305" s="4" t="s">
        <v>1004</v>
      </c>
      <c r="B305" s="2" t="s">
        <v>1005</v>
      </c>
      <c r="C305" s="3">
        <v>1</v>
      </c>
      <c r="D305" s="5">
        <v>40.880000000000003</v>
      </c>
      <c r="E305" s="3" t="s">
        <v>1006</v>
      </c>
      <c r="F305" s="2" t="s">
        <v>26</v>
      </c>
      <c r="G305" s="6" t="s">
        <v>156</v>
      </c>
      <c r="H305" s="2" t="s">
        <v>246</v>
      </c>
      <c r="I305" s="2" t="s">
        <v>189</v>
      </c>
      <c r="J305" s="2" t="s">
        <v>19</v>
      </c>
      <c r="K305" s="2" t="s">
        <v>990</v>
      </c>
      <c r="L305" s="7" t="str">
        <f>HYPERLINK("http://slimages.macys.com/is/image/MCY/13330782 ")</f>
        <v xml:space="preserve">http://slimages.macys.com/is/image/MCY/13330782 </v>
      </c>
    </row>
    <row r="306" spans="1:12" ht="24.75" x14ac:dyDescent="0.25">
      <c r="A306" s="4" t="s">
        <v>13019</v>
      </c>
      <c r="B306" s="2" t="s">
        <v>4915</v>
      </c>
      <c r="C306" s="3">
        <v>2</v>
      </c>
      <c r="D306" s="5">
        <v>34.880000000000003</v>
      </c>
      <c r="E306" s="3">
        <v>100009325</v>
      </c>
      <c r="F306" s="2" t="s">
        <v>26</v>
      </c>
      <c r="G306" s="6" t="s">
        <v>154</v>
      </c>
      <c r="H306" s="2" t="s">
        <v>194</v>
      </c>
      <c r="I306" s="2" t="s">
        <v>229</v>
      </c>
      <c r="J306" s="2" t="s">
        <v>19</v>
      </c>
      <c r="K306" s="2" t="s">
        <v>253</v>
      </c>
      <c r="L306" s="7" t="str">
        <f>HYPERLINK("http://slimages.macys.com/is/image/MCY/9489387 ")</f>
        <v xml:space="preserve">http://slimages.macys.com/is/image/MCY/9489387 </v>
      </c>
    </row>
    <row r="307" spans="1:12" ht="24.75" x14ac:dyDescent="0.25">
      <c r="A307" s="4" t="s">
        <v>12015</v>
      </c>
      <c r="B307" s="2" t="s">
        <v>744</v>
      </c>
      <c r="C307" s="3">
        <v>1</v>
      </c>
      <c r="D307" s="5">
        <v>34.99</v>
      </c>
      <c r="E307" s="3" t="s">
        <v>4781</v>
      </c>
      <c r="F307" s="2" t="s">
        <v>252</v>
      </c>
      <c r="G307" s="6" t="s">
        <v>181</v>
      </c>
      <c r="H307" s="2" t="s">
        <v>284</v>
      </c>
      <c r="I307" s="2" t="s">
        <v>285</v>
      </c>
      <c r="J307" s="2" t="s">
        <v>19</v>
      </c>
      <c r="K307" s="2" t="s">
        <v>34</v>
      </c>
      <c r="L307" s="7" t="str">
        <f>HYPERLINK("http://slimages.macys.com/is/image/MCY/9723880 ")</f>
        <v xml:space="preserve">http://slimages.macys.com/is/image/MCY/9723880 </v>
      </c>
    </row>
    <row r="308" spans="1:12" ht="24.75" x14ac:dyDescent="0.25">
      <c r="A308" s="4" t="s">
        <v>6523</v>
      </c>
      <c r="B308" s="2" t="s">
        <v>2521</v>
      </c>
      <c r="C308" s="3">
        <v>1</v>
      </c>
      <c r="D308" s="5">
        <v>34.5</v>
      </c>
      <c r="E308" s="3">
        <v>100045823</v>
      </c>
      <c r="F308" s="2" t="s">
        <v>26</v>
      </c>
      <c r="G308" s="6" t="s">
        <v>234</v>
      </c>
      <c r="H308" s="2" t="s">
        <v>228</v>
      </c>
      <c r="I308" s="2" t="s">
        <v>229</v>
      </c>
      <c r="J308" s="2" t="s">
        <v>19</v>
      </c>
      <c r="K308" s="2" t="s">
        <v>215</v>
      </c>
      <c r="L308" s="7" t="str">
        <f>HYPERLINK("http://slimages.macys.com/is/image/MCY/11804428 ")</f>
        <v xml:space="preserve">http://slimages.macys.com/is/image/MCY/11804428 </v>
      </c>
    </row>
    <row r="309" spans="1:12" ht="24.75" x14ac:dyDescent="0.25">
      <c r="A309" s="4" t="s">
        <v>2533</v>
      </c>
      <c r="B309" s="2" t="s">
        <v>1028</v>
      </c>
      <c r="C309" s="3">
        <v>1</v>
      </c>
      <c r="D309" s="5">
        <v>37.130000000000003</v>
      </c>
      <c r="E309" s="3" t="s">
        <v>2532</v>
      </c>
      <c r="F309" s="2" t="s">
        <v>26</v>
      </c>
      <c r="G309" s="6"/>
      <c r="H309" s="2" t="s">
        <v>632</v>
      </c>
      <c r="I309" s="2" t="s">
        <v>408</v>
      </c>
      <c r="J309" s="2" t="s">
        <v>19</v>
      </c>
      <c r="K309" s="2" t="s">
        <v>409</v>
      </c>
      <c r="L309" s="7" t="str">
        <f>HYPERLINK("http://slimages.macys.com/is/image/MCY/8191312 ")</f>
        <v xml:space="preserve">http://slimages.macys.com/is/image/MCY/8191312 </v>
      </c>
    </row>
    <row r="310" spans="1:12" ht="24.75" x14ac:dyDescent="0.25">
      <c r="A310" s="4" t="s">
        <v>13020</v>
      </c>
      <c r="B310" s="2" t="s">
        <v>1028</v>
      </c>
      <c r="C310" s="3">
        <v>1</v>
      </c>
      <c r="D310" s="5">
        <v>36.5</v>
      </c>
      <c r="E310" s="3" t="s">
        <v>6531</v>
      </c>
      <c r="F310" s="2" t="s">
        <v>136</v>
      </c>
      <c r="G310" s="6" t="s">
        <v>794</v>
      </c>
      <c r="H310" s="2" t="s">
        <v>632</v>
      </c>
      <c r="I310" s="2" t="s">
        <v>408</v>
      </c>
      <c r="J310" s="2" t="s">
        <v>19</v>
      </c>
      <c r="K310" s="2" t="s">
        <v>409</v>
      </c>
      <c r="L310" s="7" t="str">
        <f>HYPERLINK("http://slimages.macys.com/is/image/MCY/8191311 ")</f>
        <v xml:space="preserve">http://slimages.macys.com/is/image/MCY/8191311 </v>
      </c>
    </row>
    <row r="311" spans="1:12" ht="24.75" x14ac:dyDescent="0.25">
      <c r="A311" s="4" t="s">
        <v>13021</v>
      </c>
      <c r="B311" s="2" t="s">
        <v>1028</v>
      </c>
      <c r="C311" s="3">
        <v>1</v>
      </c>
      <c r="D311" s="5">
        <v>36.5</v>
      </c>
      <c r="E311" s="3" t="s">
        <v>1029</v>
      </c>
      <c r="F311" s="2" t="s">
        <v>74</v>
      </c>
      <c r="G311" s="6" t="s">
        <v>187</v>
      </c>
      <c r="H311" s="2" t="s">
        <v>632</v>
      </c>
      <c r="I311" s="2" t="s">
        <v>408</v>
      </c>
      <c r="J311" s="2" t="s">
        <v>19</v>
      </c>
      <c r="K311" s="2" t="s">
        <v>409</v>
      </c>
      <c r="L311" s="7" t="str">
        <f>HYPERLINK("http://slimages.macys.com/is/image/MCY/8191312 ")</f>
        <v xml:space="preserve">http://slimages.macys.com/is/image/MCY/8191312 </v>
      </c>
    </row>
    <row r="312" spans="1:12" x14ac:dyDescent="0.25">
      <c r="A312" s="4" t="s">
        <v>13022</v>
      </c>
      <c r="B312" s="2" t="s">
        <v>13023</v>
      </c>
      <c r="C312" s="3">
        <v>1</v>
      </c>
      <c r="D312" s="5">
        <v>69.5</v>
      </c>
      <c r="E312" s="3" t="s">
        <v>13024</v>
      </c>
      <c r="F312" s="2" t="s">
        <v>74</v>
      </c>
      <c r="G312" s="6" t="s">
        <v>219</v>
      </c>
      <c r="H312" s="2" t="s">
        <v>206</v>
      </c>
      <c r="I312" s="2" t="s">
        <v>207</v>
      </c>
      <c r="J312" s="2" t="s">
        <v>19</v>
      </c>
      <c r="K312" s="2" t="s">
        <v>34</v>
      </c>
      <c r="L312" s="7" t="str">
        <f>HYPERLINK("http://slimages.macys.com/is/image/MCY/13331572 ")</f>
        <v xml:space="preserve">http://slimages.macys.com/is/image/MCY/13331572 </v>
      </c>
    </row>
    <row r="313" spans="1:12" ht="24.75" x14ac:dyDescent="0.25">
      <c r="A313" s="4" t="s">
        <v>13025</v>
      </c>
      <c r="B313" s="2" t="s">
        <v>3728</v>
      </c>
      <c r="C313" s="3">
        <v>1</v>
      </c>
      <c r="D313" s="5">
        <v>37.130000000000003</v>
      </c>
      <c r="E313" s="3" t="s">
        <v>3729</v>
      </c>
      <c r="F313" s="2" t="s">
        <v>57</v>
      </c>
      <c r="G313" s="6" t="s">
        <v>245</v>
      </c>
      <c r="H313" s="2" t="s">
        <v>246</v>
      </c>
      <c r="I313" s="2" t="s">
        <v>189</v>
      </c>
      <c r="J313" s="2" t="s">
        <v>19</v>
      </c>
      <c r="K313" s="2" t="s">
        <v>3733</v>
      </c>
      <c r="L313" s="7" t="str">
        <f>HYPERLINK("http://slimages.macys.com/is/image/MCY/12048191 ")</f>
        <v xml:space="preserve">http://slimages.macys.com/is/image/MCY/12048191 </v>
      </c>
    </row>
    <row r="314" spans="1:12" ht="24.75" x14ac:dyDescent="0.25">
      <c r="A314" s="4" t="s">
        <v>13026</v>
      </c>
      <c r="B314" s="2" t="s">
        <v>3728</v>
      </c>
      <c r="C314" s="3">
        <v>1</v>
      </c>
      <c r="D314" s="5">
        <v>37.130000000000003</v>
      </c>
      <c r="E314" s="3" t="s">
        <v>3729</v>
      </c>
      <c r="F314" s="2" t="s">
        <v>572</v>
      </c>
      <c r="G314" s="6" t="s">
        <v>181</v>
      </c>
      <c r="H314" s="2" t="s">
        <v>246</v>
      </c>
      <c r="I314" s="2" t="s">
        <v>189</v>
      </c>
      <c r="J314" s="2" t="s">
        <v>19</v>
      </c>
      <c r="K314" s="2" t="s">
        <v>3733</v>
      </c>
      <c r="L314" s="7" t="str">
        <f>HYPERLINK("http://slimages.macys.com/is/image/MCY/12048191 ")</f>
        <v xml:space="preserve">http://slimages.macys.com/is/image/MCY/12048191 </v>
      </c>
    </row>
    <row r="315" spans="1:12" ht="24.75" x14ac:dyDescent="0.25">
      <c r="A315" s="4" t="s">
        <v>13027</v>
      </c>
      <c r="B315" s="2" t="s">
        <v>9059</v>
      </c>
      <c r="C315" s="3">
        <v>1</v>
      </c>
      <c r="D315" s="5">
        <v>54.5</v>
      </c>
      <c r="E315" s="3">
        <v>100056427</v>
      </c>
      <c r="F315" s="2" t="s">
        <v>64</v>
      </c>
      <c r="G315" s="6" t="s">
        <v>16</v>
      </c>
      <c r="H315" s="2" t="s">
        <v>386</v>
      </c>
      <c r="I315" s="2" t="s">
        <v>207</v>
      </c>
      <c r="J315" s="2" t="s">
        <v>19</v>
      </c>
      <c r="K315" s="2" t="s">
        <v>338</v>
      </c>
      <c r="L315" s="7" t="str">
        <f>HYPERLINK("http://slimages.macys.com/is/image/MCY/11950570 ")</f>
        <v xml:space="preserve">http://slimages.macys.com/is/image/MCY/11950570 </v>
      </c>
    </row>
    <row r="316" spans="1:12" ht="24.75" x14ac:dyDescent="0.25">
      <c r="A316" s="4" t="s">
        <v>7362</v>
      </c>
      <c r="B316" s="2" t="s">
        <v>1047</v>
      </c>
      <c r="C316" s="3">
        <v>1</v>
      </c>
      <c r="D316" s="5">
        <v>34.880000000000003</v>
      </c>
      <c r="E316" s="3">
        <v>100009312</v>
      </c>
      <c r="F316" s="2" t="s">
        <v>506</v>
      </c>
      <c r="G316" s="6" t="s">
        <v>234</v>
      </c>
      <c r="H316" s="2" t="s">
        <v>194</v>
      </c>
      <c r="I316" s="2" t="s">
        <v>195</v>
      </c>
      <c r="J316" s="2" t="s">
        <v>19</v>
      </c>
      <c r="K316" s="2" t="s">
        <v>353</v>
      </c>
      <c r="L316" s="7" t="str">
        <f t="shared" ref="L316:L321" si="1">HYPERLINK("http://slimages.macys.com/is/image/MCY/9603701 ")</f>
        <v xml:space="preserve">http://slimages.macys.com/is/image/MCY/9603701 </v>
      </c>
    </row>
    <row r="317" spans="1:12" ht="24.75" x14ac:dyDescent="0.25">
      <c r="A317" s="4" t="s">
        <v>4799</v>
      </c>
      <c r="B317" s="2" t="s">
        <v>1047</v>
      </c>
      <c r="C317" s="3">
        <v>1</v>
      </c>
      <c r="D317" s="5">
        <v>34.880000000000003</v>
      </c>
      <c r="E317" s="3">
        <v>100009312</v>
      </c>
      <c r="F317" s="2" t="s">
        <v>506</v>
      </c>
      <c r="G317" s="6" t="s">
        <v>154</v>
      </c>
      <c r="H317" s="2" t="s">
        <v>194</v>
      </c>
      <c r="I317" s="2" t="s">
        <v>195</v>
      </c>
      <c r="J317" s="2" t="s">
        <v>19</v>
      </c>
      <c r="K317" s="2" t="s">
        <v>353</v>
      </c>
      <c r="L317" s="7" t="str">
        <f t="shared" si="1"/>
        <v xml:space="preserve">http://slimages.macys.com/is/image/MCY/9603701 </v>
      </c>
    </row>
    <row r="318" spans="1:12" ht="24.75" x14ac:dyDescent="0.25">
      <c r="A318" s="4" t="s">
        <v>1046</v>
      </c>
      <c r="B318" s="2" t="s">
        <v>1047</v>
      </c>
      <c r="C318" s="3">
        <v>1</v>
      </c>
      <c r="D318" s="5">
        <v>34.880000000000003</v>
      </c>
      <c r="E318" s="3">
        <v>100009312</v>
      </c>
      <c r="F318" s="2" t="s">
        <v>74</v>
      </c>
      <c r="G318" s="6" t="s">
        <v>234</v>
      </c>
      <c r="H318" s="2" t="s">
        <v>194</v>
      </c>
      <c r="I318" s="2" t="s">
        <v>195</v>
      </c>
      <c r="J318" s="2" t="s">
        <v>19</v>
      </c>
      <c r="K318" s="2" t="s">
        <v>353</v>
      </c>
      <c r="L318" s="7" t="str">
        <f t="shared" si="1"/>
        <v xml:space="preserve">http://slimages.macys.com/is/image/MCY/9603701 </v>
      </c>
    </row>
    <row r="319" spans="1:12" ht="24.75" x14ac:dyDescent="0.25">
      <c r="A319" s="4" t="s">
        <v>6534</v>
      </c>
      <c r="B319" s="2" t="s">
        <v>1047</v>
      </c>
      <c r="C319" s="3">
        <v>2</v>
      </c>
      <c r="D319" s="5">
        <v>34.880000000000003</v>
      </c>
      <c r="E319" s="3">
        <v>100009312</v>
      </c>
      <c r="F319" s="2" t="s">
        <v>74</v>
      </c>
      <c r="G319" s="6" t="s">
        <v>181</v>
      </c>
      <c r="H319" s="2" t="s">
        <v>194</v>
      </c>
      <c r="I319" s="2" t="s">
        <v>195</v>
      </c>
      <c r="J319" s="2" t="s">
        <v>19</v>
      </c>
      <c r="K319" s="2" t="s">
        <v>353</v>
      </c>
      <c r="L319" s="7" t="str">
        <f t="shared" si="1"/>
        <v xml:space="preserve">http://slimages.macys.com/is/image/MCY/9603701 </v>
      </c>
    </row>
    <row r="320" spans="1:12" ht="24.75" x14ac:dyDescent="0.25">
      <c r="A320" s="4" t="s">
        <v>4798</v>
      </c>
      <c r="B320" s="2" t="s">
        <v>1047</v>
      </c>
      <c r="C320" s="3">
        <v>2</v>
      </c>
      <c r="D320" s="5">
        <v>34.880000000000003</v>
      </c>
      <c r="E320" s="3">
        <v>100009312</v>
      </c>
      <c r="F320" s="2" t="s">
        <v>506</v>
      </c>
      <c r="G320" s="6" t="s">
        <v>181</v>
      </c>
      <c r="H320" s="2" t="s">
        <v>194</v>
      </c>
      <c r="I320" s="2" t="s">
        <v>195</v>
      </c>
      <c r="J320" s="2" t="s">
        <v>19</v>
      </c>
      <c r="K320" s="2" t="s">
        <v>353</v>
      </c>
      <c r="L320" s="7" t="str">
        <f t="shared" si="1"/>
        <v xml:space="preserve">http://slimages.macys.com/is/image/MCY/9603701 </v>
      </c>
    </row>
    <row r="321" spans="1:12" ht="24.75" x14ac:dyDescent="0.25">
      <c r="A321" s="4" t="s">
        <v>2539</v>
      </c>
      <c r="B321" s="2" t="s">
        <v>1047</v>
      </c>
      <c r="C321" s="3">
        <v>2</v>
      </c>
      <c r="D321" s="5">
        <v>34.880000000000003</v>
      </c>
      <c r="E321" s="3">
        <v>100009312</v>
      </c>
      <c r="F321" s="2" t="s">
        <v>74</v>
      </c>
      <c r="G321" s="6" t="s">
        <v>154</v>
      </c>
      <c r="H321" s="2" t="s">
        <v>194</v>
      </c>
      <c r="I321" s="2" t="s">
        <v>195</v>
      </c>
      <c r="J321" s="2" t="s">
        <v>19</v>
      </c>
      <c r="K321" s="2" t="s">
        <v>353</v>
      </c>
      <c r="L321" s="7" t="str">
        <f t="shared" si="1"/>
        <v xml:space="preserve">http://slimages.macys.com/is/image/MCY/9603701 </v>
      </c>
    </row>
    <row r="322" spans="1:12" ht="48.75" x14ac:dyDescent="0.25">
      <c r="A322" s="4" t="s">
        <v>12032</v>
      </c>
      <c r="B322" s="2" t="s">
        <v>1052</v>
      </c>
      <c r="C322" s="3">
        <v>1</v>
      </c>
      <c r="D322" s="5">
        <v>37.130000000000003</v>
      </c>
      <c r="E322" s="3">
        <v>100010668</v>
      </c>
      <c r="F322" s="2" t="s">
        <v>64</v>
      </c>
      <c r="G322" s="6" t="s">
        <v>154</v>
      </c>
      <c r="H322" s="2" t="s">
        <v>284</v>
      </c>
      <c r="I322" s="2" t="s">
        <v>408</v>
      </c>
      <c r="J322" s="2" t="s">
        <v>19</v>
      </c>
      <c r="K322" s="2" t="s">
        <v>787</v>
      </c>
      <c r="L322" s="7" t="str">
        <f>HYPERLINK("http://slimages.macys.com/is/image/MCY/9198224 ")</f>
        <v xml:space="preserve">http://slimages.macys.com/is/image/MCY/9198224 </v>
      </c>
    </row>
    <row r="323" spans="1:12" ht="48.75" x14ac:dyDescent="0.25">
      <c r="A323" s="4" t="s">
        <v>10802</v>
      </c>
      <c r="B323" s="2" t="s">
        <v>1052</v>
      </c>
      <c r="C323" s="3">
        <v>1</v>
      </c>
      <c r="D323" s="5">
        <v>37.130000000000003</v>
      </c>
      <c r="E323" s="3">
        <v>100010668</v>
      </c>
      <c r="F323" s="2" t="s">
        <v>64</v>
      </c>
      <c r="G323" s="6" t="s">
        <v>181</v>
      </c>
      <c r="H323" s="2" t="s">
        <v>284</v>
      </c>
      <c r="I323" s="2" t="s">
        <v>408</v>
      </c>
      <c r="J323" s="2" t="s">
        <v>19</v>
      </c>
      <c r="K323" s="2" t="s">
        <v>787</v>
      </c>
      <c r="L323" s="7" t="str">
        <f>HYPERLINK("http://slimages.macys.com/is/image/MCY/9198224 ")</f>
        <v xml:space="preserve">http://slimages.macys.com/is/image/MCY/9198224 </v>
      </c>
    </row>
    <row r="324" spans="1:12" ht="24.75" x14ac:dyDescent="0.25">
      <c r="A324" s="4" t="s">
        <v>10813</v>
      </c>
      <c r="B324" s="2" t="s">
        <v>10814</v>
      </c>
      <c r="C324" s="3">
        <v>1</v>
      </c>
      <c r="D324" s="5">
        <v>37.130000000000003</v>
      </c>
      <c r="E324" s="3" t="s">
        <v>10815</v>
      </c>
      <c r="F324" s="2" t="s">
        <v>15</v>
      </c>
      <c r="G324" s="6" t="s">
        <v>156</v>
      </c>
      <c r="H324" s="2" t="s">
        <v>194</v>
      </c>
      <c r="I324" s="2" t="s">
        <v>195</v>
      </c>
      <c r="J324" s="2" t="s">
        <v>19</v>
      </c>
      <c r="K324" s="2" t="s">
        <v>10816</v>
      </c>
      <c r="L324" s="7" t="str">
        <f>HYPERLINK("http://slimages.macys.com/is/image/MCY/12850900 ")</f>
        <v xml:space="preserve">http://slimages.macys.com/is/image/MCY/12850900 </v>
      </c>
    </row>
    <row r="325" spans="1:12" ht="24.75" x14ac:dyDescent="0.25">
      <c r="A325" s="4" t="s">
        <v>13028</v>
      </c>
      <c r="B325" s="2" t="s">
        <v>10814</v>
      </c>
      <c r="C325" s="3">
        <v>1</v>
      </c>
      <c r="D325" s="5">
        <v>37.130000000000003</v>
      </c>
      <c r="E325" s="3" t="s">
        <v>10815</v>
      </c>
      <c r="F325" s="2" t="s">
        <v>15</v>
      </c>
      <c r="G325" s="6" t="s">
        <v>200</v>
      </c>
      <c r="H325" s="2" t="s">
        <v>194</v>
      </c>
      <c r="I325" s="2" t="s">
        <v>195</v>
      </c>
      <c r="J325" s="2" t="s">
        <v>19</v>
      </c>
      <c r="K325" s="2" t="s">
        <v>10816</v>
      </c>
      <c r="L325" s="7" t="str">
        <f>HYPERLINK("http://slimages.macys.com/is/image/MCY/12850900 ")</f>
        <v xml:space="preserve">http://slimages.macys.com/is/image/MCY/12850900 </v>
      </c>
    </row>
    <row r="326" spans="1:12" ht="24.75" x14ac:dyDescent="0.25">
      <c r="A326" s="4" t="s">
        <v>13029</v>
      </c>
      <c r="B326" s="2" t="s">
        <v>6547</v>
      </c>
      <c r="C326" s="3">
        <v>1</v>
      </c>
      <c r="D326" s="5">
        <v>37.130000000000003</v>
      </c>
      <c r="E326" s="3" t="s">
        <v>6548</v>
      </c>
      <c r="F326" s="2" t="s">
        <v>413</v>
      </c>
      <c r="G326" s="6" t="s">
        <v>16</v>
      </c>
      <c r="H326" s="2" t="s">
        <v>246</v>
      </c>
      <c r="I326" s="2" t="s">
        <v>189</v>
      </c>
      <c r="J326" s="2" t="s">
        <v>19</v>
      </c>
      <c r="K326" s="2" t="s">
        <v>839</v>
      </c>
      <c r="L326" s="7" t="str">
        <f>HYPERLINK("http://slimages.macys.com/is/image/MCY/12746342 ")</f>
        <v xml:space="preserve">http://slimages.macys.com/is/image/MCY/12746342 </v>
      </c>
    </row>
    <row r="327" spans="1:12" ht="24.75" x14ac:dyDescent="0.25">
      <c r="A327" s="4" t="s">
        <v>13030</v>
      </c>
      <c r="B327" s="2" t="s">
        <v>6547</v>
      </c>
      <c r="C327" s="3">
        <v>1</v>
      </c>
      <c r="D327" s="5">
        <v>37.130000000000003</v>
      </c>
      <c r="E327" s="3" t="s">
        <v>13031</v>
      </c>
      <c r="F327" s="2" t="s">
        <v>26</v>
      </c>
      <c r="G327" s="6" t="s">
        <v>802</v>
      </c>
      <c r="H327" s="2" t="s">
        <v>188</v>
      </c>
      <c r="I327" s="2" t="s">
        <v>189</v>
      </c>
      <c r="J327" s="2" t="s">
        <v>19</v>
      </c>
      <c r="K327" s="2" t="s">
        <v>839</v>
      </c>
      <c r="L327" s="7" t="str">
        <f>HYPERLINK("http://slimages.macys.com/is/image/MCY/12032016 ")</f>
        <v xml:space="preserve">http://slimages.macys.com/is/image/MCY/12032016 </v>
      </c>
    </row>
    <row r="328" spans="1:12" ht="24.75" x14ac:dyDescent="0.25">
      <c r="A328" s="4" t="s">
        <v>13032</v>
      </c>
      <c r="B328" s="2" t="s">
        <v>6547</v>
      </c>
      <c r="C328" s="3">
        <v>1</v>
      </c>
      <c r="D328" s="5">
        <v>37.130000000000003</v>
      </c>
      <c r="E328" s="3" t="s">
        <v>13031</v>
      </c>
      <c r="F328" s="2" t="s">
        <v>26</v>
      </c>
      <c r="G328" s="6" t="s">
        <v>205</v>
      </c>
      <c r="H328" s="2" t="s">
        <v>188</v>
      </c>
      <c r="I328" s="2" t="s">
        <v>189</v>
      </c>
      <c r="J328" s="2" t="s">
        <v>19</v>
      </c>
      <c r="K328" s="2" t="s">
        <v>839</v>
      </c>
      <c r="L328" s="7" t="str">
        <f>HYPERLINK("http://slimages.macys.com/is/image/MCY/12032016 ")</f>
        <v xml:space="preserve">http://slimages.macys.com/is/image/MCY/12032016 </v>
      </c>
    </row>
    <row r="329" spans="1:12" ht="24.75" x14ac:dyDescent="0.25">
      <c r="A329" s="4" t="s">
        <v>7365</v>
      </c>
      <c r="B329" s="2" t="s">
        <v>898</v>
      </c>
      <c r="C329" s="3">
        <v>1</v>
      </c>
      <c r="D329" s="5">
        <v>37.130000000000003</v>
      </c>
      <c r="E329" s="3">
        <v>100009193</v>
      </c>
      <c r="F329" s="2" t="s">
        <v>26</v>
      </c>
      <c r="G329" s="6" t="s">
        <v>16</v>
      </c>
      <c r="H329" s="2" t="s">
        <v>194</v>
      </c>
      <c r="I329" s="2" t="s">
        <v>503</v>
      </c>
      <c r="J329" s="2" t="s">
        <v>19</v>
      </c>
      <c r="K329" s="2" t="s">
        <v>353</v>
      </c>
      <c r="L329" s="7" t="str">
        <f>HYPERLINK("http://slimages.macys.com/is/image/MCY/11804644 ")</f>
        <v xml:space="preserve">http://slimages.macys.com/is/image/MCY/11804644 </v>
      </c>
    </row>
    <row r="330" spans="1:12" ht="24.75" x14ac:dyDescent="0.25">
      <c r="A330" s="4" t="s">
        <v>5742</v>
      </c>
      <c r="B330" s="2" t="s">
        <v>898</v>
      </c>
      <c r="C330" s="3">
        <v>1</v>
      </c>
      <c r="D330" s="5">
        <v>37.130000000000003</v>
      </c>
      <c r="E330" s="3">
        <v>100009193</v>
      </c>
      <c r="F330" s="2" t="s">
        <v>566</v>
      </c>
      <c r="G330" s="6" t="s">
        <v>16</v>
      </c>
      <c r="H330" s="2" t="s">
        <v>194</v>
      </c>
      <c r="I330" s="2" t="s">
        <v>503</v>
      </c>
      <c r="J330" s="2" t="s">
        <v>19</v>
      </c>
      <c r="K330" s="2" t="s">
        <v>353</v>
      </c>
      <c r="L330" s="7" t="str">
        <f>HYPERLINK("http://slimages.macys.com/is/image/MCY/11804644 ")</f>
        <v xml:space="preserve">http://slimages.macys.com/is/image/MCY/11804644 </v>
      </c>
    </row>
    <row r="331" spans="1:12" ht="24.75" x14ac:dyDescent="0.25">
      <c r="A331" s="4" t="s">
        <v>13033</v>
      </c>
      <c r="B331" s="2" t="s">
        <v>898</v>
      </c>
      <c r="C331" s="3">
        <v>1</v>
      </c>
      <c r="D331" s="5">
        <v>37.130000000000003</v>
      </c>
      <c r="E331" s="3">
        <v>100009193</v>
      </c>
      <c r="F331" s="2" t="s">
        <v>566</v>
      </c>
      <c r="G331" s="6" t="s">
        <v>22</v>
      </c>
      <c r="H331" s="2" t="s">
        <v>194</v>
      </c>
      <c r="I331" s="2" t="s">
        <v>503</v>
      </c>
      <c r="J331" s="2" t="s">
        <v>19</v>
      </c>
      <c r="K331" s="2" t="s">
        <v>353</v>
      </c>
      <c r="L331" s="7" t="str">
        <f>HYPERLINK("http://slimages.macys.com/is/image/MCY/11804644 ")</f>
        <v xml:space="preserve">http://slimages.macys.com/is/image/MCY/11804644 </v>
      </c>
    </row>
    <row r="332" spans="1:12" ht="24.75" x14ac:dyDescent="0.25">
      <c r="A332" s="4" t="s">
        <v>2560</v>
      </c>
      <c r="B332" s="2" t="s">
        <v>898</v>
      </c>
      <c r="C332" s="3">
        <v>1</v>
      </c>
      <c r="D332" s="5">
        <v>37.130000000000003</v>
      </c>
      <c r="E332" s="3">
        <v>100009193</v>
      </c>
      <c r="F332" s="2" t="s">
        <v>506</v>
      </c>
      <c r="G332" s="6" t="s">
        <v>27</v>
      </c>
      <c r="H332" s="2" t="s">
        <v>194</v>
      </c>
      <c r="I332" s="2" t="s">
        <v>503</v>
      </c>
      <c r="J332" s="2" t="s">
        <v>19</v>
      </c>
      <c r="K332" s="2" t="s">
        <v>353</v>
      </c>
      <c r="L332" s="7" t="str">
        <f>HYPERLINK("http://slimages.macys.com/is/image/MCY/11804644 ")</f>
        <v xml:space="preserve">http://slimages.macys.com/is/image/MCY/11804644 </v>
      </c>
    </row>
    <row r="333" spans="1:12" ht="24.75" x14ac:dyDescent="0.25">
      <c r="A333" s="4" t="s">
        <v>5738</v>
      </c>
      <c r="B333" s="2" t="s">
        <v>898</v>
      </c>
      <c r="C333" s="3">
        <v>1</v>
      </c>
      <c r="D333" s="5">
        <v>37.130000000000003</v>
      </c>
      <c r="E333" s="3">
        <v>100009193</v>
      </c>
      <c r="F333" s="2" t="s">
        <v>566</v>
      </c>
      <c r="G333" s="6" t="s">
        <v>27</v>
      </c>
      <c r="H333" s="2" t="s">
        <v>194</v>
      </c>
      <c r="I333" s="2" t="s">
        <v>503</v>
      </c>
      <c r="J333" s="2" t="s">
        <v>19</v>
      </c>
      <c r="K333" s="2" t="s">
        <v>353</v>
      </c>
      <c r="L333" s="7" t="str">
        <f>HYPERLINK("http://slimages.macys.com/is/image/MCY/11804644 ")</f>
        <v xml:space="preserve">http://slimages.macys.com/is/image/MCY/11804644 </v>
      </c>
    </row>
    <row r="334" spans="1:12" x14ac:dyDescent="0.25">
      <c r="A334" s="4" t="s">
        <v>13034</v>
      </c>
      <c r="B334" s="2" t="s">
        <v>13035</v>
      </c>
      <c r="C334" s="3">
        <v>1</v>
      </c>
      <c r="D334" s="5">
        <v>59.5</v>
      </c>
      <c r="E334" s="3">
        <v>100061337</v>
      </c>
      <c r="F334" s="2" t="s">
        <v>252</v>
      </c>
      <c r="G334" s="6" t="s">
        <v>106</v>
      </c>
      <c r="H334" s="2" t="s">
        <v>386</v>
      </c>
      <c r="I334" s="2" t="s">
        <v>207</v>
      </c>
      <c r="J334" s="2" t="s">
        <v>19</v>
      </c>
      <c r="K334" s="2" t="s">
        <v>353</v>
      </c>
      <c r="L334" s="7" t="str">
        <f>HYPERLINK("http://slimages.macys.com/is/image/MCY/12792778 ")</f>
        <v xml:space="preserve">http://slimages.macys.com/is/image/MCY/12792778 </v>
      </c>
    </row>
    <row r="335" spans="1:12" ht="24.75" x14ac:dyDescent="0.25">
      <c r="A335" s="4" t="s">
        <v>12049</v>
      </c>
      <c r="B335" s="2" t="s">
        <v>12050</v>
      </c>
      <c r="C335" s="3">
        <v>1</v>
      </c>
      <c r="D335" s="5">
        <v>37.130000000000003</v>
      </c>
      <c r="E335" s="3" t="s">
        <v>12051</v>
      </c>
      <c r="F335" s="2" t="s">
        <v>74</v>
      </c>
      <c r="G335" s="6" t="s">
        <v>200</v>
      </c>
      <c r="H335" s="2" t="s">
        <v>284</v>
      </c>
      <c r="I335" s="2" t="s">
        <v>285</v>
      </c>
      <c r="J335" s="2" t="s">
        <v>19</v>
      </c>
      <c r="K335" s="2" t="s">
        <v>160</v>
      </c>
      <c r="L335" s="7" t="str">
        <f>HYPERLINK("http://slimages.macys.com/is/image/MCY/12807793 ")</f>
        <v xml:space="preserve">http://slimages.macys.com/is/image/MCY/12807793 </v>
      </c>
    </row>
    <row r="336" spans="1:12" ht="24.75" x14ac:dyDescent="0.25">
      <c r="A336" s="4" t="s">
        <v>13036</v>
      </c>
      <c r="B336" s="2" t="s">
        <v>1078</v>
      </c>
      <c r="C336" s="3">
        <v>1</v>
      </c>
      <c r="D336" s="5">
        <v>34.5</v>
      </c>
      <c r="E336" s="3">
        <v>100032353</v>
      </c>
      <c r="F336" s="2" t="s">
        <v>417</v>
      </c>
      <c r="G336" s="6" t="s">
        <v>27</v>
      </c>
      <c r="H336" s="2" t="s">
        <v>228</v>
      </c>
      <c r="I336" s="2" t="s">
        <v>229</v>
      </c>
      <c r="J336" s="2" t="s">
        <v>19</v>
      </c>
      <c r="K336" s="2" t="s">
        <v>230</v>
      </c>
      <c r="L336" s="7" t="str">
        <f>HYPERLINK("http://slimages.macys.com/is/image/MCY/10985401 ")</f>
        <v xml:space="preserve">http://slimages.macys.com/is/image/MCY/10985401 </v>
      </c>
    </row>
    <row r="337" spans="1:12" ht="24.75" x14ac:dyDescent="0.25">
      <c r="A337" s="4" t="s">
        <v>7369</v>
      </c>
      <c r="B337" s="2" t="s">
        <v>1080</v>
      </c>
      <c r="C337" s="3">
        <v>1</v>
      </c>
      <c r="D337" s="5">
        <v>33.380000000000003</v>
      </c>
      <c r="E337" s="3" t="s">
        <v>1081</v>
      </c>
      <c r="F337" s="2" t="s">
        <v>252</v>
      </c>
      <c r="G337" s="6" t="s">
        <v>234</v>
      </c>
      <c r="H337" s="2" t="s">
        <v>194</v>
      </c>
      <c r="I337" s="2" t="s">
        <v>195</v>
      </c>
      <c r="J337" s="2" t="s">
        <v>19</v>
      </c>
      <c r="K337" s="2" t="s">
        <v>1082</v>
      </c>
      <c r="L337" s="7" t="str">
        <f>HYPERLINK("http://slimages.macys.com/is/image/MCY/13120798 ")</f>
        <v xml:space="preserve">http://slimages.macys.com/is/image/MCY/13120798 </v>
      </c>
    </row>
    <row r="338" spans="1:12" ht="24.75" x14ac:dyDescent="0.25">
      <c r="A338" s="4" t="s">
        <v>13037</v>
      </c>
      <c r="B338" s="2" t="s">
        <v>12053</v>
      </c>
      <c r="C338" s="3">
        <v>1</v>
      </c>
      <c r="D338" s="5">
        <v>34.99</v>
      </c>
      <c r="E338" s="3" t="s">
        <v>12054</v>
      </c>
      <c r="F338" s="2" t="s">
        <v>74</v>
      </c>
      <c r="G338" s="6" t="s">
        <v>363</v>
      </c>
      <c r="H338" s="2" t="s">
        <v>9995</v>
      </c>
      <c r="I338" s="2" t="s">
        <v>1087</v>
      </c>
      <c r="J338" s="2" t="s">
        <v>19</v>
      </c>
      <c r="K338" s="2" t="s">
        <v>338</v>
      </c>
      <c r="L338" s="7" t="str">
        <f>HYPERLINK("http://slimages.macys.com/is/image/MCY/12002459 ")</f>
        <v xml:space="preserve">http://slimages.macys.com/is/image/MCY/12002459 </v>
      </c>
    </row>
    <row r="339" spans="1:12" ht="24.75" x14ac:dyDescent="0.25">
      <c r="A339" s="4" t="s">
        <v>13038</v>
      </c>
      <c r="B339" s="2" t="s">
        <v>13039</v>
      </c>
      <c r="C339" s="3">
        <v>1</v>
      </c>
      <c r="D339" s="5">
        <v>34.99</v>
      </c>
      <c r="E339" s="3" t="s">
        <v>13040</v>
      </c>
      <c r="F339" s="2" t="s">
        <v>111</v>
      </c>
      <c r="G339" s="6" t="s">
        <v>336</v>
      </c>
      <c r="H339" s="2" t="s">
        <v>9995</v>
      </c>
      <c r="I339" s="2" t="s">
        <v>1087</v>
      </c>
      <c r="J339" s="2" t="s">
        <v>19</v>
      </c>
      <c r="K339" s="2" t="s">
        <v>353</v>
      </c>
      <c r="L339" s="7" t="str">
        <f>HYPERLINK("http://slimages.macys.com/is/image/MCY/12067827 ")</f>
        <v xml:space="preserve">http://slimages.macys.com/is/image/MCY/12067827 </v>
      </c>
    </row>
    <row r="340" spans="1:12" ht="24.75" x14ac:dyDescent="0.25">
      <c r="A340" s="4" t="s">
        <v>10838</v>
      </c>
      <c r="B340" s="2" t="s">
        <v>1093</v>
      </c>
      <c r="C340" s="3">
        <v>1</v>
      </c>
      <c r="D340" s="5">
        <v>37.130000000000003</v>
      </c>
      <c r="E340" s="3">
        <v>100018042</v>
      </c>
      <c r="F340" s="2" t="s">
        <v>676</v>
      </c>
      <c r="G340" s="6" t="s">
        <v>16</v>
      </c>
      <c r="H340" s="2" t="s">
        <v>194</v>
      </c>
      <c r="I340" s="2" t="s">
        <v>195</v>
      </c>
      <c r="J340" s="2" t="s">
        <v>19</v>
      </c>
      <c r="K340" s="2" t="s">
        <v>353</v>
      </c>
      <c r="L340" s="7" t="str">
        <f t="shared" ref="L340:L346" si="2">HYPERLINK("http://slimages.macys.com/is/image/MCY/9693642 ")</f>
        <v xml:space="preserve">http://slimages.macys.com/is/image/MCY/9693642 </v>
      </c>
    </row>
    <row r="341" spans="1:12" ht="24.75" x14ac:dyDescent="0.25">
      <c r="A341" s="4" t="s">
        <v>10829</v>
      </c>
      <c r="B341" s="2" t="s">
        <v>1093</v>
      </c>
      <c r="C341" s="3">
        <v>1</v>
      </c>
      <c r="D341" s="5">
        <v>37.130000000000003</v>
      </c>
      <c r="E341" s="3">
        <v>100018042</v>
      </c>
      <c r="F341" s="2" t="s">
        <v>676</v>
      </c>
      <c r="G341" s="6" t="s">
        <v>112</v>
      </c>
      <c r="H341" s="2" t="s">
        <v>194</v>
      </c>
      <c r="I341" s="2" t="s">
        <v>195</v>
      </c>
      <c r="J341" s="2" t="s">
        <v>19</v>
      </c>
      <c r="K341" s="2" t="s">
        <v>353</v>
      </c>
      <c r="L341" s="7" t="str">
        <f t="shared" si="2"/>
        <v xml:space="preserve">http://slimages.macys.com/is/image/MCY/9693642 </v>
      </c>
    </row>
    <row r="342" spans="1:12" ht="24.75" x14ac:dyDescent="0.25">
      <c r="A342" s="4" t="s">
        <v>13041</v>
      </c>
      <c r="B342" s="2" t="s">
        <v>1093</v>
      </c>
      <c r="C342" s="3">
        <v>1</v>
      </c>
      <c r="D342" s="5">
        <v>37.130000000000003</v>
      </c>
      <c r="E342" s="3">
        <v>100018042</v>
      </c>
      <c r="F342" s="2" t="s">
        <v>74</v>
      </c>
      <c r="G342" s="6" t="s">
        <v>58</v>
      </c>
      <c r="H342" s="2" t="s">
        <v>194</v>
      </c>
      <c r="I342" s="2" t="s">
        <v>195</v>
      </c>
      <c r="J342" s="2" t="s">
        <v>19</v>
      </c>
      <c r="K342" s="2" t="s">
        <v>353</v>
      </c>
      <c r="L342" s="7" t="str">
        <f t="shared" si="2"/>
        <v xml:space="preserve">http://slimages.macys.com/is/image/MCY/9693642 </v>
      </c>
    </row>
    <row r="343" spans="1:12" ht="24.75" x14ac:dyDescent="0.25">
      <c r="A343" s="4" t="s">
        <v>13042</v>
      </c>
      <c r="B343" s="2" t="s">
        <v>1093</v>
      </c>
      <c r="C343" s="3">
        <v>1</v>
      </c>
      <c r="D343" s="5">
        <v>37.130000000000003</v>
      </c>
      <c r="E343" s="3">
        <v>100018042</v>
      </c>
      <c r="F343" s="2" t="s">
        <v>676</v>
      </c>
      <c r="G343" s="6" t="s">
        <v>141</v>
      </c>
      <c r="H343" s="2" t="s">
        <v>194</v>
      </c>
      <c r="I343" s="2" t="s">
        <v>195</v>
      </c>
      <c r="J343" s="2" t="s">
        <v>19</v>
      </c>
      <c r="K343" s="2" t="s">
        <v>353</v>
      </c>
      <c r="L343" s="7" t="str">
        <f t="shared" si="2"/>
        <v xml:space="preserve">http://slimages.macys.com/is/image/MCY/9693642 </v>
      </c>
    </row>
    <row r="344" spans="1:12" ht="24.75" x14ac:dyDescent="0.25">
      <c r="A344" s="4" t="s">
        <v>13043</v>
      </c>
      <c r="B344" s="2" t="s">
        <v>1093</v>
      </c>
      <c r="C344" s="3">
        <v>1</v>
      </c>
      <c r="D344" s="5">
        <v>37.130000000000003</v>
      </c>
      <c r="E344" s="3">
        <v>100018042</v>
      </c>
      <c r="F344" s="2" t="s">
        <v>74</v>
      </c>
      <c r="G344" s="6" t="s">
        <v>112</v>
      </c>
      <c r="H344" s="2" t="s">
        <v>194</v>
      </c>
      <c r="I344" s="2" t="s">
        <v>195</v>
      </c>
      <c r="J344" s="2" t="s">
        <v>19</v>
      </c>
      <c r="K344" s="2" t="s">
        <v>353</v>
      </c>
      <c r="L344" s="7" t="str">
        <f t="shared" si="2"/>
        <v xml:space="preserve">http://slimages.macys.com/is/image/MCY/9693642 </v>
      </c>
    </row>
    <row r="345" spans="1:12" ht="24.75" x14ac:dyDescent="0.25">
      <c r="A345" s="4" t="s">
        <v>13044</v>
      </c>
      <c r="B345" s="2" t="s">
        <v>1093</v>
      </c>
      <c r="C345" s="3">
        <v>1</v>
      </c>
      <c r="D345" s="5">
        <v>37.130000000000003</v>
      </c>
      <c r="E345" s="3">
        <v>100018042</v>
      </c>
      <c r="F345" s="2" t="s">
        <v>74</v>
      </c>
      <c r="G345" s="6" t="s">
        <v>141</v>
      </c>
      <c r="H345" s="2" t="s">
        <v>194</v>
      </c>
      <c r="I345" s="2" t="s">
        <v>195</v>
      </c>
      <c r="J345" s="2" t="s">
        <v>19</v>
      </c>
      <c r="K345" s="2" t="s">
        <v>353</v>
      </c>
      <c r="L345" s="7" t="str">
        <f t="shared" si="2"/>
        <v xml:space="preserve">http://slimages.macys.com/is/image/MCY/9693642 </v>
      </c>
    </row>
    <row r="346" spans="1:12" ht="24.75" x14ac:dyDescent="0.25">
      <c r="A346" s="4" t="s">
        <v>13045</v>
      </c>
      <c r="B346" s="2" t="s">
        <v>1093</v>
      </c>
      <c r="C346" s="3">
        <v>2</v>
      </c>
      <c r="D346" s="5">
        <v>37.130000000000003</v>
      </c>
      <c r="E346" s="3">
        <v>100018042</v>
      </c>
      <c r="F346" s="2" t="s">
        <v>676</v>
      </c>
      <c r="G346" s="6" t="s">
        <v>65</v>
      </c>
      <c r="H346" s="2" t="s">
        <v>194</v>
      </c>
      <c r="I346" s="2" t="s">
        <v>195</v>
      </c>
      <c r="J346" s="2" t="s">
        <v>19</v>
      </c>
      <c r="K346" s="2" t="s">
        <v>353</v>
      </c>
      <c r="L346" s="7" t="str">
        <f t="shared" si="2"/>
        <v xml:space="preserve">http://slimages.macys.com/is/image/MCY/9693642 </v>
      </c>
    </row>
    <row r="347" spans="1:12" ht="24.75" x14ac:dyDescent="0.25">
      <c r="A347" s="4" t="s">
        <v>13046</v>
      </c>
      <c r="B347" s="2" t="s">
        <v>4823</v>
      </c>
      <c r="C347" s="3">
        <v>1</v>
      </c>
      <c r="D347" s="5">
        <v>27.99</v>
      </c>
      <c r="E347" s="3" t="s">
        <v>12061</v>
      </c>
      <c r="F347" s="2" t="s">
        <v>2619</v>
      </c>
      <c r="G347" s="6" t="s">
        <v>200</v>
      </c>
      <c r="H347" s="2" t="s">
        <v>194</v>
      </c>
      <c r="I347" s="2" t="s">
        <v>919</v>
      </c>
      <c r="J347" s="2" t="s">
        <v>19</v>
      </c>
      <c r="K347" s="2" t="s">
        <v>409</v>
      </c>
      <c r="L347" s="7" t="str">
        <f>HYPERLINK("http://slimages.macys.com/is/image/MCY/13317772 ")</f>
        <v xml:space="preserve">http://slimages.macys.com/is/image/MCY/13317772 </v>
      </c>
    </row>
    <row r="348" spans="1:12" ht="24.75" x14ac:dyDescent="0.25">
      <c r="A348" s="4" t="s">
        <v>13047</v>
      </c>
      <c r="B348" s="2" t="s">
        <v>4823</v>
      </c>
      <c r="C348" s="3">
        <v>2</v>
      </c>
      <c r="D348" s="5">
        <v>27.99</v>
      </c>
      <c r="E348" s="3" t="s">
        <v>12061</v>
      </c>
      <c r="F348" s="2" t="s">
        <v>2619</v>
      </c>
      <c r="G348" s="6" t="s">
        <v>245</v>
      </c>
      <c r="H348" s="2" t="s">
        <v>194</v>
      </c>
      <c r="I348" s="2" t="s">
        <v>919</v>
      </c>
      <c r="J348" s="2" t="s">
        <v>19</v>
      </c>
      <c r="K348" s="2" t="s">
        <v>409</v>
      </c>
      <c r="L348" s="7" t="str">
        <f>HYPERLINK("http://slimages.macys.com/is/image/MCY/13317772 ")</f>
        <v xml:space="preserve">http://slimages.macys.com/is/image/MCY/13317772 </v>
      </c>
    </row>
    <row r="349" spans="1:12" ht="24.75" x14ac:dyDescent="0.25">
      <c r="A349" s="4" t="s">
        <v>12060</v>
      </c>
      <c r="B349" s="2" t="s">
        <v>4823</v>
      </c>
      <c r="C349" s="3">
        <v>5</v>
      </c>
      <c r="D349" s="5">
        <v>27.99</v>
      </c>
      <c r="E349" s="3" t="s">
        <v>12061</v>
      </c>
      <c r="F349" s="2" t="s">
        <v>2619</v>
      </c>
      <c r="G349" s="6" t="s">
        <v>154</v>
      </c>
      <c r="H349" s="2" t="s">
        <v>194</v>
      </c>
      <c r="I349" s="2" t="s">
        <v>919</v>
      </c>
      <c r="J349" s="2" t="s">
        <v>19</v>
      </c>
      <c r="K349" s="2" t="s">
        <v>409</v>
      </c>
      <c r="L349" s="7" t="str">
        <f>HYPERLINK("http://slimages.macys.com/is/image/MCY/13317772 ")</f>
        <v xml:space="preserve">http://slimages.macys.com/is/image/MCY/13317772 </v>
      </c>
    </row>
    <row r="350" spans="1:12" ht="24.75" x14ac:dyDescent="0.25">
      <c r="A350" s="4" t="s">
        <v>13048</v>
      </c>
      <c r="B350" s="2" t="s">
        <v>4823</v>
      </c>
      <c r="C350" s="3">
        <v>1</v>
      </c>
      <c r="D350" s="5">
        <v>27.99</v>
      </c>
      <c r="E350" s="3" t="s">
        <v>12061</v>
      </c>
      <c r="F350" s="2" t="s">
        <v>2619</v>
      </c>
      <c r="G350" s="6" t="s">
        <v>156</v>
      </c>
      <c r="H350" s="2" t="s">
        <v>194</v>
      </c>
      <c r="I350" s="2" t="s">
        <v>919</v>
      </c>
      <c r="J350" s="2" t="s">
        <v>19</v>
      </c>
      <c r="K350" s="2" t="s">
        <v>409</v>
      </c>
      <c r="L350" s="7" t="str">
        <f>HYPERLINK("http://slimages.macys.com/is/image/MCY/13317772 ")</f>
        <v xml:space="preserve">http://slimages.macys.com/is/image/MCY/13317772 </v>
      </c>
    </row>
    <row r="351" spans="1:12" ht="24.75" x14ac:dyDescent="0.25">
      <c r="A351" s="4" t="s">
        <v>13049</v>
      </c>
      <c r="B351" s="2" t="s">
        <v>4823</v>
      </c>
      <c r="C351" s="3">
        <v>1</v>
      </c>
      <c r="D351" s="5">
        <v>27.99</v>
      </c>
      <c r="E351" s="3" t="s">
        <v>12061</v>
      </c>
      <c r="F351" s="2" t="s">
        <v>2619</v>
      </c>
      <c r="G351" s="6" t="s">
        <v>234</v>
      </c>
      <c r="H351" s="2" t="s">
        <v>194</v>
      </c>
      <c r="I351" s="2" t="s">
        <v>919</v>
      </c>
      <c r="J351" s="2" t="s">
        <v>19</v>
      </c>
      <c r="K351" s="2" t="s">
        <v>409</v>
      </c>
      <c r="L351" s="7" t="str">
        <f>HYPERLINK("http://slimages.macys.com/is/image/MCY/13317772 ")</f>
        <v xml:space="preserve">http://slimages.macys.com/is/image/MCY/13317772 </v>
      </c>
    </row>
    <row r="352" spans="1:12" ht="24.75" x14ac:dyDescent="0.25">
      <c r="A352" s="4" t="s">
        <v>6560</v>
      </c>
      <c r="B352" s="2" t="s">
        <v>1394</v>
      </c>
      <c r="C352" s="3">
        <v>1</v>
      </c>
      <c r="D352" s="5">
        <v>37.130000000000003</v>
      </c>
      <c r="E352" s="3" t="s">
        <v>5757</v>
      </c>
      <c r="F352" s="2" t="s">
        <v>53</v>
      </c>
      <c r="G352" s="6" t="s">
        <v>234</v>
      </c>
      <c r="H352" s="2" t="s">
        <v>194</v>
      </c>
      <c r="I352" s="2" t="s">
        <v>195</v>
      </c>
      <c r="J352" s="2" t="s">
        <v>19</v>
      </c>
      <c r="K352" s="2" t="s">
        <v>34</v>
      </c>
      <c r="L352" s="7" t="str">
        <f>HYPERLINK("http://slimages.macys.com/is/image/MCY/13367997 ")</f>
        <v xml:space="preserve">http://slimages.macys.com/is/image/MCY/13367997 </v>
      </c>
    </row>
    <row r="353" spans="1:12" ht="24.75" x14ac:dyDescent="0.25">
      <c r="A353" s="4" t="s">
        <v>13050</v>
      </c>
      <c r="B353" s="2" t="s">
        <v>5759</v>
      </c>
      <c r="C353" s="3">
        <v>1</v>
      </c>
      <c r="D353" s="5">
        <v>37.130000000000003</v>
      </c>
      <c r="E353" s="3">
        <v>100054435</v>
      </c>
      <c r="F353" s="2" t="s">
        <v>199</v>
      </c>
      <c r="G353" s="6" t="s">
        <v>200</v>
      </c>
      <c r="H353" s="2" t="s">
        <v>194</v>
      </c>
      <c r="I353" s="2" t="s">
        <v>857</v>
      </c>
      <c r="J353" s="2" t="s">
        <v>19</v>
      </c>
      <c r="K353" s="2" t="s">
        <v>201</v>
      </c>
      <c r="L353" s="7" t="str">
        <f>HYPERLINK("http://slimages.macys.com/is/image/MCY/12279823 ")</f>
        <v xml:space="preserve">http://slimages.macys.com/is/image/MCY/12279823 </v>
      </c>
    </row>
    <row r="354" spans="1:12" ht="24.75" x14ac:dyDescent="0.25">
      <c r="A354" s="4" t="s">
        <v>13051</v>
      </c>
      <c r="B354" s="2" t="s">
        <v>13052</v>
      </c>
      <c r="C354" s="3">
        <v>1</v>
      </c>
      <c r="D354" s="5">
        <v>37.130000000000003</v>
      </c>
      <c r="E354" s="3">
        <v>100054437</v>
      </c>
      <c r="F354" s="2" t="s">
        <v>199</v>
      </c>
      <c r="G354" s="6" t="s">
        <v>154</v>
      </c>
      <c r="H354" s="2" t="s">
        <v>194</v>
      </c>
      <c r="I354" s="2" t="s">
        <v>857</v>
      </c>
      <c r="J354" s="2" t="s">
        <v>19</v>
      </c>
      <c r="K354" s="2" t="s">
        <v>607</v>
      </c>
      <c r="L354" s="7" t="str">
        <f>HYPERLINK("http://slimages.macys.com/is/image/MCY/12143691 ")</f>
        <v xml:space="preserve">http://slimages.macys.com/is/image/MCY/12143691 </v>
      </c>
    </row>
    <row r="355" spans="1:12" ht="24.75" x14ac:dyDescent="0.25">
      <c r="A355" s="4" t="s">
        <v>13053</v>
      </c>
      <c r="B355" s="2" t="s">
        <v>13052</v>
      </c>
      <c r="C355" s="3">
        <v>1</v>
      </c>
      <c r="D355" s="5">
        <v>37.130000000000003</v>
      </c>
      <c r="E355" s="3">
        <v>100054437</v>
      </c>
      <c r="F355" s="2" t="s">
        <v>199</v>
      </c>
      <c r="G355" s="6" t="s">
        <v>200</v>
      </c>
      <c r="H355" s="2" t="s">
        <v>194</v>
      </c>
      <c r="I355" s="2" t="s">
        <v>857</v>
      </c>
      <c r="J355" s="2" t="s">
        <v>19</v>
      </c>
      <c r="K355" s="2" t="s">
        <v>607</v>
      </c>
      <c r="L355" s="7" t="str">
        <f>HYPERLINK("http://slimages.macys.com/is/image/MCY/12143691 ")</f>
        <v xml:space="preserve">http://slimages.macys.com/is/image/MCY/12143691 </v>
      </c>
    </row>
    <row r="356" spans="1:12" ht="24.75" x14ac:dyDescent="0.25">
      <c r="A356" s="4" t="s">
        <v>1105</v>
      </c>
      <c r="B356" s="2" t="s">
        <v>1106</v>
      </c>
      <c r="C356" s="3">
        <v>1</v>
      </c>
      <c r="D356" s="5">
        <v>32.5</v>
      </c>
      <c r="E356" s="3" t="s">
        <v>1107</v>
      </c>
      <c r="F356" s="2" t="s">
        <v>15</v>
      </c>
      <c r="G356" s="6" t="s">
        <v>181</v>
      </c>
      <c r="H356" s="2" t="s">
        <v>194</v>
      </c>
      <c r="I356" s="2" t="s">
        <v>195</v>
      </c>
      <c r="J356" s="2" t="s">
        <v>19</v>
      </c>
      <c r="K356" s="2" t="s">
        <v>1108</v>
      </c>
      <c r="L356" s="7" t="str">
        <f>HYPERLINK("http://slimages.macys.com/is/image/MCY/11764459 ")</f>
        <v xml:space="preserve">http://slimages.macys.com/is/image/MCY/11764459 </v>
      </c>
    </row>
    <row r="357" spans="1:12" ht="24.75" x14ac:dyDescent="0.25">
      <c r="A357" s="4" t="s">
        <v>13054</v>
      </c>
      <c r="B357" s="2" t="s">
        <v>2571</v>
      </c>
      <c r="C357" s="3">
        <v>1</v>
      </c>
      <c r="D357" s="5">
        <v>37.130000000000003</v>
      </c>
      <c r="E357" s="3" t="s">
        <v>13055</v>
      </c>
      <c r="F357" s="2" t="s">
        <v>64</v>
      </c>
      <c r="G357" s="6" t="s">
        <v>187</v>
      </c>
      <c r="H357" s="2" t="s">
        <v>188</v>
      </c>
      <c r="I357" s="2" t="s">
        <v>189</v>
      </c>
      <c r="J357" s="2" t="s">
        <v>19</v>
      </c>
      <c r="K357" s="2" t="s">
        <v>495</v>
      </c>
      <c r="L357" s="7" t="str">
        <f>HYPERLINK("http://slimages.macys.com/is/image/MCY/11965012 ")</f>
        <v xml:space="preserve">http://slimages.macys.com/is/image/MCY/11965012 </v>
      </c>
    </row>
    <row r="358" spans="1:12" ht="24.75" x14ac:dyDescent="0.25">
      <c r="A358" s="4" t="s">
        <v>13056</v>
      </c>
      <c r="B358" s="2" t="s">
        <v>8635</v>
      </c>
      <c r="C358" s="3">
        <v>1</v>
      </c>
      <c r="D358" s="5">
        <v>45</v>
      </c>
      <c r="E358" s="3" t="s">
        <v>2473</v>
      </c>
      <c r="F358" s="2" t="s">
        <v>562</v>
      </c>
      <c r="G358" s="6"/>
      <c r="H358" s="2" t="s">
        <v>447</v>
      </c>
      <c r="I358" s="2" t="s">
        <v>792</v>
      </c>
      <c r="J358" s="2" t="s">
        <v>2474</v>
      </c>
      <c r="K358" s="2" t="s">
        <v>160</v>
      </c>
      <c r="L358" s="7" t="str">
        <f>HYPERLINK("http://slimages.macys.com/is/image/MCY/12258294 ")</f>
        <v xml:space="preserve">http://slimages.macys.com/is/image/MCY/12258294 </v>
      </c>
    </row>
    <row r="359" spans="1:12" ht="24.75" x14ac:dyDescent="0.25">
      <c r="A359" s="4" t="s">
        <v>4838</v>
      </c>
      <c r="B359" s="2" t="s">
        <v>1114</v>
      </c>
      <c r="C359" s="3">
        <v>1</v>
      </c>
      <c r="D359" s="5">
        <v>37.130000000000003</v>
      </c>
      <c r="E359" s="3">
        <v>100042369</v>
      </c>
      <c r="F359" s="2" t="s">
        <v>136</v>
      </c>
      <c r="G359" s="6" t="s">
        <v>27</v>
      </c>
      <c r="H359" s="2" t="s">
        <v>194</v>
      </c>
      <c r="I359" s="2" t="s">
        <v>195</v>
      </c>
      <c r="J359" s="2"/>
      <c r="K359" s="2"/>
      <c r="L359" s="7" t="str">
        <f>HYPERLINK("http://slimages.macys.com/is/image/MCY/11934939 ")</f>
        <v xml:space="preserve">http://slimages.macys.com/is/image/MCY/11934939 </v>
      </c>
    </row>
    <row r="360" spans="1:12" ht="24.75" x14ac:dyDescent="0.25">
      <c r="A360" s="4" t="s">
        <v>13057</v>
      </c>
      <c r="B360" s="2" t="s">
        <v>13058</v>
      </c>
      <c r="C360" s="3">
        <v>1</v>
      </c>
      <c r="D360" s="5">
        <v>29.99</v>
      </c>
      <c r="E360" s="3" t="s">
        <v>13059</v>
      </c>
      <c r="F360" s="2" t="s">
        <v>15</v>
      </c>
      <c r="G360" s="6" t="s">
        <v>181</v>
      </c>
      <c r="H360" s="2" t="s">
        <v>1522</v>
      </c>
      <c r="I360" s="2" t="s">
        <v>1469</v>
      </c>
      <c r="J360" s="2" t="s">
        <v>19</v>
      </c>
      <c r="K360" s="2" t="s">
        <v>495</v>
      </c>
      <c r="L360" s="7" t="str">
        <f>HYPERLINK("http://slimages.macys.com/is/image/MCY/14767869 ")</f>
        <v xml:space="preserve">http://slimages.macys.com/is/image/MCY/14767869 </v>
      </c>
    </row>
    <row r="361" spans="1:12" ht="24.75" x14ac:dyDescent="0.25">
      <c r="A361" s="4" t="s">
        <v>13060</v>
      </c>
      <c r="B361" s="2" t="s">
        <v>744</v>
      </c>
      <c r="C361" s="3">
        <v>1</v>
      </c>
      <c r="D361" s="5">
        <v>34.99</v>
      </c>
      <c r="E361" s="3" t="s">
        <v>10846</v>
      </c>
      <c r="F361" s="2" t="s">
        <v>111</v>
      </c>
      <c r="G361" s="6" t="s">
        <v>234</v>
      </c>
      <c r="H361" s="2" t="s">
        <v>284</v>
      </c>
      <c r="I361" s="2" t="s">
        <v>285</v>
      </c>
      <c r="J361" s="2" t="s">
        <v>19</v>
      </c>
      <c r="K361" s="2" t="s">
        <v>34</v>
      </c>
      <c r="L361" s="7" t="str">
        <f>HYPERLINK("http://slimages.macys.com/is/image/MCY/9723880 ")</f>
        <v xml:space="preserve">http://slimages.macys.com/is/image/MCY/9723880 </v>
      </c>
    </row>
    <row r="362" spans="1:12" ht="24.75" x14ac:dyDescent="0.25">
      <c r="A362" s="4" t="s">
        <v>13061</v>
      </c>
      <c r="B362" s="2" t="s">
        <v>12070</v>
      </c>
      <c r="C362" s="3">
        <v>1</v>
      </c>
      <c r="D362" s="5">
        <v>48</v>
      </c>
      <c r="E362" s="3" t="s">
        <v>12071</v>
      </c>
      <c r="F362" s="2" t="s">
        <v>2680</v>
      </c>
      <c r="G362" s="6" t="s">
        <v>181</v>
      </c>
      <c r="H362" s="2" t="s">
        <v>10225</v>
      </c>
      <c r="I362" s="2" t="s">
        <v>10226</v>
      </c>
      <c r="J362" s="2" t="s">
        <v>19</v>
      </c>
      <c r="K362" s="2" t="s">
        <v>1082</v>
      </c>
      <c r="L362" s="7" t="str">
        <f>HYPERLINK("http://slimages.macys.com/is/image/MCY/15943170 ")</f>
        <v xml:space="preserve">http://slimages.macys.com/is/image/MCY/15943170 </v>
      </c>
    </row>
    <row r="363" spans="1:12" ht="24.75" x14ac:dyDescent="0.25">
      <c r="A363" s="4" t="s">
        <v>1126</v>
      </c>
      <c r="B363" s="2" t="s">
        <v>1118</v>
      </c>
      <c r="C363" s="3">
        <v>1</v>
      </c>
      <c r="D363" s="5">
        <v>37.130000000000003</v>
      </c>
      <c r="E363" s="3">
        <v>100070736</v>
      </c>
      <c r="F363" s="2" t="s">
        <v>74</v>
      </c>
      <c r="G363" s="6" t="s">
        <v>154</v>
      </c>
      <c r="H363" s="2" t="s">
        <v>194</v>
      </c>
      <c r="I363" s="2" t="s">
        <v>195</v>
      </c>
      <c r="J363" s="2" t="s">
        <v>19</v>
      </c>
      <c r="K363" s="2" t="s">
        <v>353</v>
      </c>
      <c r="L363" s="7" t="str">
        <f>HYPERLINK("http://slimages.macys.com/is/image/MCY/13120823 ")</f>
        <v xml:space="preserve">http://slimages.macys.com/is/image/MCY/13120823 </v>
      </c>
    </row>
    <row r="364" spans="1:12" ht="24.75" x14ac:dyDescent="0.25">
      <c r="A364" s="4" t="s">
        <v>13062</v>
      </c>
      <c r="B364" s="2" t="s">
        <v>744</v>
      </c>
      <c r="C364" s="3">
        <v>1</v>
      </c>
      <c r="D364" s="5">
        <v>34.99</v>
      </c>
      <c r="E364" s="3" t="s">
        <v>10846</v>
      </c>
      <c r="F364" s="2" t="s">
        <v>111</v>
      </c>
      <c r="G364" s="6" t="s">
        <v>154</v>
      </c>
      <c r="H364" s="2" t="s">
        <v>284</v>
      </c>
      <c r="I364" s="2" t="s">
        <v>285</v>
      </c>
      <c r="J364" s="2" t="s">
        <v>19</v>
      </c>
      <c r="K364" s="2" t="s">
        <v>34</v>
      </c>
      <c r="L364" s="7" t="str">
        <f>HYPERLINK("http://slimages.macys.com/is/image/MCY/9723880 ")</f>
        <v xml:space="preserve">http://slimages.macys.com/is/image/MCY/9723880 </v>
      </c>
    </row>
    <row r="365" spans="1:12" ht="24.75" x14ac:dyDescent="0.25">
      <c r="A365" s="4" t="s">
        <v>10845</v>
      </c>
      <c r="B365" s="2" t="s">
        <v>744</v>
      </c>
      <c r="C365" s="3">
        <v>2</v>
      </c>
      <c r="D365" s="5">
        <v>34.99</v>
      </c>
      <c r="E365" s="3" t="s">
        <v>10846</v>
      </c>
      <c r="F365" s="2" t="s">
        <v>111</v>
      </c>
      <c r="G365" s="6" t="s">
        <v>181</v>
      </c>
      <c r="H365" s="2" t="s">
        <v>284</v>
      </c>
      <c r="I365" s="2" t="s">
        <v>285</v>
      </c>
      <c r="J365" s="2" t="s">
        <v>19</v>
      </c>
      <c r="K365" s="2" t="s">
        <v>34</v>
      </c>
      <c r="L365" s="7" t="str">
        <f>HYPERLINK("http://slimages.macys.com/is/image/MCY/9723880 ")</f>
        <v xml:space="preserve">http://slimages.macys.com/is/image/MCY/9723880 </v>
      </c>
    </row>
    <row r="366" spans="1:12" ht="24.75" x14ac:dyDescent="0.25">
      <c r="A366" s="4" t="s">
        <v>13063</v>
      </c>
      <c r="B366" s="2" t="s">
        <v>5770</v>
      </c>
      <c r="C366" s="3">
        <v>1</v>
      </c>
      <c r="D366" s="5">
        <v>65</v>
      </c>
      <c r="E366" s="3" t="s">
        <v>5771</v>
      </c>
      <c r="F366" s="2" t="s">
        <v>1914</v>
      </c>
      <c r="G366" s="6"/>
      <c r="H366" s="2" t="s">
        <v>447</v>
      </c>
      <c r="I366" s="2" t="s">
        <v>792</v>
      </c>
      <c r="J366" s="2" t="s">
        <v>19</v>
      </c>
      <c r="K366" s="2" t="s">
        <v>160</v>
      </c>
      <c r="L366" s="7" t="str">
        <f>HYPERLINK("http://slimages.macys.com/is/image/MCY/14532521 ")</f>
        <v xml:space="preserve">http://slimages.macys.com/is/image/MCY/14532521 </v>
      </c>
    </row>
    <row r="367" spans="1:12" ht="24.75" x14ac:dyDescent="0.25">
      <c r="A367" s="4" t="s">
        <v>13064</v>
      </c>
      <c r="B367" s="2" t="s">
        <v>1132</v>
      </c>
      <c r="C367" s="3">
        <v>1</v>
      </c>
      <c r="D367" s="5">
        <v>34.5</v>
      </c>
      <c r="E367" s="3" t="s">
        <v>1133</v>
      </c>
      <c r="F367" s="2" t="s">
        <v>252</v>
      </c>
      <c r="G367" s="6" t="s">
        <v>3671</v>
      </c>
      <c r="H367" s="2" t="s">
        <v>228</v>
      </c>
      <c r="I367" s="2" t="s">
        <v>863</v>
      </c>
      <c r="J367" s="2" t="s">
        <v>19</v>
      </c>
      <c r="K367" s="2" t="s">
        <v>253</v>
      </c>
      <c r="L367" s="7" t="str">
        <f>HYPERLINK("http://slimages.macys.com/is/image/MCY/9864908 ")</f>
        <v xml:space="preserve">http://slimages.macys.com/is/image/MCY/9864908 </v>
      </c>
    </row>
    <row r="368" spans="1:12" ht="24.75" x14ac:dyDescent="0.25">
      <c r="A368" s="4" t="s">
        <v>3759</v>
      </c>
      <c r="B368" s="2" t="s">
        <v>890</v>
      </c>
      <c r="C368" s="3">
        <v>1</v>
      </c>
      <c r="D368" s="5">
        <v>34.5</v>
      </c>
      <c r="E368" s="3" t="s">
        <v>1136</v>
      </c>
      <c r="F368" s="2" t="s">
        <v>252</v>
      </c>
      <c r="G368" s="6" t="s">
        <v>16</v>
      </c>
      <c r="H368" s="2" t="s">
        <v>228</v>
      </c>
      <c r="I368" s="2" t="s">
        <v>863</v>
      </c>
      <c r="J368" s="2" t="s">
        <v>19</v>
      </c>
      <c r="K368" s="2" t="s">
        <v>253</v>
      </c>
      <c r="L368" s="7" t="str">
        <f>HYPERLINK("http://slimages.macys.com/is/image/MCY/11804239 ")</f>
        <v xml:space="preserve">http://slimages.macys.com/is/image/MCY/11804239 </v>
      </c>
    </row>
    <row r="369" spans="1:12" ht="24.75" x14ac:dyDescent="0.25">
      <c r="A369" s="4" t="s">
        <v>13065</v>
      </c>
      <c r="B369" s="2" t="s">
        <v>13066</v>
      </c>
      <c r="C369" s="3">
        <v>1</v>
      </c>
      <c r="D369" s="5">
        <v>29.99</v>
      </c>
      <c r="E369" s="3" t="s">
        <v>13067</v>
      </c>
      <c r="F369" s="2" t="s">
        <v>15</v>
      </c>
      <c r="G369" s="6" t="s">
        <v>200</v>
      </c>
      <c r="H369" s="2" t="s">
        <v>1522</v>
      </c>
      <c r="I369" s="2" t="s">
        <v>1469</v>
      </c>
      <c r="J369" s="2" t="s">
        <v>19</v>
      </c>
      <c r="K369" s="2" t="s">
        <v>495</v>
      </c>
      <c r="L369" s="7" t="str">
        <f>HYPERLINK("http://slimages.macys.com/is/image/MCY/14770044 ")</f>
        <v xml:space="preserve">http://slimages.macys.com/is/image/MCY/14770044 </v>
      </c>
    </row>
    <row r="370" spans="1:12" ht="24.75" x14ac:dyDescent="0.25">
      <c r="A370" s="4" t="s">
        <v>13068</v>
      </c>
      <c r="B370" s="2" t="s">
        <v>4847</v>
      </c>
      <c r="C370" s="3">
        <v>1</v>
      </c>
      <c r="D370" s="5">
        <v>34.5</v>
      </c>
      <c r="E370" s="3" t="s">
        <v>4848</v>
      </c>
      <c r="F370" s="2" t="s">
        <v>417</v>
      </c>
      <c r="G370" s="6" t="s">
        <v>126</v>
      </c>
      <c r="H370" s="2" t="s">
        <v>426</v>
      </c>
      <c r="I370" s="2" t="s">
        <v>229</v>
      </c>
      <c r="J370" s="2" t="s">
        <v>19</v>
      </c>
      <c r="K370" s="2" t="s">
        <v>383</v>
      </c>
      <c r="L370" s="7" t="str">
        <f>HYPERLINK("http://slimages.macys.com/is/image/MCY/1650222 ")</f>
        <v xml:space="preserve">http://slimages.macys.com/is/image/MCY/1650222 </v>
      </c>
    </row>
    <row r="371" spans="1:12" ht="24.75" x14ac:dyDescent="0.25">
      <c r="A371" s="4" t="s">
        <v>5773</v>
      </c>
      <c r="B371" s="2" t="s">
        <v>1174</v>
      </c>
      <c r="C371" s="3">
        <v>1</v>
      </c>
      <c r="D371" s="5">
        <v>34.5</v>
      </c>
      <c r="E371" s="3" t="s">
        <v>1175</v>
      </c>
      <c r="F371" s="2" t="s">
        <v>74</v>
      </c>
      <c r="G371" s="6"/>
      <c r="H371" s="2" t="s">
        <v>228</v>
      </c>
      <c r="I371" s="2" t="s">
        <v>863</v>
      </c>
      <c r="J371" s="2" t="s">
        <v>19</v>
      </c>
      <c r="K371" s="2" t="s">
        <v>230</v>
      </c>
      <c r="L371" s="7" t="str">
        <f>HYPERLINK("http://slimages.macys.com/is/image/MCY/3623515 ")</f>
        <v xml:space="preserve">http://slimages.macys.com/is/image/MCY/3623515 </v>
      </c>
    </row>
    <row r="372" spans="1:12" ht="24.75" x14ac:dyDescent="0.25">
      <c r="A372" s="4" t="s">
        <v>13069</v>
      </c>
      <c r="B372" s="2" t="s">
        <v>1163</v>
      </c>
      <c r="C372" s="3">
        <v>1</v>
      </c>
      <c r="D372" s="5">
        <v>34.5</v>
      </c>
      <c r="E372" s="3" t="s">
        <v>8646</v>
      </c>
      <c r="F372" s="2" t="s">
        <v>417</v>
      </c>
      <c r="G372" s="6" t="s">
        <v>3671</v>
      </c>
      <c r="H372" s="2" t="s">
        <v>228</v>
      </c>
      <c r="I372" s="2" t="s">
        <v>863</v>
      </c>
      <c r="J372" s="2" t="s">
        <v>19</v>
      </c>
      <c r="K372" s="2" t="s">
        <v>230</v>
      </c>
      <c r="L372" s="7" t="str">
        <f>HYPERLINK("http://slimages.macys.com/is/image/MCY/3623515 ")</f>
        <v xml:space="preserve">http://slimages.macys.com/is/image/MCY/3623515 </v>
      </c>
    </row>
    <row r="373" spans="1:12" ht="24.75" x14ac:dyDescent="0.25">
      <c r="A373" s="4" t="s">
        <v>13070</v>
      </c>
      <c r="B373" s="2" t="s">
        <v>1181</v>
      </c>
      <c r="C373" s="3">
        <v>1</v>
      </c>
      <c r="D373" s="5">
        <v>37.130000000000003</v>
      </c>
      <c r="E373" s="3">
        <v>100064797</v>
      </c>
      <c r="F373" s="2" t="s">
        <v>15</v>
      </c>
      <c r="G373" s="6" t="s">
        <v>200</v>
      </c>
      <c r="H373" s="2" t="s">
        <v>194</v>
      </c>
      <c r="I373" s="2" t="s">
        <v>195</v>
      </c>
      <c r="J373" s="2" t="s">
        <v>19</v>
      </c>
      <c r="K373" s="2" t="s">
        <v>247</v>
      </c>
      <c r="L373" s="7" t="str">
        <f>HYPERLINK("http://slimages.macys.com/is/image/MCY/12950007 ")</f>
        <v xml:space="preserve">http://slimages.macys.com/is/image/MCY/12950007 </v>
      </c>
    </row>
    <row r="374" spans="1:12" ht="24.75" x14ac:dyDescent="0.25">
      <c r="A374" s="4" t="s">
        <v>5784</v>
      </c>
      <c r="B374" s="2" t="s">
        <v>1181</v>
      </c>
      <c r="C374" s="3">
        <v>1</v>
      </c>
      <c r="D374" s="5">
        <v>37.130000000000003</v>
      </c>
      <c r="E374" s="3">
        <v>100064797</v>
      </c>
      <c r="F374" s="2" t="s">
        <v>15</v>
      </c>
      <c r="G374" s="6" t="s">
        <v>181</v>
      </c>
      <c r="H374" s="2" t="s">
        <v>194</v>
      </c>
      <c r="I374" s="2" t="s">
        <v>195</v>
      </c>
      <c r="J374" s="2" t="s">
        <v>19</v>
      </c>
      <c r="K374" s="2" t="s">
        <v>247</v>
      </c>
      <c r="L374" s="7" t="str">
        <f>HYPERLINK("http://slimages.macys.com/is/image/MCY/12950007 ")</f>
        <v xml:space="preserve">http://slimages.macys.com/is/image/MCY/12950007 </v>
      </c>
    </row>
    <row r="375" spans="1:12" ht="24.75" x14ac:dyDescent="0.25">
      <c r="A375" s="4" t="s">
        <v>1182</v>
      </c>
      <c r="B375" s="2" t="s">
        <v>1183</v>
      </c>
      <c r="C375" s="3">
        <v>1</v>
      </c>
      <c r="D375" s="5">
        <v>34.5</v>
      </c>
      <c r="E375" s="3">
        <v>100010006</v>
      </c>
      <c r="F375" s="2" t="s">
        <v>417</v>
      </c>
      <c r="G375" s="6" t="s">
        <v>234</v>
      </c>
      <c r="H375" s="2" t="s">
        <v>228</v>
      </c>
      <c r="I375" s="2" t="s">
        <v>229</v>
      </c>
      <c r="J375" s="2" t="s">
        <v>19</v>
      </c>
      <c r="K375" s="2" t="s">
        <v>253</v>
      </c>
      <c r="L375" s="7" t="str">
        <f>HYPERLINK("http://slimages.macys.com/is/image/MCY/11269044 ")</f>
        <v xml:space="preserve">http://slimages.macys.com/is/image/MCY/11269044 </v>
      </c>
    </row>
    <row r="376" spans="1:12" ht="24.75" x14ac:dyDescent="0.25">
      <c r="A376" s="4" t="s">
        <v>7396</v>
      </c>
      <c r="B376" s="2" t="s">
        <v>4854</v>
      </c>
      <c r="C376" s="3">
        <v>1</v>
      </c>
      <c r="D376" s="5">
        <v>37.130000000000003</v>
      </c>
      <c r="E376" s="3">
        <v>100027424</v>
      </c>
      <c r="F376" s="2" t="s">
        <v>15</v>
      </c>
      <c r="G376" s="6" t="s">
        <v>4855</v>
      </c>
      <c r="H376" s="2" t="s">
        <v>194</v>
      </c>
      <c r="I376" s="2" t="s">
        <v>1112</v>
      </c>
      <c r="J376" s="2" t="s">
        <v>19</v>
      </c>
      <c r="K376" s="2" t="s">
        <v>409</v>
      </c>
      <c r="L376" s="7" t="str">
        <f>HYPERLINK("http://slimages.macys.com/is/image/MCY/8185791 ")</f>
        <v xml:space="preserve">http://slimages.macys.com/is/image/MCY/8185791 </v>
      </c>
    </row>
    <row r="377" spans="1:12" ht="24.75" x14ac:dyDescent="0.25">
      <c r="A377" s="4" t="s">
        <v>13071</v>
      </c>
      <c r="B377" s="2" t="s">
        <v>7398</v>
      </c>
      <c r="C377" s="3">
        <v>1</v>
      </c>
      <c r="D377" s="5">
        <v>37.130000000000003</v>
      </c>
      <c r="E377" s="3">
        <v>100027423</v>
      </c>
      <c r="F377" s="2" t="s">
        <v>15</v>
      </c>
      <c r="G377" s="6" t="s">
        <v>6455</v>
      </c>
      <c r="H377" s="2" t="s">
        <v>194</v>
      </c>
      <c r="I377" s="2" t="s">
        <v>1112</v>
      </c>
      <c r="J377" s="2" t="s">
        <v>19</v>
      </c>
      <c r="K377" s="2" t="s">
        <v>409</v>
      </c>
      <c r="L377" s="7" t="str">
        <f>HYPERLINK("http://slimages.macys.com/is/image/MCY/8185791 ")</f>
        <v xml:space="preserve">http://slimages.macys.com/is/image/MCY/8185791 </v>
      </c>
    </row>
    <row r="378" spans="1:12" ht="24.75" x14ac:dyDescent="0.25">
      <c r="A378" s="4" t="s">
        <v>13072</v>
      </c>
      <c r="B378" s="2" t="s">
        <v>10859</v>
      </c>
      <c r="C378" s="3">
        <v>1</v>
      </c>
      <c r="D378" s="5">
        <v>34.5</v>
      </c>
      <c r="E378" s="3">
        <v>100036308</v>
      </c>
      <c r="F378" s="2" t="s">
        <v>417</v>
      </c>
      <c r="G378" s="6" t="s">
        <v>22</v>
      </c>
      <c r="H378" s="2" t="s">
        <v>228</v>
      </c>
      <c r="I378" s="2" t="s">
        <v>863</v>
      </c>
      <c r="J378" s="2" t="s">
        <v>19</v>
      </c>
      <c r="K378" s="2" t="s">
        <v>215</v>
      </c>
      <c r="L378" s="7" t="str">
        <f>HYPERLINK("http://slimages.macys.com/is/image/MCY/8695240 ")</f>
        <v xml:space="preserve">http://slimages.macys.com/is/image/MCY/8695240 </v>
      </c>
    </row>
    <row r="379" spans="1:12" ht="24.75" x14ac:dyDescent="0.25">
      <c r="A379" s="4" t="s">
        <v>13073</v>
      </c>
      <c r="B379" s="2" t="s">
        <v>10861</v>
      </c>
      <c r="C379" s="3">
        <v>1</v>
      </c>
      <c r="D379" s="5">
        <v>34.5</v>
      </c>
      <c r="E379" s="3" t="s">
        <v>10862</v>
      </c>
      <c r="F379" s="2" t="s">
        <v>74</v>
      </c>
      <c r="G379" s="6" t="s">
        <v>4723</v>
      </c>
      <c r="H379" s="2" t="s">
        <v>228</v>
      </c>
      <c r="I379" s="2" t="s">
        <v>863</v>
      </c>
      <c r="J379" s="2" t="s">
        <v>19</v>
      </c>
      <c r="K379" s="2" t="s">
        <v>253</v>
      </c>
      <c r="L379" s="7" t="str">
        <f>HYPERLINK("http://slimages.macys.com/is/image/MCY/9864908 ")</f>
        <v xml:space="preserve">http://slimages.macys.com/is/image/MCY/9864908 </v>
      </c>
    </row>
    <row r="380" spans="1:12" ht="24.75" x14ac:dyDescent="0.25">
      <c r="A380" s="4" t="s">
        <v>9072</v>
      </c>
      <c r="B380" s="2" t="s">
        <v>4864</v>
      </c>
      <c r="C380" s="3">
        <v>1</v>
      </c>
      <c r="D380" s="5">
        <v>37.130000000000003</v>
      </c>
      <c r="E380" s="3" t="s">
        <v>4865</v>
      </c>
      <c r="F380" s="2" t="s">
        <v>15</v>
      </c>
      <c r="G380" s="6" t="s">
        <v>156</v>
      </c>
      <c r="H380" s="2" t="s">
        <v>194</v>
      </c>
      <c r="I380" s="2" t="s">
        <v>195</v>
      </c>
      <c r="J380" s="2" t="s">
        <v>19</v>
      </c>
      <c r="K380" s="2" t="s">
        <v>4866</v>
      </c>
      <c r="L380" s="7" t="str">
        <f>HYPERLINK("http://slimages.macys.com/is/image/MCY/12734328 ")</f>
        <v xml:space="preserve">http://slimages.macys.com/is/image/MCY/12734328 </v>
      </c>
    </row>
    <row r="381" spans="1:12" ht="24.75" x14ac:dyDescent="0.25">
      <c r="A381" s="4" t="s">
        <v>13074</v>
      </c>
      <c r="B381" s="2" t="s">
        <v>1160</v>
      </c>
      <c r="C381" s="3">
        <v>1</v>
      </c>
      <c r="D381" s="5">
        <v>69.5</v>
      </c>
      <c r="E381" s="3">
        <v>100055241</v>
      </c>
      <c r="F381" s="2" t="s">
        <v>252</v>
      </c>
      <c r="G381" s="6" t="s">
        <v>16</v>
      </c>
      <c r="H381" s="2" t="s">
        <v>386</v>
      </c>
      <c r="I381" s="2" t="s">
        <v>207</v>
      </c>
      <c r="J381" s="2" t="s">
        <v>19</v>
      </c>
      <c r="K381" s="2" t="s">
        <v>387</v>
      </c>
      <c r="L381" s="7" t="str">
        <f>HYPERLINK("http://slimages.macys.com/is/image/MCY/11535562 ")</f>
        <v xml:space="preserve">http://slimages.macys.com/is/image/MCY/11535562 </v>
      </c>
    </row>
    <row r="382" spans="1:12" ht="24.75" x14ac:dyDescent="0.25">
      <c r="A382" s="4" t="s">
        <v>13075</v>
      </c>
      <c r="B382" s="2" t="s">
        <v>1160</v>
      </c>
      <c r="C382" s="3">
        <v>1</v>
      </c>
      <c r="D382" s="5">
        <v>69.5</v>
      </c>
      <c r="E382" s="3">
        <v>100055241</v>
      </c>
      <c r="F382" s="2" t="s">
        <v>252</v>
      </c>
      <c r="G382" s="6" t="s">
        <v>106</v>
      </c>
      <c r="H382" s="2" t="s">
        <v>386</v>
      </c>
      <c r="I382" s="2" t="s">
        <v>207</v>
      </c>
      <c r="J382" s="2" t="s">
        <v>19</v>
      </c>
      <c r="K382" s="2" t="s">
        <v>387</v>
      </c>
      <c r="L382" s="7" t="str">
        <f>HYPERLINK("http://slimages.macys.com/is/image/MCY/11535562 ")</f>
        <v xml:space="preserve">http://slimages.macys.com/is/image/MCY/11535562 </v>
      </c>
    </row>
    <row r="383" spans="1:12" ht="24.75" x14ac:dyDescent="0.25">
      <c r="A383" s="4" t="s">
        <v>13076</v>
      </c>
      <c r="B383" s="2" t="s">
        <v>1160</v>
      </c>
      <c r="C383" s="3">
        <v>1</v>
      </c>
      <c r="D383" s="5">
        <v>69.5</v>
      </c>
      <c r="E383" s="3">
        <v>100055241</v>
      </c>
      <c r="F383" s="2" t="s">
        <v>252</v>
      </c>
      <c r="G383" s="6" t="s">
        <v>141</v>
      </c>
      <c r="H383" s="2" t="s">
        <v>386</v>
      </c>
      <c r="I383" s="2" t="s">
        <v>207</v>
      </c>
      <c r="J383" s="2" t="s">
        <v>19</v>
      </c>
      <c r="K383" s="2" t="s">
        <v>387</v>
      </c>
      <c r="L383" s="7" t="str">
        <f>HYPERLINK("http://slimages.macys.com/is/image/MCY/11535562 ")</f>
        <v xml:space="preserve">http://slimages.macys.com/is/image/MCY/11535562 </v>
      </c>
    </row>
    <row r="384" spans="1:12" ht="24.75" x14ac:dyDescent="0.25">
      <c r="A384" s="4" t="s">
        <v>4868</v>
      </c>
      <c r="B384" s="2" t="s">
        <v>4869</v>
      </c>
      <c r="C384" s="3">
        <v>1</v>
      </c>
      <c r="D384" s="5">
        <v>37.130000000000003</v>
      </c>
      <c r="E384" s="3">
        <v>100015977</v>
      </c>
      <c r="F384" s="2" t="s">
        <v>26</v>
      </c>
      <c r="G384" s="6" t="s">
        <v>154</v>
      </c>
      <c r="H384" s="2" t="s">
        <v>246</v>
      </c>
      <c r="I384" s="2" t="s">
        <v>189</v>
      </c>
      <c r="J384" s="2" t="s">
        <v>19</v>
      </c>
      <c r="K384" s="2" t="s">
        <v>648</v>
      </c>
      <c r="L384" s="7" t="str">
        <f>HYPERLINK("http://slimages.macys.com/is/image/MCY/9557334 ")</f>
        <v xml:space="preserve">http://slimages.macys.com/is/image/MCY/9557334 </v>
      </c>
    </row>
    <row r="385" spans="1:12" ht="24.75" x14ac:dyDescent="0.25">
      <c r="A385" s="4" t="s">
        <v>3782</v>
      </c>
      <c r="B385" s="2" t="s">
        <v>1203</v>
      </c>
      <c r="C385" s="3">
        <v>3</v>
      </c>
      <c r="D385" s="5">
        <v>34.5</v>
      </c>
      <c r="E385" s="3" t="s">
        <v>1204</v>
      </c>
      <c r="F385" s="2" t="s">
        <v>506</v>
      </c>
      <c r="G385" s="6" t="s">
        <v>126</v>
      </c>
      <c r="H385" s="2" t="s">
        <v>426</v>
      </c>
      <c r="I385" s="2" t="s">
        <v>863</v>
      </c>
      <c r="J385" s="2" t="s">
        <v>19</v>
      </c>
      <c r="K385" s="2" t="s">
        <v>253</v>
      </c>
      <c r="L385" s="7" t="str">
        <f>HYPERLINK("http://slimages.macys.com/is/image/MCY/13535247 ")</f>
        <v xml:space="preserve">http://slimages.macys.com/is/image/MCY/13535247 </v>
      </c>
    </row>
    <row r="386" spans="1:12" ht="24.75" x14ac:dyDescent="0.25">
      <c r="A386" s="4" t="s">
        <v>3781</v>
      </c>
      <c r="B386" s="2" t="s">
        <v>1203</v>
      </c>
      <c r="C386" s="3">
        <v>1</v>
      </c>
      <c r="D386" s="5">
        <v>34.5</v>
      </c>
      <c r="E386" s="3" t="s">
        <v>1204</v>
      </c>
      <c r="F386" s="2" t="s">
        <v>506</v>
      </c>
      <c r="G386" s="6" t="s">
        <v>802</v>
      </c>
      <c r="H386" s="2" t="s">
        <v>426</v>
      </c>
      <c r="I386" s="2" t="s">
        <v>863</v>
      </c>
      <c r="J386" s="2" t="s">
        <v>19</v>
      </c>
      <c r="K386" s="2" t="s">
        <v>253</v>
      </c>
      <c r="L386" s="7" t="str">
        <f>HYPERLINK("http://slimages.macys.com/is/image/MCY/13535247 ")</f>
        <v xml:space="preserve">http://slimages.macys.com/is/image/MCY/13535247 </v>
      </c>
    </row>
    <row r="387" spans="1:12" ht="24.75" x14ac:dyDescent="0.25">
      <c r="A387" s="4" t="s">
        <v>3783</v>
      </c>
      <c r="B387" s="2" t="s">
        <v>1203</v>
      </c>
      <c r="C387" s="3">
        <v>1</v>
      </c>
      <c r="D387" s="5">
        <v>34.5</v>
      </c>
      <c r="E387" s="3" t="s">
        <v>1204</v>
      </c>
      <c r="F387" s="2" t="s">
        <v>506</v>
      </c>
      <c r="G387" s="6" t="s">
        <v>238</v>
      </c>
      <c r="H387" s="2" t="s">
        <v>426</v>
      </c>
      <c r="I387" s="2" t="s">
        <v>863</v>
      </c>
      <c r="J387" s="2" t="s">
        <v>19</v>
      </c>
      <c r="K387" s="2" t="s">
        <v>253</v>
      </c>
      <c r="L387" s="7" t="str">
        <f>HYPERLINK("http://slimages.macys.com/is/image/MCY/13535247 ")</f>
        <v xml:space="preserve">http://slimages.macys.com/is/image/MCY/13535247 </v>
      </c>
    </row>
    <row r="388" spans="1:12" ht="24.75" x14ac:dyDescent="0.25">
      <c r="A388" s="4" t="s">
        <v>13077</v>
      </c>
      <c r="B388" s="2" t="s">
        <v>1203</v>
      </c>
      <c r="C388" s="3">
        <v>1</v>
      </c>
      <c r="D388" s="5">
        <v>34.5</v>
      </c>
      <c r="E388" s="3" t="s">
        <v>1204</v>
      </c>
      <c r="F388" s="2" t="s">
        <v>506</v>
      </c>
      <c r="G388" s="6" t="s">
        <v>336</v>
      </c>
      <c r="H388" s="2" t="s">
        <v>426</v>
      </c>
      <c r="I388" s="2" t="s">
        <v>863</v>
      </c>
      <c r="J388" s="2" t="s">
        <v>19</v>
      </c>
      <c r="K388" s="2" t="s">
        <v>253</v>
      </c>
      <c r="L388" s="7" t="str">
        <f>HYPERLINK("http://slimages.macys.com/is/image/MCY/13535247 ")</f>
        <v xml:space="preserve">http://slimages.macys.com/is/image/MCY/13535247 </v>
      </c>
    </row>
    <row r="389" spans="1:12" ht="24.75" x14ac:dyDescent="0.25">
      <c r="A389" s="4" t="s">
        <v>13078</v>
      </c>
      <c r="B389" s="2" t="s">
        <v>13079</v>
      </c>
      <c r="C389" s="3">
        <v>1</v>
      </c>
      <c r="D389" s="5">
        <v>34.5</v>
      </c>
      <c r="E389" s="3" t="s">
        <v>13080</v>
      </c>
      <c r="F389" s="2" t="s">
        <v>33</v>
      </c>
      <c r="G389" s="6" t="s">
        <v>165</v>
      </c>
      <c r="H389" s="2" t="s">
        <v>426</v>
      </c>
      <c r="I389" s="2" t="s">
        <v>863</v>
      </c>
      <c r="J389" s="2" t="s">
        <v>19</v>
      </c>
      <c r="K389" s="2" t="s">
        <v>253</v>
      </c>
      <c r="L389" s="7" t="str">
        <f>HYPERLINK("http://slimages.macys.com/is/image/MCY/2176967 ")</f>
        <v xml:space="preserve">http://slimages.macys.com/is/image/MCY/2176967 </v>
      </c>
    </row>
    <row r="390" spans="1:12" ht="24.75" x14ac:dyDescent="0.25">
      <c r="A390" s="4" t="s">
        <v>1202</v>
      </c>
      <c r="B390" s="2" t="s">
        <v>1203</v>
      </c>
      <c r="C390" s="3">
        <v>2</v>
      </c>
      <c r="D390" s="5">
        <v>34.5</v>
      </c>
      <c r="E390" s="3" t="s">
        <v>1204</v>
      </c>
      <c r="F390" s="2" t="s">
        <v>506</v>
      </c>
      <c r="G390" s="6" t="s">
        <v>165</v>
      </c>
      <c r="H390" s="2" t="s">
        <v>426</v>
      </c>
      <c r="I390" s="2" t="s">
        <v>863</v>
      </c>
      <c r="J390" s="2" t="s">
        <v>19</v>
      </c>
      <c r="K390" s="2" t="s">
        <v>253</v>
      </c>
      <c r="L390" s="7" t="str">
        <f>HYPERLINK("http://slimages.macys.com/is/image/MCY/13535247 ")</f>
        <v xml:space="preserve">http://slimages.macys.com/is/image/MCY/13535247 </v>
      </c>
    </row>
    <row r="391" spans="1:12" ht="24.75" x14ac:dyDescent="0.25">
      <c r="A391" s="4" t="s">
        <v>13081</v>
      </c>
      <c r="B391" s="2" t="s">
        <v>1203</v>
      </c>
      <c r="C391" s="3">
        <v>2</v>
      </c>
      <c r="D391" s="5">
        <v>34.5</v>
      </c>
      <c r="E391" s="3" t="s">
        <v>1204</v>
      </c>
      <c r="F391" s="2" t="s">
        <v>506</v>
      </c>
      <c r="G391" s="6" t="s">
        <v>934</v>
      </c>
      <c r="H391" s="2" t="s">
        <v>426</v>
      </c>
      <c r="I391" s="2" t="s">
        <v>863</v>
      </c>
      <c r="J391" s="2" t="s">
        <v>19</v>
      </c>
      <c r="K391" s="2" t="s">
        <v>253</v>
      </c>
      <c r="L391" s="7" t="str">
        <f>HYPERLINK("http://slimages.macys.com/is/image/MCY/13535247 ")</f>
        <v xml:space="preserve">http://slimages.macys.com/is/image/MCY/13535247 </v>
      </c>
    </row>
    <row r="392" spans="1:12" ht="24.75" x14ac:dyDescent="0.25">
      <c r="A392" s="4" t="s">
        <v>8130</v>
      </c>
      <c r="B392" s="2" t="s">
        <v>1203</v>
      </c>
      <c r="C392" s="3">
        <v>2</v>
      </c>
      <c r="D392" s="5">
        <v>34.5</v>
      </c>
      <c r="E392" s="3" t="s">
        <v>1204</v>
      </c>
      <c r="F392" s="2" t="s">
        <v>506</v>
      </c>
      <c r="G392" s="6" t="s">
        <v>205</v>
      </c>
      <c r="H392" s="2" t="s">
        <v>426</v>
      </c>
      <c r="I392" s="2" t="s">
        <v>863</v>
      </c>
      <c r="J392" s="2" t="s">
        <v>19</v>
      </c>
      <c r="K392" s="2" t="s">
        <v>253</v>
      </c>
      <c r="L392" s="7" t="str">
        <f>HYPERLINK("http://slimages.macys.com/is/image/MCY/13535247 ")</f>
        <v xml:space="preserve">http://slimages.macys.com/is/image/MCY/13535247 </v>
      </c>
    </row>
    <row r="393" spans="1:12" ht="24.75" x14ac:dyDescent="0.25">
      <c r="A393" s="4" t="s">
        <v>6586</v>
      </c>
      <c r="B393" s="2" t="s">
        <v>6587</v>
      </c>
      <c r="C393" s="3">
        <v>1</v>
      </c>
      <c r="D393" s="5">
        <v>34.5</v>
      </c>
      <c r="E393" s="3" t="s">
        <v>6588</v>
      </c>
      <c r="F393" s="2" t="s">
        <v>33</v>
      </c>
      <c r="G393" s="6" t="s">
        <v>6589</v>
      </c>
      <c r="H393" s="2" t="s">
        <v>426</v>
      </c>
      <c r="I393" s="2" t="s">
        <v>229</v>
      </c>
      <c r="J393" s="2" t="s">
        <v>19</v>
      </c>
      <c r="K393" s="2" t="s">
        <v>253</v>
      </c>
      <c r="L393" s="7" t="str">
        <f>HYPERLINK("http://slimages.macys.com/is/image/MCY/2176967 ")</f>
        <v xml:space="preserve">http://slimages.macys.com/is/image/MCY/2176967 </v>
      </c>
    </row>
    <row r="394" spans="1:12" ht="24.75" x14ac:dyDescent="0.25">
      <c r="A394" s="4" t="s">
        <v>13082</v>
      </c>
      <c r="B394" s="2" t="s">
        <v>2629</v>
      </c>
      <c r="C394" s="3">
        <v>1</v>
      </c>
      <c r="D394" s="5">
        <v>37.130000000000003</v>
      </c>
      <c r="E394" s="3" t="s">
        <v>4875</v>
      </c>
      <c r="F394" s="2" t="s">
        <v>417</v>
      </c>
      <c r="G394" s="6" t="s">
        <v>181</v>
      </c>
      <c r="H394" s="2" t="s">
        <v>194</v>
      </c>
      <c r="I394" s="2" t="s">
        <v>580</v>
      </c>
      <c r="J394" s="2" t="s">
        <v>19</v>
      </c>
      <c r="K394" s="2" t="s">
        <v>4876</v>
      </c>
      <c r="L394" s="7" t="str">
        <f>HYPERLINK("http://slimages.macys.com/is/image/MCY/12279933 ")</f>
        <v xml:space="preserve">http://slimages.macys.com/is/image/MCY/12279933 </v>
      </c>
    </row>
    <row r="395" spans="1:12" ht="24.75" x14ac:dyDescent="0.25">
      <c r="A395" s="4" t="s">
        <v>2627</v>
      </c>
      <c r="B395" s="2" t="s">
        <v>1199</v>
      </c>
      <c r="C395" s="3">
        <v>1</v>
      </c>
      <c r="D395" s="5">
        <v>37.130000000000003</v>
      </c>
      <c r="E395" s="3">
        <v>100009324</v>
      </c>
      <c r="F395" s="2" t="s">
        <v>1234</v>
      </c>
      <c r="G395" s="6" t="s">
        <v>58</v>
      </c>
      <c r="H395" s="2" t="s">
        <v>194</v>
      </c>
      <c r="I395" s="2" t="s">
        <v>195</v>
      </c>
      <c r="J395" s="2" t="s">
        <v>19</v>
      </c>
      <c r="K395" s="2" t="s">
        <v>353</v>
      </c>
      <c r="L395" s="7" t="str">
        <f>HYPERLINK("http://slimages.macys.com/is/image/MCY/9404224 ")</f>
        <v xml:space="preserve">http://slimages.macys.com/is/image/MCY/9404224 </v>
      </c>
    </row>
    <row r="396" spans="1:12" ht="36.75" x14ac:dyDescent="0.25">
      <c r="A396" s="4" t="s">
        <v>13083</v>
      </c>
      <c r="B396" s="2" t="s">
        <v>13084</v>
      </c>
      <c r="C396" s="3">
        <v>1</v>
      </c>
      <c r="D396" s="5">
        <v>29.99</v>
      </c>
      <c r="E396" s="3" t="s">
        <v>13085</v>
      </c>
      <c r="F396" s="2" t="s">
        <v>64</v>
      </c>
      <c r="G396" s="6" t="s">
        <v>181</v>
      </c>
      <c r="H396" s="2" t="s">
        <v>1522</v>
      </c>
      <c r="I396" s="2" t="s">
        <v>1469</v>
      </c>
      <c r="J396" s="2" t="s">
        <v>19</v>
      </c>
      <c r="K396" s="2" t="s">
        <v>13086</v>
      </c>
      <c r="L396" s="7" t="str">
        <f>HYPERLINK("http://slimages.macys.com/is/image/MCY/9924189 ")</f>
        <v xml:space="preserve">http://slimages.macys.com/is/image/MCY/9924189 </v>
      </c>
    </row>
    <row r="397" spans="1:12" ht="24.75" x14ac:dyDescent="0.25">
      <c r="A397" s="4" t="s">
        <v>13087</v>
      </c>
      <c r="B397" s="2" t="s">
        <v>12201</v>
      </c>
      <c r="C397" s="3">
        <v>1</v>
      </c>
      <c r="D397" s="5">
        <v>37.130000000000003</v>
      </c>
      <c r="E397" s="3" t="s">
        <v>13088</v>
      </c>
      <c r="F397" s="2" t="s">
        <v>26</v>
      </c>
      <c r="G397" s="6" t="s">
        <v>245</v>
      </c>
      <c r="H397" s="2" t="s">
        <v>194</v>
      </c>
      <c r="I397" s="2" t="s">
        <v>195</v>
      </c>
      <c r="J397" s="2" t="s">
        <v>19</v>
      </c>
      <c r="K397" s="2" t="s">
        <v>247</v>
      </c>
      <c r="L397" s="7" t="str">
        <f>HYPERLINK("http://slimages.macys.com/is/image/MCY/13761548 ")</f>
        <v xml:space="preserve">http://slimages.macys.com/is/image/MCY/13761548 </v>
      </c>
    </row>
    <row r="398" spans="1:12" ht="24.75" x14ac:dyDescent="0.25">
      <c r="A398" s="4" t="s">
        <v>10885</v>
      </c>
      <c r="B398" s="2" t="s">
        <v>1002</v>
      </c>
      <c r="C398" s="3">
        <v>2</v>
      </c>
      <c r="D398" s="5">
        <v>44.63</v>
      </c>
      <c r="E398" s="3" t="s">
        <v>10882</v>
      </c>
      <c r="F398" s="2" t="s">
        <v>579</v>
      </c>
      <c r="G398" s="6" t="s">
        <v>200</v>
      </c>
      <c r="H398" s="2" t="s">
        <v>194</v>
      </c>
      <c r="I398" s="2" t="s">
        <v>195</v>
      </c>
      <c r="J398" s="2" t="s">
        <v>19</v>
      </c>
      <c r="K398" s="2" t="s">
        <v>137</v>
      </c>
      <c r="L398" s="7" t="str">
        <f>HYPERLINK("http://slimages.macys.com/is/image/MCY/9653306 ")</f>
        <v xml:space="preserve">http://slimages.macys.com/is/image/MCY/9653306 </v>
      </c>
    </row>
    <row r="399" spans="1:12" ht="24.75" x14ac:dyDescent="0.25">
      <c r="A399" s="4" t="s">
        <v>12101</v>
      </c>
      <c r="B399" s="2" t="s">
        <v>1002</v>
      </c>
      <c r="C399" s="3">
        <v>1</v>
      </c>
      <c r="D399" s="5">
        <v>44.63</v>
      </c>
      <c r="E399" s="3" t="s">
        <v>10882</v>
      </c>
      <c r="F399" s="2" t="s">
        <v>579</v>
      </c>
      <c r="G399" s="6" t="s">
        <v>154</v>
      </c>
      <c r="H399" s="2" t="s">
        <v>194</v>
      </c>
      <c r="I399" s="2" t="s">
        <v>195</v>
      </c>
      <c r="J399" s="2" t="s">
        <v>19</v>
      </c>
      <c r="K399" s="2" t="s">
        <v>137</v>
      </c>
      <c r="L399" s="7" t="str">
        <f>HYPERLINK("http://slimages.macys.com/is/image/MCY/9653306 ")</f>
        <v xml:space="preserve">http://slimages.macys.com/is/image/MCY/9653306 </v>
      </c>
    </row>
    <row r="400" spans="1:12" ht="24.75" x14ac:dyDescent="0.25">
      <c r="A400" s="4" t="s">
        <v>13089</v>
      </c>
      <c r="B400" s="2" t="s">
        <v>12103</v>
      </c>
      <c r="C400" s="3">
        <v>1</v>
      </c>
      <c r="D400" s="5">
        <v>29.63</v>
      </c>
      <c r="E400" s="3" t="s">
        <v>12104</v>
      </c>
      <c r="F400" s="2" t="s">
        <v>74</v>
      </c>
      <c r="G400" s="6" t="s">
        <v>234</v>
      </c>
      <c r="H400" s="2" t="s">
        <v>194</v>
      </c>
      <c r="I400" s="2" t="s">
        <v>580</v>
      </c>
      <c r="J400" s="2" t="s">
        <v>19</v>
      </c>
      <c r="K400" s="2" t="s">
        <v>247</v>
      </c>
      <c r="L400" s="7" t="str">
        <f>HYPERLINK("http://slimages.macys.com/is/image/MCY/13367899 ")</f>
        <v xml:space="preserve">http://slimages.macys.com/is/image/MCY/13367899 </v>
      </c>
    </row>
    <row r="401" spans="1:12" ht="24.75" x14ac:dyDescent="0.25">
      <c r="A401" s="4" t="s">
        <v>13090</v>
      </c>
      <c r="B401" s="2" t="s">
        <v>1215</v>
      </c>
      <c r="C401" s="3">
        <v>1</v>
      </c>
      <c r="D401" s="5">
        <v>37.130000000000003</v>
      </c>
      <c r="E401" s="3" t="s">
        <v>1216</v>
      </c>
      <c r="F401" s="2" t="s">
        <v>579</v>
      </c>
      <c r="G401" s="6" t="s">
        <v>245</v>
      </c>
      <c r="H401" s="2" t="s">
        <v>194</v>
      </c>
      <c r="I401" s="2" t="s">
        <v>580</v>
      </c>
      <c r="J401" s="2" t="s">
        <v>19</v>
      </c>
      <c r="K401" s="2" t="s">
        <v>247</v>
      </c>
      <c r="L401" s="7" t="str">
        <f>HYPERLINK("http://slimages.macys.com/is/image/MCY/12950186 ")</f>
        <v xml:space="preserve">http://slimages.macys.com/is/image/MCY/12950186 </v>
      </c>
    </row>
    <row r="402" spans="1:12" ht="24.75" x14ac:dyDescent="0.25">
      <c r="A402" s="4" t="s">
        <v>9581</v>
      </c>
      <c r="B402" s="2" t="s">
        <v>9086</v>
      </c>
      <c r="C402" s="3">
        <v>1</v>
      </c>
      <c r="D402" s="5">
        <v>37.130000000000003</v>
      </c>
      <c r="E402" s="3">
        <v>100042375</v>
      </c>
      <c r="F402" s="2" t="s">
        <v>94</v>
      </c>
      <c r="G402" s="6" t="s">
        <v>27</v>
      </c>
      <c r="H402" s="2" t="s">
        <v>194</v>
      </c>
      <c r="I402" s="2" t="s">
        <v>195</v>
      </c>
      <c r="J402" s="2" t="s">
        <v>19</v>
      </c>
      <c r="K402" s="2" t="s">
        <v>353</v>
      </c>
      <c r="L402" s="7" t="str">
        <f>HYPERLINK("http://slimages.macys.com/is/image/MCY/11025487 ")</f>
        <v xml:space="preserve">http://slimages.macys.com/is/image/MCY/11025487 </v>
      </c>
    </row>
    <row r="403" spans="1:12" ht="24.75" x14ac:dyDescent="0.25">
      <c r="A403" s="4" t="s">
        <v>13091</v>
      </c>
      <c r="B403" s="2" t="s">
        <v>1222</v>
      </c>
      <c r="C403" s="3">
        <v>1</v>
      </c>
      <c r="D403" s="5">
        <v>37.130000000000003</v>
      </c>
      <c r="E403" s="3" t="s">
        <v>1223</v>
      </c>
      <c r="F403" s="2" t="s">
        <v>26</v>
      </c>
      <c r="G403" s="6" t="s">
        <v>245</v>
      </c>
      <c r="H403" s="2" t="s">
        <v>194</v>
      </c>
      <c r="I403" s="2" t="s">
        <v>580</v>
      </c>
      <c r="J403" s="2" t="s">
        <v>19</v>
      </c>
      <c r="K403" s="2" t="s">
        <v>247</v>
      </c>
      <c r="L403" s="7" t="str">
        <f>HYPERLINK("http://slimages.macys.com/is/image/MCY/12950179 ")</f>
        <v xml:space="preserve">http://slimages.macys.com/is/image/MCY/12950179 </v>
      </c>
    </row>
    <row r="404" spans="1:12" ht="24.75" x14ac:dyDescent="0.25">
      <c r="A404" s="4" t="s">
        <v>13092</v>
      </c>
      <c r="B404" s="2" t="s">
        <v>1232</v>
      </c>
      <c r="C404" s="3">
        <v>1</v>
      </c>
      <c r="D404" s="5">
        <v>34.5</v>
      </c>
      <c r="E404" s="3" t="s">
        <v>1236</v>
      </c>
      <c r="F404" s="2" t="s">
        <v>506</v>
      </c>
      <c r="G404" s="6" t="s">
        <v>58</v>
      </c>
      <c r="H404" s="2" t="s">
        <v>194</v>
      </c>
      <c r="I404" s="2" t="s">
        <v>195</v>
      </c>
      <c r="J404" s="2" t="s">
        <v>19</v>
      </c>
      <c r="K404" s="2" t="s">
        <v>353</v>
      </c>
      <c r="L404" s="7" t="str">
        <f>HYPERLINK("http://slimages.macys.com/is/image/MCY/8312314 ")</f>
        <v xml:space="preserve">http://slimages.macys.com/is/image/MCY/8312314 </v>
      </c>
    </row>
    <row r="405" spans="1:12" ht="24.75" x14ac:dyDescent="0.25">
      <c r="A405" s="4" t="s">
        <v>8137</v>
      </c>
      <c r="B405" s="2" t="s">
        <v>1232</v>
      </c>
      <c r="C405" s="3">
        <v>1</v>
      </c>
      <c r="D405" s="5">
        <v>34.880000000000003</v>
      </c>
      <c r="E405" s="3" t="s">
        <v>1238</v>
      </c>
      <c r="F405" s="2" t="s">
        <v>26</v>
      </c>
      <c r="G405" s="6" t="s">
        <v>112</v>
      </c>
      <c r="H405" s="2" t="s">
        <v>194</v>
      </c>
      <c r="I405" s="2" t="s">
        <v>195</v>
      </c>
      <c r="J405" s="2" t="s">
        <v>19</v>
      </c>
      <c r="K405" s="2" t="s">
        <v>353</v>
      </c>
      <c r="L405" s="7" t="str">
        <f>HYPERLINK("http://slimages.macys.com/is/image/MCY/8312314 ")</f>
        <v xml:space="preserve">http://slimages.macys.com/is/image/MCY/8312314 </v>
      </c>
    </row>
    <row r="406" spans="1:12" ht="24.75" x14ac:dyDescent="0.25">
      <c r="A406" s="4" t="s">
        <v>13093</v>
      </c>
      <c r="B406" s="2" t="s">
        <v>12110</v>
      </c>
      <c r="C406" s="3">
        <v>1</v>
      </c>
      <c r="D406" s="5">
        <v>37.1</v>
      </c>
      <c r="E406" s="3" t="s">
        <v>12111</v>
      </c>
      <c r="F406" s="2"/>
      <c r="G406" s="6"/>
      <c r="H406" s="2" t="s">
        <v>312</v>
      </c>
      <c r="I406" s="2" t="s">
        <v>195</v>
      </c>
      <c r="J406" s="2" t="s">
        <v>19</v>
      </c>
      <c r="K406" s="2" t="s">
        <v>160</v>
      </c>
      <c r="L406" s="7" t="str">
        <f>HYPERLINK("http://slimages.macys.com/is/image/MCY/9925256 ")</f>
        <v xml:space="preserve">http://slimages.macys.com/is/image/MCY/9925256 </v>
      </c>
    </row>
    <row r="407" spans="1:12" ht="24.75" x14ac:dyDescent="0.25">
      <c r="A407" s="4" t="s">
        <v>2641</v>
      </c>
      <c r="B407" s="2" t="s">
        <v>1244</v>
      </c>
      <c r="C407" s="3">
        <v>1</v>
      </c>
      <c r="D407" s="5">
        <v>37.130000000000003</v>
      </c>
      <c r="E407" s="3">
        <v>100058183</v>
      </c>
      <c r="F407" s="2" t="s">
        <v>15</v>
      </c>
      <c r="G407" s="6" t="s">
        <v>58</v>
      </c>
      <c r="H407" s="2" t="s">
        <v>194</v>
      </c>
      <c r="I407" s="2" t="s">
        <v>195</v>
      </c>
      <c r="J407" s="2" t="s">
        <v>19</v>
      </c>
      <c r="K407" s="2" t="s">
        <v>353</v>
      </c>
      <c r="L407" s="7" t="str">
        <f>HYPERLINK("http://slimages.macys.com/is/image/MCY/12793647 ")</f>
        <v xml:space="preserve">http://slimages.macys.com/is/image/MCY/12793647 </v>
      </c>
    </row>
    <row r="408" spans="1:12" ht="24.75" x14ac:dyDescent="0.25">
      <c r="A408" s="4" t="s">
        <v>12116</v>
      </c>
      <c r="B408" s="2" t="s">
        <v>1327</v>
      </c>
      <c r="C408" s="3">
        <v>1</v>
      </c>
      <c r="D408" s="5">
        <v>34.880000000000003</v>
      </c>
      <c r="E408" s="3" t="s">
        <v>10895</v>
      </c>
      <c r="F408" s="2" t="s">
        <v>2619</v>
      </c>
      <c r="G408" s="6" t="s">
        <v>22</v>
      </c>
      <c r="H408" s="2" t="s">
        <v>194</v>
      </c>
      <c r="I408" s="2" t="s">
        <v>195</v>
      </c>
      <c r="J408" s="2" t="s">
        <v>19</v>
      </c>
      <c r="K408" s="2" t="s">
        <v>353</v>
      </c>
      <c r="L408" s="7" t="str">
        <f>HYPERLINK("http://slimages.macys.com/is/image/MCY/12033298 ")</f>
        <v xml:space="preserve">http://slimages.macys.com/is/image/MCY/12033298 </v>
      </c>
    </row>
    <row r="409" spans="1:12" ht="24.75" x14ac:dyDescent="0.25">
      <c r="A409" s="4" t="s">
        <v>13094</v>
      </c>
      <c r="B409" s="2" t="s">
        <v>1327</v>
      </c>
      <c r="C409" s="3">
        <v>1</v>
      </c>
      <c r="D409" s="5">
        <v>34.880000000000003</v>
      </c>
      <c r="E409" s="3" t="s">
        <v>10895</v>
      </c>
      <c r="F409" s="2" t="s">
        <v>2619</v>
      </c>
      <c r="G409" s="6" t="s">
        <v>112</v>
      </c>
      <c r="H409" s="2" t="s">
        <v>194</v>
      </c>
      <c r="I409" s="2" t="s">
        <v>195</v>
      </c>
      <c r="J409" s="2" t="s">
        <v>19</v>
      </c>
      <c r="K409" s="2" t="s">
        <v>353</v>
      </c>
      <c r="L409" s="7" t="str">
        <f>HYPERLINK("http://slimages.macys.com/is/image/MCY/12033298 ")</f>
        <v xml:space="preserve">http://slimages.macys.com/is/image/MCY/12033298 </v>
      </c>
    </row>
    <row r="410" spans="1:12" ht="24.75" x14ac:dyDescent="0.25">
      <c r="A410" s="4" t="s">
        <v>1247</v>
      </c>
      <c r="B410" s="2" t="s">
        <v>1232</v>
      </c>
      <c r="C410" s="3">
        <v>1</v>
      </c>
      <c r="D410" s="5">
        <v>34.880000000000003</v>
      </c>
      <c r="E410" s="3" t="s">
        <v>1246</v>
      </c>
      <c r="F410" s="2" t="s">
        <v>74</v>
      </c>
      <c r="G410" s="6" t="s">
        <v>336</v>
      </c>
      <c r="H410" s="2" t="s">
        <v>312</v>
      </c>
      <c r="I410" s="2" t="s">
        <v>195</v>
      </c>
      <c r="J410" s="2" t="s">
        <v>19</v>
      </c>
      <c r="K410" s="2" t="s">
        <v>353</v>
      </c>
      <c r="L410" s="7" t="str">
        <f>HYPERLINK("http://slimages.macys.com/is/image/MCY/8256708 ")</f>
        <v xml:space="preserve">http://slimages.macys.com/is/image/MCY/8256708 </v>
      </c>
    </row>
    <row r="411" spans="1:12" ht="36.75" x14ac:dyDescent="0.25">
      <c r="A411" s="4" t="s">
        <v>13095</v>
      </c>
      <c r="B411" s="2" t="s">
        <v>13096</v>
      </c>
      <c r="C411" s="3">
        <v>1</v>
      </c>
      <c r="D411" s="5">
        <v>27.99</v>
      </c>
      <c r="E411" s="3" t="s">
        <v>13097</v>
      </c>
      <c r="F411" s="2"/>
      <c r="G411" s="6" t="s">
        <v>165</v>
      </c>
      <c r="H411" s="2" t="s">
        <v>312</v>
      </c>
      <c r="I411" s="2" t="s">
        <v>928</v>
      </c>
      <c r="J411" s="2" t="s">
        <v>19</v>
      </c>
      <c r="K411" s="2" t="s">
        <v>2657</v>
      </c>
      <c r="L411" s="7" t="str">
        <f>HYPERLINK("http://slimages.macys.com/is/image/MCY/2910492 ")</f>
        <v xml:space="preserve">http://slimages.macys.com/is/image/MCY/2910492 </v>
      </c>
    </row>
    <row r="412" spans="1:12" ht="24.75" x14ac:dyDescent="0.25">
      <c r="A412" s="4" t="s">
        <v>13098</v>
      </c>
      <c r="B412" s="2" t="s">
        <v>12124</v>
      </c>
      <c r="C412" s="3">
        <v>1</v>
      </c>
      <c r="D412" s="5">
        <v>34.880000000000003</v>
      </c>
      <c r="E412" s="3" t="s">
        <v>13099</v>
      </c>
      <c r="F412" s="2" t="s">
        <v>376</v>
      </c>
      <c r="G412" s="6" t="s">
        <v>200</v>
      </c>
      <c r="H412" s="2" t="s">
        <v>194</v>
      </c>
      <c r="I412" s="2" t="s">
        <v>919</v>
      </c>
      <c r="J412" s="2" t="s">
        <v>19</v>
      </c>
      <c r="K412" s="2" t="s">
        <v>409</v>
      </c>
      <c r="L412" s="7" t="str">
        <f>HYPERLINK("http://slimages.macys.com/is/image/MCY/8278760 ")</f>
        <v xml:space="preserve">http://slimages.macys.com/is/image/MCY/8278760 </v>
      </c>
    </row>
    <row r="413" spans="1:12" ht="24.75" x14ac:dyDescent="0.25">
      <c r="A413" s="4" t="s">
        <v>13100</v>
      </c>
      <c r="B413" s="2" t="s">
        <v>12124</v>
      </c>
      <c r="C413" s="3">
        <v>1</v>
      </c>
      <c r="D413" s="5">
        <v>34.880000000000003</v>
      </c>
      <c r="E413" s="3" t="s">
        <v>13101</v>
      </c>
      <c r="F413" s="2" t="s">
        <v>15</v>
      </c>
      <c r="G413" s="6" t="s">
        <v>200</v>
      </c>
      <c r="H413" s="2" t="s">
        <v>194</v>
      </c>
      <c r="I413" s="2" t="s">
        <v>919</v>
      </c>
      <c r="J413" s="2" t="s">
        <v>19</v>
      </c>
      <c r="K413" s="2" t="s">
        <v>409</v>
      </c>
      <c r="L413" s="7" t="str">
        <f>HYPERLINK("http://slimages.macys.com/is/image/MCY/8278760 ")</f>
        <v xml:space="preserve">http://slimages.macys.com/is/image/MCY/8278760 </v>
      </c>
    </row>
    <row r="414" spans="1:12" ht="24.75" x14ac:dyDescent="0.25">
      <c r="A414" s="4" t="s">
        <v>12123</v>
      </c>
      <c r="B414" s="2" t="s">
        <v>12124</v>
      </c>
      <c r="C414" s="3">
        <v>1</v>
      </c>
      <c r="D414" s="5">
        <v>34.880000000000003</v>
      </c>
      <c r="E414" s="3" t="s">
        <v>12125</v>
      </c>
      <c r="F414" s="2" t="s">
        <v>74</v>
      </c>
      <c r="G414" s="6" t="s">
        <v>156</v>
      </c>
      <c r="H414" s="2" t="s">
        <v>194</v>
      </c>
      <c r="I414" s="2" t="s">
        <v>1112</v>
      </c>
      <c r="J414" s="2" t="s">
        <v>19</v>
      </c>
      <c r="K414" s="2" t="s">
        <v>409</v>
      </c>
      <c r="L414" s="7" t="str">
        <f>HYPERLINK("http://slimages.macys.com/is/image/MCY/8278760 ")</f>
        <v xml:space="preserve">http://slimages.macys.com/is/image/MCY/8278760 </v>
      </c>
    </row>
    <row r="415" spans="1:12" ht="24.75" x14ac:dyDescent="0.25">
      <c r="A415" s="4" t="s">
        <v>5840</v>
      </c>
      <c r="B415" s="2" t="s">
        <v>1250</v>
      </c>
      <c r="C415" s="3">
        <v>1</v>
      </c>
      <c r="D415" s="5">
        <v>34.5</v>
      </c>
      <c r="E415" s="3">
        <v>100060489</v>
      </c>
      <c r="F415" s="2" t="s">
        <v>331</v>
      </c>
      <c r="G415" s="6" t="s">
        <v>27</v>
      </c>
      <c r="H415" s="2" t="s">
        <v>228</v>
      </c>
      <c r="I415" s="2" t="s">
        <v>229</v>
      </c>
      <c r="J415" s="2" t="s">
        <v>19</v>
      </c>
      <c r="K415" s="2" t="s">
        <v>1251</v>
      </c>
      <c r="L415" s="7" t="str">
        <f>HYPERLINK("http://slimages.macys.com/is/image/MCY/9100235 ")</f>
        <v xml:space="preserve">http://slimages.macys.com/is/image/MCY/9100235 </v>
      </c>
    </row>
    <row r="416" spans="1:12" ht="24.75" x14ac:dyDescent="0.25">
      <c r="A416" s="4" t="s">
        <v>1249</v>
      </c>
      <c r="B416" s="2" t="s">
        <v>1250</v>
      </c>
      <c r="C416" s="3">
        <v>1</v>
      </c>
      <c r="D416" s="5">
        <v>34.5</v>
      </c>
      <c r="E416" s="3">
        <v>100060490</v>
      </c>
      <c r="F416" s="2" t="s">
        <v>89</v>
      </c>
      <c r="G416" s="6" t="s">
        <v>22</v>
      </c>
      <c r="H416" s="2" t="s">
        <v>228</v>
      </c>
      <c r="I416" s="2" t="s">
        <v>229</v>
      </c>
      <c r="J416" s="2" t="s">
        <v>19</v>
      </c>
      <c r="K416" s="2" t="s">
        <v>1251</v>
      </c>
      <c r="L416" s="7" t="str">
        <f>HYPERLINK("http://slimages.macys.com/is/image/MCY/9100235 ")</f>
        <v xml:space="preserve">http://slimages.macys.com/is/image/MCY/9100235 </v>
      </c>
    </row>
    <row r="417" spans="1:12" ht="24.75" x14ac:dyDescent="0.25">
      <c r="A417" s="4" t="s">
        <v>13102</v>
      </c>
      <c r="B417" s="2" t="s">
        <v>1250</v>
      </c>
      <c r="C417" s="3">
        <v>1</v>
      </c>
      <c r="D417" s="5">
        <v>34.5</v>
      </c>
      <c r="E417" s="3">
        <v>100003653</v>
      </c>
      <c r="F417" s="2" t="s">
        <v>417</v>
      </c>
      <c r="G417" s="6" t="s">
        <v>22</v>
      </c>
      <c r="H417" s="2" t="s">
        <v>228</v>
      </c>
      <c r="I417" s="2" t="s">
        <v>229</v>
      </c>
      <c r="J417" s="2" t="s">
        <v>19</v>
      </c>
      <c r="K417" s="2" t="s">
        <v>1251</v>
      </c>
      <c r="L417" s="7" t="str">
        <f>HYPERLINK("http://slimages.macys.com/is/image/MCY/9100235 ")</f>
        <v xml:space="preserve">http://slimages.macys.com/is/image/MCY/9100235 </v>
      </c>
    </row>
    <row r="418" spans="1:12" ht="24.75" x14ac:dyDescent="0.25">
      <c r="A418" s="4" t="s">
        <v>13103</v>
      </c>
      <c r="B418" s="2" t="s">
        <v>1047</v>
      </c>
      <c r="C418" s="3">
        <v>1</v>
      </c>
      <c r="D418" s="5">
        <v>34.880000000000003</v>
      </c>
      <c r="E418" s="3">
        <v>100009312</v>
      </c>
      <c r="F418" s="2" t="s">
        <v>566</v>
      </c>
      <c r="G418" s="6" t="s">
        <v>181</v>
      </c>
      <c r="H418" s="2" t="s">
        <v>194</v>
      </c>
      <c r="I418" s="2" t="s">
        <v>195</v>
      </c>
      <c r="J418" s="2" t="s">
        <v>19</v>
      </c>
      <c r="K418" s="2" t="s">
        <v>353</v>
      </c>
      <c r="L418" s="7" t="str">
        <f>HYPERLINK("http://slimages.macys.com/is/image/MCY/9603701 ")</f>
        <v xml:space="preserve">http://slimages.macys.com/is/image/MCY/9603701 </v>
      </c>
    </row>
    <row r="419" spans="1:12" ht="24.75" x14ac:dyDescent="0.25">
      <c r="A419" s="4" t="s">
        <v>8679</v>
      </c>
      <c r="B419" s="2" t="s">
        <v>1416</v>
      </c>
      <c r="C419" s="3">
        <v>1</v>
      </c>
      <c r="D419" s="5">
        <v>21.99</v>
      </c>
      <c r="E419" s="3" t="s">
        <v>8680</v>
      </c>
      <c r="F419" s="2" t="s">
        <v>111</v>
      </c>
      <c r="G419" s="6" t="s">
        <v>27</v>
      </c>
      <c r="H419" s="2" t="s">
        <v>194</v>
      </c>
      <c r="I419" s="2" t="s">
        <v>195</v>
      </c>
      <c r="J419" s="2" t="s">
        <v>19</v>
      </c>
      <c r="K419" s="2" t="s">
        <v>353</v>
      </c>
      <c r="L419" s="7" t="str">
        <f>HYPERLINK("http://slimages.macys.com/is/image/MCY/12033149 ")</f>
        <v xml:space="preserve">http://slimages.macys.com/is/image/MCY/12033149 </v>
      </c>
    </row>
    <row r="420" spans="1:12" ht="24.75" x14ac:dyDescent="0.25">
      <c r="A420" s="4" t="s">
        <v>13104</v>
      </c>
      <c r="B420" s="2" t="s">
        <v>4915</v>
      </c>
      <c r="C420" s="3">
        <v>1</v>
      </c>
      <c r="D420" s="5">
        <v>34.880000000000003</v>
      </c>
      <c r="E420" s="3">
        <v>100009325</v>
      </c>
      <c r="F420" s="2" t="s">
        <v>376</v>
      </c>
      <c r="G420" s="6" t="s">
        <v>200</v>
      </c>
      <c r="H420" s="2" t="s">
        <v>194</v>
      </c>
      <c r="I420" s="2" t="s">
        <v>229</v>
      </c>
      <c r="J420" s="2" t="s">
        <v>19</v>
      </c>
      <c r="K420" s="2" t="s">
        <v>253</v>
      </c>
      <c r="L420" s="7" t="str">
        <f>HYPERLINK("http://slimages.macys.com/is/image/MCY/9489387 ")</f>
        <v xml:space="preserve">http://slimages.macys.com/is/image/MCY/9489387 </v>
      </c>
    </row>
    <row r="421" spans="1:12" ht="24.75" x14ac:dyDescent="0.25">
      <c r="A421" s="4" t="s">
        <v>12143</v>
      </c>
      <c r="B421" s="2" t="s">
        <v>12144</v>
      </c>
      <c r="C421" s="3">
        <v>1</v>
      </c>
      <c r="D421" s="5">
        <v>34.5</v>
      </c>
      <c r="E421" s="3" t="s">
        <v>12145</v>
      </c>
      <c r="F421" s="2" t="s">
        <v>417</v>
      </c>
      <c r="G421" s="6" t="s">
        <v>934</v>
      </c>
      <c r="H421" s="2" t="s">
        <v>426</v>
      </c>
      <c r="I421" s="2" t="s">
        <v>857</v>
      </c>
      <c r="J421" s="2" t="s">
        <v>19</v>
      </c>
      <c r="K421" s="2" t="s">
        <v>338</v>
      </c>
      <c r="L421" s="7" t="str">
        <f>HYPERLINK("http://slimages.macys.com/is/image/MCY/10484300 ")</f>
        <v xml:space="preserve">http://slimages.macys.com/is/image/MCY/10484300 </v>
      </c>
    </row>
    <row r="422" spans="1:12" ht="24.75" x14ac:dyDescent="0.25">
      <c r="A422" s="4" t="s">
        <v>7455</v>
      </c>
      <c r="B422" s="2" t="s">
        <v>7452</v>
      </c>
      <c r="C422" s="3">
        <v>1</v>
      </c>
      <c r="D422" s="5">
        <v>27.99</v>
      </c>
      <c r="E422" s="3" t="s">
        <v>7453</v>
      </c>
      <c r="F422" s="2" t="s">
        <v>26</v>
      </c>
      <c r="G422" s="6" t="s">
        <v>154</v>
      </c>
      <c r="H422" s="2" t="s">
        <v>1522</v>
      </c>
      <c r="I422" s="2" t="s">
        <v>1469</v>
      </c>
      <c r="J422" s="2" t="s">
        <v>19</v>
      </c>
      <c r="K422" s="2" t="s">
        <v>353</v>
      </c>
      <c r="L422" s="7" t="str">
        <f>HYPERLINK("http://slimages.macys.com/is/image/MCY/11809180 ")</f>
        <v xml:space="preserve">http://slimages.macys.com/is/image/MCY/11809180 </v>
      </c>
    </row>
    <row r="423" spans="1:12" ht="24.75" x14ac:dyDescent="0.25">
      <c r="A423" s="4" t="s">
        <v>7454</v>
      </c>
      <c r="B423" s="2" t="s">
        <v>7452</v>
      </c>
      <c r="C423" s="3">
        <v>2</v>
      </c>
      <c r="D423" s="5">
        <v>27.99</v>
      </c>
      <c r="E423" s="3" t="s">
        <v>7453</v>
      </c>
      <c r="F423" s="2" t="s">
        <v>26</v>
      </c>
      <c r="G423" s="6" t="s">
        <v>234</v>
      </c>
      <c r="H423" s="2" t="s">
        <v>1522</v>
      </c>
      <c r="I423" s="2" t="s">
        <v>1469</v>
      </c>
      <c r="J423" s="2" t="s">
        <v>19</v>
      </c>
      <c r="K423" s="2" t="s">
        <v>353</v>
      </c>
      <c r="L423" s="7" t="str">
        <f>HYPERLINK("http://slimages.macys.com/is/image/MCY/11809180 ")</f>
        <v xml:space="preserve">http://slimages.macys.com/is/image/MCY/11809180 </v>
      </c>
    </row>
    <row r="424" spans="1:12" ht="24.75" x14ac:dyDescent="0.25">
      <c r="A424" s="4" t="s">
        <v>7451</v>
      </c>
      <c r="B424" s="2" t="s">
        <v>7452</v>
      </c>
      <c r="C424" s="3">
        <v>1</v>
      </c>
      <c r="D424" s="5">
        <v>27.99</v>
      </c>
      <c r="E424" s="3" t="s">
        <v>7453</v>
      </c>
      <c r="F424" s="2" t="s">
        <v>26</v>
      </c>
      <c r="G424" s="6" t="s">
        <v>156</v>
      </c>
      <c r="H424" s="2" t="s">
        <v>1522</v>
      </c>
      <c r="I424" s="2" t="s">
        <v>1469</v>
      </c>
      <c r="J424" s="2" t="s">
        <v>19</v>
      </c>
      <c r="K424" s="2" t="s">
        <v>353</v>
      </c>
      <c r="L424" s="7" t="str">
        <f>HYPERLINK("http://slimages.macys.com/is/image/MCY/11809180 ")</f>
        <v xml:space="preserve">http://slimages.macys.com/is/image/MCY/11809180 </v>
      </c>
    </row>
    <row r="425" spans="1:12" ht="24.75" x14ac:dyDescent="0.25">
      <c r="A425" s="4" t="s">
        <v>13105</v>
      </c>
      <c r="B425" s="2" t="s">
        <v>12147</v>
      </c>
      <c r="C425" s="3">
        <v>1</v>
      </c>
      <c r="D425" s="5">
        <v>33.380000000000003</v>
      </c>
      <c r="E425" s="3" t="s">
        <v>12148</v>
      </c>
      <c r="F425" s="2" t="s">
        <v>64</v>
      </c>
      <c r="G425" s="6" t="s">
        <v>181</v>
      </c>
      <c r="H425" s="2" t="s">
        <v>246</v>
      </c>
      <c r="I425" s="2" t="s">
        <v>189</v>
      </c>
      <c r="J425" s="2" t="s">
        <v>19</v>
      </c>
      <c r="K425" s="2" t="s">
        <v>4121</v>
      </c>
      <c r="L425" s="7" t="str">
        <f>HYPERLINK("http://slimages.macys.com/is/image/MCY/13941612 ")</f>
        <v xml:space="preserve">http://slimages.macys.com/is/image/MCY/13941612 </v>
      </c>
    </row>
    <row r="426" spans="1:12" ht="24.75" x14ac:dyDescent="0.25">
      <c r="A426" s="4" t="s">
        <v>13106</v>
      </c>
      <c r="B426" s="2" t="s">
        <v>12147</v>
      </c>
      <c r="C426" s="3">
        <v>1</v>
      </c>
      <c r="D426" s="5">
        <v>33.380000000000003</v>
      </c>
      <c r="E426" s="3" t="s">
        <v>12148</v>
      </c>
      <c r="F426" s="2" t="s">
        <v>64</v>
      </c>
      <c r="G426" s="6" t="s">
        <v>154</v>
      </c>
      <c r="H426" s="2" t="s">
        <v>246</v>
      </c>
      <c r="I426" s="2" t="s">
        <v>189</v>
      </c>
      <c r="J426" s="2" t="s">
        <v>19</v>
      </c>
      <c r="K426" s="2" t="s">
        <v>4121</v>
      </c>
      <c r="L426" s="7" t="str">
        <f>HYPERLINK("http://slimages.macys.com/is/image/MCY/13941612 ")</f>
        <v xml:space="preserve">http://slimages.macys.com/is/image/MCY/13941612 </v>
      </c>
    </row>
    <row r="427" spans="1:12" ht="24.75" x14ac:dyDescent="0.25">
      <c r="A427" s="4" t="s">
        <v>1281</v>
      </c>
      <c r="B427" s="2" t="s">
        <v>1279</v>
      </c>
      <c r="C427" s="3">
        <v>2</v>
      </c>
      <c r="D427" s="5">
        <v>27.99</v>
      </c>
      <c r="E427" s="3" t="s">
        <v>1280</v>
      </c>
      <c r="F427" s="2" t="s">
        <v>566</v>
      </c>
      <c r="G427" s="6"/>
      <c r="H427" s="2" t="s">
        <v>312</v>
      </c>
      <c r="I427" s="2" t="s">
        <v>1112</v>
      </c>
      <c r="J427" s="2" t="s">
        <v>19</v>
      </c>
      <c r="K427" s="2" t="s">
        <v>409</v>
      </c>
      <c r="L427" s="7" t="str">
        <f>HYPERLINK("http://slimages.macys.com/is/image/MCY/3832970 ")</f>
        <v xml:space="preserve">http://slimages.macys.com/is/image/MCY/3832970 </v>
      </c>
    </row>
    <row r="428" spans="1:12" ht="24.75" x14ac:dyDescent="0.25">
      <c r="A428" s="4" t="s">
        <v>13107</v>
      </c>
      <c r="B428" s="2" t="s">
        <v>13108</v>
      </c>
      <c r="C428" s="3">
        <v>1</v>
      </c>
      <c r="D428" s="5">
        <v>44</v>
      </c>
      <c r="E428" s="3" t="s">
        <v>13109</v>
      </c>
      <c r="F428" s="2" t="s">
        <v>132</v>
      </c>
      <c r="G428" s="6" t="s">
        <v>156</v>
      </c>
      <c r="H428" s="2" t="s">
        <v>10225</v>
      </c>
      <c r="I428" s="2" t="s">
        <v>10226</v>
      </c>
      <c r="J428" s="2" t="s">
        <v>19</v>
      </c>
      <c r="K428" s="2" t="s">
        <v>12217</v>
      </c>
      <c r="L428" s="7" t="str">
        <f>HYPERLINK("http://slimages.macys.com/is/image/MCY/13304501 ")</f>
        <v xml:space="preserve">http://slimages.macys.com/is/image/MCY/13304501 </v>
      </c>
    </row>
    <row r="429" spans="1:12" ht="24.75" x14ac:dyDescent="0.25">
      <c r="A429" s="4" t="s">
        <v>13110</v>
      </c>
      <c r="B429" s="2" t="s">
        <v>13111</v>
      </c>
      <c r="C429" s="3">
        <v>1</v>
      </c>
      <c r="D429" s="5">
        <v>48</v>
      </c>
      <c r="E429" s="3" t="s">
        <v>13112</v>
      </c>
      <c r="F429" s="2" t="s">
        <v>89</v>
      </c>
      <c r="G429" s="6" t="s">
        <v>234</v>
      </c>
      <c r="H429" s="2" t="s">
        <v>10225</v>
      </c>
      <c r="I429" s="2" t="s">
        <v>10226</v>
      </c>
      <c r="J429" s="2" t="s">
        <v>19</v>
      </c>
      <c r="K429" s="2" t="s">
        <v>201</v>
      </c>
      <c r="L429" s="7" t="str">
        <f>HYPERLINK("http://slimages.macys.com/is/image/MCY/16055212 ")</f>
        <v xml:space="preserve">http://slimages.macys.com/is/image/MCY/16055212 </v>
      </c>
    </row>
    <row r="430" spans="1:12" ht="24.75" x14ac:dyDescent="0.25">
      <c r="A430" s="4" t="s">
        <v>10910</v>
      </c>
      <c r="B430" s="2" t="s">
        <v>1279</v>
      </c>
      <c r="C430" s="3">
        <v>1</v>
      </c>
      <c r="D430" s="5">
        <v>27.99</v>
      </c>
      <c r="E430" s="3" t="s">
        <v>10911</v>
      </c>
      <c r="F430" s="2" t="s">
        <v>26</v>
      </c>
      <c r="G430" s="6" t="s">
        <v>154</v>
      </c>
      <c r="H430" s="2" t="s">
        <v>194</v>
      </c>
      <c r="I430" s="2" t="s">
        <v>919</v>
      </c>
      <c r="J430" s="2" t="s">
        <v>19</v>
      </c>
      <c r="K430" s="2" t="s">
        <v>409</v>
      </c>
      <c r="L430" s="7" t="str">
        <f>HYPERLINK("http://slimages.macys.com/is/image/MCY/8185331 ")</f>
        <v xml:space="preserve">http://slimages.macys.com/is/image/MCY/8185331 </v>
      </c>
    </row>
    <row r="431" spans="1:12" ht="24.75" x14ac:dyDescent="0.25">
      <c r="A431" s="4" t="s">
        <v>13113</v>
      </c>
      <c r="B431" s="2" t="s">
        <v>1294</v>
      </c>
      <c r="C431" s="3">
        <v>1</v>
      </c>
      <c r="D431" s="5">
        <v>37.130000000000003</v>
      </c>
      <c r="E431" s="3">
        <v>100002345</v>
      </c>
      <c r="F431" s="2" t="s">
        <v>64</v>
      </c>
      <c r="G431" s="6" t="s">
        <v>156</v>
      </c>
      <c r="H431" s="2" t="s">
        <v>284</v>
      </c>
      <c r="I431" s="2" t="s">
        <v>285</v>
      </c>
      <c r="J431" s="2" t="s">
        <v>19</v>
      </c>
      <c r="K431" s="2" t="s">
        <v>2669</v>
      </c>
      <c r="L431" s="7" t="str">
        <f>HYPERLINK("http://slimages.macys.com/is/image/MCY/8660800 ")</f>
        <v xml:space="preserve">http://slimages.macys.com/is/image/MCY/8660800 </v>
      </c>
    </row>
    <row r="432" spans="1:12" ht="24.75" x14ac:dyDescent="0.25">
      <c r="A432" s="4" t="s">
        <v>13114</v>
      </c>
      <c r="B432" s="2" t="s">
        <v>13115</v>
      </c>
      <c r="C432" s="3">
        <v>1</v>
      </c>
      <c r="D432" s="5">
        <v>40.880000000000003</v>
      </c>
      <c r="E432" s="3" t="s">
        <v>13116</v>
      </c>
      <c r="F432" s="2"/>
      <c r="G432" s="6" t="s">
        <v>58</v>
      </c>
      <c r="H432" s="2" t="s">
        <v>213</v>
      </c>
      <c r="I432" s="2" t="s">
        <v>214</v>
      </c>
      <c r="J432" s="2"/>
      <c r="K432" s="2"/>
      <c r="L432" s="7" t="str">
        <f>HYPERLINK("http://slimages.macys.com/is/image/MCY/11387060 ")</f>
        <v xml:space="preserve">http://slimages.macys.com/is/image/MCY/11387060 </v>
      </c>
    </row>
    <row r="433" spans="1:12" ht="24.75" x14ac:dyDescent="0.25">
      <c r="A433" s="4" t="s">
        <v>13117</v>
      </c>
      <c r="B433" s="2" t="s">
        <v>1343</v>
      </c>
      <c r="C433" s="3">
        <v>1</v>
      </c>
      <c r="D433" s="5">
        <v>24.99</v>
      </c>
      <c r="E433" s="3" t="s">
        <v>2673</v>
      </c>
      <c r="F433" s="2" t="s">
        <v>506</v>
      </c>
      <c r="G433" s="6" t="s">
        <v>141</v>
      </c>
      <c r="H433" s="2" t="s">
        <v>228</v>
      </c>
      <c r="I433" s="2" t="s">
        <v>863</v>
      </c>
      <c r="J433" s="2" t="s">
        <v>19</v>
      </c>
      <c r="K433" s="2" t="s">
        <v>253</v>
      </c>
      <c r="L433" s="7" t="str">
        <f>HYPERLINK("http://slimages.macys.com/is/image/MCY/11804521 ")</f>
        <v xml:space="preserve">http://slimages.macys.com/is/image/MCY/11804521 </v>
      </c>
    </row>
    <row r="434" spans="1:12" ht="24.75" x14ac:dyDescent="0.25">
      <c r="A434" s="4" t="s">
        <v>13118</v>
      </c>
      <c r="B434" s="2" t="s">
        <v>1310</v>
      </c>
      <c r="C434" s="3">
        <v>1</v>
      </c>
      <c r="D434" s="5">
        <v>37.130000000000003</v>
      </c>
      <c r="E434" s="3">
        <v>100053964</v>
      </c>
      <c r="F434" s="2" t="s">
        <v>26</v>
      </c>
      <c r="G434" s="6" t="s">
        <v>106</v>
      </c>
      <c r="H434" s="2" t="s">
        <v>194</v>
      </c>
      <c r="I434" s="2" t="s">
        <v>195</v>
      </c>
      <c r="J434" s="2" t="s">
        <v>19</v>
      </c>
      <c r="K434" s="2" t="s">
        <v>353</v>
      </c>
      <c r="L434" s="7" t="str">
        <f>HYPERLINK("http://slimages.macys.com/is/image/MCY/12063731 ")</f>
        <v xml:space="preserve">http://slimages.macys.com/is/image/MCY/12063731 </v>
      </c>
    </row>
    <row r="435" spans="1:12" ht="24.75" x14ac:dyDescent="0.25">
      <c r="A435" s="4" t="s">
        <v>13119</v>
      </c>
      <c r="B435" s="2" t="s">
        <v>1327</v>
      </c>
      <c r="C435" s="3">
        <v>1</v>
      </c>
      <c r="D435" s="5">
        <v>34.5</v>
      </c>
      <c r="E435" s="3" t="s">
        <v>13120</v>
      </c>
      <c r="F435" s="2" t="s">
        <v>33</v>
      </c>
      <c r="G435" s="6" t="s">
        <v>16</v>
      </c>
      <c r="H435" s="2" t="s">
        <v>194</v>
      </c>
      <c r="I435" s="2" t="s">
        <v>195</v>
      </c>
      <c r="J435" s="2" t="s">
        <v>19</v>
      </c>
      <c r="K435" s="2" t="s">
        <v>353</v>
      </c>
      <c r="L435" s="7" t="str">
        <f>HYPERLINK("http://slimages.macys.com/is/image/MCY/9432577 ")</f>
        <v xml:space="preserve">http://slimages.macys.com/is/image/MCY/9432577 </v>
      </c>
    </row>
    <row r="436" spans="1:12" ht="24.75" x14ac:dyDescent="0.25">
      <c r="A436" s="4" t="s">
        <v>13121</v>
      </c>
      <c r="B436" s="2" t="s">
        <v>2486</v>
      </c>
      <c r="C436" s="3">
        <v>1</v>
      </c>
      <c r="D436" s="5">
        <v>44.63</v>
      </c>
      <c r="E436" s="3" t="s">
        <v>2487</v>
      </c>
      <c r="F436" s="2" t="s">
        <v>132</v>
      </c>
      <c r="G436" s="6" t="s">
        <v>141</v>
      </c>
      <c r="H436" s="2" t="s">
        <v>246</v>
      </c>
      <c r="I436" s="2" t="s">
        <v>487</v>
      </c>
      <c r="J436" s="2" t="s">
        <v>19</v>
      </c>
      <c r="K436" s="2" t="s">
        <v>409</v>
      </c>
      <c r="L436" s="7" t="str">
        <f>HYPERLINK("http://slimages.macys.com/is/image/MCY/11699445 ")</f>
        <v xml:space="preserve">http://slimages.macys.com/is/image/MCY/11699445 </v>
      </c>
    </row>
    <row r="437" spans="1:12" ht="24.75" x14ac:dyDescent="0.25">
      <c r="A437" s="4" t="s">
        <v>4939</v>
      </c>
      <c r="B437" s="2" t="s">
        <v>1314</v>
      </c>
      <c r="C437" s="3">
        <v>1</v>
      </c>
      <c r="D437" s="5">
        <v>24.99</v>
      </c>
      <c r="E437" s="3">
        <v>100010068</v>
      </c>
      <c r="F437" s="2" t="s">
        <v>252</v>
      </c>
      <c r="G437" s="6" t="s">
        <v>27</v>
      </c>
      <c r="H437" s="2" t="s">
        <v>228</v>
      </c>
      <c r="I437" s="2" t="s">
        <v>863</v>
      </c>
      <c r="J437" s="2" t="s">
        <v>19</v>
      </c>
      <c r="K437" s="2" t="s">
        <v>1315</v>
      </c>
      <c r="L437" s="7" t="str">
        <f>HYPERLINK("http://slimages.macys.com/is/image/MCY/9190991 ")</f>
        <v xml:space="preserve">http://slimages.macys.com/is/image/MCY/9190991 </v>
      </c>
    </row>
    <row r="438" spans="1:12" ht="24.75" x14ac:dyDescent="0.25">
      <c r="A438" s="4" t="s">
        <v>8164</v>
      </c>
      <c r="B438" s="2" t="s">
        <v>1318</v>
      </c>
      <c r="C438" s="3">
        <v>1</v>
      </c>
      <c r="D438" s="5">
        <v>24.99</v>
      </c>
      <c r="E438" s="3">
        <v>100006766</v>
      </c>
      <c r="F438" s="2" t="s">
        <v>417</v>
      </c>
      <c r="G438" s="6" t="s">
        <v>65</v>
      </c>
      <c r="H438" s="2" t="s">
        <v>228</v>
      </c>
      <c r="I438" s="2" t="s">
        <v>229</v>
      </c>
      <c r="J438" s="2" t="s">
        <v>19</v>
      </c>
      <c r="K438" s="2" t="s">
        <v>253</v>
      </c>
      <c r="L438" s="7" t="str">
        <f>HYPERLINK("http://slimages.macys.com/is/image/MCY/9029356 ")</f>
        <v xml:space="preserve">http://slimages.macys.com/is/image/MCY/9029356 </v>
      </c>
    </row>
    <row r="439" spans="1:12" ht="24.75" x14ac:dyDescent="0.25">
      <c r="A439" s="4" t="s">
        <v>13122</v>
      </c>
      <c r="B439" s="2" t="s">
        <v>1318</v>
      </c>
      <c r="C439" s="3">
        <v>2</v>
      </c>
      <c r="D439" s="5">
        <v>24.99</v>
      </c>
      <c r="E439" s="3">
        <v>100006766</v>
      </c>
      <c r="F439" s="2" t="s">
        <v>417</v>
      </c>
      <c r="G439" s="6" t="s">
        <v>22</v>
      </c>
      <c r="H439" s="2" t="s">
        <v>228</v>
      </c>
      <c r="I439" s="2" t="s">
        <v>229</v>
      </c>
      <c r="J439" s="2" t="s">
        <v>19</v>
      </c>
      <c r="K439" s="2" t="s">
        <v>253</v>
      </c>
      <c r="L439" s="7" t="str">
        <f>HYPERLINK("http://slimages.macys.com/is/image/MCY/9029356 ")</f>
        <v xml:space="preserve">http://slimages.macys.com/is/image/MCY/9029356 </v>
      </c>
    </row>
    <row r="440" spans="1:12" ht="24.75" x14ac:dyDescent="0.25">
      <c r="A440" s="4" t="s">
        <v>2674</v>
      </c>
      <c r="B440" s="2" t="s">
        <v>1318</v>
      </c>
      <c r="C440" s="3">
        <v>2</v>
      </c>
      <c r="D440" s="5">
        <v>24.99</v>
      </c>
      <c r="E440" s="3">
        <v>100006766</v>
      </c>
      <c r="F440" s="2" t="s">
        <v>417</v>
      </c>
      <c r="G440" s="6" t="s">
        <v>16</v>
      </c>
      <c r="H440" s="2" t="s">
        <v>228</v>
      </c>
      <c r="I440" s="2" t="s">
        <v>229</v>
      </c>
      <c r="J440" s="2" t="s">
        <v>19</v>
      </c>
      <c r="K440" s="2" t="s">
        <v>253</v>
      </c>
      <c r="L440" s="7" t="str">
        <f>HYPERLINK("http://slimages.macys.com/is/image/MCY/9029356 ")</f>
        <v xml:space="preserve">http://slimages.macys.com/is/image/MCY/9029356 </v>
      </c>
    </row>
    <row r="441" spans="1:12" ht="24.75" x14ac:dyDescent="0.25">
      <c r="A441" s="4" t="s">
        <v>2675</v>
      </c>
      <c r="B441" s="2" t="s">
        <v>1318</v>
      </c>
      <c r="C441" s="3">
        <v>1</v>
      </c>
      <c r="D441" s="5">
        <v>24.99</v>
      </c>
      <c r="E441" s="3">
        <v>100006766</v>
      </c>
      <c r="F441" s="2" t="s">
        <v>417</v>
      </c>
      <c r="G441" s="6" t="s">
        <v>27</v>
      </c>
      <c r="H441" s="2" t="s">
        <v>228</v>
      </c>
      <c r="I441" s="2" t="s">
        <v>229</v>
      </c>
      <c r="J441" s="2" t="s">
        <v>19</v>
      </c>
      <c r="K441" s="2" t="s">
        <v>253</v>
      </c>
      <c r="L441" s="7" t="str">
        <f>HYPERLINK("http://slimages.macys.com/is/image/MCY/9029356 ")</f>
        <v xml:space="preserve">http://slimages.macys.com/is/image/MCY/9029356 </v>
      </c>
    </row>
    <row r="442" spans="1:12" ht="24.75" x14ac:dyDescent="0.25">
      <c r="A442" s="4" t="s">
        <v>13123</v>
      </c>
      <c r="B442" s="2" t="s">
        <v>1318</v>
      </c>
      <c r="C442" s="3">
        <v>1</v>
      </c>
      <c r="D442" s="5">
        <v>24.99</v>
      </c>
      <c r="E442" s="3">
        <v>100006766</v>
      </c>
      <c r="F442" s="2" t="s">
        <v>417</v>
      </c>
      <c r="G442" s="6" t="s">
        <v>112</v>
      </c>
      <c r="H442" s="2" t="s">
        <v>228</v>
      </c>
      <c r="I442" s="2" t="s">
        <v>229</v>
      </c>
      <c r="J442" s="2" t="s">
        <v>19</v>
      </c>
      <c r="K442" s="2" t="s">
        <v>253</v>
      </c>
      <c r="L442" s="7" t="str">
        <f>HYPERLINK("http://slimages.macys.com/is/image/MCY/9029356 ")</f>
        <v xml:space="preserve">http://slimages.macys.com/is/image/MCY/9029356 </v>
      </c>
    </row>
    <row r="443" spans="1:12" ht="24.75" x14ac:dyDescent="0.25">
      <c r="A443" s="4" t="s">
        <v>10919</v>
      </c>
      <c r="B443" s="2" t="s">
        <v>10916</v>
      </c>
      <c r="C443" s="3">
        <v>1</v>
      </c>
      <c r="D443" s="5">
        <v>29.63</v>
      </c>
      <c r="E443" s="3" t="s">
        <v>10917</v>
      </c>
      <c r="F443" s="2" t="s">
        <v>1914</v>
      </c>
      <c r="G443" s="6" t="s">
        <v>181</v>
      </c>
      <c r="H443" s="2" t="s">
        <v>194</v>
      </c>
      <c r="I443" s="2" t="s">
        <v>195</v>
      </c>
      <c r="J443" s="2" t="s">
        <v>19</v>
      </c>
      <c r="K443" s="2" t="s">
        <v>247</v>
      </c>
      <c r="L443" s="7" t="str">
        <f>HYPERLINK("http://slimages.macys.com/is/image/MCY/12850789 ")</f>
        <v xml:space="preserve">http://slimages.macys.com/is/image/MCY/12850789 </v>
      </c>
    </row>
    <row r="444" spans="1:12" ht="24.75" x14ac:dyDescent="0.25">
      <c r="A444" s="4" t="s">
        <v>12169</v>
      </c>
      <c r="B444" s="2" t="s">
        <v>10916</v>
      </c>
      <c r="C444" s="3">
        <v>1</v>
      </c>
      <c r="D444" s="5">
        <v>29.63</v>
      </c>
      <c r="E444" s="3" t="s">
        <v>10917</v>
      </c>
      <c r="F444" s="2" t="s">
        <v>1914</v>
      </c>
      <c r="G444" s="6" t="s">
        <v>156</v>
      </c>
      <c r="H444" s="2" t="s">
        <v>194</v>
      </c>
      <c r="I444" s="2" t="s">
        <v>195</v>
      </c>
      <c r="J444" s="2" t="s">
        <v>19</v>
      </c>
      <c r="K444" s="2" t="s">
        <v>247</v>
      </c>
      <c r="L444" s="7" t="str">
        <f>HYPERLINK("http://slimages.macys.com/is/image/MCY/12850789 ")</f>
        <v xml:space="preserve">http://slimages.macys.com/is/image/MCY/12850789 </v>
      </c>
    </row>
    <row r="445" spans="1:12" ht="24.75" x14ac:dyDescent="0.25">
      <c r="A445" s="4" t="s">
        <v>13124</v>
      </c>
      <c r="B445" s="2" t="s">
        <v>10916</v>
      </c>
      <c r="C445" s="3">
        <v>1</v>
      </c>
      <c r="D445" s="5">
        <v>29.63</v>
      </c>
      <c r="E445" s="3" t="s">
        <v>10917</v>
      </c>
      <c r="F445" s="2" t="s">
        <v>1914</v>
      </c>
      <c r="G445" s="6" t="s">
        <v>245</v>
      </c>
      <c r="H445" s="2" t="s">
        <v>194</v>
      </c>
      <c r="I445" s="2" t="s">
        <v>195</v>
      </c>
      <c r="J445" s="2" t="s">
        <v>19</v>
      </c>
      <c r="K445" s="2" t="s">
        <v>247</v>
      </c>
      <c r="L445" s="7" t="str">
        <f>HYPERLINK("http://slimages.macys.com/is/image/MCY/12850789 ")</f>
        <v xml:space="preserve">http://slimages.macys.com/is/image/MCY/12850789 </v>
      </c>
    </row>
    <row r="446" spans="1:12" ht="24.75" x14ac:dyDescent="0.25">
      <c r="A446" s="4" t="s">
        <v>10918</v>
      </c>
      <c r="B446" s="2" t="s">
        <v>10916</v>
      </c>
      <c r="C446" s="3">
        <v>1</v>
      </c>
      <c r="D446" s="5">
        <v>29.63</v>
      </c>
      <c r="E446" s="3" t="s">
        <v>10917</v>
      </c>
      <c r="F446" s="2" t="s">
        <v>1914</v>
      </c>
      <c r="G446" s="6" t="s">
        <v>154</v>
      </c>
      <c r="H446" s="2" t="s">
        <v>194</v>
      </c>
      <c r="I446" s="2" t="s">
        <v>195</v>
      </c>
      <c r="J446" s="2" t="s">
        <v>19</v>
      </c>
      <c r="K446" s="2" t="s">
        <v>247</v>
      </c>
      <c r="L446" s="7" t="str">
        <f>HYPERLINK("http://slimages.macys.com/is/image/MCY/12850789 ")</f>
        <v xml:space="preserve">http://slimages.macys.com/is/image/MCY/12850789 </v>
      </c>
    </row>
    <row r="447" spans="1:12" ht="24.75" x14ac:dyDescent="0.25">
      <c r="A447" s="4" t="s">
        <v>13125</v>
      </c>
      <c r="B447" s="2" t="s">
        <v>1327</v>
      </c>
      <c r="C447" s="3">
        <v>1</v>
      </c>
      <c r="D447" s="5">
        <v>34.880000000000003</v>
      </c>
      <c r="E447" s="3" t="s">
        <v>1328</v>
      </c>
      <c r="F447" s="2" t="s">
        <v>506</v>
      </c>
      <c r="G447" s="6" t="s">
        <v>238</v>
      </c>
      <c r="H447" s="2" t="s">
        <v>312</v>
      </c>
      <c r="I447" s="2" t="s">
        <v>195</v>
      </c>
      <c r="J447" s="2" t="s">
        <v>19</v>
      </c>
      <c r="K447" s="2" t="s">
        <v>353</v>
      </c>
      <c r="L447" s="7" t="str">
        <f>HYPERLINK("http://slimages.macys.com/is/image/MCY/8256708 ")</f>
        <v xml:space="preserve">http://slimages.macys.com/is/image/MCY/8256708 </v>
      </c>
    </row>
    <row r="448" spans="1:12" ht="24.75" x14ac:dyDescent="0.25">
      <c r="A448" s="4" t="s">
        <v>13126</v>
      </c>
      <c r="B448" s="2" t="s">
        <v>5867</v>
      </c>
      <c r="C448" s="3">
        <v>1</v>
      </c>
      <c r="D448" s="5">
        <v>33.5</v>
      </c>
      <c r="E448" s="3" t="s">
        <v>5868</v>
      </c>
      <c r="F448" s="2" t="s">
        <v>74</v>
      </c>
      <c r="G448" s="6"/>
      <c r="H448" s="2" t="s">
        <v>312</v>
      </c>
      <c r="I448" s="2" t="s">
        <v>195</v>
      </c>
      <c r="J448" s="2" t="s">
        <v>19</v>
      </c>
      <c r="K448" s="2" t="s">
        <v>247</v>
      </c>
      <c r="L448" s="7" t="str">
        <f>HYPERLINK("http://slimages.macys.com/is/image/MCY/11337248 ")</f>
        <v xml:space="preserve">http://slimages.macys.com/is/image/MCY/11337248 </v>
      </c>
    </row>
    <row r="449" spans="1:12" ht="24.75" x14ac:dyDescent="0.25">
      <c r="A449" s="4" t="s">
        <v>13127</v>
      </c>
      <c r="B449" s="2" t="s">
        <v>12175</v>
      </c>
      <c r="C449" s="3">
        <v>1</v>
      </c>
      <c r="D449" s="5">
        <v>37.130000000000003</v>
      </c>
      <c r="E449" s="3" t="s">
        <v>12176</v>
      </c>
      <c r="F449" s="2" t="s">
        <v>15</v>
      </c>
      <c r="G449" s="6" t="s">
        <v>234</v>
      </c>
      <c r="H449" s="2" t="s">
        <v>194</v>
      </c>
      <c r="I449" s="2" t="s">
        <v>195</v>
      </c>
      <c r="J449" s="2" t="s">
        <v>19</v>
      </c>
      <c r="K449" s="2" t="s">
        <v>247</v>
      </c>
      <c r="L449" s="7" t="str">
        <f>HYPERLINK("http://slimages.macys.com/is/image/MCY/12063852 ")</f>
        <v xml:space="preserve">http://slimages.macys.com/is/image/MCY/12063852 </v>
      </c>
    </row>
    <row r="450" spans="1:12" ht="24.75" x14ac:dyDescent="0.25">
      <c r="A450" s="4" t="s">
        <v>3848</v>
      </c>
      <c r="B450" s="2" t="s">
        <v>3845</v>
      </c>
      <c r="C450" s="3">
        <v>1</v>
      </c>
      <c r="D450" s="5">
        <v>24.99</v>
      </c>
      <c r="E450" s="3" t="s">
        <v>3846</v>
      </c>
      <c r="F450" s="2" t="s">
        <v>74</v>
      </c>
      <c r="G450" s="6" t="s">
        <v>245</v>
      </c>
      <c r="H450" s="2" t="s">
        <v>1522</v>
      </c>
      <c r="I450" s="2" t="s">
        <v>1469</v>
      </c>
      <c r="J450" s="2" t="s">
        <v>19</v>
      </c>
      <c r="K450" s="2" t="s">
        <v>3851</v>
      </c>
      <c r="L450" s="7" t="str">
        <f>HYPERLINK("http://slimages.macys.com/is/image/MCY/10888246 ")</f>
        <v xml:space="preserve">http://slimages.macys.com/is/image/MCY/10888246 </v>
      </c>
    </row>
    <row r="451" spans="1:12" ht="24.75" x14ac:dyDescent="0.25">
      <c r="A451" s="4" t="s">
        <v>3852</v>
      </c>
      <c r="B451" s="2" t="s">
        <v>3845</v>
      </c>
      <c r="C451" s="3">
        <v>3</v>
      </c>
      <c r="D451" s="5">
        <v>24.99</v>
      </c>
      <c r="E451" s="3" t="s">
        <v>3846</v>
      </c>
      <c r="F451" s="2" t="s">
        <v>74</v>
      </c>
      <c r="G451" s="6" t="s">
        <v>181</v>
      </c>
      <c r="H451" s="2" t="s">
        <v>1522</v>
      </c>
      <c r="I451" s="2" t="s">
        <v>1469</v>
      </c>
      <c r="J451" s="2" t="s">
        <v>19</v>
      </c>
      <c r="K451" s="2" t="s">
        <v>3851</v>
      </c>
      <c r="L451" s="7" t="str">
        <f>HYPERLINK("http://slimages.macys.com/is/image/MCY/10888246 ")</f>
        <v xml:space="preserve">http://slimages.macys.com/is/image/MCY/10888246 </v>
      </c>
    </row>
    <row r="452" spans="1:12" ht="24.75" x14ac:dyDescent="0.25">
      <c r="A452" s="4" t="s">
        <v>3849</v>
      </c>
      <c r="B452" s="2" t="s">
        <v>3845</v>
      </c>
      <c r="C452" s="3">
        <v>6</v>
      </c>
      <c r="D452" s="5">
        <v>24.99</v>
      </c>
      <c r="E452" s="3" t="s">
        <v>3846</v>
      </c>
      <c r="F452" s="2" t="s">
        <v>74</v>
      </c>
      <c r="G452" s="6" t="s">
        <v>154</v>
      </c>
      <c r="H452" s="2" t="s">
        <v>1522</v>
      </c>
      <c r="I452" s="2" t="s">
        <v>1469</v>
      </c>
      <c r="J452" s="2" t="s">
        <v>19</v>
      </c>
      <c r="K452" s="2" t="s">
        <v>3851</v>
      </c>
      <c r="L452" s="7" t="str">
        <f>HYPERLINK("http://slimages.macys.com/is/image/MCY/10888246 ")</f>
        <v xml:space="preserve">http://slimages.macys.com/is/image/MCY/10888246 </v>
      </c>
    </row>
    <row r="453" spans="1:12" ht="24.75" x14ac:dyDescent="0.25">
      <c r="A453" s="4" t="s">
        <v>3847</v>
      </c>
      <c r="B453" s="2" t="s">
        <v>3845</v>
      </c>
      <c r="C453" s="3">
        <v>2</v>
      </c>
      <c r="D453" s="5">
        <v>24.99</v>
      </c>
      <c r="E453" s="3" t="s">
        <v>3846</v>
      </c>
      <c r="F453" s="2" t="s">
        <v>74</v>
      </c>
      <c r="G453" s="6" t="s">
        <v>156</v>
      </c>
      <c r="H453" s="2" t="s">
        <v>1522</v>
      </c>
      <c r="I453" s="2" t="s">
        <v>1469</v>
      </c>
      <c r="J453" s="2" t="s">
        <v>19</v>
      </c>
      <c r="K453" s="2" t="s">
        <v>3851</v>
      </c>
      <c r="L453" s="7" t="str">
        <f>HYPERLINK("http://slimages.macys.com/is/image/MCY/10888246 ")</f>
        <v xml:space="preserve">http://slimages.macys.com/is/image/MCY/10888246 </v>
      </c>
    </row>
    <row r="454" spans="1:12" ht="24.75" x14ac:dyDescent="0.25">
      <c r="A454" s="4" t="s">
        <v>3850</v>
      </c>
      <c r="B454" s="2" t="s">
        <v>3845</v>
      </c>
      <c r="C454" s="3">
        <v>1</v>
      </c>
      <c r="D454" s="5">
        <v>24.99</v>
      </c>
      <c r="E454" s="3" t="s">
        <v>3846</v>
      </c>
      <c r="F454" s="2" t="s">
        <v>15</v>
      </c>
      <c r="G454" s="6" t="s">
        <v>234</v>
      </c>
      <c r="H454" s="2" t="s">
        <v>1522</v>
      </c>
      <c r="I454" s="2" t="s">
        <v>1469</v>
      </c>
      <c r="J454" s="2" t="s">
        <v>19</v>
      </c>
      <c r="K454" s="2" t="s">
        <v>3851</v>
      </c>
      <c r="L454" s="7" t="str">
        <f>HYPERLINK("http://slimages.macys.com/is/image/MCY/10888246 ")</f>
        <v xml:space="preserve">http://slimages.macys.com/is/image/MCY/10888246 </v>
      </c>
    </row>
    <row r="455" spans="1:12" ht="24.75" x14ac:dyDescent="0.25">
      <c r="A455" s="4" t="s">
        <v>3859</v>
      </c>
      <c r="B455" s="2" t="s">
        <v>1330</v>
      </c>
      <c r="C455" s="3">
        <v>1</v>
      </c>
      <c r="D455" s="5">
        <v>37.130000000000003</v>
      </c>
      <c r="E455" s="3" t="s">
        <v>1331</v>
      </c>
      <c r="F455" s="2" t="s">
        <v>74</v>
      </c>
      <c r="G455" s="6" t="s">
        <v>154</v>
      </c>
      <c r="H455" s="2" t="s">
        <v>194</v>
      </c>
      <c r="I455" s="2" t="s">
        <v>195</v>
      </c>
      <c r="J455" s="2" t="s">
        <v>19</v>
      </c>
      <c r="K455" s="2" t="s">
        <v>247</v>
      </c>
      <c r="L455" s="7" t="str">
        <f>HYPERLINK("http://slimages.macys.com/is/image/MCY/10889638 ")</f>
        <v xml:space="preserve">http://slimages.macys.com/is/image/MCY/10889638 </v>
      </c>
    </row>
    <row r="456" spans="1:12" ht="24.75" x14ac:dyDescent="0.25">
      <c r="A456" s="4" t="s">
        <v>13128</v>
      </c>
      <c r="B456" s="2" t="s">
        <v>1343</v>
      </c>
      <c r="C456" s="3">
        <v>2</v>
      </c>
      <c r="D456" s="5">
        <v>24.99</v>
      </c>
      <c r="E456" s="3" t="s">
        <v>6622</v>
      </c>
      <c r="F456" s="2" t="s">
        <v>331</v>
      </c>
      <c r="G456" s="6" t="s">
        <v>126</v>
      </c>
      <c r="H456" s="2" t="s">
        <v>426</v>
      </c>
      <c r="I456" s="2" t="s">
        <v>229</v>
      </c>
      <c r="J456" s="2" t="s">
        <v>19</v>
      </c>
      <c r="K456" s="2" t="s">
        <v>253</v>
      </c>
      <c r="L456" s="7" t="str">
        <f>HYPERLINK("http://slimages.macys.com/is/image/MCY/8185690 ")</f>
        <v xml:space="preserve">http://slimages.macys.com/is/image/MCY/8185690 </v>
      </c>
    </row>
    <row r="457" spans="1:12" ht="48.75" x14ac:dyDescent="0.25">
      <c r="A457" s="4" t="s">
        <v>13129</v>
      </c>
      <c r="B457" s="2" t="s">
        <v>984</v>
      </c>
      <c r="C457" s="3">
        <v>1</v>
      </c>
      <c r="D457" s="5">
        <v>44.63</v>
      </c>
      <c r="E457" s="3" t="s">
        <v>985</v>
      </c>
      <c r="F457" s="2" t="s">
        <v>331</v>
      </c>
      <c r="G457" s="6" t="s">
        <v>141</v>
      </c>
      <c r="H457" s="2" t="s">
        <v>246</v>
      </c>
      <c r="I457" s="2" t="s">
        <v>487</v>
      </c>
      <c r="J457" s="2" t="s">
        <v>19</v>
      </c>
      <c r="K457" s="2" t="s">
        <v>787</v>
      </c>
      <c r="L457" s="7" t="str">
        <f>HYPERLINK("http://slimages.macys.com/is/image/MCY/11808679 ")</f>
        <v xml:space="preserve">http://slimages.macys.com/is/image/MCY/11808679 </v>
      </c>
    </row>
    <row r="458" spans="1:12" ht="48.75" x14ac:dyDescent="0.25">
      <c r="A458" s="4" t="s">
        <v>13130</v>
      </c>
      <c r="B458" s="2" t="s">
        <v>984</v>
      </c>
      <c r="C458" s="3">
        <v>1</v>
      </c>
      <c r="D458" s="5">
        <v>44.63</v>
      </c>
      <c r="E458" s="3" t="s">
        <v>985</v>
      </c>
      <c r="F458" s="2" t="s">
        <v>89</v>
      </c>
      <c r="G458" s="6" t="s">
        <v>16</v>
      </c>
      <c r="H458" s="2" t="s">
        <v>246</v>
      </c>
      <c r="I458" s="2" t="s">
        <v>487</v>
      </c>
      <c r="J458" s="2" t="s">
        <v>19</v>
      </c>
      <c r="K458" s="2" t="s">
        <v>787</v>
      </c>
      <c r="L458" s="7" t="str">
        <f>HYPERLINK("http://slimages.macys.com/is/image/MCY/11808679 ")</f>
        <v xml:space="preserve">http://slimages.macys.com/is/image/MCY/11808679 </v>
      </c>
    </row>
    <row r="459" spans="1:12" ht="24.75" x14ac:dyDescent="0.25">
      <c r="A459" s="4" t="s">
        <v>13131</v>
      </c>
      <c r="B459" s="2" t="s">
        <v>10928</v>
      </c>
      <c r="C459" s="3">
        <v>1</v>
      </c>
      <c r="D459" s="5">
        <v>40.880000000000003</v>
      </c>
      <c r="E459" s="3" t="s">
        <v>10929</v>
      </c>
      <c r="F459" s="2" t="s">
        <v>57</v>
      </c>
      <c r="G459" s="6" t="s">
        <v>181</v>
      </c>
      <c r="H459" s="2" t="s">
        <v>246</v>
      </c>
      <c r="I459" s="2" t="s">
        <v>189</v>
      </c>
      <c r="J459" s="2" t="s">
        <v>19</v>
      </c>
      <c r="K459" s="2" t="s">
        <v>160</v>
      </c>
      <c r="L459" s="7" t="str">
        <f>HYPERLINK("http://slimages.macys.com/is/image/MCY/11995300 ")</f>
        <v xml:space="preserve">http://slimages.macys.com/is/image/MCY/11995300 </v>
      </c>
    </row>
    <row r="460" spans="1:12" ht="24.75" x14ac:dyDescent="0.25">
      <c r="A460" s="4" t="s">
        <v>13132</v>
      </c>
      <c r="B460" s="2" t="s">
        <v>3869</v>
      </c>
      <c r="C460" s="3">
        <v>1</v>
      </c>
      <c r="D460" s="5">
        <v>54.5</v>
      </c>
      <c r="E460" s="3" t="s">
        <v>3870</v>
      </c>
      <c r="F460" s="2" t="s">
        <v>887</v>
      </c>
      <c r="G460" s="6"/>
      <c r="H460" s="2" t="s">
        <v>206</v>
      </c>
      <c r="I460" s="2" t="s">
        <v>207</v>
      </c>
      <c r="J460" s="2" t="s">
        <v>19</v>
      </c>
      <c r="K460" s="2" t="s">
        <v>648</v>
      </c>
      <c r="L460" s="7" t="str">
        <f>HYPERLINK("http://slimages.macys.com/is/image/MCY/13924643 ")</f>
        <v xml:space="preserve">http://slimages.macys.com/is/image/MCY/13924643 </v>
      </c>
    </row>
    <row r="461" spans="1:12" ht="24.75" x14ac:dyDescent="0.25">
      <c r="A461" s="4" t="s">
        <v>13133</v>
      </c>
      <c r="B461" s="2" t="s">
        <v>10928</v>
      </c>
      <c r="C461" s="3">
        <v>1</v>
      </c>
      <c r="D461" s="5">
        <v>40.880000000000003</v>
      </c>
      <c r="E461" s="3" t="s">
        <v>10929</v>
      </c>
      <c r="F461" s="2" t="s">
        <v>331</v>
      </c>
      <c r="G461" s="6" t="s">
        <v>234</v>
      </c>
      <c r="H461" s="2" t="s">
        <v>246</v>
      </c>
      <c r="I461" s="2" t="s">
        <v>189</v>
      </c>
      <c r="J461" s="2" t="s">
        <v>19</v>
      </c>
      <c r="K461" s="2" t="s">
        <v>160</v>
      </c>
      <c r="L461" s="7" t="str">
        <f>HYPERLINK("http://slimages.macys.com/is/image/MCY/11995300 ")</f>
        <v xml:space="preserve">http://slimages.macys.com/is/image/MCY/11995300 </v>
      </c>
    </row>
    <row r="462" spans="1:12" ht="48.75" x14ac:dyDescent="0.25">
      <c r="A462" s="4" t="s">
        <v>13134</v>
      </c>
      <c r="B462" s="2" t="s">
        <v>984</v>
      </c>
      <c r="C462" s="3">
        <v>1</v>
      </c>
      <c r="D462" s="5">
        <v>44.63</v>
      </c>
      <c r="E462" s="3" t="s">
        <v>985</v>
      </c>
      <c r="F462" s="2" t="s">
        <v>331</v>
      </c>
      <c r="G462" s="6" t="s">
        <v>16</v>
      </c>
      <c r="H462" s="2" t="s">
        <v>246</v>
      </c>
      <c r="I462" s="2" t="s">
        <v>487</v>
      </c>
      <c r="J462" s="2" t="s">
        <v>19</v>
      </c>
      <c r="K462" s="2" t="s">
        <v>787</v>
      </c>
      <c r="L462" s="7" t="str">
        <f>HYPERLINK("http://slimages.macys.com/is/image/MCY/11808679 ")</f>
        <v xml:space="preserve">http://slimages.macys.com/is/image/MCY/11808679 </v>
      </c>
    </row>
    <row r="463" spans="1:12" ht="48.75" x14ac:dyDescent="0.25">
      <c r="A463" s="4" t="s">
        <v>13135</v>
      </c>
      <c r="B463" s="2" t="s">
        <v>984</v>
      </c>
      <c r="C463" s="3">
        <v>1</v>
      </c>
      <c r="D463" s="5">
        <v>44.63</v>
      </c>
      <c r="E463" s="3" t="s">
        <v>985</v>
      </c>
      <c r="F463" s="2" t="s">
        <v>64</v>
      </c>
      <c r="G463" s="6" t="s">
        <v>16</v>
      </c>
      <c r="H463" s="2" t="s">
        <v>246</v>
      </c>
      <c r="I463" s="2" t="s">
        <v>487</v>
      </c>
      <c r="J463" s="2" t="s">
        <v>19</v>
      </c>
      <c r="K463" s="2" t="s">
        <v>787</v>
      </c>
      <c r="L463" s="7" t="str">
        <f>HYPERLINK("http://slimages.macys.com/is/image/MCY/11808679 ")</f>
        <v xml:space="preserve">http://slimages.macys.com/is/image/MCY/11808679 </v>
      </c>
    </row>
    <row r="464" spans="1:12" ht="48.75" x14ac:dyDescent="0.25">
      <c r="A464" s="4" t="s">
        <v>8173</v>
      </c>
      <c r="B464" s="2" t="s">
        <v>1155</v>
      </c>
      <c r="C464" s="3">
        <v>1</v>
      </c>
      <c r="D464" s="5">
        <v>37.130000000000003</v>
      </c>
      <c r="E464" s="3" t="s">
        <v>3875</v>
      </c>
      <c r="F464" s="2" t="s">
        <v>26</v>
      </c>
      <c r="G464" s="6" t="s">
        <v>156</v>
      </c>
      <c r="H464" s="2" t="s">
        <v>194</v>
      </c>
      <c r="I464" s="2" t="s">
        <v>195</v>
      </c>
      <c r="J464" s="2" t="s">
        <v>19</v>
      </c>
      <c r="K464" s="2" t="s">
        <v>3879</v>
      </c>
      <c r="L464" s="7" t="str">
        <f>HYPERLINK("http://slimages.macys.com/is/image/MCY/12404881 ")</f>
        <v xml:space="preserve">http://slimages.macys.com/is/image/MCY/12404881 </v>
      </c>
    </row>
    <row r="465" spans="1:12" ht="24.75" x14ac:dyDescent="0.25">
      <c r="A465" s="4" t="s">
        <v>10932</v>
      </c>
      <c r="B465" s="2" t="s">
        <v>5894</v>
      </c>
      <c r="C465" s="3">
        <v>1</v>
      </c>
      <c r="D465" s="5">
        <v>29.63</v>
      </c>
      <c r="E465" s="3" t="s">
        <v>8175</v>
      </c>
      <c r="F465" s="2" t="s">
        <v>1584</v>
      </c>
      <c r="G465" s="6" t="s">
        <v>181</v>
      </c>
      <c r="H465" s="2" t="s">
        <v>284</v>
      </c>
      <c r="I465" s="2" t="s">
        <v>285</v>
      </c>
      <c r="J465" s="2" t="s">
        <v>19</v>
      </c>
      <c r="K465" s="2" t="s">
        <v>160</v>
      </c>
      <c r="L465" s="7" t="str">
        <f>HYPERLINK("http://slimages.macys.com/is/image/MCY/13081238 ")</f>
        <v xml:space="preserve">http://slimages.macys.com/is/image/MCY/13081238 </v>
      </c>
    </row>
    <row r="466" spans="1:12" ht="24.75" x14ac:dyDescent="0.25">
      <c r="A466" s="4" t="s">
        <v>13136</v>
      </c>
      <c r="B466" s="2" t="s">
        <v>5894</v>
      </c>
      <c r="C466" s="3">
        <v>1</v>
      </c>
      <c r="D466" s="5">
        <v>29.63</v>
      </c>
      <c r="E466" s="3" t="s">
        <v>8175</v>
      </c>
      <c r="F466" s="2" t="s">
        <v>1584</v>
      </c>
      <c r="G466" s="6" t="s">
        <v>154</v>
      </c>
      <c r="H466" s="2" t="s">
        <v>284</v>
      </c>
      <c r="I466" s="2" t="s">
        <v>285</v>
      </c>
      <c r="J466" s="2" t="s">
        <v>19</v>
      </c>
      <c r="K466" s="2" t="s">
        <v>160</v>
      </c>
      <c r="L466" s="7" t="str">
        <f>HYPERLINK("http://slimages.macys.com/is/image/MCY/13081238 ")</f>
        <v xml:space="preserve">http://slimages.macys.com/is/image/MCY/13081238 </v>
      </c>
    </row>
    <row r="467" spans="1:12" ht="24.75" x14ac:dyDescent="0.25">
      <c r="A467" s="4" t="s">
        <v>13137</v>
      </c>
      <c r="B467" s="2" t="s">
        <v>5894</v>
      </c>
      <c r="C467" s="3">
        <v>1</v>
      </c>
      <c r="D467" s="5">
        <v>29.63</v>
      </c>
      <c r="E467" s="3" t="s">
        <v>8175</v>
      </c>
      <c r="F467" s="2" t="s">
        <v>1584</v>
      </c>
      <c r="G467" s="6" t="s">
        <v>156</v>
      </c>
      <c r="H467" s="2" t="s">
        <v>284</v>
      </c>
      <c r="I467" s="2" t="s">
        <v>285</v>
      </c>
      <c r="J467" s="2" t="s">
        <v>19</v>
      </c>
      <c r="K467" s="2" t="s">
        <v>160</v>
      </c>
      <c r="L467" s="7" t="str">
        <f>HYPERLINK("http://slimages.macys.com/is/image/MCY/13081238 ")</f>
        <v xml:space="preserve">http://slimages.macys.com/is/image/MCY/13081238 </v>
      </c>
    </row>
    <row r="468" spans="1:12" ht="24.75" x14ac:dyDescent="0.25">
      <c r="A468" s="4" t="s">
        <v>12187</v>
      </c>
      <c r="B468" s="2" t="s">
        <v>5894</v>
      </c>
      <c r="C468" s="3">
        <v>2</v>
      </c>
      <c r="D468" s="5">
        <v>29.63</v>
      </c>
      <c r="E468" s="3" t="s">
        <v>8175</v>
      </c>
      <c r="F468" s="2" t="s">
        <v>1584</v>
      </c>
      <c r="G468" s="6" t="s">
        <v>234</v>
      </c>
      <c r="H468" s="2" t="s">
        <v>284</v>
      </c>
      <c r="I468" s="2" t="s">
        <v>285</v>
      </c>
      <c r="J468" s="2" t="s">
        <v>19</v>
      </c>
      <c r="K468" s="2" t="s">
        <v>160</v>
      </c>
      <c r="L468" s="7" t="str">
        <f>HYPERLINK("http://slimages.macys.com/is/image/MCY/13081238 ")</f>
        <v xml:space="preserve">http://slimages.macys.com/is/image/MCY/13081238 </v>
      </c>
    </row>
    <row r="469" spans="1:12" ht="24.75" x14ac:dyDescent="0.25">
      <c r="A469" s="4" t="s">
        <v>13138</v>
      </c>
      <c r="B469" s="2" t="s">
        <v>5894</v>
      </c>
      <c r="C469" s="3">
        <v>1</v>
      </c>
      <c r="D469" s="5">
        <v>29.63</v>
      </c>
      <c r="E469" s="3" t="s">
        <v>8175</v>
      </c>
      <c r="F469" s="2" t="s">
        <v>1584</v>
      </c>
      <c r="G469" s="6" t="s">
        <v>200</v>
      </c>
      <c r="H469" s="2" t="s">
        <v>284</v>
      </c>
      <c r="I469" s="2" t="s">
        <v>285</v>
      </c>
      <c r="J469" s="2" t="s">
        <v>19</v>
      </c>
      <c r="K469" s="2" t="s">
        <v>160</v>
      </c>
      <c r="L469" s="7" t="str">
        <f>HYPERLINK("http://slimages.macys.com/is/image/MCY/13081238 ")</f>
        <v xml:space="preserve">http://slimages.macys.com/is/image/MCY/13081238 </v>
      </c>
    </row>
    <row r="470" spans="1:12" ht="24.75" x14ac:dyDescent="0.25">
      <c r="A470" s="4" t="s">
        <v>2705</v>
      </c>
      <c r="B470" s="2" t="s">
        <v>1318</v>
      </c>
      <c r="C470" s="3">
        <v>2</v>
      </c>
      <c r="D470" s="5">
        <v>24.99</v>
      </c>
      <c r="E470" s="3" t="s">
        <v>1321</v>
      </c>
      <c r="F470" s="2" t="s">
        <v>506</v>
      </c>
      <c r="G470" s="6" t="s">
        <v>106</v>
      </c>
      <c r="H470" s="2" t="s">
        <v>228</v>
      </c>
      <c r="I470" s="2" t="s">
        <v>229</v>
      </c>
      <c r="J470" s="2" t="s">
        <v>19</v>
      </c>
      <c r="K470" s="2" t="s">
        <v>253</v>
      </c>
      <c r="L470" s="7" t="str">
        <f>HYPERLINK("http://slimages.macys.com/is/image/MCY/8296032 ")</f>
        <v xml:space="preserve">http://slimages.macys.com/is/image/MCY/8296032 </v>
      </c>
    </row>
    <row r="471" spans="1:12" ht="24.75" x14ac:dyDescent="0.25">
      <c r="A471" s="4" t="s">
        <v>8178</v>
      </c>
      <c r="B471" s="2" t="s">
        <v>1318</v>
      </c>
      <c r="C471" s="3">
        <v>1</v>
      </c>
      <c r="D471" s="5">
        <v>24.99</v>
      </c>
      <c r="E471" s="3">
        <v>100039649</v>
      </c>
      <c r="F471" s="2" t="s">
        <v>417</v>
      </c>
      <c r="G471" s="6" t="s">
        <v>141</v>
      </c>
      <c r="H471" s="2" t="s">
        <v>228</v>
      </c>
      <c r="I471" s="2" t="s">
        <v>863</v>
      </c>
      <c r="J471" s="2" t="s">
        <v>19</v>
      </c>
      <c r="K471" s="2" t="s">
        <v>2703</v>
      </c>
      <c r="L471" s="7" t="str">
        <f>HYPERLINK("http://slimages.macys.com/is/image/MCY/12667245 ")</f>
        <v xml:space="preserve">http://slimages.macys.com/is/image/MCY/12667245 </v>
      </c>
    </row>
    <row r="472" spans="1:12" ht="24.75" x14ac:dyDescent="0.25">
      <c r="A472" s="4" t="s">
        <v>1350</v>
      </c>
      <c r="B472" s="2" t="s">
        <v>1318</v>
      </c>
      <c r="C472" s="3">
        <v>1</v>
      </c>
      <c r="D472" s="5">
        <v>24.99</v>
      </c>
      <c r="E472" s="3" t="s">
        <v>1321</v>
      </c>
      <c r="F472" s="2" t="s">
        <v>506</v>
      </c>
      <c r="G472" s="6" t="s">
        <v>58</v>
      </c>
      <c r="H472" s="2" t="s">
        <v>228</v>
      </c>
      <c r="I472" s="2" t="s">
        <v>229</v>
      </c>
      <c r="J472" s="2" t="s">
        <v>19</v>
      </c>
      <c r="K472" s="2" t="s">
        <v>253</v>
      </c>
      <c r="L472" s="7" t="str">
        <f>HYPERLINK("http://slimages.macys.com/is/image/MCY/8296032 ")</f>
        <v xml:space="preserve">http://slimages.macys.com/is/image/MCY/8296032 </v>
      </c>
    </row>
    <row r="473" spans="1:12" ht="24.75" x14ac:dyDescent="0.25">
      <c r="A473" s="4" t="s">
        <v>2704</v>
      </c>
      <c r="B473" s="2" t="s">
        <v>1356</v>
      </c>
      <c r="C473" s="3">
        <v>1</v>
      </c>
      <c r="D473" s="5">
        <v>34.5</v>
      </c>
      <c r="E473" s="3">
        <v>100045813</v>
      </c>
      <c r="F473" s="2" t="s">
        <v>111</v>
      </c>
      <c r="G473" s="6" t="s">
        <v>22</v>
      </c>
      <c r="H473" s="2" t="s">
        <v>228</v>
      </c>
      <c r="I473" s="2" t="s">
        <v>229</v>
      </c>
      <c r="J473" s="2" t="s">
        <v>19</v>
      </c>
      <c r="K473" s="2" t="s">
        <v>353</v>
      </c>
      <c r="L473" s="7" t="str">
        <f>HYPERLINK("http://slimages.macys.com/is/image/MCY/11936020 ")</f>
        <v xml:space="preserve">http://slimages.macys.com/is/image/MCY/11936020 </v>
      </c>
    </row>
    <row r="474" spans="1:12" ht="24.75" x14ac:dyDescent="0.25">
      <c r="A474" s="4" t="s">
        <v>2702</v>
      </c>
      <c r="B474" s="2" t="s">
        <v>1318</v>
      </c>
      <c r="C474" s="3">
        <v>1</v>
      </c>
      <c r="D474" s="5">
        <v>24.99</v>
      </c>
      <c r="E474" s="3">
        <v>100039649</v>
      </c>
      <c r="F474" s="2" t="s">
        <v>417</v>
      </c>
      <c r="G474" s="6" t="s">
        <v>106</v>
      </c>
      <c r="H474" s="2" t="s">
        <v>228</v>
      </c>
      <c r="I474" s="2" t="s">
        <v>863</v>
      </c>
      <c r="J474" s="2" t="s">
        <v>19</v>
      </c>
      <c r="K474" s="2" t="s">
        <v>2703</v>
      </c>
      <c r="L474" s="7" t="str">
        <f>HYPERLINK("http://slimages.macys.com/is/image/MCY/12667245 ")</f>
        <v xml:space="preserve">http://slimages.macys.com/is/image/MCY/12667245 </v>
      </c>
    </row>
    <row r="475" spans="1:12" ht="24.75" x14ac:dyDescent="0.25">
      <c r="A475" s="4" t="s">
        <v>3880</v>
      </c>
      <c r="B475" s="2" t="s">
        <v>1318</v>
      </c>
      <c r="C475" s="3">
        <v>2</v>
      </c>
      <c r="D475" s="5">
        <v>24.99</v>
      </c>
      <c r="E475" s="3" t="s">
        <v>1321</v>
      </c>
      <c r="F475" s="2" t="s">
        <v>506</v>
      </c>
      <c r="G475" s="6" t="s">
        <v>27</v>
      </c>
      <c r="H475" s="2" t="s">
        <v>228</v>
      </c>
      <c r="I475" s="2" t="s">
        <v>229</v>
      </c>
      <c r="J475" s="2" t="s">
        <v>19</v>
      </c>
      <c r="K475" s="2" t="s">
        <v>253</v>
      </c>
      <c r="L475" s="7" t="str">
        <f>HYPERLINK("http://slimages.macys.com/is/image/MCY/8296032 ")</f>
        <v xml:space="preserve">http://slimages.macys.com/is/image/MCY/8296032 </v>
      </c>
    </row>
    <row r="476" spans="1:12" ht="24.75" x14ac:dyDescent="0.25">
      <c r="A476" s="4" t="s">
        <v>5883</v>
      </c>
      <c r="B476" s="2" t="s">
        <v>1318</v>
      </c>
      <c r="C476" s="3">
        <v>1</v>
      </c>
      <c r="D476" s="5">
        <v>24.99</v>
      </c>
      <c r="E476" s="3" t="s">
        <v>1321</v>
      </c>
      <c r="F476" s="2" t="s">
        <v>506</v>
      </c>
      <c r="G476" s="6" t="s">
        <v>22</v>
      </c>
      <c r="H476" s="2" t="s">
        <v>228</v>
      </c>
      <c r="I476" s="2" t="s">
        <v>229</v>
      </c>
      <c r="J476" s="2" t="s">
        <v>19</v>
      </c>
      <c r="K476" s="2" t="s">
        <v>253</v>
      </c>
      <c r="L476" s="7" t="str">
        <f>HYPERLINK("http://slimages.macys.com/is/image/MCY/8296032 ")</f>
        <v xml:space="preserve">http://slimages.macys.com/is/image/MCY/8296032 </v>
      </c>
    </row>
    <row r="477" spans="1:12" ht="24.75" x14ac:dyDescent="0.25">
      <c r="A477" s="4" t="s">
        <v>2691</v>
      </c>
      <c r="B477" s="2" t="s">
        <v>1318</v>
      </c>
      <c r="C477" s="3">
        <v>1</v>
      </c>
      <c r="D477" s="5">
        <v>24.99</v>
      </c>
      <c r="E477" s="3" t="s">
        <v>1321</v>
      </c>
      <c r="F477" s="2" t="s">
        <v>506</v>
      </c>
      <c r="G477" s="6" t="s">
        <v>16</v>
      </c>
      <c r="H477" s="2" t="s">
        <v>228</v>
      </c>
      <c r="I477" s="2" t="s">
        <v>229</v>
      </c>
      <c r="J477" s="2" t="s">
        <v>19</v>
      </c>
      <c r="K477" s="2" t="s">
        <v>253</v>
      </c>
      <c r="L477" s="7" t="str">
        <f>HYPERLINK("http://slimages.macys.com/is/image/MCY/8296032 ")</f>
        <v xml:space="preserve">http://slimages.macys.com/is/image/MCY/8296032 </v>
      </c>
    </row>
    <row r="478" spans="1:12" ht="24.75" x14ac:dyDescent="0.25">
      <c r="A478" s="4" t="s">
        <v>5879</v>
      </c>
      <c r="B478" s="2" t="s">
        <v>1356</v>
      </c>
      <c r="C478" s="3">
        <v>1</v>
      </c>
      <c r="D478" s="5">
        <v>29.99</v>
      </c>
      <c r="E478" s="3">
        <v>100045815</v>
      </c>
      <c r="F478" s="2" t="s">
        <v>26</v>
      </c>
      <c r="G478" s="6" t="s">
        <v>141</v>
      </c>
      <c r="H478" s="2" t="s">
        <v>228</v>
      </c>
      <c r="I478" s="2" t="s">
        <v>229</v>
      </c>
      <c r="J478" s="2" t="s">
        <v>19</v>
      </c>
      <c r="K478" s="2" t="s">
        <v>353</v>
      </c>
      <c r="L478" s="7" t="str">
        <f>HYPERLINK("http://slimages.macys.com/is/image/MCY/11936020 ")</f>
        <v xml:space="preserve">http://slimages.macys.com/is/image/MCY/11936020 </v>
      </c>
    </row>
    <row r="479" spans="1:12" ht="24.75" x14ac:dyDescent="0.25">
      <c r="A479" s="4" t="s">
        <v>1367</v>
      </c>
      <c r="B479" s="2" t="s">
        <v>1365</v>
      </c>
      <c r="C479" s="3">
        <v>1</v>
      </c>
      <c r="D479" s="5">
        <v>37.130000000000003</v>
      </c>
      <c r="E479" s="3">
        <v>100065803</v>
      </c>
      <c r="F479" s="2" t="s">
        <v>15</v>
      </c>
      <c r="G479" s="6" t="s">
        <v>245</v>
      </c>
      <c r="H479" s="2" t="s">
        <v>194</v>
      </c>
      <c r="I479" s="2" t="s">
        <v>195</v>
      </c>
      <c r="J479" s="2" t="s">
        <v>19</v>
      </c>
      <c r="K479" s="2" t="s">
        <v>353</v>
      </c>
      <c r="L479" s="7" t="str">
        <f>HYPERLINK("http://slimages.macys.com/is/image/MCY/12850008 ")</f>
        <v xml:space="preserve">http://slimages.macys.com/is/image/MCY/12850008 </v>
      </c>
    </row>
    <row r="480" spans="1:12" ht="24.75" x14ac:dyDescent="0.25">
      <c r="A480" s="4" t="s">
        <v>1369</v>
      </c>
      <c r="B480" s="2" t="s">
        <v>1365</v>
      </c>
      <c r="C480" s="3">
        <v>1</v>
      </c>
      <c r="D480" s="5">
        <v>37.130000000000003</v>
      </c>
      <c r="E480" s="3">
        <v>100065803</v>
      </c>
      <c r="F480" s="2" t="s">
        <v>15</v>
      </c>
      <c r="G480" s="6" t="s">
        <v>234</v>
      </c>
      <c r="H480" s="2" t="s">
        <v>194</v>
      </c>
      <c r="I480" s="2" t="s">
        <v>195</v>
      </c>
      <c r="J480" s="2" t="s">
        <v>19</v>
      </c>
      <c r="K480" s="2" t="s">
        <v>353</v>
      </c>
      <c r="L480" s="7" t="str">
        <f>HYPERLINK("http://slimages.macys.com/is/image/MCY/12850008 ")</f>
        <v xml:space="preserve">http://slimages.macys.com/is/image/MCY/12850008 </v>
      </c>
    </row>
    <row r="481" spans="1:12" ht="36.75" x14ac:dyDescent="0.25">
      <c r="A481" s="4" t="s">
        <v>10936</v>
      </c>
      <c r="B481" s="2" t="s">
        <v>10937</v>
      </c>
      <c r="C481" s="3">
        <v>1</v>
      </c>
      <c r="D481" s="5">
        <v>36</v>
      </c>
      <c r="E481" s="3" t="s">
        <v>10938</v>
      </c>
      <c r="F481" s="2" t="s">
        <v>74</v>
      </c>
      <c r="G481" s="6" t="s">
        <v>181</v>
      </c>
      <c r="H481" s="2" t="s">
        <v>10225</v>
      </c>
      <c r="I481" s="2" t="s">
        <v>792</v>
      </c>
      <c r="J481" s="2" t="s">
        <v>19</v>
      </c>
      <c r="K481" s="2" t="s">
        <v>10939</v>
      </c>
      <c r="L481" s="7" t="str">
        <f>HYPERLINK("http://slimages.macys.com/is/image/MCY/10379386 ")</f>
        <v xml:space="preserve">http://slimages.macys.com/is/image/MCY/10379386 </v>
      </c>
    </row>
    <row r="482" spans="1:12" ht="24.75" x14ac:dyDescent="0.25">
      <c r="A482" s="4" t="s">
        <v>13139</v>
      </c>
      <c r="B482" s="2" t="s">
        <v>1373</v>
      </c>
      <c r="C482" s="3">
        <v>1</v>
      </c>
      <c r="D482" s="5">
        <v>37.130000000000003</v>
      </c>
      <c r="E482" s="3" t="s">
        <v>1374</v>
      </c>
      <c r="F482" s="2" t="s">
        <v>676</v>
      </c>
      <c r="G482" s="6" t="s">
        <v>234</v>
      </c>
      <c r="H482" s="2" t="s">
        <v>194</v>
      </c>
      <c r="I482" s="2" t="s">
        <v>195</v>
      </c>
      <c r="J482" s="2" t="s">
        <v>19</v>
      </c>
      <c r="K482" s="2" t="s">
        <v>247</v>
      </c>
      <c r="L482" s="7" t="str">
        <f>HYPERLINK("http://slimages.macys.com/is/image/MCY/12034795 ")</f>
        <v xml:space="preserve">http://slimages.macys.com/is/image/MCY/12034795 </v>
      </c>
    </row>
    <row r="483" spans="1:12" ht="36.75" x14ac:dyDescent="0.25">
      <c r="A483" s="4" t="s">
        <v>10943</v>
      </c>
      <c r="B483" s="2" t="s">
        <v>10937</v>
      </c>
      <c r="C483" s="3">
        <v>1</v>
      </c>
      <c r="D483" s="5">
        <v>36</v>
      </c>
      <c r="E483" s="3" t="s">
        <v>10938</v>
      </c>
      <c r="F483" s="2" t="s">
        <v>74</v>
      </c>
      <c r="G483" s="6" t="s">
        <v>154</v>
      </c>
      <c r="H483" s="2" t="s">
        <v>10225</v>
      </c>
      <c r="I483" s="2" t="s">
        <v>792</v>
      </c>
      <c r="J483" s="2" t="s">
        <v>19</v>
      </c>
      <c r="K483" s="2" t="s">
        <v>10939</v>
      </c>
      <c r="L483" s="7" t="str">
        <f>HYPERLINK("http://slimages.macys.com/is/image/MCY/10379386 ")</f>
        <v xml:space="preserve">http://slimages.macys.com/is/image/MCY/10379386 </v>
      </c>
    </row>
    <row r="484" spans="1:12" ht="24.75" x14ac:dyDescent="0.25">
      <c r="A484" s="4" t="s">
        <v>13140</v>
      </c>
      <c r="B484" s="2" t="s">
        <v>8200</v>
      </c>
      <c r="C484" s="3">
        <v>2</v>
      </c>
      <c r="D484" s="5">
        <v>37.130000000000003</v>
      </c>
      <c r="E484" s="3" t="s">
        <v>12199</v>
      </c>
      <c r="F484" s="2" t="s">
        <v>566</v>
      </c>
      <c r="G484" s="6" t="s">
        <v>154</v>
      </c>
      <c r="H484" s="2" t="s">
        <v>194</v>
      </c>
      <c r="I484" s="2" t="s">
        <v>195</v>
      </c>
      <c r="J484" s="2" t="s">
        <v>19</v>
      </c>
      <c r="K484" s="2" t="s">
        <v>247</v>
      </c>
      <c r="L484" s="7" t="str">
        <f>HYPERLINK("http://slimages.macys.com/is/image/MCY/13120693 ")</f>
        <v xml:space="preserve">http://slimages.macys.com/is/image/MCY/13120693 </v>
      </c>
    </row>
    <row r="485" spans="1:12" ht="24.75" x14ac:dyDescent="0.25">
      <c r="A485" s="4" t="s">
        <v>13141</v>
      </c>
      <c r="B485" s="2" t="s">
        <v>8186</v>
      </c>
      <c r="C485" s="3">
        <v>1</v>
      </c>
      <c r="D485" s="5">
        <v>27.99</v>
      </c>
      <c r="E485" s="3" t="s">
        <v>8187</v>
      </c>
      <c r="F485" s="2" t="s">
        <v>15</v>
      </c>
      <c r="G485" s="6" t="s">
        <v>181</v>
      </c>
      <c r="H485" s="2" t="s">
        <v>1522</v>
      </c>
      <c r="I485" s="2" t="s">
        <v>1469</v>
      </c>
      <c r="J485" s="2" t="s">
        <v>19</v>
      </c>
      <c r="K485" s="2" t="s">
        <v>353</v>
      </c>
      <c r="L485" s="7" t="str">
        <f>HYPERLINK("http://slimages.macys.com/is/image/MCY/12144601 ")</f>
        <v xml:space="preserve">http://slimages.macys.com/is/image/MCY/12144601 </v>
      </c>
    </row>
    <row r="486" spans="1:12" ht="24.75" x14ac:dyDescent="0.25">
      <c r="A486" s="4" t="s">
        <v>13142</v>
      </c>
      <c r="B486" s="2" t="s">
        <v>12205</v>
      </c>
      <c r="C486" s="3">
        <v>1</v>
      </c>
      <c r="D486" s="5">
        <v>37.130000000000003</v>
      </c>
      <c r="E486" s="3" t="s">
        <v>12206</v>
      </c>
      <c r="F486" s="2" t="s">
        <v>38</v>
      </c>
      <c r="G486" s="6"/>
      <c r="H486" s="2" t="s">
        <v>312</v>
      </c>
      <c r="I486" s="2" t="s">
        <v>195</v>
      </c>
      <c r="J486" s="2" t="s">
        <v>19</v>
      </c>
      <c r="K486" s="2" t="s">
        <v>247</v>
      </c>
      <c r="L486" s="7" t="str">
        <f>HYPERLINK("http://slimages.macys.com/is/image/MCY/10207695 ")</f>
        <v xml:space="preserve">http://slimages.macys.com/is/image/MCY/10207695 </v>
      </c>
    </row>
    <row r="487" spans="1:12" ht="36.75" x14ac:dyDescent="0.25">
      <c r="A487" s="4" t="s">
        <v>2713</v>
      </c>
      <c r="B487" s="2" t="s">
        <v>1388</v>
      </c>
      <c r="C487" s="3">
        <v>1</v>
      </c>
      <c r="D487" s="5">
        <v>29.63</v>
      </c>
      <c r="E487" s="3" t="s">
        <v>1389</v>
      </c>
      <c r="F487" s="2" t="s">
        <v>111</v>
      </c>
      <c r="G487" s="6" t="s">
        <v>245</v>
      </c>
      <c r="H487" s="2" t="s">
        <v>194</v>
      </c>
      <c r="I487" s="2" t="s">
        <v>195</v>
      </c>
      <c r="J487" s="2" t="s">
        <v>19</v>
      </c>
      <c r="K487" s="2" t="s">
        <v>1390</v>
      </c>
      <c r="L487" s="7" t="str">
        <f>HYPERLINK("http://slimages.macys.com/is/image/MCY/12734335 ")</f>
        <v xml:space="preserve">http://slimages.macys.com/is/image/MCY/12734335 </v>
      </c>
    </row>
    <row r="488" spans="1:12" ht="36.75" x14ac:dyDescent="0.25">
      <c r="A488" s="4" t="s">
        <v>7484</v>
      </c>
      <c r="B488" s="2" t="s">
        <v>2351</v>
      </c>
      <c r="C488" s="3">
        <v>1</v>
      </c>
      <c r="D488" s="5">
        <v>29.63</v>
      </c>
      <c r="E488" s="3" t="s">
        <v>4963</v>
      </c>
      <c r="F488" s="2" t="s">
        <v>752</v>
      </c>
      <c r="G488" s="6" t="s">
        <v>154</v>
      </c>
      <c r="H488" s="2" t="s">
        <v>194</v>
      </c>
      <c r="I488" s="2" t="s">
        <v>195</v>
      </c>
      <c r="J488" s="2" t="s">
        <v>19</v>
      </c>
      <c r="K488" s="2" t="s">
        <v>1390</v>
      </c>
      <c r="L488" s="7" t="str">
        <f>HYPERLINK("http://slimages.macys.com/is/image/MCY/12950203 ")</f>
        <v xml:space="preserve">http://slimages.macys.com/is/image/MCY/12950203 </v>
      </c>
    </row>
    <row r="489" spans="1:12" ht="24.75" x14ac:dyDescent="0.25">
      <c r="A489" s="4" t="s">
        <v>13143</v>
      </c>
      <c r="B489" s="2" t="s">
        <v>10952</v>
      </c>
      <c r="C489" s="3">
        <v>2</v>
      </c>
      <c r="D489" s="5">
        <v>29.63</v>
      </c>
      <c r="E489" s="3">
        <v>100018082</v>
      </c>
      <c r="F489" s="2" t="s">
        <v>26</v>
      </c>
      <c r="G489" s="6" t="s">
        <v>234</v>
      </c>
      <c r="H489" s="2" t="s">
        <v>194</v>
      </c>
      <c r="I489" s="2" t="s">
        <v>195</v>
      </c>
      <c r="J489" s="2" t="s">
        <v>19</v>
      </c>
      <c r="K489" s="2" t="s">
        <v>1082</v>
      </c>
      <c r="L489" s="7" t="str">
        <f>HYPERLINK("http://slimages.macys.com/is/image/MCY/13367475 ")</f>
        <v xml:space="preserve">http://slimages.macys.com/is/image/MCY/13367475 </v>
      </c>
    </row>
    <row r="490" spans="1:12" ht="24.75" x14ac:dyDescent="0.25">
      <c r="A490" s="4" t="s">
        <v>10951</v>
      </c>
      <c r="B490" s="2" t="s">
        <v>10952</v>
      </c>
      <c r="C490" s="3">
        <v>2</v>
      </c>
      <c r="D490" s="5">
        <v>29.63</v>
      </c>
      <c r="E490" s="3">
        <v>100018082</v>
      </c>
      <c r="F490" s="2" t="s">
        <v>26</v>
      </c>
      <c r="G490" s="6" t="s">
        <v>154</v>
      </c>
      <c r="H490" s="2" t="s">
        <v>194</v>
      </c>
      <c r="I490" s="2" t="s">
        <v>195</v>
      </c>
      <c r="J490" s="2" t="s">
        <v>19</v>
      </c>
      <c r="K490" s="2" t="s">
        <v>1082</v>
      </c>
      <c r="L490" s="7" t="str">
        <f>HYPERLINK("http://slimages.macys.com/is/image/MCY/13367475 ")</f>
        <v xml:space="preserve">http://slimages.macys.com/is/image/MCY/13367475 </v>
      </c>
    </row>
    <row r="491" spans="1:12" ht="24.75" x14ac:dyDescent="0.25">
      <c r="A491" s="4" t="s">
        <v>6656</v>
      </c>
      <c r="B491" s="2" t="s">
        <v>1394</v>
      </c>
      <c r="C491" s="3">
        <v>1</v>
      </c>
      <c r="D491" s="5">
        <v>37.130000000000003</v>
      </c>
      <c r="E491" s="3" t="s">
        <v>1395</v>
      </c>
      <c r="F491" s="2" t="s">
        <v>33</v>
      </c>
      <c r="G491" s="6" t="s">
        <v>156</v>
      </c>
      <c r="H491" s="2" t="s">
        <v>194</v>
      </c>
      <c r="I491" s="2" t="s">
        <v>195</v>
      </c>
      <c r="J491" s="2" t="s">
        <v>19</v>
      </c>
      <c r="K491" s="2" t="s">
        <v>34</v>
      </c>
      <c r="L491" s="7" t="str">
        <f>HYPERLINK("http://slimages.macys.com/is/image/MCY/13367997 ")</f>
        <v xml:space="preserve">http://slimages.macys.com/is/image/MCY/13367997 </v>
      </c>
    </row>
    <row r="492" spans="1:12" ht="24.75" x14ac:dyDescent="0.25">
      <c r="A492" s="4" t="s">
        <v>13144</v>
      </c>
      <c r="B492" s="2" t="s">
        <v>10952</v>
      </c>
      <c r="C492" s="3">
        <v>4</v>
      </c>
      <c r="D492" s="5">
        <v>29.63</v>
      </c>
      <c r="E492" s="3">
        <v>100018082</v>
      </c>
      <c r="F492" s="2" t="s">
        <v>26</v>
      </c>
      <c r="G492" s="6" t="s">
        <v>181</v>
      </c>
      <c r="H492" s="2" t="s">
        <v>194</v>
      </c>
      <c r="I492" s="2" t="s">
        <v>195</v>
      </c>
      <c r="J492" s="2" t="s">
        <v>19</v>
      </c>
      <c r="K492" s="2" t="s">
        <v>1082</v>
      </c>
      <c r="L492" s="7" t="str">
        <f>HYPERLINK("http://slimages.macys.com/is/image/MCY/13367475 ")</f>
        <v xml:space="preserve">http://slimages.macys.com/is/image/MCY/13367475 </v>
      </c>
    </row>
    <row r="493" spans="1:12" ht="60.75" x14ac:dyDescent="0.25">
      <c r="A493" s="4" t="s">
        <v>10953</v>
      </c>
      <c r="B493" s="2" t="s">
        <v>1397</v>
      </c>
      <c r="C493" s="3">
        <v>1</v>
      </c>
      <c r="D493" s="5">
        <v>29.63</v>
      </c>
      <c r="E493" s="3">
        <v>100022669</v>
      </c>
      <c r="F493" s="2" t="s">
        <v>566</v>
      </c>
      <c r="G493" s="6" t="s">
        <v>181</v>
      </c>
      <c r="H493" s="2" t="s">
        <v>194</v>
      </c>
      <c r="I493" s="2" t="s">
        <v>1398</v>
      </c>
      <c r="J493" s="2" t="s">
        <v>19</v>
      </c>
      <c r="K493" s="2" t="s">
        <v>1399</v>
      </c>
      <c r="L493" s="7" t="str">
        <f t="shared" ref="L493:L498" si="3">HYPERLINK("http://slimages.macys.com/is/image/MCY/13368177 ")</f>
        <v xml:space="preserve">http://slimages.macys.com/is/image/MCY/13368177 </v>
      </c>
    </row>
    <row r="494" spans="1:12" ht="60.75" x14ac:dyDescent="0.25">
      <c r="A494" s="4" t="s">
        <v>8707</v>
      </c>
      <c r="B494" s="2" t="s">
        <v>1397</v>
      </c>
      <c r="C494" s="3">
        <v>1</v>
      </c>
      <c r="D494" s="5">
        <v>29.63</v>
      </c>
      <c r="E494" s="3">
        <v>100022669</v>
      </c>
      <c r="F494" s="2" t="s">
        <v>48</v>
      </c>
      <c r="G494" s="6" t="s">
        <v>154</v>
      </c>
      <c r="H494" s="2" t="s">
        <v>194</v>
      </c>
      <c r="I494" s="2" t="s">
        <v>1398</v>
      </c>
      <c r="J494" s="2" t="s">
        <v>19</v>
      </c>
      <c r="K494" s="2" t="s">
        <v>1399</v>
      </c>
      <c r="L494" s="7" t="str">
        <f t="shared" si="3"/>
        <v xml:space="preserve">http://slimages.macys.com/is/image/MCY/13368177 </v>
      </c>
    </row>
    <row r="495" spans="1:12" ht="60.75" x14ac:dyDescent="0.25">
      <c r="A495" s="4" t="s">
        <v>13145</v>
      </c>
      <c r="B495" s="2" t="s">
        <v>1397</v>
      </c>
      <c r="C495" s="3">
        <v>1</v>
      </c>
      <c r="D495" s="5">
        <v>29.63</v>
      </c>
      <c r="E495" s="3">
        <v>100022669</v>
      </c>
      <c r="F495" s="2" t="s">
        <v>566</v>
      </c>
      <c r="G495" s="6" t="s">
        <v>245</v>
      </c>
      <c r="H495" s="2" t="s">
        <v>194</v>
      </c>
      <c r="I495" s="2" t="s">
        <v>1398</v>
      </c>
      <c r="J495" s="2" t="s">
        <v>19</v>
      </c>
      <c r="K495" s="2" t="s">
        <v>1399</v>
      </c>
      <c r="L495" s="7" t="str">
        <f t="shared" si="3"/>
        <v xml:space="preserve">http://slimages.macys.com/is/image/MCY/13368177 </v>
      </c>
    </row>
    <row r="496" spans="1:12" ht="60.75" x14ac:dyDescent="0.25">
      <c r="A496" s="4" t="s">
        <v>10954</v>
      </c>
      <c r="B496" s="2" t="s">
        <v>1397</v>
      </c>
      <c r="C496" s="3">
        <v>1</v>
      </c>
      <c r="D496" s="5">
        <v>29.63</v>
      </c>
      <c r="E496" s="3">
        <v>100022669</v>
      </c>
      <c r="F496" s="2" t="s">
        <v>566</v>
      </c>
      <c r="G496" s="6" t="s">
        <v>156</v>
      </c>
      <c r="H496" s="2" t="s">
        <v>194</v>
      </c>
      <c r="I496" s="2" t="s">
        <v>1398</v>
      </c>
      <c r="J496" s="2" t="s">
        <v>19</v>
      </c>
      <c r="K496" s="2" t="s">
        <v>1399</v>
      </c>
      <c r="L496" s="7" t="str">
        <f t="shared" si="3"/>
        <v xml:space="preserve">http://slimages.macys.com/is/image/MCY/13368177 </v>
      </c>
    </row>
    <row r="497" spans="1:12" ht="60.75" x14ac:dyDescent="0.25">
      <c r="A497" s="4" t="s">
        <v>13146</v>
      </c>
      <c r="B497" s="2" t="s">
        <v>1397</v>
      </c>
      <c r="C497" s="3">
        <v>1</v>
      </c>
      <c r="D497" s="5">
        <v>29.63</v>
      </c>
      <c r="E497" s="3">
        <v>100022669</v>
      </c>
      <c r="F497" s="2" t="s">
        <v>26</v>
      </c>
      <c r="G497" s="6" t="s">
        <v>200</v>
      </c>
      <c r="H497" s="2" t="s">
        <v>194</v>
      </c>
      <c r="I497" s="2" t="s">
        <v>1398</v>
      </c>
      <c r="J497" s="2" t="s">
        <v>19</v>
      </c>
      <c r="K497" s="2" t="s">
        <v>1399</v>
      </c>
      <c r="L497" s="7" t="str">
        <f t="shared" si="3"/>
        <v xml:space="preserve">http://slimages.macys.com/is/image/MCY/13368177 </v>
      </c>
    </row>
    <row r="498" spans="1:12" ht="60.75" x14ac:dyDescent="0.25">
      <c r="A498" s="4" t="s">
        <v>1400</v>
      </c>
      <c r="B498" s="2" t="s">
        <v>1397</v>
      </c>
      <c r="C498" s="3">
        <v>1</v>
      </c>
      <c r="D498" s="5">
        <v>29.63</v>
      </c>
      <c r="E498" s="3">
        <v>100022669</v>
      </c>
      <c r="F498" s="2" t="s">
        <v>48</v>
      </c>
      <c r="G498" s="6" t="s">
        <v>234</v>
      </c>
      <c r="H498" s="2" t="s">
        <v>194</v>
      </c>
      <c r="I498" s="2" t="s">
        <v>1398</v>
      </c>
      <c r="J498" s="2" t="s">
        <v>19</v>
      </c>
      <c r="K498" s="2" t="s">
        <v>1399</v>
      </c>
      <c r="L498" s="7" t="str">
        <f t="shared" si="3"/>
        <v xml:space="preserve">http://slimages.macys.com/is/image/MCY/13368177 </v>
      </c>
    </row>
    <row r="499" spans="1:12" ht="36.75" x14ac:dyDescent="0.25">
      <c r="A499" s="4" t="s">
        <v>13147</v>
      </c>
      <c r="B499" s="2" t="s">
        <v>5974</v>
      </c>
      <c r="C499" s="3">
        <v>1</v>
      </c>
      <c r="D499" s="5">
        <v>24.99</v>
      </c>
      <c r="E499" s="3" t="s">
        <v>13148</v>
      </c>
      <c r="F499" s="2" t="s">
        <v>74</v>
      </c>
      <c r="G499" s="6" t="s">
        <v>234</v>
      </c>
      <c r="H499" s="2" t="s">
        <v>284</v>
      </c>
      <c r="I499" s="2" t="s">
        <v>285</v>
      </c>
      <c r="J499" s="2" t="s">
        <v>19</v>
      </c>
      <c r="K499" s="2" t="s">
        <v>5899</v>
      </c>
      <c r="L499" s="7" t="str">
        <f>HYPERLINK("http://slimages.macys.com/is/image/MCY/9460783 ")</f>
        <v xml:space="preserve">http://slimages.macys.com/is/image/MCY/9460783 </v>
      </c>
    </row>
    <row r="500" spans="1:12" ht="24.75" x14ac:dyDescent="0.25">
      <c r="A500" s="4" t="s">
        <v>8708</v>
      </c>
      <c r="B500" s="2" t="s">
        <v>1373</v>
      </c>
      <c r="C500" s="3">
        <v>1</v>
      </c>
      <c r="D500" s="5">
        <v>37.130000000000003</v>
      </c>
      <c r="E500" s="3" t="s">
        <v>7492</v>
      </c>
      <c r="F500" s="2" t="s">
        <v>15</v>
      </c>
      <c r="G500" s="6"/>
      <c r="H500" s="2" t="s">
        <v>312</v>
      </c>
      <c r="I500" s="2" t="s">
        <v>195</v>
      </c>
      <c r="J500" s="2" t="s">
        <v>19</v>
      </c>
      <c r="K500" s="2" t="s">
        <v>247</v>
      </c>
      <c r="L500" s="7" t="str">
        <f>HYPERLINK("http://slimages.macys.com/is/image/MCY/12034773 ")</f>
        <v xml:space="preserve">http://slimages.macys.com/is/image/MCY/12034773 </v>
      </c>
    </row>
    <row r="501" spans="1:12" ht="24.75" x14ac:dyDescent="0.25">
      <c r="A501" s="4" t="s">
        <v>13149</v>
      </c>
      <c r="B501" s="2" t="s">
        <v>8200</v>
      </c>
      <c r="C501" s="3">
        <v>2</v>
      </c>
      <c r="D501" s="5">
        <v>37.130000000000003</v>
      </c>
      <c r="E501" s="3" t="s">
        <v>12222</v>
      </c>
      <c r="F501" s="2" t="s">
        <v>225</v>
      </c>
      <c r="G501" s="6"/>
      <c r="H501" s="2" t="s">
        <v>312</v>
      </c>
      <c r="I501" s="2" t="s">
        <v>195</v>
      </c>
      <c r="J501" s="2" t="s">
        <v>19</v>
      </c>
      <c r="K501" s="2" t="s">
        <v>247</v>
      </c>
      <c r="L501" s="7" t="str">
        <f>HYPERLINK("http://slimages.macys.com/is/image/MCY/13120709 ")</f>
        <v xml:space="preserve">http://slimages.macys.com/is/image/MCY/13120709 </v>
      </c>
    </row>
    <row r="502" spans="1:12" ht="24.75" x14ac:dyDescent="0.25">
      <c r="A502" s="4" t="s">
        <v>13150</v>
      </c>
      <c r="B502" s="2" t="s">
        <v>8200</v>
      </c>
      <c r="C502" s="3">
        <v>1</v>
      </c>
      <c r="D502" s="5">
        <v>37.130000000000003</v>
      </c>
      <c r="E502" s="3" t="s">
        <v>8201</v>
      </c>
      <c r="F502" s="2" t="s">
        <v>376</v>
      </c>
      <c r="G502" s="6"/>
      <c r="H502" s="2" t="s">
        <v>312</v>
      </c>
      <c r="I502" s="2" t="s">
        <v>195</v>
      </c>
      <c r="J502" s="2" t="s">
        <v>19</v>
      </c>
      <c r="K502" s="2" t="s">
        <v>247</v>
      </c>
      <c r="L502" s="7" t="str">
        <f>HYPERLINK("http://slimages.macys.com/is/image/MCY/13120693 ")</f>
        <v xml:space="preserve">http://slimages.macys.com/is/image/MCY/13120693 </v>
      </c>
    </row>
    <row r="503" spans="1:12" ht="24.75" x14ac:dyDescent="0.25">
      <c r="A503" s="4" t="s">
        <v>13151</v>
      </c>
      <c r="B503" s="2" t="s">
        <v>8200</v>
      </c>
      <c r="C503" s="3">
        <v>1</v>
      </c>
      <c r="D503" s="5">
        <v>37.130000000000003</v>
      </c>
      <c r="E503" s="3" t="s">
        <v>8201</v>
      </c>
      <c r="F503" s="2" t="s">
        <v>376</v>
      </c>
      <c r="G503" s="6"/>
      <c r="H503" s="2" t="s">
        <v>312</v>
      </c>
      <c r="I503" s="2" t="s">
        <v>195</v>
      </c>
      <c r="J503" s="2" t="s">
        <v>19</v>
      </c>
      <c r="K503" s="2" t="s">
        <v>247</v>
      </c>
      <c r="L503" s="7" t="str">
        <f>HYPERLINK("http://slimages.macys.com/is/image/MCY/13120693 ")</f>
        <v xml:space="preserve">http://slimages.macys.com/is/image/MCY/13120693 </v>
      </c>
    </row>
    <row r="504" spans="1:12" ht="24.75" x14ac:dyDescent="0.25">
      <c r="A504" s="4" t="s">
        <v>13152</v>
      </c>
      <c r="B504" s="2" t="s">
        <v>13153</v>
      </c>
      <c r="C504" s="3">
        <v>1</v>
      </c>
      <c r="D504" s="5">
        <v>37.130000000000003</v>
      </c>
      <c r="E504" s="3" t="s">
        <v>13154</v>
      </c>
      <c r="F504" s="2" t="s">
        <v>74</v>
      </c>
      <c r="G504" s="6"/>
      <c r="H504" s="2" t="s">
        <v>312</v>
      </c>
      <c r="I504" s="2" t="s">
        <v>195</v>
      </c>
      <c r="J504" s="2" t="s">
        <v>19</v>
      </c>
      <c r="K504" s="2" t="s">
        <v>247</v>
      </c>
      <c r="L504" s="7" t="str">
        <f>HYPERLINK("http://slimages.macys.com/is/image/MCY/13120720 ")</f>
        <v xml:space="preserve">http://slimages.macys.com/is/image/MCY/13120720 </v>
      </c>
    </row>
    <row r="505" spans="1:12" ht="24.75" x14ac:dyDescent="0.25">
      <c r="A505" s="4" t="s">
        <v>12223</v>
      </c>
      <c r="B505" s="2" t="s">
        <v>10968</v>
      </c>
      <c r="C505" s="3">
        <v>1</v>
      </c>
      <c r="D505" s="5">
        <v>33.380000000000003</v>
      </c>
      <c r="E505" s="3" t="s">
        <v>10969</v>
      </c>
      <c r="F505" s="2" t="s">
        <v>15</v>
      </c>
      <c r="G505" s="6" t="s">
        <v>156</v>
      </c>
      <c r="H505" s="2" t="s">
        <v>194</v>
      </c>
      <c r="I505" s="2" t="s">
        <v>195</v>
      </c>
      <c r="J505" s="2" t="s">
        <v>19</v>
      </c>
      <c r="K505" s="2" t="s">
        <v>1108</v>
      </c>
      <c r="L505" s="7" t="str">
        <f>HYPERLINK("http://slimages.macys.com/is/image/MCY/13422931 ")</f>
        <v xml:space="preserve">http://slimages.macys.com/is/image/MCY/13422931 </v>
      </c>
    </row>
    <row r="506" spans="1:12" ht="24.75" x14ac:dyDescent="0.25">
      <c r="A506" s="4" t="s">
        <v>12225</v>
      </c>
      <c r="B506" s="2" t="s">
        <v>10968</v>
      </c>
      <c r="C506" s="3">
        <v>1</v>
      </c>
      <c r="D506" s="5">
        <v>33.380000000000003</v>
      </c>
      <c r="E506" s="3" t="s">
        <v>10969</v>
      </c>
      <c r="F506" s="2" t="s">
        <v>15</v>
      </c>
      <c r="G506" s="6" t="s">
        <v>234</v>
      </c>
      <c r="H506" s="2" t="s">
        <v>194</v>
      </c>
      <c r="I506" s="2" t="s">
        <v>195</v>
      </c>
      <c r="J506" s="2" t="s">
        <v>19</v>
      </c>
      <c r="K506" s="2" t="s">
        <v>1108</v>
      </c>
      <c r="L506" s="7" t="str">
        <f>HYPERLINK("http://slimages.macys.com/is/image/MCY/13422931 ")</f>
        <v xml:space="preserve">http://slimages.macys.com/is/image/MCY/13422931 </v>
      </c>
    </row>
    <row r="507" spans="1:12" ht="24.75" x14ac:dyDescent="0.25">
      <c r="A507" s="4" t="s">
        <v>10970</v>
      </c>
      <c r="B507" s="2" t="s">
        <v>10968</v>
      </c>
      <c r="C507" s="3">
        <v>1</v>
      </c>
      <c r="D507" s="5">
        <v>33.380000000000003</v>
      </c>
      <c r="E507" s="3" t="s">
        <v>10969</v>
      </c>
      <c r="F507" s="2" t="s">
        <v>15</v>
      </c>
      <c r="G507" s="6" t="s">
        <v>154</v>
      </c>
      <c r="H507" s="2" t="s">
        <v>194</v>
      </c>
      <c r="I507" s="2" t="s">
        <v>195</v>
      </c>
      <c r="J507" s="2" t="s">
        <v>19</v>
      </c>
      <c r="K507" s="2" t="s">
        <v>1108</v>
      </c>
      <c r="L507" s="7" t="str">
        <f>HYPERLINK("http://slimages.macys.com/is/image/MCY/13422931 ")</f>
        <v xml:space="preserve">http://slimages.macys.com/is/image/MCY/13422931 </v>
      </c>
    </row>
    <row r="508" spans="1:12" ht="60.75" x14ac:dyDescent="0.25">
      <c r="A508" s="4" t="s">
        <v>13155</v>
      </c>
      <c r="B508" s="2" t="s">
        <v>1397</v>
      </c>
      <c r="C508" s="3">
        <v>1</v>
      </c>
      <c r="D508" s="5">
        <v>29.63</v>
      </c>
      <c r="E508" s="3" t="s">
        <v>4974</v>
      </c>
      <c r="F508" s="2" t="s">
        <v>74</v>
      </c>
      <c r="G508" s="6"/>
      <c r="H508" s="2" t="s">
        <v>312</v>
      </c>
      <c r="I508" s="2" t="s">
        <v>1398</v>
      </c>
      <c r="J508" s="2" t="s">
        <v>19</v>
      </c>
      <c r="K508" s="2" t="s">
        <v>13156</v>
      </c>
      <c r="L508" s="7" t="str">
        <f>HYPERLINK("http://slimages.macys.com/is/image/MCY/12849787 ")</f>
        <v xml:space="preserve">http://slimages.macys.com/is/image/MCY/12849787 </v>
      </c>
    </row>
    <row r="509" spans="1:12" ht="24.75" x14ac:dyDescent="0.25">
      <c r="A509" s="4" t="s">
        <v>13157</v>
      </c>
      <c r="B509" s="2" t="s">
        <v>1402</v>
      </c>
      <c r="C509" s="3">
        <v>1</v>
      </c>
      <c r="D509" s="5">
        <v>37.130000000000003</v>
      </c>
      <c r="E509" s="3" t="s">
        <v>1403</v>
      </c>
      <c r="F509" s="2" t="s">
        <v>376</v>
      </c>
      <c r="G509" s="6" t="s">
        <v>802</v>
      </c>
      <c r="H509" s="2" t="s">
        <v>312</v>
      </c>
      <c r="I509" s="2" t="s">
        <v>195</v>
      </c>
      <c r="J509" s="2" t="s">
        <v>19</v>
      </c>
      <c r="K509" s="2" t="s">
        <v>353</v>
      </c>
      <c r="L509" s="7" t="str">
        <f>HYPERLINK("http://slimages.macys.com/is/image/MCY/11934909 ")</f>
        <v xml:space="preserve">http://slimages.macys.com/is/image/MCY/11934909 </v>
      </c>
    </row>
    <row r="510" spans="1:12" ht="24.75" x14ac:dyDescent="0.25">
      <c r="A510" s="4" t="s">
        <v>13158</v>
      </c>
      <c r="B510" s="2" t="s">
        <v>13159</v>
      </c>
      <c r="C510" s="3">
        <v>1</v>
      </c>
      <c r="D510" s="5">
        <v>29.99</v>
      </c>
      <c r="E510" s="3" t="s">
        <v>13160</v>
      </c>
      <c r="F510" s="2" t="s">
        <v>26</v>
      </c>
      <c r="G510" s="6" t="s">
        <v>126</v>
      </c>
      <c r="H510" s="2" t="s">
        <v>9995</v>
      </c>
      <c r="I510" s="2" t="s">
        <v>1087</v>
      </c>
      <c r="J510" s="2" t="s">
        <v>19</v>
      </c>
      <c r="K510" s="2" t="s">
        <v>353</v>
      </c>
      <c r="L510" s="7" t="str">
        <f>HYPERLINK("http://slimages.macys.com/is/image/MCY/12067997 ")</f>
        <v xml:space="preserve">http://slimages.macys.com/is/image/MCY/12067997 </v>
      </c>
    </row>
    <row r="511" spans="1:12" ht="24.75" x14ac:dyDescent="0.25">
      <c r="A511" s="4" t="s">
        <v>13161</v>
      </c>
      <c r="B511" s="2" t="s">
        <v>1575</v>
      </c>
      <c r="C511" s="3">
        <v>1</v>
      </c>
      <c r="D511" s="5">
        <v>33.380000000000003</v>
      </c>
      <c r="E511" s="3" t="s">
        <v>13162</v>
      </c>
      <c r="F511" s="2" t="s">
        <v>15</v>
      </c>
      <c r="G511" s="6" t="s">
        <v>181</v>
      </c>
      <c r="H511" s="2" t="s">
        <v>194</v>
      </c>
      <c r="I511" s="2" t="s">
        <v>195</v>
      </c>
      <c r="J511" s="2" t="s">
        <v>19</v>
      </c>
      <c r="K511" s="2" t="s">
        <v>648</v>
      </c>
      <c r="L511" s="7" t="str">
        <f>HYPERLINK("http://slimages.macys.com/is/image/MCY/12950146 ")</f>
        <v xml:space="preserve">http://slimages.macys.com/is/image/MCY/12950146 </v>
      </c>
    </row>
    <row r="512" spans="1:12" ht="24.75" x14ac:dyDescent="0.25">
      <c r="A512" s="4" t="s">
        <v>13163</v>
      </c>
      <c r="B512" s="2" t="s">
        <v>1575</v>
      </c>
      <c r="C512" s="3">
        <v>1</v>
      </c>
      <c r="D512" s="5">
        <v>33.380000000000003</v>
      </c>
      <c r="E512" s="3" t="s">
        <v>13162</v>
      </c>
      <c r="F512" s="2" t="s">
        <v>64</v>
      </c>
      <c r="G512" s="6" t="s">
        <v>234</v>
      </c>
      <c r="H512" s="2" t="s">
        <v>194</v>
      </c>
      <c r="I512" s="2" t="s">
        <v>195</v>
      </c>
      <c r="J512" s="2" t="s">
        <v>19</v>
      </c>
      <c r="K512" s="2" t="s">
        <v>648</v>
      </c>
      <c r="L512" s="7" t="str">
        <f>HYPERLINK("http://slimages.macys.com/is/image/MCY/12950146 ")</f>
        <v xml:space="preserve">http://slimages.macys.com/is/image/MCY/12950146 </v>
      </c>
    </row>
    <row r="513" spans="1:12" ht="36.75" x14ac:dyDescent="0.25">
      <c r="A513" s="4" t="s">
        <v>13164</v>
      </c>
      <c r="B513" s="2" t="s">
        <v>1040</v>
      </c>
      <c r="C513" s="3">
        <v>1</v>
      </c>
      <c r="D513" s="5">
        <v>44.63</v>
      </c>
      <c r="E513" s="3" t="s">
        <v>1041</v>
      </c>
      <c r="F513" s="2" t="s">
        <v>74</v>
      </c>
      <c r="G513" s="6" t="s">
        <v>58</v>
      </c>
      <c r="H513" s="2" t="s">
        <v>246</v>
      </c>
      <c r="I513" s="2" t="s">
        <v>487</v>
      </c>
      <c r="J513" s="2" t="s">
        <v>19</v>
      </c>
      <c r="K513" s="2" t="s">
        <v>500</v>
      </c>
      <c r="L513" s="7" t="str">
        <f>HYPERLINK("http://slimages.macys.com/is/image/MCY/11231757 ")</f>
        <v xml:space="preserve">http://slimages.macys.com/is/image/MCY/11231757 </v>
      </c>
    </row>
    <row r="514" spans="1:12" ht="36.75" x14ac:dyDescent="0.25">
      <c r="A514" s="4" t="s">
        <v>13165</v>
      </c>
      <c r="B514" s="2" t="s">
        <v>1040</v>
      </c>
      <c r="C514" s="3">
        <v>1</v>
      </c>
      <c r="D514" s="5">
        <v>44.63</v>
      </c>
      <c r="E514" s="3" t="s">
        <v>1041</v>
      </c>
      <c r="F514" s="2" t="s">
        <v>26</v>
      </c>
      <c r="G514" s="6" t="s">
        <v>112</v>
      </c>
      <c r="H514" s="2" t="s">
        <v>246</v>
      </c>
      <c r="I514" s="2" t="s">
        <v>487</v>
      </c>
      <c r="J514" s="2" t="s">
        <v>19</v>
      </c>
      <c r="K514" s="2" t="s">
        <v>500</v>
      </c>
      <c r="L514" s="7" t="str">
        <f>HYPERLINK("http://slimages.macys.com/is/image/MCY/11231757 ")</f>
        <v xml:space="preserve">http://slimages.macys.com/is/image/MCY/11231757 </v>
      </c>
    </row>
    <row r="515" spans="1:12" ht="24.75" x14ac:dyDescent="0.25">
      <c r="A515" s="4" t="s">
        <v>1418</v>
      </c>
      <c r="B515" s="2" t="s">
        <v>1419</v>
      </c>
      <c r="C515" s="3">
        <v>1</v>
      </c>
      <c r="D515" s="5">
        <v>33.380000000000003</v>
      </c>
      <c r="E515" s="3" t="s">
        <v>1420</v>
      </c>
      <c r="F515" s="2" t="s">
        <v>15</v>
      </c>
      <c r="G515" s="6" t="s">
        <v>234</v>
      </c>
      <c r="H515" s="2" t="s">
        <v>194</v>
      </c>
      <c r="I515" s="2" t="s">
        <v>195</v>
      </c>
      <c r="J515" s="2" t="s">
        <v>19</v>
      </c>
      <c r="K515" s="2" t="s">
        <v>1082</v>
      </c>
      <c r="L515" s="7" t="str">
        <f>HYPERLINK("http://slimages.macys.com/is/image/MCY/12850874 ")</f>
        <v xml:space="preserve">http://slimages.macys.com/is/image/MCY/12850874 </v>
      </c>
    </row>
    <row r="516" spans="1:12" ht="24.75" x14ac:dyDescent="0.25">
      <c r="A516" s="4" t="s">
        <v>13166</v>
      </c>
      <c r="B516" s="2" t="s">
        <v>13167</v>
      </c>
      <c r="C516" s="3">
        <v>1</v>
      </c>
      <c r="D516" s="5">
        <v>29.63</v>
      </c>
      <c r="E516" s="3" t="s">
        <v>13168</v>
      </c>
      <c r="F516" s="2" t="s">
        <v>1322</v>
      </c>
      <c r="G516" s="6" t="s">
        <v>181</v>
      </c>
      <c r="H516" s="2" t="s">
        <v>182</v>
      </c>
      <c r="I516" s="2" t="s">
        <v>13169</v>
      </c>
      <c r="J516" s="2" t="s">
        <v>19</v>
      </c>
      <c r="K516" s="2" t="s">
        <v>13170</v>
      </c>
      <c r="L516" s="7" t="str">
        <f>HYPERLINK("http://slimages.macys.com/is/image/MCY/9657067 ")</f>
        <v xml:space="preserve">http://slimages.macys.com/is/image/MCY/9657067 </v>
      </c>
    </row>
    <row r="517" spans="1:12" ht="24.75" x14ac:dyDescent="0.25">
      <c r="A517" s="4" t="s">
        <v>13171</v>
      </c>
      <c r="B517" s="2" t="s">
        <v>10988</v>
      </c>
      <c r="C517" s="3">
        <v>1</v>
      </c>
      <c r="D517" s="5">
        <v>24.99</v>
      </c>
      <c r="E517" s="3" t="s">
        <v>13172</v>
      </c>
      <c r="F517" s="2" t="s">
        <v>26</v>
      </c>
      <c r="G517" s="6"/>
      <c r="H517" s="2" t="s">
        <v>1425</v>
      </c>
      <c r="I517" s="2" t="s">
        <v>1426</v>
      </c>
      <c r="J517" s="2" t="s">
        <v>19</v>
      </c>
      <c r="K517" s="2" t="s">
        <v>1431</v>
      </c>
      <c r="L517" s="7" t="str">
        <f>HYPERLINK("http://slimages.macys.com/is/image/MCY/11690378 ")</f>
        <v xml:space="preserve">http://slimages.macys.com/is/image/MCY/11690378 </v>
      </c>
    </row>
    <row r="518" spans="1:12" ht="24.75" x14ac:dyDescent="0.25">
      <c r="A518" s="4" t="s">
        <v>13173</v>
      </c>
      <c r="B518" s="2" t="s">
        <v>10985</v>
      </c>
      <c r="C518" s="3">
        <v>1</v>
      </c>
      <c r="D518" s="5">
        <v>24.99</v>
      </c>
      <c r="E518" s="3" t="s">
        <v>10986</v>
      </c>
      <c r="F518" s="2" t="s">
        <v>94</v>
      </c>
      <c r="G518" s="6" t="s">
        <v>181</v>
      </c>
      <c r="H518" s="2" t="s">
        <v>1473</v>
      </c>
      <c r="I518" s="2" t="s">
        <v>1426</v>
      </c>
      <c r="J518" s="2" t="s">
        <v>19</v>
      </c>
      <c r="K518" s="2" t="s">
        <v>1431</v>
      </c>
      <c r="L518" s="7" t="str">
        <f>HYPERLINK("http://slimages.macys.com/is/image/MCY/11755860 ")</f>
        <v xml:space="preserve">http://slimages.macys.com/is/image/MCY/11755860 </v>
      </c>
    </row>
    <row r="519" spans="1:12" ht="24.75" x14ac:dyDescent="0.25">
      <c r="A519" s="4" t="s">
        <v>13174</v>
      </c>
      <c r="B519" s="2" t="s">
        <v>10993</v>
      </c>
      <c r="C519" s="3">
        <v>1</v>
      </c>
      <c r="D519" s="5">
        <v>24.99</v>
      </c>
      <c r="E519" s="3" t="s">
        <v>10994</v>
      </c>
      <c r="F519" s="2" t="s">
        <v>820</v>
      </c>
      <c r="G519" s="6" t="s">
        <v>181</v>
      </c>
      <c r="H519" s="2" t="s">
        <v>1473</v>
      </c>
      <c r="I519" s="2" t="s">
        <v>1426</v>
      </c>
      <c r="J519" s="2" t="s">
        <v>19</v>
      </c>
      <c r="K519" s="2" t="s">
        <v>1431</v>
      </c>
      <c r="L519" s="7" t="str">
        <f>HYPERLINK("http://slimages.macys.com/is/image/MCY/11417735 ")</f>
        <v xml:space="preserve">http://slimages.macys.com/is/image/MCY/11417735 </v>
      </c>
    </row>
    <row r="520" spans="1:12" ht="24.75" x14ac:dyDescent="0.25">
      <c r="A520" s="4" t="s">
        <v>10982</v>
      </c>
      <c r="B520" s="2" t="s">
        <v>1429</v>
      </c>
      <c r="C520" s="3">
        <v>1</v>
      </c>
      <c r="D520" s="5">
        <v>24.99</v>
      </c>
      <c r="E520" s="3" t="s">
        <v>10983</v>
      </c>
      <c r="F520" s="2" t="s">
        <v>26</v>
      </c>
      <c r="G520" s="6" t="s">
        <v>154</v>
      </c>
      <c r="H520" s="2" t="s">
        <v>1473</v>
      </c>
      <c r="I520" s="2" t="s">
        <v>1426</v>
      </c>
      <c r="J520" s="2" t="s">
        <v>19</v>
      </c>
      <c r="K520" s="2" t="s">
        <v>247</v>
      </c>
      <c r="L520" s="7" t="str">
        <f>HYPERLINK("http://slimages.macys.com/is/image/MCY/10746131 ")</f>
        <v xml:space="preserve">http://slimages.macys.com/is/image/MCY/10746131 </v>
      </c>
    </row>
    <row r="521" spans="1:12" ht="24.75" x14ac:dyDescent="0.25">
      <c r="A521" s="4" t="s">
        <v>1428</v>
      </c>
      <c r="B521" s="2" t="s">
        <v>1429</v>
      </c>
      <c r="C521" s="3">
        <v>1</v>
      </c>
      <c r="D521" s="5">
        <v>24.99</v>
      </c>
      <c r="E521" s="3" t="s">
        <v>1430</v>
      </c>
      <c r="F521" s="2" t="s">
        <v>26</v>
      </c>
      <c r="G521" s="6"/>
      <c r="H521" s="2" t="s">
        <v>1425</v>
      </c>
      <c r="I521" s="2" t="s">
        <v>1426</v>
      </c>
      <c r="J521" s="2" t="s">
        <v>19</v>
      </c>
      <c r="K521" s="2" t="s">
        <v>1431</v>
      </c>
      <c r="L521" s="7" t="str">
        <f>HYPERLINK("http://slimages.macys.com/is/image/MCY/10746131 ")</f>
        <v xml:space="preserve">http://slimages.macys.com/is/image/MCY/10746131 </v>
      </c>
    </row>
    <row r="522" spans="1:12" ht="24.75" x14ac:dyDescent="0.25">
      <c r="A522" s="4" t="s">
        <v>12243</v>
      </c>
      <c r="B522" s="2" t="s">
        <v>2686</v>
      </c>
      <c r="C522" s="3">
        <v>1</v>
      </c>
      <c r="D522" s="5">
        <v>34.5</v>
      </c>
      <c r="E522" s="3">
        <v>100062503</v>
      </c>
      <c r="F522" s="2" t="s">
        <v>417</v>
      </c>
      <c r="G522" s="6" t="s">
        <v>112</v>
      </c>
      <c r="H522" s="2" t="s">
        <v>228</v>
      </c>
      <c r="I522" s="2" t="s">
        <v>229</v>
      </c>
      <c r="J522" s="2" t="s">
        <v>19</v>
      </c>
      <c r="K522" s="2" t="s">
        <v>253</v>
      </c>
      <c r="L522" s="7" t="str">
        <f>HYPERLINK("http://slimages.macys.com/is/image/MCY/12849901 ")</f>
        <v xml:space="preserve">http://slimages.macys.com/is/image/MCY/12849901 </v>
      </c>
    </row>
    <row r="523" spans="1:12" ht="24.75" x14ac:dyDescent="0.25">
      <c r="A523" s="4" t="s">
        <v>10995</v>
      </c>
      <c r="B523" s="2" t="s">
        <v>2686</v>
      </c>
      <c r="C523" s="3">
        <v>1</v>
      </c>
      <c r="D523" s="5">
        <v>34.5</v>
      </c>
      <c r="E523" s="3">
        <v>100062503</v>
      </c>
      <c r="F523" s="2" t="s">
        <v>417</v>
      </c>
      <c r="G523" s="6" t="s">
        <v>16</v>
      </c>
      <c r="H523" s="2" t="s">
        <v>228</v>
      </c>
      <c r="I523" s="2" t="s">
        <v>229</v>
      </c>
      <c r="J523" s="2" t="s">
        <v>19</v>
      </c>
      <c r="K523" s="2" t="s">
        <v>253</v>
      </c>
      <c r="L523" s="7" t="str">
        <f>HYPERLINK("http://slimages.macys.com/is/image/MCY/12849901 ")</f>
        <v xml:space="preserve">http://slimages.macys.com/is/image/MCY/12849901 </v>
      </c>
    </row>
    <row r="524" spans="1:12" ht="24.75" x14ac:dyDescent="0.25">
      <c r="A524" s="4" t="s">
        <v>13175</v>
      </c>
      <c r="B524" s="2" t="s">
        <v>2686</v>
      </c>
      <c r="C524" s="3">
        <v>1</v>
      </c>
      <c r="D524" s="5">
        <v>34.5</v>
      </c>
      <c r="E524" s="3">
        <v>100062503</v>
      </c>
      <c r="F524" s="2" t="s">
        <v>417</v>
      </c>
      <c r="G524" s="6" t="s">
        <v>27</v>
      </c>
      <c r="H524" s="2" t="s">
        <v>228</v>
      </c>
      <c r="I524" s="2" t="s">
        <v>229</v>
      </c>
      <c r="J524" s="2" t="s">
        <v>19</v>
      </c>
      <c r="K524" s="2" t="s">
        <v>253</v>
      </c>
      <c r="L524" s="7" t="str">
        <f>HYPERLINK("http://slimages.macys.com/is/image/MCY/12849901 ")</f>
        <v xml:space="preserve">http://slimages.macys.com/is/image/MCY/12849901 </v>
      </c>
    </row>
    <row r="525" spans="1:12" ht="24.75" x14ac:dyDescent="0.25">
      <c r="A525" s="4" t="s">
        <v>13176</v>
      </c>
      <c r="B525" s="2" t="s">
        <v>1444</v>
      </c>
      <c r="C525" s="3">
        <v>1</v>
      </c>
      <c r="D525" s="5">
        <v>34.880000000000003</v>
      </c>
      <c r="E525" s="3">
        <v>100042376</v>
      </c>
      <c r="F525" s="2" t="s">
        <v>566</v>
      </c>
      <c r="G525" s="6" t="s">
        <v>106</v>
      </c>
      <c r="H525" s="2" t="s">
        <v>194</v>
      </c>
      <c r="I525" s="2" t="s">
        <v>195</v>
      </c>
      <c r="J525" s="2" t="s">
        <v>19</v>
      </c>
      <c r="K525" s="2" t="s">
        <v>353</v>
      </c>
      <c r="L525" s="7" t="str">
        <f>HYPERLINK("http://slimages.macys.com/is/image/MCY/11764758 ")</f>
        <v xml:space="preserve">http://slimages.macys.com/is/image/MCY/11764758 </v>
      </c>
    </row>
    <row r="526" spans="1:12" ht="24.75" x14ac:dyDescent="0.25">
      <c r="A526" s="4" t="s">
        <v>13177</v>
      </c>
      <c r="B526" s="2" t="s">
        <v>1444</v>
      </c>
      <c r="C526" s="3">
        <v>1</v>
      </c>
      <c r="D526" s="5">
        <v>34.880000000000003</v>
      </c>
      <c r="E526" s="3">
        <v>100042376</v>
      </c>
      <c r="F526" s="2" t="s">
        <v>57</v>
      </c>
      <c r="G526" s="6" t="s">
        <v>58</v>
      </c>
      <c r="H526" s="2" t="s">
        <v>194</v>
      </c>
      <c r="I526" s="2" t="s">
        <v>195</v>
      </c>
      <c r="J526" s="2" t="s">
        <v>19</v>
      </c>
      <c r="K526" s="2" t="s">
        <v>353</v>
      </c>
      <c r="L526" s="7" t="str">
        <f>HYPERLINK("http://slimages.macys.com/is/image/MCY/11764758 ")</f>
        <v xml:space="preserve">http://slimages.macys.com/is/image/MCY/11764758 </v>
      </c>
    </row>
    <row r="527" spans="1:12" ht="24.75" x14ac:dyDescent="0.25">
      <c r="A527" s="4" t="s">
        <v>13178</v>
      </c>
      <c r="B527" s="2" t="s">
        <v>1444</v>
      </c>
      <c r="C527" s="3">
        <v>1</v>
      </c>
      <c r="D527" s="5">
        <v>34.880000000000003</v>
      </c>
      <c r="E527" s="3">
        <v>100042376</v>
      </c>
      <c r="F527" s="2" t="s">
        <v>566</v>
      </c>
      <c r="G527" s="6" t="s">
        <v>58</v>
      </c>
      <c r="H527" s="2" t="s">
        <v>194</v>
      </c>
      <c r="I527" s="2" t="s">
        <v>195</v>
      </c>
      <c r="J527" s="2" t="s">
        <v>19</v>
      </c>
      <c r="K527" s="2" t="s">
        <v>353</v>
      </c>
      <c r="L527" s="7" t="str">
        <f>HYPERLINK("http://slimages.macys.com/is/image/MCY/11764758 ")</f>
        <v xml:space="preserve">http://slimages.macys.com/is/image/MCY/11764758 </v>
      </c>
    </row>
    <row r="528" spans="1:12" ht="24.75" x14ac:dyDescent="0.25">
      <c r="A528" s="4" t="s">
        <v>2743</v>
      </c>
      <c r="B528" s="2" t="s">
        <v>1416</v>
      </c>
      <c r="C528" s="3">
        <v>1</v>
      </c>
      <c r="D528" s="5">
        <v>21.99</v>
      </c>
      <c r="E528" s="3" t="s">
        <v>1451</v>
      </c>
      <c r="F528" s="2" t="s">
        <v>79</v>
      </c>
      <c r="G528" s="6" t="s">
        <v>112</v>
      </c>
      <c r="H528" s="2" t="s">
        <v>194</v>
      </c>
      <c r="I528" s="2" t="s">
        <v>195</v>
      </c>
      <c r="J528" s="2" t="s">
        <v>19</v>
      </c>
      <c r="K528" s="2" t="s">
        <v>353</v>
      </c>
      <c r="L528" s="7" t="str">
        <f>HYPERLINK("http://slimages.macys.com/is/image/MCY/12033149 ")</f>
        <v xml:space="preserve">http://slimages.macys.com/is/image/MCY/12033149 </v>
      </c>
    </row>
    <row r="529" spans="1:12" ht="24.75" x14ac:dyDescent="0.25">
      <c r="A529" s="4" t="s">
        <v>13179</v>
      </c>
      <c r="B529" s="2" t="s">
        <v>1416</v>
      </c>
      <c r="C529" s="3">
        <v>1</v>
      </c>
      <c r="D529" s="5">
        <v>21.99</v>
      </c>
      <c r="E529" s="3" t="s">
        <v>1454</v>
      </c>
      <c r="F529" s="2" t="s">
        <v>1234</v>
      </c>
      <c r="G529" s="6" t="s">
        <v>141</v>
      </c>
      <c r="H529" s="2" t="s">
        <v>194</v>
      </c>
      <c r="I529" s="2" t="s">
        <v>195</v>
      </c>
      <c r="J529" s="2" t="s">
        <v>19</v>
      </c>
      <c r="K529" s="2" t="s">
        <v>353</v>
      </c>
      <c r="L529" s="7" t="str">
        <f>HYPERLINK("http://slimages.macys.com/is/image/MCY/8141463 ")</f>
        <v xml:space="preserve">http://slimages.macys.com/is/image/MCY/8141463 </v>
      </c>
    </row>
    <row r="530" spans="1:12" ht="24.75" x14ac:dyDescent="0.25">
      <c r="A530" s="4" t="s">
        <v>1453</v>
      </c>
      <c r="B530" s="2" t="s">
        <v>1416</v>
      </c>
      <c r="C530" s="3">
        <v>1</v>
      </c>
      <c r="D530" s="5">
        <v>21.99</v>
      </c>
      <c r="E530" s="3" t="s">
        <v>1454</v>
      </c>
      <c r="F530" s="2" t="s">
        <v>1234</v>
      </c>
      <c r="G530" s="6" t="s">
        <v>112</v>
      </c>
      <c r="H530" s="2" t="s">
        <v>194</v>
      </c>
      <c r="I530" s="2" t="s">
        <v>195</v>
      </c>
      <c r="J530" s="2" t="s">
        <v>19</v>
      </c>
      <c r="K530" s="2" t="s">
        <v>353</v>
      </c>
      <c r="L530" s="7" t="str">
        <f>HYPERLINK("http://slimages.macys.com/is/image/MCY/8141463 ")</f>
        <v xml:space="preserve">http://slimages.macys.com/is/image/MCY/8141463 </v>
      </c>
    </row>
    <row r="531" spans="1:12" ht="24.75" x14ac:dyDescent="0.25">
      <c r="A531" s="4" t="s">
        <v>1450</v>
      </c>
      <c r="B531" s="2" t="s">
        <v>1416</v>
      </c>
      <c r="C531" s="3">
        <v>2</v>
      </c>
      <c r="D531" s="5">
        <v>21.99</v>
      </c>
      <c r="E531" s="3" t="s">
        <v>1451</v>
      </c>
      <c r="F531" s="2" t="s">
        <v>79</v>
      </c>
      <c r="G531" s="6" t="s">
        <v>27</v>
      </c>
      <c r="H531" s="2" t="s">
        <v>194</v>
      </c>
      <c r="I531" s="2" t="s">
        <v>195</v>
      </c>
      <c r="J531" s="2" t="s">
        <v>19</v>
      </c>
      <c r="K531" s="2" t="s">
        <v>353</v>
      </c>
      <c r="L531" s="7" t="str">
        <f>HYPERLINK("http://slimages.macys.com/is/image/MCY/12033149 ")</f>
        <v xml:space="preserve">http://slimages.macys.com/is/image/MCY/12033149 </v>
      </c>
    </row>
    <row r="532" spans="1:12" ht="24.75" x14ac:dyDescent="0.25">
      <c r="A532" s="4" t="s">
        <v>6679</v>
      </c>
      <c r="B532" s="2" t="s">
        <v>1416</v>
      </c>
      <c r="C532" s="3">
        <v>1</v>
      </c>
      <c r="D532" s="5">
        <v>21.99</v>
      </c>
      <c r="E532" s="3" t="s">
        <v>1451</v>
      </c>
      <c r="F532" s="2" t="s">
        <v>79</v>
      </c>
      <c r="G532" s="6" t="s">
        <v>22</v>
      </c>
      <c r="H532" s="2" t="s">
        <v>194</v>
      </c>
      <c r="I532" s="2" t="s">
        <v>195</v>
      </c>
      <c r="J532" s="2" t="s">
        <v>19</v>
      </c>
      <c r="K532" s="2" t="s">
        <v>353</v>
      </c>
      <c r="L532" s="7" t="str">
        <f>HYPERLINK("http://slimages.macys.com/is/image/MCY/12033149 ")</f>
        <v xml:space="preserve">http://slimages.macys.com/is/image/MCY/12033149 </v>
      </c>
    </row>
    <row r="533" spans="1:12" ht="24.75" x14ac:dyDescent="0.25">
      <c r="A533" s="4" t="s">
        <v>9119</v>
      </c>
      <c r="B533" s="2" t="s">
        <v>1416</v>
      </c>
      <c r="C533" s="3">
        <v>1</v>
      </c>
      <c r="D533" s="5">
        <v>21.99</v>
      </c>
      <c r="E533" s="3" t="s">
        <v>1451</v>
      </c>
      <c r="F533" s="2" t="s">
        <v>79</v>
      </c>
      <c r="G533" s="6" t="s">
        <v>141</v>
      </c>
      <c r="H533" s="2" t="s">
        <v>194</v>
      </c>
      <c r="I533" s="2" t="s">
        <v>195</v>
      </c>
      <c r="J533" s="2" t="s">
        <v>19</v>
      </c>
      <c r="K533" s="2" t="s">
        <v>353</v>
      </c>
      <c r="L533" s="7" t="str">
        <f>HYPERLINK("http://slimages.macys.com/is/image/MCY/12033149 ")</f>
        <v xml:space="preserve">http://slimages.macys.com/is/image/MCY/12033149 </v>
      </c>
    </row>
    <row r="534" spans="1:12" ht="24.75" x14ac:dyDescent="0.25">
      <c r="A534" s="4" t="s">
        <v>3920</v>
      </c>
      <c r="B534" s="2" t="s">
        <v>1416</v>
      </c>
      <c r="C534" s="3">
        <v>3</v>
      </c>
      <c r="D534" s="5">
        <v>21.99</v>
      </c>
      <c r="E534" s="3" t="s">
        <v>1451</v>
      </c>
      <c r="F534" s="2" t="s">
        <v>79</v>
      </c>
      <c r="G534" s="6" t="s">
        <v>16</v>
      </c>
      <c r="H534" s="2" t="s">
        <v>194</v>
      </c>
      <c r="I534" s="2" t="s">
        <v>195</v>
      </c>
      <c r="J534" s="2" t="s">
        <v>19</v>
      </c>
      <c r="K534" s="2" t="s">
        <v>353</v>
      </c>
      <c r="L534" s="7" t="str">
        <f>HYPERLINK("http://slimages.macys.com/is/image/MCY/12033149 ")</f>
        <v xml:space="preserve">http://slimages.macys.com/is/image/MCY/12033149 </v>
      </c>
    </row>
    <row r="535" spans="1:12" ht="24.75" x14ac:dyDescent="0.25">
      <c r="A535" s="4" t="s">
        <v>13180</v>
      </c>
      <c r="B535" s="2" t="s">
        <v>1416</v>
      </c>
      <c r="C535" s="3">
        <v>1</v>
      </c>
      <c r="D535" s="5">
        <v>21.99</v>
      </c>
      <c r="E535" s="3" t="s">
        <v>1454</v>
      </c>
      <c r="F535" s="2" t="s">
        <v>1234</v>
      </c>
      <c r="G535" s="6" t="s">
        <v>58</v>
      </c>
      <c r="H535" s="2" t="s">
        <v>194</v>
      </c>
      <c r="I535" s="2" t="s">
        <v>195</v>
      </c>
      <c r="J535" s="2" t="s">
        <v>19</v>
      </c>
      <c r="K535" s="2" t="s">
        <v>353</v>
      </c>
      <c r="L535" s="7" t="str">
        <f>HYPERLINK("http://slimages.macys.com/is/image/MCY/8141463 ")</f>
        <v xml:space="preserve">http://slimages.macys.com/is/image/MCY/8141463 </v>
      </c>
    </row>
    <row r="536" spans="1:12" ht="24.75" x14ac:dyDescent="0.25">
      <c r="A536" s="4" t="s">
        <v>13181</v>
      </c>
      <c r="B536" s="2" t="s">
        <v>9646</v>
      </c>
      <c r="C536" s="3">
        <v>1</v>
      </c>
      <c r="D536" s="5">
        <v>24.99</v>
      </c>
      <c r="E536" s="3" t="s">
        <v>9647</v>
      </c>
      <c r="F536" s="2" t="s">
        <v>74</v>
      </c>
      <c r="G536" s="6" t="s">
        <v>156</v>
      </c>
      <c r="H536" s="2" t="s">
        <v>1473</v>
      </c>
      <c r="I536" s="2" t="s">
        <v>1426</v>
      </c>
      <c r="J536" s="2" t="s">
        <v>19</v>
      </c>
      <c r="K536" s="2" t="s">
        <v>409</v>
      </c>
      <c r="L536" s="7" t="str">
        <f>HYPERLINK("http://slimages.macys.com/is/image/MCY/11515235 ")</f>
        <v xml:space="preserve">http://slimages.macys.com/is/image/MCY/11515235 </v>
      </c>
    </row>
    <row r="537" spans="1:12" ht="24.75" x14ac:dyDescent="0.25">
      <c r="A537" s="4" t="s">
        <v>13182</v>
      </c>
      <c r="B537" s="2" t="s">
        <v>13183</v>
      </c>
      <c r="C537" s="3">
        <v>1</v>
      </c>
      <c r="D537" s="5">
        <v>36.5</v>
      </c>
      <c r="E537" s="3" t="s">
        <v>13184</v>
      </c>
      <c r="F537" s="2" t="s">
        <v>74</v>
      </c>
      <c r="G537" s="6" t="s">
        <v>219</v>
      </c>
      <c r="H537" s="2" t="s">
        <v>188</v>
      </c>
      <c r="I537" s="2" t="s">
        <v>189</v>
      </c>
      <c r="J537" s="2" t="s">
        <v>19</v>
      </c>
      <c r="K537" s="2" t="s">
        <v>160</v>
      </c>
      <c r="L537" s="7" t="str">
        <f>HYPERLINK("http://slimages.macys.com/is/image/MCY/9156390 ")</f>
        <v xml:space="preserve">http://slimages.macys.com/is/image/MCY/9156390 </v>
      </c>
    </row>
    <row r="538" spans="1:12" ht="24.75" x14ac:dyDescent="0.25">
      <c r="A538" s="4" t="s">
        <v>13185</v>
      </c>
      <c r="B538" s="2" t="s">
        <v>13186</v>
      </c>
      <c r="C538" s="3">
        <v>1</v>
      </c>
      <c r="D538" s="5">
        <v>37.130000000000003</v>
      </c>
      <c r="E538" s="3" t="s">
        <v>13187</v>
      </c>
      <c r="F538" s="2" t="s">
        <v>64</v>
      </c>
      <c r="G538" s="6" t="s">
        <v>234</v>
      </c>
      <c r="H538" s="2" t="s">
        <v>246</v>
      </c>
      <c r="I538" s="2" t="s">
        <v>189</v>
      </c>
      <c r="J538" s="2" t="s">
        <v>19</v>
      </c>
      <c r="K538" s="2" t="s">
        <v>160</v>
      </c>
      <c r="L538" s="7" t="str">
        <f>HYPERLINK("http://slimages.macys.com/is/image/MCY/14369858 ")</f>
        <v xml:space="preserve">http://slimages.macys.com/is/image/MCY/14369858 </v>
      </c>
    </row>
    <row r="539" spans="1:12" ht="24.75" x14ac:dyDescent="0.25">
      <c r="A539" s="4" t="s">
        <v>2744</v>
      </c>
      <c r="B539" s="2" t="s">
        <v>1462</v>
      </c>
      <c r="C539" s="3">
        <v>1</v>
      </c>
      <c r="D539" s="5">
        <v>37.130000000000003</v>
      </c>
      <c r="E539" s="3" t="s">
        <v>1463</v>
      </c>
      <c r="F539" s="2" t="s">
        <v>15</v>
      </c>
      <c r="G539" s="6" t="s">
        <v>154</v>
      </c>
      <c r="H539" s="2" t="s">
        <v>194</v>
      </c>
      <c r="I539" s="2" t="s">
        <v>1112</v>
      </c>
      <c r="J539" s="2" t="s">
        <v>19</v>
      </c>
      <c r="K539" s="2" t="s">
        <v>409</v>
      </c>
      <c r="L539" s="7" t="str">
        <f>HYPERLINK("http://slimages.macys.com/is/image/MCY/8106050 ")</f>
        <v xml:space="preserve">http://slimages.macys.com/is/image/MCY/8106050 </v>
      </c>
    </row>
    <row r="540" spans="1:12" ht="24.75" x14ac:dyDescent="0.25">
      <c r="A540" s="4" t="s">
        <v>13188</v>
      </c>
      <c r="B540" s="2" t="s">
        <v>1482</v>
      </c>
      <c r="C540" s="3">
        <v>1</v>
      </c>
      <c r="D540" s="5">
        <v>29.63</v>
      </c>
      <c r="E540" s="3" t="s">
        <v>2749</v>
      </c>
      <c r="F540" s="2" t="s">
        <v>15</v>
      </c>
      <c r="G540" s="6" t="s">
        <v>156</v>
      </c>
      <c r="H540" s="2" t="s">
        <v>194</v>
      </c>
      <c r="I540" s="2" t="s">
        <v>195</v>
      </c>
      <c r="J540" s="2" t="s">
        <v>19</v>
      </c>
      <c r="K540" s="2" t="s">
        <v>1082</v>
      </c>
      <c r="L540" s="7" t="str">
        <f>HYPERLINK("http://slimages.macys.com/is/image/MCY/12404964 ")</f>
        <v xml:space="preserve">http://slimages.macys.com/is/image/MCY/12404964 </v>
      </c>
    </row>
    <row r="541" spans="1:12" ht="24.75" x14ac:dyDescent="0.25">
      <c r="A541" s="4" t="s">
        <v>2755</v>
      </c>
      <c r="B541" s="2" t="s">
        <v>1465</v>
      </c>
      <c r="C541" s="3">
        <v>1</v>
      </c>
      <c r="D541" s="5">
        <v>34.880000000000003</v>
      </c>
      <c r="E541" s="3">
        <v>100054394</v>
      </c>
      <c r="F541" s="2" t="s">
        <v>74</v>
      </c>
      <c r="G541" s="6" t="s">
        <v>16</v>
      </c>
      <c r="H541" s="2" t="s">
        <v>194</v>
      </c>
      <c r="I541" s="2" t="s">
        <v>195</v>
      </c>
      <c r="J541" s="2" t="s">
        <v>19</v>
      </c>
      <c r="K541" s="2" t="s">
        <v>353</v>
      </c>
      <c r="L541" s="7" t="str">
        <f>HYPERLINK("http://slimages.macys.com/is/image/MCY/12404668 ")</f>
        <v xml:space="preserve">http://slimages.macys.com/is/image/MCY/12404668 </v>
      </c>
    </row>
    <row r="542" spans="1:12" ht="24.75" x14ac:dyDescent="0.25">
      <c r="A542" s="4" t="s">
        <v>11019</v>
      </c>
      <c r="B542" s="2" t="s">
        <v>11020</v>
      </c>
      <c r="C542" s="3">
        <v>1</v>
      </c>
      <c r="D542" s="5">
        <v>24.99</v>
      </c>
      <c r="E542" s="3" t="s">
        <v>11021</v>
      </c>
      <c r="F542" s="2" t="s">
        <v>199</v>
      </c>
      <c r="G542" s="6" t="s">
        <v>219</v>
      </c>
      <c r="H542" s="2" t="s">
        <v>1425</v>
      </c>
      <c r="I542" s="2" t="s">
        <v>1469</v>
      </c>
      <c r="J542" s="2" t="s">
        <v>19</v>
      </c>
      <c r="K542" s="2" t="s">
        <v>495</v>
      </c>
      <c r="L542" s="7" t="str">
        <f>HYPERLINK("http://slimages.macys.com/is/image/MCY/14824963 ")</f>
        <v xml:space="preserve">http://slimages.macys.com/is/image/MCY/14824963 </v>
      </c>
    </row>
    <row r="543" spans="1:12" ht="24.75" x14ac:dyDescent="0.25">
      <c r="A543" s="4" t="s">
        <v>11022</v>
      </c>
      <c r="B543" s="2" t="s">
        <v>11020</v>
      </c>
      <c r="C543" s="3">
        <v>3</v>
      </c>
      <c r="D543" s="5">
        <v>24.99</v>
      </c>
      <c r="E543" s="3" t="s">
        <v>11021</v>
      </c>
      <c r="F543" s="2" t="s">
        <v>199</v>
      </c>
      <c r="G543" s="6"/>
      <c r="H543" s="2" t="s">
        <v>1425</v>
      </c>
      <c r="I543" s="2" t="s">
        <v>1469</v>
      </c>
      <c r="J543" s="2" t="s">
        <v>19</v>
      </c>
      <c r="K543" s="2" t="s">
        <v>495</v>
      </c>
      <c r="L543" s="7" t="str">
        <f>HYPERLINK("http://slimages.macys.com/is/image/MCY/14824963 ")</f>
        <v xml:space="preserve">http://slimages.macys.com/is/image/MCY/14824963 </v>
      </c>
    </row>
    <row r="544" spans="1:12" ht="24.75" x14ac:dyDescent="0.25">
      <c r="A544" s="4" t="s">
        <v>13189</v>
      </c>
      <c r="B544" s="2" t="s">
        <v>11020</v>
      </c>
      <c r="C544" s="3">
        <v>1</v>
      </c>
      <c r="D544" s="5">
        <v>24.99</v>
      </c>
      <c r="E544" s="3" t="s">
        <v>11021</v>
      </c>
      <c r="F544" s="2" t="s">
        <v>199</v>
      </c>
      <c r="G544" s="6" t="s">
        <v>187</v>
      </c>
      <c r="H544" s="2" t="s">
        <v>1425</v>
      </c>
      <c r="I544" s="2" t="s">
        <v>1469</v>
      </c>
      <c r="J544" s="2" t="s">
        <v>19</v>
      </c>
      <c r="K544" s="2" t="s">
        <v>495</v>
      </c>
      <c r="L544" s="7" t="str">
        <f>HYPERLINK("http://slimages.macys.com/is/image/MCY/14824963 ")</f>
        <v xml:space="preserve">http://slimages.macys.com/is/image/MCY/14824963 </v>
      </c>
    </row>
    <row r="545" spans="1:12" ht="24.75" x14ac:dyDescent="0.25">
      <c r="A545" s="4" t="s">
        <v>13190</v>
      </c>
      <c r="B545" s="2" t="s">
        <v>13191</v>
      </c>
      <c r="C545" s="3">
        <v>1</v>
      </c>
      <c r="D545" s="5">
        <v>24.99</v>
      </c>
      <c r="E545" s="3" t="s">
        <v>13192</v>
      </c>
      <c r="F545" s="2" t="s">
        <v>74</v>
      </c>
      <c r="G545" s="6" t="s">
        <v>234</v>
      </c>
      <c r="H545" s="2" t="s">
        <v>1522</v>
      </c>
      <c r="I545" s="2" t="s">
        <v>1469</v>
      </c>
      <c r="J545" s="2" t="s">
        <v>19</v>
      </c>
      <c r="K545" s="2" t="s">
        <v>495</v>
      </c>
      <c r="L545" s="7" t="str">
        <f>HYPERLINK("http://slimages.macys.com/is/image/MCY/13382510 ")</f>
        <v xml:space="preserve">http://slimages.macys.com/is/image/MCY/13382510 </v>
      </c>
    </row>
    <row r="546" spans="1:12" ht="24.75" x14ac:dyDescent="0.25">
      <c r="A546" s="4" t="s">
        <v>5942</v>
      </c>
      <c r="B546" s="2" t="s">
        <v>2759</v>
      </c>
      <c r="C546" s="3">
        <v>1</v>
      </c>
      <c r="D546" s="5">
        <v>24.99</v>
      </c>
      <c r="E546" s="3" t="s">
        <v>2760</v>
      </c>
      <c r="F546" s="2" t="s">
        <v>15</v>
      </c>
      <c r="G546" s="6" t="s">
        <v>219</v>
      </c>
      <c r="H546" s="2" t="s">
        <v>1425</v>
      </c>
      <c r="I546" s="2" t="s">
        <v>1469</v>
      </c>
      <c r="J546" s="2" t="s">
        <v>19</v>
      </c>
      <c r="K546" s="2" t="s">
        <v>495</v>
      </c>
      <c r="L546" s="7" t="str">
        <f>HYPERLINK("http://slimages.macys.com/is/image/MCY/12650081 ")</f>
        <v xml:space="preserve">http://slimages.macys.com/is/image/MCY/12650081 </v>
      </c>
    </row>
    <row r="547" spans="1:12" ht="24.75" x14ac:dyDescent="0.25">
      <c r="A547" s="4" t="s">
        <v>13193</v>
      </c>
      <c r="B547" s="2" t="s">
        <v>1467</v>
      </c>
      <c r="C547" s="3">
        <v>1</v>
      </c>
      <c r="D547" s="5">
        <v>24.99</v>
      </c>
      <c r="E547" s="3" t="s">
        <v>13194</v>
      </c>
      <c r="F547" s="2" t="s">
        <v>33</v>
      </c>
      <c r="G547" s="6" t="s">
        <v>245</v>
      </c>
      <c r="H547" s="2" t="s">
        <v>1522</v>
      </c>
      <c r="I547" s="2" t="s">
        <v>1469</v>
      </c>
      <c r="J547" s="2" t="s">
        <v>19</v>
      </c>
      <c r="K547" s="2" t="s">
        <v>495</v>
      </c>
      <c r="L547" s="7" t="str">
        <f>HYPERLINK("http://slimages.macys.com/is/image/MCY/11989539 ")</f>
        <v xml:space="preserve">http://slimages.macys.com/is/image/MCY/11989539 </v>
      </c>
    </row>
    <row r="548" spans="1:12" ht="24.75" x14ac:dyDescent="0.25">
      <c r="A548" s="4" t="s">
        <v>13195</v>
      </c>
      <c r="B548" s="2" t="s">
        <v>1467</v>
      </c>
      <c r="C548" s="3">
        <v>2</v>
      </c>
      <c r="D548" s="5">
        <v>24.99</v>
      </c>
      <c r="E548" s="3" t="s">
        <v>13194</v>
      </c>
      <c r="F548" s="2" t="s">
        <v>33</v>
      </c>
      <c r="G548" s="6" t="s">
        <v>234</v>
      </c>
      <c r="H548" s="2" t="s">
        <v>1522</v>
      </c>
      <c r="I548" s="2" t="s">
        <v>1469</v>
      </c>
      <c r="J548" s="2" t="s">
        <v>19</v>
      </c>
      <c r="K548" s="2" t="s">
        <v>495</v>
      </c>
      <c r="L548" s="7" t="str">
        <f>HYPERLINK("http://slimages.macys.com/is/image/MCY/11989539 ")</f>
        <v xml:space="preserve">http://slimages.macys.com/is/image/MCY/11989539 </v>
      </c>
    </row>
    <row r="549" spans="1:12" ht="24.75" x14ac:dyDescent="0.25">
      <c r="A549" s="4" t="s">
        <v>13196</v>
      </c>
      <c r="B549" s="2" t="s">
        <v>1467</v>
      </c>
      <c r="C549" s="3">
        <v>1</v>
      </c>
      <c r="D549" s="5">
        <v>24.99</v>
      </c>
      <c r="E549" s="3" t="s">
        <v>13194</v>
      </c>
      <c r="F549" s="2" t="s">
        <v>33</v>
      </c>
      <c r="G549" s="6" t="s">
        <v>156</v>
      </c>
      <c r="H549" s="2" t="s">
        <v>1522</v>
      </c>
      <c r="I549" s="2" t="s">
        <v>1469</v>
      </c>
      <c r="J549" s="2" t="s">
        <v>19</v>
      </c>
      <c r="K549" s="2" t="s">
        <v>495</v>
      </c>
      <c r="L549" s="7" t="str">
        <f>HYPERLINK("http://slimages.macys.com/is/image/MCY/11989539 ")</f>
        <v xml:space="preserve">http://slimages.macys.com/is/image/MCY/11989539 </v>
      </c>
    </row>
    <row r="550" spans="1:12" ht="24.75" x14ac:dyDescent="0.25">
      <c r="A550" s="4" t="s">
        <v>5941</v>
      </c>
      <c r="B550" s="2" t="s">
        <v>1471</v>
      </c>
      <c r="C550" s="3">
        <v>1</v>
      </c>
      <c r="D550" s="5">
        <v>26.99</v>
      </c>
      <c r="E550" s="3" t="s">
        <v>1472</v>
      </c>
      <c r="F550" s="2" t="s">
        <v>15</v>
      </c>
      <c r="G550" s="6" t="s">
        <v>22</v>
      </c>
      <c r="H550" s="2" t="s">
        <v>1473</v>
      </c>
      <c r="I550" s="2" t="s">
        <v>1426</v>
      </c>
      <c r="J550" s="2" t="s">
        <v>19</v>
      </c>
      <c r="K550" s="2" t="s">
        <v>353</v>
      </c>
      <c r="L550" s="7" t="str">
        <f>HYPERLINK("http://slimages.macys.com/is/image/MCY/11989623 ")</f>
        <v xml:space="preserve">http://slimages.macys.com/is/image/MCY/11989623 </v>
      </c>
    </row>
    <row r="551" spans="1:12" ht="24.75" x14ac:dyDescent="0.25">
      <c r="A551" s="4" t="s">
        <v>13197</v>
      </c>
      <c r="B551" s="2" t="s">
        <v>13198</v>
      </c>
      <c r="C551" s="3">
        <v>1</v>
      </c>
      <c r="D551" s="5">
        <v>29.99</v>
      </c>
      <c r="E551" s="3" t="s">
        <v>13199</v>
      </c>
      <c r="F551" s="2" t="s">
        <v>225</v>
      </c>
      <c r="G551" s="6" t="s">
        <v>934</v>
      </c>
      <c r="H551" s="2" t="s">
        <v>9995</v>
      </c>
      <c r="I551" s="2" t="s">
        <v>1087</v>
      </c>
      <c r="J551" s="2" t="s">
        <v>19</v>
      </c>
      <c r="K551" s="2" t="s">
        <v>353</v>
      </c>
      <c r="L551" s="7" t="str">
        <f>HYPERLINK("http://slimages.macys.com/is/image/MCY/12271587 ")</f>
        <v xml:space="preserve">http://slimages.macys.com/is/image/MCY/12271587 </v>
      </c>
    </row>
    <row r="552" spans="1:12" ht="24.75" x14ac:dyDescent="0.25">
      <c r="A552" s="4" t="s">
        <v>13200</v>
      </c>
      <c r="B552" s="2" t="s">
        <v>13198</v>
      </c>
      <c r="C552" s="3">
        <v>1</v>
      </c>
      <c r="D552" s="5">
        <v>29.99</v>
      </c>
      <c r="E552" s="3" t="s">
        <v>13201</v>
      </c>
      <c r="F552" s="2" t="s">
        <v>74</v>
      </c>
      <c r="G552" s="6" t="s">
        <v>336</v>
      </c>
      <c r="H552" s="2" t="s">
        <v>9995</v>
      </c>
      <c r="I552" s="2" t="s">
        <v>1087</v>
      </c>
      <c r="J552" s="2" t="s">
        <v>19</v>
      </c>
      <c r="K552" s="2" t="s">
        <v>353</v>
      </c>
      <c r="L552" s="7" t="str">
        <f>HYPERLINK("http://slimages.macys.com/is/image/MCY/12271587 ")</f>
        <v xml:space="preserve">http://slimages.macys.com/is/image/MCY/12271587 </v>
      </c>
    </row>
    <row r="553" spans="1:12" ht="24.75" x14ac:dyDescent="0.25">
      <c r="A553" s="4" t="s">
        <v>13202</v>
      </c>
      <c r="B553" s="2" t="s">
        <v>12263</v>
      </c>
      <c r="C553" s="3">
        <v>1</v>
      </c>
      <c r="D553" s="5">
        <v>33.380000000000003</v>
      </c>
      <c r="E553" s="3" t="s">
        <v>12264</v>
      </c>
      <c r="F553" s="2" t="s">
        <v>64</v>
      </c>
      <c r="G553" s="6" t="s">
        <v>181</v>
      </c>
      <c r="H553" s="2" t="s">
        <v>246</v>
      </c>
      <c r="I553" s="2" t="s">
        <v>189</v>
      </c>
      <c r="J553" s="2" t="s">
        <v>19</v>
      </c>
      <c r="K553" s="2" t="s">
        <v>160</v>
      </c>
      <c r="L553" s="7" t="str">
        <f>HYPERLINK("http://slimages.macys.com/is/image/MCY/12934811 ")</f>
        <v xml:space="preserve">http://slimages.macys.com/is/image/MCY/12934811 </v>
      </c>
    </row>
    <row r="554" spans="1:12" ht="24.75" x14ac:dyDescent="0.25">
      <c r="A554" s="4" t="s">
        <v>13203</v>
      </c>
      <c r="B554" s="2" t="s">
        <v>13204</v>
      </c>
      <c r="C554" s="3">
        <v>1</v>
      </c>
      <c r="D554" s="5">
        <v>25.88</v>
      </c>
      <c r="E554" s="3" t="s">
        <v>13205</v>
      </c>
      <c r="F554" s="2" t="s">
        <v>64</v>
      </c>
      <c r="G554" s="6" t="s">
        <v>234</v>
      </c>
      <c r="H554" s="2" t="s">
        <v>284</v>
      </c>
      <c r="I554" s="2" t="s">
        <v>11080</v>
      </c>
      <c r="J554" s="2" t="s">
        <v>19</v>
      </c>
      <c r="K554" s="2" t="s">
        <v>353</v>
      </c>
      <c r="L554" s="7" t="str">
        <f>HYPERLINK("http://slimages.macys.com/is/image/MCY/14377661 ")</f>
        <v xml:space="preserve">http://slimages.macys.com/is/image/MCY/14377661 </v>
      </c>
    </row>
    <row r="555" spans="1:12" ht="36.75" x14ac:dyDescent="0.25">
      <c r="A555" s="4" t="s">
        <v>2769</v>
      </c>
      <c r="B555" s="2" t="s">
        <v>1482</v>
      </c>
      <c r="C555" s="3">
        <v>1</v>
      </c>
      <c r="D555" s="5">
        <v>29.63</v>
      </c>
      <c r="E555" s="3" t="s">
        <v>2766</v>
      </c>
      <c r="F555" s="2" t="s">
        <v>252</v>
      </c>
      <c r="G555" s="6"/>
      <c r="H555" s="2" t="s">
        <v>312</v>
      </c>
      <c r="I555" s="2" t="s">
        <v>195</v>
      </c>
      <c r="J555" s="2" t="s">
        <v>19</v>
      </c>
      <c r="K555" s="2" t="s">
        <v>2767</v>
      </c>
      <c r="L555" s="7" t="str">
        <f>HYPERLINK("http://slimages.macys.com/is/image/MCY/12734370 ")</f>
        <v xml:space="preserve">http://slimages.macys.com/is/image/MCY/12734370 </v>
      </c>
    </row>
    <row r="556" spans="1:12" ht="24.75" x14ac:dyDescent="0.25">
      <c r="A556" s="4" t="s">
        <v>13206</v>
      </c>
      <c r="B556" s="2" t="s">
        <v>13207</v>
      </c>
      <c r="C556" s="3">
        <v>1</v>
      </c>
      <c r="D556" s="5">
        <v>37.130000000000003</v>
      </c>
      <c r="E556" s="3" t="s">
        <v>13208</v>
      </c>
      <c r="F556" s="2" t="s">
        <v>413</v>
      </c>
      <c r="G556" s="6" t="s">
        <v>200</v>
      </c>
      <c r="H556" s="2" t="s">
        <v>284</v>
      </c>
      <c r="I556" s="2" t="s">
        <v>285</v>
      </c>
      <c r="J556" s="2" t="s">
        <v>19</v>
      </c>
      <c r="K556" s="2" t="s">
        <v>160</v>
      </c>
      <c r="L556" s="7" t="str">
        <f>HYPERLINK("http://slimages.macys.com/is/image/MCY/12285255 ")</f>
        <v xml:space="preserve">http://slimages.macys.com/is/image/MCY/12285255 </v>
      </c>
    </row>
    <row r="557" spans="1:12" ht="24.75" x14ac:dyDescent="0.25">
      <c r="A557" s="4" t="s">
        <v>7537</v>
      </c>
      <c r="B557" s="2" t="s">
        <v>2775</v>
      </c>
      <c r="C557" s="3">
        <v>1</v>
      </c>
      <c r="D557" s="5">
        <v>34.5</v>
      </c>
      <c r="E557" s="3">
        <v>100053906</v>
      </c>
      <c r="F557" s="2" t="s">
        <v>89</v>
      </c>
      <c r="G557" s="6" t="s">
        <v>106</v>
      </c>
      <c r="H557" s="2" t="s">
        <v>228</v>
      </c>
      <c r="I557" s="2" t="s">
        <v>857</v>
      </c>
      <c r="J557" s="2" t="s">
        <v>19</v>
      </c>
      <c r="K557" s="2" t="s">
        <v>338</v>
      </c>
      <c r="L557" s="7" t="str">
        <f>HYPERLINK("http://slimages.macys.com/is/image/MCY/12143886 ")</f>
        <v xml:space="preserve">http://slimages.macys.com/is/image/MCY/12143886 </v>
      </c>
    </row>
    <row r="558" spans="1:12" ht="24.75" x14ac:dyDescent="0.25">
      <c r="A558" s="4" t="s">
        <v>13209</v>
      </c>
      <c r="B558" s="2" t="s">
        <v>948</v>
      </c>
      <c r="C558" s="3">
        <v>1</v>
      </c>
      <c r="D558" s="5">
        <v>34.880000000000003</v>
      </c>
      <c r="E558" s="3">
        <v>100038962</v>
      </c>
      <c r="F558" s="2" t="s">
        <v>74</v>
      </c>
      <c r="G558" s="6" t="s">
        <v>58</v>
      </c>
      <c r="H558" s="2" t="s">
        <v>194</v>
      </c>
      <c r="I558" s="2" t="s">
        <v>195</v>
      </c>
      <c r="J558" s="2" t="s">
        <v>19</v>
      </c>
      <c r="K558" s="2" t="s">
        <v>353</v>
      </c>
      <c r="L558" s="7" t="str">
        <f>HYPERLINK("http://slimages.macys.com/is/image/MCY/11145019 ")</f>
        <v xml:space="preserve">http://slimages.macys.com/is/image/MCY/11145019 </v>
      </c>
    </row>
    <row r="559" spans="1:12" ht="24.75" x14ac:dyDescent="0.25">
      <c r="A559" s="4" t="s">
        <v>13210</v>
      </c>
      <c r="B559" s="2" t="s">
        <v>13211</v>
      </c>
      <c r="C559" s="3">
        <v>1</v>
      </c>
      <c r="D559" s="5">
        <v>30</v>
      </c>
      <c r="E559" s="3" t="s">
        <v>13212</v>
      </c>
      <c r="F559" s="2" t="s">
        <v>26</v>
      </c>
      <c r="G559" s="6" t="s">
        <v>5027</v>
      </c>
      <c r="H559" s="2" t="s">
        <v>716</v>
      </c>
      <c r="I559" s="2" t="s">
        <v>717</v>
      </c>
      <c r="J559" s="2" t="s">
        <v>19</v>
      </c>
      <c r="K559" s="2" t="s">
        <v>648</v>
      </c>
      <c r="L559" s="7" t="str">
        <f>HYPERLINK("http://slimages.macys.com/is/image/MCY/11523684 ")</f>
        <v xml:space="preserve">http://slimages.macys.com/is/image/MCY/11523684 </v>
      </c>
    </row>
    <row r="560" spans="1:12" ht="24.75" x14ac:dyDescent="0.25">
      <c r="A560" s="4" t="s">
        <v>13213</v>
      </c>
      <c r="B560" s="2" t="s">
        <v>1497</v>
      </c>
      <c r="C560" s="3">
        <v>1</v>
      </c>
      <c r="D560" s="5">
        <v>33</v>
      </c>
      <c r="E560" s="3" t="s">
        <v>1498</v>
      </c>
      <c r="F560" s="2" t="s">
        <v>74</v>
      </c>
      <c r="G560" s="6"/>
      <c r="H560" s="2" t="s">
        <v>447</v>
      </c>
      <c r="I560" s="2" t="s">
        <v>792</v>
      </c>
      <c r="J560" s="2" t="s">
        <v>1499</v>
      </c>
      <c r="K560" s="2" t="s">
        <v>160</v>
      </c>
      <c r="L560" s="7" t="str">
        <f>HYPERLINK("http://slimages.macys.com/is/image/MCY/12738119 ")</f>
        <v xml:space="preserve">http://slimages.macys.com/is/image/MCY/12738119 </v>
      </c>
    </row>
    <row r="561" spans="1:12" ht="24.75" x14ac:dyDescent="0.25">
      <c r="A561" s="4" t="s">
        <v>8249</v>
      </c>
      <c r="B561" s="2" t="s">
        <v>1516</v>
      </c>
      <c r="C561" s="3">
        <v>1</v>
      </c>
      <c r="D561" s="5">
        <v>24.99</v>
      </c>
      <c r="E561" s="3" t="s">
        <v>1517</v>
      </c>
      <c r="F561" s="2" t="s">
        <v>252</v>
      </c>
      <c r="G561" s="6" t="s">
        <v>22</v>
      </c>
      <c r="H561" s="2" t="s">
        <v>1473</v>
      </c>
      <c r="I561" s="2" t="s">
        <v>1426</v>
      </c>
      <c r="J561" s="2" t="s">
        <v>19</v>
      </c>
      <c r="K561" s="2" t="s">
        <v>353</v>
      </c>
      <c r="L561" s="7" t="str">
        <f>HYPERLINK("http://slimages.macys.com/is/image/MCY/11029826 ")</f>
        <v xml:space="preserve">http://slimages.macys.com/is/image/MCY/11029826 </v>
      </c>
    </row>
    <row r="562" spans="1:12" ht="24.75" x14ac:dyDescent="0.25">
      <c r="A562" s="4" t="s">
        <v>2794</v>
      </c>
      <c r="B562" s="2" t="s">
        <v>1508</v>
      </c>
      <c r="C562" s="3">
        <v>2</v>
      </c>
      <c r="D562" s="5">
        <v>26.99</v>
      </c>
      <c r="E562" s="3" t="s">
        <v>1509</v>
      </c>
      <c r="F562" s="2" t="s">
        <v>417</v>
      </c>
      <c r="G562" s="6" t="s">
        <v>106</v>
      </c>
      <c r="H562" s="2" t="s">
        <v>1473</v>
      </c>
      <c r="I562" s="2" t="s">
        <v>1426</v>
      </c>
      <c r="J562" s="2" t="s">
        <v>19</v>
      </c>
      <c r="K562" s="2" t="s">
        <v>353</v>
      </c>
      <c r="L562" s="7" t="str">
        <f>HYPERLINK("http://slimages.macys.com/is/image/MCY/11029993 ")</f>
        <v xml:space="preserve">http://slimages.macys.com/is/image/MCY/11029993 </v>
      </c>
    </row>
    <row r="563" spans="1:12" ht="24.75" x14ac:dyDescent="0.25">
      <c r="A563" s="4" t="s">
        <v>2801</v>
      </c>
      <c r="B563" s="2" t="s">
        <v>1508</v>
      </c>
      <c r="C563" s="3">
        <v>2</v>
      </c>
      <c r="D563" s="5">
        <v>26.99</v>
      </c>
      <c r="E563" s="3" t="s">
        <v>1509</v>
      </c>
      <c r="F563" s="2" t="s">
        <v>417</v>
      </c>
      <c r="G563" s="6" t="s">
        <v>22</v>
      </c>
      <c r="H563" s="2" t="s">
        <v>1473</v>
      </c>
      <c r="I563" s="2" t="s">
        <v>1426</v>
      </c>
      <c r="J563" s="2" t="s">
        <v>19</v>
      </c>
      <c r="K563" s="2" t="s">
        <v>353</v>
      </c>
      <c r="L563" s="7" t="str">
        <f>HYPERLINK("http://slimages.macys.com/is/image/MCY/11029993 ")</f>
        <v xml:space="preserve">http://slimages.macys.com/is/image/MCY/11029993 </v>
      </c>
    </row>
    <row r="564" spans="1:12" ht="24.75" x14ac:dyDescent="0.25">
      <c r="A564" s="4" t="s">
        <v>13214</v>
      </c>
      <c r="B564" s="2" t="s">
        <v>13215</v>
      </c>
      <c r="C564" s="3">
        <v>1</v>
      </c>
      <c r="D564" s="5">
        <v>24.99</v>
      </c>
      <c r="E564" s="3" t="s">
        <v>13216</v>
      </c>
      <c r="F564" s="2" t="s">
        <v>74</v>
      </c>
      <c r="G564" s="6" t="s">
        <v>165</v>
      </c>
      <c r="H564" s="2" t="s">
        <v>1425</v>
      </c>
      <c r="I564" s="2" t="s">
        <v>1426</v>
      </c>
      <c r="J564" s="2" t="s">
        <v>19</v>
      </c>
      <c r="K564" s="2" t="s">
        <v>353</v>
      </c>
      <c r="L564" s="7" t="str">
        <f>HYPERLINK("http://slimages.macys.com/is/image/MCY/11134821 ")</f>
        <v xml:space="preserve">http://slimages.macys.com/is/image/MCY/11134821 </v>
      </c>
    </row>
    <row r="565" spans="1:12" ht="24.75" x14ac:dyDescent="0.25">
      <c r="A565" s="4" t="s">
        <v>13217</v>
      </c>
      <c r="B565" s="2" t="s">
        <v>12272</v>
      </c>
      <c r="C565" s="3">
        <v>1</v>
      </c>
      <c r="D565" s="5">
        <v>24.99</v>
      </c>
      <c r="E565" s="3" t="s">
        <v>12273</v>
      </c>
      <c r="F565" s="2" t="s">
        <v>1322</v>
      </c>
      <c r="G565" s="6" t="s">
        <v>187</v>
      </c>
      <c r="H565" s="2" t="s">
        <v>1425</v>
      </c>
      <c r="I565" s="2" t="s">
        <v>8769</v>
      </c>
      <c r="J565" s="2" t="s">
        <v>19</v>
      </c>
      <c r="K565" s="2" t="s">
        <v>3428</v>
      </c>
      <c r="L565" s="7" t="str">
        <f>HYPERLINK("http://slimages.macys.com/is/image/MCY/14661185 ")</f>
        <v xml:space="preserve">http://slimages.macys.com/is/image/MCY/14661185 </v>
      </c>
    </row>
    <row r="566" spans="1:12" ht="24.75" x14ac:dyDescent="0.25">
      <c r="A566" s="4" t="s">
        <v>13218</v>
      </c>
      <c r="B566" s="2" t="s">
        <v>1512</v>
      </c>
      <c r="C566" s="3">
        <v>1</v>
      </c>
      <c r="D566" s="5">
        <v>24.99</v>
      </c>
      <c r="E566" s="3" t="s">
        <v>1513</v>
      </c>
      <c r="F566" s="2" t="s">
        <v>252</v>
      </c>
      <c r="G566" s="6" t="s">
        <v>165</v>
      </c>
      <c r="H566" s="2" t="s">
        <v>1425</v>
      </c>
      <c r="I566" s="2" t="s">
        <v>1426</v>
      </c>
      <c r="J566" s="2" t="s">
        <v>19</v>
      </c>
      <c r="K566" s="2" t="s">
        <v>353</v>
      </c>
      <c r="L566" s="7" t="str">
        <f>HYPERLINK("http://slimages.macys.com/is/image/MCY/11029820 ")</f>
        <v xml:space="preserve">http://slimages.macys.com/is/image/MCY/11029820 </v>
      </c>
    </row>
    <row r="567" spans="1:12" ht="24.75" x14ac:dyDescent="0.25">
      <c r="A567" s="4" t="s">
        <v>13219</v>
      </c>
      <c r="B567" s="2" t="s">
        <v>13220</v>
      </c>
      <c r="C567" s="3">
        <v>1</v>
      </c>
      <c r="D567" s="5">
        <v>68</v>
      </c>
      <c r="E567" s="3" t="s">
        <v>13221</v>
      </c>
      <c r="F567" s="2" t="s">
        <v>33</v>
      </c>
      <c r="G567" s="6" t="s">
        <v>791</v>
      </c>
      <c r="H567" s="2" t="s">
        <v>447</v>
      </c>
      <c r="I567" s="2" t="s">
        <v>792</v>
      </c>
      <c r="J567" s="2" t="s">
        <v>19</v>
      </c>
      <c r="K567" s="2" t="s">
        <v>7024</v>
      </c>
      <c r="L567" s="7" t="str">
        <f>HYPERLINK("http://slimages.macys.com/is/image/MCY/13611616 ")</f>
        <v xml:space="preserve">http://slimages.macys.com/is/image/MCY/13611616 </v>
      </c>
    </row>
    <row r="568" spans="1:12" ht="24.75" x14ac:dyDescent="0.25">
      <c r="A568" s="4" t="s">
        <v>13222</v>
      </c>
      <c r="B568" s="2" t="s">
        <v>13223</v>
      </c>
      <c r="C568" s="3">
        <v>2</v>
      </c>
      <c r="D568" s="5">
        <v>19.989999999999998</v>
      </c>
      <c r="E568" s="3" t="s">
        <v>13224</v>
      </c>
      <c r="F568" s="2" t="s">
        <v>26</v>
      </c>
      <c r="G568" s="6" t="s">
        <v>234</v>
      </c>
      <c r="H568" s="2" t="s">
        <v>1473</v>
      </c>
      <c r="I568" s="2" t="s">
        <v>1426</v>
      </c>
      <c r="J568" s="2" t="s">
        <v>19</v>
      </c>
      <c r="K568" s="2" t="s">
        <v>495</v>
      </c>
      <c r="L568" s="7" t="str">
        <f>HYPERLINK("http://slimages.macys.com/is/image/MCY/14765888 ")</f>
        <v xml:space="preserve">http://slimages.macys.com/is/image/MCY/14765888 </v>
      </c>
    </row>
    <row r="569" spans="1:12" ht="24.75" x14ac:dyDescent="0.25">
      <c r="A569" s="4" t="s">
        <v>13225</v>
      </c>
      <c r="B569" s="2" t="s">
        <v>13226</v>
      </c>
      <c r="C569" s="3">
        <v>1</v>
      </c>
      <c r="D569" s="5">
        <v>24.99</v>
      </c>
      <c r="E569" s="3" t="s">
        <v>13227</v>
      </c>
      <c r="F569" s="2" t="s">
        <v>64</v>
      </c>
      <c r="G569" s="6" t="s">
        <v>181</v>
      </c>
      <c r="H569" s="2" t="s">
        <v>1522</v>
      </c>
      <c r="I569" s="2" t="s">
        <v>1469</v>
      </c>
      <c r="J569" s="2" t="s">
        <v>19</v>
      </c>
      <c r="K569" s="2" t="s">
        <v>495</v>
      </c>
      <c r="L569" s="7" t="str">
        <f>HYPERLINK("http://slimages.macys.com/is/image/MCY/10006424 ")</f>
        <v xml:space="preserve">http://slimages.macys.com/is/image/MCY/10006424 </v>
      </c>
    </row>
    <row r="570" spans="1:12" ht="24.75" x14ac:dyDescent="0.25">
      <c r="A570" s="4" t="s">
        <v>13228</v>
      </c>
      <c r="B570" s="2" t="s">
        <v>5040</v>
      </c>
      <c r="C570" s="3">
        <v>1</v>
      </c>
      <c r="D570" s="5">
        <v>29.63</v>
      </c>
      <c r="E570" s="3">
        <v>100018082</v>
      </c>
      <c r="F570" s="2" t="s">
        <v>15</v>
      </c>
      <c r="G570" s="6" t="s">
        <v>154</v>
      </c>
      <c r="H570" s="2" t="s">
        <v>194</v>
      </c>
      <c r="I570" s="2" t="s">
        <v>195</v>
      </c>
      <c r="J570" s="2" t="s">
        <v>19</v>
      </c>
      <c r="K570" s="2" t="s">
        <v>1082</v>
      </c>
      <c r="L570" s="7" t="str">
        <f t="shared" ref="L570:L577" si="4">HYPERLINK("http://slimages.macys.com/is/image/MCY/13367475 ")</f>
        <v xml:space="preserve">http://slimages.macys.com/is/image/MCY/13367475 </v>
      </c>
    </row>
    <row r="571" spans="1:12" ht="24.75" x14ac:dyDescent="0.25">
      <c r="A571" s="4" t="s">
        <v>13229</v>
      </c>
      <c r="B571" s="2" t="s">
        <v>5040</v>
      </c>
      <c r="C571" s="3">
        <v>2</v>
      </c>
      <c r="D571" s="5">
        <v>29.63</v>
      </c>
      <c r="E571" s="3">
        <v>100018082</v>
      </c>
      <c r="F571" s="2" t="s">
        <v>15</v>
      </c>
      <c r="G571" s="6" t="s">
        <v>234</v>
      </c>
      <c r="H571" s="2" t="s">
        <v>194</v>
      </c>
      <c r="I571" s="2" t="s">
        <v>195</v>
      </c>
      <c r="J571" s="2" t="s">
        <v>19</v>
      </c>
      <c r="K571" s="2" t="s">
        <v>1082</v>
      </c>
      <c r="L571" s="7" t="str">
        <f t="shared" si="4"/>
        <v xml:space="preserve">http://slimages.macys.com/is/image/MCY/13367475 </v>
      </c>
    </row>
    <row r="572" spans="1:12" ht="24.75" x14ac:dyDescent="0.25">
      <c r="A572" s="4" t="s">
        <v>11061</v>
      </c>
      <c r="B572" s="2" t="s">
        <v>5040</v>
      </c>
      <c r="C572" s="3">
        <v>1</v>
      </c>
      <c r="D572" s="5">
        <v>29.63</v>
      </c>
      <c r="E572" s="3">
        <v>100018082</v>
      </c>
      <c r="F572" s="2" t="s">
        <v>15</v>
      </c>
      <c r="G572" s="6" t="s">
        <v>156</v>
      </c>
      <c r="H572" s="2" t="s">
        <v>194</v>
      </c>
      <c r="I572" s="2" t="s">
        <v>195</v>
      </c>
      <c r="J572" s="2" t="s">
        <v>19</v>
      </c>
      <c r="K572" s="2" t="s">
        <v>1082</v>
      </c>
      <c r="L572" s="7" t="str">
        <f t="shared" si="4"/>
        <v xml:space="preserve">http://slimages.macys.com/is/image/MCY/13367475 </v>
      </c>
    </row>
    <row r="573" spans="1:12" ht="24.75" x14ac:dyDescent="0.25">
      <c r="A573" s="4" t="s">
        <v>13230</v>
      </c>
      <c r="B573" s="2" t="s">
        <v>5040</v>
      </c>
      <c r="C573" s="3">
        <v>1</v>
      </c>
      <c r="D573" s="5">
        <v>29.63</v>
      </c>
      <c r="E573" s="3">
        <v>100018082</v>
      </c>
      <c r="F573" s="2" t="s">
        <v>48</v>
      </c>
      <c r="G573" s="6" t="s">
        <v>200</v>
      </c>
      <c r="H573" s="2" t="s">
        <v>194</v>
      </c>
      <c r="I573" s="2" t="s">
        <v>195</v>
      </c>
      <c r="J573" s="2" t="s">
        <v>19</v>
      </c>
      <c r="K573" s="2" t="s">
        <v>1082</v>
      </c>
      <c r="L573" s="7" t="str">
        <f t="shared" si="4"/>
        <v xml:space="preserve">http://slimages.macys.com/is/image/MCY/13367475 </v>
      </c>
    </row>
    <row r="574" spans="1:12" ht="24.75" x14ac:dyDescent="0.25">
      <c r="A574" s="4" t="s">
        <v>5041</v>
      </c>
      <c r="B574" s="2" t="s">
        <v>5040</v>
      </c>
      <c r="C574" s="3">
        <v>2</v>
      </c>
      <c r="D574" s="5">
        <v>29.63</v>
      </c>
      <c r="E574" s="3">
        <v>100018082</v>
      </c>
      <c r="F574" s="2" t="s">
        <v>15</v>
      </c>
      <c r="G574" s="6" t="s">
        <v>156</v>
      </c>
      <c r="H574" s="2" t="s">
        <v>194</v>
      </c>
      <c r="I574" s="2" t="s">
        <v>195</v>
      </c>
      <c r="J574" s="2" t="s">
        <v>19</v>
      </c>
      <c r="K574" s="2" t="s">
        <v>1082</v>
      </c>
      <c r="L574" s="7" t="str">
        <f t="shared" si="4"/>
        <v xml:space="preserve">http://slimages.macys.com/is/image/MCY/13367475 </v>
      </c>
    </row>
    <row r="575" spans="1:12" ht="24.75" x14ac:dyDescent="0.25">
      <c r="A575" s="4" t="s">
        <v>12274</v>
      </c>
      <c r="B575" s="2" t="s">
        <v>5040</v>
      </c>
      <c r="C575" s="3">
        <v>1</v>
      </c>
      <c r="D575" s="5">
        <v>29.63</v>
      </c>
      <c r="E575" s="3">
        <v>100018082</v>
      </c>
      <c r="F575" s="2" t="s">
        <v>48</v>
      </c>
      <c r="G575" s="6" t="s">
        <v>154</v>
      </c>
      <c r="H575" s="2" t="s">
        <v>194</v>
      </c>
      <c r="I575" s="2" t="s">
        <v>195</v>
      </c>
      <c r="J575" s="2" t="s">
        <v>19</v>
      </c>
      <c r="K575" s="2" t="s">
        <v>1082</v>
      </c>
      <c r="L575" s="7" t="str">
        <f t="shared" si="4"/>
        <v xml:space="preserve">http://slimages.macys.com/is/image/MCY/13367475 </v>
      </c>
    </row>
    <row r="576" spans="1:12" ht="24.75" x14ac:dyDescent="0.25">
      <c r="A576" s="4" t="s">
        <v>12275</v>
      </c>
      <c r="B576" s="2" t="s">
        <v>5040</v>
      </c>
      <c r="C576" s="3">
        <v>1</v>
      </c>
      <c r="D576" s="5">
        <v>29.63</v>
      </c>
      <c r="E576" s="3">
        <v>100018082</v>
      </c>
      <c r="F576" s="2" t="s">
        <v>48</v>
      </c>
      <c r="G576" s="6" t="s">
        <v>181</v>
      </c>
      <c r="H576" s="2" t="s">
        <v>194</v>
      </c>
      <c r="I576" s="2" t="s">
        <v>195</v>
      </c>
      <c r="J576" s="2" t="s">
        <v>19</v>
      </c>
      <c r="K576" s="2" t="s">
        <v>1082</v>
      </c>
      <c r="L576" s="7" t="str">
        <f t="shared" si="4"/>
        <v xml:space="preserve">http://slimages.macys.com/is/image/MCY/13367475 </v>
      </c>
    </row>
    <row r="577" spans="1:12" ht="24.75" x14ac:dyDescent="0.25">
      <c r="A577" s="4" t="s">
        <v>13231</v>
      </c>
      <c r="B577" s="2" t="s">
        <v>5040</v>
      </c>
      <c r="C577" s="3">
        <v>1</v>
      </c>
      <c r="D577" s="5">
        <v>29.63</v>
      </c>
      <c r="E577" s="3">
        <v>100018082</v>
      </c>
      <c r="F577" s="2" t="s">
        <v>48</v>
      </c>
      <c r="G577" s="6" t="s">
        <v>245</v>
      </c>
      <c r="H577" s="2" t="s">
        <v>194</v>
      </c>
      <c r="I577" s="2" t="s">
        <v>195</v>
      </c>
      <c r="J577" s="2" t="s">
        <v>19</v>
      </c>
      <c r="K577" s="2" t="s">
        <v>1082</v>
      </c>
      <c r="L577" s="7" t="str">
        <f t="shared" si="4"/>
        <v xml:space="preserve">http://slimages.macys.com/is/image/MCY/13367475 </v>
      </c>
    </row>
    <row r="578" spans="1:12" ht="24.75" x14ac:dyDescent="0.25">
      <c r="A578" s="4" t="s">
        <v>11063</v>
      </c>
      <c r="B578" s="2" t="s">
        <v>11064</v>
      </c>
      <c r="C578" s="3">
        <v>1</v>
      </c>
      <c r="D578" s="5">
        <v>21.99</v>
      </c>
      <c r="E578" s="3" t="s">
        <v>11065</v>
      </c>
      <c r="F578" s="2" t="s">
        <v>199</v>
      </c>
      <c r="G578" s="6" t="s">
        <v>156</v>
      </c>
      <c r="H578" s="2" t="s">
        <v>1473</v>
      </c>
      <c r="I578" s="2" t="s">
        <v>1426</v>
      </c>
      <c r="J578" s="2" t="s">
        <v>19</v>
      </c>
      <c r="K578" s="2" t="s">
        <v>11066</v>
      </c>
      <c r="L578" s="7" t="str">
        <f>HYPERLINK("http://slimages.macys.com/is/image/MCY/13960174 ")</f>
        <v xml:space="preserve">http://slimages.macys.com/is/image/MCY/13960174 </v>
      </c>
    </row>
    <row r="579" spans="1:12" ht="24.75" x14ac:dyDescent="0.25">
      <c r="A579" s="4" t="s">
        <v>13232</v>
      </c>
      <c r="B579" s="2" t="s">
        <v>11064</v>
      </c>
      <c r="C579" s="3">
        <v>1</v>
      </c>
      <c r="D579" s="5">
        <v>21.99</v>
      </c>
      <c r="E579" s="3" t="s">
        <v>11065</v>
      </c>
      <c r="F579" s="2" t="s">
        <v>26</v>
      </c>
      <c r="G579" s="6" t="s">
        <v>181</v>
      </c>
      <c r="H579" s="2" t="s">
        <v>1473</v>
      </c>
      <c r="I579" s="2" t="s">
        <v>1426</v>
      </c>
      <c r="J579" s="2" t="s">
        <v>19</v>
      </c>
      <c r="K579" s="2" t="s">
        <v>11066</v>
      </c>
      <c r="L579" s="7" t="str">
        <f>HYPERLINK("http://slimages.macys.com/is/image/MCY/13960174 ")</f>
        <v xml:space="preserve">http://slimages.macys.com/is/image/MCY/13960174 </v>
      </c>
    </row>
    <row r="580" spans="1:12" ht="24.75" x14ac:dyDescent="0.25">
      <c r="A580" s="4" t="s">
        <v>13233</v>
      </c>
      <c r="B580" s="2" t="s">
        <v>11064</v>
      </c>
      <c r="C580" s="3">
        <v>1</v>
      </c>
      <c r="D580" s="5">
        <v>21.99</v>
      </c>
      <c r="E580" s="3" t="s">
        <v>11065</v>
      </c>
      <c r="F580" s="2" t="s">
        <v>820</v>
      </c>
      <c r="G580" s="6" t="s">
        <v>200</v>
      </c>
      <c r="H580" s="2" t="s">
        <v>1473</v>
      </c>
      <c r="I580" s="2" t="s">
        <v>1426</v>
      </c>
      <c r="J580" s="2" t="s">
        <v>19</v>
      </c>
      <c r="K580" s="2" t="s">
        <v>11066</v>
      </c>
      <c r="L580" s="7" t="str">
        <f>HYPERLINK("http://slimages.macys.com/is/image/MCY/13960174 ")</f>
        <v xml:space="preserve">http://slimages.macys.com/is/image/MCY/13960174 </v>
      </c>
    </row>
    <row r="581" spans="1:12" ht="24.75" x14ac:dyDescent="0.25">
      <c r="A581" s="4" t="s">
        <v>3957</v>
      </c>
      <c r="B581" s="2" t="s">
        <v>1539</v>
      </c>
      <c r="C581" s="3">
        <v>2</v>
      </c>
      <c r="D581" s="5">
        <v>26.99</v>
      </c>
      <c r="E581" s="3" t="s">
        <v>1540</v>
      </c>
      <c r="F581" s="2" t="s">
        <v>70</v>
      </c>
      <c r="G581" s="6" t="s">
        <v>16</v>
      </c>
      <c r="H581" s="2" t="s">
        <v>1473</v>
      </c>
      <c r="I581" s="2" t="s">
        <v>1426</v>
      </c>
      <c r="J581" s="2" t="s">
        <v>19</v>
      </c>
      <c r="K581" s="2" t="s">
        <v>353</v>
      </c>
      <c r="L581" s="7" t="str">
        <f t="shared" ref="L581:L586" si="5">HYPERLINK("http://slimages.macys.com/is/image/MCY/10786732 ")</f>
        <v xml:space="preserve">http://slimages.macys.com/is/image/MCY/10786732 </v>
      </c>
    </row>
    <row r="582" spans="1:12" ht="24.75" x14ac:dyDescent="0.25">
      <c r="A582" s="4" t="s">
        <v>2822</v>
      </c>
      <c r="B582" s="2" t="s">
        <v>1539</v>
      </c>
      <c r="C582" s="3">
        <v>5</v>
      </c>
      <c r="D582" s="5">
        <v>26.99</v>
      </c>
      <c r="E582" s="3" t="s">
        <v>1540</v>
      </c>
      <c r="F582" s="2" t="s">
        <v>252</v>
      </c>
      <c r="G582" s="6" t="s">
        <v>27</v>
      </c>
      <c r="H582" s="2" t="s">
        <v>1473</v>
      </c>
      <c r="I582" s="2" t="s">
        <v>1426</v>
      </c>
      <c r="J582" s="2" t="s">
        <v>19</v>
      </c>
      <c r="K582" s="2" t="s">
        <v>353</v>
      </c>
      <c r="L582" s="7" t="str">
        <f t="shared" si="5"/>
        <v xml:space="preserve">http://slimages.macys.com/is/image/MCY/10786732 </v>
      </c>
    </row>
    <row r="583" spans="1:12" ht="24.75" x14ac:dyDescent="0.25">
      <c r="A583" s="4" t="s">
        <v>2827</v>
      </c>
      <c r="B583" s="2" t="s">
        <v>1539</v>
      </c>
      <c r="C583" s="3">
        <v>1</v>
      </c>
      <c r="D583" s="5">
        <v>26.99</v>
      </c>
      <c r="E583" s="3" t="s">
        <v>1540</v>
      </c>
      <c r="F583" s="2" t="s">
        <v>74</v>
      </c>
      <c r="G583" s="6" t="s">
        <v>112</v>
      </c>
      <c r="H583" s="2" t="s">
        <v>1473</v>
      </c>
      <c r="I583" s="2" t="s">
        <v>1426</v>
      </c>
      <c r="J583" s="2" t="s">
        <v>19</v>
      </c>
      <c r="K583" s="2" t="s">
        <v>353</v>
      </c>
      <c r="L583" s="7" t="str">
        <f t="shared" si="5"/>
        <v xml:space="preserve">http://slimages.macys.com/is/image/MCY/10786732 </v>
      </c>
    </row>
    <row r="584" spans="1:12" ht="24.75" x14ac:dyDescent="0.25">
      <c r="A584" s="4" t="s">
        <v>8256</v>
      </c>
      <c r="B584" s="2" t="s">
        <v>1539</v>
      </c>
      <c r="C584" s="3">
        <v>1</v>
      </c>
      <c r="D584" s="5">
        <v>26.99</v>
      </c>
      <c r="E584" s="3" t="s">
        <v>1540</v>
      </c>
      <c r="F584" s="2" t="s">
        <v>74</v>
      </c>
      <c r="G584" s="6" t="s">
        <v>16</v>
      </c>
      <c r="H584" s="2" t="s">
        <v>1473</v>
      </c>
      <c r="I584" s="2" t="s">
        <v>1426</v>
      </c>
      <c r="J584" s="2" t="s">
        <v>19</v>
      </c>
      <c r="K584" s="2" t="s">
        <v>353</v>
      </c>
      <c r="L584" s="7" t="str">
        <f t="shared" si="5"/>
        <v xml:space="preserve">http://slimages.macys.com/is/image/MCY/10786732 </v>
      </c>
    </row>
    <row r="585" spans="1:12" ht="24.75" x14ac:dyDescent="0.25">
      <c r="A585" s="4" t="s">
        <v>1553</v>
      </c>
      <c r="B585" s="2" t="s">
        <v>1539</v>
      </c>
      <c r="C585" s="3">
        <v>2</v>
      </c>
      <c r="D585" s="5">
        <v>26.99</v>
      </c>
      <c r="E585" s="3" t="s">
        <v>1540</v>
      </c>
      <c r="F585" s="2" t="s">
        <v>15</v>
      </c>
      <c r="G585" s="6" t="s">
        <v>16</v>
      </c>
      <c r="H585" s="2" t="s">
        <v>1473</v>
      </c>
      <c r="I585" s="2" t="s">
        <v>1426</v>
      </c>
      <c r="J585" s="2" t="s">
        <v>19</v>
      </c>
      <c r="K585" s="2" t="s">
        <v>353</v>
      </c>
      <c r="L585" s="7" t="str">
        <f t="shared" si="5"/>
        <v xml:space="preserve">http://slimages.macys.com/is/image/MCY/10786732 </v>
      </c>
    </row>
    <row r="586" spans="1:12" ht="24.75" x14ac:dyDescent="0.25">
      <c r="A586" s="4" t="s">
        <v>2824</v>
      </c>
      <c r="B586" s="2" t="s">
        <v>1539</v>
      </c>
      <c r="C586" s="3">
        <v>1</v>
      </c>
      <c r="D586" s="5">
        <v>26.99</v>
      </c>
      <c r="E586" s="3" t="s">
        <v>1540</v>
      </c>
      <c r="F586" s="2" t="s">
        <v>1234</v>
      </c>
      <c r="G586" s="6" t="s">
        <v>27</v>
      </c>
      <c r="H586" s="2" t="s">
        <v>1473</v>
      </c>
      <c r="I586" s="2" t="s">
        <v>1426</v>
      </c>
      <c r="J586" s="2" t="s">
        <v>19</v>
      </c>
      <c r="K586" s="2" t="s">
        <v>353</v>
      </c>
      <c r="L586" s="7" t="str">
        <f t="shared" si="5"/>
        <v xml:space="preserve">http://slimages.macys.com/is/image/MCY/10786732 </v>
      </c>
    </row>
    <row r="587" spans="1:12" ht="24.75" x14ac:dyDescent="0.25">
      <c r="A587" s="4" t="s">
        <v>13234</v>
      </c>
      <c r="B587" s="2" t="s">
        <v>13235</v>
      </c>
      <c r="C587" s="3">
        <v>1</v>
      </c>
      <c r="D587" s="5">
        <v>27.99</v>
      </c>
      <c r="E587" s="3" t="s">
        <v>13236</v>
      </c>
      <c r="F587" s="2" t="s">
        <v>26</v>
      </c>
      <c r="G587" s="6" t="s">
        <v>154</v>
      </c>
      <c r="H587" s="2" t="s">
        <v>1522</v>
      </c>
      <c r="I587" s="2" t="s">
        <v>1469</v>
      </c>
      <c r="J587" s="2" t="s">
        <v>19</v>
      </c>
      <c r="K587" s="2" t="s">
        <v>34</v>
      </c>
      <c r="L587" s="7" t="str">
        <f>HYPERLINK("http://slimages.macys.com/is/image/MCY/9888689 ")</f>
        <v xml:space="preserve">http://slimages.macys.com/is/image/MCY/9888689 </v>
      </c>
    </row>
    <row r="588" spans="1:12" ht="24.75" x14ac:dyDescent="0.25">
      <c r="A588" s="4" t="s">
        <v>2830</v>
      </c>
      <c r="B588" s="2" t="s">
        <v>1539</v>
      </c>
      <c r="C588" s="3">
        <v>1</v>
      </c>
      <c r="D588" s="5">
        <v>26.99</v>
      </c>
      <c r="E588" s="3" t="s">
        <v>1548</v>
      </c>
      <c r="F588" s="2" t="s">
        <v>998</v>
      </c>
      <c r="G588" s="6" t="s">
        <v>126</v>
      </c>
      <c r="H588" s="2" t="s">
        <v>1425</v>
      </c>
      <c r="I588" s="2" t="s">
        <v>1426</v>
      </c>
      <c r="J588" s="2" t="s">
        <v>19</v>
      </c>
      <c r="K588" s="2" t="s">
        <v>353</v>
      </c>
      <c r="L588" s="7" t="str">
        <f>HYPERLINK("http://slimages.macys.com/is/image/MCY/11092539 ")</f>
        <v xml:space="preserve">http://slimages.macys.com/is/image/MCY/11092539 </v>
      </c>
    </row>
    <row r="589" spans="1:12" ht="24.75" x14ac:dyDescent="0.25">
      <c r="A589" s="4" t="s">
        <v>2826</v>
      </c>
      <c r="B589" s="2" t="s">
        <v>1539</v>
      </c>
      <c r="C589" s="3">
        <v>1</v>
      </c>
      <c r="D589" s="5">
        <v>26.99</v>
      </c>
      <c r="E589" s="3" t="s">
        <v>1540</v>
      </c>
      <c r="F589" s="2" t="s">
        <v>998</v>
      </c>
      <c r="G589" s="6" t="s">
        <v>27</v>
      </c>
      <c r="H589" s="2" t="s">
        <v>1473</v>
      </c>
      <c r="I589" s="2" t="s">
        <v>1426</v>
      </c>
      <c r="J589" s="2" t="s">
        <v>19</v>
      </c>
      <c r="K589" s="2" t="s">
        <v>353</v>
      </c>
      <c r="L589" s="7" t="str">
        <f t="shared" ref="L589:L598" si="6">HYPERLINK("http://slimages.macys.com/is/image/MCY/10786732 ")</f>
        <v xml:space="preserve">http://slimages.macys.com/is/image/MCY/10786732 </v>
      </c>
    </row>
    <row r="590" spans="1:12" ht="24.75" x14ac:dyDescent="0.25">
      <c r="A590" s="4" t="s">
        <v>3959</v>
      </c>
      <c r="B590" s="2" t="s">
        <v>1539</v>
      </c>
      <c r="C590" s="3">
        <v>2</v>
      </c>
      <c r="D590" s="5">
        <v>26.99</v>
      </c>
      <c r="E590" s="3" t="s">
        <v>1540</v>
      </c>
      <c r="F590" s="2" t="s">
        <v>252</v>
      </c>
      <c r="G590" s="6" t="s">
        <v>16</v>
      </c>
      <c r="H590" s="2" t="s">
        <v>1473</v>
      </c>
      <c r="I590" s="2" t="s">
        <v>1426</v>
      </c>
      <c r="J590" s="2" t="s">
        <v>19</v>
      </c>
      <c r="K590" s="2" t="s">
        <v>353</v>
      </c>
      <c r="L590" s="7" t="str">
        <f t="shared" si="6"/>
        <v xml:space="preserve">http://slimages.macys.com/is/image/MCY/10786732 </v>
      </c>
    </row>
    <row r="591" spans="1:12" ht="24.75" x14ac:dyDescent="0.25">
      <c r="A591" s="4" t="s">
        <v>2825</v>
      </c>
      <c r="B591" s="2" t="s">
        <v>1539</v>
      </c>
      <c r="C591" s="3">
        <v>3</v>
      </c>
      <c r="D591" s="5">
        <v>26.99</v>
      </c>
      <c r="E591" s="3" t="s">
        <v>1540</v>
      </c>
      <c r="F591" s="2" t="s">
        <v>252</v>
      </c>
      <c r="G591" s="6" t="s">
        <v>22</v>
      </c>
      <c r="H591" s="2" t="s">
        <v>1473</v>
      </c>
      <c r="I591" s="2" t="s">
        <v>1426</v>
      </c>
      <c r="J591" s="2" t="s">
        <v>19</v>
      </c>
      <c r="K591" s="2" t="s">
        <v>353</v>
      </c>
      <c r="L591" s="7" t="str">
        <f t="shared" si="6"/>
        <v xml:space="preserve">http://slimages.macys.com/is/image/MCY/10786732 </v>
      </c>
    </row>
    <row r="592" spans="1:12" ht="24.75" x14ac:dyDescent="0.25">
      <c r="A592" s="4" t="s">
        <v>2820</v>
      </c>
      <c r="B592" s="2" t="s">
        <v>1539</v>
      </c>
      <c r="C592" s="3">
        <v>2</v>
      </c>
      <c r="D592" s="5">
        <v>26.99</v>
      </c>
      <c r="E592" s="3" t="s">
        <v>1540</v>
      </c>
      <c r="F592" s="2" t="s">
        <v>998</v>
      </c>
      <c r="G592" s="6" t="s">
        <v>16</v>
      </c>
      <c r="H592" s="2" t="s">
        <v>1473</v>
      </c>
      <c r="I592" s="2" t="s">
        <v>1426</v>
      </c>
      <c r="J592" s="2" t="s">
        <v>19</v>
      </c>
      <c r="K592" s="2" t="s">
        <v>353</v>
      </c>
      <c r="L592" s="7" t="str">
        <f t="shared" si="6"/>
        <v xml:space="preserve">http://slimages.macys.com/is/image/MCY/10786732 </v>
      </c>
    </row>
    <row r="593" spans="1:12" ht="24.75" x14ac:dyDescent="0.25">
      <c r="A593" s="4" t="s">
        <v>1552</v>
      </c>
      <c r="B593" s="2" t="s">
        <v>1539</v>
      </c>
      <c r="C593" s="3">
        <v>1</v>
      </c>
      <c r="D593" s="5">
        <v>26.99</v>
      </c>
      <c r="E593" s="3" t="s">
        <v>1540</v>
      </c>
      <c r="F593" s="2" t="s">
        <v>998</v>
      </c>
      <c r="G593" s="6" t="s">
        <v>22</v>
      </c>
      <c r="H593" s="2" t="s">
        <v>1473</v>
      </c>
      <c r="I593" s="2" t="s">
        <v>1426</v>
      </c>
      <c r="J593" s="2" t="s">
        <v>19</v>
      </c>
      <c r="K593" s="2" t="s">
        <v>353</v>
      </c>
      <c r="L593" s="7" t="str">
        <f t="shared" si="6"/>
        <v xml:space="preserve">http://slimages.macys.com/is/image/MCY/10786732 </v>
      </c>
    </row>
    <row r="594" spans="1:12" ht="24.75" x14ac:dyDescent="0.25">
      <c r="A594" s="4" t="s">
        <v>3960</v>
      </c>
      <c r="B594" s="2" t="s">
        <v>1539</v>
      </c>
      <c r="C594" s="3">
        <v>2</v>
      </c>
      <c r="D594" s="5">
        <v>26.99</v>
      </c>
      <c r="E594" s="3" t="s">
        <v>1540</v>
      </c>
      <c r="F594" s="2" t="s">
        <v>252</v>
      </c>
      <c r="G594" s="6" t="s">
        <v>106</v>
      </c>
      <c r="H594" s="2" t="s">
        <v>1473</v>
      </c>
      <c r="I594" s="2" t="s">
        <v>1426</v>
      </c>
      <c r="J594" s="2" t="s">
        <v>19</v>
      </c>
      <c r="K594" s="2" t="s">
        <v>353</v>
      </c>
      <c r="L594" s="7" t="str">
        <f t="shared" si="6"/>
        <v xml:space="preserve">http://slimages.macys.com/is/image/MCY/10786732 </v>
      </c>
    </row>
    <row r="595" spans="1:12" ht="24.75" x14ac:dyDescent="0.25">
      <c r="A595" s="4" t="s">
        <v>1544</v>
      </c>
      <c r="B595" s="2" t="s">
        <v>1539</v>
      </c>
      <c r="C595" s="3">
        <v>1</v>
      </c>
      <c r="D595" s="5">
        <v>26.99</v>
      </c>
      <c r="E595" s="3" t="s">
        <v>1540</v>
      </c>
      <c r="F595" s="2" t="s">
        <v>252</v>
      </c>
      <c r="G595" s="6" t="s">
        <v>112</v>
      </c>
      <c r="H595" s="2" t="s">
        <v>1473</v>
      </c>
      <c r="I595" s="2" t="s">
        <v>1426</v>
      </c>
      <c r="J595" s="2" t="s">
        <v>19</v>
      </c>
      <c r="K595" s="2" t="s">
        <v>353</v>
      </c>
      <c r="L595" s="7" t="str">
        <f t="shared" si="6"/>
        <v xml:space="preserve">http://slimages.macys.com/is/image/MCY/10786732 </v>
      </c>
    </row>
    <row r="596" spans="1:12" ht="24.75" x14ac:dyDescent="0.25">
      <c r="A596" s="4" t="s">
        <v>3958</v>
      </c>
      <c r="B596" s="2" t="s">
        <v>1539</v>
      </c>
      <c r="C596" s="3">
        <v>3</v>
      </c>
      <c r="D596" s="5">
        <v>26.99</v>
      </c>
      <c r="E596" s="3" t="s">
        <v>1540</v>
      </c>
      <c r="F596" s="2" t="s">
        <v>252</v>
      </c>
      <c r="G596" s="6" t="s">
        <v>58</v>
      </c>
      <c r="H596" s="2" t="s">
        <v>1473</v>
      </c>
      <c r="I596" s="2" t="s">
        <v>1426</v>
      </c>
      <c r="J596" s="2" t="s">
        <v>19</v>
      </c>
      <c r="K596" s="2" t="s">
        <v>353</v>
      </c>
      <c r="L596" s="7" t="str">
        <f t="shared" si="6"/>
        <v xml:space="preserve">http://slimages.macys.com/is/image/MCY/10786732 </v>
      </c>
    </row>
    <row r="597" spans="1:12" ht="24.75" x14ac:dyDescent="0.25">
      <c r="A597" s="4" t="s">
        <v>2821</v>
      </c>
      <c r="B597" s="2" t="s">
        <v>1539</v>
      </c>
      <c r="C597" s="3">
        <v>2</v>
      </c>
      <c r="D597" s="5">
        <v>26.99</v>
      </c>
      <c r="E597" s="3" t="s">
        <v>1540</v>
      </c>
      <c r="F597" s="2" t="s">
        <v>998</v>
      </c>
      <c r="G597" s="6" t="s">
        <v>112</v>
      </c>
      <c r="H597" s="2" t="s">
        <v>1473</v>
      </c>
      <c r="I597" s="2" t="s">
        <v>1426</v>
      </c>
      <c r="J597" s="2" t="s">
        <v>19</v>
      </c>
      <c r="K597" s="2" t="s">
        <v>353</v>
      </c>
      <c r="L597" s="7" t="str">
        <f t="shared" si="6"/>
        <v xml:space="preserve">http://slimages.macys.com/is/image/MCY/10786732 </v>
      </c>
    </row>
    <row r="598" spans="1:12" ht="24.75" x14ac:dyDescent="0.25">
      <c r="A598" s="4" t="s">
        <v>1545</v>
      </c>
      <c r="B598" s="2" t="s">
        <v>1539</v>
      </c>
      <c r="C598" s="3">
        <v>4</v>
      </c>
      <c r="D598" s="5">
        <v>26.99</v>
      </c>
      <c r="E598" s="3" t="s">
        <v>1540</v>
      </c>
      <c r="F598" s="2" t="s">
        <v>998</v>
      </c>
      <c r="G598" s="6" t="s">
        <v>58</v>
      </c>
      <c r="H598" s="2" t="s">
        <v>1473</v>
      </c>
      <c r="I598" s="2" t="s">
        <v>1426</v>
      </c>
      <c r="J598" s="2" t="s">
        <v>19</v>
      </c>
      <c r="K598" s="2" t="s">
        <v>353</v>
      </c>
      <c r="L598" s="7" t="str">
        <f t="shared" si="6"/>
        <v xml:space="preserve">http://slimages.macys.com/is/image/MCY/10786732 </v>
      </c>
    </row>
    <row r="599" spans="1:12" ht="24.75" x14ac:dyDescent="0.25">
      <c r="A599" s="4" t="s">
        <v>12283</v>
      </c>
      <c r="B599" s="2" t="s">
        <v>11082</v>
      </c>
      <c r="C599" s="3">
        <v>1</v>
      </c>
      <c r="D599" s="5">
        <v>24.99</v>
      </c>
      <c r="E599" s="3" t="s">
        <v>11083</v>
      </c>
      <c r="F599" s="2" t="s">
        <v>1322</v>
      </c>
      <c r="G599" s="6" t="s">
        <v>219</v>
      </c>
      <c r="H599" s="2" t="s">
        <v>1425</v>
      </c>
      <c r="I599" s="2" t="s">
        <v>8769</v>
      </c>
      <c r="J599" s="2" t="s">
        <v>19</v>
      </c>
      <c r="K599" s="2" t="s">
        <v>3428</v>
      </c>
      <c r="L599" s="7" t="str">
        <f>HYPERLINK("http://slimages.macys.com/is/image/MCY/14661203 ")</f>
        <v xml:space="preserve">http://slimages.macys.com/is/image/MCY/14661203 </v>
      </c>
    </row>
    <row r="600" spans="1:12" ht="36.75" x14ac:dyDescent="0.25">
      <c r="A600" s="4" t="s">
        <v>13237</v>
      </c>
      <c r="B600" s="2" t="s">
        <v>13238</v>
      </c>
      <c r="C600" s="3">
        <v>1</v>
      </c>
      <c r="D600" s="5">
        <v>31.5</v>
      </c>
      <c r="E600" s="3" t="s">
        <v>13239</v>
      </c>
      <c r="F600" s="2" t="s">
        <v>79</v>
      </c>
      <c r="G600" s="6" t="s">
        <v>156</v>
      </c>
      <c r="H600" s="2" t="s">
        <v>194</v>
      </c>
      <c r="I600" s="2" t="s">
        <v>195</v>
      </c>
      <c r="J600" s="2" t="s">
        <v>19</v>
      </c>
      <c r="K600" s="2" t="s">
        <v>13240</v>
      </c>
      <c r="L600" s="7" t="str">
        <f>HYPERLINK("http://slimages.macys.com/is/image/MCY/10191571 ")</f>
        <v xml:space="preserve">http://slimages.macys.com/is/image/MCY/10191571 </v>
      </c>
    </row>
    <row r="601" spans="1:12" ht="24.75" x14ac:dyDescent="0.25">
      <c r="A601" s="4" t="s">
        <v>13241</v>
      </c>
      <c r="B601" s="2" t="s">
        <v>12285</v>
      </c>
      <c r="C601" s="3">
        <v>1</v>
      </c>
      <c r="D601" s="5">
        <v>21.99</v>
      </c>
      <c r="E601" s="3" t="s">
        <v>12286</v>
      </c>
      <c r="F601" s="2" t="s">
        <v>26</v>
      </c>
      <c r="G601" s="6" t="s">
        <v>234</v>
      </c>
      <c r="H601" s="2" t="s">
        <v>1473</v>
      </c>
      <c r="I601" s="2" t="s">
        <v>1426</v>
      </c>
      <c r="J601" s="2" t="s">
        <v>19</v>
      </c>
      <c r="K601" s="2" t="s">
        <v>648</v>
      </c>
      <c r="L601" s="7" t="str">
        <f>HYPERLINK("http://slimages.macys.com/is/image/MCY/13960818 ")</f>
        <v xml:space="preserve">http://slimages.macys.com/is/image/MCY/13960818 </v>
      </c>
    </row>
    <row r="602" spans="1:12" ht="24.75" x14ac:dyDescent="0.25">
      <c r="A602" s="4" t="s">
        <v>13242</v>
      </c>
      <c r="B602" s="2" t="s">
        <v>12288</v>
      </c>
      <c r="C602" s="3">
        <v>1</v>
      </c>
      <c r="D602" s="5">
        <v>29.99</v>
      </c>
      <c r="E602" s="3" t="s">
        <v>12289</v>
      </c>
      <c r="F602" s="2" t="s">
        <v>1322</v>
      </c>
      <c r="G602" s="6" t="s">
        <v>245</v>
      </c>
      <c r="H602" s="2" t="s">
        <v>246</v>
      </c>
      <c r="I602" s="2" t="s">
        <v>3504</v>
      </c>
      <c r="J602" s="2" t="s">
        <v>19</v>
      </c>
      <c r="K602" s="2" t="s">
        <v>1480</v>
      </c>
      <c r="L602" s="7" t="str">
        <f>HYPERLINK("http://slimages.macys.com/is/image/MCY/16109372 ")</f>
        <v xml:space="preserve">http://slimages.macys.com/is/image/MCY/16109372 </v>
      </c>
    </row>
    <row r="603" spans="1:12" ht="24.75" x14ac:dyDescent="0.25">
      <c r="A603" s="4" t="s">
        <v>13243</v>
      </c>
      <c r="B603" s="2" t="s">
        <v>12288</v>
      </c>
      <c r="C603" s="3">
        <v>1</v>
      </c>
      <c r="D603" s="5">
        <v>29.99</v>
      </c>
      <c r="E603" s="3" t="s">
        <v>12289</v>
      </c>
      <c r="F603" s="2" t="s">
        <v>1322</v>
      </c>
      <c r="G603" s="6" t="s">
        <v>156</v>
      </c>
      <c r="H603" s="2" t="s">
        <v>246</v>
      </c>
      <c r="I603" s="2" t="s">
        <v>3504</v>
      </c>
      <c r="J603" s="2" t="s">
        <v>19</v>
      </c>
      <c r="K603" s="2" t="s">
        <v>1480</v>
      </c>
      <c r="L603" s="7" t="str">
        <f>HYPERLINK("http://slimages.macys.com/is/image/MCY/16109372 ")</f>
        <v xml:space="preserve">http://slimages.macys.com/is/image/MCY/16109372 </v>
      </c>
    </row>
    <row r="604" spans="1:12" ht="24.75" x14ac:dyDescent="0.25">
      <c r="A604" s="4" t="s">
        <v>13244</v>
      </c>
      <c r="B604" s="2" t="s">
        <v>12288</v>
      </c>
      <c r="C604" s="3">
        <v>1</v>
      </c>
      <c r="D604" s="5">
        <v>29.99</v>
      </c>
      <c r="E604" s="3" t="s">
        <v>12289</v>
      </c>
      <c r="F604" s="2"/>
      <c r="G604" s="6" t="s">
        <v>234</v>
      </c>
      <c r="H604" s="2" t="s">
        <v>246</v>
      </c>
      <c r="I604" s="2" t="s">
        <v>3504</v>
      </c>
      <c r="J604" s="2"/>
      <c r="K604" s="2"/>
      <c r="L604" s="7" t="str">
        <f>HYPERLINK("http://slimages.macys.com/is/image/MCY/10148484 ")</f>
        <v xml:space="preserve">http://slimages.macys.com/is/image/MCY/10148484 </v>
      </c>
    </row>
    <row r="605" spans="1:12" ht="24.75" x14ac:dyDescent="0.25">
      <c r="A605" s="4" t="s">
        <v>13245</v>
      </c>
      <c r="B605" s="2" t="s">
        <v>1579</v>
      </c>
      <c r="C605" s="3">
        <v>1</v>
      </c>
      <c r="D605" s="5">
        <v>29.63</v>
      </c>
      <c r="E605" s="3" t="s">
        <v>11085</v>
      </c>
      <c r="F605" s="2" t="s">
        <v>15</v>
      </c>
      <c r="G605" s="6" t="s">
        <v>156</v>
      </c>
      <c r="H605" s="2" t="s">
        <v>194</v>
      </c>
      <c r="I605" s="2" t="s">
        <v>195</v>
      </c>
      <c r="J605" s="2" t="s">
        <v>19</v>
      </c>
      <c r="K605" s="2" t="s">
        <v>11086</v>
      </c>
      <c r="L605" s="7" t="str">
        <f>HYPERLINK("http://slimages.macys.com/is/image/MCY/12850930 ")</f>
        <v xml:space="preserve">http://slimages.macys.com/is/image/MCY/12850930 </v>
      </c>
    </row>
    <row r="606" spans="1:12" ht="24.75" x14ac:dyDescent="0.25">
      <c r="A606" s="4" t="s">
        <v>11087</v>
      </c>
      <c r="B606" s="2" t="s">
        <v>1579</v>
      </c>
      <c r="C606" s="3">
        <v>2</v>
      </c>
      <c r="D606" s="5">
        <v>29.63</v>
      </c>
      <c r="E606" s="3" t="s">
        <v>11085</v>
      </c>
      <c r="F606" s="2" t="s">
        <v>15</v>
      </c>
      <c r="G606" s="6" t="s">
        <v>154</v>
      </c>
      <c r="H606" s="2" t="s">
        <v>194</v>
      </c>
      <c r="I606" s="2" t="s">
        <v>195</v>
      </c>
      <c r="J606" s="2" t="s">
        <v>19</v>
      </c>
      <c r="K606" s="2" t="s">
        <v>11086</v>
      </c>
      <c r="L606" s="7" t="str">
        <f>HYPERLINK("http://slimages.macys.com/is/image/MCY/12850930 ")</f>
        <v xml:space="preserve">http://slimages.macys.com/is/image/MCY/12850930 </v>
      </c>
    </row>
    <row r="607" spans="1:12" ht="24.75" x14ac:dyDescent="0.25">
      <c r="A607" s="4" t="s">
        <v>13246</v>
      </c>
      <c r="B607" s="2" t="s">
        <v>1582</v>
      </c>
      <c r="C607" s="3">
        <v>1</v>
      </c>
      <c r="D607" s="5">
        <v>25.89</v>
      </c>
      <c r="E607" s="3" t="s">
        <v>1583</v>
      </c>
      <c r="F607" s="2" t="s">
        <v>111</v>
      </c>
      <c r="G607" s="6" t="s">
        <v>181</v>
      </c>
      <c r="H607" s="2" t="s">
        <v>284</v>
      </c>
      <c r="I607" s="2" t="s">
        <v>285</v>
      </c>
      <c r="J607" s="2" t="s">
        <v>19</v>
      </c>
      <c r="K607" s="2" t="s">
        <v>247</v>
      </c>
      <c r="L607" s="7" t="str">
        <f>HYPERLINK("http://slimages.macys.com/is/image/MCY/13302247 ")</f>
        <v xml:space="preserve">http://slimages.macys.com/is/image/MCY/13302247 </v>
      </c>
    </row>
    <row r="608" spans="1:12" ht="24.75" x14ac:dyDescent="0.25">
      <c r="A608" s="4" t="s">
        <v>12291</v>
      </c>
      <c r="B608" s="2" t="s">
        <v>1579</v>
      </c>
      <c r="C608" s="3">
        <v>1</v>
      </c>
      <c r="D608" s="5">
        <v>29.63</v>
      </c>
      <c r="E608" s="3" t="s">
        <v>11085</v>
      </c>
      <c r="F608" s="2" t="s">
        <v>15</v>
      </c>
      <c r="G608" s="6" t="s">
        <v>181</v>
      </c>
      <c r="H608" s="2" t="s">
        <v>194</v>
      </c>
      <c r="I608" s="2" t="s">
        <v>195</v>
      </c>
      <c r="J608" s="2" t="s">
        <v>19</v>
      </c>
      <c r="K608" s="2" t="s">
        <v>11086</v>
      </c>
      <c r="L608" s="7" t="str">
        <f>HYPERLINK("http://slimages.macys.com/is/image/MCY/12850930 ")</f>
        <v xml:space="preserve">http://slimages.macys.com/is/image/MCY/12850930 </v>
      </c>
    </row>
    <row r="609" spans="1:12" ht="24.75" x14ac:dyDescent="0.25">
      <c r="A609" s="4" t="s">
        <v>12299</v>
      </c>
      <c r="B609" s="2" t="s">
        <v>11092</v>
      </c>
      <c r="C609" s="3">
        <v>1</v>
      </c>
      <c r="D609" s="5">
        <v>24.99</v>
      </c>
      <c r="E609" s="3" t="s">
        <v>11093</v>
      </c>
      <c r="F609" s="2" t="s">
        <v>26</v>
      </c>
      <c r="G609" s="6" t="s">
        <v>245</v>
      </c>
      <c r="H609" s="2" t="s">
        <v>1522</v>
      </c>
      <c r="I609" s="2" t="s">
        <v>1469</v>
      </c>
      <c r="J609" s="2" t="s">
        <v>19</v>
      </c>
      <c r="K609" s="2" t="s">
        <v>353</v>
      </c>
      <c r="L609" s="7" t="str">
        <f>HYPERLINK("http://slimages.macys.com/is/image/MCY/13683315 ")</f>
        <v xml:space="preserve">http://slimages.macys.com/is/image/MCY/13683315 </v>
      </c>
    </row>
    <row r="610" spans="1:12" ht="24.75" x14ac:dyDescent="0.25">
      <c r="A610" s="4" t="s">
        <v>13247</v>
      </c>
      <c r="B610" s="2" t="s">
        <v>11092</v>
      </c>
      <c r="C610" s="3">
        <v>1</v>
      </c>
      <c r="D610" s="5">
        <v>24.99</v>
      </c>
      <c r="E610" s="3" t="s">
        <v>11093</v>
      </c>
      <c r="F610" s="2" t="s">
        <v>26</v>
      </c>
      <c r="G610" s="6" t="s">
        <v>181</v>
      </c>
      <c r="H610" s="2" t="s">
        <v>1522</v>
      </c>
      <c r="I610" s="2" t="s">
        <v>1469</v>
      </c>
      <c r="J610" s="2" t="s">
        <v>19</v>
      </c>
      <c r="K610" s="2" t="s">
        <v>353</v>
      </c>
      <c r="L610" s="7" t="str">
        <f>HYPERLINK("http://slimages.macys.com/is/image/MCY/13683315 ")</f>
        <v xml:space="preserve">http://slimages.macys.com/is/image/MCY/13683315 </v>
      </c>
    </row>
    <row r="611" spans="1:12" ht="24.75" x14ac:dyDescent="0.25">
      <c r="A611" s="4" t="s">
        <v>13248</v>
      </c>
      <c r="B611" s="2" t="s">
        <v>11092</v>
      </c>
      <c r="C611" s="3">
        <v>1</v>
      </c>
      <c r="D611" s="5">
        <v>24.99</v>
      </c>
      <c r="E611" s="3" t="s">
        <v>11093</v>
      </c>
      <c r="F611" s="2" t="s">
        <v>26</v>
      </c>
      <c r="G611" s="6" t="s">
        <v>156</v>
      </c>
      <c r="H611" s="2" t="s">
        <v>1522</v>
      </c>
      <c r="I611" s="2" t="s">
        <v>1469</v>
      </c>
      <c r="J611" s="2" t="s">
        <v>19</v>
      </c>
      <c r="K611" s="2" t="s">
        <v>353</v>
      </c>
      <c r="L611" s="7" t="str">
        <f>HYPERLINK("http://slimages.macys.com/is/image/MCY/13683315 ")</f>
        <v xml:space="preserve">http://slimages.macys.com/is/image/MCY/13683315 </v>
      </c>
    </row>
    <row r="612" spans="1:12" ht="24.75" x14ac:dyDescent="0.25">
      <c r="A612" s="4" t="s">
        <v>13249</v>
      </c>
      <c r="B612" s="2" t="s">
        <v>12303</v>
      </c>
      <c r="C612" s="3">
        <v>1</v>
      </c>
      <c r="D612" s="5">
        <v>30</v>
      </c>
      <c r="E612" s="3" t="s">
        <v>12304</v>
      </c>
      <c r="F612" s="2" t="s">
        <v>74</v>
      </c>
      <c r="G612" s="6"/>
      <c r="H612" s="2" t="s">
        <v>447</v>
      </c>
      <c r="I612" s="2" t="s">
        <v>792</v>
      </c>
      <c r="J612" s="2" t="s">
        <v>2474</v>
      </c>
      <c r="K612" s="2" t="s">
        <v>160</v>
      </c>
      <c r="L612" s="7" t="str">
        <f>HYPERLINK("http://slimages.macys.com/is/image/MCY/1707499 ")</f>
        <v xml:space="preserve">http://slimages.macys.com/is/image/MCY/1707499 </v>
      </c>
    </row>
    <row r="613" spans="1:12" ht="24.75" x14ac:dyDescent="0.25">
      <c r="A613" s="4" t="s">
        <v>1592</v>
      </c>
      <c r="B613" s="2" t="s">
        <v>1593</v>
      </c>
      <c r="C613" s="3">
        <v>1</v>
      </c>
      <c r="D613" s="5">
        <v>30</v>
      </c>
      <c r="E613" s="3" t="s">
        <v>1594</v>
      </c>
      <c r="F613" s="2" t="s">
        <v>74</v>
      </c>
      <c r="G613" s="6" t="s">
        <v>794</v>
      </c>
      <c r="H613" s="2" t="s">
        <v>447</v>
      </c>
      <c r="I613" s="2" t="s">
        <v>792</v>
      </c>
      <c r="J613" s="2" t="s">
        <v>1499</v>
      </c>
      <c r="K613" s="2" t="s">
        <v>160</v>
      </c>
      <c r="L613" s="7" t="str">
        <f>HYPERLINK("http://slimages.macys.com/is/image/MCY/1157340 ")</f>
        <v xml:space="preserve">http://slimages.macys.com/is/image/MCY/1157340 </v>
      </c>
    </row>
    <row r="614" spans="1:12" ht="24.75" x14ac:dyDescent="0.25">
      <c r="A614" s="4" t="s">
        <v>13250</v>
      </c>
      <c r="B614" s="2" t="s">
        <v>1593</v>
      </c>
      <c r="C614" s="3">
        <v>1</v>
      </c>
      <c r="D614" s="5">
        <v>30</v>
      </c>
      <c r="E614" s="3" t="s">
        <v>1594</v>
      </c>
      <c r="F614" s="2" t="s">
        <v>74</v>
      </c>
      <c r="G614" s="6" t="s">
        <v>791</v>
      </c>
      <c r="H614" s="2" t="s">
        <v>447</v>
      </c>
      <c r="I614" s="2" t="s">
        <v>792</v>
      </c>
      <c r="J614" s="2" t="s">
        <v>1499</v>
      </c>
      <c r="K614" s="2" t="s">
        <v>160</v>
      </c>
      <c r="L614" s="7" t="str">
        <f>HYPERLINK("http://slimages.macys.com/is/image/MCY/1157340 ")</f>
        <v xml:space="preserve">http://slimages.macys.com/is/image/MCY/1157340 </v>
      </c>
    </row>
    <row r="615" spans="1:12" ht="24.75" x14ac:dyDescent="0.25">
      <c r="A615" s="4" t="s">
        <v>13251</v>
      </c>
      <c r="B615" s="2" t="s">
        <v>1600</v>
      </c>
      <c r="C615" s="3">
        <v>1</v>
      </c>
      <c r="D615" s="5">
        <v>21.99</v>
      </c>
      <c r="E615" s="3" t="s">
        <v>1601</v>
      </c>
      <c r="F615" s="2" t="s">
        <v>252</v>
      </c>
      <c r="G615" s="6"/>
      <c r="H615" s="2" t="s">
        <v>1425</v>
      </c>
      <c r="I615" s="2" t="s">
        <v>1426</v>
      </c>
      <c r="J615" s="2" t="s">
        <v>19</v>
      </c>
      <c r="K615" s="2" t="s">
        <v>34</v>
      </c>
      <c r="L615" s="7" t="str">
        <f>HYPERLINK("http://slimages.macys.com/is/image/MCY/11174709 ")</f>
        <v xml:space="preserve">http://slimages.macys.com/is/image/MCY/11174709 </v>
      </c>
    </row>
    <row r="616" spans="1:12" ht="24.75" x14ac:dyDescent="0.25">
      <c r="A616" s="4" t="s">
        <v>7564</v>
      </c>
      <c r="B616" s="2" t="s">
        <v>1616</v>
      </c>
      <c r="C616" s="3">
        <v>1</v>
      </c>
      <c r="D616" s="5">
        <v>25.88</v>
      </c>
      <c r="E616" s="3">
        <v>100011992</v>
      </c>
      <c r="F616" s="2" t="s">
        <v>26</v>
      </c>
      <c r="G616" s="6" t="s">
        <v>154</v>
      </c>
      <c r="H616" s="2" t="s">
        <v>194</v>
      </c>
      <c r="I616" s="2" t="s">
        <v>195</v>
      </c>
      <c r="J616" s="2" t="s">
        <v>19</v>
      </c>
      <c r="K616" s="2" t="s">
        <v>1617</v>
      </c>
      <c r="L616" s="7" t="str">
        <f>HYPERLINK("http://slimages.macys.com/is/image/MCY/13314771 ")</f>
        <v xml:space="preserve">http://slimages.macys.com/is/image/MCY/13314771 </v>
      </c>
    </row>
    <row r="617" spans="1:12" ht="24.75" x14ac:dyDescent="0.25">
      <c r="A617" s="4" t="s">
        <v>13252</v>
      </c>
      <c r="B617" s="2" t="s">
        <v>1529</v>
      </c>
      <c r="C617" s="3">
        <v>1</v>
      </c>
      <c r="D617" s="5">
        <v>37.130000000000003</v>
      </c>
      <c r="E617" s="3" t="s">
        <v>1530</v>
      </c>
      <c r="F617" s="2" t="s">
        <v>74</v>
      </c>
      <c r="G617" s="6" t="s">
        <v>126</v>
      </c>
      <c r="H617" s="2" t="s">
        <v>312</v>
      </c>
      <c r="I617" s="2" t="s">
        <v>195</v>
      </c>
      <c r="J617" s="2" t="s">
        <v>19</v>
      </c>
      <c r="K617" s="2" t="s">
        <v>353</v>
      </c>
      <c r="L617" s="7" t="str">
        <f>HYPERLINK("http://slimages.macys.com/is/image/MCY/11938040 ")</f>
        <v xml:space="preserve">http://slimages.macys.com/is/image/MCY/11938040 </v>
      </c>
    </row>
    <row r="618" spans="1:12" ht="24.75" x14ac:dyDescent="0.25">
      <c r="A618" s="4" t="s">
        <v>3988</v>
      </c>
      <c r="B618" s="2" t="s">
        <v>1529</v>
      </c>
      <c r="C618" s="3">
        <v>1</v>
      </c>
      <c r="D618" s="5">
        <v>37.130000000000003</v>
      </c>
      <c r="E618" s="3" t="s">
        <v>1530</v>
      </c>
      <c r="F618" s="2" t="s">
        <v>74</v>
      </c>
      <c r="G618" s="6" t="s">
        <v>802</v>
      </c>
      <c r="H618" s="2" t="s">
        <v>312</v>
      </c>
      <c r="I618" s="2" t="s">
        <v>195</v>
      </c>
      <c r="J618" s="2" t="s">
        <v>19</v>
      </c>
      <c r="K618" s="2" t="s">
        <v>353</v>
      </c>
      <c r="L618" s="7" t="str">
        <f>HYPERLINK("http://slimages.macys.com/is/image/MCY/11938040 ")</f>
        <v xml:space="preserve">http://slimages.macys.com/is/image/MCY/11938040 </v>
      </c>
    </row>
    <row r="619" spans="1:12" ht="24.75" x14ac:dyDescent="0.25">
      <c r="A619" s="4" t="s">
        <v>1625</v>
      </c>
      <c r="B619" s="2" t="s">
        <v>1529</v>
      </c>
      <c r="C619" s="3">
        <v>1</v>
      </c>
      <c r="D619" s="5">
        <v>37.130000000000003</v>
      </c>
      <c r="E619" s="3" t="s">
        <v>1530</v>
      </c>
      <c r="F619" s="2" t="s">
        <v>998</v>
      </c>
      <c r="G619" s="6" t="s">
        <v>126</v>
      </c>
      <c r="H619" s="2" t="s">
        <v>312</v>
      </c>
      <c r="I619" s="2" t="s">
        <v>195</v>
      </c>
      <c r="J619" s="2" t="s">
        <v>19</v>
      </c>
      <c r="K619" s="2" t="s">
        <v>353</v>
      </c>
      <c r="L619" s="7" t="str">
        <f>HYPERLINK("http://slimages.macys.com/is/image/MCY/11938040 ")</f>
        <v xml:space="preserve">http://slimages.macys.com/is/image/MCY/11938040 </v>
      </c>
    </row>
    <row r="620" spans="1:12" ht="24.75" x14ac:dyDescent="0.25">
      <c r="A620" s="4" t="s">
        <v>1622</v>
      </c>
      <c r="B620" s="2" t="s">
        <v>1529</v>
      </c>
      <c r="C620" s="3">
        <v>2</v>
      </c>
      <c r="D620" s="5">
        <v>37.130000000000003</v>
      </c>
      <c r="E620" s="3" t="s">
        <v>1530</v>
      </c>
      <c r="F620" s="2" t="s">
        <v>998</v>
      </c>
      <c r="G620" s="6" t="s">
        <v>802</v>
      </c>
      <c r="H620" s="2" t="s">
        <v>312</v>
      </c>
      <c r="I620" s="2" t="s">
        <v>195</v>
      </c>
      <c r="J620" s="2" t="s">
        <v>19</v>
      </c>
      <c r="K620" s="2" t="s">
        <v>353</v>
      </c>
      <c r="L620" s="7" t="str">
        <f>HYPERLINK("http://slimages.macys.com/is/image/MCY/11938040 ")</f>
        <v xml:space="preserve">http://slimages.macys.com/is/image/MCY/11938040 </v>
      </c>
    </row>
    <row r="621" spans="1:12" ht="24.75" x14ac:dyDescent="0.25">
      <c r="A621" s="4" t="s">
        <v>13253</v>
      </c>
      <c r="B621" s="2" t="s">
        <v>2856</v>
      </c>
      <c r="C621" s="3">
        <v>1</v>
      </c>
      <c r="D621" s="5">
        <v>24.99</v>
      </c>
      <c r="E621" s="3" t="s">
        <v>13254</v>
      </c>
      <c r="F621" s="2" t="s">
        <v>15</v>
      </c>
      <c r="G621" s="6" t="s">
        <v>156</v>
      </c>
      <c r="H621" s="2" t="s">
        <v>1473</v>
      </c>
      <c r="I621" s="2" t="s">
        <v>1426</v>
      </c>
      <c r="J621" s="2" t="s">
        <v>19</v>
      </c>
      <c r="K621" s="2" t="s">
        <v>495</v>
      </c>
      <c r="L621" s="7" t="str">
        <f>HYPERLINK("http://slimages.macys.com/is/image/MCY/11831271 ")</f>
        <v xml:space="preserve">http://slimages.macys.com/is/image/MCY/11831271 </v>
      </c>
    </row>
    <row r="622" spans="1:12" ht="24.75" x14ac:dyDescent="0.25">
      <c r="A622" s="4" t="s">
        <v>13255</v>
      </c>
      <c r="B622" s="2" t="s">
        <v>13256</v>
      </c>
      <c r="C622" s="3">
        <v>1</v>
      </c>
      <c r="D622" s="5">
        <v>21.6</v>
      </c>
      <c r="E622" s="3" t="s">
        <v>13257</v>
      </c>
      <c r="F622" s="2" t="s">
        <v>1914</v>
      </c>
      <c r="G622" s="6" t="s">
        <v>154</v>
      </c>
      <c r="H622" s="2" t="s">
        <v>10225</v>
      </c>
      <c r="I622" s="2" t="s">
        <v>792</v>
      </c>
      <c r="J622" s="2" t="s">
        <v>19</v>
      </c>
      <c r="K622" s="2" t="s">
        <v>3428</v>
      </c>
      <c r="L622" s="7" t="str">
        <f>HYPERLINK("http://slimages.macys.com/is/image/MCY/10889729 ")</f>
        <v xml:space="preserve">http://slimages.macys.com/is/image/MCY/10889729 </v>
      </c>
    </row>
    <row r="623" spans="1:12" ht="24.75" x14ac:dyDescent="0.25">
      <c r="A623" s="4" t="s">
        <v>13258</v>
      </c>
      <c r="B623" s="2" t="s">
        <v>13259</v>
      </c>
      <c r="C623" s="3">
        <v>1</v>
      </c>
      <c r="D623" s="5">
        <v>26.4</v>
      </c>
      <c r="E623" s="3" t="s">
        <v>13260</v>
      </c>
      <c r="F623" s="2" t="s">
        <v>671</v>
      </c>
      <c r="G623" s="6" t="s">
        <v>181</v>
      </c>
      <c r="H623" s="2" t="s">
        <v>10225</v>
      </c>
      <c r="I623" s="2" t="s">
        <v>792</v>
      </c>
      <c r="J623" s="2" t="s">
        <v>19</v>
      </c>
      <c r="K623" s="2" t="s">
        <v>160</v>
      </c>
      <c r="L623" s="7" t="str">
        <f>HYPERLINK("http://slimages.macys.com/is/image/MCY/10310807 ")</f>
        <v xml:space="preserve">http://slimages.macys.com/is/image/MCY/10310807 </v>
      </c>
    </row>
    <row r="624" spans="1:12" ht="24.75" x14ac:dyDescent="0.25">
      <c r="A624" s="4" t="s">
        <v>13261</v>
      </c>
      <c r="B624" s="2" t="s">
        <v>5066</v>
      </c>
      <c r="C624" s="3">
        <v>1</v>
      </c>
      <c r="D624" s="5">
        <v>21.99</v>
      </c>
      <c r="E624" s="3" t="s">
        <v>5067</v>
      </c>
      <c r="F624" s="2" t="s">
        <v>26</v>
      </c>
      <c r="G624" s="6" t="s">
        <v>154</v>
      </c>
      <c r="H624" s="2" t="s">
        <v>194</v>
      </c>
      <c r="I624" s="2" t="s">
        <v>503</v>
      </c>
      <c r="J624" s="2" t="s">
        <v>19</v>
      </c>
      <c r="K624" s="2" t="s">
        <v>353</v>
      </c>
      <c r="L624" s="7" t="str">
        <f>HYPERLINK("http://slimages.macys.com/is/image/MCY/9824930 ")</f>
        <v xml:space="preserve">http://slimages.macys.com/is/image/MCY/9824930 </v>
      </c>
    </row>
    <row r="625" spans="1:12" ht="24.75" x14ac:dyDescent="0.25">
      <c r="A625" s="4" t="s">
        <v>6748</v>
      </c>
      <c r="B625" s="2" t="s">
        <v>5066</v>
      </c>
      <c r="C625" s="3">
        <v>1</v>
      </c>
      <c r="D625" s="5">
        <v>21.99</v>
      </c>
      <c r="E625" s="3" t="s">
        <v>5067</v>
      </c>
      <c r="F625" s="2" t="s">
        <v>26</v>
      </c>
      <c r="G625" s="6" t="s">
        <v>234</v>
      </c>
      <c r="H625" s="2" t="s">
        <v>194</v>
      </c>
      <c r="I625" s="2" t="s">
        <v>503</v>
      </c>
      <c r="J625" s="2" t="s">
        <v>19</v>
      </c>
      <c r="K625" s="2" t="s">
        <v>353</v>
      </c>
      <c r="L625" s="7" t="str">
        <f>HYPERLINK("http://slimages.macys.com/is/image/MCY/9824930 ")</f>
        <v xml:space="preserve">http://slimages.macys.com/is/image/MCY/9824930 </v>
      </c>
    </row>
    <row r="626" spans="1:12" ht="24.75" x14ac:dyDescent="0.25">
      <c r="A626" s="4" t="s">
        <v>13262</v>
      </c>
      <c r="B626" s="2" t="s">
        <v>5066</v>
      </c>
      <c r="C626" s="3">
        <v>2</v>
      </c>
      <c r="D626" s="5">
        <v>21.99</v>
      </c>
      <c r="E626" s="3" t="s">
        <v>5067</v>
      </c>
      <c r="F626" s="2" t="s">
        <v>26</v>
      </c>
      <c r="G626" s="6" t="s">
        <v>181</v>
      </c>
      <c r="H626" s="2" t="s">
        <v>194</v>
      </c>
      <c r="I626" s="2" t="s">
        <v>503</v>
      </c>
      <c r="J626" s="2" t="s">
        <v>19</v>
      </c>
      <c r="K626" s="2" t="s">
        <v>353</v>
      </c>
      <c r="L626" s="7" t="str">
        <f>HYPERLINK("http://slimages.macys.com/is/image/MCY/9824930 ")</f>
        <v xml:space="preserve">http://slimages.macys.com/is/image/MCY/9824930 </v>
      </c>
    </row>
    <row r="627" spans="1:12" ht="24.75" x14ac:dyDescent="0.25">
      <c r="A627" s="4" t="s">
        <v>13263</v>
      </c>
      <c r="B627" s="2" t="s">
        <v>1572</v>
      </c>
      <c r="C627" s="3">
        <v>1</v>
      </c>
      <c r="D627" s="5">
        <v>36.5</v>
      </c>
      <c r="E627" s="3" t="s">
        <v>8764</v>
      </c>
      <c r="F627" s="2" t="s">
        <v>820</v>
      </c>
      <c r="G627" s="6"/>
      <c r="H627" s="2" t="s">
        <v>312</v>
      </c>
      <c r="I627" s="2" t="s">
        <v>195</v>
      </c>
      <c r="J627" s="2" t="s">
        <v>19</v>
      </c>
      <c r="K627" s="2" t="s">
        <v>247</v>
      </c>
      <c r="L627" s="7" t="str">
        <f>HYPERLINK("http://slimages.macys.com/is/image/MCY/12063852 ")</f>
        <v xml:space="preserve">http://slimages.macys.com/is/image/MCY/12063852 </v>
      </c>
    </row>
    <row r="628" spans="1:12" ht="24.75" x14ac:dyDescent="0.25">
      <c r="A628" s="4" t="s">
        <v>9692</v>
      </c>
      <c r="B628" s="2" t="s">
        <v>1635</v>
      </c>
      <c r="C628" s="3">
        <v>1</v>
      </c>
      <c r="D628" s="5">
        <v>25.88</v>
      </c>
      <c r="E628" s="3">
        <v>100011992</v>
      </c>
      <c r="F628" s="2" t="s">
        <v>33</v>
      </c>
      <c r="G628" s="6" t="s">
        <v>156</v>
      </c>
      <c r="H628" s="2" t="s">
        <v>194</v>
      </c>
      <c r="I628" s="2" t="s">
        <v>195</v>
      </c>
      <c r="J628" s="2" t="s">
        <v>19</v>
      </c>
      <c r="K628" s="2" t="s">
        <v>1617</v>
      </c>
      <c r="L628" s="7" t="str">
        <f>HYPERLINK("http://slimages.macys.com/is/image/MCY/13314771 ")</f>
        <v xml:space="preserve">http://slimages.macys.com/is/image/MCY/13314771 </v>
      </c>
    </row>
    <row r="629" spans="1:12" ht="24.75" x14ac:dyDescent="0.25">
      <c r="A629" s="4" t="s">
        <v>12306</v>
      </c>
      <c r="B629" s="2" t="s">
        <v>1478</v>
      </c>
      <c r="C629" s="3">
        <v>1</v>
      </c>
      <c r="D629" s="5">
        <v>29.99</v>
      </c>
      <c r="E629" s="3" t="s">
        <v>9694</v>
      </c>
      <c r="F629" s="2" t="s">
        <v>53</v>
      </c>
      <c r="G629" s="6" t="s">
        <v>154</v>
      </c>
      <c r="H629" s="2" t="s">
        <v>246</v>
      </c>
      <c r="I629" s="2" t="s">
        <v>3504</v>
      </c>
      <c r="J629" s="2" t="s">
        <v>19</v>
      </c>
      <c r="K629" s="2" t="s">
        <v>1480</v>
      </c>
      <c r="L629" s="7" t="str">
        <f>HYPERLINK("http://slimages.macys.com/is/image/MCY/10048328 ")</f>
        <v xml:space="preserve">http://slimages.macys.com/is/image/MCY/10048328 </v>
      </c>
    </row>
    <row r="630" spans="1:12" x14ac:dyDescent="0.25">
      <c r="A630" s="4" t="s">
        <v>13264</v>
      </c>
      <c r="B630" s="2" t="s">
        <v>1642</v>
      </c>
      <c r="C630" s="3">
        <v>1</v>
      </c>
      <c r="D630" s="5">
        <v>49.5</v>
      </c>
      <c r="E630" s="3" t="s">
        <v>1643</v>
      </c>
      <c r="F630" s="2" t="s">
        <v>566</v>
      </c>
      <c r="G630" s="6" t="s">
        <v>219</v>
      </c>
      <c r="H630" s="2" t="s">
        <v>206</v>
      </c>
      <c r="I630" s="2" t="s">
        <v>207</v>
      </c>
      <c r="J630" s="2" t="s">
        <v>19</v>
      </c>
      <c r="K630" s="2" t="s">
        <v>160</v>
      </c>
      <c r="L630" s="7" t="str">
        <f>HYPERLINK("http://slimages.macys.com/is/image/MCY/13936546 ")</f>
        <v xml:space="preserve">http://slimages.macys.com/is/image/MCY/13936546 </v>
      </c>
    </row>
    <row r="631" spans="1:12" x14ac:dyDescent="0.25">
      <c r="A631" s="4" t="s">
        <v>13265</v>
      </c>
      <c r="B631" s="2" t="s">
        <v>1642</v>
      </c>
      <c r="C631" s="3">
        <v>1</v>
      </c>
      <c r="D631" s="5">
        <v>49.5</v>
      </c>
      <c r="E631" s="3" t="s">
        <v>1643</v>
      </c>
      <c r="F631" s="2" t="s">
        <v>74</v>
      </c>
      <c r="G631" s="6" t="s">
        <v>219</v>
      </c>
      <c r="H631" s="2" t="s">
        <v>206</v>
      </c>
      <c r="I631" s="2" t="s">
        <v>207</v>
      </c>
      <c r="J631" s="2" t="s">
        <v>19</v>
      </c>
      <c r="K631" s="2" t="s">
        <v>160</v>
      </c>
      <c r="L631" s="7" t="str">
        <f>HYPERLINK("http://slimages.macys.com/is/image/MCY/13936546 ")</f>
        <v xml:space="preserve">http://slimages.macys.com/is/image/MCY/13936546 </v>
      </c>
    </row>
    <row r="632" spans="1:12" ht="24.75" x14ac:dyDescent="0.25">
      <c r="A632" s="4" t="s">
        <v>13266</v>
      </c>
      <c r="B632" s="2" t="s">
        <v>1627</v>
      </c>
      <c r="C632" s="3">
        <v>1</v>
      </c>
      <c r="D632" s="5">
        <v>25.88</v>
      </c>
      <c r="E632" s="3" t="s">
        <v>11104</v>
      </c>
      <c r="F632" s="2" t="s">
        <v>74</v>
      </c>
      <c r="G632" s="6" t="s">
        <v>181</v>
      </c>
      <c r="H632" s="2" t="s">
        <v>194</v>
      </c>
      <c r="I632" s="2" t="s">
        <v>195</v>
      </c>
      <c r="J632" s="2" t="s">
        <v>19</v>
      </c>
      <c r="K632" s="2" t="s">
        <v>1629</v>
      </c>
      <c r="L632" s="7" t="str">
        <f>HYPERLINK("http://slimages.macys.com/is/image/MCY/3276758 ")</f>
        <v xml:space="preserve">http://slimages.macys.com/is/image/MCY/3276758 </v>
      </c>
    </row>
    <row r="633" spans="1:12" ht="24.75" x14ac:dyDescent="0.25">
      <c r="A633" s="4" t="s">
        <v>11108</v>
      </c>
      <c r="B633" s="2" t="s">
        <v>1689</v>
      </c>
      <c r="C633" s="3">
        <v>1</v>
      </c>
      <c r="D633" s="5">
        <v>25.88</v>
      </c>
      <c r="E633" s="3" t="s">
        <v>1690</v>
      </c>
      <c r="F633" s="2" t="s">
        <v>170</v>
      </c>
      <c r="G633" s="6" t="s">
        <v>181</v>
      </c>
      <c r="H633" s="2" t="s">
        <v>194</v>
      </c>
      <c r="I633" s="2" t="s">
        <v>195</v>
      </c>
      <c r="J633" s="2" t="s">
        <v>19</v>
      </c>
      <c r="K633" s="2" t="s">
        <v>648</v>
      </c>
      <c r="L633" s="7" t="str">
        <f>HYPERLINK("http://slimages.macys.com/is/image/MCY/3650047 ")</f>
        <v xml:space="preserve">http://slimages.macys.com/is/image/MCY/3650047 </v>
      </c>
    </row>
    <row r="634" spans="1:12" ht="24.75" x14ac:dyDescent="0.25">
      <c r="A634" s="4" t="s">
        <v>2888</v>
      </c>
      <c r="B634" s="2" t="s">
        <v>1689</v>
      </c>
      <c r="C634" s="3">
        <v>1</v>
      </c>
      <c r="D634" s="5">
        <v>25.88</v>
      </c>
      <c r="E634" s="3" t="s">
        <v>1690</v>
      </c>
      <c r="F634" s="2" t="s">
        <v>1584</v>
      </c>
      <c r="G634" s="6" t="s">
        <v>154</v>
      </c>
      <c r="H634" s="2" t="s">
        <v>194</v>
      </c>
      <c r="I634" s="2" t="s">
        <v>195</v>
      </c>
      <c r="J634" s="2" t="s">
        <v>19</v>
      </c>
      <c r="K634" s="2" t="s">
        <v>648</v>
      </c>
      <c r="L634" s="7" t="str">
        <f>HYPERLINK("http://slimages.macys.com/is/image/MCY/3650047 ")</f>
        <v xml:space="preserve">http://slimages.macys.com/is/image/MCY/3650047 </v>
      </c>
    </row>
    <row r="635" spans="1:12" ht="24.75" x14ac:dyDescent="0.25">
      <c r="A635" s="4" t="s">
        <v>13267</v>
      </c>
      <c r="B635" s="2" t="s">
        <v>1683</v>
      </c>
      <c r="C635" s="3">
        <v>1</v>
      </c>
      <c r="D635" s="5">
        <v>37.130000000000003</v>
      </c>
      <c r="E635" s="3" t="s">
        <v>11111</v>
      </c>
      <c r="F635" s="2" t="s">
        <v>566</v>
      </c>
      <c r="G635" s="6" t="s">
        <v>154</v>
      </c>
      <c r="H635" s="2" t="s">
        <v>194</v>
      </c>
      <c r="I635" s="2" t="s">
        <v>195</v>
      </c>
      <c r="J635" s="2" t="s">
        <v>19</v>
      </c>
      <c r="K635" s="2" t="s">
        <v>247</v>
      </c>
      <c r="L635" s="7" t="str">
        <f>HYPERLINK("http://slimages.macys.com/is/image/MCY/13121030 ")</f>
        <v xml:space="preserve">http://slimages.macys.com/is/image/MCY/13121030 </v>
      </c>
    </row>
    <row r="636" spans="1:12" ht="24.75" x14ac:dyDescent="0.25">
      <c r="A636" s="4" t="s">
        <v>5075</v>
      </c>
      <c r="B636" s="2" t="s">
        <v>1692</v>
      </c>
      <c r="C636" s="3">
        <v>1</v>
      </c>
      <c r="D636" s="5">
        <v>24.37</v>
      </c>
      <c r="E636" s="3" t="s">
        <v>5076</v>
      </c>
      <c r="F636" s="2" t="s">
        <v>5077</v>
      </c>
      <c r="G636" s="6" t="s">
        <v>234</v>
      </c>
      <c r="H636" s="2" t="s">
        <v>194</v>
      </c>
      <c r="I636" s="2" t="s">
        <v>580</v>
      </c>
      <c r="J636" s="2" t="s">
        <v>19</v>
      </c>
      <c r="K636" s="2" t="s">
        <v>137</v>
      </c>
      <c r="L636" s="7" t="str">
        <f>HYPERLINK("http://slimages.macys.com/is/image/MCY/16404085 ")</f>
        <v xml:space="preserve">http://slimages.macys.com/is/image/MCY/16404085 </v>
      </c>
    </row>
    <row r="637" spans="1:12" ht="24.75" x14ac:dyDescent="0.25">
      <c r="A637" s="4" t="s">
        <v>13268</v>
      </c>
      <c r="B637" s="2" t="s">
        <v>11113</v>
      </c>
      <c r="C637" s="3">
        <v>1</v>
      </c>
      <c r="D637" s="5">
        <v>25.88</v>
      </c>
      <c r="E637" s="3" t="s">
        <v>11114</v>
      </c>
      <c r="F637" s="2" t="s">
        <v>413</v>
      </c>
      <c r="G637" s="6" t="s">
        <v>234</v>
      </c>
      <c r="H637" s="2" t="s">
        <v>194</v>
      </c>
      <c r="I637" s="2" t="s">
        <v>580</v>
      </c>
      <c r="J637" s="2" t="s">
        <v>19</v>
      </c>
      <c r="K637" s="2" t="s">
        <v>137</v>
      </c>
      <c r="L637" s="7" t="str">
        <f>HYPERLINK("http://slimages.macys.com/is/image/MCY/16404085 ")</f>
        <v xml:space="preserve">http://slimages.macys.com/is/image/MCY/16404085 </v>
      </c>
    </row>
    <row r="638" spans="1:12" ht="24.75" x14ac:dyDescent="0.25">
      <c r="A638" s="4" t="s">
        <v>5078</v>
      </c>
      <c r="B638" s="2" t="s">
        <v>1692</v>
      </c>
      <c r="C638" s="3">
        <v>1</v>
      </c>
      <c r="D638" s="5">
        <v>24.37</v>
      </c>
      <c r="E638" s="3" t="s">
        <v>5076</v>
      </c>
      <c r="F638" s="2" t="s">
        <v>5077</v>
      </c>
      <c r="G638" s="6" t="s">
        <v>156</v>
      </c>
      <c r="H638" s="2" t="s">
        <v>194</v>
      </c>
      <c r="I638" s="2" t="s">
        <v>580</v>
      </c>
      <c r="J638" s="2" t="s">
        <v>19</v>
      </c>
      <c r="K638" s="2" t="s">
        <v>137</v>
      </c>
      <c r="L638" s="7" t="str">
        <f>HYPERLINK("http://slimages.macys.com/is/image/MCY/16404085 ")</f>
        <v xml:space="preserve">http://slimages.macys.com/is/image/MCY/16404085 </v>
      </c>
    </row>
    <row r="639" spans="1:12" ht="24.75" x14ac:dyDescent="0.25">
      <c r="A639" s="4" t="s">
        <v>13269</v>
      </c>
      <c r="B639" s="2" t="s">
        <v>1692</v>
      </c>
      <c r="C639" s="3">
        <v>1</v>
      </c>
      <c r="D639" s="5">
        <v>24.37</v>
      </c>
      <c r="E639" s="3" t="s">
        <v>13270</v>
      </c>
      <c r="F639" s="2" t="s">
        <v>1788</v>
      </c>
      <c r="G639" s="6" t="s">
        <v>234</v>
      </c>
      <c r="H639" s="2" t="s">
        <v>194</v>
      </c>
      <c r="I639" s="2" t="s">
        <v>580</v>
      </c>
      <c r="J639" s="2" t="s">
        <v>19</v>
      </c>
      <c r="K639" s="2" t="s">
        <v>137</v>
      </c>
      <c r="L639" s="7" t="str">
        <f>HYPERLINK("http://slimages.macys.com/is/image/MCY/16404085 ")</f>
        <v xml:space="preserve">http://slimages.macys.com/is/image/MCY/16404085 </v>
      </c>
    </row>
    <row r="640" spans="1:12" ht="24.75" x14ac:dyDescent="0.25">
      <c r="A640" s="4" t="s">
        <v>13271</v>
      </c>
      <c r="B640" s="2" t="s">
        <v>12313</v>
      </c>
      <c r="C640" s="3">
        <v>1</v>
      </c>
      <c r="D640" s="5">
        <v>21.99</v>
      </c>
      <c r="E640" s="3" t="s">
        <v>12314</v>
      </c>
      <c r="F640" s="2" t="s">
        <v>417</v>
      </c>
      <c r="G640" s="6" t="s">
        <v>245</v>
      </c>
      <c r="H640" s="2" t="s">
        <v>1473</v>
      </c>
      <c r="I640" s="2" t="s">
        <v>1426</v>
      </c>
      <c r="J640" s="2" t="s">
        <v>19</v>
      </c>
      <c r="K640" s="2" t="s">
        <v>648</v>
      </c>
      <c r="L640" s="7" t="str">
        <f>HYPERLINK("http://slimages.macys.com/is/image/MCY/13634416 ")</f>
        <v xml:space="preserve">http://slimages.macys.com/is/image/MCY/13634416 </v>
      </c>
    </row>
    <row r="641" spans="1:12" ht="24.75" x14ac:dyDescent="0.25">
      <c r="A641" s="4" t="s">
        <v>13272</v>
      </c>
      <c r="B641" s="2" t="s">
        <v>12313</v>
      </c>
      <c r="C641" s="3">
        <v>1</v>
      </c>
      <c r="D641" s="5">
        <v>21.99</v>
      </c>
      <c r="E641" s="3" t="s">
        <v>12314</v>
      </c>
      <c r="F641" s="2" t="s">
        <v>74</v>
      </c>
      <c r="G641" s="6" t="s">
        <v>181</v>
      </c>
      <c r="H641" s="2" t="s">
        <v>1473</v>
      </c>
      <c r="I641" s="2" t="s">
        <v>1426</v>
      </c>
      <c r="J641" s="2" t="s">
        <v>19</v>
      </c>
      <c r="K641" s="2" t="s">
        <v>648</v>
      </c>
      <c r="L641" s="7" t="str">
        <f>HYPERLINK("http://slimages.macys.com/is/image/MCY/13634416 ")</f>
        <v xml:space="preserve">http://slimages.macys.com/is/image/MCY/13634416 </v>
      </c>
    </row>
    <row r="642" spans="1:12" ht="24.75" x14ac:dyDescent="0.25">
      <c r="A642" s="4" t="s">
        <v>13273</v>
      </c>
      <c r="B642" s="2" t="s">
        <v>12317</v>
      </c>
      <c r="C642" s="3">
        <v>1</v>
      </c>
      <c r="D642" s="5">
        <v>21.99</v>
      </c>
      <c r="E642" s="3" t="s">
        <v>12318</v>
      </c>
      <c r="F642" s="2" t="s">
        <v>15</v>
      </c>
      <c r="G642" s="6" t="s">
        <v>181</v>
      </c>
      <c r="H642" s="2" t="s">
        <v>284</v>
      </c>
      <c r="I642" s="2" t="s">
        <v>285</v>
      </c>
      <c r="J642" s="2" t="s">
        <v>19</v>
      </c>
      <c r="K642" s="2" t="s">
        <v>247</v>
      </c>
      <c r="L642" s="7" t="str">
        <f>HYPERLINK("http://slimages.macys.com/is/image/MCY/13924882 ")</f>
        <v xml:space="preserve">http://slimages.macys.com/is/image/MCY/13924882 </v>
      </c>
    </row>
    <row r="643" spans="1:12" ht="24.75" x14ac:dyDescent="0.25">
      <c r="A643" s="4" t="s">
        <v>13274</v>
      </c>
      <c r="B643" s="2" t="s">
        <v>11119</v>
      </c>
      <c r="C643" s="3">
        <v>1</v>
      </c>
      <c r="D643" s="5">
        <v>21.99</v>
      </c>
      <c r="E643" s="3" t="s">
        <v>11120</v>
      </c>
      <c r="F643" s="2" t="s">
        <v>5457</v>
      </c>
      <c r="G643" s="6" t="s">
        <v>200</v>
      </c>
      <c r="H643" s="2" t="s">
        <v>1473</v>
      </c>
      <c r="I643" s="2" t="s">
        <v>1426</v>
      </c>
      <c r="J643" s="2" t="s">
        <v>19</v>
      </c>
      <c r="K643" s="2" t="s">
        <v>1108</v>
      </c>
      <c r="L643" s="7" t="str">
        <f>HYPERLINK("http://slimages.macys.com/is/image/MCY/13812564 ")</f>
        <v xml:space="preserve">http://slimages.macys.com/is/image/MCY/13812564 </v>
      </c>
    </row>
    <row r="644" spans="1:12" ht="24.75" x14ac:dyDescent="0.25">
      <c r="A644" s="4" t="s">
        <v>13275</v>
      </c>
      <c r="B644" s="2" t="s">
        <v>1699</v>
      </c>
      <c r="C644" s="3">
        <v>2</v>
      </c>
      <c r="D644" s="5">
        <v>19.989999999999998</v>
      </c>
      <c r="E644" s="3" t="s">
        <v>1700</v>
      </c>
      <c r="F644" s="2" t="s">
        <v>64</v>
      </c>
      <c r="G644" s="6" t="s">
        <v>234</v>
      </c>
      <c r="H644" s="2" t="s">
        <v>1473</v>
      </c>
      <c r="I644" s="2" t="s">
        <v>1426</v>
      </c>
      <c r="J644" s="2" t="s">
        <v>19</v>
      </c>
      <c r="K644" s="2" t="s">
        <v>990</v>
      </c>
      <c r="L644" s="7" t="str">
        <f>HYPERLINK("http://slimages.macys.com/is/image/MCY/11831242 ")</f>
        <v xml:space="preserve">http://slimages.macys.com/is/image/MCY/11831242 </v>
      </c>
    </row>
    <row r="645" spans="1:12" ht="24.75" x14ac:dyDescent="0.25">
      <c r="A645" s="4" t="s">
        <v>13276</v>
      </c>
      <c r="B645" s="2" t="s">
        <v>1699</v>
      </c>
      <c r="C645" s="3">
        <v>1</v>
      </c>
      <c r="D645" s="5">
        <v>19.989999999999998</v>
      </c>
      <c r="E645" s="3" t="s">
        <v>1700</v>
      </c>
      <c r="F645" s="2" t="s">
        <v>64</v>
      </c>
      <c r="G645" s="6" t="s">
        <v>245</v>
      </c>
      <c r="H645" s="2" t="s">
        <v>1473</v>
      </c>
      <c r="I645" s="2" t="s">
        <v>1426</v>
      </c>
      <c r="J645" s="2" t="s">
        <v>19</v>
      </c>
      <c r="K645" s="2" t="s">
        <v>990</v>
      </c>
      <c r="L645" s="7" t="str">
        <f>HYPERLINK("http://slimages.macys.com/is/image/MCY/11831242 ")</f>
        <v xml:space="preserve">http://slimages.macys.com/is/image/MCY/11831242 </v>
      </c>
    </row>
    <row r="646" spans="1:12" ht="24.75" x14ac:dyDescent="0.25">
      <c r="A646" s="4" t="s">
        <v>11123</v>
      </c>
      <c r="B646" s="2" t="s">
        <v>1699</v>
      </c>
      <c r="C646" s="3">
        <v>1</v>
      </c>
      <c r="D646" s="5">
        <v>19.989999999999998</v>
      </c>
      <c r="E646" s="3" t="s">
        <v>1700</v>
      </c>
      <c r="F646" s="2" t="s">
        <v>64</v>
      </c>
      <c r="G646" s="6" t="s">
        <v>181</v>
      </c>
      <c r="H646" s="2" t="s">
        <v>1473</v>
      </c>
      <c r="I646" s="2" t="s">
        <v>1426</v>
      </c>
      <c r="J646" s="2" t="s">
        <v>19</v>
      </c>
      <c r="K646" s="2" t="s">
        <v>990</v>
      </c>
      <c r="L646" s="7" t="str">
        <f>HYPERLINK("http://slimages.macys.com/is/image/MCY/11831242 ")</f>
        <v xml:space="preserve">http://slimages.macys.com/is/image/MCY/11831242 </v>
      </c>
    </row>
    <row r="647" spans="1:12" ht="24.75" x14ac:dyDescent="0.25">
      <c r="A647" s="4" t="s">
        <v>1698</v>
      </c>
      <c r="B647" s="2" t="s">
        <v>1699</v>
      </c>
      <c r="C647" s="3">
        <v>1</v>
      </c>
      <c r="D647" s="5">
        <v>19.989999999999998</v>
      </c>
      <c r="E647" s="3" t="s">
        <v>1700</v>
      </c>
      <c r="F647" s="2" t="s">
        <v>94</v>
      </c>
      <c r="G647" s="6" t="s">
        <v>234</v>
      </c>
      <c r="H647" s="2" t="s">
        <v>1473</v>
      </c>
      <c r="I647" s="2" t="s">
        <v>1426</v>
      </c>
      <c r="J647" s="2" t="s">
        <v>19</v>
      </c>
      <c r="K647" s="2" t="s">
        <v>990</v>
      </c>
      <c r="L647" s="7" t="str">
        <f>HYPERLINK("http://slimages.macys.com/is/image/MCY/11831242 ")</f>
        <v xml:space="preserve">http://slimages.macys.com/is/image/MCY/11831242 </v>
      </c>
    </row>
    <row r="648" spans="1:12" ht="24.75" x14ac:dyDescent="0.25">
      <c r="A648" s="4" t="s">
        <v>13277</v>
      </c>
      <c r="B648" s="2" t="s">
        <v>1705</v>
      </c>
      <c r="C648" s="3">
        <v>1</v>
      </c>
      <c r="D648" s="5">
        <v>24.99</v>
      </c>
      <c r="E648" s="3" t="s">
        <v>4023</v>
      </c>
      <c r="F648" s="2" t="s">
        <v>15</v>
      </c>
      <c r="G648" s="6" t="s">
        <v>200</v>
      </c>
      <c r="H648" s="2" t="s">
        <v>1522</v>
      </c>
      <c r="I648" s="2" t="s">
        <v>1469</v>
      </c>
      <c r="J648" s="2" t="s">
        <v>19</v>
      </c>
      <c r="K648" s="2" t="s">
        <v>648</v>
      </c>
      <c r="L648" s="7" t="str">
        <f>HYPERLINK("http://slimages.macys.com/is/image/MCY/9114999 ")</f>
        <v xml:space="preserve">http://slimages.macys.com/is/image/MCY/9114999 </v>
      </c>
    </row>
    <row r="649" spans="1:12" ht="24.75" x14ac:dyDescent="0.25">
      <c r="A649" s="4" t="s">
        <v>13278</v>
      </c>
      <c r="B649" s="2" t="s">
        <v>1705</v>
      </c>
      <c r="C649" s="3">
        <v>2</v>
      </c>
      <c r="D649" s="5">
        <v>24.99</v>
      </c>
      <c r="E649" s="3" t="s">
        <v>4023</v>
      </c>
      <c r="F649" s="2" t="s">
        <v>15</v>
      </c>
      <c r="G649" s="6" t="s">
        <v>154</v>
      </c>
      <c r="H649" s="2" t="s">
        <v>1522</v>
      </c>
      <c r="I649" s="2" t="s">
        <v>1469</v>
      </c>
      <c r="J649" s="2" t="s">
        <v>19</v>
      </c>
      <c r="K649" s="2" t="s">
        <v>648</v>
      </c>
      <c r="L649" s="7" t="str">
        <f>HYPERLINK("http://slimages.macys.com/is/image/MCY/9114999 ")</f>
        <v xml:space="preserve">http://slimages.macys.com/is/image/MCY/9114999 </v>
      </c>
    </row>
    <row r="650" spans="1:12" ht="24.75" x14ac:dyDescent="0.25">
      <c r="A650" s="4" t="s">
        <v>13279</v>
      </c>
      <c r="B650" s="2" t="s">
        <v>1712</v>
      </c>
      <c r="C650" s="3">
        <v>1</v>
      </c>
      <c r="D650" s="5">
        <v>19.989999999999998</v>
      </c>
      <c r="E650" s="3" t="s">
        <v>13280</v>
      </c>
      <c r="F650" s="2" t="s">
        <v>74</v>
      </c>
      <c r="G650" s="6" t="s">
        <v>245</v>
      </c>
      <c r="H650" s="2" t="s">
        <v>194</v>
      </c>
      <c r="I650" s="2" t="s">
        <v>195</v>
      </c>
      <c r="J650" s="2" t="s">
        <v>19</v>
      </c>
      <c r="K650" s="2" t="s">
        <v>160</v>
      </c>
      <c r="L650" s="7" t="str">
        <f>HYPERLINK("http://slimages.macys.com/is/image/MCY/12405238 ")</f>
        <v xml:space="preserve">http://slimages.macys.com/is/image/MCY/12405238 </v>
      </c>
    </row>
    <row r="651" spans="1:12" ht="24.75" x14ac:dyDescent="0.25">
      <c r="A651" s="4" t="s">
        <v>13281</v>
      </c>
      <c r="B651" s="2" t="s">
        <v>12332</v>
      </c>
      <c r="C651" s="3">
        <v>1</v>
      </c>
      <c r="D651" s="5">
        <v>29.7</v>
      </c>
      <c r="E651" s="3" t="s">
        <v>12333</v>
      </c>
      <c r="F651" s="2" t="s">
        <v>74</v>
      </c>
      <c r="G651" s="6" t="s">
        <v>2276</v>
      </c>
      <c r="H651" s="2" t="s">
        <v>349</v>
      </c>
      <c r="I651" s="2" t="s">
        <v>285</v>
      </c>
      <c r="J651" s="2" t="s">
        <v>19</v>
      </c>
      <c r="K651" s="2" t="s">
        <v>160</v>
      </c>
      <c r="L651" s="7" t="str">
        <f>HYPERLINK("http://slimages.macys.com/is/image/MCY/15198495 ")</f>
        <v xml:space="preserve">http://slimages.macys.com/is/image/MCY/15198495 </v>
      </c>
    </row>
    <row r="652" spans="1:12" ht="24.75" x14ac:dyDescent="0.25">
      <c r="A652" s="4" t="s">
        <v>13282</v>
      </c>
      <c r="B652" s="2" t="s">
        <v>1712</v>
      </c>
      <c r="C652" s="3">
        <v>1</v>
      </c>
      <c r="D652" s="5">
        <v>19.989999999999998</v>
      </c>
      <c r="E652" s="3" t="s">
        <v>13280</v>
      </c>
      <c r="F652" s="2" t="s">
        <v>74</v>
      </c>
      <c r="G652" s="6" t="s">
        <v>154</v>
      </c>
      <c r="H652" s="2" t="s">
        <v>194</v>
      </c>
      <c r="I652" s="2" t="s">
        <v>195</v>
      </c>
      <c r="J652" s="2" t="s">
        <v>19</v>
      </c>
      <c r="K652" s="2" t="s">
        <v>160</v>
      </c>
      <c r="L652" s="7" t="str">
        <f>HYPERLINK("http://slimages.macys.com/is/image/MCY/12405238 ")</f>
        <v xml:space="preserve">http://slimages.macys.com/is/image/MCY/12405238 </v>
      </c>
    </row>
    <row r="653" spans="1:12" ht="24.75" x14ac:dyDescent="0.25">
      <c r="A653" s="4" t="s">
        <v>13283</v>
      </c>
      <c r="B653" s="2" t="s">
        <v>13284</v>
      </c>
      <c r="C653" s="3">
        <v>1</v>
      </c>
      <c r="D653" s="5">
        <v>26.7</v>
      </c>
      <c r="E653" s="3" t="s">
        <v>13285</v>
      </c>
      <c r="F653" s="2" t="s">
        <v>15</v>
      </c>
      <c r="G653" s="6" t="s">
        <v>234</v>
      </c>
      <c r="H653" s="2" t="s">
        <v>284</v>
      </c>
      <c r="I653" s="2" t="s">
        <v>285</v>
      </c>
      <c r="J653" s="2" t="s">
        <v>19</v>
      </c>
      <c r="K653" s="2" t="s">
        <v>160</v>
      </c>
      <c r="L653" s="7" t="str">
        <f>HYPERLINK("http://slimages.macys.com/is/image/MCY/11535337 ")</f>
        <v xml:space="preserve">http://slimages.macys.com/is/image/MCY/11535337 </v>
      </c>
    </row>
    <row r="654" spans="1:12" ht="24.75" x14ac:dyDescent="0.25">
      <c r="A654" s="4" t="s">
        <v>13286</v>
      </c>
      <c r="B654" s="2" t="s">
        <v>11133</v>
      </c>
      <c r="C654" s="3">
        <v>1</v>
      </c>
      <c r="D654" s="5">
        <v>37.130000000000003</v>
      </c>
      <c r="E654" s="3" t="s">
        <v>11134</v>
      </c>
      <c r="F654" s="2" t="s">
        <v>26</v>
      </c>
      <c r="G654" s="6" t="s">
        <v>154</v>
      </c>
      <c r="H654" s="2" t="s">
        <v>194</v>
      </c>
      <c r="I654" s="2" t="s">
        <v>195</v>
      </c>
      <c r="J654" s="2" t="s">
        <v>19</v>
      </c>
      <c r="K654" s="2" t="s">
        <v>10816</v>
      </c>
      <c r="L654" s="7" t="str">
        <f>HYPERLINK("http://slimages.macys.com/is/image/MCY/12850793 ")</f>
        <v xml:space="preserve">http://slimages.macys.com/is/image/MCY/12850793 </v>
      </c>
    </row>
    <row r="655" spans="1:12" ht="24.75" x14ac:dyDescent="0.25">
      <c r="A655" s="4" t="s">
        <v>13287</v>
      </c>
      <c r="B655" s="2" t="s">
        <v>11133</v>
      </c>
      <c r="C655" s="3">
        <v>1</v>
      </c>
      <c r="D655" s="5">
        <v>37.130000000000003</v>
      </c>
      <c r="E655" s="3" t="s">
        <v>11134</v>
      </c>
      <c r="F655" s="2" t="s">
        <v>26</v>
      </c>
      <c r="G655" s="6" t="s">
        <v>245</v>
      </c>
      <c r="H655" s="2" t="s">
        <v>194</v>
      </c>
      <c r="I655" s="2" t="s">
        <v>195</v>
      </c>
      <c r="J655" s="2" t="s">
        <v>19</v>
      </c>
      <c r="K655" s="2" t="s">
        <v>10816</v>
      </c>
      <c r="L655" s="7" t="str">
        <f>HYPERLINK("http://slimages.macys.com/is/image/MCY/12850793 ")</f>
        <v xml:space="preserve">http://slimages.macys.com/is/image/MCY/12850793 </v>
      </c>
    </row>
    <row r="656" spans="1:12" ht="24.75" x14ac:dyDescent="0.25">
      <c r="A656" s="4" t="s">
        <v>13288</v>
      </c>
      <c r="B656" s="2" t="s">
        <v>11133</v>
      </c>
      <c r="C656" s="3">
        <v>2</v>
      </c>
      <c r="D656" s="5">
        <v>37.130000000000003</v>
      </c>
      <c r="E656" s="3" t="s">
        <v>11134</v>
      </c>
      <c r="F656" s="2" t="s">
        <v>26</v>
      </c>
      <c r="G656" s="6" t="s">
        <v>181</v>
      </c>
      <c r="H656" s="2" t="s">
        <v>194</v>
      </c>
      <c r="I656" s="2" t="s">
        <v>195</v>
      </c>
      <c r="J656" s="2" t="s">
        <v>19</v>
      </c>
      <c r="K656" s="2" t="s">
        <v>10816</v>
      </c>
      <c r="L656" s="7" t="str">
        <f>HYPERLINK("http://slimages.macys.com/is/image/MCY/12850793 ")</f>
        <v xml:space="preserve">http://slimages.macys.com/is/image/MCY/12850793 </v>
      </c>
    </row>
    <row r="657" spans="1:12" ht="24.75" x14ac:dyDescent="0.25">
      <c r="A657" s="4" t="s">
        <v>13289</v>
      </c>
      <c r="B657" s="2" t="s">
        <v>11074</v>
      </c>
      <c r="C657" s="3">
        <v>1</v>
      </c>
      <c r="D657" s="5">
        <v>29.63</v>
      </c>
      <c r="E657" s="3" t="s">
        <v>11075</v>
      </c>
      <c r="F657" s="2" t="s">
        <v>53</v>
      </c>
      <c r="G657" s="6" t="s">
        <v>234</v>
      </c>
      <c r="H657" s="2" t="s">
        <v>284</v>
      </c>
      <c r="I657" s="2" t="s">
        <v>285</v>
      </c>
      <c r="J657" s="2" t="s">
        <v>19</v>
      </c>
      <c r="K657" s="2" t="s">
        <v>442</v>
      </c>
      <c r="L657" s="7" t="str">
        <f>HYPERLINK("http://slimages.macys.com/is/image/MCY/10043380 ")</f>
        <v xml:space="preserve">http://slimages.macys.com/is/image/MCY/10043380 </v>
      </c>
    </row>
    <row r="658" spans="1:12" ht="24.75" x14ac:dyDescent="0.25">
      <c r="A658" s="4" t="s">
        <v>13290</v>
      </c>
      <c r="B658" s="2" t="s">
        <v>12339</v>
      </c>
      <c r="C658" s="3">
        <v>1</v>
      </c>
      <c r="D658" s="5">
        <v>21.99</v>
      </c>
      <c r="E658" s="3" t="s">
        <v>12340</v>
      </c>
      <c r="F658" s="2" t="s">
        <v>132</v>
      </c>
      <c r="G658" s="6" t="s">
        <v>200</v>
      </c>
      <c r="H658" s="2" t="s">
        <v>1473</v>
      </c>
      <c r="I658" s="2" t="s">
        <v>1426</v>
      </c>
      <c r="J658" s="2" t="s">
        <v>19</v>
      </c>
      <c r="K658" s="2" t="s">
        <v>648</v>
      </c>
      <c r="L658" s="7" t="str">
        <f>HYPERLINK("http://slimages.macys.com/is/image/MCY/13634790 ")</f>
        <v xml:space="preserve">http://slimages.macys.com/is/image/MCY/13634790 </v>
      </c>
    </row>
    <row r="659" spans="1:12" ht="36.75" x14ac:dyDescent="0.25">
      <c r="A659" s="4" t="s">
        <v>9154</v>
      </c>
      <c r="B659" s="2" t="s">
        <v>2911</v>
      </c>
      <c r="C659" s="3">
        <v>2</v>
      </c>
      <c r="D659" s="5">
        <v>25.88</v>
      </c>
      <c r="E659" s="3">
        <v>100015718</v>
      </c>
      <c r="F659" s="2" t="s">
        <v>48</v>
      </c>
      <c r="G659" s="6" t="s">
        <v>245</v>
      </c>
      <c r="H659" s="2" t="s">
        <v>194</v>
      </c>
      <c r="I659" s="2" t="s">
        <v>195</v>
      </c>
      <c r="J659" s="2" t="s">
        <v>19</v>
      </c>
      <c r="K659" s="2" t="s">
        <v>1696</v>
      </c>
      <c r="L659" s="7" t="str">
        <f>HYPERLINK("http://slimages.macys.com/is/image/MCY/9504848 ")</f>
        <v xml:space="preserve">http://slimages.macys.com/is/image/MCY/9504848 </v>
      </c>
    </row>
    <row r="660" spans="1:12" ht="36.75" x14ac:dyDescent="0.25">
      <c r="A660" s="4" t="s">
        <v>5090</v>
      </c>
      <c r="B660" s="2" t="s">
        <v>2911</v>
      </c>
      <c r="C660" s="3">
        <v>1</v>
      </c>
      <c r="D660" s="5">
        <v>25.88</v>
      </c>
      <c r="E660" s="3">
        <v>100015718</v>
      </c>
      <c r="F660" s="2" t="s">
        <v>48</v>
      </c>
      <c r="G660" s="6" t="s">
        <v>234</v>
      </c>
      <c r="H660" s="2" t="s">
        <v>194</v>
      </c>
      <c r="I660" s="2" t="s">
        <v>195</v>
      </c>
      <c r="J660" s="2" t="s">
        <v>19</v>
      </c>
      <c r="K660" s="2" t="s">
        <v>1696</v>
      </c>
      <c r="L660" s="7" t="str">
        <f>HYPERLINK("http://slimages.macys.com/is/image/MCY/9504848 ")</f>
        <v xml:space="preserve">http://slimages.macys.com/is/image/MCY/9504848 </v>
      </c>
    </row>
    <row r="661" spans="1:12" ht="24.75" x14ac:dyDescent="0.25">
      <c r="A661" s="4" t="s">
        <v>13291</v>
      </c>
      <c r="B661" s="2" t="s">
        <v>13292</v>
      </c>
      <c r="C661" s="3">
        <v>1</v>
      </c>
      <c r="D661" s="5">
        <v>19.989999999999998</v>
      </c>
      <c r="E661" s="3" t="s">
        <v>13293</v>
      </c>
      <c r="F661" s="2"/>
      <c r="G661" s="6" t="s">
        <v>154</v>
      </c>
      <c r="H661" s="2" t="s">
        <v>246</v>
      </c>
      <c r="I661" s="2" t="s">
        <v>1939</v>
      </c>
      <c r="J661" s="2" t="s">
        <v>19</v>
      </c>
      <c r="K661" s="2" t="s">
        <v>1940</v>
      </c>
      <c r="L661" s="7" t="str">
        <f>HYPERLINK("http://slimages.macys.com/is/image/MCY/11420548 ")</f>
        <v xml:space="preserve">http://slimages.macys.com/is/image/MCY/11420548 </v>
      </c>
    </row>
    <row r="662" spans="1:12" ht="24.75" x14ac:dyDescent="0.25">
      <c r="A662" s="4" t="s">
        <v>13294</v>
      </c>
      <c r="B662" s="2" t="s">
        <v>1715</v>
      </c>
      <c r="C662" s="3">
        <v>1</v>
      </c>
      <c r="D662" s="5">
        <v>19.989999999999998</v>
      </c>
      <c r="E662" s="3" t="s">
        <v>1716</v>
      </c>
      <c r="F662" s="2" t="s">
        <v>74</v>
      </c>
      <c r="G662" s="6"/>
      <c r="H662" s="2" t="s">
        <v>188</v>
      </c>
      <c r="I662" s="2" t="s">
        <v>189</v>
      </c>
      <c r="J662" s="2" t="s">
        <v>19</v>
      </c>
      <c r="K662" s="2" t="s">
        <v>648</v>
      </c>
      <c r="L662" s="7" t="str">
        <f>HYPERLINK("http://slimages.macys.com/is/image/MCY/11621935 ")</f>
        <v xml:space="preserve">http://slimages.macys.com/is/image/MCY/11621935 </v>
      </c>
    </row>
    <row r="663" spans="1:12" ht="36.75" x14ac:dyDescent="0.25">
      <c r="A663" s="4" t="s">
        <v>6016</v>
      </c>
      <c r="B663" s="2" t="s">
        <v>2911</v>
      </c>
      <c r="C663" s="3">
        <v>1</v>
      </c>
      <c r="D663" s="5">
        <v>25.88</v>
      </c>
      <c r="E663" s="3">
        <v>100015718</v>
      </c>
      <c r="F663" s="2" t="s">
        <v>48</v>
      </c>
      <c r="G663" s="6" t="s">
        <v>181</v>
      </c>
      <c r="H663" s="2" t="s">
        <v>194</v>
      </c>
      <c r="I663" s="2" t="s">
        <v>195</v>
      </c>
      <c r="J663" s="2" t="s">
        <v>19</v>
      </c>
      <c r="K663" s="2" t="s">
        <v>1696</v>
      </c>
      <c r="L663" s="7" t="str">
        <f>HYPERLINK("http://slimages.macys.com/is/image/MCY/9504848 ")</f>
        <v xml:space="preserve">http://slimages.macys.com/is/image/MCY/9504848 </v>
      </c>
    </row>
    <row r="664" spans="1:12" ht="24.75" x14ac:dyDescent="0.25">
      <c r="A664" s="4" t="s">
        <v>13295</v>
      </c>
      <c r="B664" s="2" t="s">
        <v>13292</v>
      </c>
      <c r="C664" s="3">
        <v>1</v>
      </c>
      <c r="D664" s="5">
        <v>19.989999999999998</v>
      </c>
      <c r="E664" s="3" t="s">
        <v>13293</v>
      </c>
      <c r="F664" s="2" t="s">
        <v>48</v>
      </c>
      <c r="G664" s="6" t="s">
        <v>181</v>
      </c>
      <c r="H664" s="2" t="s">
        <v>246</v>
      </c>
      <c r="I664" s="2" t="s">
        <v>1939</v>
      </c>
      <c r="J664" s="2" t="s">
        <v>19</v>
      </c>
      <c r="K664" s="2" t="s">
        <v>1940</v>
      </c>
      <c r="L664" s="7" t="str">
        <f>HYPERLINK("http://slimages.macys.com/is/image/MCY/11420548 ")</f>
        <v xml:space="preserve">http://slimages.macys.com/is/image/MCY/11420548 </v>
      </c>
    </row>
    <row r="665" spans="1:12" ht="24.75" x14ac:dyDescent="0.25">
      <c r="A665" s="4" t="s">
        <v>13296</v>
      </c>
      <c r="B665" s="2" t="s">
        <v>11139</v>
      </c>
      <c r="C665" s="3">
        <v>2</v>
      </c>
      <c r="D665" s="5">
        <v>24.99</v>
      </c>
      <c r="E665" s="3" t="s">
        <v>11140</v>
      </c>
      <c r="F665" s="2" t="s">
        <v>53</v>
      </c>
      <c r="G665" s="6" t="s">
        <v>234</v>
      </c>
      <c r="H665" s="2" t="s">
        <v>1473</v>
      </c>
      <c r="I665" s="2" t="s">
        <v>1426</v>
      </c>
      <c r="J665" s="2" t="s">
        <v>19</v>
      </c>
      <c r="K665" s="2" t="s">
        <v>247</v>
      </c>
      <c r="L665" s="7" t="str">
        <f>HYPERLINK("http://slimages.macys.com/is/image/MCY/12877902 ")</f>
        <v xml:space="preserve">http://slimages.macys.com/is/image/MCY/12877902 </v>
      </c>
    </row>
    <row r="666" spans="1:12" ht="24.75" x14ac:dyDescent="0.25">
      <c r="A666" s="4" t="s">
        <v>13297</v>
      </c>
      <c r="B666" s="2" t="s">
        <v>11139</v>
      </c>
      <c r="C666" s="3">
        <v>1</v>
      </c>
      <c r="D666" s="5">
        <v>24.99</v>
      </c>
      <c r="E666" s="3" t="s">
        <v>11140</v>
      </c>
      <c r="F666" s="2" t="s">
        <v>417</v>
      </c>
      <c r="G666" s="6" t="s">
        <v>154</v>
      </c>
      <c r="H666" s="2" t="s">
        <v>1473</v>
      </c>
      <c r="I666" s="2" t="s">
        <v>1426</v>
      </c>
      <c r="J666" s="2" t="s">
        <v>19</v>
      </c>
      <c r="K666" s="2" t="s">
        <v>247</v>
      </c>
      <c r="L666" s="7" t="str">
        <f>HYPERLINK("http://slimages.macys.com/is/image/MCY/12877902 ")</f>
        <v xml:space="preserve">http://slimages.macys.com/is/image/MCY/12877902 </v>
      </c>
    </row>
    <row r="667" spans="1:12" ht="24.75" x14ac:dyDescent="0.25">
      <c r="A667" s="4" t="s">
        <v>13298</v>
      </c>
      <c r="B667" s="2" t="s">
        <v>11139</v>
      </c>
      <c r="C667" s="3">
        <v>1</v>
      </c>
      <c r="D667" s="5">
        <v>24.99</v>
      </c>
      <c r="E667" s="3" t="s">
        <v>11140</v>
      </c>
      <c r="F667" s="2" t="s">
        <v>199</v>
      </c>
      <c r="G667" s="6" t="s">
        <v>181</v>
      </c>
      <c r="H667" s="2" t="s">
        <v>1473</v>
      </c>
      <c r="I667" s="2" t="s">
        <v>1426</v>
      </c>
      <c r="J667" s="2" t="s">
        <v>19</v>
      </c>
      <c r="K667" s="2" t="s">
        <v>247</v>
      </c>
      <c r="L667" s="7" t="str">
        <f>HYPERLINK("http://slimages.macys.com/is/image/MCY/10745983 ")</f>
        <v xml:space="preserve">http://slimages.macys.com/is/image/MCY/10745983 </v>
      </c>
    </row>
    <row r="668" spans="1:12" ht="24.75" x14ac:dyDescent="0.25">
      <c r="A668" s="4" t="s">
        <v>11141</v>
      </c>
      <c r="B668" s="2" t="s">
        <v>11142</v>
      </c>
      <c r="C668" s="3">
        <v>1</v>
      </c>
      <c r="D668" s="5">
        <v>21.99</v>
      </c>
      <c r="E668" s="3" t="s">
        <v>11143</v>
      </c>
      <c r="F668" s="2" t="s">
        <v>74</v>
      </c>
      <c r="G668" s="6" t="s">
        <v>181</v>
      </c>
      <c r="H668" s="2" t="s">
        <v>1473</v>
      </c>
      <c r="I668" s="2" t="s">
        <v>1426</v>
      </c>
      <c r="J668" s="2" t="s">
        <v>19</v>
      </c>
      <c r="K668" s="2" t="s">
        <v>11144</v>
      </c>
      <c r="L668" s="7" t="str">
        <f>HYPERLINK("http://slimages.macys.com/is/image/MCY/13633752 ")</f>
        <v xml:space="preserve">http://slimages.macys.com/is/image/MCY/13633752 </v>
      </c>
    </row>
    <row r="669" spans="1:12" ht="24.75" x14ac:dyDescent="0.25">
      <c r="A669" s="4" t="s">
        <v>13299</v>
      </c>
      <c r="B669" s="2" t="s">
        <v>1692</v>
      </c>
      <c r="C669" s="3">
        <v>1</v>
      </c>
      <c r="D669" s="5">
        <v>24.37</v>
      </c>
      <c r="E669" s="3" t="s">
        <v>7589</v>
      </c>
      <c r="F669" s="2" t="s">
        <v>170</v>
      </c>
      <c r="G669" s="6" t="s">
        <v>156</v>
      </c>
      <c r="H669" s="2" t="s">
        <v>194</v>
      </c>
      <c r="I669" s="2" t="s">
        <v>580</v>
      </c>
      <c r="J669" s="2" t="s">
        <v>19</v>
      </c>
      <c r="K669" s="2" t="s">
        <v>137</v>
      </c>
      <c r="L669" s="7" t="str">
        <f>HYPERLINK("http://slimages.macys.com/is/image/MCY/16404085 ")</f>
        <v xml:space="preserve">http://slimages.macys.com/is/image/MCY/16404085 </v>
      </c>
    </row>
    <row r="670" spans="1:12" ht="24.75" x14ac:dyDescent="0.25">
      <c r="A670" s="4" t="s">
        <v>13300</v>
      </c>
      <c r="B670" s="2" t="s">
        <v>9157</v>
      </c>
      <c r="C670" s="3">
        <v>1</v>
      </c>
      <c r="D670" s="5">
        <v>24.99</v>
      </c>
      <c r="E670" s="3" t="s">
        <v>9158</v>
      </c>
      <c r="F670" s="2" t="s">
        <v>74</v>
      </c>
      <c r="G670" s="6" t="s">
        <v>181</v>
      </c>
      <c r="H670" s="2" t="s">
        <v>1473</v>
      </c>
      <c r="I670" s="2" t="s">
        <v>1426</v>
      </c>
      <c r="J670" s="2" t="s">
        <v>19</v>
      </c>
      <c r="K670" s="2" t="s">
        <v>648</v>
      </c>
      <c r="L670" s="7" t="str">
        <f>HYPERLINK("http://slimages.macys.com/is/image/MCY/13398360 ")</f>
        <v xml:space="preserve">http://slimages.macys.com/is/image/MCY/13398360 </v>
      </c>
    </row>
    <row r="671" spans="1:12" ht="24.75" x14ac:dyDescent="0.25">
      <c r="A671" s="4" t="s">
        <v>13301</v>
      </c>
      <c r="B671" s="2" t="s">
        <v>11146</v>
      </c>
      <c r="C671" s="3">
        <v>2</v>
      </c>
      <c r="D671" s="5">
        <v>69.5</v>
      </c>
      <c r="E671" s="3" t="s">
        <v>11147</v>
      </c>
      <c r="F671" s="2" t="s">
        <v>132</v>
      </c>
      <c r="G671" s="6" t="s">
        <v>446</v>
      </c>
      <c r="H671" s="2" t="s">
        <v>447</v>
      </c>
      <c r="I671" s="2" t="s">
        <v>448</v>
      </c>
      <c r="J671" s="2" t="s">
        <v>19</v>
      </c>
      <c r="K671" s="2" t="s">
        <v>160</v>
      </c>
      <c r="L671" s="7" t="str">
        <f>HYPERLINK("http://slimages.macys.com/is/image/MCY/12650510 ")</f>
        <v xml:space="preserve">http://slimages.macys.com/is/image/MCY/12650510 </v>
      </c>
    </row>
    <row r="672" spans="1:12" ht="24.75" x14ac:dyDescent="0.25">
      <c r="A672" s="4" t="s">
        <v>13302</v>
      </c>
      <c r="B672" s="2" t="s">
        <v>13303</v>
      </c>
      <c r="C672" s="3">
        <v>1</v>
      </c>
      <c r="D672" s="5">
        <v>19.989999999999998</v>
      </c>
      <c r="E672" s="3" t="s">
        <v>13304</v>
      </c>
      <c r="F672" s="2"/>
      <c r="G672" s="6" t="s">
        <v>234</v>
      </c>
      <c r="H672" s="2" t="s">
        <v>1473</v>
      </c>
      <c r="I672" s="2" t="s">
        <v>1426</v>
      </c>
      <c r="J672" s="2" t="s">
        <v>19</v>
      </c>
      <c r="K672" s="2" t="s">
        <v>11066</v>
      </c>
      <c r="L672" s="7" t="str">
        <f>HYPERLINK("http://slimages.macys.com/is/image/MCY/13382900 ")</f>
        <v xml:space="preserve">http://slimages.macys.com/is/image/MCY/13382900 </v>
      </c>
    </row>
    <row r="673" spans="1:12" x14ac:dyDescent="0.25">
      <c r="A673" s="4" t="s">
        <v>13305</v>
      </c>
      <c r="B673" s="2" t="s">
        <v>3026</v>
      </c>
      <c r="C673" s="3">
        <v>1</v>
      </c>
      <c r="D673" s="5">
        <v>26.99</v>
      </c>
      <c r="E673" s="3" t="s">
        <v>13306</v>
      </c>
      <c r="F673" s="2" t="s">
        <v>26</v>
      </c>
      <c r="G673" s="6" t="s">
        <v>746</v>
      </c>
      <c r="H673" s="2" t="s">
        <v>349</v>
      </c>
      <c r="I673" s="2" t="s">
        <v>285</v>
      </c>
      <c r="J673" s="2" t="s">
        <v>19</v>
      </c>
      <c r="K673" s="2" t="s">
        <v>247</v>
      </c>
      <c r="L673" s="7" t="str">
        <f>HYPERLINK("http://slimages.macys.com/is/image/MCY/15935726 ")</f>
        <v xml:space="preserve">http://slimages.macys.com/is/image/MCY/15935726 </v>
      </c>
    </row>
    <row r="674" spans="1:12" x14ac:dyDescent="0.25">
      <c r="A674" s="4" t="s">
        <v>7590</v>
      </c>
      <c r="B674" s="2" t="s">
        <v>3026</v>
      </c>
      <c r="C674" s="3">
        <v>1</v>
      </c>
      <c r="D674" s="5">
        <v>26.99</v>
      </c>
      <c r="E674" s="3" t="s">
        <v>7591</v>
      </c>
      <c r="F674" s="2" t="s">
        <v>5415</v>
      </c>
      <c r="G674" s="6"/>
      <c r="H674" s="2" t="s">
        <v>349</v>
      </c>
      <c r="I674" s="2" t="s">
        <v>285</v>
      </c>
      <c r="J674" s="2" t="s">
        <v>19</v>
      </c>
      <c r="K674" s="2" t="s">
        <v>247</v>
      </c>
      <c r="L674" s="7" t="str">
        <f>HYPERLINK("http://slimages.macys.com/is/image/MCY/8687069 ")</f>
        <v xml:space="preserve">http://slimages.macys.com/is/image/MCY/8687069 </v>
      </c>
    </row>
    <row r="675" spans="1:12" x14ac:dyDescent="0.25">
      <c r="A675" s="4" t="s">
        <v>13307</v>
      </c>
      <c r="B675" s="2" t="s">
        <v>3026</v>
      </c>
      <c r="C675" s="3">
        <v>2</v>
      </c>
      <c r="D675" s="5">
        <v>26.99</v>
      </c>
      <c r="E675" s="3" t="s">
        <v>7591</v>
      </c>
      <c r="F675" s="2" t="s">
        <v>5415</v>
      </c>
      <c r="G675" s="6" t="s">
        <v>348</v>
      </c>
      <c r="H675" s="2" t="s">
        <v>349</v>
      </c>
      <c r="I675" s="2" t="s">
        <v>285</v>
      </c>
      <c r="J675" s="2" t="s">
        <v>19</v>
      </c>
      <c r="K675" s="2" t="s">
        <v>247</v>
      </c>
      <c r="L675" s="7" t="str">
        <f>HYPERLINK("http://slimages.macys.com/is/image/MCY/8687069 ")</f>
        <v xml:space="preserve">http://slimages.macys.com/is/image/MCY/8687069 </v>
      </c>
    </row>
    <row r="676" spans="1:12" x14ac:dyDescent="0.25">
      <c r="A676" s="4" t="s">
        <v>12346</v>
      </c>
      <c r="B676" s="2" t="s">
        <v>3026</v>
      </c>
      <c r="C676" s="3">
        <v>1</v>
      </c>
      <c r="D676" s="5">
        <v>26.99</v>
      </c>
      <c r="E676" s="3" t="s">
        <v>7591</v>
      </c>
      <c r="F676" s="2" t="s">
        <v>5415</v>
      </c>
      <c r="G676" s="6" t="s">
        <v>2276</v>
      </c>
      <c r="H676" s="2" t="s">
        <v>349</v>
      </c>
      <c r="I676" s="2" t="s">
        <v>285</v>
      </c>
      <c r="J676" s="2" t="s">
        <v>19</v>
      </c>
      <c r="K676" s="2" t="s">
        <v>247</v>
      </c>
      <c r="L676" s="7" t="str">
        <f>HYPERLINK("http://slimages.macys.com/is/image/MCY/8687069 ")</f>
        <v xml:space="preserve">http://slimages.macys.com/is/image/MCY/8687069 </v>
      </c>
    </row>
    <row r="677" spans="1:12" ht="24.75" x14ac:dyDescent="0.25">
      <c r="A677" s="4" t="s">
        <v>13308</v>
      </c>
      <c r="B677" s="2" t="s">
        <v>10279</v>
      </c>
      <c r="C677" s="3">
        <v>1</v>
      </c>
      <c r="D677" s="5">
        <v>19.989999999999998</v>
      </c>
      <c r="E677" s="3" t="s">
        <v>10280</v>
      </c>
      <c r="F677" s="2" t="s">
        <v>820</v>
      </c>
      <c r="G677" s="6" t="s">
        <v>154</v>
      </c>
      <c r="H677" s="2" t="s">
        <v>246</v>
      </c>
      <c r="I677" s="2" t="s">
        <v>1939</v>
      </c>
      <c r="J677" s="2" t="s">
        <v>19</v>
      </c>
      <c r="K677" s="2" t="s">
        <v>648</v>
      </c>
      <c r="L677" s="7" t="str">
        <f>HYPERLINK("http://slimages.macys.com/is/image/MCY/8123674 ")</f>
        <v xml:space="preserve">http://slimages.macys.com/is/image/MCY/8123674 </v>
      </c>
    </row>
    <row r="678" spans="1:12" ht="24.75" x14ac:dyDescent="0.25">
      <c r="A678" s="4" t="s">
        <v>13309</v>
      </c>
      <c r="B678" s="2" t="s">
        <v>13310</v>
      </c>
      <c r="C678" s="3">
        <v>1</v>
      </c>
      <c r="D678" s="5">
        <v>21.99</v>
      </c>
      <c r="E678" s="3" t="s">
        <v>13311</v>
      </c>
      <c r="F678" s="2" t="s">
        <v>417</v>
      </c>
      <c r="G678" s="6" t="s">
        <v>154</v>
      </c>
      <c r="H678" s="2" t="s">
        <v>1473</v>
      </c>
      <c r="I678" s="2" t="s">
        <v>1426</v>
      </c>
      <c r="J678" s="2" t="s">
        <v>19</v>
      </c>
      <c r="K678" s="2" t="s">
        <v>648</v>
      </c>
      <c r="L678" s="7" t="str">
        <f>HYPERLINK("http://slimages.macys.com/is/image/MCY/13812850 ")</f>
        <v xml:space="preserve">http://slimages.macys.com/is/image/MCY/13812850 </v>
      </c>
    </row>
    <row r="679" spans="1:12" ht="24.75" x14ac:dyDescent="0.25">
      <c r="A679" s="4" t="s">
        <v>2916</v>
      </c>
      <c r="B679" s="2" t="s">
        <v>1724</v>
      </c>
      <c r="C679" s="3">
        <v>1</v>
      </c>
      <c r="D679" s="5">
        <v>34.880000000000003</v>
      </c>
      <c r="E679" s="3">
        <v>100018041</v>
      </c>
      <c r="F679" s="2" t="s">
        <v>566</v>
      </c>
      <c r="G679" s="6" t="s">
        <v>16</v>
      </c>
      <c r="H679" s="2" t="s">
        <v>194</v>
      </c>
      <c r="I679" s="2" t="s">
        <v>195</v>
      </c>
      <c r="J679" s="2" t="s">
        <v>19</v>
      </c>
      <c r="K679" s="2" t="s">
        <v>353</v>
      </c>
      <c r="L679" s="7" t="str">
        <f>HYPERLINK("http://slimages.macys.com/is/image/MCY/12950342 ")</f>
        <v xml:space="preserve">http://slimages.macys.com/is/image/MCY/12950342 </v>
      </c>
    </row>
    <row r="680" spans="1:12" ht="24.75" x14ac:dyDescent="0.25">
      <c r="A680" s="4" t="s">
        <v>13312</v>
      </c>
      <c r="B680" s="2" t="s">
        <v>1726</v>
      </c>
      <c r="C680" s="3">
        <v>1</v>
      </c>
      <c r="D680" s="5">
        <v>26.99</v>
      </c>
      <c r="E680" s="3" t="s">
        <v>1727</v>
      </c>
      <c r="F680" s="2" t="s">
        <v>413</v>
      </c>
      <c r="G680" s="6" t="s">
        <v>2276</v>
      </c>
      <c r="H680" s="2" t="s">
        <v>349</v>
      </c>
      <c r="I680" s="2" t="s">
        <v>285</v>
      </c>
      <c r="J680" s="2" t="s">
        <v>19</v>
      </c>
      <c r="K680" s="2" t="s">
        <v>247</v>
      </c>
      <c r="L680" s="7" t="str">
        <f>HYPERLINK("http://slimages.macys.com/is/image/MCY/13118338 ")</f>
        <v xml:space="preserve">http://slimages.macys.com/is/image/MCY/13118338 </v>
      </c>
    </row>
    <row r="681" spans="1:12" ht="24.75" x14ac:dyDescent="0.25">
      <c r="A681" s="4" t="s">
        <v>12355</v>
      </c>
      <c r="B681" s="2" t="s">
        <v>1729</v>
      </c>
      <c r="C681" s="3">
        <v>1</v>
      </c>
      <c r="D681" s="5">
        <v>37.130000000000003</v>
      </c>
      <c r="E681" s="3" t="s">
        <v>1730</v>
      </c>
      <c r="F681" s="2" t="s">
        <v>331</v>
      </c>
      <c r="G681" s="6" t="s">
        <v>154</v>
      </c>
      <c r="H681" s="2" t="s">
        <v>246</v>
      </c>
      <c r="I681" s="2" t="s">
        <v>189</v>
      </c>
      <c r="J681" s="2" t="s">
        <v>19</v>
      </c>
      <c r="K681" s="2" t="s">
        <v>990</v>
      </c>
      <c r="L681" s="7" t="str">
        <f>HYPERLINK("http://slimages.macys.com/is/image/MCY/11996044 ")</f>
        <v xml:space="preserve">http://slimages.macys.com/is/image/MCY/11996044 </v>
      </c>
    </row>
    <row r="682" spans="1:12" ht="24.75" x14ac:dyDescent="0.25">
      <c r="A682" s="4" t="s">
        <v>13313</v>
      </c>
      <c r="B682" s="2" t="s">
        <v>1729</v>
      </c>
      <c r="C682" s="3">
        <v>1</v>
      </c>
      <c r="D682" s="5">
        <v>37.130000000000003</v>
      </c>
      <c r="E682" s="3" t="s">
        <v>1730</v>
      </c>
      <c r="F682" s="2" t="s">
        <v>64</v>
      </c>
      <c r="G682" s="6" t="s">
        <v>154</v>
      </c>
      <c r="H682" s="2" t="s">
        <v>246</v>
      </c>
      <c r="I682" s="2" t="s">
        <v>189</v>
      </c>
      <c r="J682" s="2" t="s">
        <v>19</v>
      </c>
      <c r="K682" s="2" t="s">
        <v>990</v>
      </c>
      <c r="L682" s="7" t="str">
        <f>HYPERLINK("http://slimages.macys.com/is/image/MCY/11996044 ")</f>
        <v xml:space="preserve">http://slimages.macys.com/is/image/MCY/11996044 </v>
      </c>
    </row>
    <row r="683" spans="1:12" ht="24.75" x14ac:dyDescent="0.25">
      <c r="A683" s="4" t="s">
        <v>1728</v>
      </c>
      <c r="B683" s="2" t="s">
        <v>1729</v>
      </c>
      <c r="C683" s="3">
        <v>1</v>
      </c>
      <c r="D683" s="5">
        <v>37.130000000000003</v>
      </c>
      <c r="E683" s="3" t="s">
        <v>1730</v>
      </c>
      <c r="F683" s="2" t="s">
        <v>26</v>
      </c>
      <c r="G683" s="6" t="s">
        <v>181</v>
      </c>
      <c r="H683" s="2" t="s">
        <v>246</v>
      </c>
      <c r="I683" s="2" t="s">
        <v>189</v>
      </c>
      <c r="J683" s="2" t="s">
        <v>19</v>
      </c>
      <c r="K683" s="2" t="s">
        <v>990</v>
      </c>
      <c r="L683" s="7" t="str">
        <f>HYPERLINK("http://slimages.macys.com/is/image/MCY/11996044 ")</f>
        <v xml:space="preserve">http://slimages.macys.com/is/image/MCY/11996044 </v>
      </c>
    </row>
    <row r="684" spans="1:12" ht="24.75" x14ac:dyDescent="0.25">
      <c r="A684" s="4" t="s">
        <v>11152</v>
      </c>
      <c r="B684" s="2" t="s">
        <v>1729</v>
      </c>
      <c r="C684" s="3">
        <v>1</v>
      </c>
      <c r="D684" s="5">
        <v>37.130000000000003</v>
      </c>
      <c r="E684" s="3" t="s">
        <v>1730</v>
      </c>
      <c r="F684" s="2" t="s">
        <v>413</v>
      </c>
      <c r="G684" s="6" t="s">
        <v>154</v>
      </c>
      <c r="H684" s="2" t="s">
        <v>246</v>
      </c>
      <c r="I684" s="2" t="s">
        <v>189</v>
      </c>
      <c r="J684" s="2" t="s">
        <v>19</v>
      </c>
      <c r="K684" s="2" t="s">
        <v>990</v>
      </c>
      <c r="L684" s="7" t="str">
        <f>HYPERLINK("http://slimages.macys.com/is/image/MCY/11996044 ")</f>
        <v xml:space="preserve">http://slimages.macys.com/is/image/MCY/11996044 </v>
      </c>
    </row>
    <row r="685" spans="1:12" ht="24.75" x14ac:dyDescent="0.25">
      <c r="A685" s="4" t="s">
        <v>13314</v>
      </c>
      <c r="B685" s="2" t="s">
        <v>9163</v>
      </c>
      <c r="C685" s="3">
        <v>1</v>
      </c>
      <c r="D685" s="5">
        <v>19.989999999999998</v>
      </c>
      <c r="E685" s="3" t="s">
        <v>9164</v>
      </c>
      <c r="F685" s="2" t="s">
        <v>417</v>
      </c>
      <c r="G685" s="6" t="s">
        <v>181</v>
      </c>
      <c r="H685" s="2" t="s">
        <v>1473</v>
      </c>
      <c r="I685" s="2" t="s">
        <v>1426</v>
      </c>
      <c r="J685" s="2" t="s">
        <v>19</v>
      </c>
      <c r="K685" s="2" t="s">
        <v>338</v>
      </c>
      <c r="L685" s="7" t="str">
        <f>HYPERLINK("http://slimages.macys.com/is/image/MCY/12774531 ")</f>
        <v xml:space="preserve">http://slimages.macys.com/is/image/MCY/12774531 </v>
      </c>
    </row>
    <row r="686" spans="1:12" ht="24.75" x14ac:dyDescent="0.25">
      <c r="A686" s="4" t="s">
        <v>13315</v>
      </c>
      <c r="B686" s="2" t="s">
        <v>4046</v>
      </c>
      <c r="C686" s="3">
        <v>1</v>
      </c>
      <c r="D686" s="5">
        <v>19.989999999999998</v>
      </c>
      <c r="E686" s="3" t="s">
        <v>4047</v>
      </c>
      <c r="F686" s="2" t="s">
        <v>15</v>
      </c>
      <c r="G686" s="6" t="s">
        <v>156</v>
      </c>
      <c r="H686" s="2" t="s">
        <v>1473</v>
      </c>
      <c r="I686" s="2" t="s">
        <v>1426</v>
      </c>
      <c r="J686" s="2" t="s">
        <v>19</v>
      </c>
      <c r="K686" s="2" t="s">
        <v>495</v>
      </c>
      <c r="L686" s="7" t="str">
        <f>HYPERLINK("http://slimages.macys.com/is/image/MCY/12773814 ")</f>
        <v xml:space="preserve">http://slimages.macys.com/is/image/MCY/12773814 </v>
      </c>
    </row>
    <row r="687" spans="1:12" ht="24.75" x14ac:dyDescent="0.25">
      <c r="A687" s="4" t="s">
        <v>13316</v>
      </c>
      <c r="B687" s="2" t="s">
        <v>9163</v>
      </c>
      <c r="C687" s="3">
        <v>1</v>
      </c>
      <c r="D687" s="5">
        <v>19.989999999999998</v>
      </c>
      <c r="E687" s="3" t="s">
        <v>9164</v>
      </c>
      <c r="F687" s="2" t="s">
        <v>417</v>
      </c>
      <c r="G687" s="6" t="s">
        <v>154</v>
      </c>
      <c r="H687" s="2" t="s">
        <v>1473</v>
      </c>
      <c r="I687" s="2" t="s">
        <v>1426</v>
      </c>
      <c r="J687" s="2" t="s">
        <v>19</v>
      </c>
      <c r="K687" s="2" t="s">
        <v>338</v>
      </c>
      <c r="L687" s="7" t="str">
        <f>HYPERLINK("http://slimages.macys.com/is/image/MCY/12774531 ")</f>
        <v xml:space="preserve">http://slimages.macys.com/is/image/MCY/12774531 </v>
      </c>
    </row>
    <row r="688" spans="1:12" ht="24.75" x14ac:dyDescent="0.25">
      <c r="A688" s="4" t="s">
        <v>13317</v>
      </c>
      <c r="B688" s="2" t="s">
        <v>9163</v>
      </c>
      <c r="C688" s="3">
        <v>2</v>
      </c>
      <c r="D688" s="5">
        <v>19.989999999999998</v>
      </c>
      <c r="E688" s="3" t="s">
        <v>9164</v>
      </c>
      <c r="F688" s="2" t="s">
        <v>417</v>
      </c>
      <c r="G688" s="6" t="s">
        <v>234</v>
      </c>
      <c r="H688" s="2" t="s">
        <v>1473</v>
      </c>
      <c r="I688" s="2" t="s">
        <v>1426</v>
      </c>
      <c r="J688" s="2" t="s">
        <v>19</v>
      </c>
      <c r="K688" s="2" t="s">
        <v>338</v>
      </c>
      <c r="L688" s="7" t="str">
        <f>HYPERLINK("http://slimages.macys.com/is/image/MCY/12774531 ")</f>
        <v xml:space="preserve">http://slimages.macys.com/is/image/MCY/12774531 </v>
      </c>
    </row>
    <row r="689" spans="1:12" ht="24.75" x14ac:dyDescent="0.25">
      <c r="A689" s="4" t="s">
        <v>11154</v>
      </c>
      <c r="B689" s="2" t="s">
        <v>1632</v>
      </c>
      <c r="C689" s="3">
        <v>1</v>
      </c>
      <c r="D689" s="5">
        <v>19.989999999999998</v>
      </c>
      <c r="E689" s="3">
        <v>91211</v>
      </c>
      <c r="F689" s="2" t="s">
        <v>64</v>
      </c>
      <c r="G689" s="6" t="s">
        <v>181</v>
      </c>
      <c r="H689" s="2" t="s">
        <v>1473</v>
      </c>
      <c r="I689" s="2" t="s">
        <v>1426</v>
      </c>
      <c r="J689" s="2" t="s">
        <v>19</v>
      </c>
      <c r="K689" s="2" t="s">
        <v>1431</v>
      </c>
      <c r="L689" s="7" t="str">
        <f>HYPERLINK("http://slimages.macys.com/is/image/MCY/9724772 ")</f>
        <v xml:space="preserve">http://slimages.macys.com/is/image/MCY/9724772 </v>
      </c>
    </row>
    <row r="690" spans="1:12" ht="24.75" x14ac:dyDescent="0.25">
      <c r="A690" s="4" t="s">
        <v>6774</v>
      </c>
      <c r="B690" s="2" t="s">
        <v>1738</v>
      </c>
      <c r="C690" s="3">
        <v>1</v>
      </c>
      <c r="D690" s="5">
        <v>29.63</v>
      </c>
      <c r="E690" s="3" t="s">
        <v>1739</v>
      </c>
      <c r="F690" s="2" t="s">
        <v>26</v>
      </c>
      <c r="G690" s="6" t="s">
        <v>234</v>
      </c>
      <c r="H690" s="2" t="s">
        <v>194</v>
      </c>
      <c r="I690" s="2" t="s">
        <v>195</v>
      </c>
      <c r="J690" s="2" t="s">
        <v>19</v>
      </c>
      <c r="K690" s="2" t="s">
        <v>1108</v>
      </c>
      <c r="L690" s="7" t="str">
        <f>HYPERLINK("http://slimages.macys.com/is/image/MCY/12064042 ")</f>
        <v xml:space="preserve">http://slimages.macys.com/is/image/MCY/12064042 </v>
      </c>
    </row>
    <row r="691" spans="1:12" ht="24.75" x14ac:dyDescent="0.25">
      <c r="A691" s="4" t="s">
        <v>4053</v>
      </c>
      <c r="B691" s="2" t="s">
        <v>2933</v>
      </c>
      <c r="C691" s="3">
        <v>1</v>
      </c>
      <c r="D691" s="5">
        <v>20.99</v>
      </c>
      <c r="E691" s="3" t="s">
        <v>2939</v>
      </c>
      <c r="F691" s="2" t="s">
        <v>64</v>
      </c>
      <c r="G691" s="6" t="s">
        <v>154</v>
      </c>
      <c r="H691" s="2" t="s">
        <v>1473</v>
      </c>
      <c r="I691" s="2" t="s">
        <v>1864</v>
      </c>
      <c r="J691" s="2" t="s">
        <v>19</v>
      </c>
      <c r="K691" s="2" t="s">
        <v>990</v>
      </c>
      <c r="L691" s="7" t="str">
        <f>HYPERLINK("http://slimages.macys.com/is/image/MCY/11515111 ")</f>
        <v xml:space="preserve">http://slimages.macys.com/is/image/MCY/11515111 </v>
      </c>
    </row>
    <row r="692" spans="1:12" ht="24.75" x14ac:dyDescent="0.25">
      <c r="A692" s="4" t="s">
        <v>2940</v>
      </c>
      <c r="B692" s="2" t="s">
        <v>2933</v>
      </c>
      <c r="C692" s="3">
        <v>1</v>
      </c>
      <c r="D692" s="5">
        <v>20.99</v>
      </c>
      <c r="E692" s="3" t="s">
        <v>2939</v>
      </c>
      <c r="F692" s="2" t="s">
        <v>64</v>
      </c>
      <c r="G692" s="6" t="s">
        <v>181</v>
      </c>
      <c r="H692" s="2" t="s">
        <v>1473</v>
      </c>
      <c r="I692" s="2" t="s">
        <v>1864</v>
      </c>
      <c r="J692" s="2" t="s">
        <v>19</v>
      </c>
      <c r="K692" s="2" t="s">
        <v>990</v>
      </c>
      <c r="L692" s="7" t="str">
        <f>HYPERLINK("http://slimages.macys.com/is/image/MCY/11515111 ")</f>
        <v xml:space="preserve">http://slimages.macys.com/is/image/MCY/11515111 </v>
      </c>
    </row>
    <row r="693" spans="1:12" ht="24.75" x14ac:dyDescent="0.25">
      <c r="A693" s="4" t="s">
        <v>13318</v>
      </c>
      <c r="B693" s="2" t="s">
        <v>13319</v>
      </c>
      <c r="C693" s="3">
        <v>1</v>
      </c>
      <c r="D693" s="5">
        <v>19.989999999999998</v>
      </c>
      <c r="E693" s="3" t="s">
        <v>13320</v>
      </c>
      <c r="F693" s="2" t="s">
        <v>417</v>
      </c>
      <c r="G693" s="6" t="s">
        <v>154</v>
      </c>
      <c r="H693" s="2" t="s">
        <v>1473</v>
      </c>
      <c r="I693" s="2" t="s">
        <v>1426</v>
      </c>
      <c r="J693" s="2" t="s">
        <v>19</v>
      </c>
      <c r="K693" s="2" t="s">
        <v>495</v>
      </c>
      <c r="L693" s="7" t="str">
        <f>HYPERLINK("http://slimages.macys.com/is/image/MCY/13634926 ")</f>
        <v xml:space="preserve">http://slimages.macys.com/is/image/MCY/13634926 </v>
      </c>
    </row>
    <row r="694" spans="1:12" ht="24.75" x14ac:dyDescent="0.25">
      <c r="A694" s="4" t="s">
        <v>13321</v>
      </c>
      <c r="B694" s="2" t="s">
        <v>1747</v>
      </c>
      <c r="C694" s="3">
        <v>1</v>
      </c>
      <c r="D694" s="5">
        <v>17.989999999999998</v>
      </c>
      <c r="E694" s="3" t="s">
        <v>1750</v>
      </c>
      <c r="F694" s="2" t="s">
        <v>15</v>
      </c>
      <c r="G694" s="6" t="s">
        <v>205</v>
      </c>
      <c r="H694" s="2" t="s">
        <v>1425</v>
      </c>
      <c r="I694" s="2" t="s">
        <v>1426</v>
      </c>
      <c r="J694" s="2" t="s">
        <v>19</v>
      </c>
      <c r="K694" s="2" t="s">
        <v>353</v>
      </c>
      <c r="L694" s="7" t="str">
        <f>HYPERLINK("http://slimages.macys.com/is/image/MCY/12776609 ")</f>
        <v xml:space="preserve">http://slimages.macys.com/is/image/MCY/12776609 </v>
      </c>
    </row>
    <row r="695" spans="1:12" ht="24.75" x14ac:dyDescent="0.25">
      <c r="A695" s="4" t="s">
        <v>6041</v>
      </c>
      <c r="B695" s="2" t="s">
        <v>6039</v>
      </c>
      <c r="C695" s="3">
        <v>1</v>
      </c>
      <c r="D695" s="5">
        <v>19.989999999999998</v>
      </c>
      <c r="E695" s="3" t="s">
        <v>6040</v>
      </c>
      <c r="F695" s="2" t="s">
        <v>74</v>
      </c>
      <c r="G695" s="6" t="s">
        <v>181</v>
      </c>
      <c r="H695" s="2" t="s">
        <v>194</v>
      </c>
      <c r="I695" s="2" t="s">
        <v>1922</v>
      </c>
      <c r="J695" s="2" t="s">
        <v>19</v>
      </c>
      <c r="K695" s="2" t="s">
        <v>247</v>
      </c>
      <c r="L695" s="7" t="str">
        <f>HYPERLINK("http://slimages.macys.com/is/image/MCY/3580595 ")</f>
        <v xml:space="preserve">http://slimages.macys.com/is/image/MCY/3580595 </v>
      </c>
    </row>
    <row r="696" spans="1:12" ht="24.75" x14ac:dyDescent="0.25">
      <c r="A696" s="4" t="s">
        <v>6054</v>
      </c>
      <c r="B696" s="2" t="s">
        <v>6055</v>
      </c>
      <c r="C696" s="3">
        <v>1</v>
      </c>
      <c r="D696" s="5">
        <v>22.13</v>
      </c>
      <c r="E696" s="3" t="s">
        <v>6056</v>
      </c>
      <c r="F696" s="2" t="s">
        <v>676</v>
      </c>
      <c r="G696" s="6" t="s">
        <v>245</v>
      </c>
      <c r="H696" s="2" t="s">
        <v>194</v>
      </c>
      <c r="I696" s="2" t="s">
        <v>580</v>
      </c>
      <c r="J696" s="2" t="s">
        <v>19</v>
      </c>
      <c r="K696" s="2" t="s">
        <v>1758</v>
      </c>
      <c r="L696" s="7" t="str">
        <f>HYPERLINK("http://slimages.macys.com/is/image/MCY/12794135 ")</f>
        <v xml:space="preserve">http://slimages.macys.com/is/image/MCY/12794135 </v>
      </c>
    </row>
    <row r="697" spans="1:12" ht="24.75" x14ac:dyDescent="0.25">
      <c r="A697" s="4" t="s">
        <v>13322</v>
      </c>
      <c r="B697" s="2" t="s">
        <v>11171</v>
      </c>
      <c r="C697" s="3">
        <v>1</v>
      </c>
      <c r="D697" s="5">
        <v>25.88</v>
      </c>
      <c r="E697" s="3" t="s">
        <v>13323</v>
      </c>
      <c r="F697" s="2" t="s">
        <v>464</v>
      </c>
      <c r="G697" s="6"/>
      <c r="H697" s="2" t="s">
        <v>312</v>
      </c>
      <c r="I697" s="2" t="s">
        <v>580</v>
      </c>
      <c r="J697" s="2" t="s">
        <v>19</v>
      </c>
      <c r="K697" s="2" t="s">
        <v>137</v>
      </c>
      <c r="L697" s="7" t="str">
        <f>HYPERLINK("http://slimages.macys.com/is/image/MCY/9743419 ")</f>
        <v xml:space="preserve">http://slimages.macys.com/is/image/MCY/9743419 </v>
      </c>
    </row>
    <row r="698" spans="1:12" ht="24.75" x14ac:dyDescent="0.25">
      <c r="A698" s="4" t="s">
        <v>13324</v>
      </c>
      <c r="B698" s="2" t="s">
        <v>2967</v>
      </c>
      <c r="C698" s="3">
        <v>1</v>
      </c>
      <c r="D698" s="5">
        <v>22.13</v>
      </c>
      <c r="E698" s="3" t="s">
        <v>12390</v>
      </c>
      <c r="F698" s="2" t="s">
        <v>170</v>
      </c>
      <c r="G698" s="6" t="s">
        <v>154</v>
      </c>
      <c r="H698" s="2" t="s">
        <v>194</v>
      </c>
      <c r="I698" s="2" t="s">
        <v>580</v>
      </c>
      <c r="J698" s="2" t="s">
        <v>19</v>
      </c>
      <c r="K698" s="2" t="s">
        <v>1758</v>
      </c>
      <c r="L698" s="7" t="str">
        <f>HYPERLINK("http://slimages.macys.com/is/image/MCY/12794156 ")</f>
        <v xml:space="preserve">http://slimages.macys.com/is/image/MCY/12794156 </v>
      </c>
    </row>
    <row r="699" spans="1:12" ht="24.75" x14ac:dyDescent="0.25">
      <c r="A699" s="4" t="s">
        <v>5122</v>
      </c>
      <c r="B699" s="2" t="s">
        <v>1764</v>
      </c>
      <c r="C699" s="3">
        <v>1</v>
      </c>
      <c r="D699" s="5">
        <v>22.13</v>
      </c>
      <c r="E699" s="3" t="s">
        <v>1765</v>
      </c>
      <c r="F699" s="2" t="s">
        <v>38</v>
      </c>
      <c r="G699" s="6" t="s">
        <v>156</v>
      </c>
      <c r="H699" s="2" t="s">
        <v>194</v>
      </c>
      <c r="I699" s="2" t="s">
        <v>1766</v>
      </c>
      <c r="J699" s="2" t="s">
        <v>19</v>
      </c>
      <c r="K699" s="2" t="s">
        <v>1082</v>
      </c>
      <c r="L699" s="7" t="str">
        <f>HYPERLINK("http://slimages.macys.com/is/image/MCY/12143911 ")</f>
        <v xml:space="preserve">http://slimages.macys.com/is/image/MCY/12143911 </v>
      </c>
    </row>
    <row r="700" spans="1:12" ht="24.75" x14ac:dyDescent="0.25">
      <c r="A700" s="4" t="s">
        <v>13325</v>
      </c>
      <c r="B700" s="2" t="s">
        <v>6055</v>
      </c>
      <c r="C700" s="3">
        <v>1</v>
      </c>
      <c r="D700" s="5">
        <v>22.13</v>
      </c>
      <c r="E700" s="3" t="s">
        <v>11187</v>
      </c>
      <c r="F700" s="2" t="s">
        <v>671</v>
      </c>
      <c r="G700" s="6" t="s">
        <v>245</v>
      </c>
      <c r="H700" s="2" t="s">
        <v>194</v>
      </c>
      <c r="I700" s="2" t="s">
        <v>580</v>
      </c>
      <c r="J700" s="2" t="s">
        <v>19</v>
      </c>
      <c r="K700" s="2" t="s">
        <v>1758</v>
      </c>
      <c r="L700" s="7" t="str">
        <f>HYPERLINK("http://slimages.macys.com/is/image/MCY/13120955 ")</f>
        <v xml:space="preserve">http://slimages.macys.com/is/image/MCY/13120955 </v>
      </c>
    </row>
    <row r="701" spans="1:12" ht="24.75" x14ac:dyDescent="0.25">
      <c r="A701" s="4" t="s">
        <v>12385</v>
      </c>
      <c r="B701" s="2" t="s">
        <v>9754</v>
      </c>
      <c r="C701" s="3">
        <v>2</v>
      </c>
      <c r="D701" s="5">
        <v>22.13</v>
      </c>
      <c r="E701" s="3" t="s">
        <v>12386</v>
      </c>
      <c r="F701" s="2" t="s">
        <v>33</v>
      </c>
      <c r="G701" s="6" t="s">
        <v>245</v>
      </c>
      <c r="H701" s="2" t="s">
        <v>194</v>
      </c>
      <c r="I701" s="2" t="s">
        <v>580</v>
      </c>
      <c r="J701" s="2" t="s">
        <v>19</v>
      </c>
      <c r="K701" s="2" t="s">
        <v>1758</v>
      </c>
      <c r="L701" s="7" t="str">
        <f>HYPERLINK("http://slimages.macys.com/is/image/MCY/12794139 ")</f>
        <v xml:space="preserve">http://slimages.macys.com/is/image/MCY/12794139 </v>
      </c>
    </row>
    <row r="702" spans="1:12" ht="24.75" x14ac:dyDescent="0.25">
      <c r="A702" s="4" t="s">
        <v>6067</v>
      </c>
      <c r="B702" s="2" t="s">
        <v>6046</v>
      </c>
      <c r="C702" s="3">
        <v>1</v>
      </c>
      <c r="D702" s="5">
        <v>22.13</v>
      </c>
      <c r="E702" s="3" t="s">
        <v>6047</v>
      </c>
      <c r="F702" s="2" t="s">
        <v>998</v>
      </c>
      <c r="G702" s="6" t="s">
        <v>154</v>
      </c>
      <c r="H702" s="2" t="s">
        <v>194</v>
      </c>
      <c r="I702" s="2" t="s">
        <v>580</v>
      </c>
      <c r="J702" s="2" t="s">
        <v>19</v>
      </c>
      <c r="K702" s="2" t="s">
        <v>1082</v>
      </c>
      <c r="L702" s="7" t="str">
        <f>HYPERLINK("http://slimages.macys.com/is/image/MCY/11937961 ")</f>
        <v xml:space="preserve">http://slimages.macys.com/is/image/MCY/11937961 </v>
      </c>
    </row>
    <row r="703" spans="1:12" ht="24.75" x14ac:dyDescent="0.25">
      <c r="A703" s="4" t="s">
        <v>1780</v>
      </c>
      <c r="B703" s="2" t="s">
        <v>1776</v>
      </c>
      <c r="C703" s="3">
        <v>1</v>
      </c>
      <c r="D703" s="5">
        <v>22.13</v>
      </c>
      <c r="E703" s="3" t="s">
        <v>1779</v>
      </c>
      <c r="F703" s="2" t="s">
        <v>79</v>
      </c>
      <c r="G703" s="6" t="s">
        <v>154</v>
      </c>
      <c r="H703" s="2" t="s">
        <v>194</v>
      </c>
      <c r="I703" s="2" t="s">
        <v>1766</v>
      </c>
      <c r="J703" s="2" t="s">
        <v>19</v>
      </c>
      <c r="K703" s="2" t="s">
        <v>1758</v>
      </c>
      <c r="L703" s="7" t="str">
        <f>HYPERLINK("http://slimages.macys.com/is/image/MCY/12035171 ")</f>
        <v xml:space="preserve">http://slimages.macys.com/is/image/MCY/12035171 </v>
      </c>
    </row>
    <row r="704" spans="1:12" ht="24.75" x14ac:dyDescent="0.25">
      <c r="A704" s="4" t="s">
        <v>12388</v>
      </c>
      <c r="B704" s="2" t="s">
        <v>2974</v>
      </c>
      <c r="C704" s="3">
        <v>1</v>
      </c>
      <c r="D704" s="5">
        <v>22.13</v>
      </c>
      <c r="E704" s="3" t="s">
        <v>2975</v>
      </c>
      <c r="F704" s="2" t="s">
        <v>331</v>
      </c>
      <c r="G704" s="6" t="s">
        <v>156</v>
      </c>
      <c r="H704" s="2" t="s">
        <v>194</v>
      </c>
      <c r="I704" s="2" t="s">
        <v>580</v>
      </c>
      <c r="J704" s="2" t="s">
        <v>19</v>
      </c>
      <c r="K704" s="2" t="s">
        <v>1758</v>
      </c>
      <c r="L704" s="7" t="str">
        <f>HYPERLINK("http://slimages.macys.com/is/image/MCY/11937954 ")</f>
        <v xml:space="preserve">http://slimages.macys.com/is/image/MCY/11937954 </v>
      </c>
    </row>
    <row r="705" spans="1:12" ht="24.75" x14ac:dyDescent="0.25">
      <c r="A705" s="4" t="s">
        <v>13326</v>
      </c>
      <c r="B705" s="2" t="s">
        <v>6059</v>
      </c>
      <c r="C705" s="3">
        <v>1</v>
      </c>
      <c r="D705" s="5">
        <v>22.13</v>
      </c>
      <c r="E705" s="3" t="s">
        <v>6060</v>
      </c>
      <c r="F705" s="2" t="s">
        <v>572</v>
      </c>
      <c r="G705" s="6" t="s">
        <v>154</v>
      </c>
      <c r="H705" s="2" t="s">
        <v>194</v>
      </c>
      <c r="I705" s="2" t="s">
        <v>580</v>
      </c>
      <c r="J705" s="2" t="s">
        <v>19</v>
      </c>
      <c r="K705" s="2" t="s">
        <v>1082</v>
      </c>
      <c r="L705" s="7" t="str">
        <f>HYPERLINK("http://slimages.macys.com/is/image/MCY/12950293 ")</f>
        <v xml:space="preserve">http://slimages.macys.com/is/image/MCY/12950293 </v>
      </c>
    </row>
    <row r="706" spans="1:12" ht="24.75" x14ac:dyDescent="0.25">
      <c r="A706" s="4" t="s">
        <v>11183</v>
      </c>
      <c r="B706" s="2" t="s">
        <v>1770</v>
      </c>
      <c r="C706" s="3">
        <v>2</v>
      </c>
      <c r="D706" s="5">
        <v>22.13</v>
      </c>
      <c r="E706" s="3" t="s">
        <v>11184</v>
      </c>
      <c r="F706" s="2" t="s">
        <v>111</v>
      </c>
      <c r="G706" s="6" t="s">
        <v>156</v>
      </c>
      <c r="H706" s="2" t="s">
        <v>194</v>
      </c>
      <c r="I706" s="2" t="s">
        <v>580</v>
      </c>
      <c r="J706" s="2" t="s">
        <v>19</v>
      </c>
      <c r="K706" s="2" t="s">
        <v>1758</v>
      </c>
      <c r="L706" s="7" t="str">
        <f>HYPERLINK("http://slimages.macys.com/is/image/MCY/12734420 ")</f>
        <v xml:space="preserve">http://slimages.macys.com/is/image/MCY/12734420 </v>
      </c>
    </row>
    <row r="707" spans="1:12" ht="24.75" x14ac:dyDescent="0.25">
      <c r="A707" s="4" t="s">
        <v>11189</v>
      </c>
      <c r="B707" s="2" t="s">
        <v>6055</v>
      </c>
      <c r="C707" s="3">
        <v>1</v>
      </c>
      <c r="D707" s="5">
        <v>22.13</v>
      </c>
      <c r="E707" s="3" t="s">
        <v>11187</v>
      </c>
      <c r="F707" s="2" t="s">
        <v>671</v>
      </c>
      <c r="G707" s="6" t="s">
        <v>181</v>
      </c>
      <c r="H707" s="2" t="s">
        <v>194</v>
      </c>
      <c r="I707" s="2" t="s">
        <v>580</v>
      </c>
      <c r="J707" s="2" t="s">
        <v>19</v>
      </c>
      <c r="K707" s="2" t="s">
        <v>1758</v>
      </c>
      <c r="L707" s="7" t="str">
        <f>HYPERLINK("http://slimages.macys.com/is/image/MCY/13120955 ")</f>
        <v xml:space="preserve">http://slimages.macys.com/is/image/MCY/13120955 </v>
      </c>
    </row>
    <row r="708" spans="1:12" ht="24.75" x14ac:dyDescent="0.25">
      <c r="A708" s="4" t="s">
        <v>10267</v>
      </c>
      <c r="B708" s="2" t="s">
        <v>1764</v>
      </c>
      <c r="C708" s="3">
        <v>1</v>
      </c>
      <c r="D708" s="5">
        <v>22.13</v>
      </c>
      <c r="E708" s="3" t="s">
        <v>6051</v>
      </c>
      <c r="F708" s="2" t="s">
        <v>180</v>
      </c>
      <c r="G708" s="6" t="s">
        <v>181</v>
      </c>
      <c r="H708" s="2" t="s">
        <v>194</v>
      </c>
      <c r="I708" s="2" t="s">
        <v>1766</v>
      </c>
      <c r="J708" s="2" t="s">
        <v>19</v>
      </c>
      <c r="K708" s="2" t="s">
        <v>1082</v>
      </c>
      <c r="L708" s="7" t="str">
        <f>HYPERLINK("http://slimages.macys.com/is/image/MCY/12143914 ")</f>
        <v xml:space="preserve">http://slimages.macys.com/is/image/MCY/12143914 </v>
      </c>
    </row>
    <row r="709" spans="1:12" ht="24.75" x14ac:dyDescent="0.25">
      <c r="A709" s="4" t="s">
        <v>13327</v>
      </c>
      <c r="B709" s="2" t="s">
        <v>4076</v>
      </c>
      <c r="C709" s="3">
        <v>1</v>
      </c>
      <c r="D709" s="5">
        <v>22.13</v>
      </c>
      <c r="E709" s="3" t="s">
        <v>4077</v>
      </c>
      <c r="F709" s="2" t="s">
        <v>887</v>
      </c>
      <c r="G709" s="6" t="s">
        <v>156</v>
      </c>
      <c r="H709" s="2" t="s">
        <v>194</v>
      </c>
      <c r="I709" s="2" t="s">
        <v>1766</v>
      </c>
      <c r="J709" s="2" t="s">
        <v>19</v>
      </c>
      <c r="K709" s="2" t="s">
        <v>1082</v>
      </c>
      <c r="L709" s="7" t="str">
        <f>HYPERLINK("http://slimages.macys.com/is/image/MCY/12950309 ")</f>
        <v xml:space="preserve">http://slimages.macys.com/is/image/MCY/12950309 </v>
      </c>
    </row>
    <row r="710" spans="1:12" ht="24.75" x14ac:dyDescent="0.25">
      <c r="A710" s="4" t="s">
        <v>13328</v>
      </c>
      <c r="B710" s="2" t="s">
        <v>2967</v>
      </c>
      <c r="C710" s="3">
        <v>1</v>
      </c>
      <c r="D710" s="5">
        <v>22.13</v>
      </c>
      <c r="E710" s="3" t="s">
        <v>12390</v>
      </c>
      <c r="F710" s="2" t="s">
        <v>170</v>
      </c>
      <c r="G710" s="6" t="s">
        <v>156</v>
      </c>
      <c r="H710" s="2" t="s">
        <v>194</v>
      </c>
      <c r="I710" s="2" t="s">
        <v>580</v>
      </c>
      <c r="J710" s="2" t="s">
        <v>19</v>
      </c>
      <c r="K710" s="2" t="s">
        <v>1758</v>
      </c>
      <c r="L710" s="7" t="str">
        <f>HYPERLINK("http://slimages.macys.com/is/image/MCY/12794156 ")</f>
        <v xml:space="preserve">http://slimages.macys.com/is/image/MCY/12794156 </v>
      </c>
    </row>
    <row r="711" spans="1:12" ht="24.75" x14ac:dyDescent="0.25">
      <c r="A711" s="4" t="s">
        <v>13329</v>
      </c>
      <c r="B711" s="2" t="s">
        <v>6055</v>
      </c>
      <c r="C711" s="3">
        <v>1</v>
      </c>
      <c r="D711" s="5">
        <v>22.13</v>
      </c>
      <c r="E711" s="3" t="s">
        <v>11187</v>
      </c>
      <c r="F711" s="2" t="s">
        <v>671</v>
      </c>
      <c r="G711" s="6" t="s">
        <v>234</v>
      </c>
      <c r="H711" s="2" t="s">
        <v>194</v>
      </c>
      <c r="I711" s="2" t="s">
        <v>580</v>
      </c>
      <c r="J711" s="2" t="s">
        <v>19</v>
      </c>
      <c r="K711" s="2" t="s">
        <v>1758</v>
      </c>
      <c r="L711" s="7" t="str">
        <f>HYPERLINK("http://slimages.macys.com/is/image/MCY/13120955 ")</f>
        <v xml:space="preserve">http://slimages.macys.com/is/image/MCY/13120955 </v>
      </c>
    </row>
    <row r="712" spans="1:12" ht="24.75" x14ac:dyDescent="0.25">
      <c r="A712" s="4" t="s">
        <v>13330</v>
      </c>
      <c r="B712" s="2" t="s">
        <v>6077</v>
      </c>
      <c r="C712" s="3">
        <v>1</v>
      </c>
      <c r="D712" s="5">
        <v>19.989999999999998</v>
      </c>
      <c r="E712" s="3" t="s">
        <v>6078</v>
      </c>
      <c r="F712" s="2" t="s">
        <v>1788</v>
      </c>
      <c r="G712" s="6" t="s">
        <v>181</v>
      </c>
      <c r="H712" s="2" t="s">
        <v>1473</v>
      </c>
      <c r="I712" s="2" t="s">
        <v>1426</v>
      </c>
      <c r="J712" s="2" t="s">
        <v>19</v>
      </c>
      <c r="K712" s="2" t="s">
        <v>990</v>
      </c>
      <c r="L712" s="7" t="str">
        <f>HYPERLINK("http://slimages.macys.com/is/image/MCY/11831356 ")</f>
        <v xml:space="preserve">http://slimages.macys.com/is/image/MCY/11831356 </v>
      </c>
    </row>
    <row r="713" spans="1:12" ht="24.75" x14ac:dyDescent="0.25">
      <c r="A713" s="4" t="s">
        <v>9180</v>
      </c>
      <c r="B713" s="2" t="s">
        <v>1724</v>
      </c>
      <c r="C713" s="3">
        <v>1</v>
      </c>
      <c r="D713" s="5">
        <v>34.880000000000003</v>
      </c>
      <c r="E713" s="3">
        <v>100018041</v>
      </c>
      <c r="F713" s="2" t="s">
        <v>74</v>
      </c>
      <c r="G713" s="6" t="s">
        <v>112</v>
      </c>
      <c r="H713" s="2" t="s">
        <v>194</v>
      </c>
      <c r="I713" s="2" t="s">
        <v>195</v>
      </c>
      <c r="J713" s="2" t="s">
        <v>19</v>
      </c>
      <c r="K713" s="2" t="s">
        <v>353</v>
      </c>
      <c r="L713" s="7" t="str">
        <f>HYPERLINK("http://slimages.macys.com/is/image/MCY/12950342 ")</f>
        <v xml:space="preserve">http://slimages.macys.com/is/image/MCY/12950342 </v>
      </c>
    </row>
    <row r="714" spans="1:12" ht="24.75" x14ac:dyDescent="0.25">
      <c r="A714" s="4" t="s">
        <v>8310</v>
      </c>
      <c r="B714" s="2" t="s">
        <v>1724</v>
      </c>
      <c r="C714" s="3">
        <v>1</v>
      </c>
      <c r="D714" s="5">
        <v>34.880000000000003</v>
      </c>
      <c r="E714" s="3">
        <v>100018041</v>
      </c>
      <c r="F714" s="2" t="s">
        <v>74</v>
      </c>
      <c r="G714" s="6" t="s">
        <v>58</v>
      </c>
      <c r="H714" s="2" t="s">
        <v>194</v>
      </c>
      <c r="I714" s="2" t="s">
        <v>195</v>
      </c>
      <c r="J714" s="2" t="s">
        <v>19</v>
      </c>
      <c r="K714" s="2" t="s">
        <v>353</v>
      </c>
      <c r="L714" s="7" t="str">
        <f>HYPERLINK("http://slimages.macys.com/is/image/MCY/12950342 ")</f>
        <v xml:space="preserve">http://slimages.macys.com/is/image/MCY/12950342 </v>
      </c>
    </row>
    <row r="715" spans="1:12" ht="24.75" x14ac:dyDescent="0.25">
      <c r="A715" s="4" t="s">
        <v>13331</v>
      </c>
      <c r="B715" s="2" t="s">
        <v>13332</v>
      </c>
      <c r="C715" s="3">
        <v>1</v>
      </c>
      <c r="D715" s="5">
        <v>19.989999999999998</v>
      </c>
      <c r="E715" s="3" t="s">
        <v>13333</v>
      </c>
      <c r="F715" s="2" t="s">
        <v>74</v>
      </c>
      <c r="G715" s="6" t="s">
        <v>219</v>
      </c>
      <c r="H715" s="2" t="s">
        <v>1425</v>
      </c>
      <c r="I715" s="2" t="s">
        <v>1426</v>
      </c>
      <c r="J715" s="2" t="s">
        <v>19</v>
      </c>
      <c r="K715" s="2" t="s">
        <v>495</v>
      </c>
      <c r="L715" s="7" t="str">
        <f>HYPERLINK("http://slimages.macys.com/is/image/MCY/14825587 ")</f>
        <v xml:space="preserve">http://slimages.macys.com/is/image/MCY/14825587 </v>
      </c>
    </row>
    <row r="716" spans="1:12" ht="36.75" x14ac:dyDescent="0.25">
      <c r="A716" s="4" t="s">
        <v>6796</v>
      </c>
      <c r="B716" s="2" t="s">
        <v>6797</v>
      </c>
      <c r="C716" s="3">
        <v>1</v>
      </c>
      <c r="D716" s="5">
        <v>45</v>
      </c>
      <c r="E716" s="3" t="s">
        <v>6798</v>
      </c>
      <c r="F716" s="2" t="s">
        <v>94</v>
      </c>
      <c r="G716" s="6" t="s">
        <v>791</v>
      </c>
      <c r="H716" s="2" t="s">
        <v>447</v>
      </c>
      <c r="I716" s="2" t="s">
        <v>792</v>
      </c>
      <c r="J716" s="2" t="s">
        <v>19</v>
      </c>
      <c r="K716" s="2" t="s">
        <v>6799</v>
      </c>
      <c r="L716" s="7" t="str">
        <f>HYPERLINK("http://slimages.macys.com/is/image/MCY/12950031 ")</f>
        <v xml:space="preserve">http://slimages.macys.com/is/image/MCY/12950031 </v>
      </c>
    </row>
    <row r="717" spans="1:12" ht="24.75" x14ac:dyDescent="0.25">
      <c r="A717" s="4" t="s">
        <v>1795</v>
      </c>
      <c r="B717" s="2" t="s">
        <v>1796</v>
      </c>
      <c r="C717" s="3">
        <v>1</v>
      </c>
      <c r="D717" s="5">
        <v>33</v>
      </c>
      <c r="E717" s="3" t="s">
        <v>1797</v>
      </c>
      <c r="F717" s="2" t="s">
        <v>1234</v>
      </c>
      <c r="G717" s="6" t="s">
        <v>791</v>
      </c>
      <c r="H717" s="2" t="s">
        <v>447</v>
      </c>
      <c r="I717" s="2" t="s">
        <v>792</v>
      </c>
      <c r="J717" s="2" t="s">
        <v>19</v>
      </c>
      <c r="K717" s="2" t="s">
        <v>160</v>
      </c>
      <c r="L717" s="7" t="str">
        <f>HYPERLINK("http://slimages.macys.com/is/image/MCY/13745636 ")</f>
        <v xml:space="preserve">http://slimages.macys.com/is/image/MCY/13745636 </v>
      </c>
    </row>
    <row r="718" spans="1:12" ht="24.75" x14ac:dyDescent="0.25">
      <c r="A718" s="4" t="s">
        <v>13334</v>
      </c>
      <c r="B718" s="2" t="s">
        <v>13335</v>
      </c>
      <c r="C718" s="3">
        <v>1</v>
      </c>
      <c r="D718" s="5">
        <v>21.99</v>
      </c>
      <c r="E718" s="3" t="s">
        <v>13336</v>
      </c>
      <c r="F718" s="2" t="s">
        <v>85</v>
      </c>
      <c r="G718" s="6" t="s">
        <v>181</v>
      </c>
      <c r="H718" s="2" t="s">
        <v>1473</v>
      </c>
      <c r="I718" s="2" t="s">
        <v>1426</v>
      </c>
      <c r="J718" s="2" t="s">
        <v>19</v>
      </c>
      <c r="K718" s="2" t="s">
        <v>495</v>
      </c>
      <c r="L718" s="7" t="str">
        <f>HYPERLINK("http://slimages.macys.com/is/image/MCY/13382686 ")</f>
        <v xml:space="preserve">http://slimages.macys.com/is/image/MCY/13382686 </v>
      </c>
    </row>
    <row r="719" spans="1:12" ht="24.75" x14ac:dyDescent="0.25">
      <c r="A719" s="4" t="s">
        <v>13337</v>
      </c>
      <c r="B719" s="2" t="s">
        <v>13335</v>
      </c>
      <c r="C719" s="3">
        <v>1</v>
      </c>
      <c r="D719" s="5">
        <v>21.99</v>
      </c>
      <c r="E719" s="3" t="s">
        <v>13336</v>
      </c>
      <c r="F719" s="2" t="s">
        <v>85</v>
      </c>
      <c r="G719" s="6" t="s">
        <v>245</v>
      </c>
      <c r="H719" s="2" t="s">
        <v>1473</v>
      </c>
      <c r="I719" s="2" t="s">
        <v>1426</v>
      </c>
      <c r="J719" s="2" t="s">
        <v>19</v>
      </c>
      <c r="K719" s="2" t="s">
        <v>495</v>
      </c>
      <c r="L719" s="7" t="str">
        <f>HYPERLINK("http://slimages.macys.com/is/image/MCY/13382686 ")</f>
        <v xml:space="preserve">http://slimages.macys.com/is/image/MCY/13382686 </v>
      </c>
    </row>
    <row r="720" spans="1:12" ht="24.75" x14ac:dyDescent="0.25">
      <c r="A720" s="4" t="s">
        <v>13338</v>
      </c>
      <c r="B720" s="2" t="s">
        <v>13339</v>
      </c>
      <c r="C720" s="3">
        <v>1</v>
      </c>
      <c r="D720" s="5">
        <v>21.99</v>
      </c>
      <c r="E720" s="3" t="s">
        <v>13340</v>
      </c>
      <c r="F720" s="2" t="s">
        <v>252</v>
      </c>
      <c r="G720" s="6"/>
      <c r="H720" s="2" t="s">
        <v>127</v>
      </c>
      <c r="I720" s="2" t="s">
        <v>128</v>
      </c>
      <c r="J720" s="2" t="s">
        <v>1499</v>
      </c>
      <c r="K720" s="2" t="s">
        <v>3423</v>
      </c>
      <c r="L720" s="7" t="str">
        <f>HYPERLINK("http://slimages.macys.com/is/image/MCY/9472478 ")</f>
        <v xml:space="preserve">http://slimages.macys.com/is/image/MCY/9472478 </v>
      </c>
    </row>
    <row r="721" spans="1:12" ht="24.75" x14ac:dyDescent="0.25">
      <c r="A721" s="4" t="s">
        <v>13341</v>
      </c>
      <c r="B721" s="2" t="s">
        <v>13342</v>
      </c>
      <c r="C721" s="3">
        <v>1</v>
      </c>
      <c r="D721" s="5">
        <v>19.989999999999998</v>
      </c>
      <c r="E721" s="3" t="s">
        <v>13343</v>
      </c>
      <c r="F721" s="2" t="s">
        <v>74</v>
      </c>
      <c r="G721" s="6" t="s">
        <v>245</v>
      </c>
      <c r="H721" s="2" t="s">
        <v>1473</v>
      </c>
      <c r="I721" s="2" t="s">
        <v>1426</v>
      </c>
      <c r="J721" s="2" t="s">
        <v>19</v>
      </c>
      <c r="K721" s="2" t="s">
        <v>107</v>
      </c>
      <c r="L721" s="7" t="str">
        <f>HYPERLINK("http://slimages.macys.com/is/image/MCY/14825556 ")</f>
        <v xml:space="preserve">http://slimages.macys.com/is/image/MCY/14825556 </v>
      </c>
    </row>
    <row r="722" spans="1:12" ht="24.75" x14ac:dyDescent="0.25">
      <c r="A722" s="4" t="s">
        <v>13344</v>
      </c>
      <c r="B722" s="2" t="s">
        <v>5138</v>
      </c>
      <c r="C722" s="3">
        <v>1</v>
      </c>
      <c r="D722" s="5">
        <v>19.989999999999998</v>
      </c>
      <c r="E722" s="3" t="s">
        <v>5139</v>
      </c>
      <c r="F722" s="2" t="s">
        <v>70</v>
      </c>
      <c r="G722" s="6" t="s">
        <v>181</v>
      </c>
      <c r="H722" s="2" t="s">
        <v>1473</v>
      </c>
      <c r="I722" s="2" t="s">
        <v>1426</v>
      </c>
      <c r="J722" s="2" t="s">
        <v>19</v>
      </c>
      <c r="K722" s="2" t="s">
        <v>648</v>
      </c>
      <c r="L722" s="7" t="str">
        <f>HYPERLINK("http://slimages.macys.com/is/image/MCY/12774735 ")</f>
        <v xml:space="preserve">http://slimages.macys.com/is/image/MCY/12774735 </v>
      </c>
    </row>
    <row r="723" spans="1:12" ht="24.75" x14ac:dyDescent="0.25">
      <c r="A723" s="4" t="s">
        <v>13345</v>
      </c>
      <c r="B723" s="2" t="s">
        <v>5138</v>
      </c>
      <c r="C723" s="3">
        <v>1</v>
      </c>
      <c r="D723" s="5">
        <v>19.989999999999998</v>
      </c>
      <c r="E723" s="3" t="s">
        <v>5139</v>
      </c>
      <c r="F723" s="2" t="s">
        <v>70</v>
      </c>
      <c r="G723" s="6" t="s">
        <v>154</v>
      </c>
      <c r="H723" s="2" t="s">
        <v>1473</v>
      </c>
      <c r="I723" s="2" t="s">
        <v>1426</v>
      </c>
      <c r="J723" s="2" t="s">
        <v>19</v>
      </c>
      <c r="K723" s="2" t="s">
        <v>648</v>
      </c>
      <c r="L723" s="7" t="str">
        <f>HYPERLINK("http://slimages.macys.com/is/image/MCY/12774735 ")</f>
        <v xml:space="preserve">http://slimages.macys.com/is/image/MCY/12774735 </v>
      </c>
    </row>
    <row r="724" spans="1:12" ht="24.75" x14ac:dyDescent="0.25">
      <c r="A724" s="4" t="s">
        <v>13346</v>
      </c>
      <c r="B724" s="2" t="s">
        <v>11211</v>
      </c>
      <c r="C724" s="3">
        <v>1</v>
      </c>
      <c r="D724" s="5">
        <v>19.989999999999998</v>
      </c>
      <c r="E724" s="3" t="s">
        <v>11212</v>
      </c>
      <c r="F724" s="2" t="s">
        <v>1322</v>
      </c>
      <c r="G724" s="6" t="s">
        <v>154</v>
      </c>
      <c r="H724" s="2" t="s">
        <v>1473</v>
      </c>
      <c r="I724" s="2" t="s">
        <v>1426</v>
      </c>
      <c r="J724" s="2" t="s">
        <v>19</v>
      </c>
      <c r="K724" s="2" t="s">
        <v>495</v>
      </c>
      <c r="L724" s="7" t="str">
        <f>HYPERLINK("http://slimages.macys.com/is/image/MCY/15131665 ")</f>
        <v xml:space="preserve">http://slimages.macys.com/is/image/MCY/15131665 </v>
      </c>
    </row>
    <row r="725" spans="1:12" ht="24.75" x14ac:dyDescent="0.25">
      <c r="A725" s="4" t="s">
        <v>2996</v>
      </c>
      <c r="B725" s="2" t="s">
        <v>1817</v>
      </c>
      <c r="C725" s="3">
        <v>1</v>
      </c>
      <c r="D725" s="5">
        <v>17.989999999999998</v>
      </c>
      <c r="E725" s="3" t="s">
        <v>1818</v>
      </c>
      <c r="F725" s="2" t="s">
        <v>998</v>
      </c>
      <c r="G725" s="6" t="s">
        <v>22</v>
      </c>
      <c r="H725" s="2" t="s">
        <v>1473</v>
      </c>
      <c r="I725" s="2" t="s">
        <v>1426</v>
      </c>
      <c r="J725" s="2" t="s">
        <v>19</v>
      </c>
      <c r="K725" s="2" t="s">
        <v>353</v>
      </c>
      <c r="L725" s="7" t="str">
        <f>HYPERLINK("http://slimages.macys.com/is/image/MCY/12070597 ")</f>
        <v xml:space="preserve">http://slimages.macys.com/is/image/MCY/12070597 </v>
      </c>
    </row>
    <row r="726" spans="1:12" ht="24.75" x14ac:dyDescent="0.25">
      <c r="A726" s="4" t="s">
        <v>13347</v>
      </c>
      <c r="B726" s="2" t="s">
        <v>13348</v>
      </c>
      <c r="C726" s="3">
        <v>1</v>
      </c>
      <c r="D726" s="5">
        <v>19.989999999999998</v>
      </c>
      <c r="E726" s="3" t="s">
        <v>13349</v>
      </c>
      <c r="F726" s="2" t="s">
        <v>74</v>
      </c>
      <c r="G726" s="6" t="s">
        <v>200</v>
      </c>
      <c r="H726" s="2" t="s">
        <v>1473</v>
      </c>
      <c r="I726" s="2" t="s">
        <v>1426</v>
      </c>
      <c r="J726" s="2" t="s">
        <v>19</v>
      </c>
      <c r="K726" s="2" t="s">
        <v>107</v>
      </c>
      <c r="L726" s="7" t="str">
        <f>HYPERLINK("http://slimages.macys.com/is/image/MCY/14770352 ")</f>
        <v xml:space="preserve">http://slimages.macys.com/is/image/MCY/14770352 </v>
      </c>
    </row>
    <row r="727" spans="1:12" ht="24.75" x14ac:dyDescent="0.25">
      <c r="A727" s="4" t="s">
        <v>13350</v>
      </c>
      <c r="B727" s="2" t="s">
        <v>11216</v>
      </c>
      <c r="C727" s="3">
        <v>1</v>
      </c>
      <c r="D727" s="5">
        <v>22.13</v>
      </c>
      <c r="E727" s="3" t="s">
        <v>11217</v>
      </c>
      <c r="F727" s="2" t="s">
        <v>132</v>
      </c>
      <c r="G727" s="6" t="s">
        <v>234</v>
      </c>
      <c r="H727" s="2" t="s">
        <v>194</v>
      </c>
      <c r="I727" s="2" t="s">
        <v>195</v>
      </c>
      <c r="J727" s="2" t="s">
        <v>19</v>
      </c>
      <c r="K727" s="2" t="s">
        <v>1082</v>
      </c>
      <c r="L727" s="7" t="str">
        <f>HYPERLINK("http://slimages.macys.com/is/image/MCY/13316699 ")</f>
        <v xml:space="preserve">http://slimages.macys.com/is/image/MCY/13316699 </v>
      </c>
    </row>
    <row r="728" spans="1:12" ht="24.75" x14ac:dyDescent="0.25">
      <c r="A728" s="4" t="s">
        <v>12422</v>
      </c>
      <c r="B728" s="2" t="s">
        <v>12419</v>
      </c>
      <c r="C728" s="3">
        <v>1</v>
      </c>
      <c r="D728" s="5">
        <v>19.989999999999998</v>
      </c>
      <c r="E728" s="3" t="s">
        <v>12420</v>
      </c>
      <c r="F728" s="2"/>
      <c r="G728" s="6" t="s">
        <v>154</v>
      </c>
      <c r="H728" s="2" t="s">
        <v>1473</v>
      </c>
      <c r="I728" s="2" t="s">
        <v>1426</v>
      </c>
      <c r="J728" s="2" t="s">
        <v>19</v>
      </c>
      <c r="K728" s="2" t="s">
        <v>1108</v>
      </c>
      <c r="L728" s="7" t="str">
        <f>HYPERLINK("http://slimages.macys.com/is/image/MCY/13303659 ")</f>
        <v xml:space="preserve">http://slimages.macys.com/is/image/MCY/13303659 </v>
      </c>
    </row>
    <row r="729" spans="1:12" ht="24.75" x14ac:dyDescent="0.25">
      <c r="A729" s="4" t="s">
        <v>13351</v>
      </c>
      <c r="B729" s="2" t="s">
        <v>12419</v>
      </c>
      <c r="C729" s="3">
        <v>1</v>
      </c>
      <c r="D729" s="5">
        <v>19.989999999999998</v>
      </c>
      <c r="E729" s="3" t="s">
        <v>12420</v>
      </c>
      <c r="F729" s="2"/>
      <c r="G729" s="6" t="s">
        <v>200</v>
      </c>
      <c r="H729" s="2" t="s">
        <v>1473</v>
      </c>
      <c r="I729" s="2" t="s">
        <v>1426</v>
      </c>
      <c r="J729" s="2" t="s">
        <v>19</v>
      </c>
      <c r="K729" s="2" t="s">
        <v>1108</v>
      </c>
      <c r="L729" s="7" t="str">
        <f>HYPERLINK("http://slimages.macys.com/is/image/MCY/13303659 ")</f>
        <v xml:space="preserve">http://slimages.macys.com/is/image/MCY/13303659 </v>
      </c>
    </row>
    <row r="730" spans="1:12" ht="24.75" x14ac:dyDescent="0.25">
      <c r="A730" s="4" t="s">
        <v>12421</v>
      </c>
      <c r="B730" s="2" t="s">
        <v>12419</v>
      </c>
      <c r="C730" s="3">
        <v>1</v>
      </c>
      <c r="D730" s="5">
        <v>19.989999999999998</v>
      </c>
      <c r="E730" s="3" t="s">
        <v>12420</v>
      </c>
      <c r="F730" s="2" t="s">
        <v>26</v>
      </c>
      <c r="G730" s="6" t="s">
        <v>234</v>
      </c>
      <c r="H730" s="2" t="s">
        <v>1473</v>
      </c>
      <c r="I730" s="2" t="s">
        <v>1426</v>
      </c>
      <c r="J730" s="2" t="s">
        <v>19</v>
      </c>
      <c r="K730" s="2" t="s">
        <v>1108</v>
      </c>
      <c r="L730" s="7" t="str">
        <f>HYPERLINK("http://slimages.macys.com/is/image/MCY/13303659 ")</f>
        <v xml:space="preserve">http://slimages.macys.com/is/image/MCY/13303659 </v>
      </c>
    </row>
    <row r="731" spans="1:12" ht="24.75" x14ac:dyDescent="0.25">
      <c r="A731" s="4" t="s">
        <v>13352</v>
      </c>
      <c r="B731" s="2" t="s">
        <v>12419</v>
      </c>
      <c r="C731" s="3">
        <v>1</v>
      </c>
      <c r="D731" s="5">
        <v>19.989999999999998</v>
      </c>
      <c r="E731" s="3" t="s">
        <v>12420</v>
      </c>
      <c r="F731" s="2"/>
      <c r="G731" s="6" t="s">
        <v>234</v>
      </c>
      <c r="H731" s="2" t="s">
        <v>1473</v>
      </c>
      <c r="I731" s="2" t="s">
        <v>1426</v>
      </c>
      <c r="J731" s="2" t="s">
        <v>19</v>
      </c>
      <c r="K731" s="2" t="s">
        <v>1108</v>
      </c>
      <c r="L731" s="7" t="str">
        <f>HYPERLINK("http://slimages.macys.com/is/image/MCY/13303659 ")</f>
        <v xml:space="preserve">http://slimages.macys.com/is/image/MCY/13303659 </v>
      </c>
    </row>
    <row r="732" spans="1:12" ht="24.75" x14ac:dyDescent="0.25">
      <c r="A732" s="4" t="s">
        <v>12423</v>
      </c>
      <c r="B732" s="2" t="s">
        <v>12424</v>
      </c>
      <c r="C732" s="3">
        <v>1</v>
      </c>
      <c r="D732" s="5">
        <v>19.989999999999998</v>
      </c>
      <c r="E732" s="3" t="s">
        <v>12425</v>
      </c>
      <c r="F732" s="2" t="s">
        <v>199</v>
      </c>
      <c r="G732" s="6" t="s">
        <v>154</v>
      </c>
      <c r="H732" s="2" t="s">
        <v>1473</v>
      </c>
      <c r="I732" s="2" t="s">
        <v>1426</v>
      </c>
      <c r="J732" s="2" t="s">
        <v>19</v>
      </c>
      <c r="K732" s="2" t="s">
        <v>107</v>
      </c>
      <c r="L732" s="7" t="str">
        <f>HYPERLINK("http://slimages.macys.com/is/image/MCY/15071215 ")</f>
        <v xml:space="preserve">http://slimages.macys.com/is/image/MCY/15071215 </v>
      </c>
    </row>
    <row r="733" spans="1:12" ht="24.75" x14ac:dyDescent="0.25">
      <c r="A733" s="4" t="s">
        <v>13353</v>
      </c>
      <c r="B733" s="2" t="s">
        <v>11231</v>
      </c>
      <c r="C733" s="3">
        <v>1</v>
      </c>
      <c r="D733" s="5">
        <v>19.989999999999998</v>
      </c>
      <c r="E733" s="3" t="s">
        <v>11232</v>
      </c>
      <c r="F733" s="2" t="s">
        <v>74</v>
      </c>
      <c r="G733" s="6" t="s">
        <v>181</v>
      </c>
      <c r="H733" s="2" t="s">
        <v>1473</v>
      </c>
      <c r="I733" s="2" t="s">
        <v>1426</v>
      </c>
      <c r="J733" s="2" t="s">
        <v>19</v>
      </c>
      <c r="K733" s="2" t="s">
        <v>107</v>
      </c>
      <c r="L733" s="7" t="str">
        <f>HYPERLINK("http://slimages.macys.com/is/image/MCY/15071323 ")</f>
        <v xml:space="preserve">http://slimages.macys.com/is/image/MCY/15071323 </v>
      </c>
    </row>
    <row r="734" spans="1:12" ht="24.75" x14ac:dyDescent="0.25">
      <c r="A734" s="4" t="s">
        <v>11230</v>
      </c>
      <c r="B734" s="2" t="s">
        <v>11231</v>
      </c>
      <c r="C734" s="3">
        <v>1</v>
      </c>
      <c r="D734" s="5">
        <v>19.989999999999998</v>
      </c>
      <c r="E734" s="3" t="s">
        <v>11232</v>
      </c>
      <c r="F734" s="2" t="s">
        <v>74</v>
      </c>
      <c r="G734" s="6" t="s">
        <v>234</v>
      </c>
      <c r="H734" s="2" t="s">
        <v>1473</v>
      </c>
      <c r="I734" s="2" t="s">
        <v>1426</v>
      </c>
      <c r="J734" s="2" t="s">
        <v>19</v>
      </c>
      <c r="K734" s="2" t="s">
        <v>107</v>
      </c>
      <c r="L734" s="7" t="str">
        <f>HYPERLINK("http://slimages.macys.com/is/image/MCY/15071323 ")</f>
        <v xml:space="preserve">http://slimages.macys.com/is/image/MCY/15071323 </v>
      </c>
    </row>
    <row r="735" spans="1:12" ht="24.75" x14ac:dyDescent="0.25">
      <c r="A735" s="4" t="s">
        <v>11253</v>
      </c>
      <c r="B735" s="2" t="s">
        <v>11254</v>
      </c>
      <c r="C735" s="3">
        <v>1</v>
      </c>
      <c r="D735" s="5">
        <v>19.989999999999998</v>
      </c>
      <c r="E735" s="3" t="s">
        <v>11255</v>
      </c>
      <c r="F735" s="2" t="s">
        <v>74</v>
      </c>
      <c r="G735" s="6"/>
      <c r="H735" s="2" t="s">
        <v>1425</v>
      </c>
      <c r="I735" s="2" t="s">
        <v>1426</v>
      </c>
      <c r="J735" s="2" t="s">
        <v>19</v>
      </c>
      <c r="K735" s="2" t="s">
        <v>107</v>
      </c>
      <c r="L735" s="7" t="str">
        <f>HYPERLINK("http://slimages.macys.com/is/image/MCY/14825567 ")</f>
        <v xml:space="preserve">http://slimages.macys.com/is/image/MCY/14825567 </v>
      </c>
    </row>
    <row r="736" spans="1:12" ht="24.75" x14ac:dyDescent="0.25">
      <c r="A736" s="4" t="s">
        <v>11257</v>
      </c>
      <c r="B736" s="2" t="s">
        <v>11254</v>
      </c>
      <c r="C736" s="3">
        <v>1</v>
      </c>
      <c r="D736" s="5">
        <v>19.989999999999998</v>
      </c>
      <c r="E736" s="3" t="s">
        <v>11255</v>
      </c>
      <c r="F736" s="2" t="s">
        <v>74</v>
      </c>
      <c r="G736" s="6"/>
      <c r="H736" s="2" t="s">
        <v>1425</v>
      </c>
      <c r="I736" s="2" t="s">
        <v>1426</v>
      </c>
      <c r="J736" s="2" t="s">
        <v>19</v>
      </c>
      <c r="K736" s="2" t="s">
        <v>107</v>
      </c>
      <c r="L736" s="7" t="str">
        <f>HYPERLINK("http://slimages.macys.com/is/image/MCY/14825567 ")</f>
        <v xml:space="preserve">http://slimages.macys.com/is/image/MCY/14825567 </v>
      </c>
    </row>
    <row r="737" spans="1:12" ht="24.75" x14ac:dyDescent="0.25">
      <c r="A737" s="4" t="s">
        <v>13354</v>
      </c>
      <c r="B737" s="2" t="s">
        <v>11246</v>
      </c>
      <c r="C737" s="3">
        <v>1</v>
      </c>
      <c r="D737" s="5">
        <v>19.989999999999998</v>
      </c>
      <c r="E737" s="3" t="s">
        <v>11247</v>
      </c>
      <c r="F737" s="2" t="s">
        <v>85</v>
      </c>
      <c r="G737" s="6" t="s">
        <v>154</v>
      </c>
      <c r="H737" s="2" t="s">
        <v>1473</v>
      </c>
      <c r="I737" s="2" t="s">
        <v>1426</v>
      </c>
      <c r="J737" s="2" t="s">
        <v>19</v>
      </c>
      <c r="K737" s="2" t="s">
        <v>495</v>
      </c>
      <c r="L737" s="7" t="str">
        <f>HYPERLINK("http://slimages.macys.com/is/image/MCY/13631250 ")</f>
        <v xml:space="preserve">http://slimages.macys.com/is/image/MCY/13631250 </v>
      </c>
    </row>
    <row r="738" spans="1:12" ht="24.75" x14ac:dyDescent="0.25">
      <c r="A738" s="4" t="s">
        <v>11251</v>
      </c>
      <c r="B738" s="2" t="s">
        <v>11240</v>
      </c>
      <c r="C738" s="3">
        <v>1</v>
      </c>
      <c r="D738" s="5">
        <v>19.989999999999998</v>
      </c>
      <c r="E738" s="3" t="s">
        <v>11241</v>
      </c>
      <c r="F738" s="2" t="s">
        <v>199</v>
      </c>
      <c r="G738" s="6" t="s">
        <v>234</v>
      </c>
      <c r="H738" s="2" t="s">
        <v>1473</v>
      </c>
      <c r="I738" s="2" t="s">
        <v>1426</v>
      </c>
      <c r="J738" s="2" t="s">
        <v>19</v>
      </c>
      <c r="K738" s="2" t="s">
        <v>648</v>
      </c>
      <c r="L738" s="7" t="str">
        <f>HYPERLINK("http://slimages.macys.com/is/image/MCY/14767751 ")</f>
        <v xml:space="preserve">http://slimages.macys.com/is/image/MCY/14767751 </v>
      </c>
    </row>
    <row r="739" spans="1:12" ht="24.75" x14ac:dyDescent="0.25">
      <c r="A739" s="4" t="s">
        <v>13355</v>
      </c>
      <c r="B739" s="2" t="s">
        <v>12446</v>
      </c>
      <c r="C739" s="3">
        <v>1</v>
      </c>
      <c r="D739" s="5">
        <v>19.989999999999998</v>
      </c>
      <c r="E739" s="3" t="s">
        <v>12447</v>
      </c>
      <c r="F739" s="2" t="s">
        <v>417</v>
      </c>
      <c r="G739" s="6" t="s">
        <v>154</v>
      </c>
      <c r="H739" s="2" t="s">
        <v>1473</v>
      </c>
      <c r="I739" s="2" t="s">
        <v>1426</v>
      </c>
      <c r="J739" s="2" t="s">
        <v>19</v>
      </c>
      <c r="K739" s="2" t="s">
        <v>1108</v>
      </c>
      <c r="L739" s="7" t="str">
        <f>HYPERLINK("http://slimages.macys.com/is/image/MCY/13511328 ")</f>
        <v xml:space="preserve">http://slimages.macys.com/is/image/MCY/13511328 </v>
      </c>
    </row>
    <row r="740" spans="1:12" ht="24.75" x14ac:dyDescent="0.25">
      <c r="A740" s="4" t="s">
        <v>11248</v>
      </c>
      <c r="B740" s="2" t="s">
        <v>11249</v>
      </c>
      <c r="C740" s="3">
        <v>1</v>
      </c>
      <c r="D740" s="5">
        <v>19.989999999999998</v>
      </c>
      <c r="E740" s="3" t="s">
        <v>11250</v>
      </c>
      <c r="F740" s="2" t="s">
        <v>417</v>
      </c>
      <c r="G740" s="6" t="s">
        <v>181</v>
      </c>
      <c r="H740" s="2" t="s">
        <v>1473</v>
      </c>
      <c r="I740" s="2" t="s">
        <v>1426</v>
      </c>
      <c r="J740" s="2" t="s">
        <v>19</v>
      </c>
      <c r="K740" s="2" t="s">
        <v>648</v>
      </c>
      <c r="L740" s="7" t="str">
        <f>HYPERLINK("http://slimages.macys.com/is/image/MCY/13382842 ")</f>
        <v xml:space="preserve">http://slimages.macys.com/is/image/MCY/13382842 </v>
      </c>
    </row>
    <row r="741" spans="1:12" ht="24.75" x14ac:dyDescent="0.25">
      <c r="A741" s="4" t="s">
        <v>13356</v>
      </c>
      <c r="B741" s="2" t="s">
        <v>12449</v>
      </c>
      <c r="C741" s="3">
        <v>1</v>
      </c>
      <c r="D741" s="5">
        <v>19.989999999999998</v>
      </c>
      <c r="E741" s="3" t="s">
        <v>12450</v>
      </c>
      <c r="F741" s="2" t="s">
        <v>1322</v>
      </c>
      <c r="G741" s="6" t="s">
        <v>181</v>
      </c>
      <c r="H741" s="2" t="s">
        <v>1473</v>
      </c>
      <c r="I741" s="2" t="s">
        <v>1426</v>
      </c>
      <c r="J741" s="2" t="s">
        <v>19</v>
      </c>
      <c r="K741" s="2" t="s">
        <v>107</v>
      </c>
      <c r="L741" s="7" t="str">
        <f>HYPERLINK("http://slimages.macys.com/is/image/MCY/14766422 ")</f>
        <v xml:space="preserve">http://slimages.macys.com/is/image/MCY/14766422 </v>
      </c>
    </row>
    <row r="742" spans="1:12" ht="24.75" x14ac:dyDescent="0.25">
      <c r="A742" s="4" t="s">
        <v>13357</v>
      </c>
      <c r="B742" s="2" t="s">
        <v>11246</v>
      </c>
      <c r="C742" s="3">
        <v>1</v>
      </c>
      <c r="D742" s="5">
        <v>19.989999999999998</v>
      </c>
      <c r="E742" s="3" t="s">
        <v>11247</v>
      </c>
      <c r="F742" s="2" t="s">
        <v>417</v>
      </c>
      <c r="G742" s="6" t="s">
        <v>154</v>
      </c>
      <c r="H742" s="2" t="s">
        <v>1473</v>
      </c>
      <c r="I742" s="2" t="s">
        <v>1426</v>
      </c>
      <c r="J742" s="2" t="s">
        <v>19</v>
      </c>
      <c r="K742" s="2" t="s">
        <v>495</v>
      </c>
      <c r="L742" s="7" t="str">
        <f>HYPERLINK("http://slimages.macys.com/is/image/MCY/13631250 ")</f>
        <v xml:space="preserve">http://slimages.macys.com/is/image/MCY/13631250 </v>
      </c>
    </row>
    <row r="743" spans="1:12" ht="24.75" x14ac:dyDescent="0.25">
      <c r="A743" s="4" t="s">
        <v>13358</v>
      </c>
      <c r="B743" s="2" t="s">
        <v>11246</v>
      </c>
      <c r="C743" s="3">
        <v>1</v>
      </c>
      <c r="D743" s="5">
        <v>19.989999999999998</v>
      </c>
      <c r="E743" s="3" t="s">
        <v>11247</v>
      </c>
      <c r="F743" s="2" t="s">
        <v>132</v>
      </c>
      <c r="G743" s="6" t="s">
        <v>154</v>
      </c>
      <c r="H743" s="2" t="s">
        <v>1473</v>
      </c>
      <c r="I743" s="2" t="s">
        <v>1426</v>
      </c>
      <c r="J743" s="2" t="s">
        <v>19</v>
      </c>
      <c r="K743" s="2" t="s">
        <v>495</v>
      </c>
      <c r="L743" s="7" t="str">
        <f>HYPERLINK("http://slimages.macys.com/is/image/MCY/13631250 ")</f>
        <v xml:space="preserve">http://slimages.macys.com/is/image/MCY/13631250 </v>
      </c>
    </row>
    <row r="744" spans="1:12" ht="24.75" x14ac:dyDescent="0.25">
      <c r="A744" s="4" t="s">
        <v>13359</v>
      </c>
      <c r="B744" s="2" t="s">
        <v>13360</v>
      </c>
      <c r="C744" s="3">
        <v>1</v>
      </c>
      <c r="D744" s="5">
        <v>19.989999999999998</v>
      </c>
      <c r="E744" s="3" t="s">
        <v>13361</v>
      </c>
      <c r="F744" s="2" t="s">
        <v>26</v>
      </c>
      <c r="G744" s="6" t="s">
        <v>200</v>
      </c>
      <c r="H744" s="2" t="s">
        <v>1473</v>
      </c>
      <c r="I744" s="2" t="s">
        <v>1426</v>
      </c>
      <c r="J744" s="2" t="s">
        <v>19</v>
      </c>
      <c r="K744" s="2" t="s">
        <v>648</v>
      </c>
      <c r="L744" s="7" t="str">
        <f>HYPERLINK("http://slimages.macys.com/is/image/MCY/13530433 ")</f>
        <v xml:space="preserve">http://slimages.macys.com/is/image/MCY/13530433 </v>
      </c>
    </row>
    <row r="745" spans="1:12" ht="24.75" x14ac:dyDescent="0.25">
      <c r="A745" s="4" t="s">
        <v>13362</v>
      </c>
      <c r="B745" s="2" t="s">
        <v>13360</v>
      </c>
      <c r="C745" s="3">
        <v>1</v>
      </c>
      <c r="D745" s="5">
        <v>19.989999999999998</v>
      </c>
      <c r="E745" s="3" t="s">
        <v>13361</v>
      </c>
      <c r="F745" s="2" t="s">
        <v>5457</v>
      </c>
      <c r="G745" s="6" t="s">
        <v>154</v>
      </c>
      <c r="H745" s="2" t="s">
        <v>1473</v>
      </c>
      <c r="I745" s="2" t="s">
        <v>1426</v>
      </c>
      <c r="J745" s="2" t="s">
        <v>19</v>
      </c>
      <c r="K745" s="2" t="s">
        <v>648</v>
      </c>
      <c r="L745" s="7" t="str">
        <f>HYPERLINK("http://slimages.macys.com/is/image/MCY/13530433 ")</f>
        <v xml:space="preserve">http://slimages.macys.com/is/image/MCY/13530433 </v>
      </c>
    </row>
    <row r="746" spans="1:12" ht="24.75" x14ac:dyDescent="0.25">
      <c r="A746" s="4" t="s">
        <v>8811</v>
      </c>
      <c r="B746" s="2" t="s">
        <v>8812</v>
      </c>
      <c r="C746" s="3">
        <v>1</v>
      </c>
      <c r="D746" s="5">
        <v>19.989999999999998</v>
      </c>
      <c r="E746" s="3" t="s">
        <v>8813</v>
      </c>
      <c r="F746" s="2" t="s">
        <v>33</v>
      </c>
      <c r="G746" s="6" t="s">
        <v>234</v>
      </c>
      <c r="H746" s="2" t="s">
        <v>1473</v>
      </c>
      <c r="I746" s="2" t="s">
        <v>1426</v>
      </c>
      <c r="J746" s="2" t="s">
        <v>19</v>
      </c>
      <c r="K746" s="2" t="s">
        <v>1108</v>
      </c>
      <c r="L746" s="7" t="str">
        <f>HYPERLINK("http://slimages.macys.com/is/image/MCY/11832079 ")</f>
        <v xml:space="preserve">http://slimages.macys.com/is/image/MCY/11832079 </v>
      </c>
    </row>
    <row r="747" spans="1:12" ht="24.75" x14ac:dyDescent="0.25">
      <c r="A747" s="4" t="s">
        <v>13363</v>
      </c>
      <c r="B747" s="2" t="s">
        <v>8812</v>
      </c>
      <c r="C747" s="3">
        <v>2</v>
      </c>
      <c r="D747" s="5">
        <v>19.989999999999998</v>
      </c>
      <c r="E747" s="3" t="s">
        <v>8813</v>
      </c>
      <c r="F747" s="2" t="s">
        <v>33</v>
      </c>
      <c r="G747" s="6" t="s">
        <v>156</v>
      </c>
      <c r="H747" s="2" t="s">
        <v>1473</v>
      </c>
      <c r="I747" s="2" t="s">
        <v>1426</v>
      </c>
      <c r="J747" s="2" t="s">
        <v>19</v>
      </c>
      <c r="K747" s="2" t="s">
        <v>1108</v>
      </c>
      <c r="L747" s="7" t="str">
        <f>HYPERLINK("http://slimages.macys.com/is/image/MCY/11832079 ")</f>
        <v xml:space="preserve">http://slimages.macys.com/is/image/MCY/11832079 </v>
      </c>
    </row>
    <row r="748" spans="1:12" ht="24.75" x14ac:dyDescent="0.25">
      <c r="A748" s="4" t="s">
        <v>13364</v>
      </c>
      <c r="B748" s="2" t="s">
        <v>8812</v>
      </c>
      <c r="C748" s="3">
        <v>1</v>
      </c>
      <c r="D748" s="5">
        <v>19.989999999999998</v>
      </c>
      <c r="E748" s="3" t="s">
        <v>8813</v>
      </c>
      <c r="F748" s="2" t="s">
        <v>33</v>
      </c>
      <c r="G748" s="6" t="s">
        <v>245</v>
      </c>
      <c r="H748" s="2" t="s">
        <v>1473</v>
      </c>
      <c r="I748" s="2" t="s">
        <v>1426</v>
      </c>
      <c r="J748" s="2" t="s">
        <v>19</v>
      </c>
      <c r="K748" s="2" t="s">
        <v>1108</v>
      </c>
      <c r="L748" s="7" t="str">
        <f>HYPERLINK("http://slimages.macys.com/is/image/MCY/11832079 ")</f>
        <v xml:space="preserve">http://slimages.macys.com/is/image/MCY/11832079 </v>
      </c>
    </row>
    <row r="749" spans="1:12" ht="24.75" x14ac:dyDescent="0.25">
      <c r="A749" s="4" t="s">
        <v>13365</v>
      </c>
      <c r="B749" s="2" t="s">
        <v>12456</v>
      </c>
      <c r="C749" s="3">
        <v>1</v>
      </c>
      <c r="D749" s="5">
        <v>19.989999999999998</v>
      </c>
      <c r="E749" s="3" t="s">
        <v>12457</v>
      </c>
      <c r="F749" s="2" t="s">
        <v>5457</v>
      </c>
      <c r="G749" s="6" t="s">
        <v>154</v>
      </c>
      <c r="H749" s="2" t="s">
        <v>1473</v>
      </c>
      <c r="I749" s="2" t="s">
        <v>1426</v>
      </c>
      <c r="J749" s="2" t="s">
        <v>19</v>
      </c>
      <c r="K749" s="2" t="s">
        <v>1108</v>
      </c>
      <c r="L749" s="7" t="str">
        <f>HYPERLINK("http://slimages.macys.com/is/image/MCY/13303906 ")</f>
        <v xml:space="preserve">http://slimages.macys.com/is/image/MCY/13303906 </v>
      </c>
    </row>
    <row r="750" spans="1:12" ht="24.75" x14ac:dyDescent="0.25">
      <c r="A750" s="4" t="s">
        <v>9758</v>
      </c>
      <c r="B750" s="2" t="s">
        <v>4128</v>
      </c>
      <c r="C750" s="3">
        <v>2</v>
      </c>
      <c r="D750" s="5">
        <v>19.989999999999998</v>
      </c>
      <c r="E750" s="3" t="s">
        <v>5153</v>
      </c>
      <c r="F750" s="2" t="s">
        <v>94</v>
      </c>
      <c r="G750" s="6" t="s">
        <v>234</v>
      </c>
      <c r="H750" s="2" t="s">
        <v>1473</v>
      </c>
      <c r="I750" s="2" t="s">
        <v>1426</v>
      </c>
      <c r="J750" s="2" t="s">
        <v>19</v>
      </c>
      <c r="K750" s="2" t="s">
        <v>1108</v>
      </c>
      <c r="L750" s="7" t="str">
        <f>HYPERLINK("http://slimages.macys.com/is/image/MCY/11831179 ")</f>
        <v xml:space="preserve">http://slimages.macys.com/is/image/MCY/11831179 </v>
      </c>
    </row>
    <row r="751" spans="1:12" ht="24.75" x14ac:dyDescent="0.25">
      <c r="A751" s="4" t="s">
        <v>12459</v>
      </c>
      <c r="B751" s="2" t="s">
        <v>11246</v>
      </c>
      <c r="C751" s="3">
        <v>1</v>
      </c>
      <c r="D751" s="5">
        <v>19.989999999999998</v>
      </c>
      <c r="E751" s="3" t="s">
        <v>11247</v>
      </c>
      <c r="F751" s="2" t="s">
        <v>85</v>
      </c>
      <c r="G751" s="6" t="s">
        <v>156</v>
      </c>
      <c r="H751" s="2" t="s">
        <v>1473</v>
      </c>
      <c r="I751" s="2" t="s">
        <v>1426</v>
      </c>
      <c r="J751" s="2" t="s">
        <v>19</v>
      </c>
      <c r="K751" s="2" t="s">
        <v>495</v>
      </c>
      <c r="L751" s="7" t="str">
        <f>HYPERLINK("http://slimages.macys.com/is/image/MCY/13631250 ")</f>
        <v xml:space="preserve">http://slimages.macys.com/is/image/MCY/13631250 </v>
      </c>
    </row>
    <row r="752" spans="1:12" ht="24.75" x14ac:dyDescent="0.25">
      <c r="A752" s="4" t="s">
        <v>12455</v>
      </c>
      <c r="B752" s="2" t="s">
        <v>12456</v>
      </c>
      <c r="C752" s="3">
        <v>1</v>
      </c>
      <c r="D752" s="5">
        <v>19.989999999999998</v>
      </c>
      <c r="E752" s="3" t="s">
        <v>12457</v>
      </c>
      <c r="F752" s="2" t="s">
        <v>5457</v>
      </c>
      <c r="G752" s="6" t="s">
        <v>181</v>
      </c>
      <c r="H752" s="2" t="s">
        <v>1473</v>
      </c>
      <c r="I752" s="2" t="s">
        <v>1426</v>
      </c>
      <c r="J752" s="2" t="s">
        <v>19</v>
      </c>
      <c r="K752" s="2" t="s">
        <v>1108</v>
      </c>
      <c r="L752" s="7" t="str">
        <f>HYPERLINK("http://slimages.macys.com/is/image/MCY/13303906 ")</f>
        <v xml:space="preserve">http://slimages.macys.com/is/image/MCY/13303906 </v>
      </c>
    </row>
    <row r="753" spans="1:12" ht="24.75" x14ac:dyDescent="0.25">
      <c r="A753" s="4" t="s">
        <v>13366</v>
      </c>
      <c r="B753" s="2" t="s">
        <v>12437</v>
      </c>
      <c r="C753" s="3">
        <v>1</v>
      </c>
      <c r="D753" s="5">
        <v>19.989999999999998</v>
      </c>
      <c r="E753" s="3" t="s">
        <v>12438</v>
      </c>
      <c r="F753" s="2" t="s">
        <v>417</v>
      </c>
      <c r="G753" s="6" t="s">
        <v>154</v>
      </c>
      <c r="H753" s="2" t="s">
        <v>1473</v>
      </c>
      <c r="I753" s="2" t="s">
        <v>1426</v>
      </c>
      <c r="J753" s="2" t="s">
        <v>19</v>
      </c>
      <c r="K753" s="2" t="s">
        <v>648</v>
      </c>
      <c r="L753" s="7" t="str">
        <f>HYPERLINK("http://slimages.macys.com/is/image/MCY/13635076 ")</f>
        <v xml:space="preserve">http://slimages.macys.com/is/image/MCY/13635076 </v>
      </c>
    </row>
    <row r="754" spans="1:12" ht="24.75" x14ac:dyDescent="0.25">
      <c r="A754" s="4" t="s">
        <v>13367</v>
      </c>
      <c r="B754" s="2" t="s">
        <v>13368</v>
      </c>
      <c r="C754" s="3">
        <v>1</v>
      </c>
      <c r="D754" s="5">
        <v>19.989999999999998</v>
      </c>
      <c r="E754" s="3" t="s">
        <v>13369</v>
      </c>
      <c r="F754" s="2" t="s">
        <v>15</v>
      </c>
      <c r="G754" s="6" t="s">
        <v>181</v>
      </c>
      <c r="H754" s="2" t="s">
        <v>1473</v>
      </c>
      <c r="I754" s="2" t="s">
        <v>1426</v>
      </c>
      <c r="J754" s="2" t="s">
        <v>19</v>
      </c>
      <c r="K754" s="2" t="s">
        <v>990</v>
      </c>
      <c r="L754" s="7" t="str">
        <f>HYPERLINK("http://slimages.macys.com/is/image/MCY/9837076 ")</f>
        <v xml:space="preserve">http://slimages.macys.com/is/image/MCY/9837076 </v>
      </c>
    </row>
    <row r="755" spans="1:12" ht="24.75" x14ac:dyDescent="0.25">
      <c r="A755" s="4" t="s">
        <v>5155</v>
      </c>
      <c r="B755" s="2" t="s">
        <v>3026</v>
      </c>
      <c r="C755" s="3">
        <v>1</v>
      </c>
      <c r="D755" s="5">
        <v>21.99</v>
      </c>
      <c r="E755" s="3" t="s">
        <v>5156</v>
      </c>
      <c r="F755" s="2" t="s">
        <v>64</v>
      </c>
      <c r="G755" s="6" t="s">
        <v>156</v>
      </c>
      <c r="H755" s="2" t="s">
        <v>284</v>
      </c>
      <c r="I755" s="2" t="s">
        <v>285</v>
      </c>
      <c r="J755" s="2" t="s">
        <v>19</v>
      </c>
      <c r="K755" s="2" t="s">
        <v>247</v>
      </c>
      <c r="L755" s="7" t="str">
        <f>HYPERLINK("http://slimages.macys.com/is/image/MCY/16393197 ")</f>
        <v xml:space="preserve">http://slimages.macys.com/is/image/MCY/16393197 </v>
      </c>
    </row>
    <row r="756" spans="1:12" ht="36.75" x14ac:dyDescent="0.25">
      <c r="A756" s="4" t="s">
        <v>9194</v>
      </c>
      <c r="B756" s="2" t="s">
        <v>1440</v>
      </c>
      <c r="C756" s="3">
        <v>1</v>
      </c>
      <c r="D756" s="5">
        <v>29.5</v>
      </c>
      <c r="E756" s="3" t="s">
        <v>1441</v>
      </c>
      <c r="F756" s="2" t="s">
        <v>74</v>
      </c>
      <c r="G756" s="6" t="s">
        <v>219</v>
      </c>
      <c r="H756" s="2" t="s">
        <v>206</v>
      </c>
      <c r="I756" s="2" t="s">
        <v>207</v>
      </c>
      <c r="J756" s="2" t="s">
        <v>19</v>
      </c>
      <c r="K756" s="2" t="s">
        <v>1442</v>
      </c>
      <c r="L756" s="7" t="str">
        <f>HYPERLINK("http://slimages.macys.com/is/image/MCY/9641918 ")</f>
        <v xml:space="preserve">http://slimages.macys.com/is/image/MCY/9641918 </v>
      </c>
    </row>
    <row r="757" spans="1:12" ht="24.75" x14ac:dyDescent="0.25">
      <c r="A757" s="4" t="s">
        <v>12442</v>
      </c>
      <c r="B757" s="2" t="s">
        <v>12443</v>
      </c>
      <c r="C757" s="3">
        <v>1</v>
      </c>
      <c r="D757" s="5">
        <v>19.989999999999998</v>
      </c>
      <c r="E757" s="3" t="s">
        <v>12444</v>
      </c>
      <c r="F757" s="2" t="s">
        <v>132</v>
      </c>
      <c r="G757" s="6" t="s">
        <v>234</v>
      </c>
      <c r="H757" s="2" t="s">
        <v>246</v>
      </c>
      <c r="I757" s="2" t="s">
        <v>189</v>
      </c>
      <c r="J757" s="2" t="s">
        <v>19</v>
      </c>
      <c r="K757" s="2" t="s">
        <v>648</v>
      </c>
      <c r="L757" s="7" t="str">
        <f>HYPERLINK("http://slimages.macys.com/is/image/MCY/13922607 ")</f>
        <v xml:space="preserve">http://slimages.macys.com/is/image/MCY/13922607 </v>
      </c>
    </row>
    <row r="758" spans="1:12" ht="24.75" x14ac:dyDescent="0.25">
      <c r="A758" s="4" t="s">
        <v>13370</v>
      </c>
      <c r="B758" s="2" t="s">
        <v>13371</v>
      </c>
      <c r="C758" s="3">
        <v>1</v>
      </c>
      <c r="D758" s="5">
        <v>19.989999999999998</v>
      </c>
      <c r="E758" s="3" t="s">
        <v>13372</v>
      </c>
      <c r="F758" s="2" t="s">
        <v>74</v>
      </c>
      <c r="G758" s="6"/>
      <c r="H758" s="2" t="s">
        <v>1425</v>
      </c>
      <c r="I758" s="2" t="s">
        <v>1426</v>
      </c>
      <c r="J758" s="2" t="s">
        <v>19</v>
      </c>
      <c r="K758" s="2" t="s">
        <v>648</v>
      </c>
      <c r="L758" s="7" t="str">
        <f>HYPERLINK("http://slimages.macys.com/is/image/MCY/11755852 ")</f>
        <v xml:space="preserve">http://slimages.macys.com/is/image/MCY/11755852 </v>
      </c>
    </row>
    <row r="759" spans="1:12" ht="24.75" x14ac:dyDescent="0.25">
      <c r="A759" s="4" t="s">
        <v>13373</v>
      </c>
      <c r="B759" s="2" t="s">
        <v>11254</v>
      </c>
      <c r="C759" s="3">
        <v>3</v>
      </c>
      <c r="D759" s="5">
        <v>19.989999999999998</v>
      </c>
      <c r="E759" s="3" t="s">
        <v>11255</v>
      </c>
      <c r="F759" s="2" t="s">
        <v>74</v>
      </c>
      <c r="G759" s="6" t="s">
        <v>219</v>
      </c>
      <c r="H759" s="2" t="s">
        <v>1425</v>
      </c>
      <c r="I759" s="2" t="s">
        <v>1426</v>
      </c>
      <c r="J759" s="2" t="s">
        <v>19</v>
      </c>
      <c r="K759" s="2" t="s">
        <v>107</v>
      </c>
      <c r="L759" s="7" t="str">
        <f>HYPERLINK("http://slimages.macys.com/is/image/MCY/14825567 ")</f>
        <v xml:space="preserve">http://slimages.macys.com/is/image/MCY/14825567 </v>
      </c>
    </row>
    <row r="760" spans="1:12" ht="24.75" x14ac:dyDescent="0.25">
      <c r="A760" s="4" t="s">
        <v>13374</v>
      </c>
      <c r="B760" s="2" t="s">
        <v>13375</v>
      </c>
      <c r="C760" s="3">
        <v>1</v>
      </c>
      <c r="D760" s="5">
        <v>19.989999999999998</v>
      </c>
      <c r="E760" s="3" t="s">
        <v>13376</v>
      </c>
      <c r="F760" s="2"/>
      <c r="G760" s="6" t="s">
        <v>154</v>
      </c>
      <c r="H760" s="2" t="s">
        <v>1473</v>
      </c>
      <c r="I760" s="2" t="s">
        <v>1426</v>
      </c>
      <c r="J760" s="2" t="s">
        <v>19</v>
      </c>
      <c r="K760" s="2" t="s">
        <v>648</v>
      </c>
      <c r="L760" s="7" t="str">
        <f>HYPERLINK("http://slimages.macys.com/is/image/MCY/13812290 ")</f>
        <v xml:space="preserve">http://slimages.macys.com/is/image/MCY/13812290 </v>
      </c>
    </row>
    <row r="761" spans="1:12" ht="24.75" x14ac:dyDescent="0.25">
      <c r="A761" s="4" t="s">
        <v>13377</v>
      </c>
      <c r="B761" s="2" t="s">
        <v>11237</v>
      </c>
      <c r="C761" s="3">
        <v>1</v>
      </c>
      <c r="D761" s="5">
        <v>19.989999999999998</v>
      </c>
      <c r="E761" s="3" t="s">
        <v>11238</v>
      </c>
      <c r="F761" s="2" t="s">
        <v>53</v>
      </c>
      <c r="G761" s="6" t="s">
        <v>200</v>
      </c>
      <c r="H761" s="2" t="s">
        <v>1473</v>
      </c>
      <c r="I761" s="2" t="s">
        <v>1426</v>
      </c>
      <c r="J761" s="2" t="s">
        <v>19</v>
      </c>
      <c r="K761" s="2" t="s">
        <v>990</v>
      </c>
      <c r="L761" s="7" t="str">
        <f>HYPERLINK("http://slimages.macys.com/is/image/MCY/14804873 ")</f>
        <v xml:space="preserve">http://slimages.macys.com/is/image/MCY/14804873 </v>
      </c>
    </row>
    <row r="762" spans="1:12" ht="24.75" x14ac:dyDescent="0.25">
      <c r="A762" s="4" t="s">
        <v>11269</v>
      </c>
      <c r="B762" s="2" t="s">
        <v>1833</v>
      </c>
      <c r="C762" s="3">
        <v>1</v>
      </c>
      <c r="D762" s="5">
        <v>14.99</v>
      </c>
      <c r="E762" s="3" t="s">
        <v>11270</v>
      </c>
      <c r="F762" s="2" t="s">
        <v>752</v>
      </c>
      <c r="G762" s="6" t="s">
        <v>234</v>
      </c>
      <c r="H762" s="2" t="s">
        <v>194</v>
      </c>
      <c r="I762" s="2" t="s">
        <v>307</v>
      </c>
      <c r="J762" s="2" t="s">
        <v>19</v>
      </c>
      <c r="K762" s="2" t="s">
        <v>34</v>
      </c>
      <c r="L762" s="7" t="str">
        <f>HYPERLINK("http://slimages.macys.com/is/image/MCY/12318420 ")</f>
        <v xml:space="preserve">http://slimages.macys.com/is/image/MCY/12318420 </v>
      </c>
    </row>
    <row r="763" spans="1:12" ht="24.75" x14ac:dyDescent="0.25">
      <c r="A763" s="4" t="s">
        <v>13378</v>
      </c>
      <c r="B763" s="2" t="s">
        <v>1833</v>
      </c>
      <c r="C763" s="3">
        <v>1</v>
      </c>
      <c r="D763" s="5">
        <v>14.99</v>
      </c>
      <c r="E763" s="3" t="s">
        <v>11270</v>
      </c>
      <c r="F763" s="2" t="s">
        <v>752</v>
      </c>
      <c r="G763" s="6" t="s">
        <v>156</v>
      </c>
      <c r="H763" s="2" t="s">
        <v>194</v>
      </c>
      <c r="I763" s="2" t="s">
        <v>307</v>
      </c>
      <c r="J763" s="2" t="s">
        <v>19</v>
      </c>
      <c r="K763" s="2" t="s">
        <v>34</v>
      </c>
      <c r="L763" s="7" t="str">
        <f>HYPERLINK("http://slimages.macys.com/is/image/MCY/12318420 ")</f>
        <v xml:space="preserve">http://slimages.macys.com/is/image/MCY/12318420 </v>
      </c>
    </row>
    <row r="764" spans="1:12" ht="24.75" x14ac:dyDescent="0.25">
      <c r="A764" s="4" t="s">
        <v>13379</v>
      </c>
      <c r="B764" s="2" t="s">
        <v>1833</v>
      </c>
      <c r="C764" s="3">
        <v>1</v>
      </c>
      <c r="D764" s="5">
        <v>14.99</v>
      </c>
      <c r="E764" s="3" t="s">
        <v>13380</v>
      </c>
      <c r="F764" s="2" t="s">
        <v>48</v>
      </c>
      <c r="G764" s="6" t="s">
        <v>156</v>
      </c>
      <c r="H764" s="2" t="s">
        <v>194</v>
      </c>
      <c r="I764" s="2" t="s">
        <v>307</v>
      </c>
      <c r="J764" s="2" t="s">
        <v>19</v>
      </c>
      <c r="K764" s="2" t="s">
        <v>34</v>
      </c>
      <c r="L764" s="7" t="str">
        <f>HYPERLINK("http://slimages.macys.com/is/image/MCY/13368051 ")</f>
        <v xml:space="preserve">http://slimages.macys.com/is/image/MCY/13368051 </v>
      </c>
    </row>
    <row r="765" spans="1:12" ht="24.75" x14ac:dyDescent="0.25">
      <c r="A765" s="4" t="s">
        <v>13381</v>
      </c>
      <c r="B765" s="2" t="s">
        <v>1833</v>
      </c>
      <c r="C765" s="3">
        <v>1</v>
      </c>
      <c r="D765" s="5">
        <v>14.99</v>
      </c>
      <c r="E765" s="3" t="s">
        <v>13380</v>
      </c>
      <c r="F765" s="2" t="s">
        <v>48</v>
      </c>
      <c r="G765" s="6" t="s">
        <v>245</v>
      </c>
      <c r="H765" s="2" t="s">
        <v>194</v>
      </c>
      <c r="I765" s="2" t="s">
        <v>307</v>
      </c>
      <c r="J765" s="2" t="s">
        <v>19</v>
      </c>
      <c r="K765" s="2" t="s">
        <v>34</v>
      </c>
      <c r="L765" s="7" t="str">
        <f>HYPERLINK("http://slimages.macys.com/is/image/MCY/13368051 ")</f>
        <v xml:space="preserve">http://slimages.macys.com/is/image/MCY/13368051 </v>
      </c>
    </row>
    <row r="766" spans="1:12" ht="24.75" x14ac:dyDescent="0.25">
      <c r="A766" s="4" t="s">
        <v>4132</v>
      </c>
      <c r="B766" s="2" t="s">
        <v>1829</v>
      </c>
      <c r="C766" s="3">
        <v>1</v>
      </c>
      <c r="D766" s="5">
        <v>14.99</v>
      </c>
      <c r="E766" s="3" t="s">
        <v>1836</v>
      </c>
      <c r="F766" s="2" t="s">
        <v>252</v>
      </c>
      <c r="G766" s="6" t="s">
        <v>234</v>
      </c>
      <c r="H766" s="2" t="s">
        <v>194</v>
      </c>
      <c r="I766" s="2" t="s">
        <v>307</v>
      </c>
      <c r="J766" s="2" t="s">
        <v>19</v>
      </c>
      <c r="K766" s="2" t="s">
        <v>34</v>
      </c>
      <c r="L766" s="7" t="str">
        <f>HYPERLINK("http://slimages.macys.com/is/image/MCY/11937942 ")</f>
        <v xml:space="preserve">http://slimages.macys.com/is/image/MCY/11937942 </v>
      </c>
    </row>
    <row r="767" spans="1:12" ht="24.75" x14ac:dyDescent="0.25">
      <c r="A767" s="4" t="s">
        <v>13382</v>
      </c>
      <c r="B767" s="2" t="s">
        <v>1829</v>
      </c>
      <c r="C767" s="3">
        <v>1</v>
      </c>
      <c r="D767" s="5">
        <v>14.99</v>
      </c>
      <c r="E767" s="3" t="s">
        <v>13383</v>
      </c>
      <c r="F767" s="2" t="s">
        <v>180</v>
      </c>
      <c r="G767" s="6" t="s">
        <v>156</v>
      </c>
      <c r="H767" s="2" t="s">
        <v>194</v>
      </c>
      <c r="I767" s="2" t="s">
        <v>307</v>
      </c>
      <c r="J767" s="2" t="s">
        <v>19</v>
      </c>
      <c r="K767" s="2" t="s">
        <v>34</v>
      </c>
      <c r="L767" s="7" t="str">
        <f>HYPERLINK("http://slimages.macys.com/is/image/MCY/13120880 ")</f>
        <v xml:space="preserve">http://slimages.macys.com/is/image/MCY/13120880 </v>
      </c>
    </row>
    <row r="768" spans="1:12" ht="24.75" x14ac:dyDescent="0.25">
      <c r="A768" s="4" t="s">
        <v>13384</v>
      </c>
      <c r="B768" s="2" t="s">
        <v>13385</v>
      </c>
      <c r="C768" s="3">
        <v>1</v>
      </c>
      <c r="D768" s="5">
        <v>17.989999999999998</v>
      </c>
      <c r="E768" s="3" t="s">
        <v>13386</v>
      </c>
      <c r="F768" s="2" t="s">
        <v>956</v>
      </c>
      <c r="G768" s="6" t="s">
        <v>154</v>
      </c>
      <c r="H768" s="2" t="s">
        <v>1522</v>
      </c>
      <c r="I768" s="2" t="s">
        <v>1469</v>
      </c>
      <c r="J768" s="2" t="s">
        <v>19</v>
      </c>
      <c r="K768" s="2" t="s">
        <v>34</v>
      </c>
      <c r="L768" s="7" t="str">
        <f>HYPERLINK("http://slimages.macys.com/is/image/MCY/15707598 ")</f>
        <v xml:space="preserve">http://slimages.macys.com/is/image/MCY/15707598 </v>
      </c>
    </row>
    <row r="769" spans="1:12" ht="24.75" x14ac:dyDescent="0.25">
      <c r="A769" s="4" t="s">
        <v>5167</v>
      </c>
      <c r="B769" s="2" t="s">
        <v>1853</v>
      </c>
      <c r="C769" s="3">
        <v>1</v>
      </c>
      <c r="D769" s="5">
        <v>17.989999999999998</v>
      </c>
      <c r="E769" s="3" t="s">
        <v>1854</v>
      </c>
      <c r="F769" s="2" t="s">
        <v>26</v>
      </c>
      <c r="G769" s="6"/>
      <c r="H769" s="2" t="s">
        <v>1425</v>
      </c>
      <c r="I769" s="2" t="s">
        <v>1469</v>
      </c>
      <c r="J769" s="2" t="s">
        <v>19</v>
      </c>
      <c r="K769" s="2" t="s">
        <v>353</v>
      </c>
      <c r="L769" s="7" t="str">
        <f>HYPERLINK("http://slimages.macys.com/is/image/MCY/2880260 ")</f>
        <v xml:space="preserve">http://slimages.macys.com/is/image/MCY/2880260 </v>
      </c>
    </row>
    <row r="770" spans="1:12" ht="24.75" x14ac:dyDescent="0.25">
      <c r="A770" s="4" t="s">
        <v>13387</v>
      </c>
      <c r="B770" s="2" t="s">
        <v>11272</v>
      </c>
      <c r="C770" s="3">
        <v>1</v>
      </c>
      <c r="D770" s="5">
        <v>19.989999999999998</v>
      </c>
      <c r="E770" s="3" t="s">
        <v>11277</v>
      </c>
      <c r="F770" s="2" t="s">
        <v>417</v>
      </c>
      <c r="G770" s="6" t="s">
        <v>234</v>
      </c>
      <c r="H770" s="2" t="s">
        <v>1473</v>
      </c>
      <c r="I770" s="2" t="s">
        <v>1426</v>
      </c>
      <c r="J770" s="2" t="s">
        <v>19</v>
      </c>
      <c r="K770" s="2" t="s">
        <v>107</v>
      </c>
      <c r="L770" s="7" t="str">
        <f>HYPERLINK("http://slimages.macys.com/is/image/MCY/14825102 ")</f>
        <v xml:space="preserve">http://slimages.macys.com/is/image/MCY/14825102 </v>
      </c>
    </row>
    <row r="771" spans="1:12" ht="24.75" x14ac:dyDescent="0.25">
      <c r="A771" s="4" t="s">
        <v>11278</v>
      </c>
      <c r="B771" s="2" t="s">
        <v>11279</v>
      </c>
      <c r="C771" s="3">
        <v>1</v>
      </c>
      <c r="D771" s="5">
        <v>19.989999999999998</v>
      </c>
      <c r="E771" s="3" t="s">
        <v>11280</v>
      </c>
      <c r="F771" s="2" t="s">
        <v>417</v>
      </c>
      <c r="G771" s="6" t="s">
        <v>181</v>
      </c>
      <c r="H771" s="2" t="s">
        <v>1473</v>
      </c>
      <c r="I771" s="2" t="s">
        <v>1426</v>
      </c>
      <c r="J771" s="2" t="s">
        <v>19</v>
      </c>
      <c r="K771" s="2" t="s">
        <v>107</v>
      </c>
      <c r="L771" s="7" t="str">
        <f>HYPERLINK("http://slimages.macys.com/is/image/MCY/14825689 ")</f>
        <v xml:space="preserve">http://slimages.macys.com/is/image/MCY/14825689 </v>
      </c>
    </row>
    <row r="772" spans="1:12" ht="24.75" x14ac:dyDescent="0.25">
      <c r="A772" s="4" t="s">
        <v>13388</v>
      </c>
      <c r="B772" s="2" t="s">
        <v>11272</v>
      </c>
      <c r="C772" s="3">
        <v>2</v>
      </c>
      <c r="D772" s="5">
        <v>19.989999999999998</v>
      </c>
      <c r="E772" s="3" t="s">
        <v>11273</v>
      </c>
      <c r="F772" s="2" t="s">
        <v>417</v>
      </c>
      <c r="G772" s="6"/>
      <c r="H772" s="2" t="s">
        <v>1425</v>
      </c>
      <c r="I772" s="2" t="s">
        <v>1426</v>
      </c>
      <c r="J772" s="2" t="s">
        <v>19</v>
      </c>
      <c r="K772" s="2" t="s">
        <v>107</v>
      </c>
      <c r="L772" s="7" t="str">
        <f>HYPERLINK("http://slimages.macys.com/is/image/MCY/14825102 ")</f>
        <v xml:space="preserve">http://slimages.macys.com/is/image/MCY/14825102 </v>
      </c>
    </row>
    <row r="773" spans="1:12" ht="24.75" x14ac:dyDescent="0.25">
      <c r="A773" s="4" t="s">
        <v>13389</v>
      </c>
      <c r="B773" s="2" t="s">
        <v>11279</v>
      </c>
      <c r="C773" s="3">
        <v>2</v>
      </c>
      <c r="D773" s="5">
        <v>19.989999999999998</v>
      </c>
      <c r="E773" s="3" t="s">
        <v>11280</v>
      </c>
      <c r="F773" s="2" t="s">
        <v>417</v>
      </c>
      <c r="G773" s="6" t="s">
        <v>234</v>
      </c>
      <c r="H773" s="2" t="s">
        <v>1473</v>
      </c>
      <c r="I773" s="2" t="s">
        <v>1426</v>
      </c>
      <c r="J773" s="2" t="s">
        <v>19</v>
      </c>
      <c r="K773" s="2" t="s">
        <v>107</v>
      </c>
      <c r="L773" s="7" t="str">
        <f>HYPERLINK("http://slimages.macys.com/is/image/MCY/14825689 ")</f>
        <v xml:space="preserve">http://slimages.macys.com/is/image/MCY/14825689 </v>
      </c>
    </row>
    <row r="774" spans="1:12" ht="24.75" x14ac:dyDescent="0.25">
      <c r="A774" s="4" t="s">
        <v>12469</v>
      </c>
      <c r="B774" s="2" t="s">
        <v>11272</v>
      </c>
      <c r="C774" s="3">
        <v>3</v>
      </c>
      <c r="D774" s="5">
        <v>19.989999999999998</v>
      </c>
      <c r="E774" s="3" t="s">
        <v>11277</v>
      </c>
      <c r="F774" s="2" t="s">
        <v>417</v>
      </c>
      <c r="G774" s="6" t="s">
        <v>154</v>
      </c>
      <c r="H774" s="2" t="s">
        <v>1473</v>
      </c>
      <c r="I774" s="2" t="s">
        <v>1426</v>
      </c>
      <c r="J774" s="2" t="s">
        <v>19</v>
      </c>
      <c r="K774" s="2" t="s">
        <v>107</v>
      </c>
      <c r="L774" s="7" t="str">
        <f>HYPERLINK("http://slimages.macys.com/is/image/MCY/14825102 ")</f>
        <v xml:space="preserve">http://slimages.macys.com/is/image/MCY/14825102 </v>
      </c>
    </row>
    <row r="775" spans="1:12" ht="24.75" x14ac:dyDescent="0.25">
      <c r="A775" s="4" t="s">
        <v>13390</v>
      </c>
      <c r="B775" s="2" t="s">
        <v>7626</v>
      </c>
      <c r="C775" s="3">
        <v>1</v>
      </c>
      <c r="D775" s="5">
        <v>17.989999999999998</v>
      </c>
      <c r="E775" s="3" t="s">
        <v>13391</v>
      </c>
      <c r="F775" s="2" t="s">
        <v>752</v>
      </c>
      <c r="G775" s="6" t="s">
        <v>245</v>
      </c>
      <c r="H775" s="2" t="s">
        <v>194</v>
      </c>
      <c r="I775" s="2" t="s">
        <v>195</v>
      </c>
      <c r="J775" s="2" t="s">
        <v>19</v>
      </c>
      <c r="K775" s="2" t="s">
        <v>648</v>
      </c>
      <c r="L775" s="7" t="str">
        <f>HYPERLINK("http://slimages.macys.com/is/image/MCY/11606996 ")</f>
        <v xml:space="preserve">http://slimages.macys.com/is/image/MCY/11606996 </v>
      </c>
    </row>
    <row r="776" spans="1:12" ht="24.75" x14ac:dyDescent="0.25">
      <c r="A776" s="4" t="s">
        <v>13392</v>
      </c>
      <c r="B776" s="2" t="s">
        <v>11279</v>
      </c>
      <c r="C776" s="3">
        <v>1</v>
      </c>
      <c r="D776" s="5">
        <v>19.989999999999998</v>
      </c>
      <c r="E776" s="3" t="s">
        <v>11280</v>
      </c>
      <c r="F776" s="2" t="s">
        <v>417</v>
      </c>
      <c r="G776" s="6" t="s">
        <v>154</v>
      </c>
      <c r="H776" s="2" t="s">
        <v>1473</v>
      </c>
      <c r="I776" s="2" t="s">
        <v>1426</v>
      </c>
      <c r="J776" s="2" t="s">
        <v>19</v>
      </c>
      <c r="K776" s="2" t="s">
        <v>107</v>
      </c>
      <c r="L776" s="7" t="str">
        <f>HYPERLINK("http://slimages.macys.com/is/image/MCY/14825689 ")</f>
        <v xml:space="preserve">http://slimages.macys.com/is/image/MCY/14825689 </v>
      </c>
    </row>
    <row r="777" spans="1:12" ht="24.75" x14ac:dyDescent="0.25">
      <c r="A777" s="4" t="s">
        <v>11276</v>
      </c>
      <c r="B777" s="2" t="s">
        <v>11272</v>
      </c>
      <c r="C777" s="3">
        <v>1</v>
      </c>
      <c r="D777" s="5">
        <v>19.989999999999998</v>
      </c>
      <c r="E777" s="3" t="s">
        <v>11277</v>
      </c>
      <c r="F777" s="2" t="s">
        <v>417</v>
      </c>
      <c r="G777" s="6" t="s">
        <v>181</v>
      </c>
      <c r="H777" s="2" t="s">
        <v>1473</v>
      </c>
      <c r="I777" s="2" t="s">
        <v>1426</v>
      </c>
      <c r="J777" s="2" t="s">
        <v>19</v>
      </c>
      <c r="K777" s="2" t="s">
        <v>107</v>
      </c>
      <c r="L777" s="7" t="str">
        <f>HYPERLINK("http://slimages.macys.com/is/image/MCY/14825102 ")</f>
        <v xml:space="preserve">http://slimages.macys.com/is/image/MCY/14825102 </v>
      </c>
    </row>
    <row r="778" spans="1:12" ht="24.75" x14ac:dyDescent="0.25">
      <c r="A778" s="4" t="s">
        <v>13393</v>
      </c>
      <c r="B778" s="2" t="s">
        <v>11272</v>
      </c>
      <c r="C778" s="3">
        <v>1</v>
      </c>
      <c r="D778" s="5">
        <v>19.989999999999998</v>
      </c>
      <c r="E778" s="3" t="s">
        <v>11273</v>
      </c>
      <c r="F778" s="2" t="s">
        <v>417</v>
      </c>
      <c r="G778" s="6" t="s">
        <v>187</v>
      </c>
      <c r="H778" s="2" t="s">
        <v>1425</v>
      </c>
      <c r="I778" s="2" t="s">
        <v>1426</v>
      </c>
      <c r="J778" s="2" t="s">
        <v>19</v>
      </c>
      <c r="K778" s="2" t="s">
        <v>107</v>
      </c>
      <c r="L778" s="7" t="str">
        <f>HYPERLINK("http://slimages.macys.com/is/image/MCY/14825102 ")</f>
        <v xml:space="preserve">http://slimages.macys.com/is/image/MCY/14825102 </v>
      </c>
    </row>
    <row r="779" spans="1:12" ht="24.75" x14ac:dyDescent="0.25">
      <c r="A779" s="4" t="s">
        <v>3043</v>
      </c>
      <c r="B779" s="2" t="s">
        <v>1862</v>
      </c>
      <c r="C779" s="3">
        <v>1</v>
      </c>
      <c r="D779" s="5">
        <v>20.99</v>
      </c>
      <c r="E779" s="3" t="s">
        <v>1868</v>
      </c>
      <c r="F779" s="2" t="s">
        <v>70</v>
      </c>
      <c r="G779" s="6" t="s">
        <v>181</v>
      </c>
      <c r="H779" s="2" t="s">
        <v>1473</v>
      </c>
      <c r="I779" s="2" t="s">
        <v>1864</v>
      </c>
      <c r="J779" s="2" t="s">
        <v>19</v>
      </c>
      <c r="K779" s="2" t="s">
        <v>648</v>
      </c>
      <c r="L779" s="7" t="str">
        <f>HYPERLINK("http://slimages.macys.com/is/image/MCY/12267099 ")</f>
        <v xml:space="preserve">http://slimages.macys.com/is/image/MCY/12267099 </v>
      </c>
    </row>
    <row r="780" spans="1:12" ht="24.75" x14ac:dyDescent="0.25">
      <c r="A780" s="4" t="s">
        <v>13394</v>
      </c>
      <c r="B780" s="2" t="s">
        <v>13395</v>
      </c>
      <c r="C780" s="3">
        <v>1</v>
      </c>
      <c r="D780" s="5">
        <v>17.989999999999998</v>
      </c>
      <c r="E780" s="3" t="s">
        <v>13396</v>
      </c>
      <c r="F780" s="2" t="s">
        <v>1322</v>
      </c>
      <c r="G780" s="6"/>
      <c r="H780" s="2" t="s">
        <v>1425</v>
      </c>
      <c r="I780" s="2" t="s">
        <v>1469</v>
      </c>
      <c r="J780" s="2" t="s">
        <v>19</v>
      </c>
      <c r="K780" s="2" t="s">
        <v>495</v>
      </c>
      <c r="L780" s="7" t="str">
        <f>HYPERLINK("http://slimages.macys.com/is/image/MCY/10517400 ")</f>
        <v xml:space="preserve">http://slimages.macys.com/is/image/MCY/10517400 </v>
      </c>
    </row>
    <row r="781" spans="1:12" ht="24.75" x14ac:dyDescent="0.25">
      <c r="A781" s="4" t="s">
        <v>11293</v>
      </c>
      <c r="B781" s="2" t="s">
        <v>11288</v>
      </c>
      <c r="C781" s="3">
        <v>3</v>
      </c>
      <c r="D781" s="5">
        <v>19.989999999999998</v>
      </c>
      <c r="E781" s="3" t="s">
        <v>11289</v>
      </c>
      <c r="F781" s="2" t="s">
        <v>70</v>
      </c>
      <c r="G781" s="6" t="s">
        <v>181</v>
      </c>
      <c r="H781" s="2" t="s">
        <v>1473</v>
      </c>
      <c r="I781" s="2" t="s">
        <v>1426</v>
      </c>
      <c r="J781" s="2" t="s">
        <v>19</v>
      </c>
      <c r="K781" s="2" t="s">
        <v>107</v>
      </c>
      <c r="L781" s="7" t="str">
        <f>HYPERLINK("http://slimages.macys.com/is/image/MCY/14825092 ")</f>
        <v xml:space="preserve">http://slimages.macys.com/is/image/MCY/14825092 </v>
      </c>
    </row>
    <row r="782" spans="1:12" ht="36.75" x14ac:dyDescent="0.25">
      <c r="A782" s="4" t="s">
        <v>13397</v>
      </c>
      <c r="B782" s="2" t="s">
        <v>4143</v>
      </c>
      <c r="C782" s="3">
        <v>1</v>
      </c>
      <c r="D782" s="5">
        <v>17.989999999999998</v>
      </c>
      <c r="E782" s="3" t="s">
        <v>4144</v>
      </c>
      <c r="F782" s="2" t="s">
        <v>64</v>
      </c>
      <c r="G782" s="6" t="s">
        <v>154</v>
      </c>
      <c r="H782" s="2" t="s">
        <v>1473</v>
      </c>
      <c r="I782" s="2" t="s">
        <v>1426</v>
      </c>
      <c r="J782" s="2" t="s">
        <v>19</v>
      </c>
      <c r="K782" s="2" t="s">
        <v>4151</v>
      </c>
      <c r="L782" s="7" t="str">
        <f>HYPERLINK("http://slimages.macys.com/is/image/MCY/12064410 ")</f>
        <v xml:space="preserve">http://slimages.macys.com/is/image/MCY/12064410 </v>
      </c>
    </row>
    <row r="783" spans="1:12" ht="24.75" x14ac:dyDescent="0.25">
      <c r="A783" s="4" t="s">
        <v>13398</v>
      </c>
      <c r="B783" s="2" t="s">
        <v>13399</v>
      </c>
      <c r="C783" s="3">
        <v>1</v>
      </c>
      <c r="D783" s="5">
        <v>19.989999999999998</v>
      </c>
      <c r="E783" s="3" t="s">
        <v>13400</v>
      </c>
      <c r="F783" s="2" t="s">
        <v>26</v>
      </c>
      <c r="G783" s="6" t="s">
        <v>234</v>
      </c>
      <c r="H783" s="2" t="s">
        <v>1473</v>
      </c>
      <c r="I783" s="2" t="s">
        <v>1426</v>
      </c>
      <c r="J783" s="2" t="s">
        <v>19</v>
      </c>
      <c r="K783" s="2" t="s">
        <v>495</v>
      </c>
      <c r="L783" s="7" t="str">
        <f>HYPERLINK("http://slimages.macys.com/is/image/MCY/10464439 ")</f>
        <v xml:space="preserve">http://slimages.macys.com/is/image/MCY/10464439 </v>
      </c>
    </row>
    <row r="784" spans="1:12" ht="24.75" x14ac:dyDescent="0.25">
      <c r="A784" s="4" t="s">
        <v>13401</v>
      </c>
      <c r="B784" s="2" t="s">
        <v>11303</v>
      </c>
      <c r="C784" s="3">
        <v>1</v>
      </c>
      <c r="D784" s="5">
        <v>19.989999999999998</v>
      </c>
      <c r="E784" s="3" t="s">
        <v>11304</v>
      </c>
      <c r="F784" s="2" t="s">
        <v>74</v>
      </c>
      <c r="G784" s="6" t="s">
        <v>154</v>
      </c>
      <c r="H784" s="2" t="s">
        <v>1473</v>
      </c>
      <c r="I784" s="2" t="s">
        <v>1426</v>
      </c>
      <c r="J784" s="2" t="s">
        <v>19</v>
      </c>
      <c r="K784" s="2" t="s">
        <v>648</v>
      </c>
      <c r="L784" s="7" t="str">
        <f>HYPERLINK("http://slimages.macys.com/is/image/MCY/14825246 ")</f>
        <v xml:space="preserve">http://slimages.macys.com/is/image/MCY/14825246 </v>
      </c>
    </row>
    <row r="785" spans="1:12" ht="36.75" x14ac:dyDescent="0.25">
      <c r="A785" s="4" t="s">
        <v>13402</v>
      </c>
      <c r="B785" s="2" t="s">
        <v>5171</v>
      </c>
      <c r="C785" s="3">
        <v>1</v>
      </c>
      <c r="D785" s="5">
        <v>17.989999999999998</v>
      </c>
      <c r="E785" s="3" t="s">
        <v>5172</v>
      </c>
      <c r="F785" s="2" t="s">
        <v>331</v>
      </c>
      <c r="G785" s="6" t="s">
        <v>154</v>
      </c>
      <c r="H785" s="2" t="s">
        <v>1473</v>
      </c>
      <c r="I785" s="2" t="s">
        <v>1426</v>
      </c>
      <c r="J785" s="2" t="s">
        <v>19</v>
      </c>
      <c r="K785" s="2" t="s">
        <v>5173</v>
      </c>
      <c r="L785" s="7" t="str">
        <f>HYPERLINK("http://slimages.macys.com/is/image/MCY/12064389 ")</f>
        <v xml:space="preserve">http://slimages.macys.com/is/image/MCY/12064389 </v>
      </c>
    </row>
    <row r="786" spans="1:12" ht="24.75" x14ac:dyDescent="0.25">
      <c r="A786" s="4" t="s">
        <v>11310</v>
      </c>
      <c r="B786" s="2" t="s">
        <v>11311</v>
      </c>
      <c r="C786" s="3">
        <v>1</v>
      </c>
      <c r="D786" s="5">
        <v>19.989999999999998</v>
      </c>
      <c r="E786" s="3" t="s">
        <v>11312</v>
      </c>
      <c r="F786" s="2" t="s">
        <v>1322</v>
      </c>
      <c r="G786" s="6"/>
      <c r="H786" s="2" t="s">
        <v>1425</v>
      </c>
      <c r="I786" s="2" t="s">
        <v>1426</v>
      </c>
      <c r="J786" s="2" t="s">
        <v>19</v>
      </c>
      <c r="K786" s="2" t="s">
        <v>107</v>
      </c>
      <c r="L786" s="7" t="str">
        <f>HYPERLINK("http://slimages.macys.com/is/image/MCY/15254297 ")</f>
        <v xml:space="preserve">http://slimages.macys.com/is/image/MCY/15254297 </v>
      </c>
    </row>
    <row r="787" spans="1:12" ht="24.75" x14ac:dyDescent="0.25">
      <c r="A787" s="4" t="s">
        <v>12473</v>
      </c>
      <c r="B787" s="2" t="s">
        <v>11288</v>
      </c>
      <c r="C787" s="3">
        <v>3</v>
      </c>
      <c r="D787" s="5">
        <v>19.989999999999998</v>
      </c>
      <c r="E787" s="3" t="s">
        <v>11289</v>
      </c>
      <c r="F787" s="2" t="s">
        <v>74</v>
      </c>
      <c r="G787" s="6" t="s">
        <v>154</v>
      </c>
      <c r="H787" s="2" t="s">
        <v>1473</v>
      </c>
      <c r="I787" s="2" t="s">
        <v>1426</v>
      </c>
      <c r="J787" s="2" t="s">
        <v>19</v>
      </c>
      <c r="K787" s="2" t="s">
        <v>107</v>
      </c>
      <c r="L787" s="7" t="str">
        <f>HYPERLINK("http://slimages.macys.com/is/image/MCY/14825092 ")</f>
        <v xml:space="preserve">http://slimages.macys.com/is/image/MCY/14825092 </v>
      </c>
    </row>
    <row r="788" spans="1:12" ht="24.75" x14ac:dyDescent="0.25">
      <c r="A788" s="4" t="s">
        <v>13403</v>
      </c>
      <c r="B788" s="2" t="s">
        <v>13404</v>
      </c>
      <c r="C788" s="3">
        <v>1</v>
      </c>
      <c r="D788" s="5">
        <v>19.989999999999998</v>
      </c>
      <c r="E788" s="3" t="s">
        <v>13405</v>
      </c>
      <c r="F788" s="2" t="s">
        <v>1322</v>
      </c>
      <c r="G788" s="6" t="s">
        <v>154</v>
      </c>
      <c r="H788" s="2" t="s">
        <v>1473</v>
      </c>
      <c r="I788" s="2" t="s">
        <v>1426</v>
      </c>
      <c r="J788" s="2" t="s">
        <v>19</v>
      </c>
      <c r="K788" s="2" t="s">
        <v>107</v>
      </c>
      <c r="L788" s="7" t="str">
        <f>HYPERLINK("http://slimages.macys.com/is/image/MCY/15071207 ")</f>
        <v xml:space="preserve">http://slimages.macys.com/is/image/MCY/15071207 </v>
      </c>
    </row>
    <row r="789" spans="1:12" ht="24.75" x14ac:dyDescent="0.25">
      <c r="A789" s="4" t="s">
        <v>13406</v>
      </c>
      <c r="B789" s="2" t="s">
        <v>13407</v>
      </c>
      <c r="C789" s="3">
        <v>1</v>
      </c>
      <c r="D789" s="5">
        <v>19.989999999999998</v>
      </c>
      <c r="E789" s="3" t="s">
        <v>13408</v>
      </c>
      <c r="F789" s="2" t="s">
        <v>417</v>
      </c>
      <c r="G789" s="6" t="s">
        <v>156</v>
      </c>
      <c r="H789" s="2" t="s">
        <v>1473</v>
      </c>
      <c r="I789" s="2" t="s">
        <v>1426</v>
      </c>
      <c r="J789" s="2" t="s">
        <v>19</v>
      </c>
      <c r="K789" s="2" t="s">
        <v>648</v>
      </c>
      <c r="L789" s="7" t="str">
        <f>HYPERLINK("http://slimages.macys.com/is/image/MCY/14770143 ")</f>
        <v xml:space="preserve">http://slimages.macys.com/is/image/MCY/14770143 </v>
      </c>
    </row>
    <row r="790" spans="1:12" ht="24.75" x14ac:dyDescent="0.25">
      <c r="A790" s="4" t="s">
        <v>13409</v>
      </c>
      <c r="B790" s="2" t="s">
        <v>11288</v>
      </c>
      <c r="C790" s="3">
        <v>1</v>
      </c>
      <c r="D790" s="5">
        <v>19.989999999999998</v>
      </c>
      <c r="E790" s="3" t="s">
        <v>11289</v>
      </c>
      <c r="F790" s="2" t="s">
        <v>70</v>
      </c>
      <c r="G790" s="6" t="s">
        <v>234</v>
      </c>
      <c r="H790" s="2" t="s">
        <v>1473</v>
      </c>
      <c r="I790" s="2" t="s">
        <v>1426</v>
      </c>
      <c r="J790" s="2" t="s">
        <v>19</v>
      </c>
      <c r="K790" s="2" t="s">
        <v>107</v>
      </c>
      <c r="L790" s="7" t="str">
        <f>HYPERLINK("http://slimages.macys.com/is/image/MCY/14825092 ")</f>
        <v xml:space="preserve">http://slimages.macys.com/is/image/MCY/14825092 </v>
      </c>
    </row>
    <row r="791" spans="1:12" ht="24.75" x14ac:dyDescent="0.25">
      <c r="A791" s="4" t="s">
        <v>13410</v>
      </c>
      <c r="B791" s="2" t="s">
        <v>13404</v>
      </c>
      <c r="C791" s="3">
        <v>1</v>
      </c>
      <c r="D791" s="5">
        <v>19.989999999999998</v>
      </c>
      <c r="E791" s="3" t="s">
        <v>13405</v>
      </c>
      <c r="F791" s="2" t="s">
        <v>1322</v>
      </c>
      <c r="G791" s="6" t="s">
        <v>200</v>
      </c>
      <c r="H791" s="2" t="s">
        <v>1473</v>
      </c>
      <c r="I791" s="2" t="s">
        <v>1426</v>
      </c>
      <c r="J791" s="2" t="s">
        <v>19</v>
      </c>
      <c r="K791" s="2" t="s">
        <v>107</v>
      </c>
      <c r="L791" s="7" t="str">
        <f>HYPERLINK("http://slimages.macys.com/is/image/MCY/15071207 ")</f>
        <v xml:space="preserve">http://slimages.macys.com/is/image/MCY/15071207 </v>
      </c>
    </row>
    <row r="792" spans="1:12" ht="24.75" x14ac:dyDescent="0.25">
      <c r="A792" s="4" t="s">
        <v>13411</v>
      </c>
      <c r="B792" s="2" t="s">
        <v>13412</v>
      </c>
      <c r="C792" s="3">
        <v>1</v>
      </c>
      <c r="D792" s="5">
        <v>19.989999999999998</v>
      </c>
      <c r="E792" s="3" t="s">
        <v>13413</v>
      </c>
      <c r="F792" s="2" t="s">
        <v>199</v>
      </c>
      <c r="G792" s="6" t="s">
        <v>181</v>
      </c>
      <c r="H792" s="2" t="s">
        <v>1473</v>
      </c>
      <c r="I792" s="2" t="s">
        <v>1426</v>
      </c>
      <c r="J792" s="2" t="s">
        <v>19</v>
      </c>
      <c r="K792" s="2" t="s">
        <v>107</v>
      </c>
      <c r="L792" s="7" t="str">
        <f>HYPERLINK("http://slimages.macys.com/is/image/MCY/15071002 ")</f>
        <v xml:space="preserve">http://slimages.macys.com/is/image/MCY/15071002 </v>
      </c>
    </row>
    <row r="793" spans="1:12" ht="24.75" x14ac:dyDescent="0.25">
      <c r="A793" s="4" t="s">
        <v>13414</v>
      </c>
      <c r="B793" s="2" t="s">
        <v>11288</v>
      </c>
      <c r="C793" s="3">
        <v>3</v>
      </c>
      <c r="D793" s="5">
        <v>19.989999999999998</v>
      </c>
      <c r="E793" s="3" t="s">
        <v>11289</v>
      </c>
      <c r="F793" s="2" t="s">
        <v>70</v>
      </c>
      <c r="G793" s="6" t="s">
        <v>154</v>
      </c>
      <c r="H793" s="2" t="s">
        <v>1473</v>
      </c>
      <c r="I793" s="2" t="s">
        <v>1426</v>
      </c>
      <c r="J793" s="2" t="s">
        <v>19</v>
      </c>
      <c r="K793" s="2" t="s">
        <v>107</v>
      </c>
      <c r="L793" s="7" t="str">
        <f>HYPERLINK("http://slimages.macys.com/is/image/MCY/14825092 ")</f>
        <v xml:space="preserve">http://slimages.macys.com/is/image/MCY/14825092 </v>
      </c>
    </row>
    <row r="794" spans="1:12" ht="24.75" x14ac:dyDescent="0.25">
      <c r="A794" s="4" t="s">
        <v>13415</v>
      </c>
      <c r="B794" s="2" t="s">
        <v>13416</v>
      </c>
      <c r="C794" s="3">
        <v>1</v>
      </c>
      <c r="D794" s="5">
        <v>26.4</v>
      </c>
      <c r="E794" s="3" t="s">
        <v>13417</v>
      </c>
      <c r="F794" s="2" t="s">
        <v>26</v>
      </c>
      <c r="G794" s="6" t="s">
        <v>156</v>
      </c>
      <c r="H794" s="2" t="s">
        <v>10225</v>
      </c>
      <c r="I794" s="2" t="s">
        <v>792</v>
      </c>
      <c r="J794" s="2" t="s">
        <v>1499</v>
      </c>
      <c r="K794" s="2" t="s">
        <v>3428</v>
      </c>
      <c r="L794" s="7" t="str">
        <f>HYPERLINK("http://slimages.macys.com/is/image/MCY/9415907 ")</f>
        <v xml:space="preserve">http://slimages.macys.com/is/image/MCY/9415907 </v>
      </c>
    </row>
    <row r="795" spans="1:12" ht="24.75" x14ac:dyDescent="0.25">
      <c r="A795" s="4" t="s">
        <v>13418</v>
      </c>
      <c r="B795" s="2" t="s">
        <v>1879</v>
      </c>
      <c r="C795" s="3">
        <v>1</v>
      </c>
      <c r="D795" s="5">
        <v>17.989999999999998</v>
      </c>
      <c r="E795" s="3" t="s">
        <v>1885</v>
      </c>
      <c r="F795" s="2" t="s">
        <v>1322</v>
      </c>
      <c r="G795" s="6" t="s">
        <v>200</v>
      </c>
      <c r="H795" s="2" t="s">
        <v>194</v>
      </c>
      <c r="I795" s="2" t="s">
        <v>195</v>
      </c>
      <c r="J795" s="2" t="s">
        <v>19</v>
      </c>
      <c r="K795" s="2" t="s">
        <v>648</v>
      </c>
      <c r="L795" s="7" t="str">
        <f>HYPERLINK("http://slimages.macys.com/is/image/MCY/10482866 ")</f>
        <v xml:space="preserve">http://slimages.macys.com/is/image/MCY/10482866 </v>
      </c>
    </row>
    <row r="796" spans="1:12" ht="24.75" x14ac:dyDescent="0.25">
      <c r="A796" s="4" t="s">
        <v>5176</v>
      </c>
      <c r="B796" s="2" t="s">
        <v>1896</v>
      </c>
      <c r="C796" s="3">
        <v>2</v>
      </c>
      <c r="D796" s="5">
        <v>20.99</v>
      </c>
      <c r="E796" s="3" t="s">
        <v>1899</v>
      </c>
      <c r="F796" s="2" t="s">
        <v>252</v>
      </c>
      <c r="G796" s="6" t="s">
        <v>154</v>
      </c>
      <c r="H796" s="2" t="s">
        <v>1473</v>
      </c>
      <c r="I796" s="2" t="s">
        <v>1864</v>
      </c>
      <c r="J796" s="2" t="s">
        <v>19</v>
      </c>
      <c r="K796" s="2" t="s">
        <v>648</v>
      </c>
      <c r="L796" s="7" t="str">
        <f>HYPERLINK("http://slimages.macys.com/is/image/MCY/10787705 ")</f>
        <v xml:space="preserve">http://slimages.macys.com/is/image/MCY/10787705 </v>
      </c>
    </row>
    <row r="797" spans="1:12" ht="24.75" x14ac:dyDescent="0.25">
      <c r="A797" s="4" t="s">
        <v>7650</v>
      </c>
      <c r="B797" s="2" t="s">
        <v>1896</v>
      </c>
      <c r="C797" s="3">
        <v>1</v>
      </c>
      <c r="D797" s="5">
        <v>20.99</v>
      </c>
      <c r="E797" s="3" t="s">
        <v>1899</v>
      </c>
      <c r="F797" s="2" t="s">
        <v>252</v>
      </c>
      <c r="G797" s="6" t="s">
        <v>181</v>
      </c>
      <c r="H797" s="2" t="s">
        <v>1473</v>
      </c>
      <c r="I797" s="2" t="s">
        <v>1864</v>
      </c>
      <c r="J797" s="2" t="s">
        <v>19</v>
      </c>
      <c r="K797" s="2" t="s">
        <v>648</v>
      </c>
      <c r="L797" s="7" t="str">
        <f>HYPERLINK("http://slimages.macys.com/is/image/MCY/10787705 ")</f>
        <v xml:space="preserve">http://slimages.macys.com/is/image/MCY/10787705 </v>
      </c>
    </row>
    <row r="798" spans="1:12" ht="24.75" x14ac:dyDescent="0.25">
      <c r="A798" s="4" t="s">
        <v>8828</v>
      </c>
      <c r="B798" s="2" t="s">
        <v>1892</v>
      </c>
      <c r="C798" s="3">
        <v>1</v>
      </c>
      <c r="D798" s="5">
        <v>20.99</v>
      </c>
      <c r="E798" s="3" t="s">
        <v>1901</v>
      </c>
      <c r="F798" s="2" t="s">
        <v>15</v>
      </c>
      <c r="G798" s="6" t="s">
        <v>234</v>
      </c>
      <c r="H798" s="2" t="s">
        <v>1473</v>
      </c>
      <c r="I798" s="2" t="s">
        <v>1864</v>
      </c>
      <c r="J798" s="2" t="s">
        <v>19</v>
      </c>
      <c r="K798" s="2" t="s">
        <v>648</v>
      </c>
      <c r="L798" s="7" t="str">
        <f>HYPERLINK("http://slimages.macys.com/is/image/MCY/11689284 ")</f>
        <v xml:space="preserve">http://slimages.macys.com/is/image/MCY/11689284 </v>
      </c>
    </row>
    <row r="799" spans="1:12" ht="24.75" x14ac:dyDescent="0.25">
      <c r="A799" s="4" t="s">
        <v>13419</v>
      </c>
      <c r="B799" s="2" t="s">
        <v>13420</v>
      </c>
      <c r="C799" s="3">
        <v>1</v>
      </c>
      <c r="D799" s="5">
        <v>29.63</v>
      </c>
      <c r="E799" s="3" t="s">
        <v>13421</v>
      </c>
      <c r="F799" s="2" t="s">
        <v>676</v>
      </c>
      <c r="G799" s="6" t="s">
        <v>154</v>
      </c>
      <c r="H799" s="2" t="s">
        <v>284</v>
      </c>
      <c r="I799" s="2" t="s">
        <v>285</v>
      </c>
      <c r="J799" s="2" t="s">
        <v>19</v>
      </c>
      <c r="K799" s="2" t="s">
        <v>247</v>
      </c>
      <c r="L799" s="7" t="str">
        <f>HYPERLINK("http://slimages.macys.com/is/image/MCY/14424890 ")</f>
        <v xml:space="preserve">http://slimages.macys.com/is/image/MCY/14424890 </v>
      </c>
    </row>
    <row r="800" spans="1:12" ht="24.75" x14ac:dyDescent="0.25">
      <c r="A800" s="4" t="s">
        <v>13422</v>
      </c>
      <c r="B800" s="2" t="s">
        <v>10279</v>
      </c>
      <c r="C800" s="3">
        <v>1</v>
      </c>
      <c r="D800" s="5">
        <v>19.989999999999998</v>
      </c>
      <c r="E800" s="3" t="s">
        <v>10280</v>
      </c>
      <c r="F800" s="2" t="s">
        <v>225</v>
      </c>
      <c r="G800" s="6" t="s">
        <v>234</v>
      </c>
      <c r="H800" s="2" t="s">
        <v>246</v>
      </c>
      <c r="I800" s="2" t="s">
        <v>1939</v>
      </c>
      <c r="J800" s="2" t="s">
        <v>19</v>
      </c>
      <c r="K800" s="2" t="s">
        <v>648</v>
      </c>
      <c r="L800" s="7" t="str">
        <f>HYPERLINK("http://slimages.macys.com/is/image/MCY/8123674 ")</f>
        <v xml:space="preserve">http://slimages.macys.com/is/image/MCY/8123674 </v>
      </c>
    </row>
    <row r="801" spans="1:12" ht="24.75" x14ac:dyDescent="0.25">
      <c r="A801" s="4" t="s">
        <v>12484</v>
      </c>
      <c r="B801" s="2" t="s">
        <v>1692</v>
      </c>
      <c r="C801" s="3">
        <v>1</v>
      </c>
      <c r="D801" s="5">
        <v>24.37</v>
      </c>
      <c r="E801" s="3" t="s">
        <v>9208</v>
      </c>
      <c r="F801" s="2" t="s">
        <v>74</v>
      </c>
      <c r="G801" s="6" t="s">
        <v>156</v>
      </c>
      <c r="H801" s="2" t="s">
        <v>194</v>
      </c>
      <c r="I801" s="2" t="s">
        <v>580</v>
      </c>
      <c r="J801" s="2" t="s">
        <v>19</v>
      </c>
      <c r="K801" s="2" t="s">
        <v>137</v>
      </c>
      <c r="L801" s="7" t="str">
        <f>HYPERLINK("http://slimages.macys.com/is/image/MCY/16404085 ")</f>
        <v xml:space="preserve">http://slimages.macys.com/is/image/MCY/16404085 </v>
      </c>
    </row>
    <row r="802" spans="1:12" x14ac:dyDescent="0.25">
      <c r="A802" s="4" t="s">
        <v>6853</v>
      </c>
      <c r="B802" s="2" t="s">
        <v>4159</v>
      </c>
      <c r="C802" s="3">
        <v>1</v>
      </c>
      <c r="D802" s="5">
        <v>39.5</v>
      </c>
      <c r="E802" s="3" t="s">
        <v>4160</v>
      </c>
      <c r="F802" s="2" t="s">
        <v>111</v>
      </c>
      <c r="G802" s="6" t="s">
        <v>219</v>
      </c>
      <c r="H802" s="2" t="s">
        <v>206</v>
      </c>
      <c r="I802" s="2" t="s">
        <v>207</v>
      </c>
      <c r="J802" s="2" t="s">
        <v>19</v>
      </c>
      <c r="K802" s="2" t="s">
        <v>247</v>
      </c>
      <c r="L802" s="7" t="str">
        <f>HYPERLINK("http://slimages.macys.com/is/image/MCY/9815602 ")</f>
        <v xml:space="preserve">http://slimages.macys.com/is/image/MCY/9815602 </v>
      </c>
    </row>
    <row r="803" spans="1:12" ht="24.75" x14ac:dyDescent="0.25">
      <c r="A803" s="4" t="s">
        <v>13423</v>
      </c>
      <c r="B803" s="2" t="s">
        <v>12498</v>
      </c>
      <c r="C803" s="3">
        <v>1</v>
      </c>
      <c r="D803" s="5">
        <v>19.989999999999998</v>
      </c>
      <c r="E803" s="3" t="s">
        <v>12499</v>
      </c>
      <c r="F803" s="2" t="s">
        <v>5077</v>
      </c>
      <c r="G803" s="6" t="s">
        <v>181</v>
      </c>
      <c r="H803" s="2" t="s">
        <v>1522</v>
      </c>
      <c r="I803" s="2" t="s">
        <v>1469</v>
      </c>
      <c r="J803" s="2" t="s">
        <v>19</v>
      </c>
      <c r="K803" s="2" t="s">
        <v>495</v>
      </c>
      <c r="L803" s="7" t="str">
        <f>HYPERLINK("http://slimages.macys.com/is/image/MCY/14770063 ")</f>
        <v xml:space="preserve">http://slimages.macys.com/is/image/MCY/14770063 </v>
      </c>
    </row>
    <row r="804" spans="1:12" ht="24.75" x14ac:dyDescent="0.25">
      <c r="A804" s="4" t="s">
        <v>13424</v>
      </c>
      <c r="B804" s="2" t="s">
        <v>11330</v>
      </c>
      <c r="C804" s="3">
        <v>1</v>
      </c>
      <c r="D804" s="5">
        <v>17.989999999999998</v>
      </c>
      <c r="E804" s="3" t="s">
        <v>11331</v>
      </c>
      <c r="F804" s="2" t="s">
        <v>199</v>
      </c>
      <c r="G804" s="6" t="s">
        <v>154</v>
      </c>
      <c r="H804" s="2" t="s">
        <v>1473</v>
      </c>
      <c r="I804" s="2" t="s">
        <v>1426</v>
      </c>
      <c r="J804" s="2" t="s">
        <v>19</v>
      </c>
      <c r="K804" s="2" t="s">
        <v>990</v>
      </c>
      <c r="L804" s="7" t="str">
        <f>HYPERLINK("http://slimages.macys.com/is/image/MCY/13634883 ")</f>
        <v xml:space="preserve">http://slimages.macys.com/is/image/MCY/13634883 </v>
      </c>
    </row>
    <row r="805" spans="1:12" ht="24.75" x14ac:dyDescent="0.25">
      <c r="A805" s="4" t="s">
        <v>5179</v>
      </c>
      <c r="B805" s="2" t="s">
        <v>4170</v>
      </c>
      <c r="C805" s="3">
        <v>1</v>
      </c>
      <c r="D805" s="5">
        <v>14.99</v>
      </c>
      <c r="E805" s="3" t="s">
        <v>4171</v>
      </c>
      <c r="F805" s="2" t="s">
        <v>64</v>
      </c>
      <c r="G805" s="6" t="s">
        <v>154</v>
      </c>
      <c r="H805" s="2" t="s">
        <v>1473</v>
      </c>
      <c r="I805" s="2" t="s">
        <v>1426</v>
      </c>
      <c r="J805" s="2" t="s">
        <v>19</v>
      </c>
      <c r="K805" s="2" t="s">
        <v>495</v>
      </c>
      <c r="L805" s="7" t="str">
        <f>HYPERLINK("http://slimages.macys.com/is/image/MCY/11207448 ")</f>
        <v xml:space="preserve">http://slimages.macys.com/is/image/MCY/11207448 </v>
      </c>
    </row>
    <row r="806" spans="1:12" ht="24.75" x14ac:dyDescent="0.25">
      <c r="A806" s="4" t="s">
        <v>13425</v>
      </c>
      <c r="B806" s="2" t="s">
        <v>11330</v>
      </c>
      <c r="C806" s="3">
        <v>1</v>
      </c>
      <c r="D806" s="5">
        <v>17.989999999999998</v>
      </c>
      <c r="E806" s="3" t="s">
        <v>11331</v>
      </c>
      <c r="F806" s="2" t="s">
        <v>417</v>
      </c>
      <c r="G806" s="6" t="s">
        <v>154</v>
      </c>
      <c r="H806" s="2" t="s">
        <v>1473</v>
      </c>
      <c r="I806" s="2" t="s">
        <v>1426</v>
      </c>
      <c r="J806" s="2" t="s">
        <v>19</v>
      </c>
      <c r="K806" s="2" t="s">
        <v>990</v>
      </c>
      <c r="L806" s="7" t="str">
        <f>HYPERLINK("http://slimages.macys.com/is/image/MCY/13634883 ")</f>
        <v xml:space="preserve">http://slimages.macys.com/is/image/MCY/13634883 </v>
      </c>
    </row>
    <row r="807" spans="1:12" ht="24.75" x14ac:dyDescent="0.25">
      <c r="A807" s="4" t="s">
        <v>11338</v>
      </c>
      <c r="B807" s="2" t="s">
        <v>11336</v>
      </c>
      <c r="C807" s="3">
        <v>2</v>
      </c>
      <c r="D807" s="5">
        <v>21.99</v>
      </c>
      <c r="E807" s="3" t="s">
        <v>11337</v>
      </c>
      <c r="F807" s="2" t="s">
        <v>15</v>
      </c>
      <c r="G807" s="6" t="s">
        <v>181</v>
      </c>
      <c r="H807" s="2" t="s">
        <v>284</v>
      </c>
      <c r="I807" s="2" t="s">
        <v>285</v>
      </c>
      <c r="J807" s="2" t="s">
        <v>19</v>
      </c>
      <c r="K807" s="2" t="s">
        <v>160</v>
      </c>
      <c r="L807" s="7" t="str">
        <f>HYPERLINK("http://slimages.macys.com/is/image/MCY/13925353 ")</f>
        <v xml:space="preserve">http://slimages.macys.com/is/image/MCY/13925353 </v>
      </c>
    </row>
    <row r="808" spans="1:12" ht="24.75" x14ac:dyDescent="0.25">
      <c r="A808" s="4" t="s">
        <v>11335</v>
      </c>
      <c r="B808" s="2" t="s">
        <v>11336</v>
      </c>
      <c r="C808" s="3">
        <v>1</v>
      </c>
      <c r="D808" s="5">
        <v>21.99</v>
      </c>
      <c r="E808" s="3" t="s">
        <v>11337</v>
      </c>
      <c r="F808" s="2" t="s">
        <v>15</v>
      </c>
      <c r="G808" s="6" t="s">
        <v>154</v>
      </c>
      <c r="H808" s="2" t="s">
        <v>284</v>
      </c>
      <c r="I808" s="2" t="s">
        <v>285</v>
      </c>
      <c r="J808" s="2" t="s">
        <v>19</v>
      </c>
      <c r="K808" s="2" t="s">
        <v>160</v>
      </c>
      <c r="L808" s="7" t="str">
        <f>HYPERLINK("http://slimages.macys.com/is/image/MCY/13925353 ")</f>
        <v xml:space="preserve">http://slimages.macys.com/is/image/MCY/13925353 </v>
      </c>
    </row>
    <row r="809" spans="1:12" x14ac:dyDescent="0.25">
      <c r="A809" s="4" t="s">
        <v>5181</v>
      </c>
      <c r="B809" s="2" t="s">
        <v>1962</v>
      </c>
      <c r="C809" s="3">
        <v>1</v>
      </c>
      <c r="D809" s="5">
        <v>26.99</v>
      </c>
      <c r="E809" s="3" t="s">
        <v>5182</v>
      </c>
      <c r="F809" s="2" t="s">
        <v>331</v>
      </c>
      <c r="G809" s="6" t="s">
        <v>746</v>
      </c>
      <c r="H809" s="2" t="s">
        <v>349</v>
      </c>
      <c r="I809" s="2" t="s">
        <v>285</v>
      </c>
      <c r="J809" s="2" t="s">
        <v>19</v>
      </c>
      <c r="K809" s="2" t="s">
        <v>247</v>
      </c>
      <c r="L809" s="7" t="str">
        <f>HYPERLINK("http://slimages.macys.com/is/image/MCY/11605722 ")</f>
        <v xml:space="preserve">http://slimages.macys.com/is/image/MCY/11605722 </v>
      </c>
    </row>
    <row r="810" spans="1:12" ht="24.75" x14ac:dyDescent="0.25">
      <c r="A810" s="4" t="s">
        <v>13426</v>
      </c>
      <c r="B810" s="2" t="s">
        <v>1918</v>
      </c>
      <c r="C810" s="3">
        <v>1</v>
      </c>
      <c r="D810" s="5">
        <v>19.989999999999998</v>
      </c>
      <c r="E810" s="3" t="s">
        <v>3087</v>
      </c>
      <c r="F810" s="2" t="s">
        <v>48</v>
      </c>
      <c r="G810" s="6" t="s">
        <v>181</v>
      </c>
      <c r="H810" s="2" t="s">
        <v>246</v>
      </c>
      <c r="I810" s="2" t="s">
        <v>189</v>
      </c>
      <c r="J810" s="2" t="s">
        <v>19</v>
      </c>
      <c r="K810" s="2" t="s">
        <v>648</v>
      </c>
      <c r="L810" s="7" t="str">
        <f>HYPERLINK("http://slimages.macys.com/is/image/MCY/8123674 ")</f>
        <v xml:space="preserve">http://slimages.macys.com/is/image/MCY/8123674 </v>
      </c>
    </row>
    <row r="811" spans="1:12" ht="24.75" x14ac:dyDescent="0.25">
      <c r="A811" s="4" t="s">
        <v>13427</v>
      </c>
      <c r="B811" s="2" t="s">
        <v>1918</v>
      </c>
      <c r="C811" s="3">
        <v>1</v>
      </c>
      <c r="D811" s="5">
        <v>19.989999999999998</v>
      </c>
      <c r="E811" s="3" t="s">
        <v>3087</v>
      </c>
      <c r="F811" s="2" t="s">
        <v>48</v>
      </c>
      <c r="G811" s="6" t="s">
        <v>154</v>
      </c>
      <c r="H811" s="2" t="s">
        <v>246</v>
      </c>
      <c r="I811" s="2" t="s">
        <v>189</v>
      </c>
      <c r="J811" s="2" t="s">
        <v>19</v>
      </c>
      <c r="K811" s="2" t="s">
        <v>648</v>
      </c>
      <c r="L811" s="7" t="str">
        <f>HYPERLINK("http://slimages.macys.com/is/image/MCY/8123674 ")</f>
        <v xml:space="preserve">http://slimages.macys.com/is/image/MCY/8123674 </v>
      </c>
    </row>
    <row r="812" spans="1:12" ht="24.75" x14ac:dyDescent="0.25">
      <c r="A812" s="4" t="s">
        <v>13428</v>
      </c>
      <c r="B812" s="2" t="s">
        <v>13429</v>
      </c>
      <c r="C812" s="3">
        <v>1</v>
      </c>
      <c r="D812" s="5">
        <v>21.99</v>
      </c>
      <c r="E812" s="3" t="s">
        <v>13430</v>
      </c>
      <c r="F812" s="2" t="s">
        <v>3267</v>
      </c>
      <c r="G812" s="6" t="s">
        <v>181</v>
      </c>
      <c r="H812" s="2" t="s">
        <v>284</v>
      </c>
      <c r="I812" s="2" t="s">
        <v>285</v>
      </c>
      <c r="J812" s="2" t="s">
        <v>19</v>
      </c>
      <c r="K812" s="2" t="s">
        <v>247</v>
      </c>
      <c r="L812" s="7" t="str">
        <f>HYPERLINK("http://slimages.macys.com/is/image/MCY/9678859 ")</f>
        <v xml:space="preserve">http://slimages.macys.com/is/image/MCY/9678859 </v>
      </c>
    </row>
    <row r="813" spans="1:12" ht="24.75" x14ac:dyDescent="0.25">
      <c r="A813" s="4" t="s">
        <v>4178</v>
      </c>
      <c r="B813" s="2" t="s">
        <v>1927</v>
      </c>
      <c r="C813" s="3">
        <v>1</v>
      </c>
      <c r="D813" s="5">
        <v>17.989999999999998</v>
      </c>
      <c r="E813" s="3" t="s">
        <v>3105</v>
      </c>
      <c r="F813" s="2" t="s">
        <v>74</v>
      </c>
      <c r="G813" s="6"/>
      <c r="H813" s="2" t="s">
        <v>1425</v>
      </c>
      <c r="I813" s="2" t="s">
        <v>1426</v>
      </c>
      <c r="J813" s="2" t="s">
        <v>19</v>
      </c>
      <c r="K813" s="2" t="s">
        <v>803</v>
      </c>
      <c r="L813" s="7" t="str">
        <f>HYPERLINK("http://slimages.macys.com/is/image/MCY/11882201 ")</f>
        <v xml:space="preserve">http://slimages.macys.com/is/image/MCY/11882201 </v>
      </c>
    </row>
    <row r="814" spans="1:12" ht="24.75" x14ac:dyDescent="0.25">
      <c r="A814" s="4" t="s">
        <v>13431</v>
      </c>
      <c r="B814" s="2" t="s">
        <v>6149</v>
      </c>
      <c r="C814" s="3">
        <v>1</v>
      </c>
      <c r="D814" s="5">
        <v>14.99</v>
      </c>
      <c r="E814" s="3" t="s">
        <v>6150</v>
      </c>
      <c r="F814" s="2" t="s">
        <v>3267</v>
      </c>
      <c r="G814" s="6" t="s">
        <v>181</v>
      </c>
      <c r="H814" s="2" t="s">
        <v>1522</v>
      </c>
      <c r="I814" s="2" t="s">
        <v>1469</v>
      </c>
      <c r="J814" s="2" t="s">
        <v>19</v>
      </c>
      <c r="K814" s="2" t="s">
        <v>495</v>
      </c>
      <c r="L814" s="7" t="str">
        <f>HYPERLINK("http://slimages.macys.com/is/image/MCY/12064178 ")</f>
        <v xml:space="preserve">http://slimages.macys.com/is/image/MCY/12064178 </v>
      </c>
    </row>
    <row r="815" spans="1:12" ht="24.75" x14ac:dyDescent="0.25">
      <c r="A815" s="4" t="s">
        <v>13432</v>
      </c>
      <c r="B815" s="2" t="s">
        <v>11341</v>
      </c>
      <c r="C815" s="3">
        <v>1</v>
      </c>
      <c r="D815" s="5">
        <v>17.989999999999998</v>
      </c>
      <c r="E815" s="3" t="s">
        <v>11342</v>
      </c>
      <c r="F815" s="2" t="s">
        <v>53</v>
      </c>
      <c r="G815" s="6" t="s">
        <v>156</v>
      </c>
      <c r="H815" s="2" t="s">
        <v>1473</v>
      </c>
      <c r="I815" s="2" t="s">
        <v>1426</v>
      </c>
      <c r="J815" s="2" t="s">
        <v>19</v>
      </c>
      <c r="K815" s="2" t="s">
        <v>495</v>
      </c>
      <c r="L815" s="7" t="str">
        <f>HYPERLINK("http://slimages.macys.com/is/image/MCY/12671370 ")</f>
        <v xml:space="preserve">http://slimages.macys.com/is/image/MCY/12671370 </v>
      </c>
    </row>
    <row r="816" spans="1:12" ht="24.75" x14ac:dyDescent="0.25">
      <c r="A816" s="4" t="s">
        <v>13433</v>
      </c>
      <c r="B816" s="2" t="s">
        <v>13434</v>
      </c>
      <c r="C816" s="3">
        <v>1</v>
      </c>
      <c r="D816" s="5">
        <v>17.989999999999998</v>
      </c>
      <c r="E816" s="3" t="s">
        <v>13435</v>
      </c>
      <c r="F816" s="2" t="s">
        <v>48</v>
      </c>
      <c r="G816" s="6" t="s">
        <v>234</v>
      </c>
      <c r="H816" s="2" t="s">
        <v>284</v>
      </c>
      <c r="I816" s="2" t="s">
        <v>285</v>
      </c>
      <c r="J816" s="2" t="s">
        <v>19</v>
      </c>
      <c r="K816" s="2" t="s">
        <v>247</v>
      </c>
      <c r="L816" s="7" t="str">
        <f>HYPERLINK("http://slimages.macys.com/is/image/MCY/13080612 ")</f>
        <v xml:space="preserve">http://slimages.macys.com/is/image/MCY/13080612 </v>
      </c>
    </row>
    <row r="817" spans="1:12" ht="24.75" x14ac:dyDescent="0.25">
      <c r="A817" s="4" t="s">
        <v>13436</v>
      </c>
      <c r="B817" s="2" t="s">
        <v>4181</v>
      </c>
      <c r="C817" s="3">
        <v>1</v>
      </c>
      <c r="D817" s="5">
        <v>17.989999999999998</v>
      </c>
      <c r="E817" s="3" t="s">
        <v>4182</v>
      </c>
      <c r="F817" s="2" t="s">
        <v>74</v>
      </c>
      <c r="G817" s="6" t="s">
        <v>234</v>
      </c>
      <c r="H817" s="2" t="s">
        <v>1473</v>
      </c>
      <c r="I817" s="2" t="s">
        <v>1426</v>
      </c>
      <c r="J817" s="2" t="s">
        <v>19</v>
      </c>
      <c r="K817" s="2" t="s">
        <v>990</v>
      </c>
      <c r="L817" s="7" t="str">
        <f>HYPERLINK("http://slimages.macys.com/is/image/MCY/12327134 ")</f>
        <v xml:space="preserve">http://slimages.macys.com/is/image/MCY/12327134 </v>
      </c>
    </row>
    <row r="818" spans="1:12" ht="24.75" x14ac:dyDescent="0.25">
      <c r="A818" s="4" t="s">
        <v>13437</v>
      </c>
      <c r="B818" s="2" t="s">
        <v>11347</v>
      </c>
      <c r="C818" s="3">
        <v>1</v>
      </c>
      <c r="D818" s="5">
        <v>21.99</v>
      </c>
      <c r="E818" s="3" t="s">
        <v>11348</v>
      </c>
      <c r="F818" s="2" t="s">
        <v>26</v>
      </c>
      <c r="G818" s="6" t="s">
        <v>200</v>
      </c>
      <c r="H818" s="2" t="s">
        <v>284</v>
      </c>
      <c r="I818" s="2" t="s">
        <v>285</v>
      </c>
      <c r="J818" s="2" t="s">
        <v>19</v>
      </c>
      <c r="K818" s="2" t="s">
        <v>247</v>
      </c>
      <c r="L818" s="7" t="str">
        <f>HYPERLINK("http://slimages.macys.com/is/image/MCY/13401319 ")</f>
        <v xml:space="preserve">http://slimages.macys.com/is/image/MCY/13401319 </v>
      </c>
    </row>
    <row r="819" spans="1:12" ht="24.75" x14ac:dyDescent="0.25">
      <c r="A819" s="4" t="s">
        <v>13438</v>
      </c>
      <c r="B819" s="2" t="s">
        <v>13439</v>
      </c>
      <c r="C819" s="3">
        <v>1</v>
      </c>
      <c r="D819" s="5">
        <v>21.99</v>
      </c>
      <c r="E819" s="3" t="s">
        <v>13440</v>
      </c>
      <c r="F819" s="2" t="s">
        <v>887</v>
      </c>
      <c r="G819" s="6" t="s">
        <v>154</v>
      </c>
      <c r="H819" s="2" t="s">
        <v>284</v>
      </c>
      <c r="I819" s="2" t="s">
        <v>285</v>
      </c>
      <c r="J819" s="2" t="s">
        <v>19</v>
      </c>
      <c r="K819" s="2" t="s">
        <v>247</v>
      </c>
      <c r="L819" s="7" t="str">
        <f>HYPERLINK("http://slimages.macys.com/is/image/MCY/12807807 ")</f>
        <v xml:space="preserve">http://slimages.macys.com/is/image/MCY/12807807 </v>
      </c>
    </row>
    <row r="820" spans="1:12" ht="24.75" x14ac:dyDescent="0.25">
      <c r="A820" s="4" t="s">
        <v>11346</v>
      </c>
      <c r="B820" s="2" t="s">
        <v>11347</v>
      </c>
      <c r="C820" s="3">
        <v>1</v>
      </c>
      <c r="D820" s="5">
        <v>21.99</v>
      </c>
      <c r="E820" s="3" t="s">
        <v>11348</v>
      </c>
      <c r="F820" s="2" t="s">
        <v>26</v>
      </c>
      <c r="G820" s="6" t="s">
        <v>154</v>
      </c>
      <c r="H820" s="2" t="s">
        <v>284</v>
      </c>
      <c r="I820" s="2" t="s">
        <v>285</v>
      </c>
      <c r="J820" s="2" t="s">
        <v>19</v>
      </c>
      <c r="K820" s="2" t="s">
        <v>247</v>
      </c>
      <c r="L820" s="7" t="str">
        <f>HYPERLINK("http://slimages.macys.com/is/image/MCY/13401319 ")</f>
        <v xml:space="preserve">http://slimages.macys.com/is/image/MCY/13401319 </v>
      </c>
    </row>
    <row r="821" spans="1:12" ht="24.75" x14ac:dyDescent="0.25">
      <c r="A821" s="4" t="s">
        <v>13441</v>
      </c>
      <c r="B821" s="2" t="s">
        <v>13442</v>
      </c>
      <c r="C821" s="3">
        <v>1</v>
      </c>
      <c r="D821" s="5">
        <v>14.99</v>
      </c>
      <c r="E821" s="3" t="s">
        <v>13443</v>
      </c>
      <c r="F821" s="2" t="s">
        <v>26</v>
      </c>
      <c r="G821" s="6" t="s">
        <v>200</v>
      </c>
      <c r="H821" s="2" t="s">
        <v>1522</v>
      </c>
      <c r="I821" s="2" t="s">
        <v>1469</v>
      </c>
      <c r="J821" s="2" t="s">
        <v>19</v>
      </c>
      <c r="K821" s="2" t="s">
        <v>495</v>
      </c>
      <c r="L821" s="7" t="str">
        <f>HYPERLINK("http://slimages.macys.com/is/image/MCY/13964312 ")</f>
        <v xml:space="preserve">http://slimages.macys.com/is/image/MCY/13964312 </v>
      </c>
    </row>
    <row r="822" spans="1:12" ht="24.75" x14ac:dyDescent="0.25">
      <c r="A822" s="4" t="s">
        <v>13444</v>
      </c>
      <c r="B822" s="2" t="s">
        <v>13442</v>
      </c>
      <c r="C822" s="3">
        <v>1</v>
      </c>
      <c r="D822" s="5">
        <v>14.99</v>
      </c>
      <c r="E822" s="3" t="s">
        <v>13443</v>
      </c>
      <c r="F822" s="2"/>
      <c r="G822" s="6" t="s">
        <v>200</v>
      </c>
      <c r="H822" s="2" t="s">
        <v>1522</v>
      </c>
      <c r="I822" s="2" t="s">
        <v>1469</v>
      </c>
      <c r="J822" s="2" t="s">
        <v>19</v>
      </c>
      <c r="K822" s="2" t="s">
        <v>495</v>
      </c>
      <c r="L822" s="7" t="str">
        <f>HYPERLINK("http://slimages.macys.com/is/image/MCY/13964312 ")</f>
        <v xml:space="preserve">http://slimages.macys.com/is/image/MCY/13964312 </v>
      </c>
    </row>
    <row r="823" spans="1:12" ht="24.75" x14ac:dyDescent="0.25">
      <c r="A823" s="4" t="s">
        <v>13445</v>
      </c>
      <c r="B823" s="2" t="s">
        <v>13446</v>
      </c>
      <c r="C823" s="3">
        <v>1</v>
      </c>
      <c r="D823" s="5">
        <v>14.99</v>
      </c>
      <c r="E823" s="3" t="s">
        <v>13447</v>
      </c>
      <c r="F823" s="2" t="s">
        <v>417</v>
      </c>
      <c r="G823" s="6"/>
      <c r="H823" s="2" t="s">
        <v>1425</v>
      </c>
      <c r="I823" s="2" t="s">
        <v>1469</v>
      </c>
      <c r="J823" s="2" t="s">
        <v>19</v>
      </c>
      <c r="K823" s="2" t="s">
        <v>495</v>
      </c>
      <c r="L823" s="7" t="str">
        <f>HYPERLINK("http://slimages.macys.com/is/image/MCY/11134808 ")</f>
        <v xml:space="preserve">http://slimages.macys.com/is/image/MCY/11134808 </v>
      </c>
    </row>
    <row r="824" spans="1:12" ht="24.75" x14ac:dyDescent="0.25">
      <c r="A824" s="4" t="s">
        <v>13448</v>
      </c>
      <c r="B824" s="2" t="s">
        <v>13446</v>
      </c>
      <c r="C824" s="3">
        <v>4</v>
      </c>
      <c r="D824" s="5">
        <v>14.99</v>
      </c>
      <c r="E824" s="3" t="s">
        <v>13447</v>
      </c>
      <c r="F824" s="2" t="s">
        <v>417</v>
      </c>
      <c r="G824" s="6"/>
      <c r="H824" s="2" t="s">
        <v>1425</v>
      </c>
      <c r="I824" s="2" t="s">
        <v>1469</v>
      </c>
      <c r="J824" s="2" t="s">
        <v>19</v>
      </c>
      <c r="K824" s="2" t="s">
        <v>495</v>
      </c>
      <c r="L824" s="7" t="str">
        <f>HYPERLINK("http://slimages.macys.com/is/image/MCY/11134808 ")</f>
        <v xml:space="preserve">http://slimages.macys.com/is/image/MCY/11134808 </v>
      </c>
    </row>
    <row r="825" spans="1:12" ht="24.75" x14ac:dyDescent="0.25">
      <c r="A825" s="4" t="s">
        <v>13449</v>
      </c>
      <c r="B825" s="2" t="s">
        <v>1918</v>
      </c>
      <c r="C825" s="3">
        <v>1</v>
      </c>
      <c r="D825" s="5">
        <v>19.989999999999998</v>
      </c>
      <c r="E825" s="3" t="s">
        <v>3087</v>
      </c>
      <c r="F825" s="2" t="s">
        <v>417</v>
      </c>
      <c r="G825" s="6" t="s">
        <v>181</v>
      </c>
      <c r="H825" s="2" t="s">
        <v>246</v>
      </c>
      <c r="I825" s="2" t="s">
        <v>189</v>
      </c>
      <c r="J825" s="2" t="s">
        <v>19</v>
      </c>
      <c r="K825" s="2" t="s">
        <v>648</v>
      </c>
      <c r="L825" s="7" t="str">
        <f>HYPERLINK("http://slimages.macys.com/is/image/MCY/8123674 ")</f>
        <v xml:space="preserve">http://slimages.macys.com/is/image/MCY/8123674 </v>
      </c>
    </row>
    <row r="826" spans="1:12" ht="24.75" x14ac:dyDescent="0.25">
      <c r="A826" s="4" t="s">
        <v>13450</v>
      </c>
      <c r="B826" s="2" t="s">
        <v>1918</v>
      </c>
      <c r="C826" s="3">
        <v>1</v>
      </c>
      <c r="D826" s="5">
        <v>19.989999999999998</v>
      </c>
      <c r="E826" s="3" t="s">
        <v>3087</v>
      </c>
      <c r="F826" s="2" t="s">
        <v>417</v>
      </c>
      <c r="G826" s="6" t="s">
        <v>154</v>
      </c>
      <c r="H826" s="2" t="s">
        <v>246</v>
      </c>
      <c r="I826" s="2" t="s">
        <v>189</v>
      </c>
      <c r="J826" s="2" t="s">
        <v>19</v>
      </c>
      <c r="K826" s="2" t="s">
        <v>648</v>
      </c>
      <c r="L826" s="7" t="str">
        <f>HYPERLINK("http://slimages.macys.com/is/image/MCY/8123674 ")</f>
        <v xml:space="preserve">http://slimages.macys.com/is/image/MCY/8123674 </v>
      </c>
    </row>
    <row r="827" spans="1:12" ht="24.75" x14ac:dyDescent="0.25">
      <c r="A827" s="4" t="s">
        <v>13451</v>
      </c>
      <c r="B827" s="2" t="s">
        <v>1918</v>
      </c>
      <c r="C827" s="3">
        <v>1</v>
      </c>
      <c r="D827" s="5">
        <v>19.989999999999998</v>
      </c>
      <c r="E827" s="3" t="s">
        <v>3087</v>
      </c>
      <c r="F827" s="2" t="s">
        <v>417</v>
      </c>
      <c r="G827" s="6" t="s">
        <v>156</v>
      </c>
      <c r="H827" s="2" t="s">
        <v>246</v>
      </c>
      <c r="I827" s="2" t="s">
        <v>189</v>
      </c>
      <c r="J827" s="2" t="s">
        <v>19</v>
      </c>
      <c r="K827" s="2" t="s">
        <v>648</v>
      </c>
      <c r="L827" s="7" t="str">
        <f>HYPERLINK("http://slimages.macys.com/is/image/MCY/8123674 ")</f>
        <v xml:space="preserve">http://slimages.macys.com/is/image/MCY/8123674 </v>
      </c>
    </row>
    <row r="828" spans="1:12" ht="24.75" x14ac:dyDescent="0.25">
      <c r="A828" s="4" t="s">
        <v>12533</v>
      </c>
      <c r="B828" s="2" t="s">
        <v>1937</v>
      </c>
      <c r="C828" s="3">
        <v>6</v>
      </c>
      <c r="D828" s="5">
        <v>19.989999999999998</v>
      </c>
      <c r="E828" s="3" t="s">
        <v>1938</v>
      </c>
      <c r="F828" s="2" t="s">
        <v>413</v>
      </c>
      <c r="G828" s="6" t="s">
        <v>154</v>
      </c>
      <c r="H828" s="2" t="s">
        <v>246</v>
      </c>
      <c r="I828" s="2" t="s">
        <v>1939</v>
      </c>
      <c r="J828" s="2" t="s">
        <v>19</v>
      </c>
      <c r="K828" s="2" t="s">
        <v>1940</v>
      </c>
      <c r="L828" s="7" t="str">
        <f>HYPERLINK("http://slimages.macys.com/is/image/MCY/11523112 ")</f>
        <v xml:space="preserve">http://slimages.macys.com/is/image/MCY/11523112 </v>
      </c>
    </row>
    <row r="829" spans="1:12" ht="24.75" x14ac:dyDescent="0.25">
      <c r="A829" s="4" t="s">
        <v>13452</v>
      </c>
      <c r="B829" s="2" t="s">
        <v>1937</v>
      </c>
      <c r="C829" s="3">
        <v>3</v>
      </c>
      <c r="D829" s="5">
        <v>19.989999999999998</v>
      </c>
      <c r="E829" s="3" t="s">
        <v>1938</v>
      </c>
      <c r="F829" s="2" t="s">
        <v>413</v>
      </c>
      <c r="G829" s="6" t="s">
        <v>156</v>
      </c>
      <c r="H829" s="2" t="s">
        <v>246</v>
      </c>
      <c r="I829" s="2" t="s">
        <v>1939</v>
      </c>
      <c r="J829" s="2" t="s">
        <v>19</v>
      </c>
      <c r="K829" s="2" t="s">
        <v>1940</v>
      </c>
      <c r="L829" s="7" t="str">
        <f>HYPERLINK("http://slimages.macys.com/is/image/MCY/11523112 ")</f>
        <v xml:space="preserve">http://slimages.macys.com/is/image/MCY/11523112 </v>
      </c>
    </row>
    <row r="830" spans="1:12" ht="24.75" x14ac:dyDescent="0.25">
      <c r="A830" s="4" t="s">
        <v>12535</v>
      </c>
      <c r="B830" s="2" t="s">
        <v>1937</v>
      </c>
      <c r="C830" s="3">
        <v>4</v>
      </c>
      <c r="D830" s="5">
        <v>19.989999999999998</v>
      </c>
      <c r="E830" s="3" t="s">
        <v>1938</v>
      </c>
      <c r="F830" s="2" t="s">
        <v>413</v>
      </c>
      <c r="G830" s="6" t="s">
        <v>181</v>
      </c>
      <c r="H830" s="2" t="s">
        <v>246</v>
      </c>
      <c r="I830" s="2" t="s">
        <v>1939</v>
      </c>
      <c r="J830" s="2" t="s">
        <v>19</v>
      </c>
      <c r="K830" s="2" t="s">
        <v>1940</v>
      </c>
      <c r="L830" s="7" t="str">
        <f>HYPERLINK("http://slimages.macys.com/is/image/MCY/11523112 ")</f>
        <v xml:space="preserve">http://slimages.macys.com/is/image/MCY/11523112 </v>
      </c>
    </row>
    <row r="831" spans="1:12" ht="24.75" x14ac:dyDescent="0.25">
      <c r="A831" s="4" t="s">
        <v>13453</v>
      </c>
      <c r="B831" s="2" t="s">
        <v>1937</v>
      </c>
      <c r="C831" s="3">
        <v>4</v>
      </c>
      <c r="D831" s="5">
        <v>19.989999999999998</v>
      </c>
      <c r="E831" s="3" t="s">
        <v>1938</v>
      </c>
      <c r="F831" s="2" t="s">
        <v>413</v>
      </c>
      <c r="G831" s="6" t="s">
        <v>234</v>
      </c>
      <c r="H831" s="2" t="s">
        <v>246</v>
      </c>
      <c r="I831" s="2" t="s">
        <v>1939</v>
      </c>
      <c r="J831" s="2" t="s">
        <v>19</v>
      </c>
      <c r="K831" s="2" t="s">
        <v>1940</v>
      </c>
      <c r="L831" s="7" t="str">
        <f>HYPERLINK("http://slimages.macys.com/is/image/MCY/11523112 ")</f>
        <v xml:space="preserve">http://slimages.macys.com/is/image/MCY/11523112 </v>
      </c>
    </row>
    <row r="832" spans="1:12" ht="24.75" x14ac:dyDescent="0.25">
      <c r="A832" s="4" t="s">
        <v>11365</v>
      </c>
      <c r="B832" s="2" t="s">
        <v>4188</v>
      </c>
      <c r="C832" s="3">
        <v>1</v>
      </c>
      <c r="D832" s="5">
        <v>17.989999999999998</v>
      </c>
      <c r="E832" s="3" t="s">
        <v>4189</v>
      </c>
      <c r="F832" s="2"/>
      <c r="G832" s="6" t="s">
        <v>154</v>
      </c>
      <c r="H832" s="2" t="s">
        <v>1473</v>
      </c>
      <c r="I832" s="2" t="s">
        <v>1426</v>
      </c>
      <c r="J832" s="2" t="s">
        <v>19</v>
      </c>
      <c r="K832" s="2" t="s">
        <v>990</v>
      </c>
      <c r="L832" s="7" t="str">
        <f>HYPERLINK("http://slimages.macys.com/is/image/MCY/12877743 ")</f>
        <v xml:space="preserve">http://slimages.macys.com/is/image/MCY/12877743 </v>
      </c>
    </row>
    <row r="833" spans="1:12" ht="24.75" x14ac:dyDescent="0.25">
      <c r="A833" s="4" t="s">
        <v>13454</v>
      </c>
      <c r="B833" s="2" t="s">
        <v>12538</v>
      </c>
      <c r="C833" s="3">
        <v>1</v>
      </c>
      <c r="D833" s="5">
        <v>17.989999999999998</v>
      </c>
      <c r="E833" s="3" t="s">
        <v>12539</v>
      </c>
      <c r="F833" s="2" t="s">
        <v>74</v>
      </c>
      <c r="G833" s="6" t="s">
        <v>181</v>
      </c>
      <c r="H833" s="2" t="s">
        <v>1473</v>
      </c>
      <c r="I833" s="2" t="s">
        <v>1426</v>
      </c>
      <c r="J833" s="2" t="s">
        <v>19</v>
      </c>
      <c r="K833" s="2" t="s">
        <v>495</v>
      </c>
      <c r="L833" s="7" t="str">
        <f>HYPERLINK("http://slimages.macys.com/is/image/MCY/13965403 ")</f>
        <v xml:space="preserve">http://slimages.macys.com/is/image/MCY/13965403 </v>
      </c>
    </row>
    <row r="834" spans="1:12" ht="24.75" x14ac:dyDescent="0.25">
      <c r="A834" s="4" t="s">
        <v>13455</v>
      </c>
      <c r="B834" s="2" t="s">
        <v>4188</v>
      </c>
      <c r="C834" s="3">
        <v>1</v>
      </c>
      <c r="D834" s="5">
        <v>17.989999999999998</v>
      </c>
      <c r="E834" s="3" t="s">
        <v>4189</v>
      </c>
      <c r="F834" s="2" t="s">
        <v>64</v>
      </c>
      <c r="G834" s="6" t="s">
        <v>234</v>
      </c>
      <c r="H834" s="2" t="s">
        <v>1473</v>
      </c>
      <c r="I834" s="2" t="s">
        <v>1426</v>
      </c>
      <c r="J834" s="2" t="s">
        <v>19</v>
      </c>
      <c r="K834" s="2" t="s">
        <v>990</v>
      </c>
      <c r="L834" s="7" t="str">
        <f>HYPERLINK("http://slimages.macys.com/is/image/MCY/12877743 ")</f>
        <v xml:space="preserve">http://slimages.macys.com/is/image/MCY/12877743 </v>
      </c>
    </row>
    <row r="835" spans="1:12" ht="24.75" x14ac:dyDescent="0.25">
      <c r="A835" s="4" t="s">
        <v>13456</v>
      </c>
      <c r="B835" s="2" t="s">
        <v>1942</v>
      </c>
      <c r="C835" s="3">
        <v>1</v>
      </c>
      <c r="D835" s="5">
        <v>17.989999999999998</v>
      </c>
      <c r="E835" s="3" t="s">
        <v>1943</v>
      </c>
      <c r="F835" s="2" t="s">
        <v>74</v>
      </c>
      <c r="G835" s="6" t="s">
        <v>156</v>
      </c>
      <c r="H835" s="2" t="s">
        <v>1522</v>
      </c>
      <c r="I835" s="2" t="s">
        <v>1469</v>
      </c>
      <c r="J835" s="2" t="s">
        <v>19</v>
      </c>
      <c r="K835" s="2" t="s">
        <v>353</v>
      </c>
      <c r="L835" s="7" t="str">
        <f>HYPERLINK("http://slimages.macys.com/is/image/MCY/10743541 ")</f>
        <v xml:space="preserve">http://slimages.macys.com/is/image/MCY/10743541 </v>
      </c>
    </row>
    <row r="836" spans="1:12" ht="24.75" x14ac:dyDescent="0.25">
      <c r="A836" s="4" t="s">
        <v>13457</v>
      </c>
      <c r="B836" s="2" t="s">
        <v>12538</v>
      </c>
      <c r="C836" s="3">
        <v>1</v>
      </c>
      <c r="D836" s="5">
        <v>17.989999999999998</v>
      </c>
      <c r="E836" s="3" t="s">
        <v>12539</v>
      </c>
      <c r="F836" s="2"/>
      <c r="G836" s="6" t="s">
        <v>181</v>
      </c>
      <c r="H836" s="2" t="s">
        <v>1473</v>
      </c>
      <c r="I836" s="2" t="s">
        <v>1426</v>
      </c>
      <c r="J836" s="2" t="s">
        <v>19</v>
      </c>
      <c r="K836" s="2" t="s">
        <v>495</v>
      </c>
      <c r="L836" s="7" t="str">
        <f>HYPERLINK("http://slimages.macys.com/is/image/MCY/13965403 ")</f>
        <v xml:space="preserve">http://slimages.macys.com/is/image/MCY/13965403 </v>
      </c>
    </row>
    <row r="837" spans="1:12" ht="24.75" x14ac:dyDescent="0.25">
      <c r="A837" s="4" t="s">
        <v>13458</v>
      </c>
      <c r="B837" s="2" t="s">
        <v>12538</v>
      </c>
      <c r="C837" s="3">
        <v>1</v>
      </c>
      <c r="D837" s="5">
        <v>17.989999999999998</v>
      </c>
      <c r="E837" s="3" t="s">
        <v>12539</v>
      </c>
      <c r="F837" s="2" t="s">
        <v>70</v>
      </c>
      <c r="G837" s="6" t="s">
        <v>234</v>
      </c>
      <c r="H837" s="2" t="s">
        <v>1473</v>
      </c>
      <c r="I837" s="2" t="s">
        <v>1426</v>
      </c>
      <c r="J837" s="2" t="s">
        <v>19</v>
      </c>
      <c r="K837" s="2" t="s">
        <v>495</v>
      </c>
      <c r="L837" s="7" t="str">
        <f>HYPERLINK("http://slimages.macys.com/is/image/MCY/13965403 ")</f>
        <v xml:space="preserve">http://slimages.macys.com/is/image/MCY/13965403 </v>
      </c>
    </row>
    <row r="838" spans="1:12" ht="24.75" x14ac:dyDescent="0.25">
      <c r="A838" s="4" t="s">
        <v>13459</v>
      </c>
      <c r="B838" s="2" t="s">
        <v>4188</v>
      </c>
      <c r="C838" s="3">
        <v>2</v>
      </c>
      <c r="D838" s="5">
        <v>17.989999999999998</v>
      </c>
      <c r="E838" s="3" t="s">
        <v>4189</v>
      </c>
      <c r="F838" s="2" t="s">
        <v>199</v>
      </c>
      <c r="G838" s="6" t="s">
        <v>234</v>
      </c>
      <c r="H838" s="2" t="s">
        <v>1473</v>
      </c>
      <c r="I838" s="2" t="s">
        <v>1426</v>
      </c>
      <c r="J838" s="2" t="s">
        <v>19</v>
      </c>
      <c r="K838" s="2" t="s">
        <v>990</v>
      </c>
      <c r="L838" s="7" t="str">
        <f>HYPERLINK("http://slimages.macys.com/is/image/MCY/12877743 ")</f>
        <v xml:space="preserve">http://slimages.macys.com/is/image/MCY/12877743 </v>
      </c>
    </row>
    <row r="839" spans="1:12" ht="24.75" x14ac:dyDescent="0.25">
      <c r="A839" s="4" t="s">
        <v>13460</v>
      </c>
      <c r="B839" s="2" t="s">
        <v>12538</v>
      </c>
      <c r="C839" s="3">
        <v>1</v>
      </c>
      <c r="D839" s="5">
        <v>17.989999999999998</v>
      </c>
      <c r="E839" s="3" t="s">
        <v>12539</v>
      </c>
      <c r="F839" s="2" t="s">
        <v>74</v>
      </c>
      <c r="G839" s="6" t="s">
        <v>154</v>
      </c>
      <c r="H839" s="2" t="s">
        <v>1473</v>
      </c>
      <c r="I839" s="2" t="s">
        <v>1426</v>
      </c>
      <c r="J839" s="2" t="s">
        <v>19</v>
      </c>
      <c r="K839" s="2" t="s">
        <v>495</v>
      </c>
      <c r="L839" s="7" t="str">
        <f>HYPERLINK("http://slimages.macys.com/is/image/MCY/13965403 ")</f>
        <v xml:space="preserve">http://slimages.macys.com/is/image/MCY/13965403 </v>
      </c>
    </row>
    <row r="840" spans="1:12" ht="24.75" x14ac:dyDescent="0.25">
      <c r="A840" s="4" t="s">
        <v>13461</v>
      </c>
      <c r="B840" s="2" t="s">
        <v>3122</v>
      </c>
      <c r="C840" s="3">
        <v>3</v>
      </c>
      <c r="D840" s="5">
        <v>14.99</v>
      </c>
      <c r="E840" s="3" t="s">
        <v>12552</v>
      </c>
      <c r="F840" s="2" t="s">
        <v>79</v>
      </c>
      <c r="G840" s="6" t="s">
        <v>219</v>
      </c>
      <c r="H840" s="2" t="s">
        <v>1425</v>
      </c>
      <c r="I840" s="2" t="s">
        <v>1469</v>
      </c>
      <c r="J840" s="2" t="s">
        <v>19</v>
      </c>
      <c r="K840" s="2" t="s">
        <v>495</v>
      </c>
      <c r="L840" s="7" t="str">
        <f>HYPERLINK("http://slimages.macys.com/is/image/MCY/9956506 ")</f>
        <v xml:space="preserve">http://slimages.macys.com/is/image/MCY/9956506 </v>
      </c>
    </row>
    <row r="841" spans="1:12" ht="24.75" x14ac:dyDescent="0.25">
      <c r="A841" s="4" t="s">
        <v>13462</v>
      </c>
      <c r="B841" s="2" t="s">
        <v>3122</v>
      </c>
      <c r="C841" s="3">
        <v>1</v>
      </c>
      <c r="D841" s="5">
        <v>14.99</v>
      </c>
      <c r="E841" s="3" t="s">
        <v>12552</v>
      </c>
      <c r="F841" s="2" t="s">
        <v>1614</v>
      </c>
      <c r="G841" s="6" t="s">
        <v>187</v>
      </c>
      <c r="H841" s="2" t="s">
        <v>1425</v>
      </c>
      <c r="I841" s="2" t="s">
        <v>1469</v>
      </c>
      <c r="J841" s="2" t="s">
        <v>19</v>
      </c>
      <c r="K841" s="2" t="s">
        <v>495</v>
      </c>
      <c r="L841" s="7" t="str">
        <f>HYPERLINK("http://slimages.macys.com/is/image/MCY/9956506 ")</f>
        <v xml:space="preserve">http://slimages.macys.com/is/image/MCY/9956506 </v>
      </c>
    </row>
    <row r="842" spans="1:12" ht="24.75" x14ac:dyDescent="0.25">
      <c r="A842" s="4" t="s">
        <v>13463</v>
      </c>
      <c r="B842" s="2" t="s">
        <v>3122</v>
      </c>
      <c r="C842" s="3">
        <v>1</v>
      </c>
      <c r="D842" s="5">
        <v>14.99</v>
      </c>
      <c r="E842" s="3" t="s">
        <v>12552</v>
      </c>
      <c r="F842" s="2" t="s">
        <v>1614</v>
      </c>
      <c r="G842" s="6"/>
      <c r="H842" s="2" t="s">
        <v>1425</v>
      </c>
      <c r="I842" s="2" t="s">
        <v>1469</v>
      </c>
      <c r="J842" s="2" t="s">
        <v>19</v>
      </c>
      <c r="K842" s="2" t="s">
        <v>495</v>
      </c>
      <c r="L842" s="7" t="str">
        <f>HYPERLINK("http://slimages.macys.com/is/image/MCY/9956506 ")</f>
        <v xml:space="preserve">http://slimages.macys.com/is/image/MCY/9956506 </v>
      </c>
    </row>
    <row r="843" spans="1:12" ht="24.75" x14ac:dyDescent="0.25">
      <c r="A843" s="4" t="s">
        <v>13464</v>
      </c>
      <c r="B843" s="2" t="s">
        <v>3122</v>
      </c>
      <c r="C843" s="3">
        <v>1</v>
      </c>
      <c r="D843" s="5">
        <v>14.99</v>
      </c>
      <c r="E843" s="3" t="s">
        <v>3123</v>
      </c>
      <c r="F843" s="2" t="s">
        <v>820</v>
      </c>
      <c r="G843" s="6" t="s">
        <v>154</v>
      </c>
      <c r="H843" s="2" t="s">
        <v>1522</v>
      </c>
      <c r="I843" s="2" t="s">
        <v>1469</v>
      </c>
      <c r="J843" s="2" t="s">
        <v>19</v>
      </c>
      <c r="K843" s="2" t="s">
        <v>495</v>
      </c>
      <c r="L843" s="7" t="str">
        <f t="shared" ref="L843:L851" si="7">HYPERLINK("http://slimages.macys.com/is/image/MCY/9957413 ")</f>
        <v xml:space="preserve">http://slimages.macys.com/is/image/MCY/9957413 </v>
      </c>
    </row>
    <row r="844" spans="1:12" ht="24.75" x14ac:dyDescent="0.25">
      <c r="A844" s="4" t="s">
        <v>13465</v>
      </c>
      <c r="B844" s="2" t="s">
        <v>3122</v>
      </c>
      <c r="C844" s="3">
        <v>4</v>
      </c>
      <c r="D844" s="5">
        <v>14.99</v>
      </c>
      <c r="E844" s="3" t="s">
        <v>3123</v>
      </c>
      <c r="F844" s="2" t="s">
        <v>79</v>
      </c>
      <c r="G844" s="6" t="s">
        <v>154</v>
      </c>
      <c r="H844" s="2" t="s">
        <v>1522</v>
      </c>
      <c r="I844" s="2" t="s">
        <v>1469</v>
      </c>
      <c r="J844" s="2" t="s">
        <v>19</v>
      </c>
      <c r="K844" s="2" t="s">
        <v>495</v>
      </c>
      <c r="L844" s="7" t="str">
        <f t="shared" si="7"/>
        <v xml:space="preserve">http://slimages.macys.com/is/image/MCY/9957413 </v>
      </c>
    </row>
    <row r="845" spans="1:12" ht="24.75" x14ac:dyDescent="0.25">
      <c r="A845" s="4" t="s">
        <v>13466</v>
      </c>
      <c r="B845" s="2" t="s">
        <v>3122</v>
      </c>
      <c r="C845" s="3">
        <v>1</v>
      </c>
      <c r="D845" s="5">
        <v>14.99</v>
      </c>
      <c r="E845" s="3" t="s">
        <v>3123</v>
      </c>
      <c r="F845" s="2" t="s">
        <v>820</v>
      </c>
      <c r="G845" s="6" t="s">
        <v>181</v>
      </c>
      <c r="H845" s="2" t="s">
        <v>1522</v>
      </c>
      <c r="I845" s="2" t="s">
        <v>1469</v>
      </c>
      <c r="J845" s="2" t="s">
        <v>19</v>
      </c>
      <c r="K845" s="2" t="s">
        <v>495</v>
      </c>
      <c r="L845" s="7" t="str">
        <f t="shared" si="7"/>
        <v xml:space="preserve">http://slimages.macys.com/is/image/MCY/9957413 </v>
      </c>
    </row>
    <row r="846" spans="1:12" ht="24.75" x14ac:dyDescent="0.25">
      <c r="A846" s="4" t="s">
        <v>13467</v>
      </c>
      <c r="B846" s="2" t="s">
        <v>3122</v>
      </c>
      <c r="C846" s="3">
        <v>1</v>
      </c>
      <c r="D846" s="5">
        <v>14.99</v>
      </c>
      <c r="E846" s="3" t="s">
        <v>3123</v>
      </c>
      <c r="F846" s="2" t="s">
        <v>79</v>
      </c>
      <c r="G846" s="6" t="s">
        <v>245</v>
      </c>
      <c r="H846" s="2" t="s">
        <v>1522</v>
      </c>
      <c r="I846" s="2" t="s">
        <v>1469</v>
      </c>
      <c r="J846" s="2" t="s">
        <v>19</v>
      </c>
      <c r="K846" s="2" t="s">
        <v>495</v>
      </c>
      <c r="L846" s="7" t="str">
        <f t="shared" si="7"/>
        <v xml:space="preserve">http://slimages.macys.com/is/image/MCY/9957413 </v>
      </c>
    </row>
    <row r="847" spans="1:12" ht="24.75" x14ac:dyDescent="0.25">
      <c r="A847" s="4" t="s">
        <v>13468</v>
      </c>
      <c r="B847" s="2" t="s">
        <v>3122</v>
      </c>
      <c r="C847" s="3">
        <v>1</v>
      </c>
      <c r="D847" s="5">
        <v>14.99</v>
      </c>
      <c r="E847" s="3" t="s">
        <v>3123</v>
      </c>
      <c r="F847" s="2" t="s">
        <v>820</v>
      </c>
      <c r="G847" s="6" t="s">
        <v>245</v>
      </c>
      <c r="H847" s="2" t="s">
        <v>1522</v>
      </c>
      <c r="I847" s="2" t="s">
        <v>1469</v>
      </c>
      <c r="J847" s="2" t="s">
        <v>19</v>
      </c>
      <c r="K847" s="2" t="s">
        <v>495</v>
      </c>
      <c r="L847" s="7" t="str">
        <f t="shared" si="7"/>
        <v xml:space="preserve">http://slimages.macys.com/is/image/MCY/9957413 </v>
      </c>
    </row>
    <row r="848" spans="1:12" ht="24.75" x14ac:dyDescent="0.25">
      <c r="A848" s="4" t="s">
        <v>13469</v>
      </c>
      <c r="B848" s="2" t="s">
        <v>3122</v>
      </c>
      <c r="C848" s="3">
        <v>2</v>
      </c>
      <c r="D848" s="5">
        <v>14.99</v>
      </c>
      <c r="E848" s="3" t="s">
        <v>3123</v>
      </c>
      <c r="F848" s="2" t="s">
        <v>79</v>
      </c>
      <c r="G848" s="6" t="s">
        <v>156</v>
      </c>
      <c r="H848" s="2" t="s">
        <v>1522</v>
      </c>
      <c r="I848" s="2" t="s">
        <v>1469</v>
      </c>
      <c r="J848" s="2" t="s">
        <v>19</v>
      </c>
      <c r="K848" s="2" t="s">
        <v>495</v>
      </c>
      <c r="L848" s="7" t="str">
        <f t="shared" si="7"/>
        <v xml:space="preserve">http://slimages.macys.com/is/image/MCY/9957413 </v>
      </c>
    </row>
    <row r="849" spans="1:12" ht="24.75" x14ac:dyDescent="0.25">
      <c r="A849" s="4" t="s">
        <v>10287</v>
      </c>
      <c r="B849" s="2" t="s">
        <v>3122</v>
      </c>
      <c r="C849" s="3">
        <v>1</v>
      </c>
      <c r="D849" s="5">
        <v>14.99</v>
      </c>
      <c r="E849" s="3" t="s">
        <v>3123</v>
      </c>
      <c r="F849" s="2" t="s">
        <v>79</v>
      </c>
      <c r="G849" s="6" t="s">
        <v>234</v>
      </c>
      <c r="H849" s="2" t="s">
        <v>1522</v>
      </c>
      <c r="I849" s="2" t="s">
        <v>1469</v>
      </c>
      <c r="J849" s="2" t="s">
        <v>19</v>
      </c>
      <c r="K849" s="2" t="s">
        <v>495</v>
      </c>
      <c r="L849" s="7" t="str">
        <f t="shared" si="7"/>
        <v xml:space="preserve">http://slimages.macys.com/is/image/MCY/9957413 </v>
      </c>
    </row>
    <row r="850" spans="1:12" ht="24.75" x14ac:dyDescent="0.25">
      <c r="A850" s="4" t="s">
        <v>13470</v>
      </c>
      <c r="B850" s="2" t="s">
        <v>3122</v>
      </c>
      <c r="C850" s="3">
        <v>1</v>
      </c>
      <c r="D850" s="5">
        <v>14.99</v>
      </c>
      <c r="E850" s="3" t="s">
        <v>3123</v>
      </c>
      <c r="F850" s="2" t="s">
        <v>820</v>
      </c>
      <c r="G850" s="6" t="s">
        <v>156</v>
      </c>
      <c r="H850" s="2" t="s">
        <v>1522</v>
      </c>
      <c r="I850" s="2" t="s">
        <v>1469</v>
      </c>
      <c r="J850" s="2" t="s">
        <v>19</v>
      </c>
      <c r="K850" s="2" t="s">
        <v>495</v>
      </c>
      <c r="L850" s="7" t="str">
        <f t="shared" si="7"/>
        <v xml:space="preserve">http://slimages.macys.com/is/image/MCY/9957413 </v>
      </c>
    </row>
    <row r="851" spans="1:12" ht="24.75" x14ac:dyDescent="0.25">
      <c r="A851" s="4" t="s">
        <v>13471</v>
      </c>
      <c r="B851" s="2" t="s">
        <v>3122</v>
      </c>
      <c r="C851" s="3">
        <v>2</v>
      </c>
      <c r="D851" s="5">
        <v>14.99</v>
      </c>
      <c r="E851" s="3" t="s">
        <v>3123</v>
      </c>
      <c r="F851" s="2" t="s">
        <v>820</v>
      </c>
      <c r="G851" s="6" t="s">
        <v>234</v>
      </c>
      <c r="H851" s="2" t="s">
        <v>1522</v>
      </c>
      <c r="I851" s="2" t="s">
        <v>1469</v>
      </c>
      <c r="J851" s="2" t="s">
        <v>19</v>
      </c>
      <c r="K851" s="2" t="s">
        <v>495</v>
      </c>
      <c r="L851" s="7" t="str">
        <f t="shared" si="7"/>
        <v xml:space="preserve">http://slimages.macys.com/is/image/MCY/9957413 </v>
      </c>
    </row>
    <row r="852" spans="1:12" ht="24.75" x14ac:dyDescent="0.25">
      <c r="A852" s="4" t="s">
        <v>13472</v>
      </c>
      <c r="B852" s="2" t="s">
        <v>3122</v>
      </c>
      <c r="C852" s="3">
        <v>1</v>
      </c>
      <c r="D852" s="5">
        <v>14.99</v>
      </c>
      <c r="E852" s="3" t="s">
        <v>12552</v>
      </c>
      <c r="F852" s="2" t="s">
        <v>79</v>
      </c>
      <c r="G852" s="6" t="s">
        <v>187</v>
      </c>
      <c r="H852" s="2" t="s">
        <v>1425</v>
      </c>
      <c r="I852" s="2" t="s">
        <v>1469</v>
      </c>
      <c r="J852" s="2" t="s">
        <v>19</v>
      </c>
      <c r="K852" s="2" t="s">
        <v>495</v>
      </c>
      <c r="L852" s="7" t="str">
        <f>HYPERLINK("http://slimages.macys.com/is/image/MCY/9956506 ")</f>
        <v xml:space="preserve">http://slimages.macys.com/is/image/MCY/9956506 </v>
      </c>
    </row>
    <row r="853" spans="1:12" ht="24.75" x14ac:dyDescent="0.25">
      <c r="A853" s="4" t="s">
        <v>13473</v>
      </c>
      <c r="B853" s="2" t="s">
        <v>3122</v>
      </c>
      <c r="C853" s="3">
        <v>1</v>
      </c>
      <c r="D853" s="5">
        <v>14.99</v>
      </c>
      <c r="E853" s="3" t="s">
        <v>12552</v>
      </c>
      <c r="F853" s="2" t="s">
        <v>1614</v>
      </c>
      <c r="G853" s="6" t="s">
        <v>219</v>
      </c>
      <c r="H853" s="2" t="s">
        <v>1425</v>
      </c>
      <c r="I853" s="2" t="s">
        <v>1469</v>
      </c>
      <c r="J853" s="2" t="s">
        <v>19</v>
      </c>
      <c r="K853" s="2" t="s">
        <v>495</v>
      </c>
      <c r="L853" s="7" t="str">
        <f>HYPERLINK("http://slimages.macys.com/is/image/MCY/9956506 ")</f>
        <v xml:space="preserve">http://slimages.macys.com/is/image/MCY/9956506 </v>
      </c>
    </row>
    <row r="854" spans="1:12" ht="24.75" x14ac:dyDescent="0.25">
      <c r="A854" s="4" t="s">
        <v>13474</v>
      </c>
      <c r="B854" s="2" t="s">
        <v>3122</v>
      </c>
      <c r="C854" s="3">
        <v>1</v>
      </c>
      <c r="D854" s="5">
        <v>14.99</v>
      </c>
      <c r="E854" s="3" t="s">
        <v>12552</v>
      </c>
      <c r="F854" s="2" t="s">
        <v>79</v>
      </c>
      <c r="G854" s="6"/>
      <c r="H854" s="2" t="s">
        <v>1425</v>
      </c>
      <c r="I854" s="2" t="s">
        <v>1469</v>
      </c>
      <c r="J854" s="2" t="s">
        <v>19</v>
      </c>
      <c r="K854" s="2" t="s">
        <v>495</v>
      </c>
      <c r="L854" s="7" t="str">
        <f>HYPERLINK("http://slimages.macys.com/is/image/MCY/9956506 ")</f>
        <v xml:space="preserve">http://slimages.macys.com/is/image/MCY/9956506 </v>
      </c>
    </row>
    <row r="855" spans="1:12" ht="24.75" x14ac:dyDescent="0.25">
      <c r="A855" s="4" t="s">
        <v>13475</v>
      </c>
      <c r="B855" s="2" t="s">
        <v>3122</v>
      </c>
      <c r="C855" s="3">
        <v>1</v>
      </c>
      <c r="D855" s="5">
        <v>14.99</v>
      </c>
      <c r="E855" s="3" t="s">
        <v>12552</v>
      </c>
      <c r="F855" s="2" t="s">
        <v>79</v>
      </c>
      <c r="G855" s="6"/>
      <c r="H855" s="2" t="s">
        <v>1425</v>
      </c>
      <c r="I855" s="2" t="s">
        <v>1469</v>
      </c>
      <c r="J855" s="2" t="s">
        <v>19</v>
      </c>
      <c r="K855" s="2" t="s">
        <v>495</v>
      </c>
      <c r="L855" s="7" t="str">
        <f>HYPERLINK("http://slimages.macys.com/is/image/MCY/9956506 ")</f>
        <v xml:space="preserve">http://slimages.macys.com/is/image/MCY/9956506 </v>
      </c>
    </row>
    <row r="856" spans="1:12" ht="24.75" x14ac:dyDescent="0.25">
      <c r="A856" s="4" t="s">
        <v>13476</v>
      </c>
      <c r="B856" s="2" t="s">
        <v>3131</v>
      </c>
      <c r="C856" s="3">
        <v>1</v>
      </c>
      <c r="D856" s="5">
        <v>14.99</v>
      </c>
      <c r="E856" s="3" t="s">
        <v>13477</v>
      </c>
      <c r="F856" s="2" t="s">
        <v>94</v>
      </c>
      <c r="G856" s="6" t="s">
        <v>245</v>
      </c>
      <c r="H856" s="2" t="s">
        <v>1473</v>
      </c>
      <c r="I856" s="2" t="s">
        <v>1426</v>
      </c>
      <c r="J856" s="2" t="s">
        <v>19</v>
      </c>
      <c r="K856" s="2" t="s">
        <v>495</v>
      </c>
      <c r="L856" s="7" t="str">
        <f>HYPERLINK("http://slimages.macys.com/is/image/MCY/12673003 ")</f>
        <v xml:space="preserve">http://slimages.macys.com/is/image/MCY/12673003 </v>
      </c>
    </row>
    <row r="857" spans="1:12" ht="24.75" x14ac:dyDescent="0.25">
      <c r="A857" s="4" t="s">
        <v>13478</v>
      </c>
      <c r="B857" s="2" t="s">
        <v>3131</v>
      </c>
      <c r="C857" s="3">
        <v>1</v>
      </c>
      <c r="D857" s="5">
        <v>14.99</v>
      </c>
      <c r="E857" s="3" t="s">
        <v>13477</v>
      </c>
      <c r="F857" s="2" t="s">
        <v>94</v>
      </c>
      <c r="G857" s="6" t="s">
        <v>181</v>
      </c>
      <c r="H857" s="2" t="s">
        <v>1473</v>
      </c>
      <c r="I857" s="2" t="s">
        <v>1426</v>
      </c>
      <c r="J857" s="2" t="s">
        <v>19</v>
      </c>
      <c r="K857" s="2" t="s">
        <v>495</v>
      </c>
      <c r="L857" s="7" t="str">
        <f>HYPERLINK("http://slimages.macys.com/is/image/MCY/12673003 ")</f>
        <v xml:space="preserve">http://slimages.macys.com/is/image/MCY/12673003 </v>
      </c>
    </row>
    <row r="858" spans="1:12" ht="24.75" x14ac:dyDescent="0.25">
      <c r="A858" s="4" t="s">
        <v>13479</v>
      </c>
      <c r="B858" s="2" t="s">
        <v>3131</v>
      </c>
      <c r="C858" s="3">
        <v>1</v>
      </c>
      <c r="D858" s="5">
        <v>14.99</v>
      </c>
      <c r="E858" s="3" t="s">
        <v>3132</v>
      </c>
      <c r="F858" s="2" t="s">
        <v>94</v>
      </c>
      <c r="G858" s="6" t="s">
        <v>219</v>
      </c>
      <c r="H858" s="2" t="s">
        <v>1425</v>
      </c>
      <c r="I858" s="2" t="s">
        <v>1426</v>
      </c>
      <c r="J858" s="2" t="s">
        <v>19</v>
      </c>
      <c r="K858" s="2" t="s">
        <v>495</v>
      </c>
      <c r="L858" s="7" t="str">
        <f>HYPERLINK("http://slimages.macys.com/is/image/MCY/12673003 ")</f>
        <v xml:space="preserve">http://slimages.macys.com/is/image/MCY/12673003 </v>
      </c>
    </row>
    <row r="859" spans="1:12" ht="24.75" x14ac:dyDescent="0.25">
      <c r="A859" s="4" t="s">
        <v>13480</v>
      </c>
      <c r="B859" s="2" t="s">
        <v>6160</v>
      </c>
      <c r="C859" s="3">
        <v>1</v>
      </c>
      <c r="D859" s="5">
        <v>14.99</v>
      </c>
      <c r="E859" s="3" t="s">
        <v>11369</v>
      </c>
      <c r="F859" s="2" t="s">
        <v>70</v>
      </c>
      <c r="G859" s="6" t="s">
        <v>156</v>
      </c>
      <c r="H859" s="2" t="s">
        <v>1473</v>
      </c>
      <c r="I859" s="2" t="s">
        <v>1426</v>
      </c>
      <c r="J859" s="2" t="s">
        <v>19</v>
      </c>
      <c r="K859" s="2" t="s">
        <v>495</v>
      </c>
      <c r="L859" s="7" t="str">
        <f>HYPERLINK("http://slimages.macys.com/is/image/MCY/12033478 ")</f>
        <v xml:space="preserve">http://slimages.macys.com/is/image/MCY/12033478 </v>
      </c>
    </row>
    <row r="860" spans="1:12" ht="24.75" x14ac:dyDescent="0.25">
      <c r="A860" s="4" t="s">
        <v>12556</v>
      </c>
      <c r="B860" s="2" t="s">
        <v>6160</v>
      </c>
      <c r="C860" s="3">
        <v>1</v>
      </c>
      <c r="D860" s="5">
        <v>14.99</v>
      </c>
      <c r="E860" s="3" t="s">
        <v>11369</v>
      </c>
      <c r="F860" s="2" t="s">
        <v>70</v>
      </c>
      <c r="G860" s="6" t="s">
        <v>234</v>
      </c>
      <c r="H860" s="2" t="s">
        <v>1473</v>
      </c>
      <c r="I860" s="2" t="s">
        <v>1426</v>
      </c>
      <c r="J860" s="2" t="s">
        <v>19</v>
      </c>
      <c r="K860" s="2" t="s">
        <v>495</v>
      </c>
      <c r="L860" s="7" t="str">
        <f>HYPERLINK("http://slimages.macys.com/is/image/MCY/12033478 ")</f>
        <v xml:space="preserve">http://slimages.macys.com/is/image/MCY/12033478 </v>
      </c>
    </row>
    <row r="861" spans="1:12" ht="24.75" x14ac:dyDescent="0.25">
      <c r="A861" s="4" t="s">
        <v>3154</v>
      </c>
      <c r="B861" s="2" t="s">
        <v>3155</v>
      </c>
      <c r="C861" s="3">
        <v>1</v>
      </c>
      <c r="D861" s="5">
        <v>14.99</v>
      </c>
      <c r="E861" s="3" t="s">
        <v>3156</v>
      </c>
      <c r="F861" s="2" t="s">
        <v>413</v>
      </c>
      <c r="G861" s="6" t="s">
        <v>154</v>
      </c>
      <c r="H861" s="2" t="s">
        <v>1473</v>
      </c>
      <c r="I861" s="2" t="s">
        <v>1426</v>
      </c>
      <c r="J861" s="2" t="s">
        <v>19</v>
      </c>
      <c r="K861" s="2" t="s">
        <v>495</v>
      </c>
      <c r="L861" s="7" t="str">
        <f>HYPERLINK("http://slimages.macys.com/is/image/MCY/11832049 ")</f>
        <v xml:space="preserve">http://slimages.macys.com/is/image/MCY/11832049 </v>
      </c>
    </row>
    <row r="862" spans="1:12" ht="24.75" x14ac:dyDescent="0.25">
      <c r="A862" s="4" t="s">
        <v>13481</v>
      </c>
      <c r="B862" s="2" t="s">
        <v>3155</v>
      </c>
      <c r="C862" s="3">
        <v>1</v>
      </c>
      <c r="D862" s="5">
        <v>14.99</v>
      </c>
      <c r="E862" s="3" t="s">
        <v>3156</v>
      </c>
      <c r="F862" s="2" t="s">
        <v>413</v>
      </c>
      <c r="G862" s="6" t="s">
        <v>234</v>
      </c>
      <c r="H862" s="2" t="s">
        <v>1473</v>
      </c>
      <c r="I862" s="2" t="s">
        <v>1426</v>
      </c>
      <c r="J862" s="2" t="s">
        <v>19</v>
      </c>
      <c r="K862" s="2" t="s">
        <v>495</v>
      </c>
      <c r="L862" s="7" t="str">
        <f>HYPERLINK("http://slimages.macys.com/is/image/MCY/11832049 ")</f>
        <v xml:space="preserve">http://slimages.macys.com/is/image/MCY/11832049 </v>
      </c>
    </row>
    <row r="863" spans="1:12" ht="24.75" x14ac:dyDescent="0.25">
      <c r="A863" s="4" t="s">
        <v>13482</v>
      </c>
      <c r="B863" s="2" t="s">
        <v>3155</v>
      </c>
      <c r="C863" s="3">
        <v>1</v>
      </c>
      <c r="D863" s="5">
        <v>14.99</v>
      </c>
      <c r="E863" s="3" t="s">
        <v>3156</v>
      </c>
      <c r="F863" s="2" t="s">
        <v>413</v>
      </c>
      <c r="G863" s="6" t="s">
        <v>156</v>
      </c>
      <c r="H863" s="2" t="s">
        <v>1473</v>
      </c>
      <c r="I863" s="2" t="s">
        <v>1426</v>
      </c>
      <c r="J863" s="2" t="s">
        <v>19</v>
      </c>
      <c r="K863" s="2" t="s">
        <v>495</v>
      </c>
      <c r="L863" s="7" t="str">
        <f>HYPERLINK("http://slimages.macys.com/is/image/MCY/11832049 ")</f>
        <v xml:space="preserve">http://slimages.macys.com/is/image/MCY/11832049 </v>
      </c>
    </row>
    <row r="864" spans="1:12" ht="24.75" x14ac:dyDescent="0.25">
      <c r="A864" s="4" t="s">
        <v>13483</v>
      </c>
      <c r="B864" s="2" t="s">
        <v>13484</v>
      </c>
      <c r="C864" s="3">
        <v>1</v>
      </c>
      <c r="D864" s="5">
        <v>14.99</v>
      </c>
      <c r="E864" s="3" t="s">
        <v>13485</v>
      </c>
      <c r="F864" s="2" t="s">
        <v>417</v>
      </c>
      <c r="G864" s="6"/>
      <c r="H864" s="2" t="s">
        <v>1425</v>
      </c>
      <c r="I864" s="2" t="s">
        <v>1426</v>
      </c>
      <c r="J864" s="2" t="s">
        <v>19</v>
      </c>
      <c r="K864" s="2" t="s">
        <v>495</v>
      </c>
      <c r="L864" s="7" t="str">
        <f>HYPERLINK("http://slimages.macys.com/is/image/MCY/10264237 ")</f>
        <v xml:space="preserve">http://slimages.macys.com/is/image/MCY/10264237 </v>
      </c>
    </row>
    <row r="865" spans="1:12" ht="24.75" x14ac:dyDescent="0.25">
      <c r="A865" s="4" t="s">
        <v>1956</v>
      </c>
      <c r="B865" s="2" t="s">
        <v>1954</v>
      </c>
      <c r="C865" s="3">
        <v>1</v>
      </c>
      <c r="D865" s="5">
        <v>18.38</v>
      </c>
      <c r="E865" s="3" t="s">
        <v>1957</v>
      </c>
      <c r="F865" s="2" t="s">
        <v>15</v>
      </c>
      <c r="G865" s="6" t="s">
        <v>156</v>
      </c>
      <c r="H865" s="2" t="s">
        <v>194</v>
      </c>
      <c r="I865" s="2" t="s">
        <v>195</v>
      </c>
      <c r="J865" s="2" t="s">
        <v>19</v>
      </c>
      <c r="K865" s="2" t="s">
        <v>1108</v>
      </c>
      <c r="L865" s="7" t="str">
        <f>HYPERLINK("http://slimages.macys.com/is/image/MCY/13120664 ")</f>
        <v xml:space="preserve">http://slimages.macys.com/is/image/MCY/13120664 </v>
      </c>
    </row>
    <row r="866" spans="1:12" ht="24.75" x14ac:dyDescent="0.25">
      <c r="A866" s="4" t="s">
        <v>11383</v>
      </c>
      <c r="B866" s="2" t="s">
        <v>1954</v>
      </c>
      <c r="C866" s="3">
        <v>1</v>
      </c>
      <c r="D866" s="5">
        <v>18.38</v>
      </c>
      <c r="E866" s="3" t="s">
        <v>11382</v>
      </c>
      <c r="F866" s="2" t="s">
        <v>170</v>
      </c>
      <c r="G866" s="6" t="s">
        <v>181</v>
      </c>
      <c r="H866" s="2" t="s">
        <v>194</v>
      </c>
      <c r="I866" s="2" t="s">
        <v>195</v>
      </c>
      <c r="J866" s="2" t="s">
        <v>19</v>
      </c>
      <c r="K866" s="2" t="s">
        <v>1108</v>
      </c>
      <c r="L866" s="7" t="str">
        <f>HYPERLINK("http://slimages.macys.com/is/image/MCY/13120664 ")</f>
        <v xml:space="preserve">http://slimages.macys.com/is/image/MCY/13120664 </v>
      </c>
    </row>
    <row r="867" spans="1:12" ht="24.75" x14ac:dyDescent="0.25">
      <c r="A867" s="4" t="s">
        <v>13486</v>
      </c>
      <c r="B867" s="2" t="s">
        <v>1954</v>
      </c>
      <c r="C867" s="3">
        <v>1</v>
      </c>
      <c r="D867" s="5">
        <v>18.38</v>
      </c>
      <c r="E867" s="3" t="s">
        <v>11382</v>
      </c>
      <c r="F867" s="2" t="s">
        <v>170</v>
      </c>
      <c r="G867" s="6" t="s">
        <v>154</v>
      </c>
      <c r="H867" s="2" t="s">
        <v>194</v>
      </c>
      <c r="I867" s="2" t="s">
        <v>195</v>
      </c>
      <c r="J867" s="2" t="s">
        <v>19</v>
      </c>
      <c r="K867" s="2" t="s">
        <v>1108</v>
      </c>
      <c r="L867" s="7" t="str">
        <f>HYPERLINK("http://slimages.macys.com/is/image/MCY/13120664 ")</f>
        <v xml:space="preserve">http://slimages.macys.com/is/image/MCY/13120664 </v>
      </c>
    </row>
    <row r="868" spans="1:12" ht="24.75" x14ac:dyDescent="0.25">
      <c r="A868" s="4" t="s">
        <v>10291</v>
      </c>
      <c r="B868" s="2" t="s">
        <v>3216</v>
      </c>
      <c r="C868" s="3">
        <v>1</v>
      </c>
      <c r="D868" s="5">
        <v>26.99</v>
      </c>
      <c r="E868" s="3" t="s">
        <v>10292</v>
      </c>
      <c r="F868" s="2" t="s">
        <v>676</v>
      </c>
      <c r="G868" s="6" t="s">
        <v>348</v>
      </c>
      <c r="H868" s="2" t="s">
        <v>349</v>
      </c>
      <c r="I868" s="2" t="s">
        <v>285</v>
      </c>
      <c r="J868" s="2" t="s">
        <v>19</v>
      </c>
      <c r="K868" s="2" t="s">
        <v>247</v>
      </c>
      <c r="L868" s="7" t="str">
        <f>HYPERLINK("http://slimages.macys.com/is/image/MCY/13934435 ")</f>
        <v xml:space="preserve">http://slimages.macys.com/is/image/MCY/13934435 </v>
      </c>
    </row>
    <row r="869" spans="1:12" ht="24.75" x14ac:dyDescent="0.25">
      <c r="A869" s="4" t="s">
        <v>13487</v>
      </c>
      <c r="B869" s="2" t="s">
        <v>1937</v>
      </c>
      <c r="C869" s="3">
        <v>1</v>
      </c>
      <c r="D869" s="5">
        <v>19.989999999999998</v>
      </c>
      <c r="E869" s="3" t="s">
        <v>1938</v>
      </c>
      <c r="F869" s="2" t="s">
        <v>15</v>
      </c>
      <c r="G869" s="6" t="s">
        <v>234</v>
      </c>
      <c r="H869" s="2" t="s">
        <v>246</v>
      </c>
      <c r="I869" s="2" t="s">
        <v>1939</v>
      </c>
      <c r="J869" s="2" t="s">
        <v>19</v>
      </c>
      <c r="K869" s="2" t="s">
        <v>1940</v>
      </c>
      <c r="L869" s="7" t="str">
        <f>HYPERLINK("http://slimages.macys.com/is/image/MCY/11523112 ")</f>
        <v xml:space="preserve">http://slimages.macys.com/is/image/MCY/11523112 </v>
      </c>
    </row>
    <row r="870" spans="1:12" ht="24.75" x14ac:dyDescent="0.25">
      <c r="A870" s="4" t="s">
        <v>13488</v>
      </c>
      <c r="B870" s="2" t="s">
        <v>1937</v>
      </c>
      <c r="C870" s="3">
        <v>1</v>
      </c>
      <c r="D870" s="5">
        <v>19.989999999999998</v>
      </c>
      <c r="E870" s="3" t="s">
        <v>1938</v>
      </c>
      <c r="F870" s="2" t="s">
        <v>15</v>
      </c>
      <c r="G870" s="6" t="s">
        <v>154</v>
      </c>
      <c r="H870" s="2" t="s">
        <v>246</v>
      </c>
      <c r="I870" s="2" t="s">
        <v>1939</v>
      </c>
      <c r="J870" s="2" t="s">
        <v>19</v>
      </c>
      <c r="K870" s="2" t="s">
        <v>1940</v>
      </c>
      <c r="L870" s="7" t="str">
        <f>HYPERLINK("http://slimages.macys.com/is/image/MCY/11523112 ")</f>
        <v xml:space="preserve">http://slimages.macys.com/is/image/MCY/11523112 </v>
      </c>
    </row>
    <row r="871" spans="1:12" ht="24.75" x14ac:dyDescent="0.25">
      <c r="A871" s="4" t="s">
        <v>13489</v>
      </c>
      <c r="B871" s="2" t="s">
        <v>2068</v>
      </c>
      <c r="C871" s="3">
        <v>1</v>
      </c>
      <c r="D871" s="5">
        <v>12.99</v>
      </c>
      <c r="E871" s="3" t="s">
        <v>2069</v>
      </c>
      <c r="F871" s="2" t="s">
        <v>3267</v>
      </c>
      <c r="G871" s="6" t="s">
        <v>234</v>
      </c>
      <c r="H871" s="2" t="s">
        <v>194</v>
      </c>
      <c r="I871" s="2" t="s">
        <v>195</v>
      </c>
      <c r="J871" s="2" t="s">
        <v>19</v>
      </c>
      <c r="K871" s="2" t="s">
        <v>648</v>
      </c>
      <c r="L871" s="7" t="str">
        <f>HYPERLINK("http://slimages.macys.com/is/image/MCY/12316464 ")</f>
        <v xml:space="preserve">http://slimages.macys.com/is/image/MCY/12316464 </v>
      </c>
    </row>
    <row r="872" spans="1:12" ht="24.75" x14ac:dyDescent="0.25">
      <c r="A872" s="4" t="s">
        <v>13490</v>
      </c>
      <c r="B872" s="2" t="s">
        <v>2068</v>
      </c>
      <c r="C872" s="3">
        <v>3</v>
      </c>
      <c r="D872" s="5">
        <v>12.99</v>
      </c>
      <c r="E872" s="3" t="s">
        <v>2069</v>
      </c>
      <c r="F872" s="2" t="s">
        <v>3267</v>
      </c>
      <c r="G872" s="6" t="s">
        <v>181</v>
      </c>
      <c r="H872" s="2" t="s">
        <v>194</v>
      </c>
      <c r="I872" s="2" t="s">
        <v>195</v>
      </c>
      <c r="J872" s="2" t="s">
        <v>19</v>
      </c>
      <c r="K872" s="2" t="s">
        <v>648</v>
      </c>
      <c r="L872" s="7" t="str">
        <f>HYPERLINK("http://slimages.macys.com/is/image/MCY/12316464 ")</f>
        <v xml:space="preserve">http://slimages.macys.com/is/image/MCY/12316464 </v>
      </c>
    </row>
    <row r="873" spans="1:12" ht="24.75" x14ac:dyDescent="0.25">
      <c r="A873" s="4" t="s">
        <v>13491</v>
      </c>
      <c r="B873" s="2" t="s">
        <v>2068</v>
      </c>
      <c r="C873" s="3">
        <v>2</v>
      </c>
      <c r="D873" s="5">
        <v>12.99</v>
      </c>
      <c r="E873" s="3" t="s">
        <v>2069</v>
      </c>
      <c r="F873" s="2" t="s">
        <v>3267</v>
      </c>
      <c r="G873" s="6" t="s">
        <v>154</v>
      </c>
      <c r="H873" s="2" t="s">
        <v>194</v>
      </c>
      <c r="I873" s="2" t="s">
        <v>195</v>
      </c>
      <c r="J873" s="2" t="s">
        <v>19</v>
      </c>
      <c r="K873" s="2" t="s">
        <v>648</v>
      </c>
      <c r="L873" s="7" t="str">
        <f>HYPERLINK("http://slimages.macys.com/is/image/MCY/12316464 ")</f>
        <v xml:space="preserve">http://slimages.macys.com/is/image/MCY/12316464 </v>
      </c>
    </row>
    <row r="874" spans="1:12" ht="24.75" x14ac:dyDescent="0.25">
      <c r="A874" s="4" t="s">
        <v>13492</v>
      </c>
      <c r="B874" s="2" t="s">
        <v>6890</v>
      </c>
      <c r="C874" s="3">
        <v>1</v>
      </c>
      <c r="D874" s="5">
        <v>19.989999999999998</v>
      </c>
      <c r="E874" s="3" t="s">
        <v>11392</v>
      </c>
      <c r="F874" s="2" t="s">
        <v>170</v>
      </c>
      <c r="G874" s="6" t="s">
        <v>234</v>
      </c>
      <c r="H874" s="2" t="s">
        <v>246</v>
      </c>
      <c r="I874" s="2" t="s">
        <v>1939</v>
      </c>
      <c r="J874" s="2" t="s">
        <v>19</v>
      </c>
      <c r="K874" s="2" t="s">
        <v>648</v>
      </c>
      <c r="L874" s="7" t="str">
        <f>HYPERLINK("http://slimages.macys.com/is/image/MCY/12894550 ")</f>
        <v xml:space="preserve">http://slimages.macys.com/is/image/MCY/12894550 </v>
      </c>
    </row>
    <row r="875" spans="1:12" ht="24.75" x14ac:dyDescent="0.25">
      <c r="A875" s="4" t="s">
        <v>13493</v>
      </c>
      <c r="B875" s="2" t="s">
        <v>1962</v>
      </c>
      <c r="C875" s="3">
        <v>1</v>
      </c>
      <c r="D875" s="5">
        <v>21.99</v>
      </c>
      <c r="E875" s="3">
        <v>100017611</v>
      </c>
      <c r="F875" s="2" t="s">
        <v>413</v>
      </c>
      <c r="G875" s="6" t="s">
        <v>154</v>
      </c>
      <c r="H875" s="2" t="s">
        <v>284</v>
      </c>
      <c r="I875" s="2" t="s">
        <v>285</v>
      </c>
      <c r="J875" s="2" t="s">
        <v>19</v>
      </c>
      <c r="K875" s="2" t="s">
        <v>247</v>
      </c>
      <c r="L875" s="7" t="str">
        <f>HYPERLINK("http://slimages.macys.com/is/image/MCY/14013654 ")</f>
        <v xml:space="preserve">http://slimages.macys.com/is/image/MCY/14013654 </v>
      </c>
    </row>
    <row r="876" spans="1:12" ht="24.75" x14ac:dyDescent="0.25">
      <c r="A876" s="4" t="s">
        <v>13494</v>
      </c>
      <c r="B876" s="2" t="s">
        <v>1962</v>
      </c>
      <c r="C876" s="3">
        <v>1</v>
      </c>
      <c r="D876" s="5">
        <v>21.99</v>
      </c>
      <c r="E876" s="3">
        <v>100017611</v>
      </c>
      <c r="F876" s="2" t="s">
        <v>676</v>
      </c>
      <c r="G876" s="6" t="s">
        <v>154</v>
      </c>
      <c r="H876" s="2" t="s">
        <v>284</v>
      </c>
      <c r="I876" s="2" t="s">
        <v>285</v>
      </c>
      <c r="J876" s="2" t="s">
        <v>19</v>
      </c>
      <c r="K876" s="2" t="s">
        <v>247</v>
      </c>
      <c r="L876" s="7" t="str">
        <f>HYPERLINK("http://slimages.macys.com/is/image/MCY/14013654 ")</f>
        <v xml:space="preserve">http://slimages.macys.com/is/image/MCY/14013654 </v>
      </c>
    </row>
    <row r="877" spans="1:12" ht="24.75" x14ac:dyDescent="0.25">
      <c r="A877" s="4" t="s">
        <v>13495</v>
      </c>
      <c r="B877" s="2" t="s">
        <v>1962</v>
      </c>
      <c r="C877" s="3">
        <v>2</v>
      </c>
      <c r="D877" s="5">
        <v>21.99</v>
      </c>
      <c r="E877" s="3">
        <v>100017611</v>
      </c>
      <c r="F877" s="2" t="s">
        <v>413</v>
      </c>
      <c r="G877" s="6" t="s">
        <v>181</v>
      </c>
      <c r="H877" s="2" t="s">
        <v>284</v>
      </c>
      <c r="I877" s="2" t="s">
        <v>285</v>
      </c>
      <c r="J877" s="2" t="s">
        <v>19</v>
      </c>
      <c r="K877" s="2" t="s">
        <v>247</v>
      </c>
      <c r="L877" s="7" t="str">
        <f>HYPERLINK("http://slimages.macys.com/is/image/MCY/14013654 ")</f>
        <v xml:space="preserve">http://slimages.macys.com/is/image/MCY/14013654 </v>
      </c>
    </row>
    <row r="878" spans="1:12" ht="24.75" x14ac:dyDescent="0.25">
      <c r="A878" s="4" t="s">
        <v>13496</v>
      </c>
      <c r="B878" s="2" t="s">
        <v>1962</v>
      </c>
      <c r="C878" s="3">
        <v>1</v>
      </c>
      <c r="D878" s="5">
        <v>21.99</v>
      </c>
      <c r="E878" s="3">
        <v>100017611</v>
      </c>
      <c r="F878" s="2" t="s">
        <v>413</v>
      </c>
      <c r="G878" s="6" t="s">
        <v>234</v>
      </c>
      <c r="H878" s="2" t="s">
        <v>284</v>
      </c>
      <c r="I878" s="2" t="s">
        <v>285</v>
      </c>
      <c r="J878" s="2" t="s">
        <v>19</v>
      </c>
      <c r="K878" s="2" t="s">
        <v>247</v>
      </c>
      <c r="L878" s="7" t="str">
        <f>HYPERLINK("http://slimages.macys.com/is/image/MCY/14013654 ")</f>
        <v xml:space="preserve">http://slimages.macys.com/is/image/MCY/14013654 </v>
      </c>
    </row>
    <row r="879" spans="1:12" ht="24.75" x14ac:dyDescent="0.25">
      <c r="A879" s="4" t="s">
        <v>13497</v>
      </c>
      <c r="B879" s="2" t="s">
        <v>3026</v>
      </c>
      <c r="C879" s="3">
        <v>1</v>
      </c>
      <c r="D879" s="5">
        <v>21.99</v>
      </c>
      <c r="E879" s="3" t="s">
        <v>13498</v>
      </c>
      <c r="F879" s="2" t="s">
        <v>111</v>
      </c>
      <c r="G879" s="6" t="s">
        <v>154</v>
      </c>
      <c r="H879" s="2" t="s">
        <v>284</v>
      </c>
      <c r="I879" s="2" t="s">
        <v>285</v>
      </c>
      <c r="J879" s="2" t="s">
        <v>19</v>
      </c>
      <c r="K879" s="2" t="s">
        <v>247</v>
      </c>
      <c r="L879" s="7" t="str">
        <f>HYPERLINK("http://slimages.macys.com/is/image/MCY/9972026 ")</f>
        <v xml:space="preserve">http://slimages.macys.com/is/image/MCY/9972026 </v>
      </c>
    </row>
    <row r="880" spans="1:12" ht="24.75" x14ac:dyDescent="0.25">
      <c r="A880" s="4" t="s">
        <v>13499</v>
      </c>
      <c r="B880" s="2" t="s">
        <v>3026</v>
      </c>
      <c r="C880" s="3">
        <v>1</v>
      </c>
      <c r="D880" s="5">
        <v>21.99</v>
      </c>
      <c r="E880" s="3" t="s">
        <v>13500</v>
      </c>
      <c r="F880" s="2" t="s">
        <v>94</v>
      </c>
      <c r="G880" s="6" t="s">
        <v>154</v>
      </c>
      <c r="H880" s="2" t="s">
        <v>284</v>
      </c>
      <c r="I880" s="2" t="s">
        <v>285</v>
      </c>
      <c r="J880" s="2" t="s">
        <v>19</v>
      </c>
      <c r="K880" s="2" t="s">
        <v>247</v>
      </c>
      <c r="L880" s="7" t="str">
        <f>HYPERLINK("http://slimages.macys.com/is/image/MCY/9972026 ")</f>
        <v xml:space="preserve">http://slimages.macys.com/is/image/MCY/9972026 </v>
      </c>
    </row>
    <row r="881" spans="1:12" ht="24.75" x14ac:dyDescent="0.25">
      <c r="A881" s="4" t="s">
        <v>13501</v>
      </c>
      <c r="B881" s="2" t="s">
        <v>1970</v>
      </c>
      <c r="C881" s="3">
        <v>1</v>
      </c>
      <c r="D881" s="5">
        <v>14.99</v>
      </c>
      <c r="E881" s="3" t="s">
        <v>1971</v>
      </c>
      <c r="F881" s="2" t="s">
        <v>33</v>
      </c>
      <c r="G881" s="6" t="s">
        <v>154</v>
      </c>
      <c r="H881" s="2" t="s">
        <v>1522</v>
      </c>
      <c r="I881" s="2" t="s">
        <v>1469</v>
      </c>
      <c r="J881" s="2" t="s">
        <v>19</v>
      </c>
      <c r="K881" s="2" t="s">
        <v>353</v>
      </c>
      <c r="L881" s="7" t="str">
        <f>HYPERLINK("http://slimages.macys.com/is/image/MCY/13741861 ")</f>
        <v xml:space="preserve">http://slimages.macys.com/is/image/MCY/13741861 </v>
      </c>
    </row>
    <row r="882" spans="1:12" ht="24.75" x14ac:dyDescent="0.25">
      <c r="A882" s="4" t="s">
        <v>1982</v>
      </c>
      <c r="B882" s="2" t="s">
        <v>1973</v>
      </c>
      <c r="C882" s="3">
        <v>1</v>
      </c>
      <c r="D882" s="5">
        <v>16.989999999999998</v>
      </c>
      <c r="E882" s="3" t="s">
        <v>1974</v>
      </c>
      <c r="F882" s="2" t="s">
        <v>74</v>
      </c>
      <c r="G882" s="6" t="s">
        <v>156</v>
      </c>
      <c r="H882" s="2" t="s">
        <v>1473</v>
      </c>
      <c r="I882" s="2" t="s">
        <v>1864</v>
      </c>
      <c r="J882" s="2" t="s">
        <v>19</v>
      </c>
      <c r="K882" s="2" t="s">
        <v>648</v>
      </c>
      <c r="L882" s="7" t="str">
        <f>HYPERLINK("http://slimages.macys.com/is/image/MCY/11634794 ")</f>
        <v xml:space="preserve">http://slimages.macys.com/is/image/MCY/11634794 </v>
      </c>
    </row>
    <row r="883" spans="1:12" ht="24.75" x14ac:dyDescent="0.25">
      <c r="A883" s="4" t="s">
        <v>13502</v>
      </c>
      <c r="B883" s="2" t="s">
        <v>1973</v>
      </c>
      <c r="C883" s="3">
        <v>1</v>
      </c>
      <c r="D883" s="5">
        <v>16.989999999999998</v>
      </c>
      <c r="E883" s="3" t="s">
        <v>1976</v>
      </c>
      <c r="F883" s="2" t="s">
        <v>74</v>
      </c>
      <c r="G883" s="6"/>
      <c r="H883" s="2" t="s">
        <v>1425</v>
      </c>
      <c r="I883" s="2" t="s">
        <v>1864</v>
      </c>
      <c r="J883" s="2" t="s">
        <v>19</v>
      </c>
      <c r="K883" s="2" t="s">
        <v>648</v>
      </c>
      <c r="L883" s="7" t="str">
        <f>HYPERLINK("http://slimages.macys.com/is/image/MCY/11634785 ")</f>
        <v xml:space="preserve">http://slimages.macys.com/is/image/MCY/11634785 </v>
      </c>
    </row>
    <row r="884" spans="1:12" ht="24.75" x14ac:dyDescent="0.25">
      <c r="A884" s="4" t="s">
        <v>13503</v>
      </c>
      <c r="B884" s="2" t="s">
        <v>1988</v>
      </c>
      <c r="C884" s="3">
        <v>1</v>
      </c>
      <c r="D884" s="5">
        <v>14.99</v>
      </c>
      <c r="E884" s="3" t="s">
        <v>1991</v>
      </c>
      <c r="F884" s="2" t="s">
        <v>136</v>
      </c>
      <c r="G884" s="6" t="s">
        <v>200</v>
      </c>
      <c r="H884" s="2" t="s">
        <v>1473</v>
      </c>
      <c r="I884" s="2" t="s">
        <v>1426</v>
      </c>
      <c r="J884" s="2" t="s">
        <v>19</v>
      </c>
      <c r="K884" s="2" t="s">
        <v>648</v>
      </c>
      <c r="L884" s="7" t="str">
        <f>HYPERLINK("http://slimages.macys.com/is/image/MCY/12767912 ")</f>
        <v xml:space="preserve">http://slimages.macys.com/is/image/MCY/12767912 </v>
      </c>
    </row>
    <row r="885" spans="1:12" ht="24.75" x14ac:dyDescent="0.25">
      <c r="A885" s="4" t="s">
        <v>4233</v>
      </c>
      <c r="B885" s="2" t="s">
        <v>1988</v>
      </c>
      <c r="C885" s="3">
        <v>1</v>
      </c>
      <c r="D885" s="5">
        <v>14.99</v>
      </c>
      <c r="E885" s="3" t="s">
        <v>1991</v>
      </c>
      <c r="F885" s="2"/>
      <c r="G885" s="6" t="s">
        <v>154</v>
      </c>
      <c r="H885" s="2" t="s">
        <v>1473</v>
      </c>
      <c r="I885" s="2" t="s">
        <v>1426</v>
      </c>
      <c r="J885" s="2" t="s">
        <v>19</v>
      </c>
      <c r="K885" s="2" t="s">
        <v>648</v>
      </c>
      <c r="L885" s="7" t="str">
        <f>HYPERLINK("http://slimages.macys.com/is/image/MCY/12767912 ")</f>
        <v xml:space="preserve">http://slimages.macys.com/is/image/MCY/12767912 </v>
      </c>
    </row>
    <row r="886" spans="1:12" ht="24.75" x14ac:dyDescent="0.25">
      <c r="A886" s="4" t="s">
        <v>11406</v>
      </c>
      <c r="B886" s="2" t="s">
        <v>1988</v>
      </c>
      <c r="C886" s="3">
        <v>1</v>
      </c>
      <c r="D886" s="5">
        <v>14.99</v>
      </c>
      <c r="E886" s="3" t="s">
        <v>1991</v>
      </c>
      <c r="F886" s="2" t="s">
        <v>94</v>
      </c>
      <c r="G886" s="6" t="s">
        <v>181</v>
      </c>
      <c r="H886" s="2" t="s">
        <v>1473</v>
      </c>
      <c r="I886" s="2" t="s">
        <v>1426</v>
      </c>
      <c r="J886" s="2" t="s">
        <v>19</v>
      </c>
      <c r="K886" s="2" t="s">
        <v>648</v>
      </c>
      <c r="L886" s="7" t="str">
        <f>HYPERLINK("http://slimages.macys.com/is/image/MCY/12767912 ")</f>
        <v xml:space="preserve">http://slimages.macys.com/is/image/MCY/12767912 </v>
      </c>
    </row>
    <row r="887" spans="1:12" ht="24.75" x14ac:dyDescent="0.25">
      <c r="A887" s="4" t="s">
        <v>12575</v>
      </c>
      <c r="B887" s="2" t="s">
        <v>3026</v>
      </c>
      <c r="C887" s="3">
        <v>1</v>
      </c>
      <c r="D887" s="5">
        <v>21.99</v>
      </c>
      <c r="E887" s="3" t="s">
        <v>12576</v>
      </c>
      <c r="F887" s="2" t="s">
        <v>413</v>
      </c>
      <c r="G887" s="6" t="s">
        <v>156</v>
      </c>
      <c r="H887" s="2" t="s">
        <v>284</v>
      </c>
      <c r="I887" s="2" t="s">
        <v>285</v>
      </c>
      <c r="J887" s="2" t="s">
        <v>19</v>
      </c>
      <c r="K887" s="2" t="s">
        <v>247</v>
      </c>
      <c r="L887" s="7" t="str">
        <f>HYPERLINK("http://slimages.macys.com/is/image/MCY/9972026 ")</f>
        <v xml:space="preserve">http://slimages.macys.com/is/image/MCY/9972026 </v>
      </c>
    </row>
    <row r="888" spans="1:12" ht="24.75" x14ac:dyDescent="0.25">
      <c r="A888" s="4" t="s">
        <v>11404</v>
      </c>
      <c r="B888" s="2" t="s">
        <v>1988</v>
      </c>
      <c r="C888" s="3">
        <v>3</v>
      </c>
      <c r="D888" s="5">
        <v>14.99</v>
      </c>
      <c r="E888" s="3" t="s">
        <v>1991</v>
      </c>
      <c r="F888" s="2" t="s">
        <v>64</v>
      </c>
      <c r="G888" s="6" t="s">
        <v>154</v>
      </c>
      <c r="H888" s="2" t="s">
        <v>1473</v>
      </c>
      <c r="I888" s="2" t="s">
        <v>1426</v>
      </c>
      <c r="J888" s="2" t="s">
        <v>19</v>
      </c>
      <c r="K888" s="2" t="s">
        <v>648</v>
      </c>
      <c r="L888" s="7" t="str">
        <f>HYPERLINK("http://slimages.macys.com/is/image/MCY/12767912 ")</f>
        <v xml:space="preserve">http://slimages.macys.com/is/image/MCY/12767912 </v>
      </c>
    </row>
    <row r="889" spans="1:12" ht="24.75" x14ac:dyDescent="0.25">
      <c r="A889" s="4" t="s">
        <v>13504</v>
      </c>
      <c r="B889" s="2" t="s">
        <v>1988</v>
      </c>
      <c r="C889" s="3">
        <v>1</v>
      </c>
      <c r="D889" s="5">
        <v>14.99</v>
      </c>
      <c r="E889" s="3" t="s">
        <v>1991</v>
      </c>
      <c r="F889" s="2" t="s">
        <v>1788</v>
      </c>
      <c r="G889" s="6" t="s">
        <v>154</v>
      </c>
      <c r="H889" s="2" t="s">
        <v>1473</v>
      </c>
      <c r="I889" s="2" t="s">
        <v>1426</v>
      </c>
      <c r="J889" s="2" t="s">
        <v>19</v>
      </c>
      <c r="K889" s="2" t="s">
        <v>648</v>
      </c>
      <c r="L889" s="7" t="str">
        <f>HYPERLINK("http://slimages.macys.com/is/image/MCY/12767912 ")</f>
        <v xml:space="preserve">http://slimages.macys.com/is/image/MCY/12767912 </v>
      </c>
    </row>
    <row r="890" spans="1:12" ht="24.75" x14ac:dyDescent="0.25">
      <c r="A890" s="4" t="s">
        <v>8867</v>
      </c>
      <c r="B890" s="2" t="s">
        <v>1988</v>
      </c>
      <c r="C890" s="3">
        <v>1</v>
      </c>
      <c r="D890" s="5">
        <v>14.99</v>
      </c>
      <c r="E890" s="3" t="s">
        <v>1991</v>
      </c>
      <c r="F890" s="2" t="s">
        <v>26</v>
      </c>
      <c r="G890" s="6" t="s">
        <v>200</v>
      </c>
      <c r="H890" s="2" t="s">
        <v>1473</v>
      </c>
      <c r="I890" s="2" t="s">
        <v>1426</v>
      </c>
      <c r="J890" s="2" t="s">
        <v>19</v>
      </c>
      <c r="K890" s="2" t="s">
        <v>648</v>
      </c>
      <c r="L890" s="7" t="str">
        <f>HYPERLINK("http://slimages.macys.com/is/image/MCY/12767912 ")</f>
        <v xml:space="preserve">http://slimages.macys.com/is/image/MCY/12767912 </v>
      </c>
    </row>
    <row r="891" spans="1:12" ht="24.75" x14ac:dyDescent="0.25">
      <c r="A891" s="4" t="s">
        <v>12578</v>
      </c>
      <c r="B891" s="2" t="s">
        <v>1988</v>
      </c>
      <c r="C891" s="3">
        <v>1</v>
      </c>
      <c r="D891" s="5">
        <v>14.99</v>
      </c>
      <c r="E891" s="3" t="s">
        <v>1991</v>
      </c>
      <c r="F891" s="2" t="s">
        <v>94</v>
      </c>
      <c r="G891" s="6" t="s">
        <v>154</v>
      </c>
      <c r="H891" s="2" t="s">
        <v>1473</v>
      </c>
      <c r="I891" s="2" t="s">
        <v>1426</v>
      </c>
      <c r="J891" s="2" t="s">
        <v>19</v>
      </c>
      <c r="K891" s="2" t="s">
        <v>648</v>
      </c>
      <c r="L891" s="7" t="str">
        <f>HYPERLINK("http://slimages.macys.com/is/image/MCY/12767912 ")</f>
        <v xml:space="preserve">http://slimages.macys.com/is/image/MCY/12767912 </v>
      </c>
    </row>
    <row r="892" spans="1:12" ht="24.75" x14ac:dyDescent="0.25">
      <c r="A892" s="4" t="s">
        <v>13505</v>
      </c>
      <c r="B892" s="2" t="s">
        <v>1988</v>
      </c>
      <c r="C892" s="3">
        <v>1</v>
      </c>
      <c r="D892" s="5">
        <v>14.99</v>
      </c>
      <c r="E892" s="3" t="s">
        <v>1991</v>
      </c>
      <c r="F892" s="2" t="s">
        <v>74</v>
      </c>
      <c r="G892" s="6" t="s">
        <v>200</v>
      </c>
      <c r="H892" s="2" t="s">
        <v>1473</v>
      </c>
      <c r="I892" s="2" t="s">
        <v>1426</v>
      </c>
      <c r="J892" s="2" t="s">
        <v>19</v>
      </c>
      <c r="K892" s="2" t="s">
        <v>648</v>
      </c>
      <c r="L892" s="7" t="str">
        <f>HYPERLINK("http://slimages.macys.com/is/image/MCY/12767912 ")</f>
        <v xml:space="preserve">http://slimages.macys.com/is/image/MCY/12767912 </v>
      </c>
    </row>
    <row r="893" spans="1:12" ht="24.75" x14ac:dyDescent="0.25">
      <c r="A893" s="4" t="s">
        <v>13506</v>
      </c>
      <c r="B893" s="2" t="s">
        <v>1988</v>
      </c>
      <c r="C893" s="3">
        <v>1</v>
      </c>
      <c r="D893" s="5">
        <v>14.99</v>
      </c>
      <c r="E893" s="3" t="s">
        <v>1991</v>
      </c>
      <c r="F893" s="2" t="s">
        <v>79</v>
      </c>
      <c r="G893" s="6" t="s">
        <v>154</v>
      </c>
      <c r="H893" s="2" t="s">
        <v>1473</v>
      </c>
      <c r="I893" s="2" t="s">
        <v>1426</v>
      </c>
      <c r="J893" s="2" t="s">
        <v>19</v>
      </c>
      <c r="K893" s="2" t="s">
        <v>648</v>
      </c>
      <c r="L893" s="7" t="str">
        <f>HYPERLINK("http://slimages.macys.com/is/image/MCY/11469193 ")</f>
        <v xml:space="preserve">http://slimages.macys.com/is/image/MCY/11469193 </v>
      </c>
    </row>
    <row r="894" spans="1:12" ht="24.75" x14ac:dyDescent="0.25">
      <c r="A894" s="4" t="s">
        <v>13507</v>
      </c>
      <c r="B894" s="2" t="s">
        <v>1988</v>
      </c>
      <c r="C894" s="3">
        <v>1</v>
      </c>
      <c r="D894" s="5">
        <v>14.99</v>
      </c>
      <c r="E894" s="3" t="s">
        <v>1991</v>
      </c>
      <c r="F894" s="2" t="s">
        <v>74</v>
      </c>
      <c r="G894" s="6" t="s">
        <v>156</v>
      </c>
      <c r="H894" s="2" t="s">
        <v>1473</v>
      </c>
      <c r="I894" s="2" t="s">
        <v>1426</v>
      </c>
      <c r="J894" s="2" t="s">
        <v>19</v>
      </c>
      <c r="K894" s="2" t="s">
        <v>648</v>
      </c>
      <c r="L894" s="7" t="str">
        <f>HYPERLINK("http://slimages.macys.com/is/image/MCY/12767912 ")</f>
        <v xml:space="preserve">http://slimages.macys.com/is/image/MCY/12767912 </v>
      </c>
    </row>
    <row r="895" spans="1:12" ht="24.75" x14ac:dyDescent="0.25">
      <c r="A895" s="4" t="s">
        <v>1987</v>
      </c>
      <c r="B895" s="2" t="s">
        <v>1988</v>
      </c>
      <c r="C895" s="3">
        <v>1</v>
      </c>
      <c r="D895" s="5">
        <v>14.99</v>
      </c>
      <c r="E895" s="3" t="s">
        <v>1989</v>
      </c>
      <c r="F895" s="2" t="s">
        <v>26</v>
      </c>
      <c r="G895" s="6"/>
      <c r="H895" s="2" t="s">
        <v>1425</v>
      </c>
      <c r="I895" s="2" t="s">
        <v>1426</v>
      </c>
      <c r="J895" s="2" t="s">
        <v>19</v>
      </c>
      <c r="K895" s="2" t="s">
        <v>648</v>
      </c>
      <c r="L895" s="7" t="str">
        <f>HYPERLINK("http://slimages.macys.com/is/image/MCY/11678994 ")</f>
        <v xml:space="preserve">http://slimages.macys.com/is/image/MCY/11678994 </v>
      </c>
    </row>
    <row r="896" spans="1:12" ht="24.75" x14ac:dyDescent="0.25">
      <c r="A896" s="4" t="s">
        <v>1997</v>
      </c>
      <c r="B896" s="2" t="s">
        <v>1988</v>
      </c>
      <c r="C896" s="3">
        <v>1</v>
      </c>
      <c r="D896" s="5">
        <v>14.99</v>
      </c>
      <c r="E896" s="3" t="s">
        <v>1989</v>
      </c>
      <c r="F896" s="2" t="s">
        <v>26</v>
      </c>
      <c r="G896" s="6" t="s">
        <v>219</v>
      </c>
      <c r="H896" s="2" t="s">
        <v>1425</v>
      </c>
      <c r="I896" s="2" t="s">
        <v>1426</v>
      </c>
      <c r="J896" s="2" t="s">
        <v>19</v>
      </c>
      <c r="K896" s="2" t="s">
        <v>648</v>
      </c>
      <c r="L896" s="7" t="str">
        <f>HYPERLINK("http://slimages.macys.com/is/image/MCY/11678994 ")</f>
        <v xml:space="preserve">http://slimages.macys.com/is/image/MCY/11678994 </v>
      </c>
    </row>
    <row r="897" spans="1:12" ht="24.75" x14ac:dyDescent="0.25">
      <c r="A897" s="4" t="s">
        <v>3202</v>
      </c>
      <c r="B897" s="2" t="s">
        <v>1988</v>
      </c>
      <c r="C897" s="3">
        <v>1</v>
      </c>
      <c r="D897" s="5">
        <v>14.99</v>
      </c>
      <c r="E897" s="3" t="s">
        <v>1991</v>
      </c>
      <c r="F897" s="2" t="s">
        <v>70</v>
      </c>
      <c r="G897" s="6" t="s">
        <v>154</v>
      </c>
      <c r="H897" s="2" t="s">
        <v>1473</v>
      </c>
      <c r="I897" s="2" t="s">
        <v>1426</v>
      </c>
      <c r="J897" s="2" t="s">
        <v>19</v>
      </c>
      <c r="K897" s="2" t="s">
        <v>648</v>
      </c>
      <c r="L897" s="7" t="str">
        <f>HYPERLINK("http://slimages.macys.com/is/image/MCY/12767912 ")</f>
        <v xml:space="preserve">http://slimages.macys.com/is/image/MCY/12767912 </v>
      </c>
    </row>
    <row r="898" spans="1:12" ht="24.75" x14ac:dyDescent="0.25">
      <c r="A898" s="4" t="s">
        <v>13508</v>
      </c>
      <c r="B898" s="2" t="s">
        <v>1988</v>
      </c>
      <c r="C898" s="3">
        <v>1</v>
      </c>
      <c r="D898" s="5">
        <v>14.99</v>
      </c>
      <c r="E898" s="3" t="s">
        <v>1991</v>
      </c>
      <c r="F898" s="2" t="s">
        <v>64</v>
      </c>
      <c r="G898" s="6" t="s">
        <v>181</v>
      </c>
      <c r="H898" s="2" t="s">
        <v>1473</v>
      </c>
      <c r="I898" s="2" t="s">
        <v>1426</v>
      </c>
      <c r="J898" s="2" t="s">
        <v>19</v>
      </c>
      <c r="K898" s="2" t="s">
        <v>648</v>
      </c>
      <c r="L898" s="7" t="str">
        <f>HYPERLINK("http://slimages.macys.com/is/image/MCY/12767912 ")</f>
        <v xml:space="preserve">http://slimages.macys.com/is/image/MCY/12767912 </v>
      </c>
    </row>
    <row r="899" spans="1:12" ht="24.75" x14ac:dyDescent="0.25">
      <c r="A899" s="4" t="s">
        <v>13509</v>
      </c>
      <c r="B899" s="2" t="s">
        <v>1988</v>
      </c>
      <c r="C899" s="3">
        <v>2</v>
      </c>
      <c r="D899" s="5">
        <v>14.99</v>
      </c>
      <c r="E899" s="3" t="s">
        <v>1991</v>
      </c>
      <c r="F899" s="2" t="s">
        <v>74</v>
      </c>
      <c r="G899" s="6" t="s">
        <v>154</v>
      </c>
      <c r="H899" s="2" t="s">
        <v>1473</v>
      </c>
      <c r="I899" s="2" t="s">
        <v>1426</v>
      </c>
      <c r="J899" s="2" t="s">
        <v>19</v>
      </c>
      <c r="K899" s="2" t="s">
        <v>648</v>
      </c>
      <c r="L899" s="7" t="str">
        <f>HYPERLINK("http://slimages.macys.com/is/image/MCY/12767912 ")</f>
        <v xml:space="preserve">http://slimages.macys.com/is/image/MCY/12767912 </v>
      </c>
    </row>
    <row r="900" spans="1:12" ht="24.75" x14ac:dyDescent="0.25">
      <c r="A900" s="4" t="s">
        <v>13510</v>
      </c>
      <c r="B900" s="2" t="s">
        <v>3026</v>
      </c>
      <c r="C900" s="3">
        <v>1</v>
      </c>
      <c r="D900" s="5">
        <v>21.99</v>
      </c>
      <c r="E900" s="3" t="s">
        <v>13511</v>
      </c>
      <c r="F900" s="2" t="s">
        <v>1614</v>
      </c>
      <c r="G900" s="6"/>
      <c r="H900" s="2" t="s">
        <v>632</v>
      </c>
      <c r="I900" s="2" t="s">
        <v>285</v>
      </c>
      <c r="J900" s="2" t="s">
        <v>19</v>
      </c>
      <c r="K900" s="2" t="s">
        <v>247</v>
      </c>
      <c r="L900" s="7" t="str">
        <f>HYPERLINK("http://slimages.macys.com/is/image/MCY/9735742 ")</f>
        <v xml:space="preserve">http://slimages.macys.com/is/image/MCY/9735742 </v>
      </c>
    </row>
    <row r="901" spans="1:12" ht="24.75" x14ac:dyDescent="0.25">
      <c r="A901" s="4" t="s">
        <v>13512</v>
      </c>
      <c r="B901" s="2" t="s">
        <v>2000</v>
      </c>
      <c r="C901" s="3">
        <v>1</v>
      </c>
      <c r="D901" s="5">
        <v>21.99</v>
      </c>
      <c r="E901" s="3">
        <v>100015505</v>
      </c>
      <c r="F901" s="2" t="s">
        <v>417</v>
      </c>
      <c r="G901" s="6" t="s">
        <v>154</v>
      </c>
      <c r="H901" s="2" t="s">
        <v>284</v>
      </c>
      <c r="I901" s="2" t="s">
        <v>285</v>
      </c>
      <c r="J901" s="2" t="s">
        <v>19</v>
      </c>
      <c r="K901" s="2" t="s">
        <v>247</v>
      </c>
      <c r="L901" s="7" t="str">
        <f>HYPERLINK("http://slimages.macys.com/is/image/MCY/9858135 ")</f>
        <v xml:space="preserve">http://slimages.macys.com/is/image/MCY/9858135 </v>
      </c>
    </row>
    <row r="902" spans="1:12" ht="24.75" x14ac:dyDescent="0.25">
      <c r="A902" s="4" t="s">
        <v>13513</v>
      </c>
      <c r="B902" s="2" t="s">
        <v>2000</v>
      </c>
      <c r="C902" s="3">
        <v>1</v>
      </c>
      <c r="D902" s="5">
        <v>21.99</v>
      </c>
      <c r="E902" s="3">
        <v>100015505</v>
      </c>
      <c r="F902" s="2" t="s">
        <v>956</v>
      </c>
      <c r="G902" s="6" t="s">
        <v>234</v>
      </c>
      <c r="H902" s="2" t="s">
        <v>284</v>
      </c>
      <c r="I902" s="2" t="s">
        <v>285</v>
      </c>
      <c r="J902" s="2" t="s">
        <v>19</v>
      </c>
      <c r="K902" s="2" t="s">
        <v>247</v>
      </c>
      <c r="L902" s="7" t="str">
        <f>HYPERLINK("http://slimages.macys.com/is/image/MCY/15491453 ")</f>
        <v xml:space="preserve">http://slimages.macys.com/is/image/MCY/15491453 </v>
      </c>
    </row>
    <row r="903" spans="1:12" ht="24.75" x14ac:dyDescent="0.25">
      <c r="A903" s="4" t="s">
        <v>11419</v>
      </c>
      <c r="B903" s="2" t="s">
        <v>3216</v>
      </c>
      <c r="C903" s="3">
        <v>1</v>
      </c>
      <c r="D903" s="5">
        <v>21.99</v>
      </c>
      <c r="E903" s="3" t="s">
        <v>11420</v>
      </c>
      <c r="F903" s="2" t="s">
        <v>956</v>
      </c>
      <c r="G903" s="6" t="s">
        <v>234</v>
      </c>
      <c r="H903" s="2" t="s">
        <v>284</v>
      </c>
      <c r="I903" s="2" t="s">
        <v>285</v>
      </c>
      <c r="J903" s="2" t="s">
        <v>19</v>
      </c>
      <c r="K903" s="2" t="s">
        <v>247</v>
      </c>
      <c r="L903" s="7" t="str">
        <f>HYPERLINK("http://slimages.macys.com/is/image/MCY/15199324 ")</f>
        <v xml:space="preserve">http://slimages.macys.com/is/image/MCY/15199324 </v>
      </c>
    </row>
    <row r="904" spans="1:12" ht="24.75" x14ac:dyDescent="0.25">
      <c r="A904" s="4" t="s">
        <v>13514</v>
      </c>
      <c r="B904" s="2" t="s">
        <v>3216</v>
      </c>
      <c r="C904" s="3">
        <v>1</v>
      </c>
      <c r="D904" s="5">
        <v>21.99</v>
      </c>
      <c r="E904" s="3" t="s">
        <v>11422</v>
      </c>
      <c r="F904" s="2" t="s">
        <v>94</v>
      </c>
      <c r="G904" s="6" t="s">
        <v>156</v>
      </c>
      <c r="H904" s="2" t="s">
        <v>284</v>
      </c>
      <c r="I904" s="2" t="s">
        <v>285</v>
      </c>
      <c r="J904" s="2" t="s">
        <v>19</v>
      </c>
      <c r="K904" s="2" t="s">
        <v>247</v>
      </c>
      <c r="L904" s="7" t="str">
        <f>HYPERLINK("http://slimages.macys.com/is/image/MCY/9462994 ")</f>
        <v xml:space="preserve">http://slimages.macys.com/is/image/MCY/9462994 </v>
      </c>
    </row>
    <row r="905" spans="1:12" ht="24.75" x14ac:dyDescent="0.25">
      <c r="A905" s="4" t="s">
        <v>8869</v>
      </c>
      <c r="B905" s="2" t="s">
        <v>3216</v>
      </c>
      <c r="C905" s="3">
        <v>1</v>
      </c>
      <c r="D905" s="5">
        <v>21.99</v>
      </c>
      <c r="E905" s="3" t="s">
        <v>3217</v>
      </c>
      <c r="F905" s="2" t="s">
        <v>413</v>
      </c>
      <c r="G905" s="6" t="s">
        <v>181</v>
      </c>
      <c r="H905" s="2" t="s">
        <v>284</v>
      </c>
      <c r="I905" s="2" t="s">
        <v>285</v>
      </c>
      <c r="J905" s="2"/>
      <c r="K905" s="2"/>
      <c r="L905" s="7" t="str">
        <f>HYPERLINK("http://slimages.macys.com/is/image/MCY/8549196 ")</f>
        <v xml:space="preserve">http://slimages.macys.com/is/image/MCY/8549196 </v>
      </c>
    </row>
    <row r="906" spans="1:12" ht="24.75" x14ac:dyDescent="0.25">
      <c r="A906" s="4" t="s">
        <v>13515</v>
      </c>
      <c r="B906" s="2" t="s">
        <v>3216</v>
      </c>
      <c r="C906" s="3">
        <v>1</v>
      </c>
      <c r="D906" s="5">
        <v>21.99</v>
      </c>
      <c r="E906" s="3" t="s">
        <v>13516</v>
      </c>
      <c r="F906" s="2" t="s">
        <v>413</v>
      </c>
      <c r="G906" s="6" t="s">
        <v>200</v>
      </c>
      <c r="H906" s="2" t="s">
        <v>284</v>
      </c>
      <c r="I906" s="2" t="s">
        <v>285</v>
      </c>
      <c r="J906" s="2"/>
      <c r="K906" s="2"/>
      <c r="L906" s="7" t="str">
        <f>HYPERLINK("http://slimages.macys.com/is/image/MCY/8549196 ")</f>
        <v xml:space="preserve">http://slimages.macys.com/is/image/MCY/8549196 </v>
      </c>
    </row>
    <row r="907" spans="1:12" ht="24.75" x14ac:dyDescent="0.25">
      <c r="A907" s="4" t="s">
        <v>12584</v>
      </c>
      <c r="B907" s="2" t="s">
        <v>3216</v>
      </c>
      <c r="C907" s="3">
        <v>1</v>
      </c>
      <c r="D907" s="5">
        <v>21.99</v>
      </c>
      <c r="E907" s="3" t="s">
        <v>11424</v>
      </c>
      <c r="F907" s="2" t="s">
        <v>956</v>
      </c>
      <c r="G907" s="6" t="s">
        <v>234</v>
      </c>
      <c r="H907" s="2" t="s">
        <v>284</v>
      </c>
      <c r="I907" s="2" t="s">
        <v>285</v>
      </c>
      <c r="J907" s="2" t="s">
        <v>19</v>
      </c>
      <c r="K907" s="2" t="s">
        <v>247</v>
      </c>
      <c r="L907" s="7" t="str">
        <f>HYPERLINK("http://slimages.macys.com/is/image/MCY/9462994 ")</f>
        <v xml:space="preserve">http://slimages.macys.com/is/image/MCY/9462994 </v>
      </c>
    </row>
    <row r="908" spans="1:12" ht="24.75" x14ac:dyDescent="0.25">
      <c r="A908" s="4" t="s">
        <v>13517</v>
      </c>
      <c r="B908" s="2" t="s">
        <v>4245</v>
      </c>
      <c r="C908" s="3">
        <v>1</v>
      </c>
      <c r="D908" s="5">
        <v>12.99</v>
      </c>
      <c r="E908" s="3" t="s">
        <v>5222</v>
      </c>
      <c r="F908" s="2" t="s">
        <v>111</v>
      </c>
      <c r="G908" s="6" t="s">
        <v>181</v>
      </c>
      <c r="H908" s="2" t="s">
        <v>194</v>
      </c>
      <c r="I908" s="2" t="s">
        <v>195</v>
      </c>
      <c r="J908" s="2" t="s">
        <v>19</v>
      </c>
      <c r="K908" s="2" t="s">
        <v>648</v>
      </c>
      <c r="L908" s="7" t="str">
        <f>HYPERLINK("http://slimages.macys.com/is/image/MCY/11279167 ")</f>
        <v xml:space="preserve">http://slimages.macys.com/is/image/MCY/11279167 </v>
      </c>
    </row>
    <row r="909" spans="1:12" ht="24.75" x14ac:dyDescent="0.25">
      <c r="A909" s="4" t="s">
        <v>11436</v>
      </c>
      <c r="B909" s="2" t="s">
        <v>7702</v>
      </c>
      <c r="C909" s="3">
        <v>1</v>
      </c>
      <c r="D909" s="5">
        <v>12.99</v>
      </c>
      <c r="E909" s="3" t="s">
        <v>11433</v>
      </c>
      <c r="F909" s="2" t="s">
        <v>579</v>
      </c>
      <c r="G909" s="6"/>
      <c r="H909" s="2" t="s">
        <v>312</v>
      </c>
      <c r="I909" s="2" t="s">
        <v>195</v>
      </c>
      <c r="J909" s="2" t="s">
        <v>19</v>
      </c>
      <c r="K909" s="2" t="s">
        <v>648</v>
      </c>
      <c r="L909" s="7" t="str">
        <f>HYPERLINK("http://slimages.macys.com/is/image/MCY/8157256 ")</f>
        <v xml:space="preserve">http://slimages.macys.com/is/image/MCY/8157256 </v>
      </c>
    </row>
    <row r="910" spans="1:12" ht="24.75" x14ac:dyDescent="0.25">
      <c r="A910" s="4" t="s">
        <v>13518</v>
      </c>
      <c r="B910" s="2" t="s">
        <v>2002</v>
      </c>
      <c r="C910" s="3">
        <v>1</v>
      </c>
      <c r="D910" s="5">
        <v>12.99</v>
      </c>
      <c r="E910" s="3" t="s">
        <v>2003</v>
      </c>
      <c r="F910" s="2" t="s">
        <v>579</v>
      </c>
      <c r="G910" s="6" t="s">
        <v>200</v>
      </c>
      <c r="H910" s="2" t="s">
        <v>194</v>
      </c>
      <c r="I910" s="2" t="s">
        <v>195</v>
      </c>
      <c r="J910" s="2" t="s">
        <v>19</v>
      </c>
      <c r="K910" s="2" t="s">
        <v>107</v>
      </c>
      <c r="L910" s="7" t="str">
        <f>HYPERLINK("http://slimages.macys.com/is/image/MCY/12063874 ")</f>
        <v xml:space="preserve">http://slimages.macys.com/is/image/MCY/12063874 </v>
      </c>
    </row>
    <row r="911" spans="1:12" ht="24.75" x14ac:dyDescent="0.25">
      <c r="A911" s="4" t="s">
        <v>13519</v>
      </c>
      <c r="B911" s="2" t="s">
        <v>2002</v>
      </c>
      <c r="C911" s="3">
        <v>1</v>
      </c>
      <c r="D911" s="5">
        <v>12.99</v>
      </c>
      <c r="E911" s="3" t="s">
        <v>2003</v>
      </c>
      <c r="F911" s="2" t="s">
        <v>579</v>
      </c>
      <c r="G911" s="6" t="s">
        <v>181</v>
      </c>
      <c r="H911" s="2" t="s">
        <v>194</v>
      </c>
      <c r="I911" s="2" t="s">
        <v>195</v>
      </c>
      <c r="J911" s="2" t="s">
        <v>19</v>
      </c>
      <c r="K911" s="2" t="s">
        <v>107</v>
      </c>
      <c r="L911" s="7" t="str">
        <f>HYPERLINK("http://slimages.macys.com/is/image/MCY/12063874 ")</f>
        <v xml:space="preserve">http://slimages.macys.com/is/image/MCY/12063874 </v>
      </c>
    </row>
    <row r="912" spans="1:12" ht="24.75" x14ac:dyDescent="0.25">
      <c r="A912" s="4" t="s">
        <v>13520</v>
      </c>
      <c r="B912" s="2" t="s">
        <v>2002</v>
      </c>
      <c r="C912" s="3">
        <v>2</v>
      </c>
      <c r="D912" s="5">
        <v>12.99</v>
      </c>
      <c r="E912" s="3" t="s">
        <v>2003</v>
      </c>
      <c r="F912" s="2" t="s">
        <v>579</v>
      </c>
      <c r="G912" s="6" t="s">
        <v>234</v>
      </c>
      <c r="H912" s="2" t="s">
        <v>194</v>
      </c>
      <c r="I912" s="2" t="s">
        <v>195</v>
      </c>
      <c r="J912" s="2" t="s">
        <v>19</v>
      </c>
      <c r="K912" s="2" t="s">
        <v>107</v>
      </c>
      <c r="L912" s="7" t="str">
        <f>HYPERLINK("http://slimages.macys.com/is/image/MCY/12063874 ")</f>
        <v xml:space="preserve">http://slimages.macys.com/is/image/MCY/12063874 </v>
      </c>
    </row>
    <row r="913" spans="1:12" ht="24.75" x14ac:dyDescent="0.25">
      <c r="A913" s="4" t="s">
        <v>4256</v>
      </c>
      <c r="B913" s="2" t="s">
        <v>2005</v>
      </c>
      <c r="C913" s="3">
        <v>3</v>
      </c>
      <c r="D913" s="5">
        <v>14.99</v>
      </c>
      <c r="E913" s="3" t="s">
        <v>2006</v>
      </c>
      <c r="F913" s="2" t="s">
        <v>64</v>
      </c>
      <c r="G913" s="6" t="s">
        <v>181</v>
      </c>
      <c r="H913" s="2" t="s">
        <v>1522</v>
      </c>
      <c r="I913" s="2" t="s">
        <v>1469</v>
      </c>
      <c r="J913" s="2" t="s">
        <v>19</v>
      </c>
      <c r="K913" s="2" t="s">
        <v>353</v>
      </c>
      <c r="L913" s="7" t="str">
        <f t="shared" ref="L913:L918" si="8">HYPERLINK("http://slimages.macys.com/is/image/MCY/10743611 ")</f>
        <v xml:space="preserve">http://slimages.macys.com/is/image/MCY/10743611 </v>
      </c>
    </row>
    <row r="914" spans="1:12" ht="24.75" x14ac:dyDescent="0.25">
      <c r="A914" s="4" t="s">
        <v>6912</v>
      </c>
      <c r="B914" s="2" t="s">
        <v>2005</v>
      </c>
      <c r="C914" s="3">
        <v>2</v>
      </c>
      <c r="D914" s="5">
        <v>14.99</v>
      </c>
      <c r="E914" s="3" t="s">
        <v>2006</v>
      </c>
      <c r="F914" s="2" t="s">
        <v>64</v>
      </c>
      <c r="G914" s="6" t="s">
        <v>234</v>
      </c>
      <c r="H914" s="2" t="s">
        <v>1522</v>
      </c>
      <c r="I914" s="2" t="s">
        <v>1469</v>
      </c>
      <c r="J914" s="2" t="s">
        <v>19</v>
      </c>
      <c r="K914" s="2" t="s">
        <v>353</v>
      </c>
      <c r="L914" s="7" t="str">
        <f t="shared" si="8"/>
        <v xml:space="preserve">http://slimages.macys.com/is/image/MCY/10743611 </v>
      </c>
    </row>
    <row r="915" spans="1:12" ht="24.75" x14ac:dyDescent="0.25">
      <c r="A915" s="4" t="s">
        <v>3224</v>
      </c>
      <c r="B915" s="2" t="s">
        <v>2005</v>
      </c>
      <c r="C915" s="3">
        <v>1</v>
      </c>
      <c r="D915" s="5">
        <v>14.99</v>
      </c>
      <c r="E915" s="3" t="s">
        <v>2006</v>
      </c>
      <c r="F915" s="2" t="s">
        <v>64</v>
      </c>
      <c r="G915" s="6" t="s">
        <v>154</v>
      </c>
      <c r="H915" s="2" t="s">
        <v>1522</v>
      </c>
      <c r="I915" s="2" t="s">
        <v>1469</v>
      </c>
      <c r="J915" s="2" t="s">
        <v>19</v>
      </c>
      <c r="K915" s="2" t="s">
        <v>353</v>
      </c>
      <c r="L915" s="7" t="str">
        <f t="shared" si="8"/>
        <v xml:space="preserve">http://slimages.macys.com/is/image/MCY/10743611 </v>
      </c>
    </row>
    <row r="916" spans="1:12" ht="24.75" x14ac:dyDescent="0.25">
      <c r="A916" s="4" t="s">
        <v>2007</v>
      </c>
      <c r="B916" s="2" t="s">
        <v>2005</v>
      </c>
      <c r="C916" s="3">
        <v>1</v>
      </c>
      <c r="D916" s="5">
        <v>14.99</v>
      </c>
      <c r="E916" s="3" t="s">
        <v>2006</v>
      </c>
      <c r="F916" s="2" t="s">
        <v>64</v>
      </c>
      <c r="G916" s="6" t="s">
        <v>245</v>
      </c>
      <c r="H916" s="2" t="s">
        <v>1522</v>
      </c>
      <c r="I916" s="2" t="s">
        <v>1469</v>
      </c>
      <c r="J916" s="2" t="s">
        <v>19</v>
      </c>
      <c r="K916" s="2" t="s">
        <v>353</v>
      </c>
      <c r="L916" s="7" t="str">
        <f t="shared" si="8"/>
        <v xml:space="preserve">http://slimages.macys.com/is/image/MCY/10743611 </v>
      </c>
    </row>
    <row r="917" spans="1:12" ht="24.75" x14ac:dyDescent="0.25">
      <c r="A917" s="4" t="s">
        <v>2008</v>
      </c>
      <c r="B917" s="2" t="s">
        <v>2005</v>
      </c>
      <c r="C917" s="3">
        <v>1</v>
      </c>
      <c r="D917" s="5">
        <v>14.99</v>
      </c>
      <c r="E917" s="3" t="s">
        <v>2006</v>
      </c>
      <c r="F917" s="2" t="s">
        <v>74</v>
      </c>
      <c r="G917" s="6" t="s">
        <v>156</v>
      </c>
      <c r="H917" s="2" t="s">
        <v>1522</v>
      </c>
      <c r="I917" s="2" t="s">
        <v>1469</v>
      </c>
      <c r="J917" s="2" t="s">
        <v>19</v>
      </c>
      <c r="K917" s="2" t="s">
        <v>353</v>
      </c>
      <c r="L917" s="7" t="str">
        <f t="shared" si="8"/>
        <v xml:space="preserve">http://slimages.macys.com/is/image/MCY/10743611 </v>
      </c>
    </row>
    <row r="918" spans="1:12" ht="24.75" x14ac:dyDescent="0.25">
      <c r="A918" s="4" t="s">
        <v>2013</v>
      </c>
      <c r="B918" s="2" t="s">
        <v>2005</v>
      </c>
      <c r="C918" s="3">
        <v>1</v>
      </c>
      <c r="D918" s="5">
        <v>14.99</v>
      </c>
      <c r="E918" s="3" t="s">
        <v>2006</v>
      </c>
      <c r="F918" s="2" t="s">
        <v>64</v>
      </c>
      <c r="G918" s="6" t="s">
        <v>156</v>
      </c>
      <c r="H918" s="2" t="s">
        <v>1522</v>
      </c>
      <c r="I918" s="2" t="s">
        <v>1469</v>
      </c>
      <c r="J918" s="2" t="s">
        <v>19</v>
      </c>
      <c r="K918" s="2" t="s">
        <v>353</v>
      </c>
      <c r="L918" s="7" t="str">
        <f t="shared" si="8"/>
        <v xml:space="preserve">http://slimages.macys.com/is/image/MCY/10743611 </v>
      </c>
    </row>
    <row r="919" spans="1:12" ht="24.75" x14ac:dyDescent="0.25">
      <c r="A919" s="4" t="s">
        <v>13521</v>
      </c>
      <c r="B919" s="2" t="s">
        <v>11438</v>
      </c>
      <c r="C919" s="3">
        <v>1</v>
      </c>
      <c r="D919" s="5">
        <v>19.989999999999998</v>
      </c>
      <c r="E919" s="3" t="s">
        <v>11439</v>
      </c>
      <c r="F919" s="2" t="s">
        <v>74</v>
      </c>
      <c r="G919" s="6" t="s">
        <v>154</v>
      </c>
      <c r="H919" s="2" t="s">
        <v>246</v>
      </c>
      <c r="I919" s="2" t="s">
        <v>1939</v>
      </c>
      <c r="J919" s="2" t="s">
        <v>19</v>
      </c>
      <c r="K919" s="2" t="s">
        <v>1940</v>
      </c>
      <c r="L919" s="7" t="str">
        <f t="shared" ref="L919:L931" si="9">HYPERLINK("http://slimages.macys.com/is/image/MCY/11523112 ")</f>
        <v xml:space="preserve">http://slimages.macys.com/is/image/MCY/11523112 </v>
      </c>
    </row>
    <row r="920" spans="1:12" ht="24.75" x14ac:dyDescent="0.25">
      <c r="A920" s="4" t="s">
        <v>13522</v>
      </c>
      <c r="B920" s="2" t="s">
        <v>11438</v>
      </c>
      <c r="C920" s="3">
        <v>1</v>
      </c>
      <c r="D920" s="5">
        <v>19.989999999999998</v>
      </c>
      <c r="E920" s="3" t="s">
        <v>11439</v>
      </c>
      <c r="F920" s="2" t="s">
        <v>417</v>
      </c>
      <c r="G920" s="6" t="s">
        <v>245</v>
      </c>
      <c r="H920" s="2" t="s">
        <v>246</v>
      </c>
      <c r="I920" s="2" t="s">
        <v>1939</v>
      </c>
      <c r="J920" s="2" t="s">
        <v>19</v>
      </c>
      <c r="K920" s="2" t="s">
        <v>1940</v>
      </c>
      <c r="L920" s="7" t="str">
        <f t="shared" si="9"/>
        <v xml:space="preserve">http://slimages.macys.com/is/image/MCY/11523112 </v>
      </c>
    </row>
    <row r="921" spans="1:12" ht="24.75" x14ac:dyDescent="0.25">
      <c r="A921" s="4" t="s">
        <v>11440</v>
      </c>
      <c r="B921" s="2" t="s">
        <v>11438</v>
      </c>
      <c r="C921" s="3">
        <v>1</v>
      </c>
      <c r="D921" s="5">
        <v>19.989999999999998</v>
      </c>
      <c r="E921" s="3" t="s">
        <v>11439</v>
      </c>
      <c r="F921" s="2" t="s">
        <v>417</v>
      </c>
      <c r="G921" s="6" t="s">
        <v>234</v>
      </c>
      <c r="H921" s="2" t="s">
        <v>246</v>
      </c>
      <c r="I921" s="2" t="s">
        <v>1939</v>
      </c>
      <c r="J921" s="2" t="s">
        <v>19</v>
      </c>
      <c r="K921" s="2" t="s">
        <v>1940</v>
      </c>
      <c r="L921" s="7" t="str">
        <f t="shared" si="9"/>
        <v xml:space="preserve">http://slimages.macys.com/is/image/MCY/11523112 </v>
      </c>
    </row>
    <row r="922" spans="1:12" ht="24.75" x14ac:dyDescent="0.25">
      <c r="A922" s="4" t="s">
        <v>13523</v>
      </c>
      <c r="B922" s="2" t="s">
        <v>11438</v>
      </c>
      <c r="C922" s="3">
        <v>2</v>
      </c>
      <c r="D922" s="5">
        <v>19.989999999999998</v>
      </c>
      <c r="E922" s="3" t="s">
        <v>11439</v>
      </c>
      <c r="F922" s="2" t="s">
        <v>1584</v>
      </c>
      <c r="G922" s="6" t="s">
        <v>156</v>
      </c>
      <c r="H922" s="2" t="s">
        <v>246</v>
      </c>
      <c r="I922" s="2" t="s">
        <v>1939</v>
      </c>
      <c r="J922" s="2" t="s">
        <v>19</v>
      </c>
      <c r="K922" s="2" t="s">
        <v>1940</v>
      </c>
      <c r="L922" s="7" t="str">
        <f t="shared" si="9"/>
        <v xml:space="preserve">http://slimages.macys.com/is/image/MCY/11523112 </v>
      </c>
    </row>
    <row r="923" spans="1:12" ht="24.75" x14ac:dyDescent="0.25">
      <c r="A923" s="4" t="s">
        <v>13524</v>
      </c>
      <c r="B923" s="2" t="s">
        <v>11438</v>
      </c>
      <c r="C923" s="3">
        <v>1</v>
      </c>
      <c r="D923" s="5">
        <v>19.989999999999998</v>
      </c>
      <c r="E923" s="3" t="s">
        <v>11439</v>
      </c>
      <c r="F923" s="2" t="s">
        <v>1584</v>
      </c>
      <c r="G923" s="6" t="s">
        <v>245</v>
      </c>
      <c r="H923" s="2" t="s">
        <v>246</v>
      </c>
      <c r="I923" s="2" t="s">
        <v>1939</v>
      </c>
      <c r="J923" s="2" t="s">
        <v>19</v>
      </c>
      <c r="K923" s="2" t="s">
        <v>1940</v>
      </c>
      <c r="L923" s="7" t="str">
        <f t="shared" si="9"/>
        <v xml:space="preserve">http://slimages.macys.com/is/image/MCY/11523112 </v>
      </c>
    </row>
    <row r="924" spans="1:12" ht="24.75" x14ac:dyDescent="0.25">
      <c r="A924" s="4" t="s">
        <v>12592</v>
      </c>
      <c r="B924" s="2" t="s">
        <v>11438</v>
      </c>
      <c r="C924" s="3">
        <v>2</v>
      </c>
      <c r="D924" s="5">
        <v>19.989999999999998</v>
      </c>
      <c r="E924" s="3" t="s">
        <v>11439</v>
      </c>
      <c r="F924" s="2" t="s">
        <v>48</v>
      </c>
      <c r="G924" s="6" t="s">
        <v>234</v>
      </c>
      <c r="H924" s="2" t="s">
        <v>246</v>
      </c>
      <c r="I924" s="2" t="s">
        <v>1939</v>
      </c>
      <c r="J924" s="2" t="s">
        <v>19</v>
      </c>
      <c r="K924" s="2" t="s">
        <v>1940</v>
      </c>
      <c r="L924" s="7" t="str">
        <f t="shared" si="9"/>
        <v xml:space="preserve">http://slimages.macys.com/is/image/MCY/11523112 </v>
      </c>
    </row>
    <row r="925" spans="1:12" ht="24.75" x14ac:dyDescent="0.25">
      <c r="A925" s="4" t="s">
        <v>11441</v>
      </c>
      <c r="B925" s="2" t="s">
        <v>11438</v>
      </c>
      <c r="C925" s="3">
        <v>1</v>
      </c>
      <c r="D925" s="5">
        <v>19.989999999999998</v>
      </c>
      <c r="E925" s="3" t="s">
        <v>11439</v>
      </c>
      <c r="F925" s="2" t="s">
        <v>48</v>
      </c>
      <c r="G925" s="6" t="s">
        <v>154</v>
      </c>
      <c r="H925" s="2" t="s">
        <v>246</v>
      </c>
      <c r="I925" s="2" t="s">
        <v>1939</v>
      </c>
      <c r="J925" s="2" t="s">
        <v>19</v>
      </c>
      <c r="K925" s="2" t="s">
        <v>1940</v>
      </c>
      <c r="L925" s="7" t="str">
        <f t="shared" si="9"/>
        <v xml:space="preserve">http://slimages.macys.com/is/image/MCY/11523112 </v>
      </c>
    </row>
    <row r="926" spans="1:12" ht="24.75" x14ac:dyDescent="0.25">
      <c r="A926" s="4" t="s">
        <v>13525</v>
      </c>
      <c r="B926" s="2" t="s">
        <v>11438</v>
      </c>
      <c r="C926" s="3">
        <v>1</v>
      </c>
      <c r="D926" s="5">
        <v>19.989999999999998</v>
      </c>
      <c r="E926" s="3" t="s">
        <v>11439</v>
      </c>
      <c r="F926" s="2" t="s">
        <v>48</v>
      </c>
      <c r="G926" s="6" t="s">
        <v>181</v>
      </c>
      <c r="H926" s="2" t="s">
        <v>246</v>
      </c>
      <c r="I926" s="2" t="s">
        <v>1939</v>
      </c>
      <c r="J926" s="2" t="s">
        <v>19</v>
      </c>
      <c r="K926" s="2" t="s">
        <v>1940</v>
      </c>
      <c r="L926" s="7" t="str">
        <f t="shared" si="9"/>
        <v xml:space="preserve">http://slimages.macys.com/is/image/MCY/11523112 </v>
      </c>
    </row>
    <row r="927" spans="1:12" ht="24.75" x14ac:dyDescent="0.25">
      <c r="A927" s="4" t="s">
        <v>13526</v>
      </c>
      <c r="B927" s="2" t="s">
        <v>11438</v>
      </c>
      <c r="C927" s="3">
        <v>1</v>
      </c>
      <c r="D927" s="5">
        <v>19.989999999999998</v>
      </c>
      <c r="E927" s="3" t="s">
        <v>11439</v>
      </c>
      <c r="F927" s="2" t="s">
        <v>74</v>
      </c>
      <c r="G927" s="6" t="s">
        <v>234</v>
      </c>
      <c r="H927" s="2" t="s">
        <v>246</v>
      </c>
      <c r="I927" s="2" t="s">
        <v>1939</v>
      </c>
      <c r="J927" s="2" t="s">
        <v>19</v>
      </c>
      <c r="K927" s="2" t="s">
        <v>1940</v>
      </c>
      <c r="L927" s="7" t="str">
        <f t="shared" si="9"/>
        <v xml:space="preserve">http://slimages.macys.com/is/image/MCY/11523112 </v>
      </c>
    </row>
    <row r="928" spans="1:12" ht="24.75" x14ac:dyDescent="0.25">
      <c r="A928" s="4" t="s">
        <v>13527</v>
      </c>
      <c r="B928" s="2" t="s">
        <v>11438</v>
      </c>
      <c r="C928" s="3">
        <v>1</v>
      </c>
      <c r="D928" s="5">
        <v>19.989999999999998</v>
      </c>
      <c r="E928" s="3" t="s">
        <v>11439</v>
      </c>
      <c r="F928" s="2" t="s">
        <v>74</v>
      </c>
      <c r="G928" s="6" t="s">
        <v>245</v>
      </c>
      <c r="H928" s="2" t="s">
        <v>246</v>
      </c>
      <c r="I928" s="2" t="s">
        <v>1939</v>
      </c>
      <c r="J928" s="2" t="s">
        <v>19</v>
      </c>
      <c r="K928" s="2" t="s">
        <v>1940</v>
      </c>
      <c r="L928" s="7" t="str">
        <f t="shared" si="9"/>
        <v xml:space="preserve">http://slimages.macys.com/is/image/MCY/11523112 </v>
      </c>
    </row>
    <row r="929" spans="1:12" ht="24.75" x14ac:dyDescent="0.25">
      <c r="A929" s="4" t="s">
        <v>11446</v>
      </c>
      <c r="B929" s="2" t="s">
        <v>11438</v>
      </c>
      <c r="C929" s="3">
        <v>1</v>
      </c>
      <c r="D929" s="5">
        <v>19.989999999999998</v>
      </c>
      <c r="E929" s="3" t="s">
        <v>11439</v>
      </c>
      <c r="F929" s="2" t="s">
        <v>417</v>
      </c>
      <c r="G929" s="6" t="s">
        <v>181</v>
      </c>
      <c r="H929" s="2" t="s">
        <v>246</v>
      </c>
      <c r="I929" s="2" t="s">
        <v>1939</v>
      </c>
      <c r="J929" s="2" t="s">
        <v>19</v>
      </c>
      <c r="K929" s="2" t="s">
        <v>1940</v>
      </c>
      <c r="L929" s="7" t="str">
        <f t="shared" si="9"/>
        <v xml:space="preserve">http://slimages.macys.com/is/image/MCY/11523112 </v>
      </c>
    </row>
    <row r="930" spans="1:12" ht="24.75" x14ac:dyDescent="0.25">
      <c r="A930" s="4" t="s">
        <v>13528</v>
      </c>
      <c r="B930" s="2" t="s">
        <v>11438</v>
      </c>
      <c r="C930" s="3">
        <v>2</v>
      </c>
      <c r="D930" s="5">
        <v>19.989999999999998</v>
      </c>
      <c r="E930" s="3" t="s">
        <v>11439</v>
      </c>
      <c r="F930" s="2" t="s">
        <v>74</v>
      </c>
      <c r="G930" s="6" t="s">
        <v>156</v>
      </c>
      <c r="H930" s="2" t="s">
        <v>246</v>
      </c>
      <c r="I930" s="2" t="s">
        <v>1939</v>
      </c>
      <c r="J930" s="2" t="s">
        <v>19</v>
      </c>
      <c r="K930" s="2" t="s">
        <v>1940</v>
      </c>
      <c r="L930" s="7" t="str">
        <f t="shared" si="9"/>
        <v xml:space="preserve">http://slimages.macys.com/is/image/MCY/11523112 </v>
      </c>
    </row>
    <row r="931" spans="1:12" ht="24.75" x14ac:dyDescent="0.25">
      <c r="A931" s="4" t="s">
        <v>11443</v>
      </c>
      <c r="B931" s="2" t="s">
        <v>11438</v>
      </c>
      <c r="C931" s="3">
        <v>1</v>
      </c>
      <c r="D931" s="5">
        <v>19.989999999999998</v>
      </c>
      <c r="E931" s="3" t="s">
        <v>11439</v>
      </c>
      <c r="F931" s="2" t="s">
        <v>417</v>
      </c>
      <c r="G931" s="6" t="s">
        <v>156</v>
      </c>
      <c r="H931" s="2" t="s">
        <v>246</v>
      </c>
      <c r="I931" s="2" t="s">
        <v>1939</v>
      </c>
      <c r="J931" s="2" t="s">
        <v>19</v>
      </c>
      <c r="K931" s="2" t="s">
        <v>1940</v>
      </c>
      <c r="L931" s="7" t="str">
        <f t="shared" si="9"/>
        <v xml:space="preserve">http://slimages.macys.com/is/image/MCY/11523112 </v>
      </c>
    </row>
    <row r="932" spans="1:12" ht="24.75" x14ac:dyDescent="0.25">
      <c r="A932" s="4" t="s">
        <v>7708</v>
      </c>
      <c r="B932" s="2" t="s">
        <v>3229</v>
      </c>
      <c r="C932" s="3">
        <v>1</v>
      </c>
      <c r="D932" s="5">
        <v>12.99</v>
      </c>
      <c r="E932" s="3" t="s">
        <v>3230</v>
      </c>
      <c r="F932" s="2" t="s">
        <v>752</v>
      </c>
      <c r="G932" s="6"/>
      <c r="H932" s="2" t="s">
        <v>312</v>
      </c>
      <c r="I932" s="2" t="s">
        <v>195</v>
      </c>
      <c r="J932" s="2" t="s">
        <v>19</v>
      </c>
      <c r="K932" s="2" t="s">
        <v>648</v>
      </c>
      <c r="L932" s="7" t="str">
        <f>HYPERLINK("http://slimages.macys.com/is/image/MCY/12850773 ")</f>
        <v xml:space="preserve">http://slimages.macys.com/is/image/MCY/12850773 </v>
      </c>
    </row>
    <row r="933" spans="1:12" ht="24.75" x14ac:dyDescent="0.25">
      <c r="A933" s="4" t="s">
        <v>13529</v>
      </c>
      <c r="B933" s="2" t="s">
        <v>2016</v>
      </c>
      <c r="C933" s="3">
        <v>1</v>
      </c>
      <c r="D933" s="5">
        <v>12.99</v>
      </c>
      <c r="E933" s="3" t="s">
        <v>2017</v>
      </c>
      <c r="F933" s="2" t="s">
        <v>566</v>
      </c>
      <c r="G933" s="6" t="s">
        <v>154</v>
      </c>
      <c r="H933" s="2" t="s">
        <v>194</v>
      </c>
      <c r="I933" s="2" t="s">
        <v>195</v>
      </c>
      <c r="J933" s="2" t="s">
        <v>19</v>
      </c>
      <c r="K933" s="2" t="s">
        <v>648</v>
      </c>
      <c r="L933" s="7" t="str">
        <f>HYPERLINK("http://slimages.macys.com/is/image/MCY/14887463 ")</f>
        <v xml:space="preserve">http://slimages.macys.com/is/image/MCY/14887463 </v>
      </c>
    </row>
    <row r="934" spans="1:12" ht="24.75" x14ac:dyDescent="0.25">
      <c r="A934" s="4" t="s">
        <v>13530</v>
      </c>
      <c r="B934" s="2" t="s">
        <v>2016</v>
      </c>
      <c r="C934" s="3">
        <v>1</v>
      </c>
      <c r="D934" s="5">
        <v>12.99</v>
      </c>
      <c r="E934" s="3" t="s">
        <v>2017</v>
      </c>
      <c r="F934" s="2" t="s">
        <v>1614</v>
      </c>
      <c r="G934" s="6" t="s">
        <v>245</v>
      </c>
      <c r="H934" s="2" t="s">
        <v>194</v>
      </c>
      <c r="I934" s="2" t="s">
        <v>195</v>
      </c>
      <c r="J934" s="2" t="s">
        <v>19</v>
      </c>
      <c r="K934" s="2" t="s">
        <v>648</v>
      </c>
      <c r="L934" s="7" t="str">
        <f>HYPERLINK("http://slimages.macys.com/is/image/MCY/14887463 ")</f>
        <v xml:space="preserve">http://slimages.macys.com/is/image/MCY/14887463 </v>
      </c>
    </row>
    <row r="935" spans="1:12" ht="24.75" x14ac:dyDescent="0.25">
      <c r="A935" s="4" t="s">
        <v>13531</v>
      </c>
      <c r="B935" s="2" t="s">
        <v>11456</v>
      </c>
      <c r="C935" s="3">
        <v>1</v>
      </c>
      <c r="D935" s="5">
        <v>9.99</v>
      </c>
      <c r="E935" s="3" t="s">
        <v>11457</v>
      </c>
      <c r="F935" s="2" t="s">
        <v>74</v>
      </c>
      <c r="G935" s="6" t="s">
        <v>245</v>
      </c>
      <c r="H935" s="2" t="s">
        <v>1473</v>
      </c>
      <c r="I935" s="2" t="s">
        <v>1426</v>
      </c>
      <c r="J935" s="2" t="s">
        <v>19</v>
      </c>
      <c r="K935" s="2" t="s">
        <v>495</v>
      </c>
      <c r="L935" s="7" t="str">
        <f>HYPERLINK("http://slimages.macys.com/is/image/MCY/12549055 ")</f>
        <v xml:space="preserve">http://slimages.macys.com/is/image/MCY/12549055 </v>
      </c>
    </row>
    <row r="936" spans="1:12" ht="24.75" x14ac:dyDescent="0.25">
      <c r="A936" s="4" t="s">
        <v>11466</v>
      </c>
      <c r="B936" s="2" t="s">
        <v>10313</v>
      </c>
      <c r="C936" s="3">
        <v>1</v>
      </c>
      <c r="D936" s="5">
        <v>19.989999999999998</v>
      </c>
      <c r="E936" s="3" t="s">
        <v>10314</v>
      </c>
      <c r="F936" s="2" t="s">
        <v>1584</v>
      </c>
      <c r="G936" s="6" t="s">
        <v>181</v>
      </c>
      <c r="H936" s="2" t="s">
        <v>246</v>
      </c>
      <c r="I936" s="2" t="s">
        <v>189</v>
      </c>
      <c r="J936" s="2" t="s">
        <v>19</v>
      </c>
      <c r="K936" s="2" t="s">
        <v>648</v>
      </c>
      <c r="L936" s="7" t="str">
        <f>HYPERLINK("http://slimages.macys.com/is/image/MCY/8123674 ")</f>
        <v xml:space="preserve">http://slimages.macys.com/is/image/MCY/8123674 </v>
      </c>
    </row>
    <row r="937" spans="1:12" ht="24.75" x14ac:dyDescent="0.25">
      <c r="A937" s="4" t="s">
        <v>13532</v>
      </c>
      <c r="B937" s="2" t="s">
        <v>10313</v>
      </c>
      <c r="C937" s="3">
        <v>1</v>
      </c>
      <c r="D937" s="5">
        <v>19.989999999999998</v>
      </c>
      <c r="E937" s="3" t="s">
        <v>10314</v>
      </c>
      <c r="F937" s="2" t="s">
        <v>1584</v>
      </c>
      <c r="G937" s="6" t="s">
        <v>234</v>
      </c>
      <c r="H937" s="2" t="s">
        <v>246</v>
      </c>
      <c r="I937" s="2" t="s">
        <v>189</v>
      </c>
      <c r="J937" s="2" t="s">
        <v>19</v>
      </c>
      <c r="K937" s="2" t="s">
        <v>648</v>
      </c>
      <c r="L937" s="7" t="str">
        <f>HYPERLINK("http://slimages.macys.com/is/image/MCY/8123674 ")</f>
        <v xml:space="preserve">http://slimages.macys.com/is/image/MCY/8123674 </v>
      </c>
    </row>
    <row r="938" spans="1:12" ht="24.75" x14ac:dyDescent="0.25">
      <c r="A938" s="4" t="s">
        <v>13533</v>
      </c>
      <c r="B938" s="2" t="s">
        <v>2016</v>
      </c>
      <c r="C938" s="3">
        <v>1</v>
      </c>
      <c r="D938" s="5">
        <v>12.99</v>
      </c>
      <c r="E938" s="3" t="s">
        <v>2017</v>
      </c>
      <c r="F938" s="2" t="s">
        <v>1322</v>
      </c>
      <c r="G938" s="6" t="s">
        <v>156</v>
      </c>
      <c r="H938" s="2" t="s">
        <v>194</v>
      </c>
      <c r="I938" s="2" t="s">
        <v>195</v>
      </c>
      <c r="J938" s="2" t="s">
        <v>19</v>
      </c>
      <c r="K938" s="2" t="s">
        <v>648</v>
      </c>
      <c r="L938" s="7" t="str">
        <f>HYPERLINK("http://slimages.macys.com/is/image/MCY/14887463 ")</f>
        <v xml:space="preserve">http://slimages.macys.com/is/image/MCY/14887463 </v>
      </c>
    </row>
    <row r="939" spans="1:12" ht="24.75" x14ac:dyDescent="0.25">
      <c r="A939" s="4" t="s">
        <v>11469</v>
      </c>
      <c r="B939" s="2" t="s">
        <v>2016</v>
      </c>
      <c r="C939" s="3">
        <v>2</v>
      </c>
      <c r="D939" s="5">
        <v>12.99</v>
      </c>
      <c r="E939" s="3" t="s">
        <v>2017</v>
      </c>
      <c r="F939" s="2" t="s">
        <v>170</v>
      </c>
      <c r="G939" s="6" t="s">
        <v>181</v>
      </c>
      <c r="H939" s="2" t="s">
        <v>194</v>
      </c>
      <c r="I939" s="2" t="s">
        <v>195</v>
      </c>
      <c r="J939" s="2" t="s">
        <v>19</v>
      </c>
      <c r="K939" s="2" t="s">
        <v>648</v>
      </c>
      <c r="L939" s="7" t="str">
        <f>HYPERLINK("http://slimages.macys.com/is/image/MCY/14887463 ")</f>
        <v xml:space="preserve">http://slimages.macys.com/is/image/MCY/14887463 </v>
      </c>
    </row>
    <row r="940" spans="1:12" ht="24.75" x14ac:dyDescent="0.25">
      <c r="A940" s="4" t="s">
        <v>13534</v>
      </c>
      <c r="B940" s="2" t="s">
        <v>2016</v>
      </c>
      <c r="C940" s="3">
        <v>1</v>
      </c>
      <c r="D940" s="5">
        <v>12.99</v>
      </c>
      <c r="E940" s="3" t="s">
        <v>2017</v>
      </c>
      <c r="F940" s="2" t="s">
        <v>170</v>
      </c>
      <c r="G940" s="6" t="s">
        <v>154</v>
      </c>
      <c r="H940" s="2" t="s">
        <v>194</v>
      </c>
      <c r="I940" s="2" t="s">
        <v>195</v>
      </c>
      <c r="J940" s="2" t="s">
        <v>19</v>
      </c>
      <c r="K940" s="2" t="s">
        <v>648</v>
      </c>
      <c r="L940" s="7" t="str">
        <f>HYPERLINK("http://slimages.macys.com/is/image/MCY/14887463 ")</f>
        <v xml:space="preserve">http://slimages.macys.com/is/image/MCY/14887463 </v>
      </c>
    </row>
    <row r="941" spans="1:12" ht="24.75" x14ac:dyDescent="0.25">
      <c r="A941" s="4" t="s">
        <v>13535</v>
      </c>
      <c r="B941" s="2" t="s">
        <v>2016</v>
      </c>
      <c r="C941" s="3">
        <v>2</v>
      </c>
      <c r="D941" s="5">
        <v>12.99</v>
      </c>
      <c r="E941" s="3" t="s">
        <v>2017</v>
      </c>
      <c r="F941" s="2" t="s">
        <v>170</v>
      </c>
      <c r="G941" s="6" t="s">
        <v>234</v>
      </c>
      <c r="H941" s="2" t="s">
        <v>194</v>
      </c>
      <c r="I941" s="2" t="s">
        <v>195</v>
      </c>
      <c r="J941" s="2" t="s">
        <v>19</v>
      </c>
      <c r="K941" s="2" t="s">
        <v>648</v>
      </c>
      <c r="L941" s="7" t="str">
        <f>HYPERLINK("http://slimages.macys.com/is/image/MCY/14887463 ")</f>
        <v xml:space="preserve">http://slimages.macys.com/is/image/MCY/14887463 </v>
      </c>
    </row>
    <row r="942" spans="1:12" ht="24.75" x14ac:dyDescent="0.25">
      <c r="A942" s="4" t="s">
        <v>13536</v>
      </c>
      <c r="B942" s="2" t="s">
        <v>2016</v>
      </c>
      <c r="C942" s="3">
        <v>1</v>
      </c>
      <c r="D942" s="5">
        <v>12.99</v>
      </c>
      <c r="E942" s="3" t="s">
        <v>2017</v>
      </c>
      <c r="F942" s="2" t="s">
        <v>1322</v>
      </c>
      <c r="G942" s="6" t="s">
        <v>154</v>
      </c>
      <c r="H942" s="2" t="s">
        <v>194</v>
      </c>
      <c r="I942" s="2" t="s">
        <v>195</v>
      </c>
      <c r="J942" s="2" t="s">
        <v>19</v>
      </c>
      <c r="K942" s="2" t="s">
        <v>648</v>
      </c>
      <c r="L942" s="7" t="str">
        <f>HYPERLINK("http://slimages.macys.com/is/image/MCY/14887463 ")</f>
        <v xml:space="preserve">http://slimages.macys.com/is/image/MCY/14887463 </v>
      </c>
    </row>
    <row r="943" spans="1:12" ht="24.75" x14ac:dyDescent="0.25">
      <c r="A943" s="4" t="s">
        <v>2023</v>
      </c>
      <c r="B943" s="2" t="s">
        <v>2021</v>
      </c>
      <c r="C943" s="3">
        <v>1</v>
      </c>
      <c r="D943" s="5">
        <v>18.38</v>
      </c>
      <c r="E943" s="3">
        <v>100018061</v>
      </c>
      <c r="F943" s="2" t="s">
        <v>15</v>
      </c>
      <c r="G943" s="6" t="s">
        <v>156</v>
      </c>
      <c r="H943" s="2" t="s">
        <v>194</v>
      </c>
      <c r="I943" s="2" t="s">
        <v>195</v>
      </c>
      <c r="J943" s="2" t="s">
        <v>19</v>
      </c>
      <c r="K943" s="2" t="s">
        <v>495</v>
      </c>
      <c r="L943" s="7" t="str">
        <f>HYPERLINK("http://slimages.macys.com/is/image/MCY/12950402 ")</f>
        <v xml:space="preserve">http://slimages.macys.com/is/image/MCY/12950402 </v>
      </c>
    </row>
    <row r="944" spans="1:12" ht="24.75" x14ac:dyDescent="0.25">
      <c r="A944" s="4" t="s">
        <v>13537</v>
      </c>
      <c r="B944" s="2" t="s">
        <v>11477</v>
      </c>
      <c r="C944" s="3">
        <v>1</v>
      </c>
      <c r="D944" s="5">
        <v>12.99</v>
      </c>
      <c r="E944" s="3" t="s">
        <v>11478</v>
      </c>
      <c r="F944" s="2" t="s">
        <v>64</v>
      </c>
      <c r="G944" s="6" t="s">
        <v>234</v>
      </c>
      <c r="H944" s="2" t="s">
        <v>194</v>
      </c>
      <c r="I944" s="2" t="s">
        <v>195</v>
      </c>
      <c r="J944" s="2" t="s">
        <v>19</v>
      </c>
      <c r="K944" s="2" t="s">
        <v>495</v>
      </c>
      <c r="L944" s="7" t="str">
        <f>HYPERLINK("http://slimages.macys.com/is/image/MCY/12849830 ")</f>
        <v xml:space="preserve">http://slimages.macys.com/is/image/MCY/12849830 </v>
      </c>
    </row>
    <row r="945" spans="1:12" ht="24.75" x14ac:dyDescent="0.25">
      <c r="A945" s="4" t="s">
        <v>13538</v>
      </c>
      <c r="B945" s="2" t="s">
        <v>11477</v>
      </c>
      <c r="C945" s="3">
        <v>1</v>
      </c>
      <c r="D945" s="5">
        <v>12.99</v>
      </c>
      <c r="E945" s="3" t="s">
        <v>11478</v>
      </c>
      <c r="F945" s="2" t="s">
        <v>64</v>
      </c>
      <c r="G945" s="6" t="s">
        <v>154</v>
      </c>
      <c r="H945" s="2" t="s">
        <v>194</v>
      </c>
      <c r="I945" s="2" t="s">
        <v>195</v>
      </c>
      <c r="J945" s="2" t="s">
        <v>19</v>
      </c>
      <c r="K945" s="2" t="s">
        <v>495</v>
      </c>
      <c r="L945" s="7" t="str">
        <f>HYPERLINK("http://slimages.macys.com/is/image/MCY/12849830 ")</f>
        <v xml:space="preserve">http://slimages.macys.com/is/image/MCY/12849830 </v>
      </c>
    </row>
    <row r="946" spans="1:12" ht="24.75" x14ac:dyDescent="0.25">
      <c r="A946" s="4" t="s">
        <v>13539</v>
      </c>
      <c r="B946" s="2" t="s">
        <v>1964</v>
      </c>
      <c r="C946" s="3">
        <v>1</v>
      </c>
      <c r="D946" s="5">
        <v>19.989999999999998</v>
      </c>
      <c r="E946" s="3" t="s">
        <v>12604</v>
      </c>
      <c r="F946" s="2" t="s">
        <v>26</v>
      </c>
      <c r="G946" s="6"/>
      <c r="H946" s="2" t="s">
        <v>632</v>
      </c>
      <c r="I946" s="2" t="s">
        <v>285</v>
      </c>
      <c r="J946" s="2" t="s">
        <v>19</v>
      </c>
      <c r="K946" s="2" t="s">
        <v>247</v>
      </c>
      <c r="L946" s="7" t="str">
        <f>HYPERLINK("http://slimages.macys.com/is/image/MCY/11721629 ")</f>
        <v xml:space="preserve">http://slimages.macys.com/is/image/MCY/11721629 </v>
      </c>
    </row>
    <row r="947" spans="1:12" ht="24.75" x14ac:dyDescent="0.25">
      <c r="A947" s="4" t="s">
        <v>11481</v>
      </c>
      <c r="B947" s="2" t="s">
        <v>1964</v>
      </c>
      <c r="C947" s="3">
        <v>1</v>
      </c>
      <c r="D947" s="5">
        <v>19.989999999999998</v>
      </c>
      <c r="E947" s="3" t="s">
        <v>11482</v>
      </c>
      <c r="F947" s="2" t="s">
        <v>74</v>
      </c>
      <c r="G947" s="6"/>
      <c r="H947" s="2" t="s">
        <v>632</v>
      </c>
      <c r="I947" s="2" t="s">
        <v>285</v>
      </c>
      <c r="J947" s="2" t="s">
        <v>19</v>
      </c>
      <c r="K947" s="2" t="s">
        <v>247</v>
      </c>
      <c r="L947" s="7" t="str">
        <f>HYPERLINK("http://slimages.macys.com/is/image/MCY/11721629 ")</f>
        <v xml:space="preserve">http://slimages.macys.com/is/image/MCY/11721629 </v>
      </c>
    </row>
    <row r="948" spans="1:12" ht="24.75" x14ac:dyDescent="0.25">
      <c r="A948" s="4" t="s">
        <v>13540</v>
      </c>
      <c r="B948" s="2" t="s">
        <v>4277</v>
      </c>
      <c r="C948" s="3">
        <v>1</v>
      </c>
      <c r="D948" s="5">
        <v>12.99</v>
      </c>
      <c r="E948" s="3" t="s">
        <v>4278</v>
      </c>
      <c r="F948" s="2" t="s">
        <v>94</v>
      </c>
      <c r="G948" s="6" t="s">
        <v>156</v>
      </c>
      <c r="H948" s="2" t="s">
        <v>1473</v>
      </c>
      <c r="I948" s="2" t="s">
        <v>1426</v>
      </c>
      <c r="J948" s="2" t="s">
        <v>19</v>
      </c>
      <c r="K948" s="2" t="s">
        <v>648</v>
      </c>
      <c r="L948" s="7" t="str">
        <f>HYPERLINK("http://slimages.macys.com/is/image/MCY/9770425 ")</f>
        <v xml:space="preserve">http://slimages.macys.com/is/image/MCY/9770425 </v>
      </c>
    </row>
    <row r="949" spans="1:12" ht="24.75" x14ac:dyDescent="0.25">
      <c r="A949" s="4" t="s">
        <v>13541</v>
      </c>
      <c r="B949" s="2" t="s">
        <v>4277</v>
      </c>
      <c r="C949" s="3">
        <v>1</v>
      </c>
      <c r="D949" s="5">
        <v>12.99</v>
      </c>
      <c r="E949" s="3" t="s">
        <v>4278</v>
      </c>
      <c r="F949" s="2" t="s">
        <v>85</v>
      </c>
      <c r="G949" s="6" t="s">
        <v>156</v>
      </c>
      <c r="H949" s="2" t="s">
        <v>1473</v>
      </c>
      <c r="I949" s="2" t="s">
        <v>1426</v>
      </c>
      <c r="J949" s="2" t="s">
        <v>19</v>
      </c>
      <c r="K949" s="2" t="s">
        <v>648</v>
      </c>
      <c r="L949" s="7" t="str">
        <f>HYPERLINK("http://slimages.macys.com/is/image/MCY/9770425 ")</f>
        <v xml:space="preserve">http://slimages.macys.com/is/image/MCY/9770425 </v>
      </c>
    </row>
    <row r="950" spans="1:12" ht="24.75" x14ac:dyDescent="0.25">
      <c r="A950" s="4" t="s">
        <v>13542</v>
      </c>
      <c r="B950" s="2" t="s">
        <v>11490</v>
      </c>
      <c r="C950" s="3">
        <v>1</v>
      </c>
      <c r="D950" s="5">
        <v>14.99</v>
      </c>
      <c r="E950" s="3" t="s">
        <v>11491</v>
      </c>
      <c r="F950" s="2" t="s">
        <v>331</v>
      </c>
      <c r="G950" s="6" t="s">
        <v>181</v>
      </c>
      <c r="H950" s="2" t="s">
        <v>1522</v>
      </c>
      <c r="I950" s="2" t="s">
        <v>1469</v>
      </c>
      <c r="J950" s="2" t="s">
        <v>19</v>
      </c>
      <c r="K950" s="2" t="s">
        <v>495</v>
      </c>
      <c r="L950" s="7" t="str">
        <f>HYPERLINK("http://slimages.macys.com/is/image/MCY/16094481 ")</f>
        <v xml:space="preserve">http://slimages.macys.com/is/image/MCY/16094481 </v>
      </c>
    </row>
    <row r="951" spans="1:12" ht="24.75" x14ac:dyDescent="0.25">
      <c r="A951" s="4" t="s">
        <v>13543</v>
      </c>
      <c r="B951" s="2" t="s">
        <v>4280</v>
      </c>
      <c r="C951" s="3">
        <v>1</v>
      </c>
      <c r="D951" s="5">
        <v>9.99</v>
      </c>
      <c r="E951" s="3" t="s">
        <v>4281</v>
      </c>
      <c r="F951" s="2" t="s">
        <v>417</v>
      </c>
      <c r="G951" s="6" t="s">
        <v>154</v>
      </c>
      <c r="H951" s="2" t="s">
        <v>1473</v>
      </c>
      <c r="I951" s="2" t="s">
        <v>1426</v>
      </c>
      <c r="J951" s="2" t="s">
        <v>19</v>
      </c>
      <c r="K951" s="2" t="s">
        <v>648</v>
      </c>
      <c r="L951" s="7" t="str">
        <f>HYPERLINK("http://slimages.macys.com/is/image/MCY/11456814 ")</f>
        <v xml:space="preserve">http://slimages.macys.com/is/image/MCY/11456814 </v>
      </c>
    </row>
    <row r="952" spans="1:12" ht="24.75" x14ac:dyDescent="0.25">
      <c r="A952" s="4" t="s">
        <v>13544</v>
      </c>
      <c r="B952" s="2" t="s">
        <v>12606</v>
      </c>
      <c r="C952" s="3">
        <v>1</v>
      </c>
      <c r="D952" s="5">
        <v>9.99</v>
      </c>
      <c r="E952" s="3" t="s">
        <v>12607</v>
      </c>
      <c r="F952" s="2" t="s">
        <v>1296</v>
      </c>
      <c r="G952" s="6" t="s">
        <v>156</v>
      </c>
      <c r="H952" s="2" t="s">
        <v>1473</v>
      </c>
      <c r="I952" s="2" t="s">
        <v>1426</v>
      </c>
      <c r="J952" s="2" t="s">
        <v>19</v>
      </c>
      <c r="K952" s="2" t="s">
        <v>648</v>
      </c>
      <c r="L952" s="7" t="str">
        <f>HYPERLINK("http://slimages.macys.com/is/image/MCY/12549167 ")</f>
        <v xml:space="preserve">http://slimages.macys.com/is/image/MCY/12549167 </v>
      </c>
    </row>
    <row r="953" spans="1:12" ht="24.75" x14ac:dyDescent="0.25">
      <c r="A953" s="4" t="s">
        <v>13545</v>
      </c>
      <c r="B953" s="2" t="s">
        <v>11360</v>
      </c>
      <c r="C953" s="3">
        <v>1</v>
      </c>
      <c r="D953" s="5">
        <v>9.99</v>
      </c>
      <c r="E953" s="3" t="s">
        <v>11361</v>
      </c>
      <c r="F953" s="2" t="s">
        <v>64</v>
      </c>
      <c r="G953" s="6" t="s">
        <v>181</v>
      </c>
      <c r="H953" s="2" t="s">
        <v>1473</v>
      </c>
      <c r="I953" s="2" t="s">
        <v>1426</v>
      </c>
      <c r="J953" s="2" t="s">
        <v>19</v>
      </c>
      <c r="K953" s="2" t="s">
        <v>648</v>
      </c>
      <c r="L953" s="7" t="str">
        <f>HYPERLINK("http://slimages.macys.com/is/image/MCY/9888880 ")</f>
        <v xml:space="preserve">http://slimages.macys.com/is/image/MCY/9888880 </v>
      </c>
    </row>
    <row r="954" spans="1:12" ht="24.75" x14ac:dyDescent="0.25">
      <c r="A954" s="4" t="s">
        <v>13546</v>
      </c>
      <c r="B954" s="2" t="s">
        <v>4280</v>
      </c>
      <c r="C954" s="3">
        <v>1</v>
      </c>
      <c r="D954" s="5">
        <v>9.99</v>
      </c>
      <c r="E954" s="3" t="s">
        <v>4281</v>
      </c>
      <c r="F954" s="2" t="s">
        <v>1322</v>
      </c>
      <c r="G954" s="6" t="s">
        <v>154</v>
      </c>
      <c r="H954" s="2" t="s">
        <v>1473</v>
      </c>
      <c r="I954" s="2" t="s">
        <v>1426</v>
      </c>
      <c r="J954" s="2" t="s">
        <v>19</v>
      </c>
      <c r="K954" s="2" t="s">
        <v>648</v>
      </c>
      <c r="L954" s="7" t="str">
        <f>HYPERLINK("http://slimages.macys.com/is/image/MCY/11456814 ")</f>
        <v xml:space="preserve">http://slimages.macys.com/is/image/MCY/11456814 </v>
      </c>
    </row>
    <row r="955" spans="1:12" ht="24.75" x14ac:dyDescent="0.25">
      <c r="A955" s="4" t="s">
        <v>13547</v>
      </c>
      <c r="B955" s="2" t="s">
        <v>13548</v>
      </c>
      <c r="C955" s="3">
        <v>1</v>
      </c>
      <c r="D955" s="5">
        <v>12.98</v>
      </c>
      <c r="E955" s="3" t="s">
        <v>13549</v>
      </c>
      <c r="F955" s="2" t="s">
        <v>26</v>
      </c>
      <c r="G955" s="6" t="s">
        <v>245</v>
      </c>
      <c r="H955" s="2" t="s">
        <v>2029</v>
      </c>
      <c r="I955" s="2" t="s">
        <v>2030</v>
      </c>
      <c r="J955" s="2" t="s">
        <v>19</v>
      </c>
      <c r="K955" s="2" t="s">
        <v>201</v>
      </c>
      <c r="L955" s="7" t="str">
        <f>HYPERLINK("http://slimages.macys.com/is/image/MCY/9887344 ")</f>
        <v xml:space="preserve">http://slimages.macys.com/is/image/MCY/9887344 </v>
      </c>
    </row>
    <row r="956" spans="1:12" ht="24.75" x14ac:dyDescent="0.25">
      <c r="A956" s="4" t="s">
        <v>12611</v>
      </c>
      <c r="B956" s="2" t="s">
        <v>4280</v>
      </c>
      <c r="C956" s="3">
        <v>1</v>
      </c>
      <c r="D956" s="5">
        <v>9.99</v>
      </c>
      <c r="E956" s="3" t="s">
        <v>12612</v>
      </c>
      <c r="F956" s="2" t="s">
        <v>26</v>
      </c>
      <c r="G956" s="6" t="s">
        <v>181</v>
      </c>
      <c r="H956" s="2" t="s">
        <v>1473</v>
      </c>
      <c r="I956" s="2" t="s">
        <v>1426</v>
      </c>
      <c r="J956" s="2" t="s">
        <v>19</v>
      </c>
      <c r="K956" s="2" t="s">
        <v>648</v>
      </c>
      <c r="L956" s="7" t="str">
        <f>HYPERLINK("http://slimages.macys.com/is/image/MCY/9663888 ")</f>
        <v xml:space="preserve">http://slimages.macys.com/is/image/MCY/9663888 </v>
      </c>
    </row>
    <row r="957" spans="1:12" ht="24.75" x14ac:dyDescent="0.25">
      <c r="A957" s="4" t="s">
        <v>11499</v>
      </c>
      <c r="B957" s="2" t="s">
        <v>7716</v>
      </c>
      <c r="C957" s="3">
        <v>1</v>
      </c>
      <c r="D957" s="5">
        <v>12.99</v>
      </c>
      <c r="E957" s="3" t="s">
        <v>7717</v>
      </c>
      <c r="F957" s="2"/>
      <c r="G957" s="6" t="s">
        <v>181</v>
      </c>
      <c r="H957" s="2" t="s">
        <v>1473</v>
      </c>
      <c r="I957" s="2" t="s">
        <v>1426</v>
      </c>
      <c r="J957" s="2" t="s">
        <v>19</v>
      </c>
      <c r="K957" s="2" t="s">
        <v>495</v>
      </c>
      <c r="L957" s="7" t="str">
        <f>HYPERLINK("http://slimages.macys.com/is/image/MCY/13758050 ")</f>
        <v xml:space="preserve">http://slimages.macys.com/is/image/MCY/13758050 </v>
      </c>
    </row>
    <row r="958" spans="1:12" ht="24.75" x14ac:dyDescent="0.25">
      <c r="A958" s="4" t="s">
        <v>7715</v>
      </c>
      <c r="B958" s="2" t="s">
        <v>7716</v>
      </c>
      <c r="C958" s="3">
        <v>1</v>
      </c>
      <c r="D958" s="5">
        <v>12.99</v>
      </c>
      <c r="E958" s="3" t="s">
        <v>7717</v>
      </c>
      <c r="F958" s="2" t="s">
        <v>94</v>
      </c>
      <c r="G958" s="6" t="s">
        <v>154</v>
      </c>
      <c r="H958" s="2" t="s">
        <v>1473</v>
      </c>
      <c r="I958" s="2" t="s">
        <v>1426</v>
      </c>
      <c r="J958" s="2" t="s">
        <v>19</v>
      </c>
      <c r="K958" s="2" t="s">
        <v>495</v>
      </c>
      <c r="L958" s="7" t="str">
        <f>HYPERLINK("http://slimages.macys.com/is/image/MCY/13758050 ")</f>
        <v xml:space="preserve">http://slimages.macys.com/is/image/MCY/13758050 </v>
      </c>
    </row>
    <row r="959" spans="1:12" ht="24.75" x14ac:dyDescent="0.25">
      <c r="A959" s="4" t="s">
        <v>13550</v>
      </c>
      <c r="B959" s="2" t="s">
        <v>7716</v>
      </c>
      <c r="C959" s="3">
        <v>1</v>
      </c>
      <c r="D959" s="5">
        <v>12.99</v>
      </c>
      <c r="E959" s="3" t="s">
        <v>7717</v>
      </c>
      <c r="F959" s="2"/>
      <c r="G959" s="6" t="s">
        <v>154</v>
      </c>
      <c r="H959" s="2" t="s">
        <v>1473</v>
      </c>
      <c r="I959" s="2" t="s">
        <v>1426</v>
      </c>
      <c r="J959" s="2" t="s">
        <v>19</v>
      </c>
      <c r="K959" s="2" t="s">
        <v>495</v>
      </c>
      <c r="L959" s="7" t="str">
        <f>HYPERLINK("http://slimages.macys.com/is/image/MCY/13758050 ")</f>
        <v xml:space="preserve">http://slimages.macys.com/is/image/MCY/13758050 </v>
      </c>
    </row>
    <row r="960" spans="1:12" ht="24.75" x14ac:dyDescent="0.25">
      <c r="A960" s="4" t="s">
        <v>13551</v>
      </c>
      <c r="B960" s="2" t="s">
        <v>6216</v>
      </c>
      <c r="C960" s="3">
        <v>1</v>
      </c>
      <c r="D960" s="5">
        <v>14.99</v>
      </c>
      <c r="E960" s="3" t="s">
        <v>6217</v>
      </c>
      <c r="F960" s="2" t="s">
        <v>1322</v>
      </c>
      <c r="G960" s="6" t="s">
        <v>200</v>
      </c>
      <c r="H960" s="2" t="s">
        <v>194</v>
      </c>
      <c r="I960" s="2" t="s">
        <v>195</v>
      </c>
      <c r="J960" s="2" t="s">
        <v>19</v>
      </c>
      <c r="K960" s="2" t="s">
        <v>1108</v>
      </c>
      <c r="L960" s="7" t="str">
        <f>HYPERLINK("http://slimages.macys.com/is/image/MCY/12280226 ")</f>
        <v xml:space="preserve">http://slimages.macys.com/is/image/MCY/12280226 </v>
      </c>
    </row>
    <row r="961" spans="1:12" ht="24.75" x14ac:dyDescent="0.25">
      <c r="A961" s="4" t="s">
        <v>13552</v>
      </c>
      <c r="B961" s="2" t="s">
        <v>6216</v>
      </c>
      <c r="C961" s="3">
        <v>1</v>
      </c>
      <c r="D961" s="5">
        <v>14.99</v>
      </c>
      <c r="E961" s="3" t="s">
        <v>6217</v>
      </c>
      <c r="F961" s="2" t="s">
        <v>1614</v>
      </c>
      <c r="G961" s="6" t="s">
        <v>200</v>
      </c>
      <c r="H961" s="2" t="s">
        <v>194</v>
      </c>
      <c r="I961" s="2" t="s">
        <v>195</v>
      </c>
      <c r="J961" s="2" t="s">
        <v>19</v>
      </c>
      <c r="K961" s="2" t="s">
        <v>1108</v>
      </c>
      <c r="L961" s="7" t="str">
        <f>HYPERLINK("http://slimages.macys.com/is/image/MCY/12280226 ")</f>
        <v xml:space="preserve">http://slimages.macys.com/is/image/MCY/12280226 </v>
      </c>
    </row>
    <row r="962" spans="1:12" ht="24.75" x14ac:dyDescent="0.25">
      <c r="A962" s="4" t="s">
        <v>13553</v>
      </c>
      <c r="B962" s="2" t="s">
        <v>6216</v>
      </c>
      <c r="C962" s="3">
        <v>3</v>
      </c>
      <c r="D962" s="5">
        <v>14.99</v>
      </c>
      <c r="E962" s="3" t="s">
        <v>6217</v>
      </c>
      <c r="F962" s="2" t="s">
        <v>1614</v>
      </c>
      <c r="G962" s="6" t="s">
        <v>154</v>
      </c>
      <c r="H962" s="2" t="s">
        <v>194</v>
      </c>
      <c r="I962" s="2" t="s">
        <v>195</v>
      </c>
      <c r="J962" s="2" t="s">
        <v>19</v>
      </c>
      <c r="K962" s="2" t="s">
        <v>1108</v>
      </c>
      <c r="L962" s="7" t="str">
        <f>HYPERLINK("http://slimages.macys.com/is/image/MCY/12280226 ")</f>
        <v xml:space="preserve">http://slimages.macys.com/is/image/MCY/12280226 </v>
      </c>
    </row>
    <row r="963" spans="1:12" ht="24.75" x14ac:dyDescent="0.25">
      <c r="A963" s="4" t="s">
        <v>11507</v>
      </c>
      <c r="B963" s="2" t="s">
        <v>2036</v>
      </c>
      <c r="C963" s="3">
        <v>1</v>
      </c>
      <c r="D963" s="5">
        <v>12.99</v>
      </c>
      <c r="E963" s="3" t="s">
        <v>2037</v>
      </c>
      <c r="F963" s="2" t="s">
        <v>48</v>
      </c>
      <c r="G963" s="6" t="s">
        <v>200</v>
      </c>
      <c r="H963" s="2" t="s">
        <v>194</v>
      </c>
      <c r="I963" s="2" t="s">
        <v>195</v>
      </c>
      <c r="J963" s="2" t="s">
        <v>19</v>
      </c>
      <c r="K963" s="2" t="s">
        <v>495</v>
      </c>
      <c r="L963" s="7" t="str">
        <f>HYPERLINK("http://slimages.macys.com/is/image/MCY/13828817 ")</f>
        <v xml:space="preserve">http://slimages.macys.com/is/image/MCY/13828817 </v>
      </c>
    </row>
    <row r="964" spans="1:12" ht="24.75" x14ac:dyDescent="0.25">
      <c r="A964" s="4" t="s">
        <v>11503</v>
      </c>
      <c r="B964" s="2" t="s">
        <v>2036</v>
      </c>
      <c r="C964" s="3">
        <v>3</v>
      </c>
      <c r="D964" s="5">
        <v>12.99</v>
      </c>
      <c r="E964" s="3" t="s">
        <v>2037</v>
      </c>
      <c r="F964" s="2" t="s">
        <v>48</v>
      </c>
      <c r="G964" s="6" t="s">
        <v>154</v>
      </c>
      <c r="H964" s="2" t="s">
        <v>194</v>
      </c>
      <c r="I964" s="2" t="s">
        <v>195</v>
      </c>
      <c r="J964" s="2" t="s">
        <v>19</v>
      </c>
      <c r="K964" s="2" t="s">
        <v>495</v>
      </c>
      <c r="L964" s="7" t="str">
        <f>HYPERLINK("http://slimages.macys.com/is/image/MCY/13828817 ")</f>
        <v xml:space="preserve">http://slimages.macys.com/is/image/MCY/13828817 </v>
      </c>
    </row>
    <row r="965" spans="1:12" ht="24.75" x14ac:dyDescent="0.25">
      <c r="A965" s="4" t="s">
        <v>2035</v>
      </c>
      <c r="B965" s="2" t="s">
        <v>2036</v>
      </c>
      <c r="C965" s="3">
        <v>1</v>
      </c>
      <c r="D965" s="5">
        <v>12.99</v>
      </c>
      <c r="E965" s="3" t="s">
        <v>2037</v>
      </c>
      <c r="F965" s="2" t="s">
        <v>111</v>
      </c>
      <c r="G965" s="6" t="s">
        <v>154</v>
      </c>
      <c r="H965" s="2" t="s">
        <v>194</v>
      </c>
      <c r="I965" s="2" t="s">
        <v>195</v>
      </c>
      <c r="J965" s="2"/>
      <c r="K965" s="2"/>
      <c r="L965" s="7" t="str">
        <f>HYPERLINK("http://slimages.macys.com/is/image/MCY/9527158 ")</f>
        <v xml:space="preserve">http://slimages.macys.com/is/image/MCY/9527158 </v>
      </c>
    </row>
    <row r="966" spans="1:12" ht="24.75" x14ac:dyDescent="0.25">
      <c r="A966" s="4" t="s">
        <v>12642</v>
      </c>
      <c r="B966" s="2" t="s">
        <v>2061</v>
      </c>
      <c r="C966" s="3">
        <v>1</v>
      </c>
      <c r="D966" s="5">
        <v>9.99</v>
      </c>
      <c r="E966" s="3" t="s">
        <v>4306</v>
      </c>
      <c r="F966" s="2" t="s">
        <v>331</v>
      </c>
      <c r="G966" s="6" t="s">
        <v>156</v>
      </c>
      <c r="H966" s="2" t="s">
        <v>1473</v>
      </c>
      <c r="I966" s="2" t="s">
        <v>1426</v>
      </c>
      <c r="J966" s="2" t="s">
        <v>19</v>
      </c>
      <c r="K966" s="2" t="s">
        <v>495</v>
      </c>
      <c r="L966" s="7" t="str">
        <f>HYPERLINK("http://slimages.macys.com/is/image/MCY/11915620 ")</f>
        <v xml:space="preserve">http://slimages.macys.com/is/image/MCY/11915620 </v>
      </c>
    </row>
    <row r="967" spans="1:12" ht="24.75" x14ac:dyDescent="0.25">
      <c r="A967" s="4" t="s">
        <v>13554</v>
      </c>
      <c r="B967" s="2" t="s">
        <v>12628</v>
      </c>
      <c r="C967" s="3">
        <v>1</v>
      </c>
      <c r="D967" s="5">
        <v>9.99</v>
      </c>
      <c r="E967" s="3" t="s">
        <v>12629</v>
      </c>
      <c r="F967" s="2" t="s">
        <v>70</v>
      </c>
      <c r="G967" s="6" t="s">
        <v>154</v>
      </c>
      <c r="H967" s="2" t="s">
        <v>1473</v>
      </c>
      <c r="I967" s="2" t="s">
        <v>1426</v>
      </c>
      <c r="J967" s="2" t="s">
        <v>19</v>
      </c>
      <c r="K967" s="2" t="s">
        <v>495</v>
      </c>
      <c r="L967" s="7" t="str">
        <f>HYPERLINK("http://slimages.macys.com/is/image/MCY/12549989 ")</f>
        <v xml:space="preserve">http://slimages.macys.com/is/image/MCY/12549989 </v>
      </c>
    </row>
    <row r="968" spans="1:12" ht="24.75" x14ac:dyDescent="0.25">
      <c r="A968" s="4" t="s">
        <v>12627</v>
      </c>
      <c r="B968" s="2" t="s">
        <v>12628</v>
      </c>
      <c r="C968" s="3">
        <v>1</v>
      </c>
      <c r="D968" s="5">
        <v>9.99</v>
      </c>
      <c r="E968" s="3" t="s">
        <v>12629</v>
      </c>
      <c r="F968" s="2" t="s">
        <v>70</v>
      </c>
      <c r="G968" s="6" t="s">
        <v>181</v>
      </c>
      <c r="H968" s="2" t="s">
        <v>1473</v>
      </c>
      <c r="I968" s="2" t="s">
        <v>1426</v>
      </c>
      <c r="J968" s="2" t="s">
        <v>19</v>
      </c>
      <c r="K968" s="2" t="s">
        <v>495</v>
      </c>
      <c r="L968" s="7" t="str">
        <f>HYPERLINK("http://slimages.macys.com/is/image/MCY/12549989 ")</f>
        <v xml:space="preserve">http://slimages.macys.com/is/image/MCY/12549989 </v>
      </c>
    </row>
    <row r="969" spans="1:12" ht="24.75" x14ac:dyDescent="0.25">
      <c r="A969" s="4" t="s">
        <v>13555</v>
      </c>
      <c r="B969" s="2" t="s">
        <v>12628</v>
      </c>
      <c r="C969" s="3">
        <v>1</v>
      </c>
      <c r="D969" s="5">
        <v>9.99</v>
      </c>
      <c r="E969" s="3" t="s">
        <v>12629</v>
      </c>
      <c r="F969" s="2" t="s">
        <v>70</v>
      </c>
      <c r="G969" s="6" t="s">
        <v>234</v>
      </c>
      <c r="H969" s="2" t="s">
        <v>1473</v>
      </c>
      <c r="I969" s="2" t="s">
        <v>1426</v>
      </c>
      <c r="J969" s="2" t="s">
        <v>19</v>
      </c>
      <c r="K969" s="2" t="s">
        <v>495</v>
      </c>
      <c r="L969" s="7" t="str">
        <f>HYPERLINK("http://slimages.macys.com/is/image/MCY/12549989 ")</f>
        <v xml:space="preserve">http://slimages.macys.com/is/image/MCY/12549989 </v>
      </c>
    </row>
    <row r="970" spans="1:12" ht="24.75" x14ac:dyDescent="0.25">
      <c r="A970" s="4" t="s">
        <v>13556</v>
      </c>
      <c r="B970" s="2" t="s">
        <v>2051</v>
      </c>
      <c r="C970" s="3">
        <v>1</v>
      </c>
      <c r="D970" s="5">
        <v>9.99</v>
      </c>
      <c r="E970" s="3" t="s">
        <v>2052</v>
      </c>
      <c r="F970" s="2" t="s">
        <v>1322</v>
      </c>
      <c r="G970" s="6" t="s">
        <v>200</v>
      </c>
      <c r="H970" s="2" t="s">
        <v>1473</v>
      </c>
      <c r="I970" s="2" t="s">
        <v>1426</v>
      </c>
      <c r="J970" s="2" t="s">
        <v>19</v>
      </c>
      <c r="K970" s="2" t="s">
        <v>495</v>
      </c>
      <c r="L970" s="7" t="str">
        <f>HYPERLINK("http://slimages.macys.com/is/image/MCY/12267126 ")</f>
        <v xml:space="preserve">http://slimages.macys.com/is/image/MCY/12267126 </v>
      </c>
    </row>
    <row r="971" spans="1:12" ht="24.75" x14ac:dyDescent="0.25">
      <c r="A971" s="4" t="s">
        <v>13557</v>
      </c>
      <c r="B971" s="2" t="s">
        <v>11516</v>
      </c>
      <c r="C971" s="3">
        <v>1</v>
      </c>
      <c r="D971" s="5">
        <v>9.99</v>
      </c>
      <c r="E971" s="3" t="s">
        <v>11517</v>
      </c>
      <c r="F971" s="2" t="s">
        <v>70</v>
      </c>
      <c r="G971" s="6" t="s">
        <v>156</v>
      </c>
      <c r="H971" s="2" t="s">
        <v>1473</v>
      </c>
      <c r="I971" s="2" t="s">
        <v>1426</v>
      </c>
      <c r="J971" s="2" t="s">
        <v>19</v>
      </c>
      <c r="K971" s="2" t="s">
        <v>495</v>
      </c>
      <c r="L971" s="7" t="str">
        <f>HYPERLINK("http://slimages.macys.com/is/image/MCY/12775080 ")</f>
        <v xml:space="preserve">http://slimages.macys.com/is/image/MCY/12775080 </v>
      </c>
    </row>
    <row r="972" spans="1:12" ht="24.75" x14ac:dyDescent="0.25">
      <c r="A972" s="4" t="s">
        <v>12631</v>
      </c>
      <c r="B972" s="2" t="s">
        <v>2061</v>
      </c>
      <c r="C972" s="3">
        <v>1</v>
      </c>
      <c r="D972" s="5">
        <v>9.99</v>
      </c>
      <c r="E972" s="3" t="s">
        <v>4306</v>
      </c>
      <c r="F972" s="2" t="s">
        <v>331</v>
      </c>
      <c r="G972" s="6" t="s">
        <v>234</v>
      </c>
      <c r="H972" s="2" t="s">
        <v>1473</v>
      </c>
      <c r="I972" s="2" t="s">
        <v>1426</v>
      </c>
      <c r="J972" s="2" t="s">
        <v>19</v>
      </c>
      <c r="K972" s="2" t="s">
        <v>495</v>
      </c>
      <c r="L972" s="7" t="str">
        <f>HYPERLINK("http://slimages.macys.com/is/image/MCY/11915620 ")</f>
        <v xml:space="preserve">http://slimages.macys.com/is/image/MCY/11915620 </v>
      </c>
    </row>
    <row r="973" spans="1:12" ht="24.75" x14ac:dyDescent="0.25">
      <c r="A973" s="4" t="s">
        <v>13558</v>
      </c>
      <c r="B973" s="2" t="s">
        <v>12628</v>
      </c>
      <c r="C973" s="3">
        <v>1</v>
      </c>
      <c r="D973" s="5">
        <v>9.99</v>
      </c>
      <c r="E973" s="3" t="s">
        <v>12629</v>
      </c>
      <c r="F973" s="2" t="s">
        <v>70</v>
      </c>
      <c r="G973" s="6" t="s">
        <v>245</v>
      </c>
      <c r="H973" s="2" t="s">
        <v>1473</v>
      </c>
      <c r="I973" s="2" t="s">
        <v>1426</v>
      </c>
      <c r="J973" s="2" t="s">
        <v>19</v>
      </c>
      <c r="K973" s="2" t="s">
        <v>495</v>
      </c>
      <c r="L973" s="7" t="str">
        <f>HYPERLINK("http://slimages.macys.com/is/image/MCY/12549989 ")</f>
        <v xml:space="preserve">http://slimages.macys.com/is/image/MCY/12549989 </v>
      </c>
    </row>
    <row r="974" spans="1:12" ht="24.75" x14ac:dyDescent="0.25">
      <c r="A974" s="4" t="s">
        <v>12635</v>
      </c>
      <c r="B974" s="2" t="s">
        <v>2058</v>
      </c>
      <c r="C974" s="3">
        <v>1</v>
      </c>
      <c r="D974" s="5">
        <v>9.99</v>
      </c>
      <c r="E974" s="3" t="s">
        <v>2059</v>
      </c>
      <c r="F974" s="2" t="s">
        <v>64</v>
      </c>
      <c r="G974" s="6" t="s">
        <v>245</v>
      </c>
      <c r="H974" s="2" t="s">
        <v>1473</v>
      </c>
      <c r="I974" s="2" t="s">
        <v>1426</v>
      </c>
      <c r="J974" s="2" t="s">
        <v>19</v>
      </c>
      <c r="K974" s="2" t="s">
        <v>495</v>
      </c>
      <c r="L974" s="7" t="str">
        <f>HYPERLINK("http://slimages.macys.com/is/image/MCY/12645133 ")</f>
        <v xml:space="preserve">http://slimages.macys.com/is/image/MCY/12645133 </v>
      </c>
    </row>
    <row r="975" spans="1:12" ht="24.75" x14ac:dyDescent="0.25">
      <c r="A975" s="4" t="s">
        <v>13559</v>
      </c>
      <c r="B975" s="2" t="s">
        <v>12633</v>
      </c>
      <c r="C975" s="3">
        <v>1</v>
      </c>
      <c r="D975" s="5">
        <v>9.99</v>
      </c>
      <c r="E975" s="3" t="s">
        <v>12634</v>
      </c>
      <c r="F975" s="2" t="s">
        <v>74</v>
      </c>
      <c r="G975" s="6" t="s">
        <v>234</v>
      </c>
      <c r="H975" s="2" t="s">
        <v>1473</v>
      </c>
      <c r="I975" s="2" t="s">
        <v>1426</v>
      </c>
      <c r="J975" s="2" t="s">
        <v>19</v>
      </c>
      <c r="K975" s="2" t="s">
        <v>495</v>
      </c>
      <c r="L975" s="7" t="str">
        <f>HYPERLINK("http://slimages.macys.com/is/image/MCY/13303967 ")</f>
        <v xml:space="preserve">http://slimages.macys.com/is/image/MCY/13303967 </v>
      </c>
    </row>
    <row r="976" spans="1:12" ht="24.75" x14ac:dyDescent="0.25">
      <c r="A976" s="4" t="s">
        <v>9825</v>
      </c>
      <c r="B976" s="2" t="s">
        <v>7731</v>
      </c>
      <c r="C976" s="3">
        <v>1</v>
      </c>
      <c r="D976" s="5">
        <v>9.99</v>
      </c>
      <c r="E976" s="3" t="s">
        <v>7732</v>
      </c>
      <c r="F976" s="2" t="s">
        <v>26</v>
      </c>
      <c r="G976" s="6" t="s">
        <v>181</v>
      </c>
      <c r="H976" s="2" t="s">
        <v>1473</v>
      </c>
      <c r="I976" s="2" t="s">
        <v>1426</v>
      </c>
      <c r="J976" s="2" t="s">
        <v>19</v>
      </c>
      <c r="K976" s="2" t="s">
        <v>495</v>
      </c>
      <c r="L976" s="7" t="str">
        <f>HYPERLINK("http://slimages.macys.com/is/image/MCY/12072278 ")</f>
        <v xml:space="preserve">http://slimages.macys.com/is/image/MCY/12072278 </v>
      </c>
    </row>
    <row r="977" spans="1:12" ht="24.75" x14ac:dyDescent="0.25">
      <c r="A977" s="4" t="s">
        <v>7730</v>
      </c>
      <c r="B977" s="2" t="s">
        <v>7731</v>
      </c>
      <c r="C977" s="3">
        <v>1</v>
      </c>
      <c r="D977" s="5">
        <v>9.99</v>
      </c>
      <c r="E977" s="3" t="s">
        <v>7732</v>
      </c>
      <c r="F977" s="2" t="s">
        <v>74</v>
      </c>
      <c r="G977" s="6" t="s">
        <v>154</v>
      </c>
      <c r="H977" s="2" t="s">
        <v>1473</v>
      </c>
      <c r="I977" s="2" t="s">
        <v>1426</v>
      </c>
      <c r="J977" s="2" t="s">
        <v>19</v>
      </c>
      <c r="K977" s="2" t="s">
        <v>495</v>
      </c>
      <c r="L977" s="7" t="str">
        <f>HYPERLINK("http://slimages.macys.com/is/image/MCY/12072278 ")</f>
        <v xml:space="preserve">http://slimages.macys.com/is/image/MCY/12072278 </v>
      </c>
    </row>
    <row r="978" spans="1:12" ht="24.75" x14ac:dyDescent="0.25">
      <c r="A978" s="4" t="s">
        <v>13560</v>
      </c>
      <c r="B978" s="2" t="s">
        <v>2058</v>
      </c>
      <c r="C978" s="3">
        <v>1</v>
      </c>
      <c r="D978" s="5">
        <v>9.99</v>
      </c>
      <c r="E978" s="3" t="s">
        <v>2059</v>
      </c>
      <c r="F978" s="2" t="s">
        <v>64</v>
      </c>
      <c r="G978" s="6" t="s">
        <v>156</v>
      </c>
      <c r="H978" s="2" t="s">
        <v>1473</v>
      </c>
      <c r="I978" s="2" t="s">
        <v>1426</v>
      </c>
      <c r="J978" s="2" t="s">
        <v>19</v>
      </c>
      <c r="K978" s="2" t="s">
        <v>495</v>
      </c>
      <c r="L978" s="7" t="str">
        <f>HYPERLINK("http://slimages.macys.com/is/image/MCY/12645133 ")</f>
        <v xml:space="preserve">http://slimages.macys.com/is/image/MCY/12645133 </v>
      </c>
    </row>
    <row r="979" spans="1:12" ht="24.75" x14ac:dyDescent="0.25">
      <c r="A979" s="4" t="s">
        <v>11534</v>
      </c>
      <c r="B979" s="2" t="s">
        <v>2036</v>
      </c>
      <c r="C979" s="3">
        <v>1</v>
      </c>
      <c r="D979" s="5">
        <v>12.99</v>
      </c>
      <c r="E979" s="3" t="s">
        <v>2037</v>
      </c>
      <c r="F979" s="2" t="s">
        <v>2619</v>
      </c>
      <c r="G979" s="6" t="s">
        <v>181</v>
      </c>
      <c r="H979" s="2" t="s">
        <v>194</v>
      </c>
      <c r="I979" s="2" t="s">
        <v>195</v>
      </c>
      <c r="J979" s="2" t="s">
        <v>19</v>
      </c>
      <c r="K979" s="2" t="s">
        <v>495</v>
      </c>
      <c r="L979" s="7" t="str">
        <f>HYPERLINK("http://slimages.macys.com/is/image/MCY/9344781 ")</f>
        <v xml:space="preserve">http://slimages.macys.com/is/image/MCY/9344781 </v>
      </c>
    </row>
    <row r="980" spans="1:12" ht="24.75" x14ac:dyDescent="0.25">
      <c r="A980" s="4" t="s">
        <v>4314</v>
      </c>
      <c r="B980" s="2" t="s">
        <v>2036</v>
      </c>
      <c r="C980" s="3">
        <v>2</v>
      </c>
      <c r="D980" s="5">
        <v>12.99</v>
      </c>
      <c r="E980" s="3" t="s">
        <v>2037</v>
      </c>
      <c r="F980" s="2" t="s">
        <v>566</v>
      </c>
      <c r="G980" s="6" t="s">
        <v>181</v>
      </c>
      <c r="H980" s="2" t="s">
        <v>194</v>
      </c>
      <c r="I980" s="2" t="s">
        <v>195</v>
      </c>
      <c r="J980" s="2" t="s">
        <v>19</v>
      </c>
      <c r="K980" s="2" t="s">
        <v>495</v>
      </c>
      <c r="L980" s="7" t="str">
        <f>HYPERLINK("http://slimages.macys.com/is/image/MCY/9344781 ")</f>
        <v xml:space="preserve">http://slimages.macys.com/is/image/MCY/9344781 </v>
      </c>
    </row>
    <row r="981" spans="1:12" ht="24.75" x14ac:dyDescent="0.25">
      <c r="A981" s="4" t="s">
        <v>13561</v>
      </c>
      <c r="B981" s="2" t="s">
        <v>2068</v>
      </c>
      <c r="C981" s="3">
        <v>1</v>
      </c>
      <c r="D981" s="5">
        <v>12.99</v>
      </c>
      <c r="E981" s="3" t="s">
        <v>2069</v>
      </c>
      <c r="F981" s="2" t="s">
        <v>3267</v>
      </c>
      <c r="G981" s="6" t="s">
        <v>200</v>
      </c>
      <c r="H981" s="2" t="s">
        <v>194</v>
      </c>
      <c r="I981" s="2" t="s">
        <v>195</v>
      </c>
      <c r="J981" s="2" t="s">
        <v>19</v>
      </c>
      <c r="K981" s="2" t="s">
        <v>648</v>
      </c>
      <c r="L981" s="7" t="str">
        <f>HYPERLINK("http://slimages.macys.com/is/image/MCY/12316464 ")</f>
        <v xml:space="preserve">http://slimages.macys.com/is/image/MCY/12316464 </v>
      </c>
    </row>
    <row r="982" spans="1:12" ht="24.75" x14ac:dyDescent="0.25">
      <c r="A982" s="4" t="s">
        <v>13562</v>
      </c>
      <c r="B982" s="2" t="s">
        <v>2064</v>
      </c>
      <c r="C982" s="3">
        <v>2</v>
      </c>
      <c r="D982" s="5">
        <v>9.99</v>
      </c>
      <c r="E982" s="3" t="s">
        <v>3279</v>
      </c>
      <c r="F982" s="2" t="s">
        <v>94</v>
      </c>
      <c r="G982" s="6" t="s">
        <v>181</v>
      </c>
      <c r="H982" s="2" t="s">
        <v>1473</v>
      </c>
      <c r="I982" s="2" t="s">
        <v>1426</v>
      </c>
      <c r="J982" s="2" t="s">
        <v>19</v>
      </c>
      <c r="K982" s="2" t="s">
        <v>990</v>
      </c>
      <c r="L982" s="7" t="str">
        <f>HYPERLINK("http://slimages.macys.com/is/image/MCY/11130625 ")</f>
        <v xml:space="preserve">http://slimages.macys.com/is/image/MCY/11130625 </v>
      </c>
    </row>
    <row r="983" spans="1:12" ht="24.75" x14ac:dyDescent="0.25">
      <c r="A983" s="4" t="s">
        <v>13563</v>
      </c>
      <c r="B983" s="2" t="s">
        <v>2064</v>
      </c>
      <c r="C983" s="3">
        <v>2</v>
      </c>
      <c r="D983" s="5">
        <v>9.99</v>
      </c>
      <c r="E983" s="3" t="s">
        <v>3279</v>
      </c>
      <c r="F983" s="2" t="s">
        <v>94</v>
      </c>
      <c r="G983" s="6" t="s">
        <v>245</v>
      </c>
      <c r="H983" s="2" t="s">
        <v>1473</v>
      </c>
      <c r="I983" s="2" t="s">
        <v>1426</v>
      </c>
      <c r="J983" s="2" t="s">
        <v>19</v>
      </c>
      <c r="K983" s="2" t="s">
        <v>990</v>
      </c>
      <c r="L983" s="7" t="str">
        <f>HYPERLINK("http://slimages.macys.com/is/image/MCY/11130625 ")</f>
        <v xml:space="preserve">http://slimages.macys.com/is/image/MCY/11130625 </v>
      </c>
    </row>
    <row r="984" spans="1:12" ht="24.75" x14ac:dyDescent="0.25">
      <c r="A984" s="4" t="s">
        <v>13564</v>
      </c>
      <c r="B984" s="2" t="s">
        <v>2064</v>
      </c>
      <c r="C984" s="3">
        <v>1</v>
      </c>
      <c r="D984" s="5">
        <v>9.99</v>
      </c>
      <c r="E984" s="3" t="s">
        <v>3279</v>
      </c>
      <c r="F984" s="2" t="s">
        <v>331</v>
      </c>
      <c r="G984" s="6" t="s">
        <v>154</v>
      </c>
      <c r="H984" s="2" t="s">
        <v>1473</v>
      </c>
      <c r="I984" s="2" t="s">
        <v>1426</v>
      </c>
      <c r="J984" s="2" t="s">
        <v>19</v>
      </c>
      <c r="K984" s="2" t="s">
        <v>990</v>
      </c>
      <c r="L984" s="7" t="str">
        <f>HYPERLINK("http://slimages.macys.com/is/image/MCY/11130625 ")</f>
        <v xml:space="preserve">http://slimages.macys.com/is/image/MCY/11130625 </v>
      </c>
    </row>
    <row r="985" spans="1:12" ht="24.75" x14ac:dyDescent="0.25">
      <c r="A985" s="4" t="s">
        <v>13565</v>
      </c>
      <c r="B985" s="2" t="s">
        <v>2064</v>
      </c>
      <c r="C985" s="3">
        <v>2</v>
      </c>
      <c r="D985" s="5">
        <v>9.99</v>
      </c>
      <c r="E985" s="3" t="s">
        <v>3279</v>
      </c>
      <c r="F985" s="2" t="s">
        <v>331</v>
      </c>
      <c r="G985" s="6" t="s">
        <v>245</v>
      </c>
      <c r="H985" s="2" t="s">
        <v>1473</v>
      </c>
      <c r="I985" s="2" t="s">
        <v>1426</v>
      </c>
      <c r="J985" s="2" t="s">
        <v>19</v>
      </c>
      <c r="K985" s="2" t="s">
        <v>990</v>
      </c>
      <c r="L985" s="7" t="str">
        <f>HYPERLINK("http://slimages.macys.com/is/image/MCY/11130625 ")</f>
        <v xml:space="preserve">http://slimages.macys.com/is/image/MCY/11130625 </v>
      </c>
    </row>
    <row r="986" spans="1:12" ht="24.75" x14ac:dyDescent="0.25">
      <c r="A986" s="4" t="s">
        <v>13566</v>
      </c>
      <c r="B986" s="2" t="s">
        <v>2064</v>
      </c>
      <c r="C986" s="3">
        <v>2</v>
      </c>
      <c r="D986" s="5">
        <v>9.99</v>
      </c>
      <c r="E986" s="3" t="s">
        <v>3279</v>
      </c>
      <c r="F986" s="2" t="s">
        <v>331</v>
      </c>
      <c r="G986" s="6" t="s">
        <v>156</v>
      </c>
      <c r="H986" s="2" t="s">
        <v>1473</v>
      </c>
      <c r="I986" s="2" t="s">
        <v>1426</v>
      </c>
      <c r="J986" s="2" t="s">
        <v>19</v>
      </c>
      <c r="K986" s="2" t="s">
        <v>990</v>
      </c>
      <c r="L986" s="7" t="str">
        <f>HYPERLINK("http://slimages.macys.com/is/image/MCY/11130625 ")</f>
        <v xml:space="preserve">http://slimages.macys.com/is/image/MCY/11130625 </v>
      </c>
    </row>
    <row r="987" spans="1:12" ht="24.75" x14ac:dyDescent="0.25">
      <c r="A987" s="4" t="s">
        <v>13567</v>
      </c>
      <c r="B987" s="2" t="s">
        <v>12644</v>
      </c>
      <c r="C987" s="3">
        <v>1</v>
      </c>
      <c r="D987" s="5">
        <v>9.99</v>
      </c>
      <c r="E987" s="3" t="s">
        <v>12645</v>
      </c>
      <c r="F987" s="2" t="s">
        <v>1322</v>
      </c>
      <c r="G987" s="6" t="s">
        <v>219</v>
      </c>
      <c r="H987" s="2" t="s">
        <v>1425</v>
      </c>
      <c r="I987" s="2" t="s">
        <v>1426</v>
      </c>
      <c r="J987" s="2" t="s">
        <v>19</v>
      </c>
      <c r="K987" s="2" t="s">
        <v>495</v>
      </c>
      <c r="L987" s="7" t="str">
        <f>HYPERLINK("http://slimages.macys.com/is/image/MCY/11029769 ")</f>
        <v xml:space="preserve">http://slimages.macys.com/is/image/MCY/11029769 </v>
      </c>
    </row>
    <row r="988" spans="1:12" ht="24.75" x14ac:dyDescent="0.25">
      <c r="A988" s="4" t="s">
        <v>5276</v>
      </c>
      <c r="B988" s="2" t="s">
        <v>2064</v>
      </c>
      <c r="C988" s="3">
        <v>1</v>
      </c>
      <c r="D988" s="5">
        <v>9.99</v>
      </c>
      <c r="E988" s="3" t="s">
        <v>3279</v>
      </c>
      <c r="F988" s="2" t="s">
        <v>1914</v>
      </c>
      <c r="G988" s="6" t="s">
        <v>181</v>
      </c>
      <c r="H988" s="2" t="s">
        <v>1473</v>
      </c>
      <c r="I988" s="2" t="s">
        <v>1426</v>
      </c>
      <c r="J988" s="2" t="s">
        <v>19</v>
      </c>
      <c r="K988" s="2" t="s">
        <v>990</v>
      </c>
      <c r="L988" s="7" t="str">
        <f t="shared" ref="L988:L993" si="10">HYPERLINK("http://slimages.macys.com/is/image/MCY/11130625 ")</f>
        <v xml:space="preserve">http://slimages.macys.com/is/image/MCY/11130625 </v>
      </c>
    </row>
    <row r="989" spans="1:12" ht="24.75" x14ac:dyDescent="0.25">
      <c r="A989" s="4" t="s">
        <v>4316</v>
      </c>
      <c r="B989" s="2" t="s">
        <v>2064</v>
      </c>
      <c r="C989" s="3">
        <v>1</v>
      </c>
      <c r="D989" s="5">
        <v>9.99</v>
      </c>
      <c r="E989" s="3" t="s">
        <v>3279</v>
      </c>
      <c r="F989" s="2" t="s">
        <v>1914</v>
      </c>
      <c r="G989" s="6" t="s">
        <v>156</v>
      </c>
      <c r="H989" s="2" t="s">
        <v>1473</v>
      </c>
      <c r="I989" s="2" t="s">
        <v>1426</v>
      </c>
      <c r="J989" s="2" t="s">
        <v>19</v>
      </c>
      <c r="K989" s="2" t="s">
        <v>990</v>
      </c>
      <c r="L989" s="7" t="str">
        <f t="shared" si="10"/>
        <v xml:space="preserve">http://slimages.macys.com/is/image/MCY/11130625 </v>
      </c>
    </row>
    <row r="990" spans="1:12" ht="24.75" x14ac:dyDescent="0.25">
      <c r="A990" s="4" t="s">
        <v>8393</v>
      </c>
      <c r="B990" s="2" t="s">
        <v>2064</v>
      </c>
      <c r="C990" s="3">
        <v>3</v>
      </c>
      <c r="D990" s="5">
        <v>9.99</v>
      </c>
      <c r="E990" s="3" t="s">
        <v>3279</v>
      </c>
      <c r="F990" s="2" t="s">
        <v>1914</v>
      </c>
      <c r="G990" s="6" t="s">
        <v>234</v>
      </c>
      <c r="H990" s="2" t="s">
        <v>1473</v>
      </c>
      <c r="I990" s="2" t="s">
        <v>1426</v>
      </c>
      <c r="J990" s="2" t="s">
        <v>19</v>
      </c>
      <c r="K990" s="2" t="s">
        <v>990</v>
      </c>
      <c r="L990" s="7" t="str">
        <f t="shared" si="10"/>
        <v xml:space="preserve">http://slimages.macys.com/is/image/MCY/11130625 </v>
      </c>
    </row>
    <row r="991" spans="1:12" ht="24.75" x14ac:dyDescent="0.25">
      <c r="A991" s="4" t="s">
        <v>13568</v>
      </c>
      <c r="B991" s="2" t="s">
        <v>2064</v>
      </c>
      <c r="C991" s="3">
        <v>1</v>
      </c>
      <c r="D991" s="5">
        <v>9.99</v>
      </c>
      <c r="E991" s="3" t="s">
        <v>3279</v>
      </c>
      <c r="F991" s="2" t="s">
        <v>3267</v>
      </c>
      <c r="G991" s="6" t="s">
        <v>181</v>
      </c>
      <c r="H991" s="2" t="s">
        <v>1473</v>
      </c>
      <c r="I991" s="2" t="s">
        <v>1426</v>
      </c>
      <c r="J991" s="2" t="s">
        <v>19</v>
      </c>
      <c r="K991" s="2" t="s">
        <v>990</v>
      </c>
      <c r="L991" s="7" t="str">
        <f t="shared" si="10"/>
        <v xml:space="preserve">http://slimages.macys.com/is/image/MCY/11130625 </v>
      </c>
    </row>
    <row r="992" spans="1:12" ht="24.75" x14ac:dyDescent="0.25">
      <c r="A992" s="4" t="s">
        <v>13569</v>
      </c>
      <c r="B992" s="2" t="s">
        <v>2064</v>
      </c>
      <c r="C992" s="3">
        <v>1</v>
      </c>
      <c r="D992" s="5">
        <v>9.99</v>
      </c>
      <c r="E992" s="3" t="s">
        <v>3279</v>
      </c>
      <c r="F992" s="2" t="s">
        <v>94</v>
      </c>
      <c r="G992" s="6" t="s">
        <v>154</v>
      </c>
      <c r="H992" s="2" t="s">
        <v>1473</v>
      </c>
      <c r="I992" s="2" t="s">
        <v>1426</v>
      </c>
      <c r="J992" s="2" t="s">
        <v>19</v>
      </c>
      <c r="K992" s="2" t="s">
        <v>990</v>
      </c>
      <c r="L992" s="7" t="str">
        <f t="shared" si="10"/>
        <v xml:space="preserve">http://slimages.macys.com/is/image/MCY/11130625 </v>
      </c>
    </row>
    <row r="993" spans="1:12" ht="24.75" x14ac:dyDescent="0.25">
      <c r="A993" s="4" t="s">
        <v>13570</v>
      </c>
      <c r="B993" s="2" t="s">
        <v>2064</v>
      </c>
      <c r="C993" s="3">
        <v>4</v>
      </c>
      <c r="D993" s="5">
        <v>9.99</v>
      </c>
      <c r="E993" s="3" t="s">
        <v>3279</v>
      </c>
      <c r="F993" s="2" t="s">
        <v>331</v>
      </c>
      <c r="G993" s="6" t="s">
        <v>181</v>
      </c>
      <c r="H993" s="2" t="s">
        <v>1473</v>
      </c>
      <c r="I993" s="2" t="s">
        <v>1426</v>
      </c>
      <c r="J993" s="2" t="s">
        <v>19</v>
      </c>
      <c r="K993" s="2" t="s">
        <v>990</v>
      </c>
      <c r="L993" s="7" t="str">
        <f t="shared" si="10"/>
        <v xml:space="preserve">http://slimages.macys.com/is/image/MCY/11130625 </v>
      </c>
    </row>
    <row r="994" spans="1:12" ht="24.75" x14ac:dyDescent="0.25">
      <c r="A994" s="4" t="s">
        <v>13571</v>
      </c>
      <c r="B994" s="2" t="s">
        <v>6234</v>
      </c>
      <c r="C994" s="3">
        <v>1</v>
      </c>
      <c r="D994" s="5">
        <v>9.99</v>
      </c>
      <c r="E994" s="3" t="s">
        <v>6235</v>
      </c>
      <c r="F994" s="2" t="s">
        <v>26</v>
      </c>
      <c r="G994" s="6" t="s">
        <v>154</v>
      </c>
      <c r="H994" s="2" t="s">
        <v>1473</v>
      </c>
      <c r="I994" s="2" t="s">
        <v>1426</v>
      </c>
      <c r="J994" s="2" t="s">
        <v>19</v>
      </c>
      <c r="K994" s="2" t="s">
        <v>648</v>
      </c>
      <c r="L994" s="7" t="str">
        <f>HYPERLINK("http://slimages.macys.com/is/image/MCY/11417319 ")</f>
        <v xml:space="preserve">http://slimages.macys.com/is/image/MCY/11417319 </v>
      </c>
    </row>
    <row r="995" spans="1:12" ht="24.75" x14ac:dyDescent="0.25">
      <c r="A995" s="4" t="s">
        <v>13572</v>
      </c>
      <c r="B995" s="2" t="s">
        <v>11541</v>
      </c>
      <c r="C995" s="3">
        <v>1</v>
      </c>
      <c r="D995" s="5">
        <v>12.98</v>
      </c>
      <c r="E995" s="3" t="s">
        <v>11542</v>
      </c>
      <c r="F995" s="2" t="s">
        <v>74</v>
      </c>
      <c r="G995" s="6" t="s">
        <v>156</v>
      </c>
      <c r="H995" s="2" t="s">
        <v>2029</v>
      </c>
      <c r="I995" s="2" t="s">
        <v>2030</v>
      </c>
      <c r="J995" s="2" t="s">
        <v>19</v>
      </c>
      <c r="K995" s="2" t="s">
        <v>1108</v>
      </c>
      <c r="L995" s="7" t="str">
        <f>HYPERLINK("http://slimages.macys.com/is/image/MCY/11302317 ")</f>
        <v xml:space="preserve">http://slimages.macys.com/is/image/MCY/11302317 </v>
      </c>
    </row>
    <row r="996" spans="1:12" ht="24.75" x14ac:dyDescent="0.25">
      <c r="A996" s="4" t="s">
        <v>13573</v>
      </c>
      <c r="B996" s="2" t="s">
        <v>2068</v>
      </c>
      <c r="C996" s="3">
        <v>2</v>
      </c>
      <c r="D996" s="5">
        <v>12.99</v>
      </c>
      <c r="E996" s="3" t="s">
        <v>2069</v>
      </c>
      <c r="F996" s="2" t="s">
        <v>464</v>
      </c>
      <c r="G996" s="6" t="s">
        <v>234</v>
      </c>
      <c r="H996" s="2" t="s">
        <v>194</v>
      </c>
      <c r="I996" s="2" t="s">
        <v>195</v>
      </c>
      <c r="J996" s="2" t="s">
        <v>19</v>
      </c>
      <c r="K996" s="2" t="s">
        <v>648</v>
      </c>
      <c r="L996" s="7" t="str">
        <f>HYPERLINK("http://slimages.macys.com/is/image/MCY/14447310 ")</f>
        <v xml:space="preserve">http://slimages.macys.com/is/image/MCY/14447310 </v>
      </c>
    </row>
    <row r="997" spans="1:12" ht="24.75" x14ac:dyDescent="0.25">
      <c r="A997" s="4" t="s">
        <v>13574</v>
      </c>
      <c r="B997" s="2" t="s">
        <v>2068</v>
      </c>
      <c r="C997" s="3">
        <v>1</v>
      </c>
      <c r="D997" s="5">
        <v>12.99</v>
      </c>
      <c r="E997" s="3" t="s">
        <v>2069</v>
      </c>
      <c r="F997" s="2" t="s">
        <v>1788</v>
      </c>
      <c r="G997" s="6" t="s">
        <v>245</v>
      </c>
      <c r="H997" s="2" t="s">
        <v>194</v>
      </c>
      <c r="I997" s="2" t="s">
        <v>195</v>
      </c>
      <c r="J997" s="2" t="s">
        <v>19</v>
      </c>
      <c r="K997" s="2" t="s">
        <v>648</v>
      </c>
      <c r="L997" s="7" t="str">
        <f>HYPERLINK("http://slimages.macys.com/is/image/MCY/15142218 ")</f>
        <v xml:space="preserve">http://slimages.macys.com/is/image/MCY/15142218 </v>
      </c>
    </row>
    <row r="998" spans="1:12" ht="24.75" x14ac:dyDescent="0.25">
      <c r="A998" s="4" t="s">
        <v>12654</v>
      </c>
      <c r="B998" s="2" t="s">
        <v>4318</v>
      </c>
      <c r="C998" s="3">
        <v>2</v>
      </c>
      <c r="D998" s="5">
        <v>9.99</v>
      </c>
      <c r="E998" s="3" t="s">
        <v>4319</v>
      </c>
      <c r="F998" s="2" t="s">
        <v>1945</v>
      </c>
      <c r="G998" s="6" t="s">
        <v>234</v>
      </c>
      <c r="H998" s="2" t="s">
        <v>1473</v>
      </c>
      <c r="I998" s="2" t="s">
        <v>1426</v>
      </c>
      <c r="J998" s="2" t="s">
        <v>19</v>
      </c>
      <c r="K998" s="2" t="s">
        <v>648</v>
      </c>
      <c r="L998" s="7" t="str">
        <f>HYPERLINK("http://slimages.macys.com/is/image/MCY/13301237 ")</f>
        <v xml:space="preserve">http://slimages.macys.com/is/image/MCY/13301237 </v>
      </c>
    </row>
    <row r="999" spans="1:12" ht="24.75" x14ac:dyDescent="0.25">
      <c r="A999" s="4" t="s">
        <v>13575</v>
      </c>
      <c r="B999" s="2" t="s">
        <v>9240</v>
      </c>
      <c r="C999" s="3">
        <v>1</v>
      </c>
      <c r="D999" s="5">
        <v>9.99</v>
      </c>
      <c r="E999" s="3" t="s">
        <v>9241</v>
      </c>
      <c r="F999" s="2" t="s">
        <v>15</v>
      </c>
      <c r="G999" s="6" t="s">
        <v>200</v>
      </c>
      <c r="H999" s="2" t="s">
        <v>1473</v>
      </c>
      <c r="I999" s="2" t="s">
        <v>1426</v>
      </c>
      <c r="J999" s="2" t="s">
        <v>19</v>
      </c>
      <c r="K999" s="2" t="s">
        <v>648</v>
      </c>
      <c r="L999" s="7" t="str">
        <f>HYPERLINK("http://slimages.macys.com/is/image/MCY/10918744 ")</f>
        <v xml:space="preserve">http://slimages.macys.com/is/image/MCY/10918744 </v>
      </c>
    </row>
    <row r="1000" spans="1:12" ht="24.75" x14ac:dyDescent="0.25">
      <c r="A1000" s="4" t="s">
        <v>13576</v>
      </c>
      <c r="B1000" s="2" t="s">
        <v>9240</v>
      </c>
      <c r="C1000" s="3">
        <v>1</v>
      </c>
      <c r="D1000" s="5">
        <v>9.99</v>
      </c>
      <c r="E1000" s="3" t="s">
        <v>9241</v>
      </c>
      <c r="F1000" s="2" t="s">
        <v>15</v>
      </c>
      <c r="G1000" s="6" t="s">
        <v>154</v>
      </c>
      <c r="H1000" s="2" t="s">
        <v>1473</v>
      </c>
      <c r="I1000" s="2" t="s">
        <v>1426</v>
      </c>
      <c r="J1000" s="2" t="s">
        <v>19</v>
      </c>
      <c r="K1000" s="2" t="s">
        <v>648</v>
      </c>
      <c r="L1000" s="7" t="str">
        <f>HYPERLINK("http://slimages.macys.com/is/image/MCY/10918744 ")</f>
        <v xml:space="preserve">http://slimages.macys.com/is/image/MCY/10918744 </v>
      </c>
    </row>
    <row r="1001" spans="1:12" ht="24.75" x14ac:dyDescent="0.25">
      <c r="A1001" s="4" t="s">
        <v>9827</v>
      </c>
      <c r="B1001" s="2" t="s">
        <v>9240</v>
      </c>
      <c r="C1001" s="3">
        <v>1</v>
      </c>
      <c r="D1001" s="5">
        <v>9.99</v>
      </c>
      <c r="E1001" s="3" t="s">
        <v>9241</v>
      </c>
      <c r="F1001" s="2" t="s">
        <v>79</v>
      </c>
      <c r="G1001" s="6" t="s">
        <v>154</v>
      </c>
      <c r="H1001" s="2" t="s">
        <v>1473</v>
      </c>
      <c r="I1001" s="2" t="s">
        <v>1426</v>
      </c>
      <c r="J1001" s="2" t="s">
        <v>19</v>
      </c>
      <c r="K1001" s="2" t="s">
        <v>648</v>
      </c>
      <c r="L1001" s="7" t="str">
        <f>HYPERLINK("http://slimages.macys.com/is/image/MCY/10918744 ")</f>
        <v xml:space="preserve">http://slimages.macys.com/is/image/MCY/10918744 </v>
      </c>
    </row>
    <row r="1002" spans="1:12" ht="24.75" x14ac:dyDescent="0.25">
      <c r="A1002" s="4" t="s">
        <v>12660</v>
      </c>
      <c r="B1002" s="2" t="s">
        <v>4326</v>
      </c>
      <c r="C1002" s="3">
        <v>1</v>
      </c>
      <c r="D1002" s="5">
        <v>9.99</v>
      </c>
      <c r="E1002" s="3" t="s">
        <v>4327</v>
      </c>
      <c r="F1002" s="2" t="s">
        <v>26</v>
      </c>
      <c r="G1002" s="6" t="s">
        <v>234</v>
      </c>
      <c r="H1002" s="2" t="s">
        <v>1473</v>
      </c>
      <c r="I1002" s="2" t="s">
        <v>1426</v>
      </c>
      <c r="J1002" s="2" t="s">
        <v>19</v>
      </c>
      <c r="K1002" s="2" t="s">
        <v>495</v>
      </c>
      <c r="L1002" s="7" t="str">
        <f>HYPERLINK("http://slimages.macys.com/is/image/MCY/10742489 ")</f>
        <v xml:space="preserve">http://slimages.macys.com/is/image/MCY/10742489 </v>
      </c>
    </row>
    <row r="1003" spans="1:12" ht="24.75" x14ac:dyDescent="0.25">
      <c r="A1003" s="4" t="s">
        <v>9250</v>
      </c>
      <c r="B1003" s="2" t="s">
        <v>2075</v>
      </c>
      <c r="C1003" s="3">
        <v>1</v>
      </c>
      <c r="D1003" s="5">
        <v>9.99</v>
      </c>
      <c r="E1003" s="3" t="s">
        <v>2076</v>
      </c>
      <c r="F1003" s="2" t="s">
        <v>26</v>
      </c>
      <c r="G1003" s="6" t="s">
        <v>156</v>
      </c>
      <c r="H1003" s="2" t="s">
        <v>1473</v>
      </c>
      <c r="I1003" s="2" t="s">
        <v>1426</v>
      </c>
      <c r="J1003" s="2" t="s">
        <v>19</v>
      </c>
      <c r="K1003" s="2" t="s">
        <v>990</v>
      </c>
      <c r="L1003" s="7" t="str">
        <f t="shared" ref="L1003:L1011" si="11">HYPERLINK("http://slimages.macys.com/is/image/MCY/15161436 ")</f>
        <v xml:space="preserve">http://slimages.macys.com/is/image/MCY/15161436 </v>
      </c>
    </row>
    <row r="1004" spans="1:12" ht="24.75" x14ac:dyDescent="0.25">
      <c r="A1004" s="4" t="s">
        <v>6966</v>
      </c>
      <c r="B1004" s="2" t="s">
        <v>2075</v>
      </c>
      <c r="C1004" s="3">
        <v>1</v>
      </c>
      <c r="D1004" s="5">
        <v>9.99</v>
      </c>
      <c r="E1004" s="3" t="s">
        <v>2076</v>
      </c>
      <c r="F1004" s="2" t="s">
        <v>331</v>
      </c>
      <c r="G1004" s="6" t="s">
        <v>156</v>
      </c>
      <c r="H1004" s="2" t="s">
        <v>1473</v>
      </c>
      <c r="I1004" s="2" t="s">
        <v>1426</v>
      </c>
      <c r="J1004" s="2" t="s">
        <v>19</v>
      </c>
      <c r="K1004" s="2" t="s">
        <v>990</v>
      </c>
      <c r="L1004" s="7" t="str">
        <f t="shared" si="11"/>
        <v xml:space="preserve">http://slimages.macys.com/is/image/MCY/15161436 </v>
      </c>
    </row>
    <row r="1005" spans="1:12" ht="24.75" x14ac:dyDescent="0.25">
      <c r="A1005" s="4" t="s">
        <v>12663</v>
      </c>
      <c r="B1005" s="2" t="s">
        <v>2075</v>
      </c>
      <c r="C1005" s="3">
        <v>1</v>
      </c>
      <c r="D1005" s="5">
        <v>9.99</v>
      </c>
      <c r="E1005" s="3" t="s">
        <v>2076</v>
      </c>
      <c r="F1005" s="2" t="s">
        <v>26</v>
      </c>
      <c r="G1005" s="6" t="s">
        <v>200</v>
      </c>
      <c r="H1005" s="2" t="s">
        <v>1473</v>
      </c>
      <c r="I1005" s="2" t="s">
        <v>1426</v>
      </c>
      <c r="J1005" s="2" t="s">
        <v>19</v>
      </c>
      <c r="K1005" s="2" t="s">
        <v>990</v>
      </c>
      <c r="L1005" s="7" t="str">
        <f t="shared" si="11"/>
        <v xml:space="preserve">http://slimages.macys.com/is/image/MCY/15161436 </v>
      </c>
    </row>
    <row r="1006" spans="1:12" ht="24.75" x14ac:dyDescent="0.25">
      <c r="A1006" s="4" t="s">
        <v>9835</v>
      </c>
      <c r="B1006" s="2" t="s">
        <v>2075</v>
      </c>
      <c r="C1006" s="3">
        <v>1</v>
      </c>
      <c r="D1006" s="5">
        <v>9.99</v>
      </c>
      <c r="E1006" s="3" t="s">
        <v>2076</v>
      </c>
      <c r="F1006" s="2" t="s">
        <v>417</v>
      </c>
      <c r="G1006" s="6" t="s">
        <v>156</v>
      </c>
      <c r="H1006" s="2" t="s">
        <v>1473</v>
      </c>
      <c r="I1006" s="2" t="s">
        <v>1426</v>
      </c>
      <c r="J1006" s="2" t="s">
        <v>19</v>
      </c>
      <c r="K1006" s="2" t="s">
        <v>990</v>
      </c>
      <c r="L1006" s="7" t="str">
        <f t="shared" si="11"/>
        <v xml:space="preserve">http://slimages.macys.com/is/image/MCY/15161436 </v>
      </c>
    </row>
    <row r="1007" spans="1:12" ht="24.75" x14ac:dyDescent="0.25">
      <c r="A1007" s="4" t="s">
        <v>9246</v>
      </c>
      <c r="B1007" s="2" t="s">
        <v>2075</v>
      </c>
      <c r="C1007" s="3">
        <v>1</v>
      </c>
      <c r="D1007" s="5">
        <v>9.99</v>
      </c>
      <c r="E1007" s="3" t="s">
        <v>2076</v>
      </c>
      <c r="F1007" s="2" t="s">
        <v>1945</v>
      </c>
      <c r="G1007" s="6" t="s">
        <v>245</v>
      </c>
      <c r="H1007" s="2" t="s">
        <v>1473</v>
      </c>
      <c r="I1007" s="2" t="s">
        <v>1426</v>
      </c>
      <c r="J1007" s="2" t="s">
        <v>19</v>
      </c>
      <c r="K1007" s="2" t="s">
        <v>990</v>
      </c>
      <c r="L1007" s="7" t="str">
        <f t="shared" si="11"/>
        <v xml:space="preserve">http://slimages.macys.com/is/image/MCY/15161436 </v>
      </c>
    </row>
    <row r="1008" spans="1:12" ht="24.75" x14ac:dyDescent="0.25">
      <c r="A1008" s="4" t="s">
        <v>4333</v>
      </c>
      <c r="B1008" s="2" t="s">
        <v>2075</v>
      </c>
      <c r="C1008" s="3">
        <v>2</v>
      </c>
      <c r="D1008" s="5">
        <v>9.99</v>
      </c>
      <c r="E1008" s="3" t="s">
        <v>2076</v>
      </c>
      <c r="F1008" s="2" t="s">
        <v>74</v>
      </c>
      <c r="G1008" s="6" t="s">
        <v>234</v>
      </c>
      <c r="H1008" s="2" t="s">
        <v>1473</v>
      </c>
      <c r="I1008" s="2" t="s">
        <v>1426</v>
      </c>
      <c r="J1008" s="2" t="s">
        <v>19</v>
      </c>
      <c r="K1008" s="2" t="s">
        <v>990</v>
      </c>
      <c r="L1008" s="7" t="str">
        <f t="shared" si="11"/>
        <v xml:space="preserve">http://slimages.macys.com/is/image/MCY/15161436 </v>
      </c>
    </row>
    <row r="1009" spans="1:12" ht="24.75" x14ac:dyDescent="0.25">
      <c r="A1009" s="4" t="s">
        <v>5293</v>
      </c>
      <c r="B1009" s="2" t="s">
        <v>2075</v>
      </c>
      <c r="C1009" s="3">
        <v>1</v>
      </c>
      <c r="D1009" s="5">
        <v>9.99</v>
      </c>
      <c r="E1009" s="3" t="s">
        <v>2076</v>
      </c>
      <c r="F1009" s="2" t="s">
        <v>15</v>
      </c>
      <c r="G1009" s="6" t="s">
        <v>154</v>
      </c>
      <c r="H1009" s="2" t="s">
        <v>1473</v>
      </c>
      <c r="I1009" s="2" t="s">
        <v>1426</v>
      </c>
      <c r="J1009" s="2" t="s">
        <v>19</v>
      </c>
      <c r="K1009" s="2" t="s">
        <v>990</v>
      </c>
      <c r="L1009" s="7" t="str">
        <f t="shared" si="11"/>
        <v xml:space="preserve">http://slimages.macys.com/is/image/MCY/15161436 </v>
      </c>
    </row>
    <row r="1010" spans="1:12" ht="24.75" x14ac:dyDescent="0.25">
      <c r="A1010" s="4" t="s">
        <v>2078</v>
      </c>
      <c r="B1010" s="2" t="s">
        <v>2075</v>
      </c>
      <c r="C1010" s="3">
        <v>1</v>
      </c>
      <c r="D1010" s="5">
        <v>9.99</v>
      </c>
      <c r="E1010" s="3" t="s">
        <v>2076</v>
      </c>
      <c r="F1010" s="2" t="s">
        <v>413</v>
      </c>
      <c r="G1010" s="6" t="s">
        <v>181</v>
      </c>
      <c r="H1010" s="2" t="s">
        <v>1473</v>
      </c>
      <c r="I1010" s="2" t="s">
        <v>1426</v>
      </c>
      <c r="J1010" s="2" t="s">
        <v>19</v>
      </c>
      <c r="K1010" s="2" t="s">
        <v>990</v>
      </c>
      <c r="L1010" s="7" t="str">
        <f t="shared" si="11"/>
        <v xml:space="preserve">http://slimages.macys.com/is/image/MCY/15161436 </v>
      </c>
    </row>
    <row r="1011" spans="1:12" ht="24.75" x14ac:dyDescent="0.25">
      <c r="A1011" s="4" t="s">
        <v>4334</v>
      </c>
      <c r="B1011" s="2" t="s">
        <v>2075</v>
      </c>
      <c r="C1011" s="3">
        <v>1</v>
      </c>
      <c r="D1011" s="5">
        <v>9.99</v>
      </c>
      <c r="E1011" s="3" t="s">
        <v>2076</v>
      </c>
      <c r="F1011" s="2" t="s">
        <v>331</v>
      </c>
      <c r="G1011" s="6" t="s">
        <v>154</v>
      </c>
      <c r="H1011" s="2" t="s">
        <v>1473</v>
      </c>
      <c r="I1011" s="2" t="s">
        <v>1426</v>
      </c>
      <c r="J1011" s="2" t="s">
        <v>19</v>
      </c>
      <c r="K1011" s="2" t="s">
        <v>990</v>
      </c>
      <c r="L1011" s="7" t="str">
        <f t="shared" si="11"/>
        <v xml:space="preserve">http://slimages.macys.com/is/image/MCY/15161436 </v>
      </c>
    </row>
    <row r="1012" spans="1:12" ht="24.75" x14ac:dyDescent="0.25">
      <c r="A1012" s="4" t="s">
        <v>13577</v>
      </c>
      <c r="B1012" s="2" t="s">
        <v>11412</v>
      </c>
      <c r="C1012" s="3">
        <v>1</v>
      </c>
      <c r="D1012" s="5">
        <v>9.99</v>
      </c>
      <c r="E1012" s="3" t="s">
        <v>11413</v>
      </c>
      <c r="F1012" s="2" t="s">
        <v>53</v>
      </c>
      <c r="G1012" s="6" t="s">
        <v>181</v>
      </c>
      <c r="H1012" s="2" t="s">
        <v>1473</v>
      </c>
      <c r="I1012" s="2" t="s">
        <v>1426</v>
      </c>
      <c r="J1012" s="2" t="s">
        <v>19</v>
      </c>
      <c r="K1012" s="2" t="s">
        <v>648</v>
      </c>
      <c r="L1012" s="7" t="str">
        <f t="shared" ref="L1012:L1019" si="12">HYPERLINK("http://slimages.macys.com/is/image/MCY/9803162 ")</f>
        <v xml:space="preserve">http://slimages.macys.com/is/image/MCY/9803162 </v>
      </c>
    </row>
    <row r="1013" spans="1:12" ht="24.75" x14ac:dyDescent="0.25">
      <c r="A1013" s="4" t="s">
        <v>13578</v>
      </c>
      <c r="B1013" s="2" t="s">
        <v>11412</v>
      </c>
      <c r="C1013" s="3">
        <v>1</v>
      </c>
      <c r="D1013" s="5">
        <v>9.99</v>
      </c>
      <c r="E1013" s="3" t="s">
        <v>11413</v>
      </c>
      <c r="F1013" s="2" t="s">
        <v>132</v>
      </c>
      <c r="G1013" s="6" t="s">
        <v>200</v>
      </c>
      <c r="H1013" s="2" t="s">
        <v>1473</v>
      </c>
      <c r="I1013" s="2" t="s">
        <v>1426</v>
      </c>
      <c r="J1013" s="2" t="s">
        <v>19</v>
      </c>
      <c r="K1013" s="2" t="s">
        <v>648</v>
      </c>
      <c r="L1013" s="7" t="str">
        <f t="shared" si="12"/>
        <v xml:space="preserve">http://slimages.macys.com/is/image/MCY/9803162 </v>
      </c>
    </row>
    <row r="1014" spans="1:12" ht="24.75" x14ac:dyDescent="0.25">
      <c r="A1014" s="4" t="s">
        <v>13579</v>
      </c>
      <c r="B1014" s="2" t="s">
        <v>11412</v>
      </c>
      <c r="C1014" s="3">
        <v>1</v>
      </c>
      <c r="D1014" s="5">
        <v>9.99</v>
      </c>
      <c r="E1014" s="3" t="s">
        <v>11413</v>
      </c>
      <c r="F1014" s="2" t="s">
        <v>64</v>
      </c>
      <c r="G1014" s="6" t="s">
        <v>200</v>
      </c>
      <c r="H1014" s="2" t="s">
        <v>1473</v>
      </c>
      <c r="I1014" s="2" t="s">
        <v>1426</v>
      </c>
      <c r="J1014" s="2" t="s">
        <v>19</v>
      </c>
      <c r="K1014" s="2" t="s">
        <v>648</v>
      </c>
      <c r="L1014" s="7" t="str">
        <f t="shared" si="12"/>
        <v xml:space="preserve">http://slimages.macys.com/is/image/MCY/9803162 </v>
      </c>
    </row>
    <row r="1015" spans="1:12" ht="24.75" x14ac:dyDescent="0.25">
      <c r="A1015" s="4" t="s">
        <v>13580</v>
      </c>
      <c r="B1015" s="2" t="s">
        <v>11412</v>
      </c>
      <c r="C1015" s="3">
        <v>1</v>
      </c>
      <c r="D1015" s="5">
        <v>9.99</v>
      </c>
      <c r="E1015" s="3" t="s">
        <v>11413</v>
      </c>
      <c r="F1015" s="2" t="s">
        <v>85</v>
      </c>
      <c r="G1015" s="6" t="s">
        <v>200</v>
      </c>
      <c r="H1015" s="2" t="s">
        <v>1473</v>
      </c>
      <c r="I1015" s="2" t="s">
        <v>1426</v>
      </c>
      <c r="J1015" s="2" t="s">
        <v>19</v>
      </c>
      <c r="K1015" s="2" t="s">
        <v>648</v>
      </c>
      <c r="L1015" s="7" t="str">
        <f t="shared" si="12"/>
        <v xml:space="preserve">http://slimages.macys.com/is/image/MCY/9803162 </v>
      </c>
    </row>
    <row r="1016" spans="1:12" ht="24.75" x14ac:dyDescent="0.25">
      <c r="A1016" s="4" t="s">
        <v>13581</v>
      </c>
      <c r="B1016" s="2" t="s">
        <v>11412</v>
      </c>
      <c r="C1016" s="3">
        <v>1</v>
      </c>
      <c r="D1016" s="5">
        <v>9.99</v>
      </c>
      <c r="E1016" s="3" t="s">
        <v>11413</v>
      </c>
      <c r="F1016" s="2" t="s">
        <v>1322</v>
      </c>
      <c r="G1016" s="6" t="s">
        <v>154</v>
      </c>
      <c r="H1016" s="2" t="s">
        <v>1473</v>
      </c>
      <c r="I1016" s="2" t="s">
        <v>1426</v>
      </c>
      <c r="J1016" s="2" t="s">
        <v>19</v>
      </c>
      <c r="K1016" s="2" t="s">
        <v>648</v>
      </c>
      <c r="L1016" s="7" t="str">
        <f t="shared" si="12"/>
        <v xml:space="preserve">http://slimages.macys.com/is/image/MCY/9803162 </v>
      </c>
    </row>
    <row r="1017" spans="1:12" ht="24.75" x14ac:dyDescent="0.25">
      <c r="A1017" s="4" t="s">
        <v>13582</v>
      </c>
      <c r="B1017" s="2" t="s">
        <v>11412</v>
      </c>
      <c r="C1017" s="3">
        <v>1</v>
      </c>
      <c r="D1017" s="5">
        <v>9.99</v>
      </c>
      <c r="E1017" s="3" t="s">
        <v>11413</v>
      </c>
      <c r="F1017" s="2" t="s">
        <v>85</v>
      </c>
      <c r="G1017" s="6" t="s">
        <v>154</v>
      </c>
      <c r="H1017" s="2" t="s">
        <v>1473</v>
      </c>
      <c r="I1017" s="2" t="s">
        <v>1426</v>
      </c>
      <c r="J1017" s="2" t="s">
        <v>19</v>
      </c>
      <c r="K1017" s="2" t="s">
        <v>648</v>
      </c>
      <c r="L1017" s="7" t="str">
        <f t="shared" si="12"/>
        <v xml:space="preserve">http://slimages.macys.com/is/image/MCY/9803162 </v>
      </c>
    </row>
    <row r="1018" spans="1:12" ht="24.75" x14ac:dyDescent="0.25">
      <c r="A1018" s="4" t="s">
        <v>13583</v>
      </c>
      <c r="B1018" s="2" t="s">
        <v>11412</v>
      </c>
      <c r="C1018" s="3">
        <v>1</v>
      </c>
      <c r="D1018" s="5">
        <v>9.99</v>
      </c>
      <c r="E1018" s="3" t="s">
        <v>11413</v>
      </c>
      <c r="F1018" s="2" t="s">
        <v>5457</v>
      </c>
      <c r="G1018" s="6" t="s">
        <v>154</v>
      </c>
      <c r="H1018" s="2" t="s">
        <v>1473</v>
      </c>
      <c r="I1018" s="2" t="s">
        <v>1426</v>
      </c>
      <c r="J1018" s="2" t="s">
        <v>19</v>
      </c>
      <c r="K1018" s="2" t="s">
        <v>648</v>
      </c>
      <c r="L1018" s="7" t="str">
        <f t="shared" si="12"/>
        <v xml:space="preserve">http://slimages.macys.com/is/image/MCY/9803162 </v>
      </c>
    </row>
    <row r="1019" spans="1:12" ht="24.75" x14ac:dyDescent="0.25">
      <c r="A1019" s="4" t="s">
        <v>13584</v>
      </c>
      <c r="B1019" s="2" t="s">
        <v>11412</v>
      </c>
      <c r="C1019" s="3">
        <v>2</v>
      </c>
      <c r="D1019" s="5">
        <v>9.99</v>
      </c>
      <c r="E1019" s="3" t="s">
        <v>11413</v>
      </c>
      <c r="F1019" s="2" t="s">
        <v>26</v>
      </c>
      <c r="G1019" s="6" t="s">
        <v>154</v>
      </c>
      <c r="H1019" s="2" t="s">
        <v>1473</v>
      </c>
      <c r="I1019" s="2" t="s">
        <v>1426</v>
      </c>
      <c r="J1019" s="2" t="s">
        <v>19</v>
      </c>
      <c r="K1019" s="2" t="s">
        <v>648</v>
      </c>
      <c r="L1019" s="7" t="str">
        <f t="shared" si="12"/>
        <v xml:space="preserve">http://slimages.macys.com/is/image/MCY/9803162 </v>
      </c>
    </row>
    <row r="1020" spans="1:12" ht="24.75" x14ac:dyDescent="0.25">
      <c r="A1020" s="4" t="s">
        <v>13585</v>
      </c>
      <c r="B1020" s="2" t="s">
        <v>6242</v>
      </c>
      <c r="C1020" s="3">
        <v>1</v>
      </c>
      <c r="D1020" s="5">
        <v>9.99</v>
      </c>
      <c r="E1020" s="3" t="s">
        <v>7746</v>
      </c>
      <c r="F1020" s="2" t="s">
        <v>5457</v>
      </c>
      <c r="G1020" s="6" t="s">
        <v>181</v>
      </c>
      <c r="H1020" s="2" t="s">
        <v>1473</v>
      </c>
      <c r="I1020" s="2" t="s">
        <v>1426</v>
      </c>
      <c r="J1020" s="2" t="s">
        <v>19</v>
      </c>
      <c r="K1020" s="2" t="s">
        <v>648</v>
      </c>
      <c r="L1020" s="7" t="str">
        <f>HYPERLINK("http://slimages.macys.com/is/image/MCY/12672003 ")</f>
        <v xml:space="preserve">http://slimages.macys.com/is/image/MCY/12672003 </v>
      </c>
    </row>
    <row r="1021" spans="1:12" ht="24.75" x14ac:dyDescent="0.25">
      <c r="A1021" s="4" t="s">
        <v>13586</v>
      </c>
      <c r="B1021" s="2" t="s">
        <v>11412</v>
      </c>
      <c r="C1021" s="3">
        <v>1</v>
      </c>
      <c r="D1021" s="5">
        <v>9.99</v>
      </c>
      <c r="E1021" s="3" t="s">
        <v>11413</v>
      </c>
      <c r="F1021" s="2" t="s">
        <v>15</v>
      </c>
      <c r="G1021" s="6" t="s">
        <v>234</v>
      </c>
      <c r="H1021" s="2" t="s">
        <v>1473</v>
      </c>
      <c r="I1021" s="2" t="s">
        <v>1426</v>
      </c>
      <c r="J1021" s="2" t="s">
        <v>19</v>
      </c>
      <c r="K1021" s="2" t="s">
        <v>648</v>
      </c>
      <c r="L1021" s="7" t="str">
        <f>HYPERLINK("http://slimages.macys.com/is/image/MCY/9803162 ")</f>
        <v xml:space="preserve">http://slimages.macys.com/is/image/MCY/9803162 </v>
      </c>
    </row>
    <row r="1022" spans="1:12" ht="24.75" x14ac:dyDescent="0.25">
      <c r="A1022" s="4" t="s">
        <v>13587</v>
      </c>
      <c r="B1022" s="2" t="s">
        <v>11412</v>
      </c>
      <c r="C1022" s="3">
        <v>1</v>
      </c>
      <c r="D1022" s="5">
        <v>9.99</v>
      </c>
      <c r="E1022" s="3" t="s">
        <v>11413</v>
      </c>
      <c r="F1022" s="2" t="s">
        <v>74</v>
      </c>
      <c r="G1022" s="6" t="s">
        <v>154</v>
      </c>
      <c r="H1022" s="2" t="s">
        <v>1473</v>
      </c>
      <c r="I1022" s="2" t="s">
        <v>1426</v>
      </c>
      <c r="J1022" s="2" t="s">
        <v>19</v>
      </c>
      <c r="K1022" s="2" t="s">
        <v>648</v>
      </c>
      <c r="L1022" s="7" t="str">
        <f>HYPERLINK("http://slimages.macys.com/is/image/MCY/9803162 ")</f>
        <v xml:space="preserve">http://slimages.macys.com/is/image/MCY/9803162 </v>
      </c>
    </row>
    <row r="1023" spans="1:12" ht="24.75" x14ac:dyDescent="0.25">
      <c r="A1023" s="4" t="s">
        <v>13588</v>
      </c>
      <c r="B1023" s="2" t="s">
        <v>11412</v>
      </c>
      <c r="C1023" s="3">
        <v>1</v>
      </c>
      <c r="D1023" s="5">
        <v>9.99</v>
      </c>
      <c r="E1023" s="3" t="s">
        <v>11413</v>
      </c>
      <c r="F1023" s="2" t="s">
        <v>53</v>
      </c>
      <c r="G1023" s="6" t="s">
        <v>154</v>
      </c>
      <c r="H1023" s="2" t="s">
        <v>1473</v>
      </c>
      <c r="I1023" s="2" t="s">
        <v>1426</v>
      </c>
      <c r="J1023" s="2" t="s">
        <v>19</v>
      </c>
      <c r="K1023" s="2" t="s">
        <v>648</v>
      </c>
      <c r="L1023" s="7" t="str">
        <f>HYPERLINK("http://slimages.macys.com/is/image/MCY/9803162 ")</f>
        <v xml:space="preserve">http://slimages.macys.com/is/image/MCY/9803162 </v>
      </c>
    </row>
    <row r="1024" spans="1:12" ht="24.75" x14ac:dyDescent="0.25">
      <c r="A1024" s="4" t="s">
        <v>13589</v>
      </c>
      <c r="B1024" s="2" t="s">
        <v>6242</v>
      </c>
      <c r="C1024" s="3">
        <v>1</v>
      </c>
      <c r="D1024" s="5">
        <v>9.99</v>
      </c>
      <c r="E1024" s="3" t="s">
        <v>7746</v>
      </c>
      <c r="F1024" s="2" t="s">
        <v>1945</v>
      </c>
      <c r="G1024" s="6" t="s">
        <v>200</v>
      </c>
      <c r="H1024" s="2" t="s">
        <v>1473</v>
      </c>
      <c r="I1024" s="2" t="s">
        <v>1426</v>
      </c>
      <c r="J1024" s="2" t="s">
        <v>19</v>
      </c>
      <c r="K1024" s="2" t="s">
        <v>648</v>
      </c>
      <c r="L1024" s="7" t="str">
        <f>HYPERLINK("http://slimages.macys.com/is/image/MCY/12672003 ")</f>
        <v xml:space="preserve">http://slimages.macys.com/is/image/MCY/12672003 </v>
      </c>
    </row>
    <row r="1025" spans="1:12" ht="24.75" x14ac:dyDescent="0.25">
      <c r="A1025" s="4" t="s">
        <v>13590</v>
      </c>
      <c r="B1025" s="2" t="s">
        <v>2033</v>
      </c>
      <c r="C1025" s="3">
        <v>1</v>
      </c>
      <c r="D1025" s="5">
        <v>9.99</v>
      </c>
      <c r="E1025" s="3" t="s">
        <v>5274</v>
      </c>
      <c r="F1025" s="2" t="s">
        <v>74</v>
      </c>
      <c r="G1025" s="6" t="s">
        <v>154</v>
      </c>
      <c r="H1025" s="2" t="s">
        <v>1473</v>
      </c>
      <c r="I1025" s="2" t="s">
        <v>1426</v>
      </c>
      <c r="J1025" s="2" t="s">
        <v>19</v>
      </c>
      <c r="K1025" s="2" t="s">
        <v>990</v>
      </c>
      <c r="L1025" s="7" t="str">
        <f>HYPERLINK("http://slimages.macys.com/is/image/MCY/10746490 ")</f>
        <v xml:space="preserve">http://slimages.macys.com/is/image/MCY/10746490 </v>
      </c>
    </row>
    <row r="1026" spans="1:12" ht="24.75" x14ac:dyDescent="0.25">
      <c r="A1026" s="4" t="s">
        <v>5273</v>
      </c>
      <c r="B1026" s="2" t="s">
        <v>2033</v>
      </c>
      <c r="C1026" s="3">
        <v>1</v>
      </c>
      <c r="D1026" s="5">
        <v>9.99</v>
      </c>
      <c r="E1026" s="3" t="s">
        <v>5274</v>
      </c>
      <c r="F1026" s="2" t="s">
        <v>79</v>
      </c>
      <c r="G1026" s="6" t="s">
        <v>181</v>
      </c>
      <c r="H1026" s="2" t="s">
        <v>1473</v>
      </c>
      <c r="I1026" s="2" t="s">
        <v>1426</v>
      </c>
      <c r="J1026" s="2" t="s">
        <v>19</v>
      </c>
      <c r="K1026" s="2" t="s">
        <v>990</v>
      </c>
      <c r="L1026" s="7" t="str">
        <f>HYPERLINK("http://slimages.macys.com/is/image/MCY/10746490 ")</f>
        <v xml:space="preserve">http://slimages.macys.com/is/image/MCY/10746490 </v>
      </c>
    </row>
    <row r="1027" spans="1:12" ht="24.75" x14ac:dyDescent="0.25">
      <c r="A1027" s="4" t="s">
        <v>13591</v>
      </c>
      <c r="B1027" s="2" t="s">
        <v>5305</v>
      </c>
      <c r="C1027" s="3">
        <v>1</v>
      </c>
      <c r="D1027" s="5">
        <v>9.99</v>
      </c>
      <c r="E1027" s="3" t="s">
        <v>5306</v>
      </c>
      <c r="F1027" s="2" t="s">
        <v>15</v>
      </c>
      <c r="G1027" s="6" t="s">
        <v>245</v>
      </c>
      <c r="H1027" s="2" t="s">
        <v>1473</v>
      </c>
      <c r="I1027" s="2" t="s">
        <v>1426</v>
      </c>
      <c r="J1027" s="2" t="s">
        <v>19</v>
      </c>
      <c r="K1027" s="2" t="s">
        <v>495</v>
      </c>
      <c r="L1027" s="7" t="str">
        <f>HYPERLINK("http://slimages.macys.com/is/image/MCY/12326968 ")</f>
        <v xml:space="preserve">http://slimages.macys.com/is/image/MCY/12326968 </v>
      </c>
    </row>
    <row r="1028" spans="1:12" ht="24.75" x14ac:dyDescent="0.25">
      <c r="A1028" s="4" t="s">
        <v>13592</v>
      </c>
      <c r="B1028" s="2" t="s">
        <v>6252</v>
      </c>
      <c r="C1028" s="3">
        <v>1</v>
      </c>
      <c r="D1028" s="5">
        <v>9.99</v>
      </c>
      <c r="E1028" s="3" t="s">
        <v>6253</v>
      </c>
      <c r="F1028" s="2" t="s">
        <v>331</v>
      </c>
      <c r="G1028" s="6" t="s">
        <v>156</v>
      </c>
      <c r="H1028" s="2" t="s">
        <v>1473</v>
      </c>
      <c r="I1028" s="2" t="s">
        <v>1426</v>
      </c>
      <c r="J1028" s="2" t="s">
        <v>19</v>
      </c>
      <c r="K1028" s="2" t="s">
        <v>495</v>
      </c>
      <c r="L1028" s="7" t="str">
        <f>HYPERLINK("http://slimages.macys.com/is/image/MCY/11517420 ")</f>
        <v xml:space="preserve">http://slimages.macys.com/is/image/MCY/11517420 </v>
      </c>
    </row>
    <row r="1029" spans="1:12" ht="24.75" x14ac:dyDescent="0.25">
      <c r="A1029" s="4" t="s">
        <v>13593</v>
      </c>
      <c r="B1029" s="2" t="s">
        <v>6252</v>
      </c>
      <c r="C1029" s="3">
        <v>1</v>
      </c>
      <c r="D1029" s="5">
        <v>9.99</v>
      </c>
      <c r="E1029" s="3" t="s">
        <v>6253</v>
      </c>
      <c r="F1029" s="2" t="s">
        <v>331</v>
      </c>
      <c r="G1029" s="6" t="s">
        <v>200</v>
      </c>
      <c r="H1029" s="2" t="s">
        <v>1473</v>
      </c>
      <c r="I1029" s="2" t="s">
        <v>1426</v>
      </c>
      <c r="J1029" s="2" t="s">
        <v>19</v>
      </c>
      <c r="K1029" s="2" t="s">
        <v>495</v>
      </c>
      <c r="L1029" s="7" t="str">
        <f>HYPERLINK("http://slimages.macys.com/is/image/MCY/11517420 ")</f>
        <v xml:space="preserve">http://slimages.macys.com/is/image/MCY/11517420 </v>
      </c>
    </row>
    <row r="1030" spans="1:12" ht="24.75" x14ac:dyDescent="0.25">
      <c r="A1030" s="4" t="s">
        <v>5308</v>
      </c>
      <c r="B1030" s="2" t="s">
        <v>5305</v>
      </c>
      <c r="C1030" s="3">
        <v>1</v>
      </c>
      <c r="D1030" s="5">
        <v>9.99</v>
      </c>
      <c r="E1030" s="3" t="s">
        <v>5306</v>
      </c>
      <c r="F1030" s="2" t="s">
        <v>15</v>
      </c>
      <c r="G1030" s="6" t="s">
        <v>156</v>
      </c>
      <c r="H1030" s="2" t="s">
        <v>1473</v>
      </c>
      <c r="I1030" s="2" t="s">
        <v>1426</v>
      </c>
      <c r="J1030" s="2" t="s">
        <v>19</v>
      </c>
      <c r="K1030" s="2" t="s">
        <v>495</v>
      </c>
      <c r="L1030" s="7" t="str">
        <f>HYPERLINK("http://slimages.macys.com/is/image/MCY/12326968 ")</f>
        <v xml:space="preserve">http://slimages.macys.com/is/image/MCY/12326968 </v>
      </c>
    </row>
    <row r="1031" spans="1:12" ht="24.75" x14ac:dyDescent="0.25">
      <c r="A1031" s="4" t="s">
        <v>11570</v>
      </c>
      <c r="B1031" s="2" t="s">
        <v>2083</v>
      </c>
      <c r="C1031" s="3">
        <v>1</v>
      </c>
      <c r="D1031" s="5">
        <v>9.99</v>
      </c>
      <c r="E1031" s="3" t="s">
        <v>3251</v>
      </c>
      <c r="F1031" s="2" t="s">
        <v>74</v>
      </c>
      <c r="G1031" s="6" t="s">
        <v>219</v>
      </c>
      <c r="H1031" s="2" t="s">
        <v>1425</v>
      </c>
      <c r="I1031" s="2" t="s">
        <v>1426</v>
      </c>
      <c r="J1031" s="2" t="s">
        <v>19</v>
      </c>
      <c r="K1031" s="2" t="s">
        <v>648</v>
      </c>
      <c r="L1031" s="7" t="str">
        <f>HYPERLINK("http://slimages.macys.com/is/image/MCY/12315459 ")</f>
        <v xml:space="preserve">http://slimages.macys.com/is/image/MCY/12315459 </v>
      </c>
    </row>
    <row r="1032" spans="1:12" ht="24.75" x14ac:dyDescent="0.25">
      <c r="A1032" s="4" t="s">
        <v>5320</v>
      </c>
      <c r="B1032" s="2" t="s">
        <v>4356</v>
      </c>
      <c r="C1032" s="3">
        <v>3</v>
      </c>
      <c r="D1032" s="5">
        <v>9.99</v>
      </c>
      <c r="E1032" s="3" t="s">
        <v>4357</v>
      </c>
      <c r="F1032" s="2" t="s">
        <v>15</v>
      </c>
      <c r="G1032" s="6" t="s">
        <v>234</v>
      </c>
      <c r="H1032" s="2" t="s">
        <v>1473</v>
      </c>
      <c r="I1032" s="2" t="s">
        <v>1426</v>
      </c>
      <c r="J1032" s="2" t="s">
        <v>19</v>
      </c>
      <c r="K1032" s="2" t="s">
        <v>495</v>
      </c>
      <c r="L1032" s="7" t="str">
        <f>HYPERLINK("http://slimages.macys.com/is/image/MCY/12269182 ")</f>
        <v xml:space="preserve">http://slimages.macys.com/is/image/MCY/12269182 </v>
      </c>
    </row>
    <row r="1033" spans="1:12" ht="24.75" x14ac:dyDescent="0.25">
      <c r="A1033" s="4" t="s">
        <v>4355</v>
      </c>
      <c r="B1033" s="2" t="s">
        <v>4356</v>
      </c>
      <c r="C1033" s="3">
        <v>2</v>
      </c>
      <c r="D1033" s="5">
        <v>9.99</v>
      </c>
      <c r="E1033" s="3" t="s">
        <v>4357</v>
      </c>
      <c r="F1033" s="2" t="s">
        <v>15</v>
      </c>
      <c r="G1033" s="6" t="s">
        <v>181</v>
      </c>
      <c r="H1033" s="2" t="s">
        <v>1473</v>
      </c>
      <c r="I1033" s="2" t="s">
        <v>1426</v>
      </c>
      <c r="J1033" s="2" t="s">
        <v>19</v>
      </c>
      <c r="K1033" s="2" t="s">
        <v>495</v>
      </c>
      <c r="L1033" s="7" t="str">
        <f>HYPERLINK("http://slimages.macys.com/is/image/MCY/12269182 ")</f>
        <v xml:space="preserve">http://slimages.macys.com/is/image/MCY/12269182 </v>
      </c>
    </row>
    <row r="1034" spans="1:12" ht="24.75" x14ac:dyDescent="0.25">
      <c r="A1034" s="4" t="s">
        <v>13594</v>
      </c>
      <c r="B1034" s="2" t="s">
        <v>13595</v>
      </c>
      <c r="C1034" s="3">
        <v>1</v>
      </c>
      <c r="D1034" s="5">
        <v>9.99</v>
      </c>
      <c r="E1034" s="3" t="s">
        <v>13596</v>
      </c>
      <c r="F1034" s="2" t="s">
        <v>26</v>
      </c>
      <c r="G1034" s="6" t="s">
        <v>234</v>
      </c>
      <c r="H1034" s="2" t="s">
        <v>1473</v>
      </c>
      <c r="I1034" s="2" t="s">
        <v>1426</v>
      </c>
      <c r="J1034" s="2" t="s">
        <v>19</v>
      </c>
      <c r="K1034" s="2" t="s">
        <v>495</v>
      </c>
      <c r="L1034" s="7" t="str">
        <f>HYPERLINK("http://slimages.macys.com/is/image/MCY/10620803 ")</f>
        <v xml:space="preserve">http://slimages.macys.com/is/image/MCY/10620803 </v>
      </c>
    </row>
    <row r="1035" spans="1:12" ht="24.75" x14ac:dyDescent="0.25">
      <c r="A1035" s="4" t="s">
        <v>13597</v>
      </c>
      <c r="B1035" s="2" t="s">
        <v>2103</v>
      </c>
      <c r="C1035" s="3">
        <v>1</v>
      </c>
      <c r="D1035" s="5">
        <v>9.99</v>
      </c>
      <c r="E1035" s="3" t="s">
        <v>8893</v>
      </c>
      <c r="F1035" s="2" t="s">
        <v>15</v>
      </c>
      <c r="G1035" s="6"/>
      <c r="H1035" s="2" t="s">
        <v>1425</v>
      </c>
      <c r="I1035" s="2" t="s">
        <v>1426</v>
      </c>
      <c r="J1035" s="2" t="s">
        <v>19</v>
      </c>
      <c r="K1035" s="2" t="s">
        <v>495</v>
      </c>
      <c r="L1035" s="7" t="str">
        <f>HYPERLINK("http://slimages.macys.com/is/image/MCY/10746425 ")</f>
        <v xml:space="preserve">http://slimages.macys.com/is/image/MCY/10746425 </v>
      </c>
    </row>
    <row r="1036" spans="1:12" ht="24.75" x14ac:dyDescent="0.25">
      <c r="A1036" s="4" t="s">
        <v>13598</v>
      </c>
      <c r="B1036" s="2" t="s">
        <v>13599</v>
      </c>
      <c r="C1036" s="3">
        <v>1</v>
      </c>
      <c r="D1036" s="5">
        <v>9.99</v>
      </c>
      <c r="E1036" s="3" t="s">
        <v>13600</v>
      </c>
      <c r="F1036" s="2" t="s">
        <v>417</v>
      </c>
      <c r="G1036" s="6"/>
      <c r="H1036" s="2" t="s">
        <v>1425</v>
      </c>
      <c r="I1036" s="2" t="s">
        <v>1426</v>
      </c>
      <c r="J1036" s="2" t="s">
        <v>19</v>
      </c>
      <c r="K1036" s="2" t="s">
        <v>495</v>
      </c>
      <c r="L1036" s="7" t="str">
        <f>HYPERLINK("http://slimages.macys.com/is/image/MCY/12266783 ")</f>
        <v xml:space="preserve">http://slimages.macys.com/is/image/MCY/12266783 </v>
      </c>
    </row>
    <row r="1037" spans="1:12" ht="24.75" x14ac:dyDescent="0.25">
      <c r="A1037" s="4" t="s">
        <v>11586</v>
      </c>
      <c r="B1037" s="2" t="s">
        <v>11584</v>
      </c>
      <c r="C1037" s="3">
        <v>1</v>
      </c>
      <c r="D1037" s="5">
        <v>12.99</v>
      </c>
      <c r="E1037" s="3" t="s">
        <v>11585</v>
      </c>
      <c r="F1037" s="2" t="s">
        <v>15</v>
      </c>
      <c r="G1037" s="6" t="s">
        <v>234</v>
      </c>
      <c r="H1037" s="2" t="s">
        <v>2029</v>
      </c>
      <c r="I1037" s="2" t="s">
        <v>2030</v>
      </c>
      <c r="J1037" s="2" t="s">
        <v>19</v>
      </c>
      <c r="K1037" s="2" t="s">
        <v>495</v>
      </c>
      <c r="L1037" s="7" t="str">
        <f>HYPERLINK("http://slimages.macys.com/is/image/MCY/12892674 ")</f>
        <v xml:space="preserve">http://slimages.macys.com/is/image/MCY/12892674 </v>
      </c>
    </row>
    <row r="1038" spans="1:12" ht="24.75" x14ac:dyDescent="0.25">
      <c r="A1038" s="4" t="s">
        <v>13601</v>
      </c>
      <c r="B1038" s="2" t="s">
        <v>2072</v>
      </c>
      <c r="C1038" s="3">
        <v>1</v>
      </c>
      <c r="D1038" s="5">
        <v>9.99</v>
      </c>
      <c r="E1038" s="3" t="s">
        <v>6956</v>
      </c>
      <c r="F1038" s="2" t="s">
        <v>94</v>
      </c>
      <c r="G1038" s="6" t="s">
        <v>156</v>
      </c>
      <c r="H1038" s="2" t="s">
        <v>1473</v>
      </c>
      <c r="I1038" s="2" t="s">
        <v>1426</v>
      </c>
      <c r="J1038" s="2" t="s">
        <v>19</v>
      </c>
      <c r="K1038" s="2" t="s">
        <v>648</v>
      </c>
      <c r="L1038" s="7" t="str">
        <f>HYPERLINK("http://slimages.macys.com/is/image/MCY/10741447 ")</f>
        <v xml:space="preserve">http://slimages.macys.com/is/image/MCY/10741447 </v>
      </c>
    </row>
    <row r="1039" spans="1:12" ht="24.75" x14ac:dyDescent="0.25">
      <c r="A1039" s="4" t="s">
        <v>13602</v>
      </c>
      <c r="B1039" s="2" t="s">
        <v>11598</v>
      </c>
      <c r="C1039" s="3">
        <v>1</v>
      </c>
      <c r="D1039" s="5">
        <v>12.99</v>
      </c>
      <c r="E1039" s="3" t="s">
        <v>11599</v>
      </c>
      <c r="F1039" s="2" t="s">
        <v>53</v>
      </c>
      <c r="G1039" s="6" t="s">
        <v>245</v>
      </c>
      <c r="H1039" s="2" t="s">
        <v>2029</v>
      </c>
      <c r="I1039" s="2" t="s">
        <v>2030</v>
      </c>
      <c r="J1039" s="2" t="s">
        <v>19</v>
      </c>
      <c r="K1039" s="2" t="s">
        <v>495</v>
      </c>
      <c r="L1039" s="7" t="str">
        <f>HYPERLINK("http://slimages.macys.com/is/image/MCY/11751780 ")</f>
        <v xml:space="preserve">http://slimages.macys.com/is/image/MCY/11751780 </v>
      </c>
    </row>
    <row r="1040" spans="1:12" ht="24.75" x14ac:dyDescent="0.25">
      <c r="A1040" s="4" t="s">
        <v>13603</v>
      </c>
      <c r="B1040" s="2" t="s">
        <v>11598</v>
      </c>
      <c r="C1040" s="3">
        <v>1</v>
      </c>
      <c r="D1040" s="5">
        <v>12.99</v>
      </c>
      <c r="E1040" s="3" t="s">
        <v>11599</v>
      </c>
      <c r="F1040" s="2" t="s">
        <v>53</v>
      </c>
      <c r="G1040" s="6" t="s">
        <v>154</v>
      </c>
      <c r="H1040" s="2" t="s">
        <v>2029</v>
      </c>
      <c r="I1040" s="2" t="s">
        <v>2030</v>
      </c>
      <c r="J1040" s="2" t="s">
        <v>19</v>
      </c>
      <c r="K1040" s="2" t="s">
        <v>495</v>
      </c>
      <c r="L1040" s="7" t="str">
        <f>HYPERLINK("http://slimages.macys.com/is/image/MCY/11751780 ")</f>
        <v xml:space="preserve">http://slimages.macys.com/is/image/MCY/11751780 </v>
      </c>
    </row>
    <row r="1041" spans="1:12" ht="24.75" x14ac:dyDescent="0.25">
      <c r="A1041" s="4" t="s">
        <v>11602</v>
      </c>
      <c r="B1041" s="2" t="s">
        <v>11598</v>
      </c>
      <c r="C1041" s="3">
        <v>1</v>
      </c>
      <c r="D1041" s="5">
        <v>12.99</v>
      </c>
      <c r="E1041" s="3" t="s">
        <v>11599</v>
      </c>
      <c r="F1041" s="2" t="s">
        <v>74</v>
      </c>
      <c r="G1041" s="6" t="s">
        <v>156</v>
      </c>
      <c r="H1041" s="2" t="s">
        <v>2029</v>
      </c>
      <c r="I1041" s="2" t="s">
        <v>2030</v>
      </c>
      <c r="J1041" s="2" t="s">
        <v>19</v>
      </c>
      <c r="K1041" s="2" t="s">
        <v>495</v>
      </c>
      <c r="L1041" s="7" t="str">
        <f>HYPERLINK("http://slimages.macys.com/is/image/MCY/11751780 ")</f>
        <v xml:space="preserve">http://slimages.macys.com/is/image/MCY/11751780 </v>
      </c>
    </row>
    <row r="1042" spans="1:12" ht="24.75" x14ac:dyDescent="0.25">
      <c r="A1042" s="4" t="s">
        <v>13604</v>
      </c>
      <c r="B1042" s="2" t="s">
        <v>7764</v>
      </c>
      <c r="C1042" s="3">
        <v>1</v>
      </c>
      <c r="D1042" s="5">
        <v>12.99</v>
      </c>
      <c r="E1042" s="3" t="s">
        <v>7765</v>
      </c>
      <c r="F1042" s="2" t="s">
        <v>74</v>
      </c>
      <c r="G1042" s="6" t="s">
        <v>181</v>
      </c>
      <c r="H1042" s="2" t="s">
        <v>2029</v>
      </c>
      <c r="I1042" s="2" t="s">
        <v>2030</v>
      </c>
      <c r="J1042" s="2" t="s">
        <v>19</v>
      </c>
      <c r="K1042" s="2" t="s">
        <v>495</v>
      </c>
      <c r="L1042" s="7" t="str">
        <f>HYPERLINK("http://slimages.macys.com/is/image/MCY/11753159 ")</f>
        <v xml:space="preserve">http://slimages.macys.com/is/image/MCY/11753159 </v>
      </c>
    </row>
    <row r="1043" spans="1:12" ht="24.75" x14ac:dyDescent="0.25">
      <c r="A1043" s="4" t="s">
        <v>13605</v>
      </c>
      <c r="B1043" s="2" t="s">
        <v>2113</v>
      </c>
      <c r="C1043" s="3">
        <v>1</v>
      </c>
      <c r="D1043" s="5">
        <v>9.99</v>
      </c>
      <c r="E1043" s="3" t="s">
        <v>9859</v>
      </c>
      <c r="F1043" s="2" t="s">
        <v>94</v>
      </c>
      <c r="G1043" s="6" t="s">
        <v>156</v>
      </c>
      <c r="H1043" s="2" t="s">
        <v>1473</v>
      </c>
      <c r="I1043" s="2" t="s">
        <v>1426</v>
      </c>
      <c r="J1043" s="2" t="s">
        <v>19</v>
      </c>
      <c r="K1043" s="2" t="s">
        <v>648</v>
      </c>
      <c r="L1043" s="7" t="str">
        <f>HYPERLINK("http://slimages.macys.com/is/image/MCY/16543317 ")</f>
        <v xml:space="preserve">http://slimages.macys.com/is/image/MCY/16543317 </v>
      </c>
    </row>
    <row r="1044" spans="1:12" ht="24.75" x14ac:dyDescent="0.25">
      <c r="A1044" s="4" t="s">
        <v>13606</v>
      </c>
      <c r="B1044" s="2" t="s">
        <v>2113</v>
      </c>
      <c r="C1044" s="3">
        <v>1</v>
      </c>
      <c r="D1044" s="5">
        <v>9.99</v>
      </c>
      <c r="E1044" s="3" t="s">
        <v>9859</v>
      </c>
      <c r="F1044" s="2" t="s">
        <v>64</v>
      </c>
      <c r="G1044" s="6" t="s">
        <v>154</v>
      </c>
      <c r="H1044" s="2" t="s">
        <v>1473</v>
      </c>
      <c r="I1044" s="2" t="s">
        <v>1426</v>
      </c>
      <c r="J1044" s="2" t="s">
        <v>19</v>
      </c>
      <c r="K1044" s="2" t="s">
        <v>648</v>
      </c>
      <c r="L1044" s="7" t="str">
        <f>HYPERLINK("http://slimages.macys.com/is/image/MCY/16543317 ")</f>
        <v xml:space="preserve">http://slimages.macys.com/is/image/MCY/16543317 </v>
      </c>
    </row>
    <row r="1045" spans="1:12" ht="24.75" x14ac:dyDescent="0.25">
      <c r="A1045" s="4" t="s">
        <v>13607</v>
      </c>
      <c r="B1045" s="2" t="s">
        <v>2113</v>
      </c>
      <c r="C1045" s="3">
        <v>1</v>
      </c>
      <c r="D1045" s="5">
        <v>9.99</v>
      </c>
      <c r="E1045" s="3" t="s">
        <v>9859</v>
      </c>
      <c r="F1045" s="2" t="s">
        <v>70</v>
      </c>
      <c r="G1045" s="6" t="s">
        <v>181</v>
      </c>
      <c r="H1045" s="2" t="s">
        <v>1473</v>
      </c>
      <c r="I1045" s="2" t="s">
        <v>1426</v>
      </c>
      <c r="J1045" s="2" t="s">
        <v>19</v>
      </c>
      <c r="K1045" s="2" t="s">
        <v>648</v>
      </c>
      <c r="L1045" s="7" t="str">
        <f>HYPERLINK("http://slimages.macys.com/is/image/MCY/16543317 ")</f>
        <v xml:space="preserve">http://slimages.macys.com/is/image/MCY/16543317 </v>
      </c>
    </row>
    <row r="1046" spans="1:12" ht="24.75" x14ac:dyDescent="0.25">
      <c r="A1046" s="4" t="s">
        <v>13608</v>
      </c>
      <c r="B1046" s="2" t="s">
        <v>7768</v>
      </c>
      <c r="C1046" s="3">
        <v>1</v>
      </c>
      <c r="D1046" s="5">
        <v>9.99</v>
      </c>
      <c r="E1046" s="3">
        <v>100007638</v>
      </c>
      <c r="F1046" s="2" t="s">
        <v>1614</v>
      </c>
      <c r="G1046" s="6" t="s">
        <v>156</v>
      </c>
      <c r="H1046" s="2" t="s">
        <v>2029</v>
      </c>
      <c r="I1046" s="2" t="s">
        <v>2030</v>
      </c>
      <c r="J1046" s="2" t="s">
        <v>19</v>
      </c>
      <c r="K1046" s="2" t="s">
        <v>201</v>
      </c>
      <c r="L1046" s="7" t="str">
        <f>HYPERLINK("http://slimages.macys.com/is/image/MCY/9494762 ")</f>
        <v xml:space="preserve">http://slimages.macys.com/is/image/MCY/9494762 </v>
      </c>
    </row>
    <row r="1047" spans="1:12" ht="24.75" x14ac:dyDescent="0.25">
      <c r="A1047" s="4" t="s">
        <v>11610</v>
      </c>
      <c r="B1047" s="2" t="s">
        <v>7768</v>
      </c>
      <c r="C1047" s="3">
        <v>1</v>
      </c>
      <c r="D1047" s="5">
        <v>9.99</v>
      </c>
      <c r="E1047" s="3">
        <v>100007638</v>
      </c>
      <c r="F1047" s="2" t="s">
        <v>53</v>
      </c>
      <c r="G1047" s="6" t="s">
        <v>200</v>
      </c>
      <c r="H1047" s="2" t="s">
        <v>2029</v>
      </c>
      <c r="I1047" s="2" t="s">
        <v>2030</v>
      </c>
      <c r="J1047" s="2" t="s">
        <v>19</v>
      </c>
      <c r="K1047" s="2" t="s">
        <v>201</v>
      </c>
      <c r="L1047" s="7" t="str">
        <f>HYPERLINK("http://slimages.macys.com/is/image/MCY/9494762 ")</f>
        <v xml:space="preserve">http://slimages.macys.com/is/image/MCY/9494762 </v>
      </c>
    </row>
    <row r="1048" spans="1:12" ht="24.75" x14ac:dyDescent="0.25">
      <c r="A1048" s="4" t="s">
        <v>10344</v>
      </c>
      <c r="B1048" s="2" t="s">
        <v>2113</v>
      </c>
      <c r="C1048" s="3">
        <v>1</v>
      </c>
      <c r="D1048" s="5">
        <v>9.99</v>
      </c>
      <c r="E1048" s="3" t="s">
        <v>2114</v>
      </c>
      <c r="F1048" s="2" t="s">
        <v>26</v>
      </c>
      <c r="G1048" s="6"/>
      <c r="H1048" s="2" t="s">
        <v>1425</v>
      </c>
      <c r="I1048" s="2" t="s">
        <v>1426</v>
      </c>
      <c r="J1048" s="2" t="s">
        <v>19</v>
      </c>
      <c r="K1048" s="2" t="s">
        <v>648</v>
      </c>
      <c r="L1048" s="7" t="str">
        <f>HYPERLINK("http://slimages.macys.com/is/image/MCY/10703601 ")</f>
        <v xml:space="preserve">http://slimages.macys.com/is/image/MCY/10703601 </v>
      </c>
    </row>
    <row r="1049" spans="1:12" ht="24.75" x14ac:dyDescent="0.25">
      <c r="A1049" s="4" t="s">
        <v>3252</v>
      </c>
      <c r="B1049" s="2" t="s">
        <v>2083</v>
      </c>
      <c r="C1049" s="3">
        <v>2</v>
      </c>
      <c r="D1049" s="5">
        <v>9.99</v>
      </c>
      <c r="E1049" s="3" t="s">
        <v>2084</v>
      </c>
      <c r="F1049" s="2" t="s">
        <v>74</v>
      </c>
      <c r="G1049" s="6" t="s">
        <v>234</v>
      </c>
      <c r="H1049" s="2" t="s">
        <v>1473</v>
      </c>
      <c r="I1049" s="2" t="s">
        <v>1426</v>
      </c>
      <c r="J1049" s="2" t="s">
        <v>19</v>
      </c>
      <c r="K1049" s="2" t="s">
        <v>648</v>
      </c>
      <c r="L1049" s="7" t="str">
        <f>HYPERLINK("http://slimages.macys.com/is/image/MCY/10703349 ")</f>
        <v xml:space="preserve">http://slimages.macys.com/is/image/MCY/10703349 </v>
      </c>
    </row>
    <row r="1050" spans="1:12" ht="24.75" x14ac:dyDescent="0.25">
      <c r="A1050" s="4" t="s">
        <v>13609</v>
      </c>
      <c r="B1050" s="2" t="s">
        <v>11614</v>
      </c>
      <c r="C1050" s="3">
        <v>1</v>
      </c>
      <c r="D1050" s="5">
        <v>12.99</v>
      </c>
      <c r="E1050" s="3" t="s">
        <v>11615</v>
      </c>
      <c r="F1050" s="2" t="s">
        <v>111</v>
      </c>
      <c r="G1050" s="6" t="s">
        <v>154</v>
      </c>
      <c r="H1050" s="2" t="s">
        <v>2029</v>
      </c>
      <c r="I1050" s="2" t="s">
        <v>2030</v>
      </c>
      <c r="J1050" s="2" t="s">
        <v>19</v>
      </c>
      <c r="K1050" s="2" t="s">
        <v>495</v>
      </c>
      <c r="L1050" s="7" t="str">
        <f>HYPERLINK("http://slimages.macys.com/is/image/MCY/9494712 ")</f>
        <v xml:space="preserve">http://slimages.macys.com/is/image/MCY/9494712 </v>
      </c>
    </row>
    <row r="1051" spans="1:12" ht="24.75" x14ac:dyDescent="0.25">
      <c r="A1051" s="4" t="s">
        <v>4366</v>
      </c>
      <c r="B1051" s="2" t="s">
        <v>4367</v>
      </c>
      <c r="C1051" s="3">
        <v>1</v>
      </c>
      <c r="D1051" s="5">
        <v>9.99</v>
      </c>
      <c r="E1051" s="3" t="s">
        <v>4368</v>
      </c>
      <c r="F1051" s="2" t="s">
        <v>33</v>
      </c>
      <c r="G1051" s="6" t="s">
        <v>154</v>
      </c>
      <c r="H1051" s="2" t="s">
        <v>194</v>
      </c>
      <c r="I1051" s="2" t="s">
        <v>195</v>
      </c>
      <c r="J1051" s="2"/>
      <c r="K1051" s="2"/>
      <c r="L1051" s="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6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13610</v>
      </c>
      <c r="B2" s="2" t="s">
        <v>13611</v>
      </c>
      <c r="C2" s="3">
        <v>1</v>
      </c>
      <c r="D2" s="5">
        <v>134.25</v>
      </c>
      <c r="E2" s="3" t="s">
        <v>13612</v>
      </c>
      <c r="F2" s="2" t="s">
        <v>38</v>
      </c>
      <c r="G2" s="6"/>
      <c r="H2" s="2" t="s">
        <v>188</v>
      </c>
      <c r="I2" s="2" t="s">
        <v>189</v>
      </c>
      <c r="J2" s="2" t="s">
        <v>19</v>
      </c>
      <c r="K2" s="2" t="s">
        <v>12733</v>
      </c>
      <c r="L2" s="7" t="str">
        <f>HYPERLINK("http://slimages.macys.com/is/image/MCY/9860731 ")</f>
        <v xml:space="preserve">http://slimages.macys.com/is/image/MCY/9860731 </v>
      </c>
    </row>
    <row r="3" spans="1:12" ht="36.75" x14ac:dyDescent="0.25">
      <c r="A3" s="4" t="s">
        <v>13613</v>
      </c>
      <c r="B3" s="2" t="s">
        <v>9877</v>
      </c>
      <c r="C3" s="3">
        <v>1</v>
      </c>
      <c r="D3" s="5">
        <v>148</v>
      </c>
      <c r="E3" s="3" t="s">
        <v>13614</v>
      </c>
      <c r="F3" s="2" t="s">
        <v>15</v>
      </c>
      <c r="G3" s="6" t="s">
        <v>16</v>
      </c>
      <c r="H3" s="2" t="s">
        <v>17</v>
      </c>
      <c r="I3" s="2" t="s">
        <v>18</v>
      </c>
      <c r="J3" s="2" t="s">
        <v>19</v>
      </c>
      <c r="K3" s="2" t="s">
        <v>49</v>
      </c>
      <c r="L3" s="7" t="str">
        <f>HYPERLINK("http://slimages.macys.com/is/image/MCY/12877272 ")</f>
        <v xml:space="preserve">http://slimages.macys.com/is/image/MCY/12877272 </v>
      </c>
    </row>
    <row r="4" spans="1:12" ht="24.75" x14ac:dyDescent="0.25">
      <c r="A4" s="4" t="s">
        <v>13615</v>
      </c>
      <c r="B4" s="2" t="s">
        <v>10363</v>
      </c>
      <c r="C4" s="3">
        <v>1</v>
      </c>
      <c r="D4" s="5">
        <v>148</v>
      </c>
      <c r="E4" s="3" t="s">
        <v>10364</v>
      </c>
      <c r="F4" s="2" t="s">
        <v>26</v>
      </c>
      <c r="G4" s="6" t="s">
        <v>22</v>
      </c>
      <c r="H4" s="2" t="s">
        <v>17</v>
      </c>
      <c r="I4" s="2" t="s">
        <v>18</v>
      </c>
      <c r="J4" s="2" t="s">
        <v>19</v>
      </c>
      <c r="K4" s="2" t="s">
        <v>258</v>
      </c>
      <c r="L4" s="7" t="str">
        <f>HYPERLINK("http://slimages.macys.com/is/image/MCY/12847546 ")</f>
        <v xml:space="preserve">http://slimages.macys.com/is/image/MCY/12847546 </v>
      </c>
    </row>
    <row r="5" spans="1:12" ht="36.75" x14ac:dyDescent="0.25">
      <c r="A5" s="4" t="s">
        <v>13616</v>
      </c>
      <c r="B5" s="2" t="s">
        <v>9881</v>
      </c>
      <c r="C5" s="3">
        <v>1</v>
      </c>
      <c r="D5" s="5">
        <v>119</v>
      </c>
      <c r="E5" s="3" t="s">
        <v>9882</v>
      </c>
      <c r="F5" s="2" t="s">
        <v>53</v>
      </c>
      <c r="G5" s="6" t="s">
        <v>3744</v>
      </c>
      <c r="H5" s="2" t="s">
        <v>17</v>
      </c>
      <c r="I5" s="2" t="s">
        <v>117</v>
      </c>
      <c r="J5" s="2" t="s">
        <v>19</v>
      </c>
      <c r="K5" s="2" t="s">
        <v>2419</v>
      </c>
      <c r="L5" s="7" t="str">
        <f>HYPERLINK("http://slimages.macys.com/is/image/MCY/9803016 ")</f>
        <v xml:space="preserve">http://slimages.macys.com/is/image/MCY/9803016 </v>
      </c>
    </row>
    <row r="6" spans="1:12" ht="36.75" x14ac:dyDescent="0.25">
      <c r="A6" s="4" t="s">
        <v>13617</v>
      </c>
      <c r="B6" s="2" t="s">
        <v>10374</v>
      </c>
      <c r="C6" s="3">
        <v>1</v>
      </c>
      <c r="D6" s="5">
        <v>128</v>
      </c>
      <c r="E6" s="3" t="s">
        <v>10375</v>
      </c>
      <c r="F6" s="2" t="s">
        <v>33</v>
      </c>
      <c r="G6" s="6" t="s">
        <v>106</v>
      </c>
      <c r="H6" s="2" t="s">
        <v>17</v>
      </c>
      <c r="I6" s="2" t="s">
        <v>18</v>
      </c>
      <c r="J6" s="2" t="s">
        <v>19</v>
      </c>
      <c r="K6" s="2" t="s">
        <v>2419</v>
      </c>
      <c r="L6" s="7" t="str">
        <f>HYPERLINK("http://slimages.macys.com/is/image/MCY/12847654 ")</f>
        <v xml:space="preserve">http://slimages.macys.com/is/image/MCY/12847654 </v>
      </c>
    </row>
    <row r="7" spans="1:12" ht="48.75" x14ac:dyDescent="0.25">
      <c r="A7" s="4" t="s">
        <v>13618</v>
      </c>
      <c r="B7" s="2" t="s">
        <v>13619</v>
      </c>
      <c r="C7" s="3">
        <v>1</v>
      </c>
      <c r="D7" s="5">
        <v>108</v>
      </c>
      <c r="E7" s="3" t="s">
        <v>13620</v>
      </c>
      <c r="F7" s="2" t="s">
        <v>26</v>
      </c>
      <c r="G7" s="6" t="s">
        <v>3309</v>
      </c>
      <c r="H7" s="2" t="s">
        <v>17</v>
      </c>
      <c r="I7" s="2" t="s">
        <v>117</v>
      </c>
      <c r="J7" s="2" t="s">
        <v>19</v>
      </c>
      <c r="K7" s="2" t="s">
        <v>13621</v>
      </c>
      <c r="L7" s="7" t="str">
        <f>HYPERLINK("http://slimages.macys.com/is/image/MCY/12158362 ")</f>
        <v xml:space="preserve">http://slimages.macys.com/is/image/MCY/12158362 </v>
      </c>
    </row>
    <row r="8" spans="1:12" ht="24.75" x14ac:dyDescent="0.25">
      <c r="A8" s="4" t="s">
        <v>13622</v>
      </c>
      <c r="B8" s="2" t="s">
        <v>3300</v>
      </c>
      <c r="C8" s="3">
        <v>1</v>
      </c>
      <c r="D8" s="5">
        <v>108</v>
      </c>
      <c r="E8" s="3" t="s">
        <v>3301</v>
      </c>
      <c r="F8" s="2" t="s">
        <v>26</v>
      </c>
      <c r="G8" s="6" t="s">
        <v>65</v>
      </c>
      <c r="H8" s="2" t="s">
        <v>17</v>
      </c>
      <c r="I8" s="2" t="s">
        <v>18</v>
      </c>
      <c r="J8" s="2" t="s">
        <v>19</v>
      </c>
      <c r="K8" s="2" t="s">
        <v>75</v>
      </c>
      <c r="L8" s="7" t="str">
        <f>HYPERLINK("http://slimages.macys.com/is/image/MCY/13288538 ")</f>
        <v xml:space="preserve">http://slimages.macys.com/is/image/MCY/13288538 </v>
      </c>
    </row>
    <row r="9" spans="1:12" ht="24.75" x14ac:dyDescent="0.25">
      <c r="A9" s="4" t="s">
        <v>11654</v>
      </c>
      <c r="B9" s="2" t="s">
        <v>3300</v>
      </c>
      <c r="C9" s="3">
        <v>1</v>
      </c>
      <c r="D9" s="5">
        <v>108</v>
      </c>
      <c r="E9" s="3" t="s">
        <v>3301</v>
      </c>
      <c r="F9" s="2" t="s">
        <v>26</v>
      </c>
      <c r="G9" s="6" t="s">
        <v>16</v>
      </c>
      <c r="H9" s="2" t="s">
        <v>17</v>
      </c>
      <c r="I9" s="2" t="s">
        <v>18</v>
      </c>
      <c r="J9" s="2" t="s">
        <v>19</v>
      </c>
      <c r="K9" s="2" t="s">
        <v>75</v>
      </c>
      <c r="L9" s="7" t="str">
        <f>HYPERLINK("http://slimages.macys.com/is/image/MCY/13288538 ")</f>
        <v xml:space="preserve">http://slimages.macys.com/is/image/MCY/13288538 </v>
      </c>
    </row>
    <row r="10" spans="1:12" ht="24.75" x14ac:dyDescent="0.25">
      <c r="A10" s="4" t="s">
        <v>13623</v>
      </c>
      <c r="B10" s="2" t="s">
        <v>3300</v>
      </c>
      <c r="C10" s="3">
        <v>2</v>
      </c>
      <c r="D10" s="5">
        <v>108</v>
      </c>
      <c r="E10" s="3" t="s">
        <v>3301</v>
      </c>
      <c r="F10" s="2" t="s">
        <v>26</v>
      </c>
      <c r="G10" s="6" t="s">
        <v>22</v>
      </c>
      <c r="H10" s="2" t="s">
        <v>17</v>
      </c>
      <c r="I10" s="2" t="s">
        <v>18</v>
      </c>
      <c r="J10" s="2" t="s">
        <v>19</v>
      </c>
      <c r="K10" s="2" t="s">
        <v>75</v>
      </c>
      <c r="L10" s="7" t="str">
        <f>HYPERLINK("http://slimages.macys.com/is/image/MCY/13288538 ")</f>
        <v xml:space="preserve">http://slimages.macys.com/is/image/MCY/13288538 </v>
      </c>
    </row>
    <row r="11" spans="1:12" ht="24.75" x14ac:dyDescent="0.25">
      <c r="A11" s="4" t="s">
        <v>10387</v>
      </c>
      <c r="B11" s="2" t="s">
        <v>10388</v>
      </c>
      <c r="C11" s="3">
        <v>1</v>
      </c>
      <c r="D11" s="5">
        <v>99.5</v>
      </c>
      <c r="E11" s="3">
        <v>10722284</v>
      </c>
      <c r="F11" s="2" t="s">
        <v>15</v>
      </c>
      <c r="G11" s="6" t="s">
        <v>22</v>
      </c>
      <c r="H11" s="2" t="s">
        <v>17</v>
      </c>
      <c r="I11" s="2" t="s">
        <v>121</v>
      </c>
      <c r="J11" s="2" t="s">
        <v>19</v>
      </c>
      <c r="K11" s="2" t="s">
        <v>34</v>
      </c>
      <c r="L11" s="7" t="str">
        <f>HYPERLINK("http://slimages.macys.com/is/image/MCY/12338265 ")</f>
        <v xml:space="preserve">http://slimages.macys.com/is/image/MCY/12338265 </v>
      </c>
    </row>
    <row r="12" spans="1:12" ht="24.75" x14ac:dyDescent="0.25">
      <c r="A12" s="4" t="s">
        <v>13624</v>
      </c>
      <c r="B12" s="2" t="s">
        <v>13625</v>
      </c>
      <c r="C12" s="3">
        <v>1</v>
      </c>
      <c r="D12" s="5">
        <v>119</v>
      </c>
      <c r="E12" s="3" t="s">
        <v>13626</v>
      </c>
      <c r="F12" s="2" t="s">
        <v>70</v>
      </c>
      <c r="G12" s="6" t="s">
        <v>4401</v>
      </c>
      <c r="H12" s="2" t="s">
        <v>17</v>
      </c>
      <c r="I12" s="2" t="s">
        <v>145</v>
      </c>
      <c r="J12" s="2" t="s">
        <v>19</v>
      </c>
      <c r="K12" s="2" t="s">
        <v>118</v>
      </c>
      <c r="L12" s="7" t="str">
        <f>HYPERLINK("http://slimages.macys.com/is/image/MCY/12671393 ")</f>
        <v xml:space="preserve">http://slimages.macys.com/is/image/MCY/12671393 </v>
      </c>
    </row>
    <row r="13" spans="1:12" ht="24.75" x14ac:dyDescent="0.25">
      <c r="A13" s="4" t="s">
        <v>13627</v>
      </c>
      <c r="B13" s="2" t="s">
        <v>13628</v>
      </c>
      <c r="C13" s="3">
        <v>1</v>
      </c>
      <c r="D13" s="5">
        <v>119.5</v>
      </c>
      <c r="E13" s="3">
        <v>100050586</v>
      </c>
      <c r="F13" s="2" t="s">
        <v>64</v>
      </c>
      <c r="G13" s="6" t="s">
        <v>27</v>
      </c>
      <c r="H13" s="2" t="s">
        <v>386</v>
      </c>
      <c r="I13" s="2" t="s">
        <v>207</v>
      </c>
      <c r="J13" s="2" t="s">
        <v>19</v>
      </c>
      <c r="K13" s="2" t="s">
        <v>338</v>
      </c>
      <c r="L13" s="7" t="str">
        <f>HYPERLINK("http://slimages.macys.com/is/image/MCY/11963017 ")</f>
        <v xml:space="preserve">http://slimages.macys.com/is/image/MCY/11963017 </v>
      </c>
    </row>
    <row r="14" spans="1:12" ht="24.75" x14ac:dyDescent="0.25">
      <c r="A14" s="4" t="s">
        <v>13629</v>
      </c>
      <c r="B14" s="2" t="s">
        <v>13630</v>
      </c>
      <c r="C14" s="3">
        <v>1</v>
      </c>
      <c r="D14" s="5">
        <v>88</v>
      </c>
      <c r="E14" s="3" t="s">
        <v>13631</v>
      </c>
      <c r="F14" s="2" t="s">
        <v>70</v>
      </c>
      <c r="G14" s="6" t="s">
        <v>181</v>
      </c>
      <c r="H14" s="2" t="s">
        <v>10225</v>
      </c>
      <c r="I14" s="2" t="s">
        <v>13632</v>
      </c>
      <c r="J14" s="2" t="s">
        <v>19</v>
      </c>
      <c r="K14" s="2" t="s">
        <v>13633</v>
      </c>
      <c r="L14" s="7" t="str">
        <f>HYPERLINK("http://slimages.macys.com/is/image/MCY/15519960 ")</f>
        <v xml:space="preserve">http://slimages.macys.com/is/image/MCY/15519960 </v>
      </c>
    </row>
    <row r="15" spans="1:12" ht="24.75" x14ac:dyDescent="0.25">
      <c r="A15" s="4" t="s">
        <v>13634</v>
      </c>
      <c r="B15" s="2" t="s">
        <v>13635</v>
      </c>
      <c r="C15" s="3">
        <v>1</v>
      </c>
      <c r="D15" s="5">
        <v>79.989999999999995</v>
      </c>
      <c r="E15" s="3" t="s">
        <v>13636</v>
      </c>
      <c r="F15" s="2" t="s">
        <v>752</v>
      </c>
      <c r="G15" s="6" t="s">
        <v>187</v>
      </c>
      <c r="H15" s="2" t="s">
        <v>188</v>
      </c>
      <c r="I15" s="2" t="s">
        <v>189</v>
      </c>
      <c r="J15" s="2" t="s">
        <v>19</v>
      </c>
      <c r="K15" s="2" t="s">
        <v>12733</v>
      </c>
      <c r="L15" s="7" t="str">
        <f>HYPERLINK("http://slimages.macys.com/is/image/MCY/9726110 ")</f>
        <v xml:space="preserve">http://slimages.macys.com/is/image/MCY/9726110 </v>
      </c>
    </row>
    <row r="16" spans="1:12" ht="24.75" x14ac:dyDescent="0.25">
      <c r="A16" s="4" t="s">
        <v>13637</v>
      </c>
      <c r="B16" s="2" t="s">
        <v>9913</v>
      </c>
      <c r="C16" s="3">
        <v>1</v>
      </c>
      <c r="D16" s="5">
        <v>73.5</v>
      </c>
      <c r="E16" s="3" t="s">
        <v>9914</v>
      </c>
      <c r="F16" s="2" t="s">
        <v>64</v>
      </c>
      <c r="G16" s="6" t="s">
        <v>181</v>
      </c>
      <c r="H16" s="2" t="s">
        <v>246</v>
      </c>
      <c r="I16" s="2" t="s">
        <v>189</v>
      </c>
      <c r="J16" s="2" t="s">
        <v>19</v>
      </c>
      <c r="K16" s="2" t="s">
        <v>34</v>
      </c>
      <c r="L16" s="7" t="str">
        <f>HYPERLINK("http://slimages.macys.com/is/image/MCY/10892064 ")</f>
        <v xml:space="preserve">http://slimages.macys.com/is/image/MCY/10892064 </v>
      </c>
    </row>
    <row r="17" spans="1:12" ht="24.75" x14ac:dyDescent="0.25">
      <c r="A17" s="4" t="s">
        <v>11676</v>
      </c>
      <c r="B17" s="2" t="s">
        <v>10409</v>
      </c>
      <c r="C17" s="3">
        <v>1</v>
      </c>
      <c r="D17" s="5">
        <v>99.5</v>
      </c>
      <c r="E17" s="3">
        <v>100050164</v>
      </c>
      <c r="F17" s="2" t="s">
        <v>64</v>
      </c>
      <c r="G17" s="6" t="s">
        <v>27</v>
      </c>
      <c r="H17" s="2" t="s">
        <v>386</v>
      </c>
      <c r="I17" s="2" t="s">
        <v>337</v>
      </c>
      <c r="J17" s="2" t="s">
        <v>19</v>
      </c>
      <c r="K17" s="2" t="s">
        <v>338</v>
      </c>
      <c r="L17" s="7" t="str">
        <f>HYPERLINK("http://slimages.macys.com/is/image/MCY/12387580 ")</f>
        <v xml:space="preserve">http://slimages.macys.com/is/image/MCY/12387580 </v>
      </c>
    </row>
    <row r="18" spans="1:12" ht="24.75" x14ac:dyDescent="0.25">
      <c r="A18" s="4" t="s">
        <v>10408</v>
      </c>
      <c r="B18" s="2" t="s">
        <v>10409</v>
      </c>
      <c r="C18" s="3">
        <v>1</v>
      </c>
      <c r="D18" s="5">
        <v>99.5</v>
      </c>
      <c r="E18" s="3">
        <v>100050164</v>
      </c>
      <c r="F18" s="2" t="s">
        <v>64</v>
      </c>
      <c r="G18" s="6" t="s">
        <v>58</v>
      </c>
      <c r="H18" s="2" t="s">
        <v>386</v>
      </c>
      <c r="I18" s="2" t="s">
        <v>337</v>
      </c>
      <c r="J18" s="2" t="s">
        <v>19</v>
      </c>
      <c r="K18" s="2" t="s">
        <v>338</v>
      </c>
      <c r="L18" s="7" t="str">
        <f>HYPERLINK("http://slimages.macys.com/is/image/MCY/12387580 ")</f>
        <v xml:space="preserve">http://slimages.macys.com/is/image/MCY/12387580 </v>
      </c>
    </row>
    <row r="19" spans="1:12" ht="24.75" x14ac:dyDescent="0.25">
      <c r="A19" s="4" t="s">
        <v>13638</v>
      </c>
      <c r="B19" s="2" t="s">
        <v>13639</v>
      </c>
      <c r="C19" s="3">
        <v>1</v>
      </c>
      <c r="D19" s="5">
        <v>89</v>
      </c>
      <c r="E19" s="3" t="s">
        <v>13640</v>
      </c>
      <c r="F19" s="2" t="s">
        <v>3293</v>
      </c>
      <c r="G19" s="6" t="s">
        <v>336</v>
      </c>
      <c r="H19" s="2" t="s">
        <v>9995</v>
      </c>
      <c r="I19" s="2" t="s">
        <v>10397</v>
      </c>
      <c r="J19" s="2" t="s">
        <v>19</v>
      </c>
      <c r="K19" s="2" t="s">
        <v>353</v>
      </c>
      <c r="L19" s="7" t="str">
        <f>HYPERLINK("http://slimages.macys.com/is/image/MCY/3651651 ")</f>
        <v xml:space="preserve">http://slimages.macys.com/is/image/MCY/3651651 </v>
      </c>
    </row>
    <row r="20" spans="1:12" ht="24.75" x14ac:dyDescent="0.25">
      <c r="A20" s="4" t="s">
        <v>13641</v>
      </c>
      <c r="B20" s="2" t="s">
        <v>175</v>
      </c>
      <c r="C20" s="3">
        <v>1</v>
      </c>
      <c r="D20" s="5">
        <v>89.5</v>
      </c>
      <c r="E20" s="3" t="s">
        <v>176</v>
      </c>
      <c r="F20" s="2" t="s">
        <v>74</v>
      </c>
      <c r="G20" s="6" t="s">
        <v>934</v>
      </c>
      <c r="H20" s="2" t="s">
        <v>127</v>
      </c>
      <c r="I20" s="2" t="s">
        <v>128</v>
      </c>
      <c r="J20" s="2" t="s">
        <v>19</v>
      </c>
      <c r="K20" s="2" t="s">
        <v>160</v>
      </c>
      <c r="L20" s="7" t="str">
        <f>HYPERLINK("http://slimages.macys.com/is/image/MCY/13290006 ")</f>
        <v xml:space="preserve">http://slimages.macys.com/is/image/MCY/13290006 </v>
      </c>
    </row>
    <row r="21" spans="1:12" ht="24.75" x14ac:dyDescent="0.25">
      <c r="A21" s="4" t="s">
        <v>13642</v>
      </c>
      <c r="B21" s="2" t="s">
        <v>13643</v>
      </c>
      <c r="C21" s="3">
        <v>1</v>
      </c>
      <c r="D21" s="5">
        <v>73.5</v>
      </c>
      <c r="E21" s="3" t="s">
        <v>13644</v>
      </c>
      <c r="F21" s="2" t="s">
        <v>64</v>
      </c>
      <c r="G21" s="6" t="s">
        <v>181</v>
      </c>
      <c r="H21" s="2" t="s">
        <v>246</v>
      </c>
      <c r="I21" s="2" t="s">
        <v>189</v>
      </c>
      <c r="J21" s="2" t="s">
        <v>19</v>
      </c>
      <c r="K21" s="2" t="s">
        <v>13645</v>
      </c>
      <c r="L21" s="7" t="str">
        <f>HYPERLINK("http://slimages.macys.com/is/image/MCY/15216010 ")</f>
        <v xml:space="preserve">http://slimages.macys.com/is/image/MCY/15216010 </v>
      </c>
    </row>
    <row r="22" spans="1:12" ht="24.75" x14ac:dyDescent="0.25">
      <c r="A22" s="4" t="s">
        <v>13646</v>
      </c>
      <c r="B22" s="2" t="s">
        <v>13643</v>
      </c>
      <c r="C22" s="3">
        <v>1</v>
      </c>
      <c r="D22" s="5">
        <v>73.5</v>
      </c>
      <c r="E22" s="3" t="s">
        <v>13644</v>
      </c>
      <c r="F22" s="2" t="s">
        <v>64</v>
      </c>
      <c r="G22" s="6" t="s">
        <v>156</v>
      </c>
      <c r="H22" s="2" t="s">
        <v>246</v>
      </c>
      <c r="I22" s="2" t="s">
        <v>189</v>
      </c>
      <c r="J22" s="2" t="s">
        <v>19</v>
      </c>
      <c r="K22" s="2" t="s">
        <v>13645</v>
      </c>
      <c r="L22" s="7" t="str">
        <f>HYPERLINK("http://slimages.macys.com/is/image/MCY/15216010 ")</f>
        <v xml:space="preserve">http://slimages.macys.com/is/image/MCY/15216010 </v>
      </c>
    </row>
    <row r="23" spans="1:12" ht="24.75" x14ac:dyDescent="0.25">
      <c r="A23" s="4" t="s">
        <v>13647</v>
      </c>
      <c r="B23" s="2" t="s">
        <v>3330</v>
      </c>
      <c r="C23" s="3">
        <v>1</v>
      </c>
      <c r="D23" s="5">
        <v>99.5</v>
      </c>
      <c r="E23" s="3">
        <v>100062362</v>
      </c>
      <c r="F23" s="2" t="s">
        <v>64</v>
      </c>
      <c r="G23" s="6" t="s">
        <v>65</v>
      </c>
      <c r="H23" s="2" t="s">
        <v>386</v>
      </c>
      <c r="I23" s="2" t="s">
        <v>207</v>
      </c>
      <c r="J23" s="2" t="s">
        <v>19</v>
      </c>
      <c r="K23" s="2" t="s">
        <v>338</v>
      </c>
      <c r="L23" s="7" t="str">
        <f>HYPERLINK("http://slimages.macys.com/is/image/MCY/12282881 ")</f>
        <v xml:space="preserve">http://slimages.macys.com/is/image/MCY/12282881 </v>
      </c>
    </row>
    <row r="24" spans="1:12" ht="24.75" x14ac:dyDescent="0.25">
      <c r="A24" s="4" t="s">
        <v>13648</v>
      </c>
      <c r="B24" s="2" t="s">
        <v>13649</v>
      </c>
      <c r="C24" s="3">
        <v>1</v>
      </c>
      <c r="D24" s="5">
        <v>119.5</v>
      </c>
      <c r="E24" s="3" t="s">
        <v>13650</v>
      </c>
      <c r="F24" s="2" t="s">
        <v>74</v>
      </c>
      <c r="G24" s="6" t="s">
        <v>238</v>
      </c>
      <c r="H24" s="2" t="s">
        <v>206</v>
      </c>
      <c r="I24" s="2" t="s">
        <v>207</v>
      </c>
      <c r="J24" s="2" t="s">
        <v>19</v>
      </c>
      <c r="K24" s="2" t="s">
        <v>258</v>
      </c>
      <c r="L24" s="7" t="str">
        <f>HYPERLINK("http://slimages.macys.com/is/image/MCY/13398214 ")</f>
        <v xml:space="preserve">http://slimages.macys.com/is/image/MCY/13398214 </v>
      </c>
    </row>
    <row r="25" spans="1:12" ht="24.75" x14ac:dyDescent="0.25">
      <c r="A25" s="4" t="s">
        <v>13651</v>
      </c>
      <c r="B25" s="2" t="s">
        <v>13652</v>
      </c>
      <c r="C25" s="3">
        <v>1</v>
      </c>
      <c r="D25" s="5">
        <v>79.5</v>
      </c>
      <c r="E25" s="3" t="s">
        <v>13653</v>
      </c>
      <c r="F25" s="2" t="s">
        <v>1296</v>
      </c>
      <c r="G25" s="6"/>
      <c r="H25" s="2" t="s">
        <v>127</v>
      </c>
      <c r="I25" s="2" t="s">
        <v>128</v>
      </c>
      <c r="J25" s="2" t="s">
        <v>19</v>
      </c>
      <c r="K25" s="2" t="s">
        <v>34</v>
      </c>
      <c r="L25" s="7" t="str">
        <f>HYPERLINK("http://slimages.macys.com/is/image/MCY/14313291 ")</f>
        <v xml:space="preserve">http://slimages.macys.com/is/image/MCY/14313291 </v>
      </c>
    </row>
    <row r="26" spans="1:12" ht="24.75" x14ac:dyDescent="0.25">
      <c r="A26" s="4" t="s">
        <v>184</v>
      </c>
      <c r="B26" s="2" t="s">
        <v>185</v>
      </c>
      <c r="C26" s="3">
        <v>1</v>
      </c>
      <c r="D26" s="5">
        <v>82.13</v>
      </c>
      <c r="E26" s="3" t="s">
        <v>186</v>
      </c>
      <c r="F26" s="2" t="s">
        <v>26</v>
      </c>
      <c r="G26" s="6" t="s">
        <v>187</v>
      </c>
      <c r="H26" s="2" t="s">
        <v>188</v>
      </c>
      <c r="I26" s="2" t="s">
        <v>189</v>
      </c>
      <c r="J26" s="2" t="s">
        <v>19</v>
      </c>
      <c r="K26" s="2" t="s">
        <v>160</v>
      </c>
      <c r="L26" s="7" t="str">
        <f>HYPERLINK("http://slimages.macys.com/is/image/MCY/11680616 ")</f>
        <v xml:space="preserve">http://slimages.macys.com/is/image/MCY/11680616 </v>
      </c>
    </row>
    <row r="27" spans="1:12" ht="36.75" x14ac:dyDescent="0.25">
      <c r="A27" s="4" t="s">
        <v>13654</v>
      </c>
      <c r="B27" s="2" t="s">
        <v>13655</v>
      </c>
      <c r="C27" s="3">
        <v>1</v>
      </c>
      <c r="D27" s="5">
        <v>67.13</v>
      </c>
      <c r="E27" s="3" t="s">
        <v>13656</v>
      </c>
      <c r="F27" s="2" t="s">
        <v>64</v>
      </c>
      <c r="G27" s="6" t="s">
        <v>181</v>
      </c>
      <c r="H27" s="2" t="s">
        <v>246</v>
      </c>
      <c r="I27" s="2" t="s">
        <v>189</v>
      </c>
      <c r="J27" s="2" t="s">
        <v>19</v>
      </c>
      <c r="K27" s="2" t="s">
        <v>6314</v>
      </c>
      <c r="L27" s="7" t="str">
        <f>HYPERLINK("http://slimages.macys.com/is/image/MCY/12649612 ")</f>
        <v xml:space="preserve">http://slimages.macys.com/is/image/MCY/12649612 </v>
      </c>
    </row>
    <row r="28" spans="1:12" ht="24.75" x14ac:dyDescent="0.25">
      <c r="A28" s="4" t="s">
        <v>13657</v>
      </c>
      <c r="B28" s="2" t="s">
        <v>10409</v>
      </c>
      <c r="C28" s="3">
        <v>1</v>
      </c>
      <c r="D28" s="5">
        <v>99.5</v>
      </c>
      <c r="E28" s="3">
        <v>100058337</v>
      </c>
      <c r="F28" s="2" t="s">
        <v>252</v>
      </c>
      <c r="G28" s="6" t="s">
        <v>39</v>
      </c>
      <c r="H28" s="2" t="s">
        <v>386</v>
      </c>
      <c r="I28" s="2" t="s">
        <v>337</v>
      </c>
      <c r="J28" s="2" t="s">
        <v>19</v>
      </c>
      <c r="K28" s="2" t="s">
        <v>338</v>
      </c>
      <c r="L28" s="7" t="str">
        <f>HYPERLINK("http://slimages.macys.com/is/image/MCY/12387580 ")</f>
        <v xml:space="preserve">http://slimages.macys.com/is/image/MCY/12387580 </v>
      </c>
    </row>
    <row r="29" spans="1:12" ht="36.75" x14ac:dyDescent="0.25">
      <c r="A29" s="4" t="s">
        <v>13658</v>
      </c>
      <c r="B29" s="2" t="s">
        <v>13659</v>
      </c>
      <c r="C29" s="3">
        <v>1</v>
      </c>
      <c r="D29" s="5">
        <v>119.5</v>
      </c>
      <c r="E29" s="3" t="s">
        <v>13660</v>
      </c>
      <c r="F29" s="2" t="s">
        <v>74</v>
      </c>
      <c r="G29" s="6" t="s">
        <v>336</v>
      </c>
      <c r="H29" s="2" t="s">
        <v>206</v>
      </c>
      <c r="I29" s="2" t="s">
        <v>207</v>
      </c>
      <c r="J29" s="2" t="s">
        <v>19</v>
      </c>
      <c r="K29" s="2" t="s">
        <v>13661</v>
      </c>
      <c r="L29" s="7" t="str">
        <f>HYPERLINK("http://slimages.macys.com/is/image/MCY/12952879 ")</f>
        <v xml:space="preserve">http://slimages.macys.com/is/image/MCY/12952879 </v>
      </c>
    </row>
    <row r="30" spans="1:12" ht="24.75" x14ac:dyDescent="0.25">
      <c r="A30" s="4" t="s">
        <v>13662</v>
      </c>
      <c r="B30" s="2" t="s">
        <v>7059</v>
      </c>
      <c r="C30" s="3">
        <v>1</v>
      </c>
      <c r="D30" s="5">
        <v>59.63</v>
      </c>
      <c r="E30" s="3" t="s">
        <v>7060</v>
      </c>
      <c r="F30" s="2" t="s">
        <v>26</v>
      </c>
      <c r="G30" s="6" t="s">
        <v>746</v>
      </c>
      <c r="H30" s="2" t="s">
        <v>349</v>
      </c>
      <c r="I30" s="2" t="s">
        <v>285</v>
      </c>
      <c r="J30" s="2" t="s">
        <v>19</v>
      </c>
      <c r="K30" s="2" t="s">
        <v>7061</v>
      </c>
      <c r="L30" s="7" t="str">
        <f>HYPERLINK("http://slimages.macys.com/is/image/MCY/13040749 ")</f>
        <v xml:space="preserve">http://slimages.macys.com/is/image/MCY/13040749 </v>
      </c>
    </row>
    <row r="31" spans="1:12" ht="24.75" x14ac:dyDescent="0.25">
      <c r="A31" s="4" t="s">
        <v>13663</v>
      </c>
      <c r="B31" s="2" t="s">
        <v>11693</v>
      </c>
      <c r="C31" s="3">
        <v>1</v>
      </c>
      <c r="D31" s="5">
        <v>67.13</v>
      </c>
      <c r="E31" s="3" t="s">
        <v>11694</v>
      </c>
      <c r="F31" s="2" t="s">
        <v>64</v>
      </c>
      <c r="G31" s="6" t="s">
        <v>22</v>
      </c>
      <c r="H31" s="2" t="s">
        <v>246</v>
      </c>
      <c r="I31" s="2" t="s">
        <v>189</v>
      </c>
      <c r="J31" s="2" t="s">
        <v>19</v>
      </c>
      <c r="K31" s="2" t="s">
        <v>118</v>
      </c>
      <c r="L31" s="7" t="str">
        <f>HYPERLINK("http://slimages.macys.com/is/image/MCY/11808221 ")</f>
        <v xml:space="preserve">http://slimages.macys.com/is/image/MCY/11808221 </v>
      </c>
    </row>
    <row r="32" spans="1:12" x14ac:dyDescent="0.25">
      <c r="A32" s="4" t="s">
        <v>13664</v>
      </c>
      <c r="B32" s="2" t="s">
        <v>13665</v>
      </c>
      <c r="C32" s="3">
        <v>1</v>
      </c>
      <c r="D32" s="5">
        <v>99.5</v>
      </c>
      <c r="E32" s="3">
        <v>100070435</v>
      </c>
      <c r="F32" s="2" t="s">
        <v>74</v>
      </c>
      <c r="G32" s="6" t="s">
        <v>154</v>
      </c>
      <c r="H32" s="2" t="s">
        <v>386</v>
      </c>
      <c r="I32" s="2" t="s">
        <v>391</v>
      </c>
      <c r="J32" s="2" t="s">
        <v>19</v>
      </c>
      <c r="K32" s="2" t="s">
        <v>253</v>
      </c>
      <c r="L32" s="7" t="str">
        <f>HYPERLINK("http://slimages.macys.com/is/image/MCY/13786297 ")</f>
        <v xml:space="preserve">http://slimages.macys.com/is/image/MCY/13786297 </v>
      </c>
    </row>
    <row r="33" spans="1:12" ht="24.75" x14ac:dyDescent="0.25">
      <c r="A33" s="4" t="s">
        <v>13666</v>
      </c>
      <c r="B33" s="2" t="s">
        <v>10422</v>
      </c>
      <c r="C33" s="3">
        <v>1</v>
      </c>
      <c r="D33" s="5">
        <v>69.5</v>
      </c>
      <c r="E33" s="3" t="s">
        <v>10423</v>
      </c>
      <c r="F33" s="2" t="s">
        <v>74</v>
      </c>
      <c r="G33" s="6"/>
      <c r="H33" s="2" t="s">
        <v>127</v>
      </c>
      <c r="I33" s="2" t="s">
        <v>128</v>
      </c>
      <c r="J33" s="2" t="s">
        <v>19</v>
      </c>
      <c r="K33" s="2" t="s">
        <v>160</v>
      </c>
      <c r="L33" s="7" t="str">
        <f>HYPERLINK("http://slimages.macys.com/is/image/MCY/13535373 ")</f>
        <v xml:space="preserve">http://slimages.macys.com/is/image/MCY/13535373 </v>
      </c>
    </row>
    <row r="34" spans="1:12" ht="24.75" x14ac:dyDescent="0.25">
      <c r="A34" s="4" t="s">
        <v>13667</v>
      </c>
      <c r="B34" s="2" t="s">
        <v>10422</v>
      </c>
      <c r="C34" s="3">
        <v>1</v>
      </c>
      <c r="D34" s="5">
        <v>69.5</v>
      </c>
      <c r="E34" s="3" t="s">
        <v>10423</v>
      </c>
      <c r="F34" s="2" t="s">
        <v>74</v>
      </c>
      <c r="G34" s="6" t="s">
        <v>187</v>
      </c>
      <c r="H34" s="2" t="s">
        <v>127</v>
      </c>
      <c r="I34" s="2" t="s">
        <v>128</v>
      </c>
      <c r="J34" s="2" t="s">
        <v>19</v>
      </c>
      <c r="K34" s="2" t="s">
        <v>160</v>
      </c>
      <c r="L34" s="7" t="str">
        <f>HYPERLINK("http://slimages.macys.com/is/image/MCY/13535373 ")</f>
        <v xml:space="preserve">http://slimages.macys.com/is/image/MCY/13535373 </v>
      </c>
    </row>
    <row r="35" spans="1:12" ht="36.75" x14ac:dyDescent="0.25">
      <c r="A35" s="4" t="s">
        <v>13668</v>
      </c>
      <c r="B35" s="2" t="s">
        <v>13669</v>
      </c>
      <c r="C35" s="3">
        <v>1</v>
      </c>
      <c r="D35" s="5">
        <v>79.5</v>
      </c>
      <c r="E35" s="3">
        <v>100049259</v>
      </c>
      <c r="F35" s="2" t="s">
        <v>64</v>
      </c>
      <c r="G35" s="6" t="s">
        <v>16</v>
      </c>
      <c r="H35" s="2" t="s">
        <v>386</v>
      </c>
      <c r="I35" s="2" t="s">
        <v>207</v>
      </c>
      <c r="J35" s="2" t="s">
        <v>19</v>
      </c>
      <c r="K35" s="2" t="s">
        <v>13670</v>
      </c>
      <c r="L35" s="7" t="str">
        <f>HYPERLINK("http://slimages.macys.com/is/image/MCY/11782608 ")</f>
        <v xml:space="preserve">http://slimages.macys.com/is/image/MCY/11782608 </v>
      </c>
    </row>
    <row r="36" spans="1:12" x14ac:dyDescent="0.25">
      <c r="A36" s="4" t="s">
        <v>232</v>
      </c>
      <c r="B36" s="2" t="s">
        <v>178</v>
      </c>
      <c r="C36" s="3">
        <v>1</v>
      </c>
      <c r="D36" s="5">
        <v>55.65</v>
      </c>
      <c r="E36" s="3" t="s">
        <v>179</v>
      </c>
      <c r="F36" s="2" t="s">
        <v>74</v>
      </c>
      <c r="G36" s="6" t="s">
        <v>181</v>
      </c>
      <c r="H36" s="2" t="s">
        <v>182</v>
      </c>
      <c r="I36" s="2" t="s">
        <v>183</v>
      </c>
      <c r="J36" s="2" t="s">
        <v>19</v>
      </c>
      <c r="K36" s="2" t="s">
        <v>34</v>
      </c>
      <c r="L36" s="7" t="str">
        <f>HYPERLINK("http://slimages.macys.com/is/image/MCY/12935648 ")</f>
        <v xml:space="preserve">http://slimages.macys.com/is/image/MCY/12935648 </v>
      </c>
    </row>
    <row r="37" spans="1:12" ht="24.75" x14ac:dyDescent="0.25">
      <c r="A37" s="4" t="s">
        <v>13671</v>
      </c>
      <c r="B37" s="2" t="s">
        <v>13672</v>
      </c>
      <c r="C37" s="3">
        <v>1</v>
      </c>
      <c r="D37" s="5">
        <v>58.5</v>
      </c>
      <c r="E37" s="3">
        <v>100048897</v>
      </c>
      <c r="F37" s="2" t="s">
        <v>376</v>
      </c>
      <c r="G37" s="6" t="s">
        <v>154</v>
      </c>
      <c r="H37" s="2" t="s">
        <v>194</v>
      </c>
      <c r="I37" s="2" t="s">
        <v>195</v>
      </c>
      <c r="J37" s="2" t="s">
        <v>19</v>
      </c>
      <c r="K37" s="2" t="s">
        <v>546</v>
      </c>
      <c r="L37" s="7" t="str">
        <f>HYPERLINK("http://slimages.macys.com/is/image/MCY/12143882 ")</f>
        <v xml:space="preserve">http://slimages.macys.com/is/image/MCY/12143882 </v>
      </c>
    </row>
    <row r="38" spans="1:12" ht="24.75" x14ac:dyDescent="0.25">
      <c r="A38" s="4" t="s">
        <v>13673</v>
      </c>
      <c r="B38" s="2" t="s">
        <v>13674</v>
      </c>
      <c r="C38" s="3">
        <v>1</v>
      </c>
      <c r="D38" s="5">
        <v>67.13</v>
      </c>
      <c r="E38" s="3" t="s">
        <v>13675</v>
      </c>
      <c r="F38" s="2" t="s">
        <v>26</v>
      </c>
      <c r="G38" s="6" t="s">
        <v>154</v>
      </c>
      <c r="H38" s="2" t="s">
        <v>246</v>
      </c>
      <c r="I38" s="2" t="s">
        <v>189</v>
      </c>
      <c r="J38" s="2" t="s">
        <v>19</v>
      </c>
      <c r="K38" s="2" t="s">
        <v>3423</v>
      </c>
      <c r="L38" s="7" t="str">
        <f>HYPERLINK("http://slimages.macys.com/is/image/MCY/11746844 ")</f>
        <v xml:space="preserve">http://slimages.macys.com/is/image/MCY/11746844 </v>
      </c>
    </row>
    <row r="39" spans="1:12" ht="24.75" x14ac:dyDescent="0.25">
      <c r="A39" s="4" t="s">
        <v>4449</v>
      </c>
      <c r="B39" s="2" t="s">
        <v>2173</v>
      </c>
      <c r="C39" s="3">
        <v>1</v>
      </c>
      <c r="D39" s="5">
        <v>59.63</v>
      </c>
      <c r="E39" s="3" t="s">
        <v>2174</v>
      </c>
      <c r="F39" s="2" t="s">
        <v>26</v>
      </c>
      <c r="G39" s="6" t="s">
        <v>219</v>
      </c>
      <c r="H39" s="2" t="s">
        <v>188</v>
      </c>
      <c r="I39" s="2" t="s">
        <v>189</v>
      </c>
      <c r="J39" s="2" t="s">
        <v>19</v>
      </c>
      <c r="K39" s="2" t="s">
        <v>263</v>
      </c>
      <c r="L39" s="7" t="str">
        <f>HYPERLINK("http://slimages.macys.com/is/image/MCY/11808238 ")</f>
        <v xml:space="preserve">http://slimages.macys.com/is/image/MCY/11808238 </v>
      </c>
    </row>
    <row r="40" spans="1:12" ht="24.75" x14ac:dyDescent="0.25">
      <c r="A40" s="4" t="s">
        <v>13676</v>
      </c>
      <c r="B40" s="2" t="s">
        <v>13677</v>
      </c>
      <c r="C40" s="3">
        <v>1</v>
      </c>
      <c r="D40" s="5">
        <v>74.5</v>
      </c>
      <c r="E40" s="3" t="s">
        <v>13678</v>
      </c>
      <c r="F40" s="2" t="s">
        <v>74</v>
      </c>
      <c r="G40" s="6" t="s">
        <v>205</v>
      </c>
      <c r="H40" s="2" t="s">
        <v>127</v>
      </c>
      <c r="I40" s="2" t="s">
        <v>128</v>
      </c>
      <c r="J40" s="2" t="s">
        <v>19</v>
      </c>
      <c r="K40" s="2" t="s">
        <v>137</v>
      </c>
      <c r="L40" s="7" t="str">
        <f>HYPERLINK("http://slimages.macys.com/is/image/MCY/13838627 ")</f>
        <v xml:space="preserve">http://slimages.macys.com/is/image/MCY/13838627 </v>
      </c>
    </row>
    <row r="41" spans="1:12" ht="24.75" x14ac:dyDescent="0.25">
      <c r="A41" s="4" t="s">
        <v>13679</v>
      </c>
      <c r="B41" s="2" t="s">
        <v>13677</v>
      </c>
      <c r="C41" s="3">
        <v>1</v>
      </c>
      <c r="D41" s="5">
        <v>74.5</v>
      </c>
      <c r="E41" s="3" t="s">
        <v>13678</v>
      </c>
      <c r="F41" s="2" t="s">
        <v>74</v>
      </c>
      <c r="G41" s="6" t="s">
        <v>238</v>
      </c>
      <c r="H41" s="2" t="s">
        <v>127</v>
      </c>
      <c r="I41" s="2" t="s">
        <v>128</v>
      </c>
      <c r="J41" s="2" t="s">
        <v>19</v>
      </c>
      <c r="K41" s="2" t="s">
        <v>137</v>
      </c>
      <c r="L41" s="7" t="str">
        <f>HYPERLINK("http://slimages.macys.com/is/image/MCY/13838627 ")</f>
        <v xml:space="preserve">http://slimages.macys.com/is/image/MCY/13838627 </v>
      </c>
    </row>
    <row r="42" spans="1:12" ht="24.75" x14ac:dyDescent="0.25">
      <c r="A42" s="4" t="s">
        <v>13680</v>
      </c>
      <c r="B42" s="2" t="s">
        <v>13677</v>
      </c>
      <c r="C42" s="3">
        <v>1</v>
      </c>
      <c r="D42" s="5">
        <v>74.5</v>
      </c>
      <c r="E42" s="3" t="s">
        <v>13678</v>
      </c>
      <c r="F42" s="2" t="s">
        <v>74</v>
      </c>
      <c r="G42" s="6" t="s">
        <v>934</v>
      </c>
      <c r="H42" s="2" t="s">
        <v>127</v>
      </c>
      <c r="I42" s="2" t="s">
        <v>128</v>
      </c>
      <c r="J42" s="2" t="s">
        <v>19</v>
      </c>
      <c r="K42" s="2" t="s">
        <v>137</v>
      </c>
      <c r="L42" s="7" t="str">
        <f>HYPERLINK("http://slimages.macys.com/is/image/MCY/13838627 ")</f>
        <v xml:space="preserve">http://slimages.macys.com/is/image/MCY/13838627 </v>
      </c>
    </row>
    <row r="43" spans="1:12" ht="36.75" x14ac:dyDescent="0.25">
      <c r="A43" s="4" t="s">
        <v>13681</v>
      </c>
      <c r="B43" s="2" t="s">
        <v>13682</v>
      </c>
      <c r="C43" s="3">
        <v>1</v>
      </c>
      <c r="D43" s="5">
        <v>79.5</v>
      </c>
      <c r="E43" s="3">
        <v>100067227</v>
      </c>
      <c r="F43" s="2" t="s">
        <v>111</v>
      </c>
      <c r="G43" s="6" t="s">
        <v>27</v>
      </c>
      <c r="H43" s="2" t="s">
        <v>386</v>
      </c>
      <c r="I43" s="2" t="s">
        <v>207</v>
      </c>
      <c r="J43" s="2" t="s">
        <v>19</v>
      </c>
      <c r="K43" s="2" t="s">
        <v>2209</v>
      </c>
      <c r="L43" s="7" t="str">
        <f>HYPERLINK("http://slimages.macys.com/is/image/MCY/8818102 ")</f>
        <v xml:space="preserve">http://slimages.macys.com/is/image/MCY/8818102 </v>
      </c>
    </row>
    <row r="44" spans="1:12" ht="24.75" x14ac:dyDescent="0.25">
      <c r="A44" s="4" t="s">
        <v>13683</v>
      </c>
      <c r="B44" s="2" t="s">
        <v>13684</v>
      </c>
      <c r="C44" s="3">
        <v>2</v>
      </c>
      <c r="D44" s="5">
        <v>69.5</v>
      </c>
      <c r="E44" s="3" t="s">
        <v>13685</v>
      </c>
      <c r="F44" s="2" t="s">
        <v>74</v>
      </c>
      <c r="G44" s="6" t="s">
        <v>3715</v>
      </c>
      <c r="H44" s="2" t="s">
        <v>127</v>
      </c>
      <c r="I44" s="2" t="s">
        <v>541</v>
      </c>
      <c r="J44" s="2" t="s">
        <v>19</v>
      </c>
      <c r="K44" s="2" t="s">
        <v>338</v>
      </c>
      <c r="L44" s="7" t="str">
        <f t="shared" ref="L44:L52" si="0">HYPERLINK("http://slimages.macys.com/is/image/MCY/15186911 ")</f>
        <v xml:space="preserve">http://slimages.macys.com/is/image/MCY/15186911 </v>
      </c>
    </row>
    <row r="45" spans="1:12" ht="24.75" x14ac:dyDescent="0.25">
      <c r="A45" s="4" t="s">
        <v>13686</v>
      </c>
      <c r="B45" s="2" t="s">
        <v>13684</v>
      </c>
      <c r="C45" s="3">
        <v>2</v>
      </c>
      <c r="D45" s="5">
        <v>69.5</v>
      </c>
      <c r="E45" s="3" t="s">
        <v>13685</v>
      </c>
      <c r="F45" s="2" t="s">
        <v>74</v>
      </c>
      <c r="G45" s="6" t="s">
        <v>934</v>
      </c>
      <c r="H45" s="2" t="s">
        <v>127</v>
      </c>
      <c r="I45" s="2" t="s">
        <v>541</v>
      </c>
      <c r="J45" s="2" t="s">
        <v>19</v>
      </c>
      <c r="K45" s="2" t="s">
        <v>338</v>
      </c>
      <c r="L45" s="7" t="str">
        <f t="shared" si="0"/>
        <v xml:space="preserve">http://slimages.macys.com/is/image/MCY/15186911 </v>
      </c>
    </row>
    <row r="46" spans="1:12" ht="24.75" x14ac:dyDescent="0.25">
      <c r="A46" s="4" t="s">
        <v>13687</v>
      </c>
      <c r="B46" s="2" t="s">
        <v>13684</v>
      </c>
      <c r="C46" s="3">
        <v>1</v>
      </c>
      <c r="D46" s="5">
        <v>69.5</v>
      </c>
      <c r="E46" s="3" t="s">
        <v>13685</v>
      </c>
      <c r="F46" s="2" t="s">
        <v>376</v>
      </c>
      <c r="G46" s="6" t="s">
        <v>205</v>
      </c>
      <c r="H46" s="2" t="s">
        <v>127</v>
      </c>
      <c r="I46" s="2" t="s">
        <v>541</v>
      </c>
      <c r="J46" s="2" t="s">
        <v>19</v>
      </c>
      <c r="K46" s="2" t="s">
        <v>338</v>
      </c>
      <c r="L46" s="7" t="str">
        <f t="shared" si="0"/>
        <v xml:space="preserve">http://slimages.macys.com/is/image/MCY/15186911 </v>
      </c>
    </row>
    <row r="47" spans="1:12" ht="24.75" x14ac:dyDescent="0.25">
      <c r="A47" s="4" t="s">
        <v>13688</v>
      </c>
      <c r="B47" s="2" t="s">
        <v>13684</v>
      </c>
      <c r="C47" s="3">
        <v>2</v>
      </c>
      <c r="D47" s="5">
        <v>69.5</v>
      </c>
      <c r="E47" s="3" t="s">
        <v>13685</v>
      </c>
      <c r="F47" s="2" t="s">
        <v>74</v>
      </c>
      <c r="G47" s="6" t="s">
        <v>205</v>
      </c>
      <c r="H47" s="2" t="s">
        <v>127</v>
      </c>
      <c r="I47" s="2" t="s">
        <v>541</v>
      </c>
      <c r="J47" s="2" t="s">
        <v>19</v>
      </c>
      <c r="K47" s="2" t="s">
        <v>338</v>
      </c>
      <c r="L47" s="7" t="str">
        <f t="shared" si="0"/>
        <v xml:space="preserve">http://slimages.macys.com/is/image/MCY/15186911 </v>
      </c>
    </row>
    <row r="48" spans="1:12" ht="24.75" x14ac:dyDescent="0.25">
      <c r="A48" s="4" t="s">
        <v>13689</v>
      </c>
      <c r="B48" s="2" t="s">
        <v>13684</v>
      </c>
      <c r="C48" s="3">
        <v>3</v>
      </c>
      <c r="D48" s="5">
        <v>69.5</v>
      </c>
      <c r="E48" s="3" t="s">
        <v>13685</v>
      </c>
      <c r="F48" s="2" t="s">
        <v>74</v>
      </c>
      <c r="G48" s="6" t="s">
        <v>363</v>
      </c>
      <c r="H48" s="2" t="s">
        <v>127</v>
      </c>
      <c r="I48" s="2" t="s">
        <v>541</v>
      </c>
      <c r="J48" s="2" t="s">
        <v>19</v>
      </c>
      <c r="K48" s="2" t="s">
        <v>338</v>
      </c>
      <c r="L48" s="7" t="str">
        <f t="shared" si="0"/>
        <v xml:space="preserve">http://slimages.macys.com/is/image/MCY/15186911 </v>
      </c>
    </row>
    <row r="49" spans="1:12" ht="24.75" x14ac:dyDescent="0.25">
      <c r="A49" s="4" t="s">
        <v>13690</v>
      </c>
      <c r="B49" s="2" t="s">
        <v>13684</v>
      </c>
      <c r="C49" s="3">
        <v>1</v>
      </c>
      <c r="D49" s="5">
        <v>69.5</v>
      </c>
      <c r="E49" s="3" t="s">
        <v>13685</v>
      </c>
      <c r="F49" s="2" t="s">
        <v>74</v>
      </c>
      <c r="G49" s="6" t="s">
        <v>165</v>
      </c>
      <c r="H49" s="2" t="s">
        <v>127</v>
      </c>
      <c r="I49" s="2" t="s">
        <v>541</v>
      </c>
      <c r="J49" s="2" t="s">
        <v>19</v>
      </c>
      <c r="K49" s="2" t="s">
        <v>338</v>
      </c>
      <c r="L49" s="7" t="str">
        <f t="shared" si="0"/>
        <v xml:space="preserve">http://slimages.macys.com/is/image/MCY/15186911 </v>
      </c>
    </row>
    <row r="50" spans="1:12" ht="24.75" x14ac:dyDescent="0.25">
      <c r="A50" s="4" t="s">
        <v>13691</v>
      </c>
      <c r="B50" s="2" t="s">
        <v>13684</v>
      </c>
      <c r="C50" s="3">
        <v>2</v>
      </c>
      <c r="D50" s="5">
        <v>69.5</v>
      </c>
      <c r="E50" s="3" t="s">
        <v>13685</v>
      </c>
      <c r="F50" s="2" t="s">
        <v>74</v>
      </c>
      <c r="G50" s="6" t="s">
        <v>336</v>
      </c>
      <c r="H50" s="2" t="s">
        <v>127</v>
      </c>
      <c r="I50" s="2" t="s">
        <v>541</v>
      </c>
      <c r="J50" s="2" t="s">
        <v>19</v>
      </c>
      <c r="K50" s="2" t="s">
        <v>338</v>
      </c>
      <c r="L50" s="7" t="str">
        <f t="shared" si="0"/>
        <v xml:space="preserve">http://slimages.macys.com/is/image/MCY/15186911 </v>
      </c>
    </row>
    <row r="51" spans="1:12" ht="24.75" x14ac:dyDescent="0.25">
      <c r="A51" s="4" t="s">
        <v>13692</v>
      </c>
      <c r="B51" s="2" t="s">
        <v>13684</v>
      </c>
      <c r="C51" s="3">
        <v>1</v>
      </c>
      <c r="D51" s="5">
        <v>69.5</v>
      </c>
      <c r="E51" s="3" t="s">
        <v>13685</v>
      </c>
      <c r="F51" s="2" t="s">
        <v>74</v>
      </c>
      <c r="G51" s="6" t="s">
        <v>802</v>
      </c>
      <c r="H51" s="2" t="s">
        <v>127</v>
      </c>
      <c r="I51" s="2" t="s">
        <v>541</v>
      </c>
      <c r="J51" s="2" t="s">
        <v>19</v>
      </c>
      <c r="K51" s="2" t="s">
        <v>338</v>
      </c>
      <c r="L51" s="7" t="str">
        <f t="shared" si="0"/>
        <v xml:space="preserve">http://slimages.macys.com/is/image/MCY/15186911 </v>
      </c>
    </row>
    <row r="52" spans="1:12" ht="24.75" x14ac:dyDescent="0.25">
      <c r="A52" s="4" t="s">
        <v>13693</v>
      </c>
      <c r="B52" s="2" t="s">
        <v>13684</v>
      </c>
      <c r="C52" s="3">
        <v>2</v>
      </c>
      <c r="D52" s="5">
        <v>69.5</v>
      </c>
      <c r="E52" s="3" t="s">
        <v>13685</v>
      </c>
      <c r="F52" s="2" t="s">
        <v>376</v>
      </c>
      <c r="G52" s="6" t="s">
        <v>126</v>
      </c>
      <c r="H52" s="2" t="s">
        <v>127</v>
      </c>
      <c r="I52" s="2" t="s">
        <v>541</v>
      </c>
      <c r="J52" s="2" t="s">
        <v>19</v>
      </c>
      <c r="K52" s="2" t="s">
        <v>338</v>
      </c>
      <c r="L52" s="7" t="str">
        <f t="shared" si="0"/>
        <v xml:space="preserve">http://slimages.macys.com/is/image/MCY/15186911 </v>
      </c>
    </row>
    <row r="53" spans="1:12" ht="24.75" x14ac:dyDescent="0.25">
      <c r="A53" s="4" t="s">
        <v>13694</v>
      </c>
      <c r="B53" s="2" t="s">
        <v>8931</v>
      </c>
      <c r="C53" s="3">
        <v>1</v>
      </c>
      <c r="D53" s="5">
        <v>74.5</v>
      </c>
      <c r="E53" s="3" t="s">
        <v>8932</v>
      </c>
      <c r="F53" s="2" t="s">
        <v>74</v>
      </c>
      <c r="G53" s="6" t="s">
        <v>336</v>
      </c>
      <c r="H53" s="2" t="s">
        <v>127</v>
      </c>
      <c r="I53" s="2" t="s">
        <v>128</v>
      </c>
      <c r="J53" s="2" t="s">
        <v>19</v>
      </c>
      <c r="K53" s="2" t="s">
        <v>361</v>
      </c>
      <c r="L53" s="7" t="str">
        <f>HYPERLINK("http://slimages.macys.com/is/image/MCY/11711279 ")</f>
        <v xml:space="preserve">http://slimages.macys.com/is/image/MCY/11711279 </v>
      </c>
    </row>
    <row r="54" spans="1:12" ht="24.75" x14ac:dyDescent="0.25">
      <c r="A54" s="4" t="s">
        <v>13695</v>
      </c>
      <c r="B54" s="2" t="s">
        <v>13696</v>
      </c>
      <c r="C54" s="3">
        <v>1</v>
      </c>
      <c r="D54" s="5">
        <v>69.5</v>
      </c>
      <c r="E54" s="3" t="s">
        <v>13697</v>
      </c>
      <c r="F54" s="2" t="s">
        <v>74</v>
      </c>
      <c r="G54" s="6"/>
      <c r="H54" s="2" t="s">
        <v>127</v>
      </c>
      <c r="I54" s="2" t="s">
        <v>128</v>
      </c>
      <c r="J54" s="2" t="s">
        <v>19</v>
      </c>
      <c r="K54" s="2" t="s">
        <v>1480</v>
      </c>
      <c r="L54" s="7" t="str">
        <f>HYPERLINK("http://slimages.macys.com/is/image/MCY/14376216 ")</f>
        <v xml:space="preserve">http://slimages.macys.com/is/image/MCY/14376216 </v>
      </c>
    </row>
    <row r="55" spans="1:12" ht="24.75" x14ac:dyDescent="0.25">
      <c r="A55" s="4" t="s">
        <v>13698</v>
      </c>
      <c r="B55" s="2" t="s">
        <v>13696</v>
      </c>
      <c r="C55" s="3">
        <v>1</v>
      </c>
      <c r="D55" s="5">
        <v>69.5</v>
      </c>
      <c r="E55" s="3" t="s">
        <v>13697</v>
      </c>
      <c r="F55" s="2" t="s">
        <v>74</v>
      </c>
      <c r="G55" s="6"/>
      <c r="H55" s="2" t="s">
        <v>127</v>
      </c>
      <c r="I55" s="2" t="s">
        <v>128</v>
      </c>
      <c r="J55" s="2" t="s">
        <v>19</v>
      </c>
      <c r="K55" s="2" t="s">
        <v>1480</v>
      </c>
      <c r="L55" s="7" t="str">
        <f>HYPERLINK("http://slimages.macys.com/is/image/MCY/14376216 ")</f>
        <v xml:space="preserve">http://slimages.macys.com/is/image/MCY/14376216 </v>
      </c>
    </row>
    <row r="56" spans="1:12" ht="24.75" x14ac:dyDescent="0.25">
      <c r="A56" s="4" t="s">
        <v>13699</v>
      </c>
      <c r="B56" s="2" t="s">
        <v>9934</v>
      </c>
      <c r="C56" s="3">
        <v>1</v>
      </c>
      <c r="D56" s="5">
        <v>74.5</v>
      </c>
      <c r="E56" s="3" t="s">
        <v>9935</v>
      </c>
      <c r="F56" s="2" t="s">
        <v>111</v>
      </c>
      <c r="G56" s="6"/>
      <c r="H56" s="2" t="s">
        <v>127</v>
      </c>
      <c r="I56" s="2" t="s">
        <v>128</v>
      </c>
      <c r="J56" s="2" t="s">
        <v>19</v>
      </c>
      <c r="K56" s="2" t="s">
        <v>160</v>
      </c>
      <c r="L56" s="7" t="str">
        <f>HYPERLINK("http://slimages.macys.com/is/image/MCY/13533071 ")</f>
        <v xml:space="preserve">http://slimages.macys.com/is/image/MCY/13533071 </v>
      </c>
    </row>
    <row r="57" spans="1:12" ht="24.75" x14ac:dyDescent="0.25">
      <c r="A57" s="4" t="s">
        <v>13700</v>
      </c>
      <c r="B57" s="2" t="s">
        <v>13701</v>
      </c>
      <c r="C57" s="3">
        <v>1</v>
      </c>
      <c r="D57" s="5">
        <v>74.5</v>
      </c>
      <c r="E57" s="3" t="s">
        <v>13702</v>
      </c>
      <c r="F57" s="2" t="s">
        <v>74</v>
      </c>
      <c r="G57" s="6" t="s">
        <v>336</v>
      </c>
      <c r="H57" s="2" t="s">
        <v>127</v>
      </c>
      <c r="I57" s="2" t="s">
        <v>128</v>
      </c>
      <c r="J57" s="2" t="s">
        <v>19</v>
      </c>
      <c r="K57" s="2" t="s">
        <v>13703</v>
      </c>
      <c r="L57" s="7" t="str">
        <f>HYPERLINK("http://slimages.macys.com/is/image/MCY/14313135 ")</f>
        <v xml:space="preserve">http://slimages.macys.com/is/image/MCY/14313135 </v>
      </c>
    </row>
    <row r="58" spans="1:12" ht="24.75" x14ac:dyDescent="0.25">
      <c r="A58" s="4" t="s">
        <v>13704</v>
      </c>
      <c r="B58" s="2" t="s">
        <v>13701</v>
      </c>
      <c r="C58" s="3">
        <v>1</v>
      </c>
      <c r="D58" s="5">
        <v>74.5</v>
      </c>
      <c r="E58" s="3" t="s">
        <v>13702</v>
      </c>
      <c r="F58" s="2" t="s">
        <v>74</v>
      </c>
      <c r="G58" s="6" t="s">
        <v>238</v>
      </c>
      <c r="H58" s="2" t="s">
        <v>127</v>
      </c>
      <c r="I58" s="2" t="s">
        <v>128</v>
      </c>
      <c r="J58" s="2" t="s">
        <v>19</v>
      </c>
      <c r="K58" s="2" t="s">
        <v>13703</v>
      </c>
      <c r="L58" s="7" t="str">
        <f>HYPERLINK("http://slimages.macys.com/is/image/MCY/14313135 ")</f>
        <v xml:space="preserve">http://slimages.macys.com/is/image/MCY/14313135 </v>
      </c>
    </row>
    <row r="59" spans="1:12" ht="24.75" x14ac:dyDescent="0.25">
      <c r="A59" s="4" t="s">
        <v>13705</v>
      </c>
      <c r="B59" s="2" t="s">
        <v>13701</v>
      </c>
      <c r="C59" s="3">
        <v>1</v>
      </c>
      <c r="D59" s="5">
        <v>74.5</v>
      </c>
      <c r="E59" s="3" t="s">
        <v>13702</v>
      </c>
      <c r="F59" s="2" t="s">
        <v>74</v>
      </c>
      <c r="G59" s="6" t="s">
        <v>934</v>
      </c>
      <c r="H59" s="2" t="s">
        <v>127</v>
      </c>
      <c r="I59" s="2" t="s">
        <v>128</v>
      </c>
      <c r="J59" s="2" t="s">
        <v>19</v>
      </c>
      <c r="K59" s="2" t="s">
        <v>13703</v>
      </c>
      <c r="L59" s="7" t="str">
        <f>HYPERLINK("http://slimages.macys.com/is/image/MCY/14313135 ")</f>
        <v xml:space="preserve">http://slimages.macys.com/is/image/MCY/14313135 </v>
      </c>
    </row>
    <row r="60" spans="1:12" x14ac:dyDescent="0.25">
      <c r="A60" s="4" t="s">
        <v>13706</v>
      </c>
      <c r="B60" s="2" t="s">
        <v>13707</v>
      </c>
      <c r="C60" s="3">
        <v>2</v>
      </c>
      <c r="D60" s="5">
        <v>89.5</v>
      </c>
      <c r="E60" s="3" t="s">
        <v>13708</v>
      </c>
      <c r="F60" s="2" t="s">
        <v>998</v>
      </c>
      <c r="G60" s="6"/>
      <c r="H60" s="2" t="s">
        <v>206</v>
      </c>
      <c r="I60" s="2" t="s">
        <v>207</v>
      </c>
      <c r="J60" s="2" t="s">
        <v>19</v>
      </c>
      <c r="K60" s="2" t="s">
        <v>13709</v>
      </c>
      <c r="L60" s="7" t="str">
        <f>HYPERLINK("http://slimages.macys.com/is/image/MCY/11029773 ")</f>
        <v xml:space="preserve">http://slimages.macys.com/is/image/MCY/11029773 </v>
      </c>
    </row>
    <row r="61" spans="1:12" ht="24.75" x14ac:dyDescent="0.25">
      <c r="A61" s="4" t="s">
        <v>13710</v>
      </c>
      <c r="B61" s="2" t="s">
        <v>12766</v>
      </c>
      <c r="C61" s="3">
        <v>1</v>
      </c>
      <c r="D61" s="5">
        <v>69.5</v>
      </c>
      <c r="E61" s="3">
        <v>100049633</v>
      </c>
      <c r="F61" s="2" t="s">
        <v>74</v>
      </c>
      <c r="G61" s="6" t="s">
        <v>2208</v>
      </c>
      <c r="H61" s="2" t="s">
        <v>386</v>
      </c>
      <c r="I61" s="2" t="s">
        <v>337</v>
      </c>
      <c r="J61" s="2" t="s">
        <v>19</v>
      </c>
      <c r="K61" s="2" t="s">
        <v>338</v>
      </c>
      <c r="L61" s="7" t="str">
        <f>HYPERLINK("http://slimages.macys.com/is/image/MCY/11488394 ")</f>
        <v xml:space="preserve">http://slimages.macys.com/is/image/MCY/11488394 </v>
      </c>
    </row>
    <row r="62" spans="1:12" ht="24.75" x14ac:dyDescent="0.25">
      <c r="A62" s="4" t="s">
        <v>13711</v>
      </c>
      <c r="B62" s="2" t="s">
        <v>13712</v>
      </c>
      <c r="C62" s="3">
        <v>1</v>
      </c>
      <c r="D62" s="5">
        <v>69.5</v>
      </c>
      <c r="E62" s="3" t="s">
        <v>13713</v>
      </c>
      <c r="F62" s="2" t="s">
        <v>26</v>
      </c>
      <c r="G62" s="6" t="s">
        <v>187</v>
      </c>
      <c r="H62" s="2" t="s">
        <v>127</v>
      </c>
      <c r="I62" s="2" t="s">
        <v>128</v>
      </c>
      <c r="J62" s="2" t="s">
        <v>19</v>
      </c>
      <c r="K62" s="2" t="s">
        <v>34</v>
      </c>
      <c r="L62" s="7" t="str">
        <f>HYPERLINK("http://slimages.macys.com/is/image/MCY/14313163 ")</f>
        <v xml:space="preserve">http://slimages.macys.com/is/image/MCY/14313163 </v>
      </c>
    </row>
    <row r="63" spans="1:12" ht="24.75" x14ac:dyDescent="0.25">
      <c r="A63" s="4" t="s">
        <v>13714</v>
      </c>
      <c r="B63" s="2" t="s">
        <v>13715</v>
      </c>
      <c r="C63" s="3">
        <v>1</v>
      </c>
      <c r="D63" s="5">
        <v>89.5</v>
      </c>
      <c r="E63" s="3">
        <v>100068168</v>
      </c>
      <c r="F63" s="2" t="s">
        <v>74</v>
      </c>
      <c r="G63" s="6" t="s">
        <v>106</v>
      </c>
      <c r="H63" s="2" t="s">
        <v>386</v>
      </c>
      <c r="I63" s="2" t="s">
        <v>207</v>
      </c>
      <c r="J63" s="2" t="s">
        <v>19</v>
      </c>
      <c r="K63" s="2" t="s">
        <v>929</v>
      </c>
      <c r="L63" s="7" t="str">
        <f>HYPERLINK("http://slimages.macys.com/is/image/MCY/13331851 ")</f>
        <v xml:space="preserve">http://slimages.macys.com/is/image/MCY/13331851 </v>
      </c>
    </row>
    <row r="64" spans="1:12" ht="24.75" x14ac:dyDescent="0.25">
      <c r="A64" s="4" t="s">
        <v>13716</v>
      </c>
      <c r="B64" s="2" t="s">
        <v>2195</v>
      </c>
      <c r="C64" s="3">
        <v>1</v>
      </c>
      <c r="D64" s="5">
        <v>48.38</v>
      </c>
      <c r="E64" s="3" t="s">
        <v>2196</v>
      </c>
      <c r="F64" s="2" t="s">
        <v>74</v>
      </c>
      <c r="G64" s="6"/>
      <c r="H64" s="2" t="s">
        <v>349</v>
      </c>
      <c r="I64" s="2" t="s">
        <v>408</v>
      </c>
      <c r="J64" s="2" t="s">
        <v>19</v>
      </c>
      <c r="K64" s="2" t="s">
        <v>160</v>
      </c>
      <c r="L64" s="7" t="str">
        <f>HYPERLINK("http://slimages.macys.com/is/image/MCY/13535632 ")</f>
        <v xml:space="preserve">http://slimages.macys.com/is/image/MCY/13535632 </v>
      </c>
    </row>
    <row r="65" spans="1:12" ht="24.75" x14ac:dyDescent="0.25">
      <c r="A65" s="4" t="s">
        <v>10443</v>
      </c>
      <c r="B65" s="2" t="s">
        <v>4467</v>
      </c>
      <c r="C65" s="3">
        <v>1</v>
      </c>
      <c r="D65" s="5">
        <v>51.75</v>
      </c>
      <c r="E65" s="3" t="s">
        <v>10444</v>
      </c>
      <c r="F65" s="2" t="s">
        <v>225</v>
      </c>
      <c r="G65" s="6" t="s">
        <v>934</v>
      </c>
      <c r="H65" s="2" t="s">
        <v>426</v>
      </c>
      <c r="I65" s="2" t="s">
        <v>229</v>
      </c>
      <c r="J65" s="2" t="s">
        <v>19</v>
      </c>
      <c r="K65" s="2" t="s">
        <v>253</v>
      </c>
      <c r="L65" s="7" t="str">
        <f>HYPERLINK("http://slimages.macys.com/is/image/MCY/12316723 ")</f>
        <v xml:space="preserve">http://slimages.macys.com/is/image/MCY/12316723 </v>
      </c>
    </row>
    <row r="66" spans="1:12" ht="24.75" x14ac:dyDescent="0.25">
      <c r="A66" s="4" t="s">
        <v>13717</v>
      </c>
      <c r="B66" s="2" t="s">
        <v>12768</v>
      </c>
      <c r="C66" s="3">
        <v>1</v>
      </c>
      <c r="D66" s="5">
        <v>55.88</v>
      </c>
      <c r="E66" s="3" t="s">
        <v>12769</v>
      </c>
      <c r="F66" s="2" t="s">
        <v>89</v>
      </c>
      <c r="G66" s="6" t="s">
        <v>234</v>
      </c>
      <c r="H66" s="2" t="s">
        <v>246</v>
      </c>
      <c r="I66" s="2" t="s">
        <v>189</v>
      </c>
      <c r="J66" s="2" t="s">
        <v>19</v>
      </c>
      <c r="K66" s="2" t="s">
        <v>803</v>
      </c>
      <c r="L66" s="7" t="str">
        <f>HYPERLINK("http://slimages.macys.com/is/image/MCY/11940134 ")</f>
        <v xml:space="preserve">http://slimages.macys.com/is/image/MCY/11940134 </v>
      </c>
    </row>
    <row r="67" spans="1:12" ht="48.75" x14ac:dyDescent="0.25">
      <c r="A67" s="4" t="s">
        <v>13718</v>
      </c>
      <c r="B67" s="2" t="s">
        <v>13719</v>
      </c>
      <c r="C67" s="3">
        <v>1</v>
      </c>
      <c r="D67" s="5">
        <v>69.5</v>
      </c>
      <c r="E67" s="3" t="s">
        <v>13720</v>
      </c>
      <c r="F67" s="2" t="s">
        <v>820</v>
      </c>
      <c r="G67" s="6" t="s">
        <v>219</v>
      </c>
      <c r="H67" s="2" t="s">
        <v>127</v>
      </c>
      <c r="I67" s="2" t="s">
        <v>128</v>
      </c>
      <c r="J67" s="2" t="s">
        <v>19</v>
      </c>
      <c r="K67" s="2" t="s">
        <v>13721</v>
      </c>
      <c r="L67" s="7" t="str">
        <f>HYPERLINK("http://slimages.macys.com/is/image/MCY/14914942 ")</f>
        <v xml:space="preserve">http://slimages.macys.com/is/image/MCY/14914942 </v>
      </c>
    </row>
    <row r="68" spans="1:12" ht="36.75" x14ac:dyDescent="0.25">
      <c r="A68" s="4" t="s">
        <v>13722</v>
      </c>
      <c r="B68" s="2" t="s">
        <v>13723</v>
      </c>
      <c r="C68" s="3">
        <v>1</v>
      </c>
      <c r="D68" s="5">
        <v>69.5</v>
      </c>
      <c r="E68" s="3" t="s">
        <v>13724</v>
      </c>
      <c r="F68" s="2" t="s">
        <v>752</v>
      </c>
      <c r="G68" s="6"/>
      <c r="H68" s="2" t="s">
        <v>206</v>
      </c>
      <c r="I68" s="2" t="s">
        <v>207</v>
      </c>
      <c r="J68" s="2" t="s">
        <v>19</v>
      </c>
      <c r="K68" s="2" t="s">
        <v>13725</v>
      </c>
      <c r="L68" s="7" t="str">
        <f>HYPERLINK("http://slimages.macys.com/is/image/MCY/10452100 ")</f>
        <v xml:space="preserve">http://slimages.macys.com/is/image/MCY/10452100 </v>
      </c>
    </row>
    <row r="69" spans="1:12" ht="36.75" x14ac:dyDescent="0.25">
      <c r="A69" s="4" t="s">
        <v>13726</v>
      </c>
      <c r="B69" s="2" t="s">
        <v>13723</v>
      </c>
      <c r="C69" s="3">
        <v>1</v>
      </c>
      <c r="D69" s="5">
        <v>69.5</v>
      </c>
      <c r="E69" s="3" t="s">
        <v>13724</v>
      </c>
      <c r="F69" s="2" t="s">
        <v>752</v>
      </c>
      <c r="G69" s="6"/>
      <c r="H69" s="2" t="s">
        <v>206</v>
      </c>
      <c r="I69" s="2" t="s">
        <v>207</v>
      </c>
      <c r="J69" s="2" t="s">
        <v>19</v>
      </c>
      <c r="K69" s="2" t="s">
        <v>13725</v>
      </c>
      <c r="L69" s="7" t="str">
        <f>HYPERLINK("http://slimages.macys.com/is/image/MCY/10452100 ")</f>
        <v xml:space="preserve">http://slimages.macys.com/is/image/MCY/10452100 </v>
      </c>
    </row>
    <row r="70" spans="1:12" ht="36.75" x14ac:dyDescent="0.25">
      <c r="A70" s="4" t="s">
        <v>13727</v>
      </c>
      <c r="B70" s="2" t="s">
        <v>13723</v>
      </c>
      <c r="C70" s="3">
        <v>1</v>
      </c>
      <c r="D70" s="5">
        <v>69.5</v>
      </c>
      <c r="E70" s="3" t="s">
        <v>13724</v>
      </c>
      <c r="F70" s="2" t="s">
        <v>752</v>
      </c>
      <c r="G70" s="6" t="s">
        <v>219</v>
      </c>
      <c r="H70" s="2" t="s">
        <v>206</v>
      </c>
      <c r="I70" s="2" t="s">
        <v>207</v>
      </c>
      <c r="J70" s="2" t="s">
        <v>19</v>
      </c>
      <c r="K70" s="2" t="s">
        <v>13725</v>
      </c>
      <c r="L70" s="7" t="str">
        <f>HYPERLINK("http://slimages.macys.com/is/image/MCY/10452100 ")</f>
        <v xml:space="preserve">http://slimages.macys.com/is/image/MCY/10452100 </v>
      </c>
    </row>
    <row r="71" spans="1:12" x14ac:dyDescent="0.25">
      <c r="A71" s="4" t="s">
        <v>13728</v>
      </c>
      <c r="B71" s="2" t="s">
        <v>11726</v>
      </c>
      <c r="C71" s="3">
        <v>1</v>
      </c>
      <c r="D71" s="5">
        <v>69.5</v>
      </c>
      <c r="E71" s="3">
        <v>100062066</v>
      </c>
      <c r="F71" s="2" t="s">
        <v>64</v>
      </c>
      <c r="G71" s="6" t="s">
        <v>141</v>
      </c>
      <c r="H71" s="2" t="s">
        <v>386</v>
      </c>
      <c r="I71" s="2" t="s">
        <v>337</v>
      </c>
      <c r="J71" s="2" t="s">
        <v>19</v>
      </c>
      <c r="K71" s="2" t="s">
        <v>353</v>
      </c>
      <c r="L71" s="7" t="str">
        <f>HYPERLINK("http://slimages.macys.com/is/image/MCY/11943137 ")</f>
        <v xml:space="preserve">http://slimages.macys.com/is/image/MCY/11943137 </v>
      </c>
    </row>
    <row r="72" spans="1:12" ht="24.75" x14ac:dyDescent="0.25">
      <c r="A72" s="4" t="s">
        <v>10452</v>
      </c>
      <c r="B72" s="2" t="s">
        <v>10453</v>
      </c>
      <c r="C72" s="3">
        <v>2</v>
      </c>
      <c r="D72" s="5">
        <v>52.13</v>
      </c>
      <c r="E72" s="3" t="s">
        <v>10454</v>
      </c>
      <c r="F72" s="2" t="s">
        <v>417</v>
      </c>
      <c r="G72" s="6" t="s">
        <v>154</v>
      </c>
      <c r="H72" s="2" t="s">
        <v>194</v>
      </c>
      <c r="I72" s="2" t="s">
        <v>195</v>
      </c>
      <c r="J72" s="2" t="s">
        <v>19</v>
      </c>
      <c r="K72" s="2" t="s">
        <v>438</v>
      </c>
      <c r="L72" s="7" t="str">
        <f>HYPERLINK("http://slimages.macys.com/is/image/MCY/12279959 ")</f>
        <v xml:space="preserve">http://slimages.macys.com/is/image/MCY/12279959 </v>
      </c>
    </row>
    <row r="73" spans="1:12" ht="24.75" x14ac:dyDescent="0.25">
      <c r="A73" s="4" t="s">
        <v>13729</v>
      </c>
      <c r="B73" s="2" t="s">
        <v>293</v>
      </c>
      <c r="C73" s="3">
        <v>1</v>
      </c>
      <c r="D73" s="5">
        <v>52.13</v>
      </c>
      <c r="E73" s="3" t="s">
        <v>294</v>
      </c>
      <c r="F73" s="2" t="s">
        <v>26</v>
      </c>
      <c r="G73" s="6" t="s">
        <v>245</v>
      </c>
      <c r="H73" s="2" t="s">
        <v>194</v>
      </c>
      <c r="I73" s="2" t="s">
        <v>195</v>
      </c>
      <c r="J73" s="2" t="s">
        <v>19</v>
      </c>
      <c r="K73" s="2" t="s">
        <v>160</v>
      </c>
      <c r="L73" s="7" t="str">
        <f>HYPERLINK("http://slimages.macys.com/is/image/MCY/12143831 ")</f>
        <v xml:space="preserve">http://slimages.macys.com/is/image/MCY/12143831 </v>
      </c>
    </row>
    <row r="74" spans="1:12" ht="24.75" x14ac:dyDescent="0.25">
      <c r="A74" s="4" t="s">
        <v>13730</v>
      </c>
      <c r="B74" s="2" t="s">
        <v>12773</v>
      </c>
      <c r="C74" s="3">
        <v>1</v>
      </c>
      <c r="D74" s="5">
        <v>52.13</v>
      </c>
      <c r="E74" s="3" t="s">
        <v>12774</v>
      </c>
      <c r="F74" s="2" t="s">
        <v>64</v>
      </c>
      <c r="G74" s="6" t="s">
        <v>154</v>
      </c>
      <c r="H74" s="2" t="s">
        <v>194</v>
      </c>
      <c r="I74" s="2" t="s">
        <v>195</v>
      </c>
      <c r="J74" s="2" t="s">
        <v>19</v>
      </c>
      <c r="K74" s="2" t="s">
        <v>247</v>
      </c>
      <c r="L74" s="7" t="str">
        <f>HYPERLINK("http://slimages.macys.com/is/image/MCY/12849982 ")</f>
        <v xml:space="preserve">http://slimages.macys.com/is/image/MCY/12849982 </v>
      </c>
    </row>
    <row r="75" spans="1:12" ht="24.75" x14ac:dyDescent="0.25">
      <c r="A75" s="4" t="s">
        <v>13731</v>
      </c>
      <c r="B75" s="2" t="s">
        <v>13732</v>
      </c>
      <c r="C75" s="3">
        <v>1</v>
      </c>
      <c r="D75" s="5">
        <v>79.5</v>
      </c>
      <c r="E75" s="3">
        <v>100071420</v>
      </c>
      <c r="F75" s="2" t="s">
        <v>64</v>
      </c>
      <c r="G75" s="6" t="s">
        <v>106</v>
      </c>
      <c r="H75" s="2" t="s">
        <v>386</v>
      </c>
      <c r="I75" s="2" t="s">
        <v>207</v>
      </c>
      <c r="J75" s="2" t="s">
        <v>19</v>
      </c>
      <c r="K75" s="2" t="s">
        <v>338</v>
      </c>
      <c r="L75" s="7" t="str">
        <f>HYPERLINK("http://slimages.macys.com/is/image/MCY/14738457 ")</f>
        <v xml:space="preserve">http://slimages.macys.com/is/image/MCY/14738457 </v>
      </c>
    </row>
    <row r="76" spans="1:12" ht="24.75" x14ac:dyDescent="0.25">
      <c r="A76" s="4" t="s">
        <v>13733</v>
      </c>
      <c r="B76" s="2" t="s">
        <v>13732</v>
      </c>
      <c r="C76" s="3">
        <v>1</v>
      </c>
      <c r="D76" s="5">
        <v>79.5</v>
      </c>
      <c r="E76" s="3">
        <v>100071420</v>
      </c>
      <c r="F76" s="2" t="s">
        <v>64</v>
      </c>
      <c r="G76" s="6" t="s">
        <v>16</v>
      </c>
      <c r="H76" s="2" t="s">
        <v>386</v>
      </c>
      <c r="I76" s="2" t="s">
        <v>207</v>
      </c>
      <c r="J76" s="2" t="s">
        <v>19</v>
      </c>
      <c r="K76" s="2" t="s">
        <v>338</v>
      </c>
      <c r="L76" s="7" t="str">
        <f>HYPERLINK("http://slimages.macys.com/is/image/MCY/14738457 ")</f>
        <v xml:space="preserve">http://slimages.macys.com/is/image/MCY/14738457 </v>
      </c>
    </row>
    <row r="77" spans="1:12" ht="24.75" x14ac:dyDescent="0.25">
      <c r="A77" s="4" t="s">
        <v>13734</v>
      </c>
      <c r="B77" s="2" t="s">
        <v>9324</v>
      </c>
      <c r="C77" s="3">
        <v>1</v>
      </c>
      <c r="D77" s="5">
        <v>47.5</v>
      </c>
      <c r="E77" s="3">
        <v>100037394</v>
      </c>
      <c r="F77" s="2" t="s">
        <v>111</v>
      </c>
      <c r="G77" s="6" t="s">
        <v>154</v>
      </c>
      <c r="H77" s="2" t="s">
        <v>228</v>
      </c>
      <c r="I77" s="2" t="s">
        <v>195</v>
      </c>
      <c r="J77" s="2" t="s">
        <v>19</v>
      </c>
      <c r="K77" s="2" t="s">
        <v>9325</v>
      </c>
      <c r="L77" s="7" t="str">
        <f>HYPERLINK("http://slimages.macys.com/is/image/MCY/11148127 ")</f>
        <v xml:space="preserve">http://slimages.macys.com/is/image/MCY/11148127 </v>
      </c>
    </row>
    <row r="78" spans="1:12" ht="36.75" x14ac:dyDescent="0.25">
      <c r="A78" s="4" t="s">
        <v>13735</v>
      </c>
      <c r="B78" s="2" t="s">
        <v>13736</v>
      </c>
      <c r="C78" s="3">
        <v>1</v>
      </c>
      <c r="D78" s="5">
        <v>79.5</v>
      </c>
      <c r="E78" s="3" t="s">
        <v>13737</v>
      </c>
      <c r="F78" s="2" t="s">
        <v>1234</v>
      </c>
      <c r="G78" s="6"/>
      <c r="H78" s="2" t="s">
        <v>127</v>
      </c>
      <c r="I78" s="2" t="s">
        <v>128</v>
      </c>
      <c r="J78" s="2" t="s">
        <v>19</v>
      </c>
      <c r="K78" s="2" t="s">
        <v>274</v>
      </c>
      <c r="L78" s="7" t="str">
        <f>HYPERLINK("http://slimages.macys.com/is/image/MCY/14607849 ")</f>
        <v xml:space="preserve">http://slimages.macys.com/is/image/MCY/14607849 </v>
      </c>
    </row>
    <row r="79" spans="1:12" ht="36.75" x14ac:dyDescent="0.25">
      <c r="A79" s="4" t="s">
        <v>13738</v>
      </c>
      <c r="B79" s="2" t="s">
        <v>13736</v>
      </c>
      <c r="C79" s="3">
        <v>1</v>
      </c>
      <c r="D79" s="5">
        <v>79.5</v>
      </c>
      <c r="E79" s="3" t="s">
        <v>13737</v>
      </c>
      <c r="F79" s="2" t="s">
        <v>1234</v>
      </c>
      <c r="G79" s="6" t="s">
        <v>187</v>
      </c>
      <c r="H79" s="2" t="s">
        <v>127</v>
      </c>
      <c r="I79" s="2" t="s">
        <v>128</v>
      </c>
      <c r="J79" s="2" t="s">
        <v>19</v>
      </c>
      <c r="K79" s="2" t="s">
        <v>274</v>
      </c>
      <c r="L79" s="7" t="str">
        <f>HYPERLINK("http://slimages.macys.com/is/image/MCY/14607849 ")</f>
        <v xml:space="preserve">http://slimages.macys.com/is/image/MCY/14607849 </v>
      </c>
    </row>
    <row r="80" spans="1:12" ht="24.75" x14ac:dyDescent="0.25">
      <c r="A80" s="4" t="s">
        <v>9946</v>
      </c>
      <c r="B80" s="2" t="s">
        <v>7087</v>
      </c>
      <c r="C80" s="3">
        <v>1</v>
      </c>
      <c r="D80" s="5">
        <v>52.13</v>
      </c>
      <c r="E80" s="3" t="s">
        <v>7088</v>
      </c>
      <c r="F80" s="2" t="s">
        <v>74</v>
      </c>
      <c r="G80" s="6" t="s">
        <v>234</v>
      </c>
      <c r="H80" s="2" t="s">
        <v>246</v>
      </c>
      <c r="I80" s="2" t="s">
        <v>189</v>
      </c>
      <c r="J80" s="2" t="s">
        <v>19</v>
      </c>
      <c r="K80" s="2" t="s">
        <v>263</v>
      </c>
      <c r="L80" s="7" t="str">
        <f>HYPERLINK("http://slimages.macys.com/is/image/MCY/11972329 ")</f>
        <v xml:space="preserve">http://slimages.macys.com/is/image/MCY/11972329 </v>
      </c>
    </row>
    <row r="81" spans="1:12" ht="24.75" x14ac:dyDescent="0.25">
      <c r="A81" s="4" t="s">
        <v>10455</v>
      </c>
      <c r="B81" s="2" t="s">
        <v>10456</v>
      </c>
      <c r="C81" s="3">
        <v>1</v>
      </c>
      <c r="D81" s="5">
        <v>52.13</v>
      </c>
      <c r="E81" s="3" t="s">
        <v>10457</v>
      </c>
      <c r="F81" s="2" t="s">
        <v>64</v>
      </c>
      <c r="G81" s="6" t="s">
        <v>154</v>
      </c>
      <c r="H81" s="2" t="s">
        <v>246</v>
      </c>
      <c r="I81" s="2" t="s">
        <v>189</v>
      </c>
      <c r="J81" s="2" t="s">
        <v>19</v>
      </c>
      <c r="K81" s="2" t="s">
        <v>263</v>
      </c>
      <c r="L81" s="7" t="str">
        <f>HYPERLINK("http://slimages.macys.com/is/image/MCY/12723440 ")</f>
        <v xml:space="preserve">http://slimages.macys.com/is/image/MCY/12723440 </v>
      </c>
    </row>
    <row r="82" spans="1:12" ht="24.75" x14ac:dyDescent="0.25">
      <c r="A82" s="4" t="s">
        <v>10460</v>
      </c>
      <c r="B82" s="2" t="s">
        <v>288</v>
      </c>
      <c r="C82" s="3">
        <v>1</v>
      </c>
      <c r="D82" s="5">
        <v>52.13</v>
      </c>
      <c r="E82" s="3" t="s">
        <v>10459</v>
      </c>
      <c r="F82" s="2" t="s">
        <v>64</v>
      </c>
      <c r="G82" s="6"/>
      <c r="H82" s="2" t="s">
        <v>312</v>
      </c>
      <c r="I82" s="2" t="s">
        <v>195</v>
      </c>
      <c r="J82" s="2" t="s">
        <v>19</v>
      </c>
      <c r="K82" s="2" t="s">
        <v>247</v>
      </c>
      <c r="L82" s="7" t="str">
        <f>HYPERLINK("http://slimages.macys.com/is/image/MCY/12849992 ")</f>
        <v xml:space="preserve">http://slimages.macys.com/is/image/MCY/12849992 </v>
      </c>
    </row>
    <row r="83" spans="1:12" ht="24.75" x14ac:dyDescent="0.25">
      <c r="A83" s="4" t="s">
        <v>4477</v>
      </c>
      <c r="B83" s="2" t="s">
        <v>2202</v>
      </c>
      <c r="C83" s="3">
        <v>1</v>
      </c>
      <c r="D83" s="5">
        <v>48.38</v>
      </c>
      <c r="E83" s="3" t="s">
        <v>2203</v>
      </c>
      <c r="F83" s="2" t="s">
        <v>26</v>
      </c>
      <c r="G83" s="6" t="s">
        <v>2276</v>
      </c>
      <c r="H83" s="2" t="s">
        <v>349</v>
      </c>
      <c r="I83" s="2" t="s">
        <v>285</v>
      </c>
      <c r="J83" s="2" t="s">
        <v>19</v>
      </c>
      <c r="K83" s="2" t="s">
        <v>2204</v>
      </c>
      <c r="L83" s="7" t="str">
        <f>HYPERLINK("http://slimages.macys.com/is/image/MCY/11859318 ")</f>
        <v xml:space="preserve">http://slimages.macys.com/is/image/MCY/11859318 </v>
      </c>
    </row>
    <row r="84" spans="1:12" ht="24.75" x14ac:dyDescent="0.25">
      <c r="A84" s="4" t="s">
        <v>13739</v>
      </c>
      <c r="B84" s="2" t="s">
        <v>13740</v>
      </c>
      <c r="C84" s="3">
        <v>1</v>
      </c>
      <c r="D84" s="5">
        <v>49.99</v>
      </c>
      <c r="E84" s="3">
        <v>100034911</v>
      </c>
      <c r="F84" s="2" t="s">
        <v>79</v>
      </c>
      <c r="G84" s="6" t="s">
        <v>156</v>
      </c>
      <c r="H84" s="2" t="s">
        <v>188</v>
      </c>
      <c r="I84" s="2" t="s">
        <v>487</v>
      </c>
      <c r="J84" s="2" t="s">
        <v>19</v>
      </c>
      <c r="K84" s="2" t="s">
        <v>12733</v>
      </c>
      <c r="L84" s="7" t="str">
        <f>HYPERLINK("http://slimages.macys.com/is/image/MCY/10514372 ")</f>
        <v xml:space="preserve">http://slimages.macys.com/is/image/MCY/10514372 </v>
      </c>
    </row>
    <row r="85" spans="1:12" x14ac:dyDescent="0.25">
      <c r="A85" s="4" t="s">
        <v>13741</v>
      </c>
      <c r="B85" s="2" t="s">
        <v>13742</v>
      </c>
      <c r="C85" s="3">
        <v>1</v>
      </c>
      <c r="D85" s="5">
        <v>79.5</v>
      </c>
      <c r="E85" s="3" t="s">
        <v>13743</v>
      </c>
      <c r="F85" s="2" t="s">
        <v>111</v>
      </c>
      <c r="G85" s="6"/>
      <c r="H85" s="2" t="s">
        <v>206</v>
      </c>
      <c r="I85" s="2" t="s">
        <v>207</v>
      </c>
      <c r="J85" s="2" t="s">
        <v>19</v>
      </c>
      <c r="K85" s="2" t="s">
        <v>13744</v>
      </c>
      <c r="L85" s="7" t="str">
        <f>HYPERLINK("http://slimages.macys.com/is/image/MCY/12792838 ")</f>
        <v xml:space="preserve">http://slimages.macys.com/is/image/MCY/12792838 </v>
      </c>
    </row>
    <row r="86" spans="1:12" ht="24.75" x14ac:dyDescent="0.25">
      <c r="A86" s="4" t="s">
        <v>13745</v>
      </c>
      <c r="B86" s="2" t="s">
        <v>12768</v>
      </c>
      <c r="C86" s="3">
        <v>1</v>
      </c>
      <c r="D86" s="5">
        <v>55.88</v>
      </c>
      <c r="E86" s="3" t="s">
        <v>12769</v>
      </c>
      <c r="F86" s="2" t="s">
        <v>74</v>
      </c>
      <c r="G86" s="6" t="s">
        <v>156</v>
      </c>
      <c r="H86" s="2" t="s">
        <v>246</v>
      </c>
      <c r="I86" s="2" t="s">
        <v>189</v>
      </c>
      <c r="J86" s="2" t="s">
        <v>19</v>
      </c>
      <c r="K86" s="2" t="s">
        <v>803</v>
      </c>
      <c r="L86" s="7" t="str">
        <f>HYPERLINK("http://slimages.macys.com/is/image/MCY/11940134 ")</f>
        <v xml:space="preserve">http://slimages.macys.com/is/image/MCY/11940134 </v>
      </c>
    </row>
    <row r="87" spans="1:12" ht="24.75" x14ac:dyDescent="0.25">
      <c r="A87" s="4" t="s">
        <v>13746</v>
      </c>
      <c r="B87" s="2" t="s">
        <v>13747</v>
      </c>
      <c r="C87" s="3">
        <v>1</v>
      </c>
      <c r="D87" s="5">
        <v>74.5</v>
      </c>
      <c r="E87" s="3" t="s">
        <v>13748</v>
      </c>
      <c r="F87" s="2" t="s">
        <v>70</v>
      </c>
      <c r="G87" s="6" t="s">
        <v>165</v>
      </c>
      <c r="H87" s="2" t="s">
        <v>127</v>
      </c>
      <c r="I87" s="2" t="s">
        <v>128</v>
      </c>
      <c r="J87" s="2" t="s">
        <v>19</v>
      </c>
      <c r="K87" s="2" t="s">
        <v>409</v>
      </c>
      <c r="L87" s="7" t="str">
        <f>HYPERLINK("http://slimages.macys.com/is/image/MCY/15125282 ")</f>
        <v xml:space="preserve">http://slimages.macys.com/is/image/MCY/15125282 </v>
      </c>
    </row>
    <row r="88" spans="1:12" ht="24.75" x14ac:dyDescent="0.25">
      <c r="A88" s="4" t="s">
        <v>13749</v>
      </c>
      <c r="B88" s="2" t="s">
        <v>13747</v>
      </c>
      <c r="C88" s="3">
        <v>1</v>
      </c>
      <c r="D88" s="5">
        <v>74.5</v>
      </c>
      <c r="E88" s="3" t="s">
        <v>13748</v>
      </c>
      <c r="F88" s="2" t="s">
        <v>70</v>
      </c>
      <c r="G88" s="6" t="s">
        <v>3715</v>
      </c>
      <c r="H88" s="2" t="s">
        <v>127</v>
      </c>
      <c r="I88" s="2" t="s">
        <v>128</v>
      </c>
      <c r="J88" s="2" t="s">
        <v>19</v>
      </c>
      <c r="K88" s="2" t="s">
        <v>409</v>
      </c>
      <c r="L88" s="7" t="str">
        <f>HYPERLINK("http://slimages.macys.com/is/image/MCY/15125282 ")</f>
        <v xml:space="preserve">http://slimages.macys.com/is/image/MCY/15125282 </v>
      </c>
    </row>
    <row r="89" spans="1:12" ht="24.75" x14ac:dyDescent="0.25">
      <c r="A89" s="4" t="s">
        <v>13750</v>
      </c>
      <c r="B89" s="2" t="s">
        <v>13751</v>
      </c>
      <c r="C89" s="3">
        <v>1</v>
      </c>
      <c r="D89" s="5">
        <v>69.5</v>
      </c>
      <c r="E89" s="3" t="s">
        <v>13752</v>
      </c>
      <c r="F89" s="2" t="s">
        <v>752</v>
      </c>
      <c r="G89" s="6" t="s">
        <v>219</v>
      </c>
      <c r="H89" s="2" t="s">
        <v>127</v>
      </c>
      <c r="I89" s="2" t="s">
        <v>128</v>
      </c>
      <c r="J89" s="2" t="s">
        <v>19</v>
      </c>
      <c r="K89" s="2" t="s">
        <v>34</v>
      </c>
      <c r="L89" s="7" t="str">
        <f>HYPERLINK("http://slimages.macys.com/is/image/MCY/13534817 ")</f>
        <v xml:space="preserve">http://slimages.macys.com/is/image/MCY/13534817 </v>
      </c>
    </row>
    <row r="90" spans="1:12" ht="24.75" x14ac:dyDescent="0.25">
      <c r="A90" s="4" t="s">
        <v>13753</v>
      </c>
      <c r="B90" s="2" t="s">
        <v>269</v>
      </c>
      <c r="C90" s="3">
        <v>1</v>
      </c>
      <c r="D90" s="5">
        <v>50.65</v>
      </c>
      <c r="E90" s="3" t="s">
        <v>270</v>
      </c>
      <c r="F90" s="2" t="s">
        <v>413</v>
      </c>
      <c r="G90" s="6" t="s">
        <v>156</v>
      </c>
      <c r="H90" s="2" t="s">
        <v>182</v>
      </c>
      <c r="I90" s="2" t="s">
        <v>183</v>
      </c>
      <c r="J90" s="2" t="s">
        <v>19</v>
      </c>
      <c r="K90" s="2" t="s">
        <v>208</v>
      </c>
      <c r="L90" s="7" t="str">
        <f>HYPERLINK("http://slimages.macys.com/is/image/MCY/12465154 ")</f>
        <v xml:space="preserve">http://slimages.macys.com/is/image/MCY/12465154 </v>
      </c>
    </row>
    <row r="91" spans="1:12" ht="24.75" x14ac:dyDescent="0.25">
      <c r="A91" s="4" t="s">
        <v>13754</v>
      </c>
      <c r="B91" s="2" t="s">
        <v>269</v>
      </c>
      <c r="C91" s="3">
        <v>1</v>
      </c>
      <c r="D91" s="5">
        <v>50.65</v>
      </c>
      <c r="E91" s="3" t="s">
        <v>270</v>
      </c>
      <c r="F91" s="2" t="s">
        <v>413</v>
      </c>
      <c r="G91" s="6" t="s">
        <v>245</v>
      </c>
      <c r="H91" s="2" t="s">
        <v>182</v>
      </c>
      <c r="I91" s="2" t="s">
        <v>183</v>
      </c>
      <c r="J91" s="2" t="s">
        <v>19</v>
      </c>
      <c r="K91" s="2" t="s">
        <v>208</v>
      </c>
      <c r="L91" s="7" t="str">
        <f>HYPERLINK("http://slimages.macys.com/is/image/MCY/12465154 ")</f>
        <v xml:space="preserve">http://slimages.macys.com/is/image/MCY/12465154 </v>
      </c>
    </row>
    <row r="92" spans="1:12" ht="24.75" x14ac:dyDescent="0.25">
      <c r="A92" s="4" t="s">
        <v>13755</v>
      </c>
      <c r="B92" s="2" t="s">
        <v>13756</v>
      </c>
      <c r="C92" s="3">
        <v>8</v>
      </c>
      <c r="D92" s="5">
        <v>69.5</v>
      </c>
      <c r="E92" s="3" t="s">
        <v>13757</v>
      </c>
      <c r="F92" s="2" t="s">
        <v>111</v>
      </c>
      <c r="G92" s="6" t="s">
        <v>219</v>
      </c>
      <c r="H92" s="2" t="s">
        <v>127</v>
      </c>
      <c r="I92" s="2" t="s">
        <v>128</v>
      </c>
      <c r="J92" s="2" t="s">
        <v>19</v>
      </c>
      <c r="K92" s="2" t="s">
        <v>160</v>
      </c>
      <c r="L92" s="7" t="str">
        <f>HYPERLINK("http://slimages.macys.com/is/image/MCY/15353405 ")</f>
        <v xml:space="preserve">http://slimages.macys.com/is/image/MCY/15353405 </v>
      </c>
    </row>
    <row r="93" spans="1:12" ht="24.75" x14ac:dyDescent="0.25">
      <c r="A93" s="4" t="s">
        <v>13758</v>
      </c>
      <c r="B93" s="2" t="s">
        <v>13756</v>
      </c>
      <c r="C93" s="3">
        <v>1</v>
      </c>
      <c r="D93" s="5">
        <v>69.5</v>
      </c>
      <c r="E93" s="3" t="s">
        <v>13757</v>
      </c>
      <c r="F93" s="2" t="s">
        <v>111</v>
      </c>
      <c r="G93" s="6" t="s">
        <v>187</v>
      </c>
      <c r="H93" s="2" t="s">
        <v>127</v>
      </c>
      <c r="I93" s="2" t="s">
        <v>128</v>
      </c>
      <c r="J93" s="2" t="s">
        <v>19</v>
      </c>
      <c r="K93" s="2" t="s">
        <v>160</v>
      </c>
      <c r="L93" s="7" t="str">
        <f>HYPERLINK("http://slimages.macys.com/is/image/MCY/15353405 ")</f>
        <v xml:space="preserve">http://slimages.macys.com/is/image/MCY/15353405 </v>
      </c>
    </row>
    <row r="94" spans="1:12" ht="24.75" x14ac:dyDescent="0.25">
      <c r="A94" s="4" t="s">
        <v>13759</v>
      </c>
      <c r="B94" s="2" t="s">
        <v>13756</v>
      </c>
      <c r="C94" s="3">
        <v>6</v>
      </c>
      <c r="D94" s="5">
        <v>69.5</v>
      </c>
      <c r="E94" s="3" t="s">
        <v>13757</v>
      </c>
      <c r="F94" s="2" t="s">
        <v>111</v>
      </c>
      <c r="G94" s="6"/>
      <c r="H94" s="2" t="s">
        <v>127</v>
      </c>
      <c r="I94" s="2" t="s">
        <v>128</v>
      </c>
      <c r="J94" s="2" t="s">
        <v>19</v>
      </c>
      <c r="K94" s="2" t="s">
        <v>160</v>
      </c>
      <c r="L94" s="7" t="str">
        <f>HYPERLINK("http://slimages.macys.com/is/image/MCY/15353405 ")</f>
        <v xml:space="preserve">http://slimages.macys.com/is/image/MCY/15353405 </v>
      </c>
    </row>
    <row r="95" spans="1:12" ht="24.75" x14ac:dyDescent="0.25">
      <c r="A95" s="4" t="s">
        <v>13760</v>
      </c>
      <c r="B95" s="2" t="s">
        <v>12784</v>
      </c>
      <c r="C95" s="3">
        <v>1</v>
      </c>
      <c r="D95" s="5">
        <v>29.98</v>
      </c>
      <c r="E95" s="3">
        <v>9509</v>
      </c>
      <c r="F95" s="2" t="s">
        <v>417</v>
      </c>
      <c r="G95" s="6" t="s">
        <v>4401</v>
      </c>
      <c r="H95" s="2" t="s">
        <v>3402</v>
      </c>
      <c r="I95" s="2" t="s">
        <v>3409</v>
      </c>
      <c r="J95" s="2" t="s">
        <v>19</v>
      </c>
      <c r="K95" s="2" t="s">
        <v>338</v>
      </c>
      <c r="L95" s="7" t="str">
        <f>HYPERLINK("http://slimages.macys.com/is/image/MCY/663497 ")</f>
        <v xml:space="preserve">http://slimages.macys.com/is/image/MCY/663497 </v>
      </c>
    </row>
    <row r="96" spans="1:12" ht="24.75" x14ac:dyDescent="0.25">
      <c r="A96" s="4" t="s">
        <v>13761</v>
      </c>
      <c r="B96" s="2" t="s">
        <v>12784</v>
      </c>
      <c r="C96" s="3">
        <v>1</v>
      </c>
      <c r="D96" s="5">
        <v>29.98</v>
      </c>
      <c r="E96" s="3">
        <v>9509</v>
      </c>
      <c r="F96" s="2" t="s">
        <v>417</v>
      </c>
      <c r="G96" s="6" t="s">
        <v>147</v>
      </c>
      <c r="H96" s="2" t="s">
        <v>3402</v>
      </c>
      <c r="I96" s="2" t="s">
        <v>3409</v>
      </c>
      <c r="J96" s="2" t="s">
        <v>19</v>
      </c>
      <c r="K96" s="2" t="s">
        <v>338</v>
      </c>
      <c r="L96" s="7" t="str">
        <f>HYPERLINK("http://slimages.macys.com/is/image/MCY/663497 ")</f>
        <v xml:space="preserve">http://slimages.macys.com/is/image/MCY/663497 </v>
      </c>
    </row>
    <row r="97" spans="1:12" ht="24.75" x14ac:dyDescent="0.25">
      <c r="A97" s="4" t="s">
        <v>345</v>
      </c>
      <c r="B97" s="2" t="s">
        <v>346</v>
      </c>
      <c r="C97" s="3">
        <v>1</v>
      </c>
      <c r="D97" s="5">
        <v>48.38</v>
      </c>
      <c r="E97" s="3" t="s">
        <v>347</v>
      </c>
      <c r="F97" s="2" t="s">
        <v>15</v>
      </c>
      <c r="G97" s="6" t="s">
        <v>348</v>
      </c>
      <c r="H97" s="2" t="s">
        <v>349</v>
      </c>
      <c r="I97" s="2" t="s">
        <v>285</v>
      </c>
      <c r="J97" s="2" t="s">
        <v>19</v>
      </c>
      <c r="K97" s="2" t="s">
        <v>323</v>
      </c>
      <c r="L97" s="7" t="str">
        <f>HYPERLINK("http://slimages.macys.com/is/image/MCY/13580286 ")</f>
        <v xml:space="preserve">http://slimages.macys.com/is/image/MCY/13580286 </v>
      </c>
    </row>
    <row r="98" spans="1:12" ht="24.75" x14ac:dyDescent="0.25">
      <c r="A98" s="4" t="s">
        <v>4488</v>
      </c>
      <c r="B98" s="2" t="s">
        <v>2227</v>
      </c>
      <c r="C98" s="3">
        <v>1</v>
      </c>
      <c r="D98" s="5">
        <v>79.5</v>
      </c>
      <c r="E98" s="3">
        <v>100050172</v>
      </c>
      <c r="F98" s="2" t="s">
        <v>64</v>
      </c>
      <c r="G98" s="6" t="s">
        <v>58</v>
      </c>
      <c r="H98" s="2" t="s">
        <v>386</v>
      </c>
      <c r="I98" s="2" t="s">
        <v>391</v>
      </c>
      <c r="J98" s="2" t="s">
        <v>19</v>
      </c>
      <c r="K98" s="2" t="s">
        <v>392</v>
      </c>
      <c r="L98" s="7" t="str">
        <f>HYPERLINK("http://slimages.macys.com/is/image/MCY/12067831 ")</f>
        <v xml:space="preserve">http://slimages.macys.com/is/image/MCY/12067831 </v>
      </c>
    </row>
    <row r="99" spans="1:12" ht="24.75" x14ac:dyDescent="0.25">
      <c r="A99" s="4" t="s">
        <v>13762</v>
      </c>
      <c r="B99" s="2" t="s">
        <v>13763</v>
      </c>
      <c r="C99" s="3">
        <v>1</v>
      </c>
      <c r="D99" s="5">
        <v>39.99</v>
      </c>
      <c r="E99" s="3" t="s">
        <v>13764</v>
      </c>
      <c r="F99" s="2" t="s">
        <v>74</v>
      </c>
      <c r="G99" s="6" t="s">
        <v>205</v>
      </c>
      <c r="H99" s="2" t="s">
        <v>9995</v>
      </c>
      <c r="I99" s="2" t="s">
        <v>1087</v>
      </c>
      <c r="J99" s="2" t="s">
        <v>19</v>
      </c>
      <c r="K99" s="2" t="s">
        <v>338</v>
      </c>
      <c r="L99" s="7" t="str">
        <f>HYPERLINK("http://slimages.macys.com/is/image/MCY/10204495 ")</f>
        <v xml:space="preserve">http://slimages.macys.com/is/image/MCY/10204495 </v>
      </c>
    </row>
    <row r="100" spans="1:12" ht="24.75" x14ac:dyDescent="0.25">
      <c r="A100" s="4" t="s">
        <v>11761</v>
      </c>
      <c r="B100" s="2" t="s">
        <v>10491</v>
      </c>
      <c r="C100" s="3">
        <v>2</v>
      </c>
      <c r="D100" s="5">
        <v>55</v>
      </c>
      <c r="E100" s="3" t="s">
        <v>10492</v>
      </c>
      <c r="F100" s="2" t="s">
        <v>887</v>
      </c>
      <c r="G100" s="6"/>
      <c r="H100" s="2" t="s">
        <v>716</v>
      </c>
      <c r="I100" s="2" t="s">
        <v>717</v>
      </c>
      <c r="J100" s="2" t="s">
        <v>19</v>
      </c>
      <c r="K100" s="2" t="s">
        <v>648</v>
      </c>
      <c r="L100" s="7" t="str">
        <f>HYPERLINK("http://slimages.macys.com/is/image/MCY/11536348 ")</f>
        <v xml:space="preserve">http://slimages.macys.com/is/image/MCY/11536348 </v>
      </c>
    </row>
    <row r="101" spans="1:12" ht="24.75" x14ac:dyDescent="0.25">
      <c r="A101" s="4" t="s">
        <v>7108</v>
      </c>
      <c r="B101" s="2" t="s">
        <v>7109</v>
      </c>
      <c r="C101" s="3">
        <v>1</v>
      </c>
      <c r="D101" s="5">
        <v>67.13</v>
      </c>
      <c r="E101" s="3" t="s">
        <v>7110</v>
      </c>
      <c r="F101" s="2" t="s">
        <v>413</v>
      </c>
      <c r="G101" s="6" t="s">
        <v>245</v>
      </c>
      <c r="H101" s="2" t="s">
        <v>246</v>
      </c>
      <c r="I101" s="2" t="s">
        <v>189</v>
      </c>
      <c r="J101" s="2" t="s">
        <v>19</v>
      </c>
      <c r="K101" s="2" t="s">
        <v>3423</v>
      </c>
      <c r="L101" s="7" t="str">
        <f>HYPERLINK("http://slimages.macys.com/is/image/MCY/11807765 ")</f>
        <v xml:space="preserve">http://slimages.macys.com/is/image/MCY/11807765 </v>
      </c>
    </row>
    <row r="102" spans="1:12" ht="24.75" x14ac:dyDescent="0.25">
      <c r="A102" s="4" t="s">
        <v>13765</v>
      </c>
      <c r="B102" s="2" t="s">
        <v>13766</v>
      </c>
      <c r="C102" s="3">
        <v>1</v>
      </c>
      <c r="D102" s="5">
        <v>44.63</v>
      </c>
      <c r="E102" s="3" t="s">
        <v>13767</v>
      </c>
      <c r="F102" s="2" t="s">
        <v>74</v>
      </c>
      <c r="G102" s="6" t="s">
        <v>746</v>
      </c>
      <c r="H102" s="2" t="s">
        <v>349</v>
      </c>
      <c r="I102" s="2" t="s">
        <v>408</v>
      </c>
      <c r="J102" s="2" t="s">
        <v>19</v>
      </c>
      <c r="K102" s="2" t="s">
        <v>409</v>
      </c>
      <c r="L102" s="7" t="str">
        <f>HYPERLINK("http://slimages.macys.com/is/image/MCY/12331626 ")</f>
        <v xml:space="preserve">http://slimages.macys.com/is/image/MCY/12331626 </v>
      </c>
    </row>
    <row r="103" spans="1:12" ht="24.75" x14ac:dyDescent="0.25">
      <c r="A103" s="4" t="s">
        <v>5422</v>
      </c>
      <c r="B103" s="2" t="s">
        <v>5423</v>
      </c>
      <c r="C103" s="3">
        <v>2</v>
      </c>
      <c r="D103" s="5">
        <v>69.5</v>
      </c>
      <c r="E103" s="3" t="s">
        <v>5424</v>
      </c>
      <c r="F103" s="2" t="s">
        <v>464</v>
      </c>
      <c r="G103" s="6" t="s">
        <v>363</v>
      </c>
      <c r="H103" s="2" t="s">
        <v>127</v>
      </c>
      <c r="I103" s="2" t="s">
        <v>128</v>
      </c>
      <c r="J103" s="2" t="s">
        <v>19</v>
      </c>
      <c r="K103" s="2" t="s">
        <v>361</v>
      </c>
      <c r="L103" s="7" t="str">
        <f>HYPERLINK("http://slimages.macys.com/is/image/MCY/9777982 ")</f>
        <v xml:space="preserve">http://slimages.macys.com/is/image/MCY/9777982 </v>
      </c>
    </row>
    <row r="104" spans="1:12" ht="24.75" x14ac:dyDescent="0.25">
      <c r="A104" s="4" t="s">
        <v>13768</v>
      </c>
      <c r="B104" s="2" t="s">
        <v>5429</v>
      </c>
      <c r="C104" s="3">
        <v>1</v>
      </c>
      <c r="D104" s="5">
        <v>79.5</v>
      </c>
      <c r="E104" s="3" t="s">
        <v>5430</v>
      </c>
      <c r="F104" s="2" t="s">
        <v>676</v>
      </c>
      <c r="G104" s="6" t="s">
        <v>205</v>
      </c>
      <c r="H104" s="2" t="s">
        <v>127</v>
      </c>
      <c r="I104" s="2" t="s">
        <v>128</v>
      </c>
      <c r="J104" s="2" t="s">
        <v>19</v>
      </c>
      <c r="K104" s="2" t="s">
        <v>34</v>
      </c>
      <c r="L104" s="7" t="str">
        <f>HYPERLINK("http://slimages.macys.com/is/image/MCY/14608028 ")</f>
        <v xml:space="preserve">http://slimages.macys.com/is/image/MCY/14608028 </v>
      </c>
    </row>
    <row r="105" spans="1:12" ht="24.75" x14ac:dyDescent="0.25">
      <c r="A105" s="4" t="s">
        <v>13769</v>
      </c>
      <c r="B105" s="2" t="s">
        <v>5423</v>
      </c>
      <c r="C105" s="3">
        <v>1</v>
      </c>
      <c r="D105" s="5">
        <v>69.5</v>
      </c>
      <c r="E105" s="3" t="s">
        <v>5424</v>
      </c>
      <c r="F105" s="2" t="s">
        <v>164</v>
      </c>
      <c r="G105" s="6" t="s">
        <v>934</v>
      </c>
      <c r="H105" s="2" t="s">
        <v>127</v>
      </c>
      <c r="I105" s="2" t="s">
        <v>128</v>
      </c>
      <c r="J105" s="2" t="s">
        <v>19</v>
      </c>
      <c r="K105" s="2" t="s">
        <v>361</v>
      </c>
      <c r="L105" s="7" t="str">
        <f>HYPERLINK("http://slimages.macys.com/is/image/MCY/9784382 ")</f>
        <v xml:space="preserve">http://slimages.macys.com/is/image/MCY/9784382 </v>
      </c>
    </row>
    <row r="106" spans="1:12" ht="24.75" x14ac:dyDescent="0.25">
      <c r="A106" s="4" t="s">
        <v>11787</v>
      </c>
      <c r="B106" s="2" t="s">
        <v>5423</v>
      </c>
      <c r="C106" s="3">
        <v>2</v>
      </c>
      <c r="D106" s="5">
        <v>69.5</v>
      </c>
      <c r="E106" s="3" t="s">
        <v>5424</v>
      </c>
      <c r="F106" s="2" t="s">
        <v>164</v>
      </c>
      <c r="G106" s="6" t="s">
        <v>363</v>
      </c>
      <c r="H106" s="2" t="s">
        <v>127</v>
      </c>
      <c r="I106" s="2" t="s">
        <v>128</v>
      </c>
      <c r="J106" s="2" t="s">
        <v>19</v>
      </c>
      <c r="K106" s="2" t="s">
        <v>361</v>
      </c>
      <c r="L106" s="7" t="str">
        <f>HYPERLINK("http://slimages.macys.com/is/image/MCY/9784382 ")</f>
        <v xml:space="preserve">http://slimages.macys.com/is/image/MCY/9784382 </v>
      </c>
    </row>
    <row r="107" spans="1:12" ht="24.75" x14ac:dyDescent="0.25">
      <c r="A107" s="4" t="s">
        <v>13770</v>
      </c>
      <c r="B107" s="2" t="s">
        <v>5423</v>
      </c>
      <c r="C107" s="3">
        <v>1</v>
      </c>
      <c r="D107" s="5">
        <v>69.5</v>
      </c>
      <c r="E107" s="3" t="s">
        <v>5424</v>
      </c>
      <c r="F107" s="2" t="s">
        <v>164</v>
      </c>
      <c r="G107" s="6" t="s">
        <v>126</v>
      </c>
      <c r="H107" s="2" t="s">
        <v>127</v>
      </c>
      <c r="I107" s="2" t="s">
        <v>128</v>
      </c>
      <c r="J107" s="2" t="s">
        <v>19</v>
      </c>
      <c r="K107" s="2" t="s">
        <v>361</v>
      </c>
      <c r="L107" s="7" t="str">
        <f>HYPERLINK("http://slimages.macys.com/is/image/MCY/9784382 ")</f>
        <v xml:space="preserve">http://slimages.macys.com/is/image/MCY/9784382 </v>
      </c>
    </row>
    <row r="108" spans="1:12" ht="24.75" x14ac:dyDescent="0.25">
      <c r="A108" s="4" t="s">
        <v>13771</v>
      </c>
      <c r="B108" s="2" t="s">
        <v>5423</v>
      </c>
      <c r="C108" s="3">
        <v>1</v>
      </c>
      <c r="D108" s="5">
        <v>69.5</v>
      </c>
      <c r="E108" s="3" t="s">
        <v>5424</v>
      </c>
      <c r="F108" s="2" t="s">
        <v>164</v>
      </c>
      <c r="G108" s="6" t="s">
        <v>336</v>
      </c>
      <c r="H108" s="2" t="s">
        <v>127</v>
      </c>
      <c r="I108" s="2" t="s">
        <v>128</v>
      </c>
      <c r="J108" s="2" t="s">
        <v>19</v>
      </c>
      <c r="K108" s="2" t="s">
        <v>361</v>
      </c>
      <c r="L108" s="7" t="str">
        <f>HYPERLINK("http://slimages.macys.com/is/image/MCY/9784382 ")</f>
        <v xml:space="preserve">http://slimages.macys.com/is/image/MCY/9784382 </v>
      </c>
    </row>
    <row r="109" spans="1:12" ht="24.75" x14ac:dyDescent="0.25">
      <c r="A109" s="4" t="s">
        <v>13772</v>
      </c>
      <c r="B109" s="2" t="s">
        <v>5433</v>
      </c>
      <c r="C109" s="3">
        <v>1</v>
      </c>
      <c r="D109" s="5">
        <v>69.5</v>
      </c>
      <c r="E109" s="3" t="s">
        <v>5434</v>
      </c>
      <c r="F109" s="2" t="s">
        <v>74</v>
      </c>
      <c r="G109" s="6" t="s">
        <v>336</v>
      </c>
      <c r="H109" s="2" t="s">
        <v>127</v>
      </c>
      <c r="I109" s="2" t="s">
        <v>128</v>
      </c>
      <c r="J109" s="2" t="s">
        <v>19</v>
      </c>
      <c r="K109" s="2" t="s">
        <v>409</v>
      </c>
      <c r="L109" s="7" t="str">
        <f>HYPERLINK("http://slimages.macys.com/is/image/MCY/3712702 ")</f>
        <v xml:space="preserve">http://slimages.macys.com/is/image/MCY/3712702 </v>
      </c>
    </row>
    <row r="110" spans="1:12" ht="24.75" x14ac:dyDescent="0.25">
      <c r="A110" s="4" t="s">
        <v>5432</v>
      </c>
      <c r="B110" s="2" t="s">
        <v>5433</v>
      </c>
      <c r="C110" s="3">
        <v>1</v>
      </c>
      <c r="D110" s="5">
        <v>69.5</v>
      </c>
      <c r="E110" s="3" t="s">
        <v>5434</v>
      </c>
      <c r="F110" s="2" t="s">
        <v>111</v>
      </c>
      <c r="G110" s="6" t="s">
        <v>205</v>
      </c>
      <c r="H110" s="2" t="s">
        <v>127</v>
      </c>
      <c r="I110" s="2" t="s">
        <v>128</v>
      </c>
      <c r="J110" s="2" t="s">
        <v>19</v>
      </c>
      <c r="K110" s="2" t="s">
        <v>409</v>
      </c>
      <c r="L110" s="7" t="str">
        <f>HYPERLINK("http://slimages.macys.com/is/image/MCY/10000265 ")</f>
        <v xml:space="preserve">http://slimages.macys.com/is/image/MCY/10000265 </v>
      </c>
    </row>
    <row r="111" spans="1:12" ht="24.75" x14ac:dyDescent="0.25">
      <c r="A111" s="4" t="s">
        <v>13773</v>
      </c>
      <c r="B111" s="2" t="s">
        <v>4504</v>
      </c>
      <c r="C111" s="3">
        <v>1</v>
      </c>
      <c r="D111" s="5">
        <v>52.13</v>
      </c>
      <c r="E111" s="3" t="s">
        <v>13774</v>
      </c>
      <c r="F111" s="2" t="s">
        <v>64</v>
      </c>
      <c r="G111" s="6"/>
      <c r="H111" s="2" t="s">
        <v>188</v>
      </c>
      <c r="I111" s="2" t="s">
        <v>189</v>
      </c>
      <c r="J111" s="2" t="s">
        <v>19</v>
      </c>
      <c r="K111" s="2" t="s">
        <v>803</v>
      </c>
      <c r="L111" s="7" t="str">
        <f>HYPERLINK("http://slimages.macys.com/is/image/MCY/11884225 ")</f>
        <v xml:space="preserve">http://slimages.macys.com/is/image/MCY/11884225 </v>
      </c>
    </row>
    <row r="112" spans="1:12" ht="24.75" x14ac:dyDescent="0.25">
      <c r="A112" s="4" t="s">
        <v>13775</v>
      </c>
      <c r="B112" s="2" t="s">
        <v>1160</v>
      </c>
      <c r="C112" s="3">
        <v>1</v>
      </c>
      <c r="D112" s="5">
        <v>79.5</v>
      </c>
      <c r="E112" s="3">
        <v>100055810</v>
      </c>
      <c r="F112" s="2" t="s">
        <v>64</v>
      </c>
      <c r="G112" s="6" t="s">
        <v>22</v>
      </c>
      <c r="H112" s="2" t="s">
        <v>386</v>
      </c>
      <c r="I112" s="2" t="s">
        <v>337</v>
      </c>
      <c r="J112" s="2" t="s">
        <v>19</v>
      </c>
      <c r="K112" s="2" t="s">
        <v>387</v>
      </c>
      <c r="L112" s="7" t="str">
        <f>HYPERLINK("http://slimages.macys.com/is/image/MCY/13038892 ")</f>
        <v xml:space="preserve">http://slimages.macys.com/is/image/MCY/13038892 </v>
      </c>
    </row>
    <row r="113" spans="1:12" ht="36.75" x14ac:dyDescent="0.25">
      <c r="A113" s="4" t="s">
        <v>12820</v>
      </c>
      <c r="B113" s="2" t="s">
        <v>374</v>
      </c>
      <c r="C113" s="3">
        <v>1</v>
      </c>
      <c r="D113" s="5">
        <v>52.13</v>
      </c>
      <c r="E113" s="3" t="s">
        <v>394</v>
      </c>
      <c r="F113" s="2" t="s">
        <v>74</v>
      </c>
      <c r="G113" s="6" t="s">
        <v>238</v>
      </c>
      <c r="H113" s="2" t="s">
        <v>188</v>
      </c>
      <c r="I113" s="2" t="s">
        <v>189</v>
      </c>
      <c r="J113" s="2" t="s">
        <v>19</v>
      </c>
      <c r="K113" s="2" t="s">
        <v>395</v>
      </c>
      <c r="L113" s="7" t="str">
        <f>HYPERLINK("http://slimages.macys.com/is/image/MCY/11626905 ")</f>
        <v xml:space="preserve">http://slimages.macys.com/is/image/MCY/11626905 </v>
      </c>
    </row>
    <row r="114" spans="1:12" ht="36.75" x14ac:dyDescent="0.25">
      <c r="A114" s="4" t="s">
        <v>9346</v>
      </c>
      <c r="B114" s="2" t="s">
        <v>374</v>
      </c>
      <c r="C114" s="3">
        <v>1</v>
      </c>
      <c r="D114" s="5">
        <v>52.13</v>
      </c>
      <c r="E114" s="3" t="s">
        <v>394</v>
      </c>
      <c r="F114" s="2" t="s">
        <v>74</v>
      </c>
      <c r="G114" s="6" t="s">
        <v>934</v>
      </c>
      <c r="H114" s="2" t="s">
        <v>188</v>
      </c>
      <c r="I114" s="2" t="s">
        <v>189</v>
      </c>
      <c r="J114" s="2" t="s">
        <v>19</v>
      </c>
      <c r="K114" s="2" t="s">
        <v>395</v>
      </c>
      <c r="L114" s="7" t="str">
        <f>HYPERLINK("http://slimages.macys.com/is/image/MCY/11626905 ")</f>
        <v xml:space="preserve">http://slimages.macys.com/is/image/MCY/11626905 </v>
      </c>
    </row>
    <row r="115" spans="1:12" x14ac:dyDescent="0.25">
      <c r="A115" s="4" t="s">
        <v>13776</v>
      </c>
      <c r="B115" s="2" t="s">
        <v>4526</v>
      </c>
      <c r="C115" s="3">
        <v>1</v>
      </c>
      <c r="D115" s="5">
        <v>79.5</v>
      </c>
      <c r="E115" s="3" t="s">
        <v>4527</v>
      </c>
      <c r="F115" s="2" t="s">
        <v>15</v>
      </c>
      <c r="G115" s="6" t="s">
        <v>126</v>
      </c>
      <c r="H115" s="2" t="s">
        <v>206</v>
      </c>
      <c r="I115" s="2" t="s">
        <v>207</v>
      </c>
      <c r="J115" s="2" t="s">
        <v>19</v>
      </c>
      <c r="K115" s="2" t="s">
        <v>160</v>
      </c>
      <c r="L115" s="7" t="str">
        <f>HYPERLINK("http://slimages.macys.com/is/image/MCY/12953444 ")</f>
        <v xml:space="preserve">http://slimages.macys.com/is/image/MCY/12953444 </v>
      </c>
    </row>
    <row r="116" spans="1:12" ht="24.75" x14ac:dyDescent="0.25">
      <c r="A116" s="4" t="s">
        <v>13777</v>
      </c>
      <c r="B116" s="2" t="s">
        <v>13778</v>
      </c>
      <c r="C116" s="3">
        <v>1</v>
      </c>
      <c r="D116" s="5">
        <v>29.98</v>
      </c>
      <c r="E116" s="3">
        <v>8529</v>
      </c>
      <c r="F116" s="2" t="s">
        <v>74</v>
      </c>
      <c r="G116" s="6" t="s">
        <v>116</v>
      </c>
      <c r="H116" s="2" t="s">
        <v>3402</v>
      </c>
      <c r="I116" s="2" t="s">
        <v>3409</v>
      </c>
      <c r="J116" s="2" t="s">
        <v>19</v>
      </c>
      <c r="K116" s="2" t="s">
        <v>353</v>
      </c>
      <c r="L116" s="7" t="str">
        <f>HYPERLINK("http://slimages.macys.com/is/image/MCY/3210696 ")</f>
        <v xml:space="preserve">http://slimages.macys.com/is/image/MCY/3210696 </v>
      </c>
    </row>
    <row r="117" spans="1:12" x14ac:dyDescent="0.25">
      <c r="A117" s="4" t="s">
        <v>8951</v>
      </c>
      <c r="B117" s="2" t="s">
        <v>2265</v>
      </c>
      <c r="C117" s="3">
        <v>1</v>
      </c>
      <c r="D117" s="5">
        <v>79.5</v>
      </c>
      <c r="E117" s="3">
        <v>100060510</v>
      </c>
      <c r="F117" s="2" t="s">
        <v>74</v>
      </c>
      <c r="G117" s="6" t="s">
        <v>22</v>
      </c>
      <c r="H117" s="2" t="s">
        <v>386</v>
      </c>
      <c r="I117" s="2" t="s">
        <v>207</v>
      </c>
      <c r="J117" s="2" t="s">
        <v>19</v>
      </c>
      <c r="K117" s="2" t="s">
        <v>353</v>
      </c>
      <c r="L117" s="7" t="str">
        <f>HYPERLINK("http://slimages.macys.com/is/image/MCY/12792713 ")</f>
        <v xml:space="preserve">http://slimages.macys.com/is/image/MCY/12792713 </v>
      </c>
    </row>
    <row r="118" spans="1:12" x14ac:dyDescent="0.25">
      <c r="A118" s="4" t="s">
        <v>2264</v>
      </c>
      <c r="B118" s="2" t="s">
        <v>2265</v>
      </c>
      <c r="C118" s="3">
        <v>1</v>
      </c>
      <c r="D118" s="5">
        <v>79.5</v>
      </c>
      <c r="E118" s="3">
        <v>100060510</v>
      </c>
      <c r="F118" s="2" t="s">
        <v>74</v>
      </c>
      <c r="G118" s="6" t="s">
        <v>2208</v>
      </c>
      <c r="H118" s="2" t="s">
        <v>386</v>
      </c>
      <c r="I118" s="2" t="s">
        <v>207</v>
      </c>
      <c r="J118" s="2" t="s">
        <v>19</v>
      </c>
      <c r="K118" s="2" t="s">
        <v>353</v>
      </c>
      <c r="L118" s="7" t="str">
        <f>HYPERLINK("http://slimages.macys.com/is/image/MCY/12792713 ")</f>
        <v xml:space="preserve">http://slimages.macys.com/is/image/MCY/12792713 </v>
      </c>
    </row>
    <row r="119" spans="1:12" ht="24.75" x14ac:dyDescent="0.25">
      <c r="A119" s="4" t="s">
        <v>11797</v>
      </c>
      <c r="B119" s="2" t="s">
        <v>10510</v>
      </c>
      <c r="C119" s="3">
        <v>3</v>
      </c>
      <c r="D119" s="5">
        <v>44.63</v>
      </c>
      <c r="E119" s="3" t="s">
        <v>10511</v>
      </c>
      <c r="F119" s="2" t="s">
        <v>74</v>
      </c>
      <c r="G119" s="6" t="s">
        <v>348</v>
      </c>
      <c r="H119" s="2" t="s">
        <v>349</v>
      </c>
      <c r="I119" s="2" t="s">
        <v>408</v>
      </c>
      <c r="J119" s="2" t="s">
        <v>19</v>
      </c>
      <c r="K119" s="2" t="s">
        <v>1480</v>
      </c>
      <c r="L119" s="7" t="str">
        <f>HYPERLINK("http://slimages.macys.com/is/image/MCY/13535202 ")</f>
        <v xml:space="preserve">http://slimages.macys.com/is/image/MCY/13535202 </v>
      </c>
    </row>
    <row r="120" spans="1:12" ht="48.75" x14ac:dyDescent="0.25">
      <c r="A120" s="4" t="s">
        <v>13779</v>
      </c>
      <c r="B120" s="2" t="s">
        <v>13780</v>
      </c>
      <c r="C120" s="3">
        <v>2</v>
      </c>
      <c r="D120" s="5">
        <v>52.13</v>
      </c>
      <c r="E120" s="3" t="s">
        <v>13781</v>
      </c>
      <c r="F120" s="2" t="s">
        <v>64</v>
      </c>
      <c r="G120" s="6" t="s">
        <v>200</v>
      </c>
      <c r="H120" s="2" t="s">
        <v>246</v>
      </c>
      <c r="I120" s="2" t="s">
        <v>189</v>
      </c>
      <c r="J120" s="2" t="s">
        <v>19</v>
      </c>
      <c r="K120" s="2" t="s">
        <v>13782</v>
      </c>
      <c r="L120" s="7" t="str">
        <f>HYPERLINK("http://slimages.macys.com/is/image/MCY/11995070 ")</f>
        <v xml:space="preserve">http://slimages.macys.com/is/image/MCY/11995070 </v>
      </c>
    </row>
    <row r="121" spans="1:12" ht="24.75" x14ac:dyDescent="0.25">
      <c r="A121" s="4" t="s">
        <v>13783</v>
      </c>
      <c r="B121" s="2" t="s">
        <v>5464</v>
      </c>
      <c r="C121" s="3">
        <v>1</v>
      </c>
      <c r="D121" s="5">
        <v>52.13</v>
      </c>
      <c r="E121" s="3" t="s">
        <v>5465</v>
      </c>
      <c r="F121" s="2" t="s">
        <v>26</v>
      </c>
      <c r="G121" s="6" t="s">
        <v>746</v>
      </c>
      <c r="H121" s="2" t="s">
        <v>349</v>
      </c>
      <c r="I121" s="2" t="s">
        <v>285</v>
      </c>
      <c r="J121" s="2" t="s">
        <v>19</v>
      </c>
      <c r="K121" s="2" t="s">
        <v>323</v>
      </c>
      <c r="L121" s="7" t="str">
        <f>HYPERLINK("http://slimages.macys.com/is/image/MCY/13535601 ")</f>
        <v xml:space="preserve">http://slimages.macys.com/is/image/MCY/13535601 </v>
      </c>
    </row>
    <row r="122" spans="1:12" ht="24.75" x14ac:dyDescent="0.25">
      <c r="A122" s="4" t="s">
        <v>13784</v>
      </c>
      <c r="B122" s="2" t="s">
        <v>461</v>
      </c>
      <c r="C122" s="3">
        <v>1</v>
      </c>
      <c r="D122" s="5">
        <v>59.5</v>
      </c>
      <c r="E122" s="3" t="s">
        <v>462</v>
      </c>
      <c r="F122" s="2" t="s">
        <v>26</v>
      </c>
      <c r="G122" s="6"/>
      <c r="H122" s="2" t="s">
        <v>127</v>
      </c>
      <c r="I122" s="2" t="s">
        <v>128</v>
      </c>
      <c r="J122" s="2" t="s">
        <v>19</v>
      </c>
      <c r="K122" s="2" t="s">
        <v>160</v>
      </c>
      <c r="L122" s="7" t="str">
        <f>HYPERLINK("http://slimages.macys.com/is/image/MCY/13758855 ")</f>
        <v xml:space="preserve">http://slimages.macys.com/is/image/MCY/13758855 </v>
      </c>
    </row>
    <row r="123" spans="1:12" ht="24.75" x14ac:dyDescent="0.25">
      <c r="A123" s="4" t="s">
        <v>13785</v>
      </c>
      <c r="B123" s="2" t="s">
        <v>13786</v>
      </c>
      <c r="C123" s="3">
        <v>1</v>
      </c>
      <c r="D123" s="5">
        <v>52.13</v>
      </c>
      <c r="E123" s="3" t="s">
        <v>13787</v>
      </c>
      <c r="F123" s="2" t="s">
        <v>64</v>
      </c>
      <c r="G123" s="6" t="s">
        <v>154</v>
      </c>
      <c r="H123" s="2" t="s">
        <v>246</v>
      </c>
      <c r="I123" s="2" t="s">
        <v>189</v>
      </c>
      <c r="J123" s="2" t="s">
        <v>19</v>
      </c>
      <c r="K123" s="2" t="s">
        <v>3423</v>
      </c>
      <c r="L123" s="7" t="str">
        <f>HYPERLINK("http://slimages.macys.com/is/image/MCY/12266156 ")</f>
        <v xml:space="preserve">http://slimages.macys.com/is/image/MCY/12266156 </v>
      </c>
    </row>
    <row r="124" spans="1:12" ht="24.75" x14ac:dyDescent="0.25">
      <c r="A124" s="4" t="s">
        <v>13788</v>
      </c>
      <c r="B124" s="2" t="s">
        <v>13789</v>
      </c>
      <c r="C124" s="3">
        <v>1</v>
      </c>
      <c r="D124" s="5">
        <v>69.5</v>
      </c>
      <c r="E124" s="3" t="s">
        <v>13790</v>
      </c>
      <c r="F124" s="2" t="s">
        <v>74</v>
      </c>
      <c r="G124" s="6"/>
      <c r="H124" s="2" t="s">
        <v>206</v>
      </c>
      <c r="I124" s="2" t="s">
        <v>207</v>
      </c>
      <c r="J124" s="2" t="s">
        <v>19</v>
      </c>
      <c r="K124" s="2" t="s">
        <v>8904</v>
      </c>
      <c r="L124" s="7" t="str">
        <f>HYPERLINK("http://slimages.macys.com/is/image/MCY/13397822 ")</f>
        <v xml:space="preserve">http://slimages.macys.com/is/image/MCY/13397822 </v>
      </c>
    </row>
    <row r="125" spans="1:12" ht="24.75" x14ac:dyDescent="0.25">
      <c r="A125" s="4" t="s">
        <v>13791</v>
      </c>
      <c r="B125" s="2" t="s">
        <v>13792</v>
      </c>
      <c r="C125" s="3">
        <v>1</v>
      </c>
      <c r="D125" s="5">
        <v>52.13</v>
      </c>
      <c r="E125" s="3" t="s">
        <v>13793</v>
      </c>
      <c r="F125" s="2" t="s">
        <v>566</v>
      </c>
      <c r="G125" s="6" t="s">
        <v>234</v>
      </c>
      <c r="H125" s="2" t="s">
        <v>284</v>
      </c>
      <c r="I125" s="2" t="s">
        <v>285</v>
      </c>
      <c r="J125" s="2" t="s">
        <v>19</v>
      </c>
      <c r="K125" s="2" t="s">
        <v>2302</v>
      </c>
      <c r="L125" s="7" t="str">
        <f>HYPERLINK("http://slimages.macys.com/is/image/MCY/15187853 ")</f>
        <v xml:space="preserve">http://slimages.macys.com/is/image/MCY/15187853 </v>
      </c>
    </row>
    <row r="126" spans="1:12" ht="24.75" x14ac:dyDescent="0.25">
      <c r="A126" s="4" t="s">
        <v>13794</v>
      </c>
      <c r="B126" s="2" t="s">
        <v>13792</v>
      </c>
      <c r="C126" s="3">
        <v>1</v>
      </c>
      <c r="D126" s="5">
        <v>52.13</v>
      </c>
      <c r="E126" s="3" t="s">
        <v>13793</v>
      </c>
      <c r="F126" s="2" t="s">
        <v>225</v>
      </c>
      <c r="G126" s="6" t="s">
        <v>156</v>
      </c>
      <c r="H126" s="2" t="s">
        <v>284</v>
      </c>
      <c r="I126" s="2" t="s">
        <v>285</v>
      </c>
      <c r="J126" s="2" t="s">
        <v>19</v>
      </c>
      <c r="K126" s="2" t="s">
        <v>2302</v>
      </c>
      <c r="L126" s="7" t="str">
        <f>HYPERLINK("http://slimages.macys.com/is/image/MCY/15187853 ")</f>
        <v xml:space="preserve">http://slimages.macys.com/is/image/MCY/15187853 </v>
      </c>
    </row>
    <row r="127" spans="1:12" x14ac:dyDescent="0.25">
      <c r="A127" s="4" t="s">
        <v>13795</v>
      </c>
      <c r="B127" s="2" t="s">
        <v>13796</v>
      </c>
      <c r="C127" s="3">
        <v>1</v>
      </c>
      <c r="D127" s="5">
        <v>69.5</v>
      </c>
      <c r="E127" s="3">
        <v>100071526</v>
      </c>
      <c r="F127" s="2" t="s">
        <v>74</v>
      </c>
      <c r="G127" s="6" t="s">
        <v>22</v>
      </c>
      <c r="H127" s="2" t="s">
        <v>386</v>
      </c>
      <c r="I127" s="2" t="s">
        <v>391</v>
      </c>
      <c r="J127" s="2" t="s">
        <v>19</v>
      </c>
      <c r="K127" s="2" t="s">
        <v>253</v>
      </c>
      <c r="L127" s="7" t="str">
        <f>HYPERLINK("http://slimages.macys.com/is/image/MCY/13787479 ")</f>
        <v xml:space="preserve">http://slimages.macys.com/is/image/MCY/13787479 </v>
      </c>
    </row>
    <row r="128" spans="1:12" ht="24.75" x14ac:dyDescent="0.25">
      <c r="A128" s="4" t="s">
        <v>13797</v>
      </c>
      <c r="B128" s="2" t="s">
        <v>9363</v>
      </c>
      <c r="C128" s="3">
        <v>1</v>
      </c>
      <c r="D128" s="5">
        <v>34.99</v>
      </c>
      <c r="E128" s="3" t="s">
        <v>9364</v>
      </c>
      <c r="F128" s="2" t="s">
        <v>15</v>
      </c>
      <c r="G128" s="6" t="s">
        <v>3611</v>
      </c>
      <c r="H128" s="2" t="s">
        <v>1086</v>
      </c>
      <c r="I128" s="2" t="s">
        <v>1087</v>
      </c>
      <c r="J128" s="2" t="s">
        <v>19</v>
      </c>
      <c r="K128" s="2" t="s">
        <v>338</v>
      </c>
      <c r="L128" s="7" t="str">
        <f>HYPERLINK("http://slimages.macys.com/is/image/MCY/8625832 ")</f>
        <v xml:space="preserve">http://slimages.macys.com/is/image/MCY/8625832 </v>
      </c>
    </row>
    <row r="129" spans="1:12" ht="36.75" x14ac:dyDescent="0.25">
      <c r="A129" s="4" t="s">
        <v>13798</v>
      </c>
      <c r="B129" s="2" t="s">
        <v>3545</v>
      </c>
      <c r="C129" s="3">
        <v>1</v>
      </c>
      <c r="D129" s="5">
        <v>43.86</v>
      </c>
      <c r="E129" s="3" t="s">
        <v>12834</v>
      </c>
      <c r="F129" s="2" t="s">
        <v>53</v>
      </c>
      <c r="G129" s="6" t="s">
        <v>2276</v>
      </c>
      <c r="H129" s="2" t="s">
        <v>349</v>
      </c>
      <c r="I129" s="2" t="s">
        <v>285</v>
      </c>
      <c r="J129" s="2" t="s">
        <v>19</v>
      </c>
      <c r="K129" s="2" t="s">
        <v>2419</v>
      </c>
      <c r="L129" s="7" t="str">
        <f>HYPERLINK("http://slimages.macys.com/is/image/MCY/13040792 ")</f>
        <v xml:space="preserve">http://slimages.macys.com/is/image/MCY/13040792 </v>
      </c>
    </row>
    <row r="130" spans="1:12" ht="24.75" x14ac:dyDescent="0.25">
      <c r="A130" s="4" t="s">
        <v>13799</v>
      </c>
      <c r="B130" s="2" t="s">
        <v>13800</v>
      </c>
      <c r="C130" s="3">
        <v>1</v>
      </c>
      <c r="D130" s="5">
        <v>34.99</v>
      </c>
      <c r="E130" s="3" t="s">
        <v>13801</v>
      </c>
      <c r="F130" s="2" t="s">
        <v>494</v>
      </c>
      <c r="G130" s="6" t="s">
        <v>1172</v>
      </c>
      <c r="H130" s="2" t="s">
        <v>1086</v>
      </c>
      <c r="I130" s="2" t="s">
        <v>1087</v>
      </c>
      <c r="J130" s="2" t="s">
        <v>19</v>
      </c>
      <c r="K130" s="2" t="s">
        <v>338</v>
      </c>
      <c r="L130" s="7" t="str">
        <f t="shared" ref="L130:L137" si="1">HYPERLINK("http://slimages.macys.com/is/image/MCY/8625832 ")</f>
        <v xml:space="preserve">http://slimages.macys.com/is/image/MCY/8625832 </v>
      </c>
    </row>
    <row r="131" spans="1:12" ht="24.75" x14ac:dyDescent="0.25">
      <c r="A131" s="4" t="s">
        <v>13802</v>
      </c>
      <c r="B131" s="2" t="s">
        <v>9363</v>
      </c>
      <c r="C131" s="3">
        <v>1</v>
      </c>
      <c r="D131" s="5">
        <v>34.99</v>
      </c>
      <c r="E131" s="3" t="s">
        <v>9364</v>
      </c>
      <c r="F131" s="2" t="s">
        <v>15</v>
      </c>
      <c r="G131" s="6" t="s">
        <v>3309</v>
      </c>
      <c r="H131" s="2" t="s">
        <v>1086</v>
      </c>
      <c r="I131" s="2" t="s">
        <v>1087</v>
      </c>
      <c r="J131" s="2" t="s">
        <v>19</v>
      </c>
      <c r="K131" s="2" t="s">
        <v>338</v>
      </c>
      <c r="L131" s="7" t="str">
        <f t="shared" si="1"/>
        <v xml:space="preserve">http://slimages.macys.com/is/image/MCY/8625832 </v>
      </c>
    </row>
    <row r="132" spans="1:12" ht="24.75" x14ac:dyDescent="0.25">
      <c r="A132" s="4" t="s">
        <v>13803</v>
      </c>
      <c r="B132" s="2" t="s">
        <v>13804</v>
      </c>
      <c r="C132" s="3">
        <v>1</v>
      </c>
      <c r="D132" s="5">
        <v>34.99</v>
      </c>
      <c r="E132" s="3" t="s">
        <v>13805</v>
      </c>
      <c r="F132" s="2" t="s">
        <v>74</v>
      </c>
      <c r="G132" s="6" t="s">
        <v>1172</v>
      </c>
      <c r="H132" s="2" t="s">
        <v>1086</v>
      </c>
      <c r="I132" s="2" t="s">
        <v>1087</v>
      </c>
      <c r="J132" s="2" t="s">
        <v>19</v>
      </c>
      <c r="K132" s="2" t="s">
        <v>338</v>
      </c>
      <c r="L132" s="7" t="str">
        <f t="shared" si="1"/>
        <v xml:space="preserve">http://slimages.macys.com/is/image/MCY/8625832 </v>
      </c>
    </row>
    <row r="133" spans="1:12" ht="24.75" x14ac:dyDescent="0.25">
      <c r="A133" s="4" t="s">
        <v>13806</v>
      </c>
      <c r="B133" s="2" t="s">
        <v>13804</v>
      </c>
      <c r="C133" s="3">
        <v>1</v>
      </c>
      <c r="D133" s="5">
        <v>34.99</v>
      </c>
      <c r="E133" s="3" t="s">
        <v>13805</v>
      </c>
      <c r="F133" s="2" t="s">
        <v>74</v>
      </c>
      <c r="G133" s="6" t="s">
        <v>7472</v>
      </c>
      <c r="H133" s="2" t="s">
        <v>1086</v>
      </c>
      <c r="I133" s="2" t="s">
        <v>1087</v>
      </c>
      <c r="J133" s="2" t="s">
        <v>19</v>
      </c>
      <c r="K133" s="2" t="s">
        <v>338</v>
      </c>
      <c r="L133" s="7" t="str">
        <f t="shared" si="1"/>
        <v xml:space="preserve">http://slimages.macys.com/is/image/MCY/8625832 </v>
      </c>
    </row>
    <row r="134" spans="1:12" ht="24.75" x14ac:dyDescent="0.25">
      <c r="A134" s="4" t="s">
        <v>13807</v>
      </c>
      <c r="B134" s="2" t="s">
        <v>9363</v>
      </c>
      <c r="C134" s="3">
        <v>2</v>
      </c>
      <c r="D134" s="5">
        <v>34.99</v>
      </c>
      <c r="E134" s="3" t="s">
        <v>9364</v>
      </c>
      <c r="F134" s="2" t="s">
        <v>15</v>
      </c>
      <c r="G134" s="6" t="s">
        <v>9605</v>
      </c>
      <c r="H134" s="2" t="s">
        <v>1086</v>
      </c>
      <c r="I134" s="2" t="s">
        <v>1087</v>
      </c>
      <c r="J134" s="2" t="s">
        <v>19</v>
      </c>
      <c r="K134" s="2" t="s">
        <v>338</v>
      </c>
      <c r="L134" s="7" t="str">
        <f t="shared" si="1"/>
        <v xml:space="preserve">http://slimages.macys.com/is/image/MCY/8625832 </v>
      </c>
    </row>
    <row r="135" spans="1:12" ht="24.75" x14ac:dyDescent="0.25">
      <c r="A135" s="4" t="s">
        <v>13808</v>
      </c>
      <c r="B135" s="2" t="s">
        <v>13809</v>
      </c>
      <c r="C135" s="3">
        <v>1</v>
      </c>
      <c r="D135" s="5">
        <v>34.99</v>
      </c>
      <c r="E135" s="3" t="s">
        <v>13810</v>
      </c>
      <c r="F135" s="2" t="s">
        <v>376</v>
      </c>
      <c r="G135" s="6" t="s">
        <v>3309</v>
      </c>
      <c r="H135" s="2" t="s">
        <v>1086</v>
      </c>
      <c r="I135" s="2" t="s">
        <v>1087</v>
      </c>
      <c r="J135" s="2" t="s">
        <v>19</v>
      </c>
      <c r="K135" s="2" t="s">
        <v>338</v>
      </c>
      <c r="L135" s="7" t="str">
        <f t="shared" si="1"/>
        <v xml:space="preserve">http://slimages.macys.com/is/image/MCY/8625832 </v>
      </c>
    </row>
    <row r="136" spans="1:12" ht="24.75" x14ac:dyDescent="0.25">
      <c r="A136" s="4" t="s">
        <v>13811</v>
      </c>
      <c r="B136" s="2" t="s">
        <v>9363</v>
      </c>
      <c r="C136" s="3">
        <v>2</v>
      </c>
      <c r="D136" s="5">
        <v>34.99</v>
      </c>
      <c r="E136" s="3" t="s">
        <v>9364</v>
      </c>
      <c r="F136" s="2" t="s">
        <v>15</v>
      </c>
      <c r="G136" s="6" t="s">
        <v>4406</v>
      </c>
      <c r="H136" s="2" t="s">
        <v>1086</v>
      </c>
      <c r="I136" s="2" t="s">
        <v>1087</v>
      </c>
      <c r="J136" s="2" t="s">
        <v>19</v>
      </c>
      <c r="K136" s="2" t="s">
        <v>338</v>
      </c>
      <c r="L136" s="7" t="str">
        <f t="shared" si="1"/>
        <v xml:space="preserve">http://slimages.macys.com/is/image/MCY/8625832 </v>
      </c>
    </row>
    <row r="137" spans="1:12" ht="24.75" x14ac:dyDescent="0.25">
      <c r="A137" s="4" t="s">
        <v>13812</v>
      </c>
      <c r="B137" s="2" t="s">
        <v>9363</v>
      </c>
      <c r="C137" s="3">
        <v>1</v>
      </c>
      <c r="D137" s="5">
        <v>34.99</v>
      </c>
      <c r="E137" s="3" t="s">
        <v>9364</v>
      </c>
      <c r="F137" s="2" t="s">
        <v>15</v>
      </c>
      <c r="G137" s="6" t="s">
        <v>1085</v>
      </c>
      <c r="H137" s="2" t="s">
        <v>1086</v>
      </c>
      <c r="I137" s="2" t="s">
        <v>1087</v>
      </c>
      <c r="J137" s="2" t="s">
        <v>19</v>
      </c>
      <c r="K137" s="2" t="s">
        <v>338</v>
      </c>
      <c r="L137" s="7" t="str">
        <f t="shared" si="1"/>
        <v xml:space="preserve">http://slimages.macys.com/is/image/MCY/8625832 </v>
      </c>
    </row>
    <row r="138" spans="1:12" ht="24.75" x14ac:dyDescent="0.25">
      <c r="A138" s="4" t="s">
        <v>13813</v>
      </c>
      <c r="B138" s="2" t="s">
        <v>13814</v>
      </c>
      <c r="C138" s="3">
        <v>1</v>
      </c>
      <c r="D138" s="5">
        <v>34.99</v>
      </c>
      <c r="E138" s="3" t="s">
        <v>13815</v>
      </c>
      <c r="F138" s="2" t="s">
        <v>376</v>
      </c>
      <c r="G138" s="6" t="s">
        <v>363</v>
      </c>
      <c r="H138" s="2" t="s">
        <v>9995</v>
      </c>
      <c r="I138" s="2" t="s">
        <v>1087</v>
      </c>
      <c r="J138" s="2" t="s">
        <v>19</v>
      </c>
      <c r="K138" s="2" t="s">
        <v>361</v>
      </c>
      <c r="L138" s="7" t="str">
        <f>HYPERLINK("http://slimages.macys.com/is/image/MCY/8008746 ")</f>
        <v xml:space="preserve">http://slimages.macys.com/is/image/MCY/8008746 </v>
      </c>
    </row>
    <row r="139" spans="1:12" ht="24.75" x14ac:dyDescent="0.25">
      <c r="A139" s="4" t="s">
        <v>13816</v>
      </c>
      <c r="B139" s="2" t="s">
        <v>13817</v>
      </c>
      <c r="C139" s="3">
        <v>1</v>
      </c>
      <c r="D139" s="5">
        <v>34.99</v>
      </c>
      <c r="E139" s="3" t="s">
        <v>13818</v>
      </c>
      <c r="F139" s="2" t="s">
        <v>74</v>
      </c>
      <c r="G139" s="6" t="s">
        <v>934</v>
      </c>
      <c r="H139" s="2" t="s">
        <v>9995</v>
      </c>
      <c r="I139" s="2" t="s">
        <v>1087</v>
      </c>
      <c r="J139" s="2" t="s">
        <v>19</v>
      </c>
      <c r="K139" s="2" t="s">
        <v>387</v>
      </c>
      <c r="L139" s="7" t="str">
        <f>HYPERLINK("http://slimages.macys.com/is/image/MCY/8656939 ")</f>
        <v xml:space="preserve">http://slimages.macys.com/is/image/MCY/8656939 </v>
      </c>
    </row>
    <row r="140" spans="1:12" ht="24.75" x14ac:dyDescent="0.25">
      <c r="A140" s="4" t="s">
        <v>13819</v>
      </c>
      <c r="B140" s="2" t="s">
        <v>13820</v>
      </c>
      <c r="C140" s="3">
        <v>1</v>
      </c>
      <c r="D140" s="5">
        <v>34.99</v>
      </c>
      <c r="E140" s="3" t="s">
        <v>13821</v>
      </c>
      <c r="F140" s="2" t="s">
        <v>494</v>
      </c>
      <c r="G140" s="6" t="s">
        <v>934</v>
      </c>
      <c r="H140" s="2" t="s">
        <v>9995</v>
      </c>
      <c r="I140" s="2" t="s">
        <v>1087</v>
      </c>
      <c r="J140" s="2" t="s">
        <v>19</v>
      </c>
      <c r="K140" s="2" t="s">
        <v>338</v>
      </c>
      <c r="L140" s="7" t="str">
        <f>HYPERLINK("http://slimages.macys.com/is/image/MCY/3086140 ")</f>
        <v xml:space="preserve">http://slimages.macys.com/is/image/MCY/3086140 </v>
      </c>
    </row>
    <row r="141" spans="1:12" ht="24.75" x14ac:dyDescent="0.25">
      <c r="A141" s="4" t="s">
        <v>13822</v>
      </c>
      <c r="B141" s="2" t="s">
        <v>13814</v>
      </c>
      <c r="C141" s="3">
        <v>1</v>
      </c>
      <c r="D141" s="5">
        <v>34.99</v>
      </c>
      <c r="E141" s="3" t="s">
        <v>13815</v>
      </c>
      <c r="F141" s="2" t="s">
        <v>376</v>
      </c>
      <c r="G141" s="6" t="s">
        <v>165</v>
      </c>
      <c r="H141" s="2" t="s">
        <v>9995</v>
      </c>
      <c r="I141" s="2" t="s">
        <v>1087</v>
      </c>
      <c r="J141" s="2" t="s">
        <v>19</v>
      </c>
      <c r="K141" s="2" t="s">
        <v>361</v>
      </c>
      <c r="L141" s="7" t="str">
        <f>HYPERLINK("http://slimages.macys.com/is/image/MCY/8008746 ")</f>
        <v xml:space="preserve">http://slimages.macys.com/is/image/MCY/8008746 </v>
      </c>
    </row>
    <row r="142" spans="1:12" ht="24.75" x14ac:dyDescent="0.25">
      <c r="A142" s="4" t="s">
        <v>13823</v>
      </c>
      <c r="B142" s="2" t="s">
        <v>13814</v>
      </c>
      <c r="C142" s="3">
        <v>1</v>
      </c>
      <c r="D142" s="5">
        <v>34.99</v>
      </c>
      <c r="E142" s="3" t="s">
        <v>13815</v>
      </c>
      <c r="F142" s="2" t="s">
        <v>376</v>
      </c>
      <c r="G142" s="6" t="s">
        <v>205</v>
      </c>
      <c r="H142" s="2" t="s">
        <v>9995</v>
      </c>
      <c r="I142" s="2" t="s">
        <v>1087</v>
      </c>
      <c r="J142" s="2" t="s">
        <v>19</v>
      </c>
      <c r="K142" s="2" t="s">
        <v>361</v>
      </c>
      <c r="L142" s="7" t="str">
        <f>HYPERLINK("http://slimages.macys.com/is/image/MCY/8008746 ")</f>
        <v xml:space="preserve">http://slimages.macys.com/is/image/MCY/8008746 </v>
      </c>
    </row>
    <row r="143" spans="1:12" ht="24.75" x14ac:dyDescent="0.25">
      <c r="A143" s="4" t="s">
        <v>13824</v>
      </c>
      <c r="B143" s="2" t="s">
        <v>13825</v>
      </c>
      <c r="C143" s="3">
        <v>1</v>
      </c>
      <c r="D143" s="5">
        <v>34.99</v>
      </c>
      <c r="E143" s="3" t="s">
        <v>13826</v>
      </c>
      <c r="F143" s="2" t="s">
        <v>998</v>
      </c>
      <c r="G143" s="6" t="s">
        <v>4401</v>
      </c>
      <c r="H143" s="2" t="s">
        <v>1086</v>
      </c>
      <c r="I143" s="2" t="s">
        <v>1087</v>
      </c>
      <c r="J143" s="2" t="s">
        <v>19</v>
      </c>
      <c r="K143" s="2" t="s">
        <v>338</v>
      </c>
      <c r="L143" s="7" t="str">
        <f>HYPERLINK("http://slimages.macys.com/is/image/MCY/8625832 ")</f>
        <v xml:space="preserve">http://slimages.macys.com/is/image/MCY/8625832 </v>
      </c>
    </row>
    <row r="144" spans="1:12" ht="36.75" x14ac:dyDescent="0.25">
      <c r="A144" s="4" t="s">
        <v>13827</v>
      </c>
      <c r="B144" s="2" t="s">
        <v>3545</v>
      </c>
      <c r="C144" s="3">
        <v>1</v>
      </c>
      <c r="D144" s="5">
        <v>43.86</v>
      </c>
      <c r="E144" s="3" t="s">
        <v>12834</v>
      </c>
      <c r="F144" s="2" t="s">
        <v>53</v>
      </c>
      <c r="G144" s="6"/>
      <c r="H144" s="2" t="s">
        <v>349</v>
      </c>
      <c r="I144" s="2" t="s">
        <v>285</v>
      </c>
      <c r="J144" s="2" t="s">
        <v>19</v>
      </c>
      <c r="K144" s="2" t="s">
        <v>2419</v>
      </c>
      <c r="L144" s="7" t="str">
        <f>HYPERLINK("http://slimages.macys.com/is/image/MCY/13040792 ")</f>
        <v xml:space="preserve">http://slimages.macys.com/is/image/MCY/13040792 </v>
      </c>
    </row>
    <row r="145" spans="1:12" ht="24.75" x14ac:dyDescent="0.25">
      <c r="A145" s="4" t="s">
        <v>13828</v>
      </c>
      <c r="B145" s="2" t="s">
        <v>10518</v>
      </c>
      <c r="C145" s="3">
        <v>1</v>
      </c>
      <c r="D145" s="5">
        <v>48.38</v>
      </c>
      <c r="E145" s="3" t="s">
        <v>10519</v>
      </c>
      <c r="F145" s="2" t="s">
        <v>413</v>
      </c>
      <c r="G145" s="6" t="s">
        <v>2276</v>
      </c>
      <c r="H145" s="2" t="s">
        <v>349</v>
      </c>
      <c r="I145" s="2" t="s">
        <v>285</v>
      </c>
      <c r="J145" s="2" t="s">
        <v>19</v>
      </c>
      <c r="K145" s="2" t="s">
        <v>10520</v>
      </c>
      <c r="L145" s="7" t="str">
        <f>HYPERLINK("http://slimages.macys.com/is/image/MCY/13962309 ")</f>
        <v xml:space="preserve">http://slimages.macys.com/is/image/MCY/13962309 </v>
      </c>
    </row>
    <row r="146" spans="1:12" ht="24.75" x14ac:dyDescent="0.25">
      <c r="A146" s="4" t="s">
        <v>13829</v>
      </c>
      <c r="B146" s="2" t="s">
        <v>3421</v>
      </c>
      <c r="C146" s="3">
        <v>2</v>
      </c>
      <c r="D146" s="5">
        <v>52.13</v>
      </c>
      <c r="E146" s="3" t="s">
        <v>3422</v>
      </c>
      <c r="F146" s="2" t="s">
        <v>680</v>
      </c>
      <c r="G146" s="6" t="s">
        <v>181</v>
      </c>
      <c r="H146" s="2" t="s">
        <v>246</v>
      </c>
      <c r="I146" s="2" t="s">
        <v>3427</v>
      </c>
      <c r="J146" s="2" t="s">
        <v>19</v>
      </c>
      <c r="K146" s="2" t="s">
        <v>3428</v>
      </c>
      <c r="L146" s="7" t="str">
        <f>HYPERLINK("http://slimages.macys.com/is/image/MCY/12032084 ")</f>
        <v xml:space="preserve">http://slimages.macys.com/is/image/MCY/12032084 </v>
      </c>
    </row>
    <row r="147" spans="1:12" ht="24.75" x14ac:dyDescent="0.25">
      <c r="A147" s="4" t="s">
        <v>13830</v>
      </c>
      <c r="B147" s="2" t="s">
        <v>7143</v>
      </c>
      <c r="C147" s="3">
        <v>1</v>
      </c>
      <c r="D147" s="5">
        <v>52.13</v>
      </c>
      <c r="E147" s="3" t="s">
        <v>7144</v>
      </c>
      <c r="F147" s="2" t="s">
        <v>64</v>
      </c>
      <c r="G147" s="6" t="s">
        <v>200</v>
      </c>
      <c r="H147" s="2" t="s">
        <v>246</v>
      </c>
      <c r="I147" s="2" t="s">
        <v>189</v>
      </c>
      <c r="J147" s="2" t="s">
        <v>19</v>
      </c>
      <c r="K147" s="2" t="s">
        <v>353</v>
      </c>
      <c r="L147" s="7" t="str">
        <f>HYPERLINK("http://slimages.macys.com/is/image/MCY/12928705 ")</f>
        <v xml:space="preserve">http://slimages.macys.com/is/image/MCY/12928705 </v>
      </c>
    </row>
    <row r="148" spans="1:12" ht="24.75" x14ac:dyDescent="0.25">
      <c r="A148" s="4" t="s">
        <v>3420</v>
      </c>
      <c r="B148" s="2" t="s">
        <v>3421</v>
      </c>
      <c r="C148" s="3">
        <v>1</v>
      </c>
      <c r="D148" s="5">
        <v>52.13</v>
      </c>
      <c r="E148" s="3" t="s">
        <v>3422</v>
      </c>
      <c r="F148" s="2" t="s">
        <v>680</v>
      </c>
      <c r="G148" s="6" t="s">
        <v>154</v>
      </c>
      <c r="H148" s="2" t="s">
        <v>246</v>
      </c>
      <c r="I148" s="2" t="s">
        <v>3427</v>
      </c>
      <c r="J148" s="2" t="s">
        <v>19</v>
      </c>
      <c r="K148" s="2" t="s">
        <v>3428</v>
      </c>
      <c r="L148" s="7" t="str">
        <f>HYPERLINK("http://slimages.macys.com/is/image/MCY/12032084 ")</f>
        <v xml:space="preserve">http://slimages.macys.com/is/image/MCY/12032084 </v>
      </c>
    </row>
    <row r="149" spans="1:12" ht="24.75" x14ac:dyDescent="0.25">
      <c r="A149" s="4" t="s">
        <v>13831</v>
      </c>
      <c r="B149" s="2" t="s">
        <v>11817</v>
      </c>
      <c r="C149" s="3">
        <v>1</v>
      </c>
      <c r="D149" s="5">
        <v>44.63</v>
      </c>
      <c r="E149" s="3" t="s">
        <v>13832</v>
      </c>
      <c r="F149" s="2" t="s">
        <v>74</v>
      </c>
      <c r="G149" s="6"/>
      <c r="H149" s="2" t="s">
        <v>632</v>
      </c>
      <c r="I149" s="2" t="s">
        <v>285</v>
      </c>
      <c r="J149" s="2" t="s">
        <v>19</v>
      </c>
      <c r="K149" s="2" t="s">
        <v>160</v>
      </c>
      <c r="L149" s="7" t="str">
        <f>HYPERLINK("http://slimages.macys.com/is/image/MCY/11535883 ")</f>
        <v xml:space="preserve">http://slimages.macys.com/is/image/MCY/11535883 </v>
      </c>
    </row>
    <row r="150" spans="1:12" ht="24.75" x14ac:dyDescent="0.25">
      <c r="A150" s="4" t="s">
        <v>13833</v>
      </c>
      <c r="B150" s="2" t="s">
        <v>6367</v>
      </c>
      <c r="C150" s="3">
        <v>1</v>
      </c>
      <c r="D150" s="5">
        <v>59.5</v>
      </c>
      <c r="E150" s="3" t="s">
        <v>6368</v>
      </c>
      <c r="F150" s="2" t="s">
        <v>566</v>
      </c>
      <c r="G150" s="6"/>
      <c r="H150" s="2" t="s">
        <v>127</v>
      </c>
      <c r="I150" s="2" t="s">
        <v>128</v>
      </c>
      <c r="J150" s="2" t="s">
        <v>19</v>
      </c>
      <c r="K150" s="2" t="s">
        <v>241</v>
      </c>
      <c r="L150" s="7" t="str">
        <f>HYPERLINK("http://slimages.macys.com/is/image/MCY/11588918 ")</f>
        <v xml:space="preserve">http://slimages.macys.com/is/image/MCY/11588918 </v>
      </c>
    </row>
    <row r="151" spans="1:12" ht="24.75" x14ac:dyDescent="0.25">
      <c r="A151" s="4" t="s">
        <v>13834</v>
      </c>
      <c r="B151" s="2" t="s">
        <v>13835</v>
      </c>
      <c r="C151" s="3">
        <v>1</v>
      </c>
      <c r="D151" s="5">
        <v>59.63</v>
      </c>
      <c r="E151" s="3" t="s">
        <v>13836</v>
      </c>
      <c r="F151" s="2" t="s">
        <v>53</v>
      </c>
      <c r="G151" s="6" t="s">
        <v>156</v>
      </c>
      <c r="H151" s="2" t="s">
        <v>284</v>
      </c>
      <c r="I151" s="2" t="s">
        <v>458</v>
      </c>
      <c r="J151" s="2" t="s">
        <v>19</v>
      </c>
      <c r="K151" s="2" t="s">
        <v>34</v>
      </c>
      <c r="L151" s="7" t="str">
        <f>HYPERLINK("http://slimages.macys.com/is/image/MCY/14804532 ")</f>
        <v xml:space="preserve">http://slimages.macys.com/is/image/MCY/14804532 </v>
      </c>
    </row>
    <row r="152" spans="1:12" ht="36.75" x14ac:dyDescent="0.25">
      <c r="A152" s="4" t="s">
        <v>3426</v>
      </c>
      <c r="B152" s="2" t="s">
        <v>497</v>
      </c>
      <c r="C152" s="3">
        <v>1</v>
      </c>
      <c r="D152" s="5">
        <v>43.5</v>
      </c>
      <c r="E152" s="3" t="s">
        <v>498</v>
      </c>
      <c r="F152" s="2" t="s">
        <v>64</v>
      </c>
      <c r="G152" s="6" t="s">
        <v>2456</v>
      </c>
      <c r="H152" s="2" t="s">
        <v>349</v>
      </c>
      <c r="I152" s="2" t="s">
        <v>408</v>
      </c>
      <c r="J152" s="2" t="s">
        <v>19</v>
      </c>
      <c r="K152" s="2" t="s">
        <v>500</v>
      </c>
      <c r="L152" s="7" t="str">
        <f>HYPERLINK("http://slimages.macys.com/is/image/MCY/9468308 ")</f>
        <v xml:space="preserve">http://slimages.macys.com/is/image/MCY/9468308 </v>
      </c>
    </row>
    <row r="153" spans="1:12" ht="24.75" x14ac:dyDescent="0.25">
      <c r="A153" s="4" t="s">
        <v>13837</v>
      </c>
      <c r="B153" s="2" t="s">
        <v>11827</v>
      </c>
      <c r="C153" s="3">
        <v>1</v>
      </c>
      <c r="D153" s="5">
        <v>65</v>
      </c>
      <c r="E153" s="3" t="s">
        <v>11828</v>
      </c>
      <c r="F153" s="2" t="s">
        <v>74</v>
      </c>
      <c r="G153" s="6" t="s">
        <v>22</v>
      </c>
      <c r="H153" s="2" t="s">
        <v>716</v>
      </c>
      <c r="I153" s="2" t="s">
        <v>717</v>
      </c>
      <c r="J153" s="2" t="s">
        <v>19</v>
      </c>
      <c r="K153" s="2" t="s">
        <v>495</v>
      </c>
      <c r="L153" s="7" t="str">
        <f>HYPERLINK("http://slimages.macys.com/is/image/MCY/11523570 ")</f>
        <v xml:space="preserve">http://slimages.macys.com/is/image/MCY/11523570 </v>
      </c>
    </row>
    <row r="154" spans="1:12" ht="24.75" x14ac:dyDescent="0.25">
      <c r="A154" s="4" t="s">
        <v>13838</v>
      </c>
      <c r="B154" s="2" t="s">
        <v>13839</v>
      </c>
      <c r="C154" s="3">
        <v>1</v>
      </c>
      <c r="D154" s="5">
        <v>59.5</v>
      </c>
      <c r="E154" s="3" t="s">
        <v>13840</v>
      </c>
      <c r="F154" s="2" t="s">
        <v>74</v>
      </c>
      <c r="G154" s="6"/>
      <c r="H154" s="2" t="s">
        <v>127</v>
      </c>
      <c r="I154" s="2" t="s">
        <v>128</v>
      </c>
      <c r="J154" s="2" t="s">
        <v>19</v>
      </c>
      <c r="K154" s="2" t="s">
        <v>160</v>
      </c>
      <c r="L154" s="7" t="str">
        <f>HYPERLINK("http://slimages.macys.com/is/image/MCY/13534746 ")</f>
        <v xml:space="preserve">http://slimages.macys.com/is/image/MCY/13534746 </v>
      </c>
    </row>
    <row r="155" spans="1:12" ht="24.75" x14ac:dyDescent="0.25">
      <c r="A155" s="4" t="s">
        <v>2303</v>
      </c>
      <c r="B155" s="2" t="s">
        <v>2300</v>
      </c>
      <c r="C155" s="3">
        <v>1</v>
      </c>
      <c r="D155" s="5">
        <v>44.63</v>
      </c>
      <c r="E155" s="3" t="s">
        <v>2301</v>
      </c>
      <c r="F155" s="2" t="s">
        <v>15</v>
      </c>
      <c r="G155" s="6" t="s">
        <v>154</v>
      </c>
      <c r="H155" s="2" t="s">
        <v>194</v>
      </c>
      <c r="I155" s="2" t="s">
        <v>195</v>
      </c>
      <c r="J155" s="2" t="s">
        <v>19</v>
      </c>
      <c r="K155" s="2" t="s">
        <v>2302</v>
      </c>
      <c r="L155" s="7" t="str">
        <f>HYPERLINK("http://slimages.macys.com/is/image/MCY/12668044 ")</f>
        <v xml:space="preserve">http://slimages.macys.com/is/image/MCY/12668044 </v>
      </c>
    </row>
    <row r="156" spans="1:12" ht="24.75" x14ac:dyDescent="0.25">
      <c r="A156" s="4" t="s">
        <v>13841</v>
      </c>
      <c r="B156" s="2" t="s">
        <v>13842</v>
      </c>
      <c r="C156" s="3">
        <v>1</v>
      </c>
      <c r="D156" s="5">
        <v>44.63</v>
      </c>
      <c r="E156" s="3" t="s">
        <v>13843</v>
      </c>
      <c r="F156" s="2" t="s">
        <v>74</v>
      </c>
      <c r="G156" s="6" t="s">
        <v>348</v>
      </c>
      <c r="H156" s="2" t="s">
        <v>349</v>
      </c>
      <c r="I156" s="2" t="s">
        <v>285</v>
      </c>
      <c r="J156" s="2" t="s">
        <v>19</v>
      </c>
      <c r="K156" s="2" t="s">
        <v>323</v>
      </c>
      <c r="L156" s="7" t="str">
        <f>HYPERLINK("http://slimages.macys.com/is/image/MCY/13534872 ")</f>
        <v xml:space="preserve">http://slimages.macys.com/is/image/MCY/13534872 </v>
      </c>
    </row>
    <row r="157" spans="1:12" ht="24.75" x14ac:dyDescent="0.25">
      <c r="A157" s="4" t="s">
        <v>13844</v>
      </c>
      <c r="B157" s="2" t="s">
        <v>7900</v>
      </c>
      <c r="C157" s="3">
        <v>1</v>
      </c>
      <c r="D157" s="5">
        <v>44.63</v>
      </c>
      <c r="E157" s="3" t="s">
        <v>7901</v>
      </c>
      <c r="F157" s="2" t="s">
        <v>64</v>
      </c>
      <c r="G157" s="6" t="s">
        <v>181</v>
      </c>
      <c r="H157" s="2" t="s">
        <v>246</v>
      </c>
      <c r="I157" s="2" t="s">
        <v>189</v>
      </c>
      <c r="J157" s="2" t="s">
        <v>19</v>
      </c>
      <c r="K157" s="2" t="s">
        <v>701</v>
      </c>
      <c r="L157" s="7" t="str">
        <f>HYPERLINK("http://slimages.macys.com/is/image/MCY/14356378 ")</f>
        <v xml:space="preserve">http://slimages.macys.com/is/image/MCY/14356378 </v>
      </c>
    </row>
    <row r="158" spans="1:12" ht="24.75" x14ac:dyDescent="0.25">
      <c r="A158" s="4" t="s">
        <v>13845</v>
      </c>
      <c r="B158" s="2" t="s">
        <v>7900</v>
      </c>
      <c r="C158" s="3">
        <v>1</v>
      </c>
      <c r="D158" s="5">
        <v>44.63</v>
      </c>
      <c r="E158" s="3" t="s">
        <v>7901</v>
      </c>
      <c r="F158" s="2" t="s">
        <v>26</v>
      </c>
      <c r="G158" s="6" t="s">
        <v>234</v>
      </c>
      <c r="H158" s="2" t="s">
        <v>246</v>
      </c>
      <c r="I158" s="2" t="s">
        <v>189</v>
      </c>
      <c r="J158" s="2" t="s">
        <v>19</v>
      </c>
      <c r="K158" s="2" t="s">
        <v>701</v>
      </c>
      <c r="L158" s="7" t="str">
        <f>HYPERLINK("http://slimages.macys.com/is/image/MCY/14356378 ")</f>
        <v xml:space="preserve">http://slimages.macys.com/is/image/MCY/14356378 </v>
      </c>
    </row>
    <row r="159" spans="1:12" ht="24.75" x14ac:dyDescent="0.25">
      <c r="A159" s="4" t="s">
        <v>13846</v>
      </c>
      <c r="B159" s="2" t="s">
        <v>7903</v>
      </c>
      <c r="C159" s="3">
        <v>1</v>
      </c>
      <c r="D159" s="5">
        <v>52.13</v>
      </c>
      <c r="E159" s="3" t="s">
        <v>7904</v>
      </c>
      <c r="F159" s="2" t="s">
        <v>111</v>
      </c>
      <c r="G159" s="6" t="s">
        <v>2276</v>
      </c>
      <c r="H159" s="2" t="s">
        <v>349</v>
      </c>
      <c r="I159" s="2" t="s">
        <v>285</v>
      </c>
      <c r="J159" s="2" t="s">
        <v>19</v>
      </c>
      <c r="K159" s="2" t="s">
        <v>75</v>
      </c>
      <c r="L159" s="7" t="str">
        <f>HYPERLINK("http://slimages.macys.com/is/image/MCY/13761882 ")</f>
        <v xml:space="preserve">http://slimages.macys.com/is/image/MCY/13761882 </v>
      </c>
    </row>
    <row r="160" spans="1:12" ht="24.75" x14ac:dyDescent="0.25">
      <c r="A160" s="4" t="s">
        <v>7899</v>
      </c>
      <c r="B160" s="2" t="s">
        <v>7900</v>
      </c>
      <c r="C160" s="3">
        <v>1</v>
      </c>
      <c r="D160" s="5">
        <v>44.63</v>
      </c>
      <c r="E160" s="3" t="s">
        <v>7901</v>
      </c>
      <c r="F160" s="2" t="s">
        <v>26</v>
      </c>
      <c r="G160" s="6" t="s">
        <v>181</v>
      </c>
      <c r="H160" s="2" t="s">
        <v>246</v>
      </c>
      <c r="I160" s="2" t="s">
        <v>189</v>
      </c>
      <c r="J160" s="2" t="s">
        <v>19</v>
      </c>
      <c r="K160" s="2" t="s">
        <v>701</v>
      </c>
      <c r="L160" s="7" t="str">
        <f>HYPERLINK("http://slimages.macys.com/is/image/MCY/14356378 ")</f>
        <v xml:space="preserve">http://slimages.macys.com/is/image/MCY/14356378 </v>
      </c>
    </row>
    <row r="161" spans="1:12" ht="24.75" x14ac:dyDescent="0.25">
      <c r="A161" s="4" t="s">
        <v>10539</v>
      </c>
      <c r="B161" s="2" t="s">
        <v>7900</v>
      </c>
      <c r="C161" s="3">
        <v>1</v>
      </c>
      <c r="D161" s="5">
        <v>44.63</v>
      </c>
      <c r="E161" s="3" t="s">
        <v>7901</v>
      </c>
      <c r="F161" s="2" t="s">
        <v>64</v>
      </c>
      <c r="G161" s="6" t="s">
        <v>234</v>
      </c>
      <c r="H161" s="2" t="s">
        <v>246</v>
      </c>
      <c r="I161" s="2" t="s">
        <v>189</v>
      </c>
      <c r="J161" s="2" t="s">
        <v>19</v>
      </c>
      <c r="K161" s="2" t="s">
        <v>701</v>
      </c>
      <c r="L161" s="7" t="str">
        <f>HYPERLINK("http://slimages.macys.com/is/image/MCY/14356378 ")</f>
        <v xml:space="preserve">http://slimages.macys.com/is/image/MCY/14356378 </v>
      </c>
    </row>
    <row r="162" spans="1:12" x14ac:dyDescent="0.25">
      <c r="A162" s="4" t="s">
        <v>13847</v>
      </c>
      <c r="B162" s="2" t="s">
        <v>13848</v>
      </c>
      <c r="C162" s="3">
        <v>1</v>
      </c>
      <c r="D162" s="5">
        <v>34.99</v>
      </c>
      <c r="E162" s="3">
        <v>4631201</v>
      </c>
      <c r="F162" s="2" t="s">
        <v>74</v>
      </c>
      <c r="G162" s="6" t="s">
        <v>4401</v>
      </c>
      <c r="H162" s="2" t="s">
        <v>1086</v>
      </c>
      <c r="I162" s="2" t="s">
        <v>1087</v>
      </c>
      <c r="J162" s="2" t="s">
        <v>19</v>
      </c>
      <c r="K162" s="2" t="s">
        <v>353</v>
      </c>
      <c r="L162" s="7" t="str">
        <f>HYPERLINK("http://slimages.macys.com/is/image/MCY/9997153 ")</f>
        <v xml:space="preserve">http://slimages.macys.com/is/image/MCY/9997153 </v>
      </c>
    </row>
    <row r="163" spans="1:12" ht="36.75" x14ac:dyDescent="0.25">
      <c r="A163" s="4" t="s">
        <v>2306</v>
      </c>
      <c r="B163" s="2" t="s">
        <v>519</v>
      </c>
      <c r="C163" s="3">
        <v>1</v>
      </c>
      <c r="D163" s="5">
        <v>44.63</v>
      </c>
      <c r="E163" s="3" t="s">
        <v>520</v>
      </c>
      <c r="F163" s="2" t="s">
        <v>26</v>
      </c>
      <c r="G163" s="6" t="s">
        <v>181</v>
      </c>
      <c r="H163" s="2" t="s">
        <v>194</v>
      </c>
      <c r="I163" s="2" t="s">
        <v>195</v>
      </c>
      <c r="J163" s="2" t="s">
        <v>19</v>
      </c>
      <c r="K163" s="2" t="s">
        <v>521</v>
      </c>
      <c r="L163" s="7" t="str">
        <f>HYPERLINK("http://slimages.macys.com/is/image/MCY/12279320 ")</f>
        <v xml:space="preserve">http://slimages.macys.com/is/image/MCY/12279320 </v>
      </c>
    </row>
    <row r="164" spans="1:12" ht="24.75" x14ac:dyDescent="0.25">
      <c r="A164" s="4" t="s">
        <v>13849</v>
      </c>
      <c r="B164" s="2" t="s">
        <v>13850</v>
      </c>
      <c r="C164" s="3">
        <v>1</v>
      </c>
      <c r="D164" s="5">
        <v>44.63</v>
      </c>
      <c r="E164" s="3">
        <v>100033808</v>
      </c>
      <c r="F164" s="2" t="s">
        <v>74</v>
      </c>
      <c r="G164" s="6" t="s">
        <v>181</v>
      </c>
      <c r="H164" s="2" t="s">
        <v>194</v>
      </c>
      <c r="I164" s="2" t="s">
        <v>195</v>
      </c>
      <c r="J164" s="2" t="s">
        <v>19</v>
      </c>
      <c r="K164" s="2" t="s">
        <v>13851</v>
      </c>
      <c r="L164" s="7" t="str">
        <f>HYPERLINK("http://slimages.macys.com/is/image/MCY/13905157 ")</f>
        <v xml:space="preserve">http://slimages.macys.com/is/image/MCY/13905157 </v>
      </c>
    </row>
    <row r="165" spans="1:12" ht="24.75" x14ac:dyDescent="0.25">
      <c r="A165" s="4" t="s">
        <v>13852</v>
      </c>
      <c r="B165" s="2" t="s">
        <v>13853</v>
      </c>
      <c r="C165" s="3">
        <v>1</v>
      </c>
      <c r="D165" s="5">
        <v>48.38</v>
      </c>
      <c r="E165" s="3" t="s">
        <v>13854</v>
      </c>
      <c r="F165" s="2" t="s">
        <v>74</v>
      </c>
      <c r="G165" s="6" t="s">
        <v>154</v>
      </c>
      <c r="H165" s="2" t="s">
        <v>246</v>
      </c>
      <c r="I165" s="2" t="s">
        <v>189</v>
      </c>
      <c r="J165" s="2" t="s">
        <v>19</v>
      </c>
      <c r="K165" s="2" t="s">
        <v>34</v>
      </c>
      <c r="L165" s="7" t="str">
        <f>HYPERLINK("http://slimages.macys.com/is/image/MCY/11746520 ")</f>
        <v xml:space="preserve">http://slimages.macys.com/is/image/MCY/11746520 </v>
      </c>
    </row>
    <row r="166" spans="1:12" x14ac:dyDescent="0.25">
      <c r="A166" s="4" t="s">
        <v>13855</v>
      </c>
      <c r="B166" s="2" t="s">
        <v>8959</v>
      </c>
      <c r="C166" s="3">
        <v>1</v>
      </c>
      <c r="D166" s="5">
        <v>59.5</v>
      </c>
      <c r="E166" s="3">
        <v>100061335</v>
      </c>
      <c r="F166" s="2" t="s">
        <v>64</v>
      </c>
      <c r="G166" s="6" t="s">
        <v>141</v>
      </c>
      <c r="H166" s="2" t="s">
        <v>386</v>
      </c>
      <c r="I166" s="2" t="s">
        <v>207</v>
      </c>
      <c r="J166" s="2" t="s">
        <v>19</v>
      </c>
      <c r="K166" s="2" t="s">
        <v>353</v>
      </c>
      <c r="L166" s="7" t="str">
        <f>HYPERLINK("http://slimages.macys.com/is/image/MCY/12792778 ")</f>
        <v xml:space="preserve">http://slimages.macys.com/is/image/MCY/12792778 </v>
      </c>
    </row>
    <row r="167" spans="1:12" ht="24.75" x14ac:dyDescent="0.25">
      <c r="A167" s="4" t="s">
        <v>13856</v>
      </c>
      <c r="B167" s="2" t="s">
        <v>2313</v>
      </c>
      <c r="C167" s="3">
        <v>1</v>
      </c>
      <c r="D167" s="5">
        <v>51.5</v>
      </c>
      <c r="E167" s="3" t="s">
        <v>2314</v>
      </c>
      <c r="F167" s="2" t="s">
        <v>376</v>
      </c>
      <c r="G167" s="6" t="s">
        <v>16</v>
      </c>
      <c r="H167" s="2" t="s">
        <v>246</v>
      </c>
      <c r="I167" s="2" t="s">
        <v>487</v>
      </c>
      <c r="J167" s="2" t="s">
        <v>19</v>
      </c>
      <c r="K167" s="2" t="s">
        <v>409</v>
      </c>
      <c r="L167" s="7" t="str">
        <f>HYPERLINK("http://slimages.macys.com/is/image/MCY/11806897 ")</f>
        <v xml:space="preserve">http://slimages.macys.com/is/image/MCY/11806897 </v>
      </c>
    </row>
    <row r="168" spans="1:12" ht="24.75" x14ac:dyDescent="0.25">
      <c r="A168" s="4" t="s">
        <v>13857</v>
      </c>
      <c r="B168" s="2" t="s">
        <v>13858</v>
      </c>
      <c r="C168" s="3">
        <v>1</v>
      </c>
      <c r="D168" s="5">
        <v>40.880000000000003</v>
      </c>
      <c r="E168" s="3" t="s">
        <v>13859</v>
      </c>
      <c r="F168" s="2" t="s">
        <v>74</v>
      </c>
      <c r="G168" s="6" t="s">
        <v>156</v>
      </c>
      <c r="H168" s="2" t="s">
        <v>284</v>
      </c>
      <c r="I168" s="2" t="s">
        <v>285</v>
      </c>
      <c r="J168" s="2" t="s">
        <v>19</v>
      </c>
      <c r="K168" s="2" t="s">
        <v>160</v>
      </c>
      <c r="L168" s="7" t="str">
        <f>HYPERLINK("http://slimages.macys.com/is/image/MCY/10179373 ")</f>
        <v xml:space="preserve">http://slimages.macys.com/is/image/MCY/10179373 </v>
      </c>
    </row>
    <row r="169" spans="1:12" ht="36.75" x14ac:dyDescent="0.25">
      <c r="A169" s="4" t="s">
        <v>13860</v>
      </c>
      <c r="B169" s="2" t="s">
        <v>13861</v>
      </c>
      <c r="C169" s="3">
        <v>1</v>
      </c>
      <c r="D169" s="5">
        <v>44.63</v>
      </c>
      <c r="E169" s="3" t="s">
        <v>13862</v>
      </c>
      <c r="F169" s="2" t="s">
        <v>89</v>
      </c>
      <c r="G169" s="6" t="s">
        <v>16</v>
      </c>
      <c r="H169" s="2" t="s">
        <v>246</v>
      </c>
      <c r="I169" s="2" t="s">
        <v>487</v>
      </c>
      <c r="J169" s="2" t="s">
        <v>19</v>
      </c>
      <c r="K169" s="2" t="s">
        <v>500</v>
      </c>
      <c r="L169" s="7" t="str">
        <f>HYPERLINK("http://slimages.macys.com/is/image/MCY/12326792 ")</f>
        <v xml:space="preserve">http://slimages.macys.com/is/image/MCY/12326792 </v>
      </c>
    </row>
    <row r="170" spans="1:12" ht="36.75" x14ac:dyDescent="0.25">
      <c r="A170" s="4" t="s">
        <v>13863</v>
      </c>
      <c r="B170" s="2" t="s">
        <v>13861</v>
      </c>
      <c r="C170" s="3">
        <v>1</v>
      </c>
      <c r="D170" s="5">
        <v>44.63</v>
      </c>
      <c r="E170" s="3" t="s">
        <v>13862</v>
      </c>
      <c r="F170" s="2" t="s">
        <v>89</v>
      </c>
      <c r="G170" s="6" t="s">
        <v>27</v>
      </c>
      <c r="H170" s="2" t="s">
        <v>246</v>
      </c>
      <c r="I170" s="2" t="s">
        <v>487</v>
      </c>
      <c r="J170" s="2" t="s">
        <v>19</v>
      </c>
      <c r="K170" s="2" t="s">
        <v>500</v>
      </c>
      <c r="L170" s="7" t="str">
        <f>HYPERLINK("http://slimages.macys.com/is/image/MCY/12326792 ")</f>
        <v xml:space="preserve">http://slimages.macys.com/is/image/MCY/12326792 </v>
      </c>
    </row>
    <row r="171" spans="1:12" ht="24.75" x14ac:dyDescent="0.25">
      <c r="A171" s="4" t="s">
        <v>13864</v>
      </c>
      <c r="B171" s="2" t="s">
        <v>4610</v>
      </c>
      <c r="C171" s="3">
        <v>1</v>
      </c>
      <c r="D171" s="5">
        <v>69.5</v>
      </c>
      <c r="E171" s="3">
        <v>100061566</v>
      </c>
      <c r="F171" s="2" t="s">
        <v>74</v>
      </c>
      <c r="G171" s="6" t="s">
        <v>16</v>
      </c>
      <c r="H171" s="2" t="s">
        <v>386</v>
      </c>
      <c r="I171" s="2" t="s">
        <v>207</v>
      </c>
      <c r="J171" s="2" t="s">
        <v>19</v>
      </c>
      <c r="K171" s="2" t="s">
        <v>338</v>
      </c>
      <c r="L171" s="7" t="str">
        <f>HYPERLINK("http://slimages.macys.com/is/image/MCY/11943173 ")</f>
        <v xml:space="preserve">http://slimages.macys.com/is/image/MCY/11943173 </v>
      </c>
    </row>
    <row r="172" spans="1:12" ht="48.75" x14ac:dyDescent="0.25">
      <c r="A172" s="4" t="s">
        <v>550</v>
      </c>
      <c r="B172" s="2" t="s">
        <v>551</v>
      </c>
      <c r="C172" s="3">
        <v>2</v>
      </c>
      <c r="D172" s="5">
        <v>48</v>
      </c>
      <c r="E172" s="3">
        <v>100053418</v>
      </c>
      <c r="F172" s="2" t="s">
        <v>26</v>
      </c>
      <c r="G172" s="6" t="s">
        <v>154</v>
      </c>
      <c r="H172" s="2" t="s">
        <v>228</v>
      </c>
      <c r="I172" s="2" t="s">
        <v>229</v>
      </c>
      <c r="J172" s="2" t="s">
        <v>19</v>
      </c>
      <c r="K172" s="2" t="s">
        <v>552</v>
      </c>
      <c r="L172" s="7" t="str">
        <f>HYPERLINK("http://slimages.macys.com/is/image/MCY/12158587 ")</f>
        <v xml:space="preserve">http://slimages.macys.com/is/image/MCY/12158587 </v>
      </c>
    </row>
    <row r="173" spans="1:12" ht="24.75" x14ac:dyDescent="0.25">
      <c r="A173" s="4" t="s">
        <v>10552</v>
      </c>
      <c r="B173" s="2">
        <v>10046</v>
      </c>
      <c r="C173" s="3">
        <v>3</v>
      </c>
      <c r="D173" s="5">
        <v>69.5</v>
      </c>
      <c r="E173" s="3">
        <v>100055242</v>
      </c>
      <c r="F173" s="2" t="s">
        <v>64</v>
      </c>
      <c r="G173" s="6" t="s">
        <v>39</v>
      </c>
      <c r="H173" s="2" t="s">
        <v>386</v>
      </c>
      <c r="I173" s="2" t="s">
        <v>337</v>
      </c>
      <c r="J173" s="2" t="s">
        <v>19</v>
      </c>
      <c r="K173" s="2" t="s">
        <v>387</v>
      </c>
      <c r="L173" s="7" t="str">
        <f>HYPERLINK("http://slimages.macys.com/is/image/MCY/11535562 ")</f>
        <v xml:space="preserve">http://slimages.macys.com/is/image/MCY/11535562 </v>
      </c>
    </row>
    <row r="174" spans="1:12" ht="24.75" x14ac:dyDescent="0.25">
      <c r="A174" s="4" t="s">
        <v>13865</v>
      </c>
      <c r="B174" s="2" t="s">
        <v>564</v>
      </c>
      <c r="C174" s="3">
        <v>1</v>
      </c>
      <c r="D174" s="5">
        <v>40.880000000000003</v>
      </c>
      <c r="E174" s="3" t="s">
        <v>565</v>
      </c>
      <c r="F174" s="2" t="s">
        <v>413</v>
      </c>
      <c r="G174" s="6" t="s">
        <v>200</v>
      </c>
      <c r="H174" s="2" t="s">
        <v>194</v>
      </c>
      <c r="I174" s="2" t="s">
        <v>195</v>
      </c>
      <c r="J174" s="2" t="s">
        <v>19</v>
      </c>
      <c r="K174" s="2" t="s">
        <v>567</v>
      </c>
      <c r="L174" s="7" t="str">
        <f>HYPERLINK("http://slimages.macys.com/is/image/MCY/12064036 ")</f>
        <v xml:space="preserve">http://slimages.macys.com/is/image/MCY/12064036 </v>
      </c>
    </row>
    <row r="175" spans="1:12" ht="36.75" x14ac:dyDescent="0.25">
      <c r="A175" s="4" t="s">
        <v>10557</v>
      </c>
      <c r="B175" s="2" t="s">
        <v>10554</v>
      </c>
      <c r="C175" s="3">
        <v>1</v>
      </c>
      <c r="D175" s="5">
        <v>40.880000000000003</v>
      </c>
      <c r="E175" s="3" t="s">
        <v>10555</v>
      </c>
      <c r="F175" s="2" t="s">
        <v>331</v>
      </c>
      <c r="G175" s="6" t="s">
        <v>154</v>
      </c>
      <c r="H175" s="2" t="s">
        <v>194</v>
      </c>
      <c r="I175" s="2" t="s">
        <v>1398</v>
      </c>
      <c r="J175" s="2" t="s">
        <v>19</v>
      </c>
      <c r="K175" s="2" t="s">
        <v>10556</v>
      </c>
      <c r="L175" s="7" t="str">
        <f>HYPERLINK("http://slimages.macys.com/is/image/MCY/13368002 ")</f>
        <v xml:space="preserve">http://slimages.macys.com/is/image/MCY/13368002 </v>
      </c>
    </row>
    <row r="176" spans="1:12" ht="24.75" x14ac:dyDescent="0.25">
      <c r="A176" s="4" t="s">
        <v>13866</v>
      </c>
      <c r="B176" s="2" t="s">
        <v>570</v>
      </c>
      <c r="C176" s="3">
        <v>1</v>
      </c>
      <c r="D176" s="5">
        <v>40.880000000000003</v>
      </c>
      <c r="E176" s="3" t="s">
        <v>571</v>
      </c>
      <c r="F176" s="2" t="s">
        <v>680</v>
      </c>
      <c r="G176" s="6" t="s">
        <v>106</v>
      </c>
      <c r="H176" s="2" t="s">
        <v>246</v>
      </c>
      <c r="I176" s="2" t="s">
        <v>525</v>
      </c>
      <c r="J176" s="2" t="s">
        <v>19</v>
      </c>
      <c r="K176" s="2" t="s">
        <v>338</v>
      </c>
      <c r="L176" s="7" t="str">
        <f>HYPERLINK("http://slimages.macys.com/is/image/MCY/11746434 ")</f>
        <v xml:space="preserve">http://slimages.macys.com/is/image/MCY/11746434 </v>
      </c>
    </row>
    <row r="177" spans="1:12" ht="24.75" x14ac:dyDescent="0.25">
      <c r="A177" s="4" t="s">
        <v>588</v>
      </c>
      <c r="B177" s="2" t="s">
        <v>570</v>
      </c>
      <c r="C177" s="3">
        <v>1</v>
      </c>
      <c r="D177" s="5">
        <v>40.880000000000003</v>
      </c>
      <c r="E177" s="3" t="s">
        <v>571</v>
      </c>
      <c r="F177" s="2" t="s">
        <v>572</v>
      </c>
      <c r="G177" s="6" t="s">
        <v>58</v>
      </c>
      <c r="H177" s="2" t="s">
        <v>246</v>
      </c>
      <c r="I177" s="2" t="s">
        <v>525</v>
      </c>
      <c r="J177" s="2" t="s">
        <v>19</v>
      </c>
      <c r="K177" s="2" t="s">
        <v>338</v>
      </c>
      <c r="L177" s="7" t="str">
        <f>HYPERLINK("http://slimages.macys.com/is/image/MCY/11746434 ")</f>
        <v xml:space="preserve">http://slimages.macys.com/is/image/MCY/11746434 </v>
      </c>
    </row>
    <row r="178" spans="1:12" ht="24.75" x14ac:dyDescent="0.25">
      <c r="A178" s="4" t="s">
        <v>13867</v>
      </c>
      <c r="B178" s="2" t="s">
        <v>570</v>
      </c>
      <c r="C178" s="3">
        <v>1</v>
      </c>
      <c r="D178" s="5">
        <v>40.880000000000003</v>
      </c>
      <c r="E178" s="3" t="s">
        <v>571</v>
      </c>
      <c r="F178" s="2" t="s">
        <v>74</v>
      </c>
      <c r="G178" s="6" t="s">
        <v>16</v>
      </c>
      <c r="H178" s="2" t="s">
        <v>246</v>
      </c>
      <c r="I178" s="2" t="s">
        <v>525</v>
      </c>
      <c r="J178" s="2" t="s">
        <v>19</v>
      </c>
      <c r="K178" s="2" t="s">
        <v>338</v>
      </c>
      <c r="L178" s="7" t="str">
        <f>HYPERLINK("http://slimages.macys.com/is/image/MCY/11746434 ")</f>
        <v xml:space="preserve">http://slimages.macys.com/is/image/MCY/11746434 </v>
      </c>
    </row>
    <row r="179" spans="1:12" ht="24.75" x14ac:dyDescent="0.25">
      <c r="A179" s="4" t="s">
        <v>13868</v>
      </c>
      <c r="B179" s="2" t="s">
        <v>592</v>
      </c>
      <c r="C179" s="3">
        <v>1</v>
      </c>
      <c r="D179" s="5">
        <v>44.63</v>
      </c>
      <c r="E179" s="3" t="s">
        <v>593</v>
      </c>
      <c r="F179" s="2" t="s">
        <v>15</v>
      </c>
      <c r="G179" s="6" t="s">
        <v>112</v>
      </c>
      <c r="H179" s="2" t="s">
        <v>213</v>
      </c>
      <c r="I179" s="2" t="s">
        <v>214</v>
      </c>
      <c r="J179" s="2" t="s">
        <v>19</v>
      </c>
      <c r="K179" s="2" t="s">
        <v>253</v>
      </c>
      <c r="L179" s="7" t="str">
        <f>HYPERLINK("http://slimages.macys.com/is/image/MCY/12773239 ")</f>
        <v xml:space="preserve">http://slimages.macys.com/is/image/MCY/12773239 </v>
      </c>
    </row>
    <row r="180" spans="1:12" ht="24.75" x14ac:dyDescent="0.25">
      <c r="A180" s="4" t="s">
        <v>13869</v>
      </c>
      <c r="B180" s="2" t="s">
        <v>592</v>
      </c>
      <c r="C180" s="3">
        <v>1</v>
      </c>
      <c r="D180" s="5">
        <v>44.63</v>
      </c>
      <c r="E180" s="3" t="s">
        <v>593</v>
      </c>
      <c r="F180" s="2" t="s">
        <v>15</v>
      </c>
      <c r="G180" s="6" t="s">
        <v>27</v>
      </c>
      <c r="H180" s="2" t="s">
        <v>213</v>
      </c>
      <c r="I180" s="2" t="s">
        <v>214</v>
      </c>
      <c r="J180" s="2" t="s">
        <v>19</v>
      </c>
      <c r="K180" s="2" t="s">
        <v>253</v>
      </c>
      <c r="L180" s="7" t="str">
        <f>HYPERLINK("http://slimages.macys.com/is/image/MCY/12773239 ")</f>
        <v xml:space="preserve">http://slimages.macys.com/is/image/MCY/12773239 </v>
      </c>
    </row>
    <row r="181" spans="1:12" ht="24.75" x14ac:dyDescent="0.25">
      <c r="A181" s="4" t="s">
        <v>13870</v>
      </c>
      <c r="B181" s="2" t="s">
        <v>592</v>
      </c>
      <c r="C181" s="3">
        <v>1</v>
      </c>
      <c r="D181" s="5">
        <v>44.63</v>
      </c>
      <c r="E181" s="3" t="s">
        <v>593</v>
      </c>
      <c r="F181" s="2" t="s">
        <v>15</v>
      </c>
      <c r="G181" s="6" t="s">
        <v>106</v>
      </c>
      <c r="H181" s="2" t="s">
        <v>213</v>
      </c>
      <c r="I181" s="2" t="s">
        <v>214</v>
      </c>
      <c r="J181" s="2" t="s">
        <v>19</v>
      </c>
      <c r="K181" s="2" t="s">
        <v>253</v>
      </c>
      <c r="L181" s="7" t="str">
        <f>HYPERLINK("http://slimages.macys.com/is/image/MCY/12773239 ")</f>
        <v xml:space="preserve">http://slimages.macys.com/is/image/MCY/12773239 </v>
      </c>
    </row>
    <row r="182" spans="1:12" ht="24.75" x14ac:dyDescent="0.25">
      <c r="A182" s="4" t="s">
        <v>591</v>
      </c>
      <c r="B182" s="2" t="s">
        <v>592</v>
      </c>
      <c r="C182" s="3">
        <v>1</v>
      </c>
      <c r="D182" s="5">
        <v>44.63</v>
      </c>
      <c r="E182" s="3" t="s">
        <v>593</v>
      </c>
      <c r="F182" s="2" t="s">
        <v>15</v>
      </c>
      <c r="G182" s="6" t="s">
        <v>141</v>
      </c>
      <c r="H182" s="2" t="s">
        <v>213</v>
      </c>
      <c r="I182" s="2" t="s">
        <v>214</v>
      </c>
      <c r="J182" s="2" t="s">
        <v>19</v>
      </c>
      <c r="K182" s="2" t="s">
        <v>253</v>
      </c>
      <c r="L182" s="7" t="str">
        <f>HYPERLINK("http://slimages.macys.com/is/image/MCY/12773239 ")</f>
        <v xml:space="preserve">http://slimages.macys.com/is/image/MCY/12773239 </v>
      </c>
    </row>
    <row r="183" spans="1:12" ht="24.75" x14ac:dyDescent="0.25">
      <c r="A183" s="4" t="s">
        <v>13871</v>
      </c>
      <c r="B183" s="2" t="s">
        <v>13872</v>
      </c>
      <c r="C183" s="3">
        <v>1</v>
      </c>
      <c r="D183" s="5">
        <v>59.5</v>
      </c>
      <c r="E183" s="3" t="s">
        <v>13873</v>
      </c>
      <c r="F183" s="2" t="s">
        <v>164</v>
      </c>
      <c r="G183" s="6"/>
      <c r="H183" s="2" t="s">
        <v>127</v>
      </c>
      <c r="I183" s="2" t="s">
        <v>128</v>
      </c>
      <c r="J183" s="2" t="s">
        <v>19</v>
      </c>
      <c r="K183" s="2" t="s">
        <v>160</v>
      </c>
      <c r="L183" s="7" t="str">
        <f>HYPERLINK("http://slimages.macys.com/is/image/MCY/13758897 ")</f>
        <v xml:space="preserve">http://slimages.macys.com/is/image/MCY/13758897 </v>
      </c>
    </row>
    <row r="184" spans="1:12" ht="48.75" x14ac:dyDescent="0.25">
      <c r="A184" s="4" t="s">
        <v>602</v>
      </c>
      <c r="B184" s="2" t="s">
        <v>599</v>
      </c>
      <c r="C184" s="3">
        <v>1</v>
      </c>
      <c r="D184" s="5">
        <v>37.130000000000003</v>
      </c>
      <c r="E184" s="3" t="s">
        <v>600</v>
      </c>
      <c r="F184" s="2" t="s">
        <v>15</v>
      </c>
      <c r="G184" s="6" t="s">
        <v>181</v>
      </c>
      <c r="H184" s="2" t="s">
        <v>194</v>
      </c>
      <c r="I184" s="2" t="s">
        <v>195</v>
      </c>
      <c r="J184" s="2" t="s">
        <v>19</v>
      </c>
      <c r="K184" s="2" t="s">
        <v>601</v>
      </c>
      <c r="L184" s="7" t="str">
        <f>HYPERLINK("http://slimages.macys.com/is/image/MCY/12734338 ")</f>
        <v xml:space="preserve">http://slimages.macys.com/is/image/MCY/12734338 </v>
      </c>
    </row>
    <row r="185" spans="1:12" ht="36.75" x14ac:dyDescent="0.25">
      <c r="A185" s="4" t="s">
        <v>7180</v>
      </c>
      <c r="B185" s="2" t="s">
        <v>4602</v>
      </c>
      <c r="C185" s="3">
        <v>1</v>
      </c>
      <c r="D185" s="5">
        <v>69.5</v>
      </c>
      <c r="E185" s="3">
        <v>100052087</v>
      </c>
      <c r="F185" s="2" t="s">
        <v>64</v>
      </c>
      <c r="G185" s="6" t="s">
        <v>141</v>
      </c>
      <c r="H185" s="2" t="s">
        <v>386</v>
      </c>
      <c r="I185" s="2" t="s">
        <v>337</v>
      </c>
      <c r="J185" s="2" t="s">
        <v>19</v>
      </c>
      <c r="K185" s="2" t="s">
        <v>4603</v>
      </c>
      <c r="L185" s="7" t="str">
        <f>HYPERLINK("http://slimages.macys.com/is/image/MCY/11647055 ")</f>
        <v xml:space="preserve">http://slimages.macys.com/is/image/MCY/11647055 </v>
      </c>
    </row>
    <row r="186" spans="1:12" ht="24.75" x14ac:dyDescent="0.25">
      <c r="A186" s="4" t="s">
        <v>4604</v>
      </c>
      <c r="B186" s="2" t="s">
        <v>609</v>
      </c>
      <c r="C186" s="3">
        <v>2</v>
      </c>
      <c r="D186" s="5">
        <v>44.63</v>
      </c>
      <c r="E186" s="3">
        <v>100015690</v>
      </c>
      <c r="F186" s="2" t="s">
        <v>74</v>
      </c>
      <c r="G186" s="6" t="s">
        <v>154</v>
      </c>
      <c r="H186" s="2" t="s">
        <v>194</v>
      </c>
      <c r="I186" s="2" t="s">
        <v>195</v>
      </c>
      <c r="J186" s="2" t="s">
        <v>19</v>
      </c>
      <c r="K186" s="2" t="s">
        <v>610</v>
      </c>
      <c r="L186" s="7" t="str">
        <f>HYPERLINK("http://slimages.macys.com/is/image/MCY/9508600 ")</f>
        <v xml:space="preserve">http://slimages.macys.com/is/image/MCY/9508600 </v>
      </c>
    </row>
    <row r="187" spans="1:12" ht="24.75" x14ac:dyDescent="0.25">
      <c r="A187" s="4" t="s">
        <v>608</v>
      </c>
      <c r="B187" s="2" t="s">
        <v>609</v>
      </c>
      <c r="C187" s="3">
        <v>1</v>
      </c>
      <c r="D187" s="5">
        <v>44.63</v>
      </c>
      <c r="E187" s="3">
        <v>100015690</v>
      </c>
      <c r="F187" s="2" t="s">
        <v>74</v>
      </c>
      <c r="G187" s="6" t="s">
        <v>156</v>
      </c>
      <c r="H187" s="2" t="s">
        <v>194</v>
      </c>
      <c r="I187" s="2" t="s">
        <v>195</v>
      </c>
      <c r="J187" s="2" t="s">
        <v>19</v>
      </c>
      <c r="K187" s="2" t="s">
        <v>610</v>
      </c>
      <c r="L187" s="7" t="str">
        <f>HYPERLINK("http://slimages.macys.com/is/image/MCY/9508600 ")</f>
        <v xml:space="preserve">http://slimages.macys.com/is/image/MCY/9508600 </v>
      </c>
    </row>
    <row r="188" spans="1:12" ht="36.75" x14ac:dyDescent="0.25">
      <c r="A188" s="4" t="s">
        <v>13874</v>
      </c>
      <c r="B188" s="2" t="s">
        <v>614</v>
      </c>
      <c r="C188" s="3">
        <v>1</v>
      </c>
      <c r="D188" s="5">
        <v>40.880000000000003</v>
      </c>
      <c r="E188" s="3" t="s">
        <v>615</v>
      </c>
      <c r="F188" s="2" t="s">
        <v>74</v>
      </c>
      <c r="G188" s="6" t="s">
        <v>181</v>
      </c>
      <c r="H188" s="2" t="s">
        <v>284</v>
      </c>
      <c r="I188" s="2" t="s">
        <v>408</v>
      </c>
      <c r="J188" s="2" t="s">
        <v>19</v>
      </c>
      <c r="K188" s="2" t="s">
        <v>500</v>
      </c>
      <c r="L188" s="7" t="str">
        <f>HYPERLINK("http://slimages.macys.com/is/image/MCY/12672193 ")</f>
        <v xml:space="preserve">http://slimages.macys.com/is/image/MCY/12672193 </v>
      </c>
    </row>
    <row r="189" spans="1:12" ht="24.75" x14ac:dyDescent="0.25">
      <c r="A189" s="4" t="s">
        <v>13875</v>
      </c>
      <c r="B189" s="2" t="s">
        <v>8974</v>
      </c>
      <c r="C189" s="3">
        <v>1</v>
      </c>
      <c r="D189" s="5">
        <v>59.5</v>
      </c>
      <c r="E189" s="3">
        <v>100060501</v>
      </c>
      <c r="F189" s="2" t="s">
        <v>64</v>
      </c>
      <c r="G189" s="6" t="s">
        <v>39</v>
      </c>
      <c r="H189" s="2" t="s">
        <v>386</v>
      </c>
      <c r="I189" s="2" t="s">
        <v>207</v>
      </c>
      <c r="J189" s="2" t="s">
        <v>19</v>
      </c>
      <c r="K189" s="2" t="s">
        <v>8975</v>
      </c>
      <c r="L189" s="7" t="str">
        <f>HYPERLINK("http://slimages.macys.com/is/image/MCY/12953426 ")</f>
        <v xml:space="preserve">http://slimages.macys.com/is/image/MCY/12953426 </v>
      </c>
    </row>
    <row r="190" spans="1:12" ht="24.75" x14ac:dyDescent="0.25">
      <c r="A190" s="4" t="s">
        <v>13876</v>
      </c>
      <c r="B190" s="2" t="s">
        <v>626</v>
      </c>
      <c r="C190" s="3">
        <v>1</v>
      </c>
      <c r="D190" s="5">
        <v>40.880000000000003</v>
      </c>
      <c r="E190" s="3" t="s">
        <v>627</v>
      </c>
      <c r="F190" s="2" t="s">
        <v>1322</v>
      </c>
      <c r="G190" s="6" t="s">
        <v>65</v>
      </c>
      <c r="H190" s="2" t="s">
        <v>246</v>
      </c>
      <c r="I190" s="2" t="s">
        <v>525</v>
      </c>
      <c r="J190" s="2" t="s">
        <v>19</v>
      </c>
      <c r="K190" s="2" t="s">
        <v>628</v>
      </c>
      <c r="L190" s="7" t="str">
        <f>HYPERLINK("http://slimages.macys.com/is/image/MCY/11620905 ")</f>
        <v xml:space="preserve">http://slimages.macys.com/is/image/MCY/11620905 </v>
      </c>
    </row>
    <row r="191" spans="1:12" ht="24.75" x14ac:dyDescent="0.25">
      <c r="A191" s="4" t="s">
        <v>13877</v>
      </c>
      <c r="B191" s="2" t="s">
        <v>10585</v>
      </c>
      <c r="C191" s="3">
        <v>1</v>
      </c>
      <c r="D191" s="5">
        <v>44.63</v>
      </c>
      <c r="E191" s="3" t="s">
        <v>10586</v>
      </c>
      <c r="F191" s="2" t="s">
        <v>48</v>
      </c>
      <c r="G191" s="6" t="s">
        <v>245</v>
      </c>
      <c r="H191" s="2" t="s">
        <v>194</v>
      </c>
      <c r="I191" s="2" t="s">
        <v>195</v>
      </c>
      <c r="J191" s="2" t="s">
        <v>19</v>
      </c>
      <c r="K191" s="2" t="s">
        <v>648</v>
      </c>
      <c r="L191" s="7" t="str">
        <f>HYPERLINK("http://slimages.macys.com/is/image/MCY/13120803 ")</f>
        <v xml:space="preserve">http://slimages.macys.com/is/image/MCY/13120803 </v>
      </c>
    </row>
    <row r="192" spans="1:12" ht="24.75" x14ac:dyDescent="0.25">
      <c r="A192" s="4" t="s">
        <v>10588</v>
      </c>
      <c r="B192" s="2" t="s">
        <v>10585</v>
      </c>
      <c r="C192" s="3">
        <v>1</v>
      </c>
      <c r="D192" s="5">
        <v>44.63</v>
      </c>
      <c r="E192" s="3" t="s">
        <v>10586</v>
      </c>
      <c r="F192" s="2" t="s">
        <v>48</v>
      </c>
      <c r="G192" s="6" t="s">
        <v>156</v>
      </c>
      <c r="H192" s="2" t="s">
        <v>194</v>
      </c>
      <c r="I192" s="2" t="s">
        <v>195</v>
      </c>
      <c r="J192" s="2" t="s">
        <v>19</v>
      </c>
      <c r="K192" s="2" t="s">
        <v>648</v>
      </c>
      <c r="L192" s="7" t="str">
        <f>HYPERLINK("http://slimages.macys.com/is/image/MCY/13120803 ")</f>
        <v xml:space="preserve">http://slimages.macys.com/is/image/MCY/13120803 </v>
      </c>
    </row>
    <row r="193" spans="1:12" ht="24.75" x14ac:dyDescent="0.25">
      <c r="A193" s="4" t="s">
        <v>10587</v>
      </c>
      <c r="B193" s="2" t="s">
        <v>10585</v>
      </c>
      <c r="C193" s="3">
        <v>1</v>
      </c>
      <c r="D193" s="5">
        <v>44.63</v>
      </c>
      <c r="E193" s="3" t="s">
        <v>10586</v>
      </c>
      <c r="F193" s="2" t="s">
        <v>48</v>
      </c>
      <c r="G193" s="6" t="s">
        <v>181</v>
      </c>
      <c r="H193" s="2" t="s">
        <v>194</v>
      </c>
      <c r="I193" s="2" t="s">
        <v>195</v>
      </c>
      <c r="J193" s="2" t="s">
        <v>19</v>
      </c>
      <c r="K193" s="2" t="s">
        <v>648</v>
      </c>
      <c r="L193" s="7" t="str">
        <f>HYPERLINK("http://slimages.macys.com/is/image/MCY/13120803 ")</f>
        <v xml:space="preserve">http://slimages.macys.com/is/image/MCY/13120803 </v>
      </c>
    </row>
    <row r="194" spans="1:12" ht="24.75" x14ac:dyDescent="0.25">
      <c r="A194" s="4" t="s">
        <v>13878</v>
      </c>
      <c r="B194" s="2" t="s">
        <v>13879</v>
      </c>
      <c r="C194" s="3">
        <v>1</v>
      </c>
      <c r="D194" s="5">
        <v>59.5</v>
      </c>
      <c r="E194" s="3" t="s">
        <v>13880</v>
      </c>
      <c r="F194" s="2" t="s">
        <v>74</v>
      </c>
      <c r="G194" s="6" t="s">
        <v>126</v>
      </c>
      <c r="H194" s="2" t="s">
        <v>206</v>
      </c>
      <c r="I194" s="2" t="s">
        <v>207</v>
      </c>
      <c r="J194" s="2" t="s">
        <v>19</v>
      </c>
      <c r="K194" s="2" t="s">
        <v>409</v>
      </c>
      <c r="L194" s="7" t="str">
        <f>HYPERLINK("http://slimages.macys.com/is/image/MCY/9126550 ")</f>
        <v xml:space="preserve">http://slimages.macys.com/is/image/MCY/9126550 </v>
      </c>
    </row>
    <row r="195" spans="1:12" ht="24.75" x14ac:dyDescent="0.25">
      <c r="A195" s="4" t="s">
        <v>13881</v>
      </c>
      <c r="B195" s="2" t="s">
        <v>13882</v>
      </c>
      <c r="C195" s="3">
        <v>1</v>
      </c>
      <c r="D195" s="5">
        <v>44.63</v>
      </c>
      <c r="E195" s="3" t="s">
        <v>13883</v>
      </c>
      <c r="F195" s="2" t="s">
        <v>74</v>
      </c>
      <c r="G195" s="6" t="s">
        <v>8129</v>
      </c>
      <c r="H195" s="2" t="s">
        <v>188</v>
      </c>
      <c r="I195" s="2" t="s">
        <v>214</v>
      </c>
      <c r="J195" s="2" t="s">
        <v>19</v>
      </c>
      <c r="K195" s="2" t="s">
        <v>253</v>
      </c>
      <c r="L195" s="7" t="str">
        <f>HYPERLINK("http://slimages.macys.com/is/image/MCY/9910745 ")</f>
        <v xml:space="preserve">http://slimages.macys.com/is/image/MCY/9910745 </v>
      </c>
    </row>
    <row r="196" spans="1:12" ht="24.75" x14ac:dyDescent="0.25">
      <c r="A196" s="4" t="s">
        <v>13884</v>
      </c>
      <c r="B196" s="2" t="s">
        <v>13885</v>
      </c>
      <c r="C196" s="3">
        <v>1</v>
      </c>
      <c r="D196" s="5">
        <v>59.5</v>
      </c>
      <c r="E196" s="3" t="s">
        <v>13886</v>
      </c>
      <c r="F196" s="2" t="s">
        <v>15</v>
      </c>
      <c r="G196" s="6" t="s">
        <v>187</v>
      </c>
      <c r="H196" s="2" t="s">
        <v>127</v>
      </c>
      <c r="I196" s="2" t="s">
        <v>128</v>
      </c>
      <c r="J196" s="2" t="s">
        <v>19</v>
      </c>
      <c r="K196" s="2" t="s">
        <v>160</v>
      </c>
      <c r="L196" s="7" t="str">
        <f>HYPERLINK("http://slimages.macys.com/is/image/MCY/14608181 ")</f>
        <v xml:space="preserve">http://slimages.macys.com/is/image/MCY/14608181 </v>
      </c>
    </row>
    <row r="197" spans="1:12" ht="24.75" x14ac:dyDescent="0.25">
      <c r="A197" s="4" t="s">
        <v>13887</v>
      </c>
      <c r="B197" s="2" t="s">
        <v>13888</v>
      </c>
      <c r="C197" s="3">
        <v>1</v>
      </c>
      <c r="D197" s="5">
        <v>40.880000000000003</v>
      </c>
      <c r="E197" s="3" t="s">
        <v>13889</v>
      </c>
      <c r="F197" s="2" t="s">
        <v>1914</v>
      </c>
      <c r="G197" s="6" t="s">
        <v>234</v>
      </c>
      <c r="H197" s="2" t="s">
        <v>284</v>
      </c>
      <c r="I197" s="2" t="s">
        <v>285</v>
      </c>
      <c r="J197" s="2" t="s">
        <v>19</v>
      </c>
      <c r="K197" s="2" t="s">
        <v>409</v>
      </c>
      <c r="L197" s="7" t="str">
        <f>HYPERLINK("http://slimages.macys.com/is/image/MCY/15142032 ")</f>
        <v xml:space="preserve">http://slimages.macys.com/is/image/MCY/15142032 </v>
      </c>
    </row>
    <row r="198" spans="1:12" ht="24.75" x14ac:dyDescent="0.25">
      <c r="A198" s="4" t="s">
        <v>13890</v>
      </c>
      <c r="B198" s="2" t="s">
        <v>13891</v>
      </c>
      <c r="C198" s="3">
        <v>1</v>
      </c>
      <c r="D198" s="5">
        <v>37.130000000000003</v>
      </c>
      <c r="E198" s="3" t="s">
        <v>13892</v>
      </c>
      <c r="F198" s="2" t="s">
        <v>887</v>
      </c>
      <c r="G198" s="6" t="s">
        <v>154</v>
      </c>
      <c r="H198" s="2" t="s">
        <v>194</v>
      </c>
      <c r="I198" s="2" t="s">
        <v>195</v>
      </c>
      <c r="J198" s="2" t="s">
        <v>19</v>
      </c>
      <c r="K198" s="2" t="s">
        <v>201</v>
      </c>
      <c r="L198" s="7" t="str">
        <f>HYPERLINK("http://slimages.macys.com/is/image/MCY/14658995 ")</f>
        <v xml:space="preserve">http://slimages.macys.com/is/image/MCY/14658995 </v>
      </c>
    </row>
    <row r="199" spans="1:12" ht="24.75" x14ac:dyDescent="0.25">
      <c r="A199" s="4" t="s">
        <v>7199</v>
      </c>
      <c r="B199" s="2" t="s">
        <v>646</v>
      </c>
      <c r="C199" s="3">
        <v>1</v>
      </c>
      <c r="D199" s="5">
        <v>39.5</v>
      </c>
      <c r="E199" s="3" t="s">
        <v>647</v>
      </c>
      <c r="F199" s="2" t="s">
        <v>33</v>
      </c>
      <c r="G199" s="6" t="s">
        <v>154</v>
      </c>
      <c r="H199" s="2" t="s">
        <v>194</v>
      </c>
      <c r="I199" s="2" t="s">
        <v>195</v>
      </c>
      <c r="J199" s="2" t="s">
        <v>19</v>
      </c>
      <c r="K199" s="2" t="s">
        <v>648</v>
      </c>
      <c r="L199" s="7" t="str">
        <f>HYPERLINK("http://slimages.macys.com/is/image/MCY/12404939 ")</f>
        <v xml:space="preserve">http://slimages.macys.com/is/image/MCY/12404939 </v>
      </c>
    </row>
    <row r="200" spans="1:12" ht="36.75" x14ac:dyDescent="0.25">
      <c r="A200" s="4" t="s">
        <v>13893</v>
      </c>
      <c r="B200" s="2" t="s">
        <v>13894</v>
      </c>
      <c r="C200" s="3">
        <v>1</v>
      </c>
      <c r="D200" s="5">
        <v>69.5</v>
      </c>
      <c r="E200" s="3">
        <v>100052090</v>
      </c>
      <c r="F200" s="2" t="s">
        <v>74</v>
      </c>
      <c r="G200" s="6" t="s">
        <v>16</v>
      </c>
      <c r="H200" s="2" t="s">
        <v>386</v>
      </c>
      <c r="I200" s="2" t="s">
        <v>337</v>
      </c>
      <c r="J200" s="2" t="s">
        <v>19</v>
      </c>
      <c r="K200" s="2" t="s">
        <v>4603</v>
      </c>
      <c r="L200" s="7" t="str">
        <f>HYPERLINK("http://slimages.macys.com/is/image/MCY/11647055 ")</f>
        <v xml:space="preserve">http://slimages.macys.com/is/image/MCY/11647055 </v>
      </c>
    </row>
    <row r="201" spans="1:12" ht="24.75" x14ac:dyDescent="0.25">
      <c r="A201" s="4" t="s">
        <v>7948</v>
      </c>
      <c r="B201" s="2" t="s">
        <v>4631</v>
      </c>
      <c r="C201" s="3">
        <v>1</v>
      </c>
      <c r="D201" s="5">
        <v>40.880000000000003</v>
      </c>
      <c r="E201" s="3" t="s">
        <v>4632</v>
      </c>
      <c r="F201" s="2" t="s">
        <v>125</v>
      </c>
      <c r="G201" s="6" t="s">
        <v>156</v>
      </c>
      <c r="H201" s="2" t="s">
        <v>194</v>
      </c>
      <c r="I201" s="2" t="s">
        <v>195</v>
      </c>
      <c r="J201" s="2" t="s">
        <v>19</v>
      </c>
      <c r="K201" s="2" t="s">
        <v>107</v>
      </c>
      <c r="L201" s="7" t="str">
        <f>HYPERLINK("http://slimages.macys.com/is/image/MCY/12279952 ")</f>
        <v xml:space="preserve">http://slimages.macys.com/is/image/MCY/12279952 </v>
      </c>
    </row>
    <row r="202" spans="1:12" ht="24.75" x14ac:dyDescent="0.25">
      <c r="A202" s="4" t="s">
        <v>13895</v>
      </c>
      <c r="B202" s="2" t="s">
        <v>13896</v>
      </c>
      <c r="C202" s="3">
        <v>1</v>
      </c>
      <c r="D202" s="5">
        <v>45</v>
      </c>
      <c r="E202" s="3" t="s">
        <v>13897</v>
      </c>
      <c r="F202" s="2" t="s">
        <v>74</v>
      </c>
      <c r="G202" s="6" t="s">
        <v>794</v>
      </c>
      <c r="H202" s="2" t="s">
        <v>447</v>
      </c>
      <c r="I202" s="2" t="s">
        <v>792</v>
      </c>
      <c r="J202" s="2" t="s">
        <v>19</v>
      </c>
      <c r="K202" s="2" t="s">
        <v>160</v>
      </c>
      <c r="L202" s="7" t="str">
        <f>HYPERLINK("http://slimages.macys.com/is/image/MCY/9145593 ")</f>
        <v xml:space="preserve">http://slimages.macys.com/is/image/MCY/9145593 </v>
      </c>
    </row>
    <row r="203" spans="1:12" ht="24.75" x14ac:dyDescent="0.25">
      <c r="A203" s="4" t="s">
        <v>13898</v>
      </c>
      <c r="B203" s="2" t="s">
        <v>13899</v>
      </c>
      <c r="C203" s="3">
        <v>1</v>
      </c>
      <c r="D203" s="5">
        <v>24.98</v>
      </c>
      <c r="E203" s="3">
        <v>9301</v>
      </c>
      <c r="F203" s="2" t="s">
        <v>74</v>
      </c>
      <c r="G203" s="6"/>
      <c r="H203" s="2" t="s">
        <v>447</v>
      </c>
      <c r="I203" s="2" t="s">
        <v>3409</v>
      </c>
      <c r="J203" s="2" t="s">
        <v>19</v>
      </c>
      <c r="K203" s="2" t="s">
        <v>34</v>
      </c>
      <c r="L203" s="7" t="str">
        <f>HYPERLINK("http://slimages.macys.com/is/image/MCY/663496 ")</f>
        <v xml:space="preserve">http://slimages.macys.com/is/image/MCY/663496 </v>
      </c>
    </row>
    <row r="204" spans="1:12" ht="24.75" x14ac:dyDescent="0.25">
      <c r="A204" s="4" t="s">
        <v>10603</v>
      </c>
      <c r="B204" s="2" t="s">
        <v>7918</v>
      </c>
      <c r="C204" s="3">
        <v>1</v>
      </c>
      <c r="D204" s="5">
        <v>40.880000000000003</v>
      </c>
      <c r="E204" s="3" t="s">
        <v>10602</v>
      </c>
      <c r="F204" s="2" t="s">
        <v>33</v>
      </c>
      <c r="G204" s="6" t="s">
        <v>154</v>
      </c>
      <c r="H204" s="2" t="s">
        <v>194</v>
      </c>
      <c r="I204" s="2" t="s">
        <v>195</v>
      </c>
      <c r="J204" s="2" t="s">
        <v>19</v>
      </c>
      <c r="K204" s="2" t="s">
        <v>7920</v>
      </c>
      <c r="L204" s="7" t="str">
        <f>HYPERLINK("http://slimages.macys.com/is/image/MCY/12950227 ")</f>
        <v xml:space="preserve">http://slimages.macys.com/is/image/MCY/12950227 </v>
      </c>
    </row>
    <row r="205" spans="1:12" ht="24.75" x14ac:dyDescent="0.25">
      <c r="A205" s="4" t="s">
        <v>5553</v>
      </c>
      <c r="B205" s="2" t="s">
        <v>2376</v>
      </c>
      <c r="C205" s="3">
        <v>1</v>
      </c>
      <c r="D205" s="5">
        <v>40.880000000000003</v>
      </c>
      <c r="E205" s="3" t="s">
        <v>2377</v>
      </c>
      <c r="F205" s="2" t="s">
        <v>26</v>
      </c>
      <c r="G205" s="6" t="s">
        <v>200</v>
      </c>
      <c r="H205" s="2" t="s">
        <v>284</v>
      </c>
      <c r="I205" s="2" t="s">
        <v>285</v>
      </c>
      <c r="J205" s="2" t="s">
        <v>19</v>
      </c>
      <c r="K205" s="2" t="s">
        <v>34</v>
      </c>
      <c r="L205" s="7" t="str">
        <f>HYPERLINK("http://slimages.macys.com/is/image/MCY/12671730 ")</f>
        <v xml:space="preserve">http://slimages.macys.com/is/image/MCY/12671730 </v>
      </c>
    </row>
    <row r="206" spans="1:12" ht="24.75" x14ac:dyDescent="0.25">
      <c r="A206" s="4" t="s">
        <v>2371</v>
      </c>
      <c r="B206" s="2" t="s">
        <v>2372</v>
      </c>
      <c r="C206" s="3">
        <v>1</v>
      </c>
      <c r="D206" s="5">
        <v>44.5</v>
      </c>
      <c r="E206" s="3" t="s">
        <v>2373</v>
      </c>
      <c r="F206" s="2" t="s">
        <v>26</v>
      </c>
      <c r="G206" s="6"/>
      <c r="H206" s="2" t="s">
        <v>194</v>
      </c>
      <c r="I206" s="2" t="s">
        <v>195</v>
      </c>
      <c r="J206" s="2" t="s">
        <v>19</v>
      </c>
      <c r="K206" s="2" t="s">
        <v>648</v>
      </c>
      <c r="L206" s="7" t="str">
        <f>HYPERLINK("http://slimages.macys.com/is/image/MCY/12667980 ")</f>
        <v xml:space="preserve">http://slimages.macys.com/is/image/MCY/12667980 </v>
      </c>
    </row>
    <row r="207" spans="1:12" ht="24.75" x14ac:dyDescent="0.25">
      <c r="A207" s="4" t="s">
        <v>10608</v>
      </c>
      <c r="B207" s="2" t="s">
        <v>10605</v>
      </c>
      <c r="C207" s="3">
        <v>1</v>
      </c>
      <c r="D207" s="5">
        <v>52.13</v>
      </c>
      <c r="E207" s="3" t="s">
        <v>10606</v>
      </c>
      <c r="F207" s="2" t="s">
        <v>125</v>
      </c>
      <c r="G207" s="6" t="s">
        <v>154</v>
      </c>
      <c r="H207" s="2" t="s">
        <v>194</v>
      </c>
      <c r="I207" s="2" t="s">
        <v>580</v>
      </c>
      <c r="J207" s="2" t="s">
        <v>19</v>
      </c>
      <c r="K207" s="2" t="s">
        <v>160</v>
      </c>
      <c r="L207" s="7" t="str">
        <f>HYPERLINK("http://slimages.macys.com/is/image/MCY/12316632 ")</f>
        <v xml:space="preserve">http://slimages.macys.com/is/image/MCY/12316632 </v>
      </c>
    </row>
    <row r="208" spans="1:12" ht="24.75" x14ac:dyDescent="0.25">
      <c r="A208" s="4" t="s">
        <v>12909</v>
      </c>
      <c r="B208" s="2" t="s">
        <v>10605</v>
      </c>
      <c r="C208" s="3">
        <v>1</v>
      </c>
      <c r="D208" s="5">
        <v>52.13</v>
      </c>
      <c r="E208" s="3" t="s">
        <v>10606</v>
      </c>
      <c r="F208" s="2" t="s">
        <v>125</v>
      </c>
      <c r="G208" s="6" t="s">
        <v>234</v>
      </c>
      <c r="H208" s="2" t="s">
        <v>194</v>
      </c>
      <c r="I208" s="2" t="s">
        <v>580</v>
      </c>
      <c r="J208" s="2" t="s">
        <v>19</v>
      </c>
      <c r="K208" s="2" t="s">
        <v>160</v>
      </c>
      <c r="L208" s="7" t="str">
        <f>HYPERLINK("http://slimages.macys.com/is/image/MCY/12316632 ")</f>
        <v xml:space="preserve">http://slimages.macys.com/is/image/MCY/12316632 </v>
      </c>
    </row>
    <row r="209" spans="1:12" ht="24.75" x14ac:dyDescent="0.25">
      <c r="A209" s="4" t="s">
        <v>13900</v>
      </c>
      <c r="B209" s="2" t="s">
        <v>13901</v>
      </c>
      <c r="C209" s="3">
        <v>1</v>
      </c>
      <c r="D209" s="5">
        <v>39.99</v>
      </c>
      <c r="E209" s="3" t="s">
        <v>13902</v>
      </c>
      <c r="F209" s="2" t="s">
        <v>331</v>
      </c>
      <c r="G209" s="6" t="s">
        <v>200</v>
      </c>
      <c r="H209" s="2" t="s">
        <v>246</v>
      </c>
      <c r="I209" s="2" t="s">
        <v>3504</v>
      </c>
      <c r="J209" s="2" t="s">
        <v>19</v>
      </c>
      <c r="K209" s="2" t="s">
        <v>803</v>
      </c>
      <c r="L209" s="7" t="str">
        <f>HYPERLINK("http://slimages.macys.com/is/image/MCY/12951872 ")</f>
        <v xml:space="preserve">http://slimages.macys.com/is/image/MCY/12951872 </v>
      </c>
    </row>
    <row r="210" spans="1:12" ht="24.75" x14ac:dyDescent="0.25">
      <c r="A210" s="4" t="s">
        <v>13903</v>
      </c>
      <c r="B210" s="2" t="s">
        <v>11902</v>
      </c>
      <c r="C210" s="3">
        <v>2</v>
      </c>
      <c r="D210" s="5">
        <v>37.130000000000003</v>
      </c>
      <c r="E210" s="3" t="s">
        <v>11903</v>
      </c>
      <c r="F210" s="2" t="s">
        <v>70</v>
      </c>
      <c r="G210" s="6" t="s">
        <v>234</v>
      </c>
      <c r="H210" s="2" t="s">
        <v>194</v>
      </c>
      <c r="I210" s="2" t="s">
        <v>195</v>
      </c>
      <c r="J210" s="2" t="s">
        <v>19</v>
      </c>
      <c r="K210" s="2" t="s">
        <v>201</v>
      </c>
      <c r="L210" s="7" t="str">
        <f>HYPERLINK("http://slimages.macys.com/is/image/MCY/13924516 ")</f>
        <v xml:space="preserve">http://slimages.macys.com/is/image/MCY/13924516 </v>
      </c>
    </row>
    <row r="211" spans="1:12" ht="24.75" x14ac:dyDescent="0.25">
      <c r="A211" s="4" t="s">
        <v>13904</v>
      </c>
      <c r="B211" s="2" t="s">
        <v>11905</v>
      </c>
      <c r="C211" s="3">
        <v>1</v>
      </c>
      <c r="D211" s="5">
        <v>40.880000000000003</v>
      </c>
      <c r="E211" s="3" t="s">
        <v>11906</v>
      </c>
      <c r="F211" s="2" t="s">
        <v>74</v>
      </c>
      <c r="G211" s="6"/>
      <c r="H211" s="2" t="s">
        <v>312</v>
      </c>
      <c r="I211" s="2" t="s">
        <v>195</v>
      </c>
      <c r="J211" s="2" t="s">
        <v>19</v>
      </c>
      <c r="K211" s="2" t="s">
        <v>11907</v>
      </c>
      <c r="L211" s="7" t="str">
        <f>HYPERLINK("http://slimages.macys.com/is/image/MCY/13758514 ")</f>
        <v xml:space="preserve">http://slimages.macys.com/is/image/MCY/13758514 </v>
      </c>
    </row>
    <row r="212" spans="1:12" ht="48.75" x14ac:dyDescent="0.25">
      <c r="A212" s="4" t="s">
        <v>4645</v>
      </c>
      <c r="B212" s="2" t="s">
        <v>432</v>
      </c>
      <c r="C212" s="3">
        <v>1</v>
      </c>
      <c r="D212" s="5">
        <v>37.130000000000003</v>
      </c>
      <c r="E212" s="3" t="s">
        <v>4646</v>
      </c>
      <c r="F212" s="2" t="s">
        <v>26</v>
      </c>
      <c r="G212" s="6" t="s">
        <v>200</v>
      </c>
      <c r="H212" s="2" t="s">
        <v>284</v>
      </c>
      <c r="I212" s="2" t="s">
        <v>408</v>
      </c>
      <c r="J212" s="2" t="s">
        <v>19</v>
      </c>
      <c r="K212" s="2" t="s">
        <v>775</v>
      </c>
      <c r="L212" s="7" t="str">
        <f>HYPERLINK("http://slimages.macys.com/is/image/MCY/12672509 ")</f>
        <v xml:space="preserve">http://slimages.macys.com/is/image/MCY/12672509 </v>
      </c>
    </row>
    <row r="213" spans="1:12" ht="24.75" x14ac:dyDescent="0.25">
      <c r="A213" s="4" t="s">
        <v>13905</v>
      </c>
      <c r="B213" s="2" t="s">
        <v>10617</v>
      </c>
      <c r="C213" s="3">
        <v>1</v>
      </c>
      <c r="D213" s="5">
        <v>37.130000000000003</v>
      </c>
      <c r="E213" s="3" t="s">
        <v>10618</v>
      </c>
      <c r="F213" s="2" t="s">
        <v>74</v>
      </c>
      <c r="G213" s="6" t="s">
        <v>200</v>
      </c>
      <c r="H213" s="2" t="s">
        <v>284</v>
      </c>
      <c r="I213" s="2" t="s">
        <v>408</v>
      </c>
      <c r="J213" s="2" t="s">
        <v>19</v>
      </c>
      <c r="K213" s="2" t="s">
        <v>409</v>
      </c>
      <c r="L213" s="7" t="str">
        <f>HYPERLINK("http://slimages.macys.com/is/image/MCY/12877220 ")</f>
        <v xml:space="preserve">http://slimages.macys.com/is/image/MCY/12877220 </v>
      </c>
    </row>
    <row r="214" spans="1:12" ht="24.75" x14ac:dyDescent="0.25">
      <c r="A214" s="4" t="s">
        <v>13906</v>
      </c>
      <c r="B214" s="2" t="s">
        <v>10617</v>
      </c>
      <c r="C214" s="3">
        <v>1</v>
      </c>
      <c r="D214" s="5">
        <v>37.130000000000003</v>
      </c>
      <c r="E214" s="3" t="s">
        <v>10618</v>
      </c>
      <c r="F214" s="2" t="s">
        <v>572</v>
      </c>
      <c r="G214" s="6" t="s">
        <v>200</v>
      </c>
      <c r="H214" s="2" t="s">
        <v>284</v>
      </c>
      <c r="I214" s="2" t="s">
        <v>408</v>
      </c>
      <c r="J214" s="2" t="s">
        <v>19</v>
      </c>
      <c r="K214" s="2" t="s">
        <v>409</v>
      </c>
      <c r="L214" s="7" t="str">
        <f>HYPERLINK("http://slimages.macys.com/is/image/MCY/12877220 ")</f>
        <v xml:space="preserve">http://slimages.macys.com/is/image/MCY/12877220 </v>
      </c>
    </row>
    <row r="215" spans="1:12" ht="24.75" x14ac:dyDescent="0.25">
      <c r="A215" s="4" t="s">
        <v>13907</v>
      </c>
      <c r="B215" s="2" t="s">
        <v>13908</v>
      </c>
      <c r="C215" s="3">
        <v>1</v>
      </c>
      <c r="D215" s="5">
        <v>59.5</v>
      </c>
      <c r="E215" s="3" t="s">
        <v>13909</v>
      </c>
      <c r="F215" s="2" t="s">
        <v>752</v>
      </c>
      <c r="G215" s="6"/>
      <c r="H215" s="2" t="s">
        <v>127</v>
      </c>
      <c r="I215" s="2" t="s">
        <v>128</v>
      </c>
      <c r="J215" s="2" t="s">
        <v>19</v>
      </c>
      <c r="K215" s="2" t="s">
        <v>160</v>
      </c>
      <c r="L215" s="7" t="str">
        <f>HYPERLINK("http://slimages.macys.com/is/image/MCY/9122784 ")</f>
        <v xml:space="preserve">http://slimages.macys.com/is/image/MCY/9122784 </v>
      </c>
    </row>
    <row r="216" spans="1:12" ht="24.75" x14ac:dyDescent="0.25">
      <c r="A216" s="4" t="s">
        <v>13910</v>
      </c>
      <c r="B216" s="2" t="s">
        <v>2268</v>
      </c>
      <c r="C216" s="3">
        <v>7</v>
      </c>
      <c r="D216" s="5">
        <v>37.130000000000003</v>
      </c>
      <c r="E216" s="3" t="s">
        <v>13911</v>
      </c>
      <c r="F216" s="2" t="s">
        <v>566</v>
      </c>
      <c r="G216" s="6" t="s">
        <v>181</v>
      </c>
      <c r="H216" s="2" t="s">
        <v>284</v>
      </c>
      <c r="I216" s="2" t="s">
        <v>285</v>
      </c>
      <c r="J216" s="2" t="s">
        <v>19</v>
      </c>
      <c r="K216" s="2" t="s">
        <v>160</v>
      </c>
      <c r="L216" s="7" t="str">
        <f>HYPERLINK("http://slimages.macys.com/is/image/MCY/13041359 ")</f>
        <v xml:space="preserve">http://slimages.macys.com/is/image/MCY/13041359 </v>
      </c>
    </row>
    <row r="217" spans="1:12" ht="24.75" x14ac:dyDescent="0.25">
      <c r="A217" s="4" t="s">
        <v>13912</v>
      </c>
      <c r="B217" s="2" t="s">
        <v>13913</v>
      </c>
      <c r="C217" s="3">
        <v>1</v>
      </c>
      <c r="D217" s="5">
        <v>44.5</v>
      </c>
      <c r="E217" s="3" t="s">
        <v>13914</v>
      </c>
      <c r="F217" s="2" t="s">
        <v>376</v>
      </c>
      <c r="G217" s="6" t="s">
        <v>16</v>
      </c>
      <c r="H217" s="2" t="s">
        <v>213</v>
      </c>
      <c r="I217" s="2" t="s">
        <v>214</v>
      </c>
      <c r="J217" s="2" t="s">
        <v>19</v>
      </c>
      <c r="K217" s="2" t="s">
        <v>253</v>
      </c>
      <c r="L217" s="7" t="str">
        <f>HYPERLINK("http://slimages.macys.com/is/image/MCY/11420631 ")</f>
        <v xml:space="preserve">http://slimages.macys.com/is/image/MCY/11420631 </v>
      </c>
    </row>
    <row r="218" spans="1:12" ht="24.75" x14ac:dyDescent="0.25">
      <c r="A218" s="4" t="s">
        <v>13915</v>
      </c>
      <c r="B218" s="2" t="s">
        <v>2385</v>
      </c>
      <c r="C218" s="3">
        <v>1</v>
      </c>
      <c r="D218" s="5">
        <v>39.5</v>
      </c>
      <c r="E218" s="3" t="s">
        <v>10048</v>
      </c>
      <c r="F218" s="2" t="s">
        <v>15</v>
      </c>
      <c r="G218" s="6" t="s">
        <v>181</v>
      </c>
      <c r="H218" s="2" t="s">
        <v>194</v>
      </c>
      <c r="I218" s="2" t="s">
        <v>195</v>
      </c>
      <c r="J218" s="2" t="s">
        <v>19</v>
      </c>
      <c r="K218" s="2" t="s">
        <v>201</v>
      </c>
      <c r="L218" s="7" t="str">
        <f>HYPERLINK("http://slimages.macys.com/is/image/MCY/12668616 ")</f>
        <v xml:space="preserve">http://slimages.macys.com/is/image/MCY/12668616 </v>
      </c>
    </row>
    <row r="219" spans="1:12" ht="24.75" x14ac:dyDescent="0.25">
      <c r="A219" s="4" t="s">
        <v>13916</v>
      </c>
      <c r="B219" s="2" t="s">
        <v>10622</v>
      </c>
      <c r="C219" s="3">
        <v>1</v>
      </c>
      <c r="D219" s="5">
        <v>37.130000000000003</v>
      </c>
      <c r="E219" s="3" t="s">
        <v>10623</v>
      </c>
      <c r="F219" s="2" t="s">
        <v>15</v>
      </c>
      <c r="G219" s="6" t="s">
        <v>154</v>
      </c>
      <c r="H219" s="2" t="s">
        <v>194</v>
      </c>
      <c r="I219" s="2" t="s">
        <v>195</v>
      </c>
      <c r="J219" s="2" t="s">
        <v>19</v>
      </c>
      <c r="K219" s="2" t="s">
        <v>201</v>
      </c>
      <c r="L219" s="7" t="str">
        <f>HYPERLINK("http://slimages.macys.com/is/image/MCY/13036857 ")</f>
        <v xml:space="preserve">http://slimages.macys.com/is/image/MCY/13036857 </v>
      </c>
    </row>
    <row r="220" spans="1:12" ht="24.75" x14ac:dyDescent="0.25">
      <c r="A220" s="4" t="s">
        <v>10627</v>
      </c>
      <c r="B220" s="2" t="s">
        <v>10628</v>
      </c>
      <c r="C220" s="3">
        <v>2</v>
      </c>
      <c r="D220" s="5">
        <v>40.880000000000003</v>
      </c>
      <c r="E220" s="3" t="s">
        <v>10629</v>
      </c>
      <c r="F220" s="2" t="s">
        <v>26</v>
      </c>
      <c r="G220" s="6" t="s">
        <v>181</v>
      </c>
      <c r="H220" s="2" t="s">
        <v>194</v>
      </c>
      <c r="I220" s="2" t="s">
        <v>195</v>
      </c>
      <c r="J220" s="2" t="s">
        <v>19</v>
      </c>
      <c r="K220" s="2" t="s">
        <v>107</v>
      </c>
      <c r="L220" s="7" t="str">
        <f>HYPERLINK("http://slimages.macys.com/is/image/MCY/12802461 ")</f>
        <v xml:space="preserve">http://slimages.macys.com/is/image/MCY/12802461 </v>
      </c>
    </row>
    <row r="221" spans="1:12" ht="24.75" x14ac:dyDescent="0.25">
      <c r="A221" s="4" t="s">
        <v>10631</v>
      </c>
      <c r="B221" s="2" t="s">
        <v>10632</v>
      </c>
      <c r="C221" s="3">
        <v>1</v>
      </c>
      <c r="D221" s="5">
        <v>40.880000000000003</v>
      </c>
      <c r="E221" s="3" t="s">
        <v>10633</v>
      </c>
      <c r="F221" s="2" t="s">
        <v>26</v>
      </c>
      <c r="G221" s="6" t="s">
        <v>154</v>
      </c>
      <c r="H221" s="2" t="s">
        <v>284</v>
      </c>
      <c r="I221" s="2" t="s">
        <v>736</v>
      </c>
      <c r="J221" s="2" t="s">
        <v>19</v>
      </c>
      <c r="K221" s="2" t="s">
        <v>10634</v>
      </c>
      <c r="L221" s="7" t="str">
        <f>HYPERLINK("http://slimages.macys.com/is/image/MCY/12876516 ")</f>
        <v xml:space="preserve">http://slimages.macys.com/is/image/MCY/12876516 </v>
      </c>
    </row>
    <row r="222" spans="1:12" ht="24.75" x14ac:dyDescent="0.25">
      <c r="A222" s="4" t="s">
        <v>13917</v>
      </c>
      <c r="B222" s="2" t="s">
        <v>10632</v>
      </c>
      <c r="C222" s="3">
        <v>1</v>
      </c>
      <c r="D222" s="5">
        <v>40.880000000000003</v>
      </c>
      <c r="E222" s="3" t="s">
        <v>10633</v>
      </c>
      <c r="F222" s="2" t="s">
        <v>26</v>
      </c>
      <c r="G222" s="6" t="s">
        <v>181</v>
      </c>
      <c r="H222" s="2" t="s">
        <v>284</v>
      </c>
      <c r="I222" s="2" t="s">
        <v>736</v>
      </c>
      <c r="J222" s="2" t="s">
        <v>19</v>
      </c>
      <c r="K222" s="2" t="s">
        <v>10634</v>
      </c>
      <c r="L222" s="7" t="str">
        <f>HYPERLINK("http://slimages.macys.com/is/image/MCY/12876516 ")</f>
        <v xml:space="preserve">http://slimages.macys.com/is/image/MCY/12876516 </v>
      </c>
    </row>
    <row r="223" spans="1:12" ht="24.75" x14ac:dyDescent="0.25">
      <c r="A223" s="4" t="s">
        <v>13918</v>
      </c>
      <c r="B223" s="2" t="s">
        <v>13919</v>
      </c>
      <c r="C223" s="3">
        <v>2</v>
      </c>
      <c r="D223" s="5">
        <v>40.880000000000003</v>
      </c>
      <c r="E223" s="3" t="s">
        <v>13920</v>
      </c>
      <c r="F223" s="2" t="s">
        <v>70</v>
      </c>
      <c r="G223" s="6" t="s">
        <v>200</v>
      </c>
      <c r="H223" s="2" t="s">
        <v>284</v>
      </c>
      <c r="I223" s="2" t="s">
        <v>408</v>
      </c>
      <c r="J223" s="2" t="s">
        <v>1499</v>
      </c>
      <c r="K223" s="2" t="s">
        <v>409</v>
      </c>
      <c r="L223" s="7" t="str">
        <f>HYPERLINK("http://slimages.macys.com/is/image/MCY/15945510 ")</f>
        <v xml:space="preserve">http://slimages.macys.com/is/image/MCY/15945510 </v>
      </c>
    </row>
    <row r="224" spans="1:12" ht="24.75" x14ac:dyDescent="0.25">
      <c r="A224" s="4" t="s">
        <v>6413</v>
      </c>
      <c r="B224" s="2" t="s">
        <v>2394</v>
      </c>
      <c r="C224" s="3">
        <v>1</v>
      </c>
      <c r="D224" s="5">
        <v>40.880000000000003</v>
      </c>
      <c r="E224" s="3" t="s">
        <v>2395</v>
      </c>
      <c r="F224" s="2" t="s">
        <v>33</v>
      </c>
      <c r="G224" s="6" t="s">
        <v>200</v>
      </c>
      <c r="H224" s="2" t="s">
        <v>194</v>
      </c>
      <c r="I224" s="2" t="s">
        <v>195</v>
      </c>
      <c r="J224" s="2" t="s">
        <v>19</v>
      </c>
      <c r="K224" s="2" t="s">
        <v>34</v>
      </c>
      <c r="L224" s="7" t="str">
        <f>HYPERLINK("http://slimages.macys.com/is/image/MCY/12950238 ")</f>
        <v xml:space="preserve">http://slimages.macys.com/is/image/MCY/12950238 </v>
      </c>
    </row>
    <row r="225" spans="1:12" ht="36.75" x14ac:dyDescent="0.25">
      <c r="A225" s="4" t="s">
        <v>10640</v>
      </c>
      <c r="B225" s="2" t="s">
        <v>4653</v>
      </c>
      <c r="C225" s="3">
        <v>1</v>
      </c>
      <c r="D225" s="5">
        <v>37.130000000000003</v>
      </c>
      <c r="E225" s="3" t="s">
        <v>4654</v>
      </c>
      <c r="F225" s="2" t="s">
        <v>1584</v>
      </c>
      <c r="G225" s="6" t="s">
        <v>200</v>
      </c>
      <c r="H225" s="2" t="s">
        <v>284</v>
      </c>
      <c r="I225" s="2" t="s">
        <v>408</v>
      </c>
      <c r="J225" s="2" t="s">
        <v>19</v>
      </c>
      <c r="K225" s="2" t="s">
        <v>500</v>
      </c>
      <c r="L225" s="7" t="str">
        <f>HYPERLINK("http://slimages.macys.com/is/image/MCY/12672239 ")</f>
        <v xml:space="preserve">http://slimages.macys.com/is/image/MCY/12672239 </v>
      </c>
    </row>
    <row r="226" spans="1:12" ht="24.75" x14ac:dyDescent="0.25">
      <c r="A226" s="4" t="s">
        <v>13921</v>
      </c>
      <c r="B226" s="2" t="s">
        <v>13922</v>
      </c>
      <c r="C226" s="3">
        <v>1</v>
      </c>
      <c r="D226" s="5">
        <v>37.130000000000003</v>
      </c>
      <c r="E226" s="3" t="s">
        <v>13923</v>
      </c>
      <c r="F226" s="2" t="s">
        <v>956</v>
      </c>
      <c r="G226" s="6"/>
      <c r="H226" s="2" t="s">
        <v>312</v>
      </c>
      <c r="I226" s="2" t="s">
        <v>195</v>
      </c>
      <c r="J226" s="2" t="s">
        <v>19</v>
      </c>
      <c r="K226" s="2" t="s">
        <v>13924</v>
      </c>
      <c r="L226" s="7" t="str">
        <f>HYPERLINK("http://slimages.macys.com/is/image/MCY/10044031 ")</f>
        <v xml:space="preserve">http://slimages.macys.com/is/image/MCY/10044031 </v>
      </c>
    </row>
    <row r="227" spans="1:12" ht="48.75" x14ac:dyDescent="0.25">
      <c r="A227" s="4" t="s">
        <v>754</v>
      </c>
      <c r="B227" s="2" t="s">
        <v>750</v>
      </c>
      <c r="C227" s="3">
        <v>2</v>
      </c>
      <c r="D227" s="5">
        <v>44.63</v>
      </c>
      <c r="E227" s="3" t="s">
        <v>751</v>
      </c>
      <c r="F227" s="2" t="s">
        <v>752</v>
      </c>
      <c r="G227" s="6" t="s">
        <v>234</v>
      </c>
      <c r="H227" s="2" t="s">
        <v>194</v>
      </c>
      <c r="I227" s="2" t="s">
        <v>195</v>
      </c>
      <c r="J227" s="2" t="s">
        <v>19</v>
      </c>
      <c r="K227" s="2" t="s">
        <v>753</v>
      </c>
      <c r="L227" s="7" t="str">
        <f>HYPERLINK("http://slimages.macys.com/is/image/MCY/12734332 ")</f>
        <v xml:space="preserve">http://slimages.macys.com/is/image/MCY/12734332 </v>
      </c>
    </row>
    <row r="228" spans="1:12" ht="24.75" x14ac:dyDescent="0.25">
      <c r="A228" s="4" t="s">
        <v>13925</v>
      </c>
      <c r="B228" s="2" t="s">
        <v>13926</v>
      </c>
      <c r="C228" s="3">
        <v>2</v>
      </c>
      <c r="D228" s="5">
        <v>40.880000000000003</v>
      </c>
      <c r="E228" s="3" t="s">
        <v>13927</v>
      </c>
      <c r="F228" s="2" t="s">
        <v>53</v>
      </c>
      <c r="G228" s="6" t="s">
        <v>181</v>
      </c>
      <c r="H228" s="2" t="s">
        <v>284</v>
      </c>
      <c r="I228" s="2" t="s">
        <v>458</v>
      </c>
      <c r="J228" s="2" t="s">
        <v>19</v>
      </c>
      <c r="K228" s="2" t="s">
        <v>34</v>
      </c>
      <c r="L228" s="7" t="str">
        <f>HYPERLINK("http://slimages.macys.com/is/image/MCY/14788453 ")</f>
        <v xml:space="preserve">http://slimages.macys.com/is/image/MCY/14788453 </v>
      </c>
    </row>
    <row r="229" spans="1:12" ht="24.75" x14ac:dyDescent="0.25">
      <c r="A229" s="4" t="s">
        <v>2404</v>
      </c>
      <c r="B229" s="2" t="s">
        <v>768</v>
      </c>
      <c r="C229" s="3">
        <v>1</v>
      </c>
      <c r="D229" s="5">
        <v>34.880000000000003</v>
      </c>
      <c r="E229" s="3">
        <v>100054400</v>
      </c>
      <c r="F229" s="2" t="s">
        <v>64</v>
      </c>
      <c r="G229" s="6" t="s">
        <v>141</v>
      </c>
      <c r="H229" s="2" t="s">
        <v>194</v>
      </c>
      <c r="I229" s="2" t="s">
        <v>195</v>
      </c>
      <c r="J229" s="2" t="s">
        <v>19</v>
      </c>
      <c r="K229" s="2" t="s">
        <v>546</v>
      </c>
      <c r="L229" s="7" t="str">
        <f>HYPERLINK("http://slimages.macys.com/is/image/MCY/12850455 ")</f>
        <v xml:space="preserve">http://slimages.macys.com/is/image/MCY/12850455 </v>
      </c>
    </row>
    <row r="230" spans="1:12" ht="24.75" x14ac:dyDescent="0.25">
      <c r="A230" s="4" t="s">
        <v>13928</v>
      </c>
      <c r="B230" s="2" t="s">
        <v>13929</v>
      </c>
      <c r="C230" s="3">
        <v>1</v>
      </c>
      <c r="D230" s="5">
        <v>40.880000000000003</v>
      </c>
      <c r="E230" s="3" t="s">
        <v>13930</v>
      </c>
      <c r="F230" s="2" t="s">
        <v>887</v>
      </c>
      <c r="G230" s="6" t="s">
        <v>154</v>
      </c>
      <c r="H230" s="2" t="s">
        <v>284</v>
      </c>
      <c r="I230" s="2" t="s">
        <v>285</v>
      </c>
      <c r="J230" s="2" t="s">
        <v>19</v>
      </c>
      <c r="K230" s="2" t="s">
        <v>34</v>
      </c>
      <c r="L230" s="7" t="str">
        <f>HYPERLINK("http://slimages.macys.com/is/image/MCY/15141363 ")</f>
        <v xml:space="preserve">http://slimages.macys.com/is/image/MCY/15141363 </v>
      </c>
    </row>
    <row r="231" spans="1:12" ht="24.75" x14ac:dyDescent="0.25">
      <c r="A231" s="4" t="s">
        <v>13931</v>
      </c>
      <c r="B231" s="2" t="s">
        <v>13932</v>
      </c>
      <c r="C231" s="3">
        <v>1</v>
      </c>
      <c r="D231" s="5">
        <v>44.63</v>
      </c>
      <c r="E231" s="3">
        <v>100023202</v>
      </c>
      <c r="F231" s="2" t="s">
        <v>74</v>
      </c>
      <c r="G231" s="6" t="s">
        <v>156</v>
      </c>
      <c r="H231" s="2" t="s">
        <v>284</v>
      </c>
      <c r="I231" s="2" t="s">
        <v>285</v>
      </c>
      <c r="J231" s="2" t="s">
        <v>19</v>
      </c>
      <c r="K231" s="2" t="s">
        <v>160</v>
      </c>
      <c r="L231" s="7" t="str">
        <f>HYPERLINK("http://slimages.macys.com/is/image/MCY/9749777 ")</f>
        <v xml:space="preserve">http://slimages.macys.com/is/image/MCY/9749777 </v>
      </c>
    </row>
    <row r="232" spans="1:12" ht="24.75" x14ac:dyDescent="0.25">
      <c r="A232" s="4" t="s">
        <v>13933</v>
      </c>
      <c r="B232" s="2" t="s">
        <v>10650</v>
      </c>
      <c r="C232" s="3">
        <v>1</v>
      </c>
      <c r="D232" s="5">
        <v>37.130000000000003</v>
      </c>
      <c r="E232" s="3">
        <v>100065799</v>
      </c>
      <c r="F232" s="2" t="s">
        <v>417</v>
      </c>
      <c r="G232" s="6" t="s">
        <v>58</v>
      </c>
      <c r="H232" s="2" t="s">
        <v>194</v>
      </c>
      <c r="I232" s="2" t="s">
        <v>919</v>
      </c>
      <c r="J232" s="2" t="s">
        <v>19</v>
      </c>
      <c r="K232" s="2" t="s">
        <v>137</v>
      </c>
      <c r="L232" s="7" t="str">
        <f>HYPERLINK("http://slimages.macys.com/is/image/MCY/13829864 ")</f>
        <v xml:space="preserve">http://slimages.macys.com/is/image/MCY/13829864 </v>
      </c>
    </row>
    <row r="233" spans="1:12" ht="24.75" x14ac:dyDescent="0.25">
      <c r="A233" s="4" t="s">
        <v>13934</v>
      </c>
      <c r="B233" s="2" t="s">
        <v>10650</v>
      </c>
      <c r="C233" s="3">
        <v>1</v>
      </c>
      <c r="D233" s="5">
        <v>37.130000000000003</v>
      </c>
      <c r="E233" s="3">
        <v>100065799</v>
      </c>
      <c r="F233" s="2" t="s">
        <v>417</v>
      </c>
      <c r="G233" s="6" t="s">
        <v>22</v>
      </c>
      <c r="H233" s="2" t="s">
        <v>194</v>
      </c>
      <c r="I233" s="2" t="s">
        <v>919</v>
      </c>
      <c r="J233" s="2" t="s">
        <v>19</v>
      </c>
      <c r="K233" s="2" t="s">
        <v>137</v>
      </c>
      <c r="L233" s="7" t="str">
        <f>HYPERLINK("http://slimages.macys.com/is/image/MCY/13829864 ")</f>
        <v xml:space="preserve">http://slimages.macys.com/is/image/MCY/13829864 </v>
      </c>
    </row>
    <row r="234" spans="1:12" ht="24.75" x14ac:dyDescent="0.25">
      <c r="A234" s="4" t="s">
        <v>13935</v>
      </c>
      <c r="B234" s="2" t="s">
        <v>10067</v>
      </c>
      <c r="C234" s="3">
        <v>1</v>
      </c>
      <c r="D234" s="5">
        <v>40.880000000000003</v>
      </c>
      <c r="E234" s="3" t="s">
        <v>10068</v>
      </c>
      <c r="F234" s="2" t="s">
        <v>15</v>
      </c>
      <c r="G234" s="6" t="s">
        <v>200</v>
      </c>
      <c r="H234" s="2" t="s">
        <v>194</v>
      </c>
      <c r="I234" s="2" t="s">
        <v>195</v>
      </c>
      <c r="J234" s="2" t="s">
        <v>19</v>
      </c>
      <c r="K234" s="2" t="s">
        <v>648</v>
      </c>
      <c r="L234" s="7" t="str">
        <f>HYPERLINK("http://slimages.macys.com/is/image/MCY/13120809 ")</f>
        <v xml:space="preserve">http://slimages.macys.com/is/image/MCY/13120809 </v>
      </c>
    </row>
    <row r="235" spans="1:12" ht="24.75" x14ac:dyDescent="0.25">
      <c r="A235" s="4" t="s">
        <v>13936</v>
      </c>
      <c r="B235" s="2" t="s">
        <v>10650</v>
      </c>
      <c r="C235" s="3">
        <v>2</v>
      </c>
      <c r="D235" s="5">
        <v>37.130000000000003</v>
      </c>
      <c r="E235" s="3">
        <v>100065799</v>
      </c>
      <c r="F235" s="2" t="s">
        <v>417</v>
      </c>
      <c r="G235" s="6" t="s">
        <v>27</v>
      </c>
      <c r="H235" s="2" t="s">
        <v>194</v>
      </c>
      <c r="I235" s="2" t="s">
        <v>919</v>
      </c>
      <c r="J235" s="2" t="s">
        <v>19</v>
      </c>
      <c r="K235" s="2" t="s">
        <v>137</v>
      </c>
      <c r="L235" s="7" t="str">
        <f>HYPERLINK("http://slimages.macys.com/is/image/MCY/13829864 ")</f>
        <v xml:space="preserve">http://slimages.macys.com/is/image/MCY/13829864 </v>
      </c>
    </row>
    <row r="236" spans="1:12" ht="24.75" x14ac:dyDescent="0.25">
      <c r="A236" s="4" t="s">
        <v>13937</v>
      </c>
      <c r="B236" s="2" t="s">
        <v>13938</v>
      </c>
      <c r="C236" s="3">
        <v>1</v>
      </c>
      <c r="D236" s="5">
        <v>44.25</v>
      </c>
      <c r="E236" s="3" t="s">
        <v>13939</v>
      </c>
      <c r="F236" s="2" t="s">
        <v>111</v>
      </c>
      <c r="G236" s="6" t="s">
        <v>165</v>
      </c>
      <c r="H236" s="2" t="s">
        <v>426</v>
      </c>
      <c r="I236" s="2" t="s">
        <v>195</v>
      </c>
      <c r="J236" s="2" t="s">
        <v>19</v>
      </c>
      <c r="K236" s="2" t="s">
        <v>338</v>
      </c>
      <c r="L236" s="7" t="str">
        <f>HYPERLINK("http://slimages.macys.com/is/image/MCY/10701629 ")</f>
        <v xml:space="preserve">http://slimages.macys.com/is/image/MCY/10701629 </v>
      </c>
    </row>
    <row r="237" spans="1:12" ht="24.75" x14ac:dyDescent="0.25">
      <c r="A237" s="4" t="s">
        <v>13940</v>
      </c>
      <c r="B237" s="2" t="s">
        <v>3567</v>
      </c>
      <c r="C237" s="3">
        <v>1</v>
      </c>
      <c r="D237" s="5">
        <v>40.880000000000003</v>
      </c>
      <c r="E237" s="3" t="s">
        <v>11933</v>
      </c>
      <c r="F237" s="2" t="s">
        <v>64</v>
      </c>
      <c r="G237" s="6" t="s">
        <v>16</v>
      </c>
      <c r="H237" s="2" t="s">
        <v>213</v>
      </c>
      <c r="I237" s="2" t="s">
        <v>214</v>
      </c>
      <c r="J237" s="2" t="s">
        <v>19</v>
      </c>
      <c r="K237" s="2" t="s">
        <v>215</v>
      </c>
      <c r="L237" s="7" t="str">
        <f>HYPERLINK("http://slimages.macys.com/is/image/MCY/11699651 ")</f>
        <v xml:space="preserve">http://slimages.macys.com/is/image/MCY/11699651 </v>
      </c>
    </row>
    <row r="238" spans="1:12" ht="36.75" x14ac:dyDescent="0.25">
      <c r="A238" s="4" t="s">
        <v>9003</v>
      </c>
      <c r="B238" s="2" t="s">
        <v>3572</v>
      </c>
      <c r="C238" s="3">
        <v>1</v>
      </c>
      <c r="D238" s="5">
        <v>34.979999999999997</v>
      </c>
      <c r="E238" s="3" t="s">
        <v>3573</v>
      </c>
      <c r="F238" s="2" t="s">
        <v>417</v>
      </c>
      <c r="G238" s="6" t="s">
        <v>499</v>
      </c>
      <c r="H238" s="2" t="s">
        <v>349</v>
      </c>
      <c r="I238" s="2" t="s">
        <v>408</v>
      </c>
      <c r="J238" s="2" t="s">
        <v>19</v>
      </c>
      <c r="K238" s="2" t="s">
        <v>3579</v>
      </c>
      <c r="L238" s="7" t="str">
        <f>HYPERLINK("http://slimages.macys.com/is/image/MCY/1697450 ")</f>
        <v xml:space="preserve">http://slimages.macys.com/is/image/MCY/1697450 </v>
      </c>
    </row>
    <row r="239" spans="1:12" ht="36.75" x14ac:dyDescent="0.25">
      <c r="A239" s="4" t="s">
        <v>10656</v>
      </c>
      <c r="B239" s="2" t="s">
        <v>3572</v>
      </c>
      <c r="C239" s="3">
        <v>1</v>
      </c>
      <c r="D239" s="5">
        <v>34.979999999999997</v>
      </c>
      <c r="E239" s="3" t="s">
        <v>3573</v>
      </c>
      <c r="F239" s="2" t="s">
        <v>74</v>
      </c>
      <c r="G239" s="6" t="s">
        <v>499</v>
      </c>
      <c r="H239" s="2" t="s">
        <v>349</v>
      </c>
      <c r="I239" s="2" t="s">
        <v>408</v>
      </c>
      <c r="J239" s="2" t="s">
        <v>19</v>
      </c>
      <c r="K239" s="2" t="s">
        <v>3579</v>
      </c>
      <c r="L239" s="7" t="str">
        <f>HYPERLINK("http://slimages.macys.com/is/image/MCY/1697450 ")</f>
        <v xml:space="preserve">http://slimages.macys.com/is/image/MCY/1697450 </v>
      </c>
    </row>
    <row r="240" spans="1:12" ht="36.75" x14ac:dyDescent="0.25">
      <c r="A240" s="4" t="s">
        <v>9004</v>
      </c>
      <c r="B240" s="2" t="s">
        <v>3572</v>
      </c>
      <c r="C240" s="3">
        <v>1</v>
      </c>
      <c r="D240" s="5">
        <v>34.979999999999997</v>
      </c>
      <c r="E240" s="3" t="s">
        <v>3573</v>
      </c>
      <c r="F240" s="2" t="s">
        <v>38</v>
      </c>
      <c r="G240" s="6" t="s">
        <v>499</v>
      </c>
      <c r="H240" s="2" t="s">
        <v>349</v>
      </c>
      <c r="I240" s="2" t="s">
        <v>408</v>
      </c>
      <c r="J240" s="2" t="s">
        <v>19</v>
      </c>
      <c r="K240" s="2" t="s">
        <v>3579</v>
      </c>
      <c r="L240" s="7" t="str">
        <f>HYPERLINK("http://slimages.macys.com/is/image/MCY/1697450 ")</f>
        <v xml:space="preserve">http://slimages.macys.com/is/image/MCY/1697450 </v>
      </c>
    </row>
    <row r="241" spans="1:12" ht="24.75" x14ac:dyDescent="0.25">
      <c r="A241" s="4" t="s">
        <v>13941</v>
      </c>
      <c r="B241" s="2" t="s">
        <v>10650</v>
      </c>
      <c r="C241" s="3">
        <v>1</v>
      </c>
      <c r="D241" s="5">
        <v>37.130000000000003</v>
      </c>
      <c r="E241" s="3" t="s">
        <v>13942</v>
      </c>
      <c r="F241" s="2" t="s">
        <v>676</v>
      </c>
      <c r="G241" s="6" t="s">
        <v>238</v>
      </c>
      <c r="H241" s="2" t="s">
        <v>312</v>
      </c>
      <c r="I241" s="2" t="s">
        <v>195</v>
      </c>
      <c r="J241" s="2" t="s">
        <v>19</v>
      </c>
      <c r="K241" s="2" t="s">
        <v>137</v>
      </c>
      <c r="L241" s="7" t="str">
        <f>HYPERLINK("http://slimages.macys.com/is/image/MCY/13829859 ")</f>
        <v xml:space="preserve">http://slimages.macys.com/is/image/MCY/13829859 </v>
      </c>
    </row>
    <row r="242" spans="1:12" ht="24.75" x14ac:dyDescent="0.25">
      <c r="A242" s="4" t="s">
        <v>11883</v>
      </c>
      <c r="B242" s="2" t="s">
        <v>641</v>
      </c>
      <c r="C242" s="3">
        <v>1</v>
      </c>
      <c r="D242" s="5">
        <v>34.99</v>
      </c>
      <c r="E242" s="3" t="s">
        <v>644</v>
      </c>
      <c r="F242" s="2" t="s">
        <v>26</v>
      </c>
      <c r="G242" s="6" t="s">
        <v>746</v>
      </c>
      <c r="H242" s="2" t="s">
        <v>349</v>
      </c>
      <c r="I242" s="2" t="s">
        <v>408</v>
      </c>
      <c r="J242" s="2" t="s">
        <v>19</v>
      </c>
      <c r="K242" s="2" t="s">
        <v>409</v>
      </c>
      <c r="L242" s="7" t="str">
        <f>HYPERLINK("http://slimages.macys.com/is/image/MCY/9420343 ")</f>
        <v xml:space="preserve">http://slimages.macys.com/is/image/MCY/9420343 </v>
      </c>
    </row>
    <row r="243" spans="1:12" ht="24.75" x14ac:dyDescent="0.25">
      <c r="A243" s="4" t="s">
        <v>3503</v>
      </c>
      <c r="B243" s="2" t="s">
        <v>641</v>
      </c>
      <c r="C243" s="3">
        <v>1</v>
      </c>
      <c r="D243" s="5">
        <v>34.99</v>
      </c>
      <c r="E243" s="3" t="s">
        <v>642</v>
      </c>
      <c r="F243" s="2" t="s">
        <v>64</v>
      </c>
      <c r="G243" s="6" t="s">
        <v>2276</v>
      </c>
      <c r="H243" s="2" t="s">
        <v>349</v>
      </c>
      <c r="I243" s="2" t="s">
        <v>408</v>
      </c>
      <c r="J243" s="2" t="s">
        <v>19</v>
      </c>
      <c r="K243" s="2" t="s">
        <v>409</v>
      </c>
      <c r="L243" s="7" t="str">
        <f>HYPERLINK("http://slimages.macys.com/is/image/MCY/9297288 ")</f>
        <v xml:space="preserve">http://slimages.macys.com/is/image/MCY/9297288 </v>
      </c>
    </row>
    <row r="244" spans="1:12" ht="24.75" x14ac:dyDescent="0.25">
      <c r="A244" s="4" t="s">
        <v>13943</v>
      </c>
      <c r="B244" s="2" t="s">
        <v>13944</v>
      </c>
      <c r="C244" s="3">
        <v>1</v>
      </c>
      <c r="D244" s="5">
        <v>69</v>
      </c>
      <c r="E244" s="3" t="s">
        <v>13945</v>
      </c>
      <c r="F244" s="2" t="s">
        <v>464</v>
      </c>
      <c r="G244" s="6"/>
      <c r="H244" s="2" t="s">
        <v>447</v>
      </c>
      <c r="I244" s="2" t="s">
        <v>448</v>
      </c>
      <c r="J244" s="2" t="s">
        <v>19</v>
      </c>
      <c r="K244" s="2" t="s">
        <v>449</v>
      </c>
      <c r="L244" s="7" t="str">
        <f>HYPERLINK("http://slimages.macys.com/is/image/MCY/13581336 ")</f>
        <v xml:space="preserve">http://slimages.macys.com/is/image/MCY/13581336 </v>
      </c>
    </row>
    <row r="245" spans="1:12" ht="24.75" x14ac:dyDescent="0.25">
      <c r="A245" s="4" t="s">
        <v>13946</v>
      </c>
      <c r="B245" s="2" t="s">
        <v>13944</v>
      </c>
      <c r="C245" s="3">
        <v>1</v>
      </c>
      <c r="D245" s="5">
        <v>69</v>
      </c>
      <c r="E245" s="3" t="s">
        <v>13945</v>
      </c>
      <c r="F245" s="2" t="s">
        <v>464</v>
      </c>
      <c r="G245" s="6" t="s">
        <v>11149</v>
      </c>
      <c r="H245" s="2" t="s">
        <v>447</v>
      </c>
      <c r="I245" s="2" t="s">
        <v>448</v>
      </c>
      <c r="J245" s="2" t="s">
        <v>19</v>
      </c>
      <c r="K245" s="2" t="s">
        <v>449</v>
      </c>
      <c r="L245" s="7" t="str">
        <f>HYPERLINK("http://slimages.macys.com/is/image/MCY/13581336 ")</f>
        <v xml:space="preserve">http://slimages.macys.com/is/image/MCY/13581336 </v>
      </c>
    </row>
    <row r="246" spans="1:12" ht="24.75" x14ac:dyDescent="0.25">
      <c r="A246" s="4" t="s">
        <v>13947</v>
      </c>
      <c r="B246" s="2" t="s">
        <v>13944</v>
      </c>
      <c r="C246" s="3">
        <v>1</v>
      </c>
      <c r="D246" s="5">
        <v>69</v>
      </c>
      <c r="E246" s="3" t="s">
        <v>13945</v>
      </c>
      <c r="F246" s="2" t="s">
        <v>464</v>
      </c>
      <c r="G246" s="6" t="s">
        <v>446</v>
      </c>
      <c r="H246" s="2" t="s">
        <v>447</v>
      </c>
      <c r="I246" s="2" t="s">
        <v>448</v>
      </c>
      <c r="J246" s="2" t="s">
        <v>19</v>
      </c>
      <c r="K246" s="2" t="s">
        <v>449</v>
      </c>
      <c r="L246" s="7" t="str">
        <f>HYPERLINK("http://slimages.macys.com/is/image/MCY/13581336 ")</f>
        <v xml:space="preserve">http://slimages.macys.com/is/image/MCY/13581336 </v>
      </c>
    </row>
    <row r="247" spans="1:12" ht="24.75" x14ac:dyDescent="0.25">
      <c r="A247" s="4" t="s">
        <v>13948</v>
      </c>
      <c r="B247" s="2" t="s">
        <v>13949</v>
      </c>
      <c r="C247" s="3">
        <v>1</v>
      </c>
      <c r="D247" s="5">
        <v>48</v>
      </c>
      <c r="E247" s="3">
        <v>1715</v>
      </c>
      <c r="F247" s="2" t="s">
        <v>15</v>
      </c>
      <c r="G247" s="6" t="s">
        <v>7408</v>
      </c>
      <c r="H247" s="2" t="s">
        <v>447</v>
      </c>
      <c r="I247" s="2" t="s">
        <v>3409</v>
      </c>
      <c r="J247" s="2" t="s">
        <v>19</v>
      </c>
      <c r="K247" s="2" t="s">
        <v>3476</v>
      </c>
      <c r="L247" s="7" t="str">
        <f>HYPERLINK("http://slimages.macys.com/is/image/MCY/8078281 ")</f>
        <v xml:space="preserve">http://slimages.macys.com/is/image/MCY/8078281 </v>
      </c>
    </row>
    <row r="248" spans="1:12" ht="24.75" x14ac:dyDescent="0.25">
      <c r="A248" s="4" t="s">
        <v>12968</v>
      </c>
      <c r="B248" s="2" t="s">
        <v>861</v>
      </c>
      <c r="C248" s="3">
        <v>1</v>
      </c>
      <c r="D248" s="5">
        <v>34.5</v>
      </c>
      <c r="E248" s="3" t="s">
        <v>862</v>
      </c>
      <c r="F248" s="2" t="s">
        <v>64</v>
      </c>
      <c r="G248" s="6" t="s">
        <v>112</v>
      </c>
      <c r="H248" s="2" t="s">
        <v>228</v>
      </c>
      <c r="I248" s="2" t="s">
        <v>863</v>
      </c>
      <c r="J248" s="2" t="s">
        <v>19</v>
      </c>
      <c r="K248" s="2" t="s">
        <v>253</v>
      </c>
      <c r="L248" s="7" t="str">
        <f>HYPERLINK("http://slimages.macys.com/is/image/MCY/3650197 ")</f>
        <v xml:space="preserve">http://slimages.macys.com/is/image/MCY/3650197 </v>
      </c>
    </row>
    <row r="249" spans="1:12" ht="24.75" x14ac:dyDescent="0.25">
      <c r="A249" s="4" t="s">
        <v>4717</v>
      </c>
      <c r="B249" s="2" t="s">
        <v>861</v>
      </c>
      <c r="C249" s="3">
        <v>1</v>
      </c>
      <c r="D249" s="5">
        <v>34.5</v>
      </c>
      <c r="E249" s="3" t="s">
        <v>862</v>
      </c>
      <c r="F249" s="2" t="s">
        <v>64</v>
      </c>
      <c r="G249" s="6" t="s">
        <v>22</v>
      </c>
      <c r="H249" s="2" t="s">
        <v>228</v>
      </c>
      <c r="I249" s="2" t="s">
        <v>863</v>
      </c>
      <c r="J249" s="2" t="s">
        <v>19</v>
      </c>
      <c r="K249" s="2" t="s">
        <v>253</v>
      </c>
      <c r="L249" s="7" t="str">
        <f>HYPERLINK("http://slimages.macys.com/is/image/MCY/3650197 ")</f>
        <v xml:space="preserve">http://slimages.macys.com/is/image/MCY/3650197 </v>
      </c>
    </row>
    <row r="250" spans="1:12" ht="24.75" x14ac:dyDescent="0.25">
      <c r="A250" s="4" t="s">
        <v>13950</v>
      </c>
      <c r="B250" s="2" t="s">
        <v>861</v>
      </c>
      <c r="C250" s="3">
        <v>1</v>
      </c>
      <c r="D250" s="5">
        <v>34.5</v>
      </c>
      <c r="E250" s="3" t="s">
        <v>862</v>
      </c>
      <c r="F250" s="2" t="s">
        <v>64</v>
      </c>
      <c r="G250" s="6" t="s">
        <v>4873</v>
      </c>
      <c r="H250" s="2" t="s">
        <v>228</v>
      </c>
      <c r="I250" s="2" t="s">
        <v>863</v>
      </c>
      <c r="J250" s="2" t="s">
        <v>19</v>
      </c>
      <c r="K250" s="2" t="s">
        <v>253</v>
      </c>
      <c r="L250" s="7" t="str">
        <f>HYPERLINK("http://slimages.macys.com/is/image/MCY/3650197 ")</f>
        <v xml:space="preserve">http://slimages.macys.com/is/image/MCY/3650197 </v>
      </c>
    </row>
    <row r="251" spans="1:12" ht="24.75" x14ac:dyDescent="0.25">
      <c r="A251" s="4" t="s">
        <v>13951</v>
      </c>
      <c r="B251" s="2" t="s">
        <v>808</v>
      </c>
      <c r="C251" s="3">
        <v>1</v>
      </c>
      <c r="D251" s="5">
        <v>37.130000000000003</v>
      </c>
      <c r="E251" s="3">
        <v>100013676</v>
      </c>
      <c r="F251" s="2" t="s">
        <v>257</v>
      </c>
      <c r="G251" s="6" t="s">
        <v>154</v>
      </c>
      <c r="H251" s="2" t="s">
        <v>194</v>
      </c>
      <c r="I251" s="2" t="s">
        <v>503</v>
      </c>
      <c r="J251" s="2" t="s">
        <v>19</v>
      </c>
      <c r="K251" s="2" t="s">
        <v>546</v>
      </c>
      <c r="L251" s="7" t="str">
        <f>HYPERLINK("http://slimages.macys.com/is/image/MCY/9340718 ")</f>
        <v xml:space="preserve">http://slimages.macys.com/is/image/MCY/9340718 </v>
      </c>
    </row>
    <row r="252" spans="1:12" ht="24.75" x14ac:dyDescent="0.25">
      <c r="A252" s="4" t="s">
        <v>9468</v>
      </c>
      <c r="B252" s="2" t="s">
        <v>808</v>
      </c>
      <c r="C252" s="3">
        <v>1</v>
      </c>
      <c r="D252" s="5">
        <v>37.130000000000003</v>
      </c>
      <c r="E252" s="3">
        <v>100013676</v>
      </c>
      <c r="F252" s="2" t="s">
        <v>53</v>
      </c>
      <c r="G252" s="6" t="s">
        <v>245</v>
      </c>
      <c r="H252" s="2" t="s">
        <v>194</v>
      </c>
      <c r="I252" s="2" t="s">
        <v>503</v>
      </c>
      <c r="J252" s="2" t="s">
        <v>19</v>
      </c>
      <c r="K252" s="2" t="s">
        <v>546</v>
      </c>
      <c r="L252" s="7" t="str">
        <f>HYPERLINK("http://slimages.macys.com/is/image/MCY/9340718 ")</f>
        <v xml:space="preserve">http://slimages.macys.com/is/image/MCY/9340718 </v>
      </c>
    </row>
    <row r="253" spans="1:12" ht="24.75" x14ac:dyDescent="0.25">
      <c r="A253" s="4" t="s">
        <v>11947</v>
      </c>
      <c r="B253" s="2" t="s">
        <v>808</v>
      </c>
      <c r="C253" s="3">
        <v>1</v>
      </c>
      <c r="D253" s="5">
        <v>37.130000000000003</v>
      </c>
      <c r="E253" s="3">
        <v>100013676</v>
      </c>
      <c r="F253" s="2" t="s">
        <v>566</v>
      </c>
      <c r="G253" s="6" t="s">
        <v>181</v>
      </c>
      <c r="H253" s="2" t="s">
        <v>194</v>
      </c>
      <c r="I253" s="2" t="s">
        <v>503</v>
      </c>
      <c r="J253" s="2" t="s">
        <v>19</v>
      </c>
      <c r="K253" s="2" t="s">
        <v>546</v>
      </c>
      <c r="L253" s="7" t="str">
        <f>HYPERLINK("http://slimages.macys.com/is/image/MCY/9340718 ")</f>
        <v xml:space="preserve">http://slimages.macys.com/is/image/MCY/9340718 </v>
      </c>
    </row>
    <row r="254" spans="1:12" ht="24.75" x14ac:dyDescent="0.25">
      <c r="A254" s="4" t="s">
        <v>12945</v>
      </c>
      <c r="B254" s="2" t="s">
        <v>8573</v>
      </c>
      <c r="C254" s="3">
        <v>1</v>
      </c>
      <c r="D254" s="5">
        <v>40.880000000000003</v>
      </c>
      <c r="E254" s="3" t="s">
        <v>8574</v>
      </c>
      <c r="F254" s="2" t="s">
        <v>331</v>
      </c>
      <c r="G254" s="6" t="s">
        <v>181</v>
      </c>
      <c r="H254" s="2" t="s">
        <v>246</v>
      </c>
      <c r="I254" s="2" t="s">
        <v>189</v>
      </c>
      <c r="J254" s="2" t="s">
        <v>19</v>
      </c>
      <c r="K254" s="2" t="s">
        <v>75</v>
      </c>
      <c r="L254" s="7" t="str">
        <f>HYPERLINK("http://slimages.macys.com/is/image/MCY/11995542 ")</f>
        <v xml:space="preserve">http://slimages.macys.com/is/image/MCY/11995542 </v>
      </c>
    </row>
    <row r="255" spans="1:12" ht="24.75" x14ac:dyDescent="0.25">
      <c r="A255" s="4" t="s">
        <v>7994</v>
      </c>
      <c r="B255" s="2" t="s">
        <v>2430</v>
      </c>
      <c r="C255" s="3">
        <v>1</v>
      </c>
      <c r="D255" s="5">
        <v>59.5</v>
      </c>
      <c r="E255" s="3" t="s">
        <v>2431</v>
      </c>
      <c r="F255" s="2" t="s">
        <v>64</v>
      </c>
      <c r="G255" s="6" t="s">
        <v>141</v>
      </c>
      <c r="H255" s="2" t="s">
        <v>386</v>
      </c>
      <c r="I255" s="2" t="s">
        <v>337</v>
      </c>
      <c r="J255" s="2" t="s">
        <v>19</v>
      </c>
      <c r="K255" s="2" t="s">
        <v>387</v>
      </c>
      <c r="L255" s="7" t="str">
        <f>HYPERLINK("http://slimages.macys.com/is/image/MCY/9477891 ")</f>
        <v xml:space="preserve">http://slimages.macys.com/is/image/MCY/9477891 </v>
      </c>
    </row>
    <row r="256" spans="1:12" ht="24.75" x14ac:dyDescent="0.25">
      <c r="A256" s="4" t="s">
        <v>13952</v>
      </c>
      <c r="B256" s="2" t="s">
        <v>13953</v>
      </c>
      <c r="C256" s="3">
        <v>1</v>
      </c>
      <c r="D256" s="5">
        <v>59.5</v>
      </c>
      <c r="E256" s="3" t="s">
        <v>13954</v>
      </c>
      <c r="F256" s="2" t="s">
        <v>64</v>
      </c>
      <c r="G256" s="6" t="s">
        <v>39</v>
      </c>
      <c r="H256" s="2" t="s">
        <v>386</v>
      </c>
      <c r="I256" s="2" t="s">
        <v>337</v>
      </c>
      <c r="J256" s="2" t="s">
        <v>19</v>
      </c>
      <c r="K256" s="2" t="s">
        <v>387</v>
      </c>
      <c r="L256" s="7" t="str">
        <f>HYPERLINK("http://slimages.macys.com/is/image/MCY/9477891 ")</f>
        <v xml:space="preserve">http://slimages.macys.com/is/image/MCY/9477891 </v>
      </c>
    </row>
    <row r="257" spans="1:12" ht="24.75" x14ac:dyDescent="0.25">
      <c r="A257" s="4" t="s">
        <v>2432</v>
      </c>
      <c r="B257" s="2" t="s">
        <v>818</v>
      </c>
      <c r="C257" s="3">
        <v>1</v>
      </c>
      <c r="D257" s="5">
        <v>36.5</v>
      </c>
      <c r="E257" s="3" t="s">
        <v>819</v>
      </c>
      <c r="F257" s="2" t="s">
        <v>820</v>
      </c>
      <c r="G257" s="6" t="s">
        <v>181</v>
      </c>
      <c r="H257" s="2" t="s">
        <v>194</v>
      </c>
      <c r="I257" s="2" t="s">
        <v>195</v>
      </c>
      <c r="J257" s="2" t="s">
        <v>19</v>
      </c>
      <c r="K257" s="2" t="s">
        <v>201</v>
      </c>
      <c r="L257" s="7" t="str">
        <f>HYPERLINK("http://slimages.macys.com/is/image/MCY/11935616 ")</f>
        <v xml:space="preserve">http://slimages.macys.com/is/image/MCY/11935616 </v>
      </c>
    </row>
    <row r="258" spans="1:12" ht="24.75" x14ac:dyDescent="0.25">
      <c r="A258" s="4" t="s">
        <v>13955</v>
      </c>
      <c r="B258" s="2" t="s">
        <v>13956</v>
      </c>
      <c r="C258" s="3">
        <v>1</v>
      </c>
      <c r="D258" s="5">
        <v>37.130000000000003</v>
      </c>
      <c r="E258" s="3" t="s">
        <v>13957</v>
      </c>
      <c r="F258" s="2" t="s">
        <v>111</v>
      </c>
      <c r="G258" s="6" t="s">
        <v>234</v>
      </c>
      <c r="H258" s="2" t="s">
        <v>194</v>
      </c>
      <c r="I258" s="2" t="s">
        <v>307</v>
      </c>
      <c r="J258" s="2" t="s">
        <v>19</v>
      </c>
      <c r="K258" s="2" t="s">
        <v>1082</v>
      </c>
      <c r="L258" s="7" t="str">
        <f>HYPERLINK("http://slimages.macys.com/is/image/MCY/10484129 ")</f>
        <v xml:space="preserve">http://slimages.macys.com/is/image/MCY/10484129 </v>
      </c>
    </row>
    <row r="259" spans="1:12" ht="24.75" x14ac:dyDescent="0.25">
      <c r="A259" s="4" t="s">
        <v>13958</v>
      </c>
      <c r="B259" s="2" t="s">
        <v>13959</v>
      </c>
      <c r="C259" s="3">
        <v>1</v>
      </c>
      <c r="D259" s="5">
        <v>40.880000000000003</v>
      </c>
      <c r="E259" s="3" t="s">
        <v>13960</v>
      </c>
      <c r="F259" s="2" t="s">
        <v>752</v>
      </c>
      <c r="G259" s="6" t="s">
        <v>181</v>
      </c>
      <c r="H259" s="2" t="s">
        <v>194</v>
      </c>
      <c r="I259" s="2" t="s">
        <v>195</v>
      </c>
      <c r="J259" s="2" t="s">
        <v>19</v>
      </c>
      <c r="K259" s="2" t="s">
        <v>3712</v>
      </c>
      <c r="L259" s="7" t="str">
        <f>HYPERLINK("http://slimages.macys.com/is/image/MCY/13316350 ")</f>
        <v xml:space="preserve">http://slimages.macys.com/is/image/MCY/13316350 </v>
      </c>
    </row>
    <row r="260" spans="1:12" ht="24.75" x14ac:dyDescent="0.25">
      <c r="A260" s="4" t="s">
        <v>13961</v>
      </c>
      <c r="B260" s="2" t="s">
        <v>13959</v>
      </c>
      <c r="C260" s="3">
        <v>1</v>
      </c>
      <c r="D260" s="5">
        <v>40.880000000000003</v>
      </c>
      <c r="E260" s="3" t="s">
        <v>13960</v>
      </c>
      <c r="F260" s="2" t="s">
        <v>752</v>
      </c>
      <c r="G260" s="6" t="s">
        <v>234</v>
      </c>
      <c r="H260" s="2" t="s">
        <v>194</v>
      </c>
      <c r="I260" s="2" t="s">
        <v>195</v>
      </c>
      <c r="J260" s="2" t="s">
        <v>19</v>
      </c>
      <c r="K260" s="2" t="s">
        <v>3712</v>
      </c>
      <c r="L260" s="7" t="str">
        <f>HYPERLINK("http://slimages.macys.com/is/image/MCY/13316350 ")</f>
        <v xml:space="preserve">http://slimages.macys.com/is/image/MCY/13316350 </v>
      </c>
    </row>
    <row r="261" spans="1:12" ht="24.75" x14ac:dyDescent="0.25">
      <c r="A261" s="4" t="s">
        <v>13962</v>
      </c>
      <c r="B261" s="2" t="s">
        <v>13959</v>
      </c>
      <c r="C261" s="3">
        <v>1</v>
      </c>
      <c r="D261" s="5">
        <v>40.880000000000003</v>
      </c>
      <c r="E261" s="3" t="s">
        <v>13960</v>
      </c>
      <c r="F261" s="2" t="s">
        <v>752</v>
      </c>
      <c r="G261" s="6" t="s">
        <v>200</v>
      </c>
      <c r="H261" s="2" t="s">
        <v>194</v>
      </c>
      <c r="I261" s="2" t="s">
        <v>195</v>
      </c>
      <c r="J261" s="2" t="s">
        <v>19</v>
      </c>
      <c r="K261" s="2" t="s">
        <v>3712</v>
      </c>
      <c r="L261" s="7" t="str">
        <f>HYPERLINK("http://slimages.macys.com/is/image/MCY/13316350 ")</f>
        <v xml:space="preserve">http://slimages.macys.com/is/image/MCY/13316350 </v>
      </c>
    </row>
    <row r="262" spans="1:12" ht="24.75" x14ac:dyDescent="0.25">
      <c r="A262" s="4" t="s">
        <v>13963</v>
      </c>
      <c r="B262" s="2" t="s">
        <v>13959</v>
      </c>
      <c r="C262" s="3">
        <v>1</v>
      </c>
      <c r="D262" s="5">
        <v>40.880000000000003</v>
      </c>
      <c r="E262" s="3" t="s">
        <v>13960</v>
      </c>
      <c r="F262" s="2" t="s">
        <v>752</v>
      </c>
      <c r="G262" s="6" t="s">
        <v>154</v>
      </c>
      <c r="H262" s="2" t="s">
        <v>194</v>
      </c>
      <c r="I262" s="2" t="s">
        <v>195</v>
      </c>
      <c r="J262" s="2" t="s">
        <v>19</v>
      </c>
      <c r="K262" s="2" t="s">
        <v>3712</v>
      </c>
      <c r="L262" s="7" t="str">
        <f>HYPERLINK("http://slimages.macys.com/is/image/MCY/13316350 ")</f>
        <v xml:space="preserve">http://slimages.macys.com/is/image/MCY/13316350 </v>
      </c>
    </row>
    <row r="263" spans="1:12" ht="24.75" x14ac:dyDescent="0.25">
      <c r="A263" s="4" t="s">
        <v>12952</v>
      </c>
      <c r="B263" s="2" t="s">
        <v>10679</v>
      </c>
      <c r="C263" s="3">
        <v>1</v>
      </c>
      <c r="D263" s="5">
        <v>33.380000000000003</v>
      </c>
      <c r="E263" s="3" t="s">
        <v>10680</v>
      </c>
      <c r="F263" s="2" t="s">
        <v>26</v>
      </c>
      <c r="G263" s="6" t="s">
        <v>200</v>
      </c>
      <c r="H263" s="2" t="s">
        <v>194</v>
      </c>
      <c r="I263" s="2" t="s">
        <v>195</v>
      </c>
      <c r="J263" s="2" t="s">
        <v>19</v>
      </c>
      <c r="K263" s="2" t="s">
        <v>10681</v>
      </c>
      <c r="L263" s="7" t="str">
        <f>HYPERLINK("http://slimages.macys.com/is/image/MCY/12801345 ")</f>
        <v xml:space="preserve">http://slimages.macys.com/is/image/MCY/12801345 </v>
      </c>
    </row>
    <row r="264" spans="1:12" ht="24.75" x14ac:dyDescent="0.25">
      <c r="A264" s="4" t="s">
        <v>13964</v>
      </c>
      <c r="B264" s="2" t="s">
        <v>13965</v>
      </c>
      <c r="C264" s="3">
        <v>1</v>
      </c>
      <c r="D264" s="5">
        <v>37.130000000000003</v>
      </c>
      <c r="E264" s="3" t="s">
        <v>13966</v>
      </c>
      <c r="F264" s="2" t="s">
        <v>1322</v>
      </c>
      <c r="G264" s="6" t="s">
        <v>156</v>
      </c>
      <c r="H264" s="2" t="s">
        <v>194</v>
      </c>
      <c r="I264" s="2" t="s">
        <v>195</v>
      </c>
      <c r="J264" s="2" t="s">
        <v>19</v>
      </c>
      <c r="K264" s="2" t="s">
        <v>201</v>
      </c>
      <c r="L264" s="7" t="str">
        <f>HYPERLINK("http://slimages.macys.com/is/image/MCY/13830153 ")</f>
        <v xml:space="preserve">http://slimages.macys.com/is/image/MCY/13830153 </v>
      </c>
    </row>
    <row r="265" spans="1:12" ht="24.75" x14ac:dyDescent="0.25">
      <c r="A265" s="4" t="s">
        <v>13967</v>
      </c>
      <c r="B265" s="2" t="s">
        <v>2331</v>
      </c>
      <c r="C265" s="3">
        <v>1</v>
      </c>
      <c r="D265" s="5">
        <v>52.13</v>
      </c>
      <c r="E265" s="3" t="s">
        <v>3456</v>
      </c>
      <c r="F265" s="2" t="s">
        <v>57</v>
      </c>
      <c r="G265" s="6" t="s">
        <v>154</v>
      </c>
      <c r="H265" s="2" t="s">
        <v>246</v>
      </c>
      <c r="I265" s="2" t="s">
        <v>189</v>
      </c>
      <c r="J265" s="2" t="s">
        <v>19</v>
      </c>
      <c r="K265" s="2" t="s">
        <v>1480</v>
      </c>
      <c r="L265" s="7" t="str">
        <f>HYPERLINK("http://slimages.macys.com/is/image/MCY/14856129 ")</f>
        <v xml:space="preserve">http://slimages.macys.com/is/image/MCY/14856129 </v>
      </c>
    </row>
    <row r="266" spans="1:12" ht="24.75" x14ac:dyDescent="0.25">
      <c r="A266" s="4" t="s">
        <v>13968</v>
      </c>
      <c r="B266" s="2" t="s">
        <v>11949</v>
      </c>
      <c r="C266" s="3">
        <v>1</v>
      </c>
      <c r="D266" s="5">
        <v>37.130000000000003</v>
      </c>
      <c r="E266" s="3" t="s">
        <v>11950</v>
      </c>
      <c r="F266" s="2" t="s">
        <v>26</v>
      </c>
      <c r="G266" s="6" t="s">
        <v>156</v>
      </c>
      <c r="H266" s="2" t="s">
        <v>246</v>
      </c>
      <c r="I266" s="2" t="s">
        <v>189</v>
      </c>
      <c r="J266" s="2" t="s">
        <v>19</v>
      </c>
      <c r="K266" s="2" t="s">
        <v>990</v>
      </c>
      <c r="L266" s="7" t="str">
        <f>HYPERLINK("http://slimages.macys.com/is/image/MCY/12048367 ")</f>
        <v xml:space="preserve">http://slimages.macys.com/is/image/MCY/12048367 </v>
      </c>
    </row>
    <row r="267" spans="1:12" ht="24.75" x14ac:dyDescent="0.25">
      <c r="A267" s="4" t="s">
        <v>12955</v>
      </c>
      <c r="B267" s="2" t="s">
        <v>827</v>
      </c>
      <c r="C267" s="3">
        <v>1</v>
      </c>
      <c r="D267" s="5">
        <v>37.130000000000003</v>
      </c>
      <c r="E267" s="3">
        <v>100009535</v>
      </c>
      <c r="F267" s="2" t="s">
        <v>74</v>
      </c>
      <c r="G267" s="6" t="s">
        <v>141</v>
      </c>
      <c r="H267" s="2" t="s">
        <v>194</v>
      </c>
      <c r="I267" s="2" t="s">
        <v>503</v>
      </c>
      <c r="J267" s="2" t="s">
        <v>19</v>
      </c>
      <c r="K267" s="2" t="s">
        <v>353</v>
      </c>
      <c r="L267" s="7" t="str">
        <f>HYPERLINK("http://slimages.macys.com/is/image/MCY/9340634 ")</f>
        <v xml:space="preserve">http://slimages.macys.com/is/image/MCY/9340634 </v>
      </c>
    </row>
    <row r="268" spans="1:12" ht="24.75" x14ac:dyDescent="0.25">
      <c r="A268" s="4" t="s">
        <v>13969</v>
      </c>
      <c r="B268" s="2" t="s">
        <v>832</v>
      </c>
      <c r="C268" s="3">
        <v>1</v>
      </c>
      <c r="D268" s="5">
        <v>37.130000000000003</v>
      </c>
      <c r="E268" s="3">
        <v>100015639</v>
      </c>
      <c r="F268" s="2" t="s">
        <v>111</v>
      </c>
      <c r="G268" s="6" t="s">
        <v>234</v>
      </c>
      <c r="H268" s="2" t="s">
        <v>194</v>
      </c>
      <c r="I268" s="2" t="s">
        <v>195</v>
      </c>
      <c r="J268" s="2" t="s">
        <v>19</v>
      </c>
      <c r="K268" s="2" t="s">
        <v>247</v>
      </c>
      <c r="L268" s="7" t="str">
        <f>HYPERLINK("http://slimages.macys.com/is/image/MCY/13758664 ")</f>
        <v xml:space="preserve">http://slimages.macys.com/is/image/MCY/13758664 </v>
      </c>
    </row>
    <row r="269" spans="1:12" ht="24.75" x14ac:dyDescent="0.25">
      <c r="A269" s="4" t="s">
        <v>13970</v>
      </c>
      <c r="B269" s="2" t="s">
        <v>13971</v>
      </c>
      <c r="C269" s="3">
        <v>1</v>
      </c>
      <c r="D269" s="5">
        <v>44.63</v>
      </c>
      <c r="E269" s="3" t="s">
        <v>13972</v>
      </c>
      <c r="F269" s="2" t="s">
        <v>64</v>
      </c>
      <c r="G269" s="6" t="s">
        <v>154</v>
      </c>
      <c r="H269" s="2" t="s">
        <v>246</v>
      </c>
      <c r="I269" s="2" t="s">
        <v>189</v>
      </c>
      <c r="J269" s="2" t="s">
        <v>19</v>
      </c>
      <c r="K269" s="2" t="s">
        <v>34</v>
      </c>
      <c r="L269" s="7" t="str">
        <f>HYPERLINK("http://slimages.macys.com/is/image/MCY/13580771 ")</f>
        <v xml:space="preserve">http://slimages.macys.com/is/image/MCY/13580771 </v>
      </c>
    </row>
    <row r="270" spans="1:12" ht="24.75" x14ac:dyDescent="0.25">
      <c r="A270" s="4" t="s">
        <v>5628</v>
      </c>
      <c r="B270" s="2" t="s">
        <v>837</v>
      </c>
      <c r="C270" s="3">
        <v>1</v>
      </c>
      <c r="D270" s="5">
        <v>40.880000000000003</v>
      </c>
      <c r="E270" s="3" t="s">
        <v>838</v>
      </c>
      <c r="F270" s="2" t="s">
        <v>57</v>
      </c>
      <c r="G270" s="6" t="s">
        <v>336</v>
      </c>
      <c r="H270" s="2" t="s">
        <v>188</v>
      </c>
      <c r="I270" s="2" t="s">
        <v>189</v>
      </c>
      <c r="J270" s="2" t="s">
        <v>19</v>
      </c>
      <c r="K270" s="2" t="s">
        <v>839</v>
      </c>
      <c r="L270" s="7" t="str">
        <f>HYPERLINK("http://slimages.macys.com/is/image/MCY/11940229 ")</f>
        <v xml:space="preserve">http://slimages.macys.com/is/image/MCY/11940229 </v>
      </c>
    </row>
    <row r="271" spans="1:12" ht="24.75" x14ac:dyDescent="0.25">
      <c r="A271" s="4" t="s">
        <v>2452</v>
      </c>
      <c r="B271" s="2" t="s">
        <v>837</v>
      </c>
      <c r="C271" s="3">
        <v>1</v>
      </c>
      <c r="D271" s="5">
        <v>40.880000000000003</v>
      </c>
      <c r="E271" s="3" t="s">
        <v>838</v>
      </c>
      <c r="F271" s="2" t="s">
        <v>57</v>
      </c>
      <c r="G271" s="6" t="s">
        <v>165</v>
      </c>
      <c r="H271" s="2" t="s">
        <v>188</v>
      </c>
      <c r="I271" s="2" t="s">
        <v>189</v>
      </c>
      <c r="J271" s="2" t="s">
        <v>19</v>
      </c>
      <c r="K271" s="2" t="s">
        <v>839</v>
      </c>
      <c r="L271" s="7" t="str">
        <f>HYPERLINK("http://slimages.macys.com/is/image/MCY/11940229 ")</f>
        <v xml:space="preserve">http://slimages.macys.com/is/image/MCY/11940229 </v>
      </c>
    </row>
    <row r="272" spans="1:12" ht="48.75" x14ac:dyDescent="0.25">
      <c r="A272" s="4" t="s">
        <v>840</v>
      </c>
      <c r="B272" s="2" t="s">
        <v>841</v>
      </c>
      <c r="C272" s="3">
        <v>1</v>
      </c>
      <c r="D272" s="5">
        <v>34.99</v>
      </c>
      <c r="E272" s="3" t="s">
        <v>842</v>
      </c>
      <c r="F272" s="2" t="s">
        <v>26</v>
      </c>
      <c r="G272" s="6" t="s">
        <v>407</v>
      </c>
      <c r="H272" s="2" t="s">
        <v>349</v>
      </c>
      <c r="I272" s="2" t="s">
        <v>408</v>
      </c>
      <c r="J272" s="2" t="s">
        <v>19</v>
      </c>
      <c r="K272" s="2" t="s">
        <v>787</v>
      </c>
      <c r="L272" s="7" t="str">
        <f>HYPERLINK("http://slimages.macys.com/is/image/MCY/3935281 ")</f>
        <v xml:space="preserve">http://slimages.macys.com/is/image/MCY/3935281 </v>
      </c>
    </row>
    <row r="273" spans="1:12" ht="48.75" x14ac:dyDescent="0.25">
      <c r="A273" s="4" t="s">
        <v>2457</v>
      </c>
      <c r="B273" s="2" t="s">
        <v>841</v>
      </c>
      <c r="C273" s="3">
        <v>1</v>
      </c>
      <c r="D273" s="5">
        <v>34.99</v>
      </c>
      <c r="E273" s="3" t="s">
        <v>842</v>
      </c>
      <c r="F273" s="2" t="s">
        <v>26</v>
      </c>
      <c r="G273" s="6" t="s">
        <v>2458</v>
      </c>
      <c r="H273" s="2" t="s">
        <v>349</v>
      </c>
      <c r="I273" s="2" t="s">
        <v>408</v>
      </c>
      <c r="J273" s="2" t="s">
        <v>19</v>
      </c>
      <c r="K273" s="2" t="s">
        <v>787</v>
      </c>
      <c r="L273" s="7" t="str">
        <f>HYPERLINK("http://slimages.macys.com/is/image/MCY/3935281 ")</f>
        <v xml:space="preserve">http://slimages.macys.com/is/image/MCY/3935281 </v>
      </c>
    </row>
    <row r="274" spans="1:12" ht="36.75" x14ac:dyDescent="0.25">
      <c r="A274" s="4" t="s">
        <v>13973</v>
      </c>
      <c r="B274" s="2" t="s">
        <v>3600</v>
      </c>
      <c r="C274" s="3">
        <v>1</v>
      </c>
      <c r="D274" s="5">
        <v>40.880000000000003</v>
      </c>
      <c r="E274" s="3" t="s">
        <v>3601</v>
      </c>
      <c r="F274" s="2" t="s">
        <v>331</v>
      </c>
      <c r="G274" s="6"/>
      <c r="H274" s="2" t="s">
        <v>632</v>
      </c>
      <c r="I274" s="2" t="s">
        <v>458</v>
      </c>
      <c r="J274" s="2" t="s">
        <v>19</v>
      </c>
      <c r="K274" s="2" t="s">
        <v>3555</v>
      </c>
      <c r="L274" s="7" t="str">
        <f>HYPERLINK("http://slimages.macys.com/is/image/MCY/12715149 ")</f>
        <v xml:space="preserve">http://slimages.macys.com/is/image/MCY/12715149 </v>
      </c>
    </row>
    <row r="275" spans="1:12" x14ac:dyDescent="0.25">
      <c r="A275" s="4" t="s">
        <v>13974</v>
      </c>
      <c r="B275" s="2" t="s">
        <v>13975</v>
      </c>
      <c r="C275" s="3">
        <v>1</v>
      </c>
      <c r="D275" s="5">
        <v>69.5</v>
      </c>
      <c r="E275" s="3" t="s">
        <v>13976</v>
      </c>
      <c r="F275" s="2" t="s">
        <v>74</v>
      </c>
      <c r="G275" s="6"/>
      <c r="H275" s="2" t="s">
        <v>206</v>
      </c>
      <c r="I275" s="2" t="s">
        <v>207</v>
      </c>
      <c r="J275" s="2" t="s">
        <v>19</v>
      </c>
      <c r="K275" s="2" t="s">
        <v>34</v>
      </c>
      <c r="L275" s="7" t="str">
        <f>HYPERLINK("http://slimages.macys.com/is/image/MCY/13924559 ")</f>
        <v xml:space="preserve">http://slimages.macys.com/is/image/MCY/13924559 </v>
      </c>
    </row>
    <row r="276" spans="1:12" ht="24.75" x14ac:dyDescent="0.25">
      <c r="A276" s="4" t="s">
        <v>13977</v>
      </c>
      <c r="B276" s="2" t="s">
        <v>13978</v>
      </c>
      <c r="C276" s="3">
        <v>1</v>
      </c>
      <c r="D276" s="5">
        <v>40.880000000000003</v>
      </c>
      <c r="E276" s="3" t="s">
        <v>13979</v>
      </c>
      <c r="F276" s="2" t="s">
        <v>26</v>
      </c>
      <c r="G276" s="6" t="s">
        <v>154</v>
      </c>
      <c r="H276" s="2" t="s">
        <v>284</v>
      </c>
      <c r="I276" s="2" t="s">
        <v>285</v>
      </c>
      <c r="J276" s="2" t="s">
        <v>19</v>
      </c>
      <c r="K276" s="2" t="s">
        <v>160</v>
      </c>
      <c r="L276" s="7" t="str">
        <f>HYPERLINK("http://slimages.macys.com/is/image/MCY/11510065 ")</f>
        <v xml:space="preserve">http://slimages.macys.com/is/image/MCY/11510065 </v>
      </c>
    </row>
    <row r="277" spans="1:12" ht="24.75" x14ac:dyDescent="0.25">
      <c r="A277" s="4" t="s">
        <v>13980</v>
      </c>
      <c r="B277" s="2" t="s">
        <v>13981</v>
      </c>
      <c r="C277" s="3">
        <v>1</v>
      </c>
      <c r="D277" s="5">
        <v>69.5</v>
      </c>
      <c r="E277" s="3" t="s">
        <v>13982</v>
      </c>
      <c r="F277" s="2" t="s">
        <v>252</v>
      </c>
      <c r="G277" s="6" t="s">
        <v>22</v>
      </c>
      <c r="H277" s="2" t="s">
        <v>386</v>
      </c>
      <c r="I277" s="2" t="s">
        <v>207</v>
      </c>
      <c r="J277" s="2" t="s">
        <v>19</v>
      </c>
      <c r="K277" s="2" t="s">
        <v>387</v>
      </c>
      <c r="L277" s="7" t="str">
        <f>HYPERLINK("http://slimages.macys.com/is/image/MCY/8755891 ")</f>
        <v xml:space="preserve">http://slimages.macys.com/is/image/MCY/8755891 </v>
      </c>
    </row>
    <row r="278" spans="1:12" ht="24.75" x14ac:dyDescent="0.25">
      <c r="A278" s="4" t="s">
        <v>12971</v>
      </c>
      <c r="B278" s="2" t="s">
        <v>913</v>
      </c>
      <c r="C278" s="3">
        <v>1</v>
      </c>
      <c r="D278" s="5">
        <v>40.880000000000003</v>
      </c>
      <c r="E278" s="3" t="s">
        <v>10701</v>
      </c>
      <c r="F278" s="2" t="s">
        <v>413</v>
      </c>
      <c r="G278" s="6" t="s">
        <v>156</v>
      </c>
      <c r="H278" s="2" t="s">
        <v>194</v>
      </c>
      <c r="I278" s="2" t="s">
        <v>195</v>
      </c>
      <c r="J278" s="2" t="s">
        <v>19</v>
      </c>
      <c r="K278" s="2" t="s">
        <v>34</v>
      </c>
      <c r="L278" s="7" t="str">
        <f>HYPERLINK("http://slimages.macys.com/is/image/MCY/12279885 ")</f>
        <v xml:space="preserve">http://slimages.macys.com/is/image/MCY/12279885 </v>
      </c>
    </row>
    <row r="279" spans="1:12" ht="24.75" x14ac:dyDescent="0.25">
      <c r="A279" s="4" t="s">
        <v>13983</v>
      </c>
      <c r="B279" s="2" t="s">
        <v>913</v>
      </c>
      <c r="C279" s="3">
        <v>1</v>
      </c>
      <c r="D279" s="5">
        <v>40.880000000000003</v>
      </c>
      <c r="E279" s="3" t="s">
        <v>10703</v>
      </c>
      <c r="F279" s="2" t="s">
        <v>15</v>
      </c>
      <c r="G279" s="6" t="s">
        <v>181</v>
      </c>
      <c r="H279" s="2" t="s">
        <v>194</v>
      </c>
      <c r="I279" s="2" t="s">
        <v>195</v>
      </c>
      <c r="J279" s="2" t="s">
        <v>19</v>
      </c>
      <c r="K279" s="2" t="s">
        <v>34</v>
      </c>
      <c r="L279" s="7" t="str">
        <f>HYPERLINK("http://slimages.macys.com/is/image/MCY/12279885 ")</f>
        <v xml:space="preserve">http://slimages.macys.com/is/image/MCY/12279885 </v>
      </c>
    </row>
    <row r="280" spans="1:12" ht="24.75" x14ac:dyDescent="0.25">
      <c r="A280" s="4" t="s">
        <v>2481</v>
      </c>
      <c r="B280" s="2" t="s">
        <v>876</v>
      </c>
      <c r="C280" s="3">
        <v>2</v>
      </c>
      <c r="D280" s="5">
        <v>34.5</v>
      </c>
      <c r="E280" s="3" t="s">
        <v>877</v>
      </c>
      <c r="F280" s="2" t="s">
        <v>878</v>
      </c>
      <c r="G280" s="6" t="s">
        <v>934</v>
      </c>
      <c r="H280" s="2" t="s">
        <v>426</v>
      </c>
      <c r="I280" s="2" t="s">
        <v>229</v>
      </c>
      <c r="J280" s="2" t="s">
        <v>19</v>
      </c>
      <c r="K280" s="2" t="s">
        <v>253</v>
      </c>
      <c r="L280" s="7" t="str">
        <f>HYPERLINK("http://slimages.macys.com/is/image/MCY/1290325 ")</f>
        <v xml:space="preserve">http://slimages.macys.com/is/image/MCY/1290325 </v>
      </c>
    </row>
    <row r="281" spans="1:12" ht="24.75" x14ac:dyDescent="0.25">
      <c r="A281" s="4" t="s">
        <v>13984</v>
      </c>
      <c r="B281" s="2" t="s">
        <v>880</v>
      </c>
      <c r="C281" s="3">
        <v>1</v>
      </c>
      <c r="D281" s="5">
        <v>34.5</v>
      </c>
      <c r="E281" s="3" t="s">
        <v>881</v>
      </c>
      <c r="F281" s="2" t="s">
        <v>111</v>
      </c>
      <c r="G281" s="6" t="s">
        <v>16</v>
      </c>
      <c r="H281" s="2" t="s">
        <v>228</v>
      </c>
      <c r="I281" s="2" t="s">
        <v>229</v>
      </c>
      <c r="J281" s="2" t="s">
        <v>19</v>
      </c>
      <c r="K281" s="2" t="s">
        <v>253</v>
      </c>
      <c r="L281" s="7" t="str">
        <f>HYPERLINK("http://slimages.macys.com/is/image/MCY/9867135 ")</f>
        <v xml:space="preserve">http://slimages.macys.com/is/image/MCY/9867135 </v>
      </c>
    </row>
    <row r="282" spans="1:12" ht="24.75" x14ac:dyDescent="0.25">
      <c r="A282" s="4" t="s">
        <v>3619</v>
      </c>
      <c r="B282" s="2" t="s">
        <v>880</v>
      </c>
      <c r="C282" s="3">
        <v>1</v>
      </c>
      <c r="D282" s="5">
        <v>34.5</v>
      </c>
      <c r="E282" s="3" t="s">
        <v>881</v>
      </c>
      <c r="F282" s="2" t="s">
        <v>111</v>
      </c>
      <c r="G282" s="6" t="s">
        <v>58</v>
      </c>
      <c r="H282" s="2" t="s">
        <v>228</v>
      </c>
      <c r="I282" s="2" t="s">
        <v>229</v>
      </c>
      <c r="J282" s="2" t="s">
        <v>19</v>
      </c>
      <c r="K282" s="2" t="s">
        <v>253</v>
      </c>
      <c r="L282" s="7" t="str">
        <f>HYPERLINK("http://slimages.macys.com/is/image/MCY/9867135 ")</f>
        <v xml:space="preserve">http://slimages.macys.com/is/image/MCY/9867135 </v>
      </c>
    </row>
    <row r="283" spans="1:12" ht="24.75" x14ac:dyDescent="0.25">
      <c r="A283" s="4" t="s">
        <v>13985</v>
      </c>
      <c r="B283" s="2" t="s">
        <v>5638</v>
      </c>
      <c r="C283" s="3">
        <v>1</v>
      </c>
      <c r="D283" s="5">
        <v>44.63</v>
      </c>
      <c r="E283" s="3" t="s">
        <v>5639</v>
      </c>
      <c r="F283" s="2" t="s">
        <v>376</v>
      </c>
      <c r="G283" s="6" t="s">
        <v>154</v>
      </c>
      <c r="H283" s="2" t="s">
        <v>194</v>
      </c>
      <c r="I283" s="2" t="s">
        <v>195</v>
      </c>
      <c r="J283" s="2" t="s">
        <v>19</v>
      </c>
      <c r="K283" s="2" t="s">
        <v>160</v>
      </c>
      <c r="L283" s="7" t="str">
        <f>HYPERLINK("http://slimages.macys.com/is/image/MCY/12739319 ")</f>
        <v xml:space="preserve">http://slimages.macys.com/is/image/MCY/12739319 </v>
      </c>
    </row>
    <row r="284" spans="1:12" ht="24.75" x14ac:dyDescent="0.25">
      <c r="A284" s="4" t="s">
        <v>13986</v>
      </c>
      <c r="B284" s="2" t="s">
        <v>926</v>
      </c>
      <c r="C284" s="3">
        <v>1</v>
      </c>
      <c r="D284" s="5">
        <v>37.130000000000003</v>
      </c>
      <c r="E284" s="3">
        <v>100009311</v>
      </c>
      <c r="F284" s="2" t="s">
        <v>26</v>
      </c>
      <c r="G284" s="6" t="s">
        <v>22</v>
      </c>
      <c r="H284" s="2" t="s">
        <v>194</v>
      </c>
      <c r="I284" s="2" t="s">
        <v>928</v>
      </c>
      <c r="J284" s="2" t="s">
        <v>19</v>
      </c>
      <c r="K284" s="2" t="s">
        <v>929</v>
      </c>
      <c r="L284" s="7" t="str">
        <f>HYPERLINK("http://slimages.macys.com/is/image/MCY/10249270 ")</f>
        <v xml:space="preserve">http://slimages.macys.com/is/image/MCY/10249270 </v>
      </c>
    </row>
    <row r="285" spans="1:12" ht="24.75" x14ac:dyDescent="0.25">
      <c r="A285" s="4" t="s">
        <v>13987</v>
      </c>
      <c r="B285" s="2" t="s">
        <v>926</v>
      </c>
      <c r="C285" s="3">
        <v>1</v>
      </c>
      <c r="D285" s="5">
        <v>37.130000000000003</v>
      </c>
      <c r="E285" s="3">
        <v>100009311</v>
      </c>
      <c r="F285" s="2" t="s">
        <v>506</v>
      </c>
      <c r="G285" s="6" t="s">
        <v>58</v>
      </c>
      <c r="H285" s="2" t="s">
        <v>194</v>
      </c>
      <c r="I285" s="2" t="s">
        <v>928</v>
      </c>
      <c r="J285" s="2" t="s">
        <v>19</v>
      </c>
      <c r="K285" s="2" t="s">
        <v>929</v>
      </c>
      <c r="L285" s="7" t="str">
        <f>HYPERLINK("http://slimages.macys.com/is/image/MCY/10249270 ")</f>
        <v xml:space="preserve">http://slimages.macys.com/is/image/MCY/10249270 </v>
      </c>
    </row>
    <row r="286" spans="1:12" ht="24.75" x14ac:dyDescent="0.25">
      <c r="A286" s="4" t="s">
        <v>13988</v>
      </c>
      <c r="B286" s="2" t="s">
        <v>3640</v>
      </c>
      <c r="C286" s="3">
        <v>1</v>
      </c>
      <c r="D286" s="5">
        <v>44.63</v>
      </c>
      <c r="E286" s="3" t="s">
        <v>3641</v>
      </c>
      <c r="F286" s="2" t="s">
        <v>572</v>
      </c>
      <c r="G286" s="6" t="s">
        <v>4873</v>
      </c>
      <c r="H286" s="2" t="s">
        <v>246</v>
      </c>
      <c r="I286" s="2" t="s">
        <v>487</v>
      </c>
      <c r="J286" s="2" t="s">
        <v>19</v>
      </c>
      <c r="K286" s="2" t="s">
        <v>409</v>
      </c>
      <c r="L286" s="7" t="str">
        <f>HYPERLINK("http://slimages.macys.com/is/image/MCY/10297488 ")</f>
        <v xml:space="preserve">http://slimages.macys.com/is/image/MCY/10297488 </v>
      </c>
    </row>
    <row r="287" spans="1:12" ht="24.75" x14ac:dyDescent="0.25">
      <c r="A287" s="4" t="s">
        <v>13989</v>
      </c>
      <c r="B287" s="2" t="s">
        <v>13990</v>
      </c>
      <c r="C287" s="3">
        <v>2</v>
      </c>
      <c r="D287" s="5">
        <v>37.130000000000003</v>
      </c>
      <c r="E287" s="3" t="s">
        <v>13991</v>
      </c>
      <c r="F287" s="2" t="s">
        <v>3267</v>
      </c>
      <c r="G287" s="6" t="s">
        <v>181</v>
      </c>
      <c r="H287" s="2" t="s">
        <v>194</v>
      </c>
      <c r="I287" s="2" t="s">
        <v>195</v>
      </c>
      <c r="J287" s="2" t="s">
        <v>19</v>
      </c>
      <c r="K287" s="2" t="s">
        <v>648</v>
      </c>
      <c r="L287" s="7" t="str">
        <f>HYPERLINK("http://slimages.macys.com/is/image/MCY/13316408 ")</f>
        <v xml:space="preserve">http://slimages.macys.com/is/image/MCY/13316408 </v>
      </c>
    </row>
    <row r="288" spans="1:12" ht="24.75" x14ac:dyDescent="0.25">
      <c r="A288" s="4" t="s">
        <v>13992</v>
      </c>
      <c r="B288" s="2" t="s">
        <v>13990</v>
      </c>
      <c r="C288" s="3">
        <v>3</v>
      </c>
      <c r="D288" s="5">
        <v>37.130000000000003</v>
      </c>
      <c r="E288" s="3" t="s">
        <v>13991</v>
      </c>
      <c r="F288" s="2" t="s">
        <v>3267</v>
      </c>
      <c r="G288" s="6" t="s">
        <v>156</v>
      </c>
      <c r="H288" s="2" t="s">
        <v>194</v>
      </c>
      <c r="I288" s="2" t="s">
        <v>195</v>
      </c>
      <c r="J288" s="2" t="s">
        <v>19</v>
      </c>
      <c r="K288" s="2" t="s">
        <v>648</v>
      </c>
      <c r="L288" s="7" t="str">
        <f>HYPERLINK("http://slimages.macys.com/is/image/MCY/13316408 ")</f>
        <v xml:space="preserve">http://slimages.macys.com/is/image/MCY/13316408 </v>
      </c>
    </row>
    <row r="289" spans="1:12" ht="24.75" x14ac:dyDescent="0.25">
      <c r="A289" s="4" t="s">
        <v>13993</v>
      </c>
      <c r="B289" s="2" t="s">
        <v>13990</v>
      </c>
      <c r="C289" s="3">
        <v>2</v>
      </c>
      <c r="D289" s="5">
        <v>37.130000000000003</v>
      </c>
      <c r="E289" s="3" t="s">
        <v>13991</v>
      </c>
      <c r="F289" s="2" t="s">
        <v>3267</v>
      </c>
      <c r="G289" s="6" t="s">
        <v>234</v>
      </c>
      <c r="H289" s="2" t="s">
        <v>194</v>
      </c>
      <c r="I289" s="2" t="s">
        <v>195</v>
      </c>
      <c r="J289" s="2" t="s">
        <v>19</v>
      </c>
      <c r="K289" s="2" t="s">
        <v>648</v>
      </c>
      <c r="L289" s="7" t="str">
        <f>HYPERLINK("http://slimages.macys.com/is/image/MCY/13316408 ")</f>
        <v xml:space="preserve">http://slimages.macys.com/is/image/MCY/13316408 </v>
      </c>
    </row>
    <row r="290" spans="1:12" ht="24.75" x14ac:dyDescent="0.25">
      <c r="A290" s="4" t="s">
        <v>13994</v>
      </c>
      <c r="B290" s="2" t="s">
        <v>7283</v>
      </c>
      <c r="C290" s="3">
        <v>1</v>
      </c>
      <c r="D290" s="5">
        <v>29.99</v>
      </c>
      <c r="E290" s="3" t="s">
        <v>13995</v>
      </c>
      <c r="F290" s="2" t="s">
        <v>136</v>
      </c>
      <c r="G290" s="6"/>
      <c r="H290" s="2" t="s">
        <v>632</v>
      </c>
      <c r="I290" s="2" t="s">
        <v>408</v>
      </c>
      <c r="J290" s="2" t="s">
        <v>19</v>
      </c>
      <c r="K290" s="2" t="s">
        <v>13996</v>
      </c>
      <c r="L290" s="7" t="str">
        <f>HYPERLINK("http://slimages.macys.com/is/image/MCY/9863772 ")</f>
        <v xml:space="preserve">http://slimages.macys.com/is/image/MCY/9863772 </v>
      </c>
    </row>
    <row r="291" spans="1:12" ht="24.75" x14ac:dyDescent="0.25">
      <c r="A291" s="4" t="s">
        <v>13997</v>
      </c>
      <c r="B291" s="2" t="s">
        <v>7283</v>
      </c>
      <c r="C291" s="3">
        <v>1</v>
      </c>
      <c r="D291" s="5">
        <v>29.99</v>
      </c>
      <c r="E291" s="3" t="s">
        <v>13995</v>
      </c>
      <c r="F291" s="2" t="s">
        <v>26</v>
      </c>
      <c r="G291" s="6"/>
      <c r="H291" s="2" t="s">
        <v>632</v>
      </c>
      <c r="I291" s="2" t="s">
        <v>408</v>
      </c>
      <c r="J291" s="2" t="s">
        <v>19</v>
      </c>
      <c r="K291" s="2" t="s">
        <v>13996</v>
      </c>
      <c r="L291" s="7" t="str">
        <f>HYPERLINK("http://slimages.macys.com/is/image/MCY/9863772 ")</f>
        <v xml:space="preserve">http://slimages.macys.com/is/image/MCY/9863772 </v>
      </c>
    </row>
    <row r="292" spans="1:12" ht="24.75" x14ac:dyDescent="0.25">
      <c r="A292" s="4" t="s">
        <v>4730</v>
      </c>
      <c r="B292" s="2" t="s">
        <v>904</v>
      </c>
      <c r="C292" s="3">
        <v>1</v>
      </c>
      <c r="D292" s="5">
        <v>34.5</v>
      </c>
      <c r="E292" s="3" t="s">
        <v>905</v>
      </c>
      <c r="F292" s="2" t="s">
        <v>74</v>
      </c>
      <c r="G292" s="6" t="s">
        <v>245</v>
      </c>
      <c r="H292" s="2" t="s">
        <v>228</v>
      </c>
      <c r="I292" s="2" t="s">
        <v>229</v>
      </c>
      <c r="J292" s="2" t="s">
        <v>19</v>
      </c>
      <c r="K292" s="2" t="s">
        <v>253</v>
      </c>
      <c r="L292" s="7" t="str">
        <f>HYPERLINK("http://slimages.macys.com/is/image/MCY/12794164 ")</f>
        <v xml:space="preserve">http://slimages.macys.com/is/image/MCY/12794164 </v>
      </c>
    </row>
    <row r="293" spans="1:12" ht="24.75" x14ac:dyDescent="0.25">
      <c r="A293" s="4" t="s">
        <v>906</v>
      </c>
      <c r="B293" s="2" t="s">
        <v>904</v>
      </c>
      <c r="C293" s="3">
        <v>2</v>
      </c>
      <c r="D293" s="5">
        <v>34.5</v>
      </c>
      <c r="E293" s="3" t="s">
        <v>907</v>
      </c>
      <c r="F293" s="2" t="s">
        <v>26</v>
      </c>
      <c r="G293" s="6" t="s">
        <v>154</v>
      </c>
      <c r="H293" s="2" t="s">
        <v>228</v>
      </c>
      <c r="I293" s="2" t="s">
        <v>229</v>
      </c>
      <c r="J293" s="2" t="s">
        <v>19</v>
      </c>
      <c r="K293" s="2" t="s">
        <v>253</v>
      </c>
      <c r="L293" s="7" t="str">
        <f>HYPERLINK("http://slimages.macys.com/is/image/MCY/12794164 ")</f>
        <v xml:space="preserve">http://slimages.macys.com/is/image/MCY/12794164 </v>
      </c>
    </row>
    <row r="294" spans="1:12" ht="24.75" x14ac:dyDescent="0.25">
      <c r="A294" s="4" t="s">
        <v>8597</v>
      </c>
      <c r="B294" s="2" t="s">
        <v>8598</v>
      </c>
      <c r="C294" s="3">
        <v>1</v>
      </c>
      <c r="D294" s="5">
        <v>44.63</v>
      </c>
      <c r="E294" s="3" t="s">
        <v>8599</v>
      </c>
      <c r="F294" s="2" t="s">
        <v>132</v>
      </c>
      <c r="G294" s="6" t="s">
        <v>219</v>
      </c>
      <c r="H294" s="2" t="s">
        <v>188</v>
      </c>
      <c r="I294" s="2" t="s">
        <v>189</v>
      </c>
      <c r="J294" s="2" t="s">
        <v>19</v>
      </c>
      <c r="K294" s="2" t="s">
        <v>107</v>
      </c>
      <c r="L294" s="7" t="str">
        <f>HYPERLINK("http://slimages.macys.com/is/image/MCY/13330168 ")</f>
        <v xml:space="preserve">http://slimages.macys.com/is/image/MCY/13330168 </v>
      </c>
    </row>
    <row r="295" spans="1:12" ht="24.75" x14ac:dyDescent="0.25">
      <c r="A295" s="4" t="s">
        <v>13998</v>
      </c>
      <c r="B295" s="2" t="s">
        <v>8598</v>
      </c>
      <c r="C295" s="3">
        <v>1</v>
      </c>
      <c r="D295" s="5">
        <v>44.63</v>
      </c>
      <c r="E295" s="3" t="s">
        <v>10714</v>
      </c>
      <c r="F295" s="2" t="s">
        <v>132</v>
      </c>
      <c r="G295" s="6" t="s">
        <v>200</v>
      </c>
      <c r="H295" s="2" t="s">
        <v>246</v>
      </c>
      <c r="I295" s="2" t="s">
        <v>189</v>
      </c>
      <c r="J295" s="2" t="s">
        <v>19</v>
      </c>
      <c r="K295" s="2" t="s">
        <v>648</v>
      </c>
      <c r="L295" s="7" t="str">
        <f>HYPERLINK("http://slimages.macys.com/is/image/MCY/13330176 ")</f>
        <v xml:space="preserve">http://slimages.macys.com/is/image/MCY/13330176 </v>
      </c>
    </row>
    <row r="296" spans="1:12" ht="24.75" x14ac:dyDescent="0.25">
      <c r="A296" s="4" t="s">
        <v>13999</v>
      </c>
      <c r="B296" s="2" t="s">
        <v>5653</v>
      </c>
      <c r="C296" s="3">
        <v>1</v>
      </c>
      <c r="D296" s="5">
        <v>52.13</v>
      </c>
      <c r="E296" s="3" t="s">
        <v>5654</v>
      </c>
      <c r="F296" s="2" t="s">
        <v>5655</v>
      </c>
      <c r="G296" s="6" t="s">
        <v>934</v>
      </c>
      <c r="H296" s="2" t="s">
        <v>188</v>
      </c>
      <c r="I296" s="2" t="s">
        <v>487</v>
      </c>
      <c r="J296" s="2" t="s">
        <v>19</v>
      </c>
      <c r="K296" s="2" t="s">
        <v>409</v>
      </c>
      <c r="L296" s="7" t="str">
        <f>HYPERLINK("http://slimages.macys.com/is/image/MCY/12894162 ")</f>
        <v xml:space="preserve">http://slimages.macys.com/is/image/MCY/12894162 </v>
      </c>
    </row>
    <row r="297" spans="1:12" ht="24.75" x14ac:dyDescent="0.25">
      <c r="A297" s="4" t="s">
        <v>14000</v>
      </c>
      <c r="B297" s="2" t="s">
        <v>941</v>
      </c>
      <c r="C297" s="3">
        <v>1</v>
      </c>
      <c r="D297" s="5">
        <v>40.880000000000003</v>
      </c>
      <c r="E297" s="3" t="s">
        <v>12987</v>
      </c>
      <c r="F297" s="2" t="s">
        <v>74</v>
      </c>
      <c r="G297" s="6" t="s">
        <v>27</v>
      </c>
      <c r="H297" s="2" t="s">
        <v>213</v>
      </c>
      <c r="I297" s="2" t="s">
        <v>214</v>
      </c>
      <c r="J297" s="2" t="s">
        <v>19</v>
      </c>
      <c r="K297" s="2" t="s">
        <v>215</v>
      </c>
      <c r="L297" s="7" t="str">
        <f>HYPERLINK("http://slimages.macys.com/is/image/MCY/11699651 ")</f>
        <v xml:space="preserve">http://slimages.macys.com/is/image/MCY/11699651 </v>
      </c>
    </row>
    <row r="298" spans="1:12" ht="24.75" x14ac:dyDescent="0.25">
      <c r="A298" s="4" t="s">
        <v>14001</v>
      </c>
      <c r="B298" s="2" t="s">
        <v>14002</v>
      </c>
      <c r="C298" s="3">
        <v>1</v>
      </c>
      <c r="D298" s="5">
        <v>40.880000000000003</v>
      </c>
      <c r="E298" s="3" t="s">
        <v>14003</v>
      </c>
      <c r="F298" s="2" t="s">
        <v>70</v>
      </c>
      <c r="G298" s="6"/>
      <c r="H298" s="2" t="s">
        <v>312</v>
      </c>
      <c r="I298" s="2" t="s">
        <v>195</v>
      </c>
      <c r="J298" s="2"/>
      <c r="K298" s="2"/>
      <c r="L298" s="7" t="str">
        <f>HYPERLINK("http://slimages.macys.com/is/image/MCY/11268634 ")</f>
        <v xml:space="preserve">http://slimages.macys.com/is/image/MCY/11268634 </v>
      </c>
    </row>
    <row r="299" spans="1:12" ht="24.75" x14ac:dyDescent="0.25">
      <c r="A299" s="4" t="s">
        <v>11980</v>
      </c>
      <c r="B299" s="2" t="s">
        <v>10724</v>
      </c>
      <c r="C299" s="3">
        <v>1</v>
      </c>
      <c r="D299" s="5">
        <v>37.130000000000003</v>
      </c>
      <c r="E299" s="3">
        <v>100013675</v>
      </c>
      <c r="F299" s="2" t="s">
        <v>111</v>
      </c>
      <c r="G299" s="6" t="s">
        <v>156</v>
      </c>
      <c r="H299" s="2" t="s">
        <v>194</v>
      </c>
      <c r="I299" s="2" t="s">
        <v>503</v>
      </c>
      <c r="J299" s="2" t="s">
        <v>19</v>
      </c>
      <c r="K299" s="2" t="s">
        <v>546</v>
      </c>
      <c r="L299" s="7" t="str">
        <f>HYPERLINK("http://slimages.macys.com/is/image/MCY/9340718 ")</f>
        <v xml:space="preserve">http://slimages.macys.com/is/image/MCY/9340718 </v>
      </c>
    </row>
    <row r="300" spans="1:12" ht="24.75" x14ac:dyDescent="0.25">
      <c r="A300" s="4" t="s">
        <v>7308</v>
      </c>
      <c r="B300" s="2" t="s">
        <v>808</v>
      </c>
      <c r="C300" s="3">
        <v>1</v>
      </c>
      <c r="D300" s="5">
        <v>37.130000000000003</v>
      </c>
      <c r="E300" s="3" t="s">
        <v>5680</v>
      </c>
      <c r="F300" s="2" t="s">
        <v>170</v>
      </c>
      <c r="G300" s="6"/>
      <c r="H300" s="2" t="s">
        <v>312</v>
      </c>
      <c r="I300" s="2" t="s">
        <v>503</v>
      </c>
      <c r="J300" s="2" t="s">
        <v>19</v>
      </c>
      <c r="K300" s="2" t="s">
        <v>546</v>
      </c>
      <c r="L300" s="7" t="str">
        <f>HYPERLINK("http://slimages.macys.com/is/image/MCY/12144056 ")</f>
        <v xml:space="preserve">http://slimages.macys.com/is/image/MCY/12144056 </v>
      </c>
    </row>
    <row r="301" spans="1:12" ht="24.75" x14ac:dyDescent="0.25">
      <c r="A301" s="4" t="s">
        <v>12993</v>
      </c>
      <c r="B301" s="2" t="s">
        <v>10724</v>
      </c>
      <c r="C301" s="3">
        <v>1</v>
      </c>
      <c r="D301" s="5">
        <v>37.130000000000003</v>
      </c>
      <c r="E301" s="3">
        <v>100013675</v>
      </c>
      <c r="F301" s="2" t="s">
        <v>33</v>
      </c>
      <c r="G301" s="6" t="s">
        <v>181</v>
      </c>
      <c r="H301" s="2" t="s">
        <v>194</v>
      </c>
      <c r="I301" s="2" t="s">
        <v>503</v>
      </c>
      <c r="J301" s="2" t="s">
        <v>19</v>
      </c>
      <c r="K301" s="2" t="s">
        <v>546</v>
      </c>
      <c r="L301" s="7" t="str">
        <f>HYPERLINK("http://slimages.macys.com/is/image/MCY/9340718 ")</f>
        <v xml:space="preserve">http://slimages.macys.com/is/image/MCY/9340718 </v>
      </c>
    </row>
    <row r="302" spans="1:12" ht="36.75" x14ac:dyDescent="0.25">
      <c r="A302" s="4" t="s">
        <v>10735</v>
      </c>
      <c r="B302" s="2" t="s">
        <v>964</v>
      </c>
      <c r="C302" s="3">
        <v>2</v>
      </c>
      <c r="D302" s="5">
        <v>37.130000000000003</v>
      </c>
      <c r="E302" s="3">
        <v>100026210</v>
      </c>
      <c r="F302" s="2" t="s">
        <v>376</v>
      </c>
      <c r="G302" s="6" t="s">
        <v>234</v>
      </c>
      <c r="H302" s="2" t="s">
        <v>194</v>
      </c>
      <c r="I302" s="2" t="s">
        <v>195</v>
      </c>
      <c r="J302" s="2" t="s">
        <v>19</v>
      </c>
      <c r="K302" s="2" t="s">
        <v>965</v>
      </c>
      <c r="L302" s="7" t="str">
        <f>HYPERLINK("http://slimages.macys.com/is/image/MCY/10049790 ")</f>
        <v xml:space="preserve">http://slimages.macys.com/is/image/MCY/10049790 </v>
      </c>
    </row>
    <row r="303" spans="1:12" ht="36.75" x14ac:dyDescent="0.25">
      <c r="A303" s="4" t="s">
        <v>11984</v>
      </c>
      <c r="B303" s="2" t="s">
        <v>964</v>
      </c>
      <c r="C303" s="3">
        <v>1</v>
      </c>
      <c r="D303" s="5">
        <v>37.130000000000003</v>
      </c>
      <c r="E303" s="3">
        <v>100026210</v>
      </c>
      <c r="F303" s="2" t="s">
        <v>376</v>
      </c>
      <c r="G303" s="6" t="s">
        <v>156</v>
      </c>
      <c r="H303" s="2" t="s">
        <v>194</v>
      </c>
      <c r="I303" s="2" t="s">
        <v>195</v>
      </c>
      <c r="J303" s="2" t="s">
        <v>19</v>
      </c>
      <c r="K303" s="2" t="s">
        <v>965</v>
      </c>
      <c r="L303" s="7" t="str">
        <f>HYPERLINK("http://slimages.macys.com/is/image/MCY/10049790 ")</f>
        <v xml:space="preserve">http://slimages.macys.com/is/image/MCY/10049790 </v>
      </c>
    </row>
    <row r="304" spans="1:12" ht="24.75" x14ac:dyDescent="0.25">
      <c r="A304" s="4" t="s">
        <v>10740</v>
      </c>
      <c r="B304" s="2" t="s">
        <v>1002</v>
      </c>
      <c r="C304" s="3">
        <v>1</v>
      </c>
      <c r="D304" s="5">
        <v>44.63</v>
      </c>
      <c r="E304" s="3">
        <v>100015592</v>
      </c>
      <c r="F304" s="2" t="s">
        <v>15</v>
      </c>
      <c r="G304" s="6" t="s">
        <v>154</v>
      </c>
      <c r="H304" s="2" t="s">
        <v>194</v>
      </c>
      <c r="I304" s="2" t="s">
        <v>195</v>
      </c>
      <c r="J304" s="2" t="s">
        <v>19</v>
      </c>
      <c r="K304" s="2" t="s">
        <v>137</v>
      </c>
      <c r="L304" s="7" t="str">
        <f>HYPERLINK("http://slimages.macys.com/is/image/MCY/9653304 ")</f>
        <v xml:space="preserve">http://slimages.macys.com/is/image/MCY/9653304 </v>
      </c>
    </row>
    <row r="305" spans="1:12" ht="24.75" x14ac:dyDescent="0.25">
      <c r="A305" s="4" t="s">
        <v>14004</v>
      </c>
      <c r="B305" s="2" t="s">
        <v>9508</v>
      </c>
      <c r="C305" s="3">
        <v>2</v>
      </c>
      <c r="D305" s="5">
        <v>27.99</v>
      </c>
      <c r="E305" s="3">
        <v>100011587</v>
      </c>
      <c r="F305" s="2" t="s">
        <v>64</v>
      </c>
      <c r="G305" s="6" t="s">
        <v>234</v>
      </c>
      <c r="H305" s="2" t="s">
        <v>194</v>
      </c>
      <c r="I305" s="2" t="s">
        <v>1922</v>
      </c>
      <c r="J305" s="2" t="s">
        <v>19</v>
      </c>
      <c r="K305" s="2" t="s">
        <v>338</v>
      </c>
      <c r="L305" s="7" t="str">
        <f>HYPERLINK("http://slimages.macys.com/is/image/MCY/9029329 ")</f>
        <v xml:space="preserve">http://slimages.macys.com/is/image/MCY/9029329 </v>
      </c>
    </row>
    <row r="306" spans="1:12" ht="24.75" x14ac:dyDescent="0.25">
      <c r="A306" s="4" t="s">
        <v>14005</v>
      </c>
      <c r="B306" s="2" t="s">
        <v>12002</v>
      </c>
      <c r="C306" s="3">
        <v>1</v>
      </c>
      <c r="D306" s="5">
        <v>40.880000000000003</v>
      </c>
      <c r="E306" s="3" t="s">
        <v>14006</v>
      </c>
      <c r="F306" s="2" t="s">
        <v>566</v>
      </c>
      <c r="G306" s="6" t="s">
        <v>234</v>
      </c>
      <c r="H306" s="2" t="s">
        <v>194</v>
      </c>
      <c r="I306" s="2" t="s">
        <v>195</v>
      </c>
      <c r="J306" s="2" t="s">
        <v>19</v>
      </c>
      <c r="K306" s="2" t="s">
        <v>160</v>
      </c>
      <c r="L306" s="7" t="str">
        <f>HYPERLINK("http://slimages.macys.com/is/image/MCY/13766392 ")</f>
        <v xml:space="preserve">http://slimages.macys.com/is/image/MCY/13766392 </v>
      </c>
    </row>
    <row r="307" spans="1:12" ht="24.75" x14ac:dyDescent="0.25">
      <c r="A307" s="4" t="s">
        <v>14007</v>
      </c>
      <c r="B307" s="2" t="s">
        <v>12002</v>
      </c>
      <c r="C307" s="3">
        <v>1</v>
      </c>
      <c r="D307" s="5">
        <v>40.880000000000003</v>
      </c>
      <c r="E307" s="3" t="s">
        <v>14006</v>
      </c>
      <c r="F307" s="2" t="s">
        <v>566</v>
      </c>
      <c r="G307" s="6" t="s">
        <v>156</v>
      </c>
      <c r="H307" s="2" t="s">
        <v>194</v>
      </c>
      <c r="I307" s="2" t="s">
        <v>195</v>
      </c>
      <c r="J307" s="2" t="s">
        <v>19</v>
      </c>
      <c r="K307" s="2" t="s">
        <v>160</v>
      </c>
      <c r="L307" s="7" t="str">
        <f>HYPERLINK("http://slimages.macys.com/is/image/MCY/13766392 ")</f>
        <v xml:space="preserve">http://slimages.macys.com/is/image/MCY/13766392 </v>
      </c>
    </row>
    <row r="308" spans="1:12" ht="24.75" x14ac:dyDescent="0.25">
      <c r="A308" s="4" t="s">
        <v>14008</v>
      </c>
      <c r="B308" s="2" t="s">
        <v>12002</v>
      </c>
      <c r="C308" s="3">
        <v>1</v>
      </c>
      <c r="D308" s="5">
        <v>40.880000000000003</v>
      </c>
      <c r="E308" s="3" t="s">
        <v>14006</v>
      </c>
      <c r="F308" s="2" t="s">
        <v>566</v>
      </c>
      <c r="G308" s="6" t="s">
        <v>200</v>
      </c>
      <c r="H308" s="2" t="s">
        <v>194</v>
      </c>
      <c r="I308" s="2" t="s">
        <v>195</v>
      </c>
      <c r="J308" s="2" t="s">
        <v>19</v>
      </c>
      <c r="K308" s="2" t="s">
        <v>160</v>
      </c>
      <c r="L308" s="7" t="str">
        <f>HYPERLINK("http://slimages.macys.com/is/image/MCY/13766392 ")</f>
        <v xml:space="preserve">http://slimages.macys.com/is/image/MCY/13766392 </v>
      </c>
    </row>
    <row r="309" spans="1:12" ht="24.75" x14ac:dyDescent="0.25">
      <c r="A309" s="4" t="s">
        <v>14009</v>
      </c>
      <c r="B309" s="2" t="s">
        <v>11993</v>
      </c>
      <c r="C309" s="3">
        <v>1</v>
      </c>
      <c r="D309" s="5">
        <v>60</v>
      </c>
      <c r="E309" s="3" t="s">
        <v>11994</v>
      </c>
      <c r="F309" s="2" t="s">
        <v>15</v>
      </c>
      <c r="G309" s="6" t="s">
        <v>234</v>
      </c>
      <c r="H309" s="2" t="s">
        <v>10225</v>
      </c>
      <c r="I309" s="2" t="s">
        <v>10226</v>
      </c>
      <c r="J309" s="2" t="s">
        <v>19</v>
      </c>
      <c r="K309" s="2" t="s">
        <v>160</v>
      </c>
      <c r="L309" s="7" t="str">
        <f>HYPERLINK("http://slimages.macys.com/is/image/MCY/13972673 ")</f>
        <v xml:space="preserve">http://slimages.macys.com/is/image/MCY/13972673 </v>
      </c>
    </row>
    <row r="310" spans="1:12" ht="24.75" x14ac:dyDescent="0.25">
      <c r="A310" s="4" t="s">
        <v>11992</v>
      </c>
      <c r="B310" s="2" t="s">
        <v>11993</v>
      </c>
      <c r="C310" s="3">
        <v>1</v>
      </c>
      <c r="D310" s="5">
        <v>60</v>
      </c>
      <c r="E310" s="3" t="s">
        <v>11994</v>
      </c>
      <c r="F310" s="2" t="s">
        <v>15</v>
      </c>
      <c r="G310" s="6" t="s">
        <v>181</v>
      </c>
      <c r="H310" s="2" t="s">
        <v>10225</v>
      </c>
      <c r="I310" s="2" t="s">
        <v>10226</v>
      </c>
      <c r="J310" s="2" t="s">
        <v>19</v>
      </c>
      <c r="K310" s="2" t="s">
        <v>160</v>
      </c>
      <c r="L310" s="7" t="str">
        <f>HYPERLINK("http://slimages.macys.com/is/image/MCY/13972673 ")</f>
        <v xml:space="preserve">http://slimages.macys.com/is/image/MCY/13972673 </v>
      </c>
    </row>
    <row r="311" spans="1:12" ht="24.75" x14ac:dyDescent="0.25">
      <c r="A311" s="4" t="s">
        <v>14010</v>
      </c>
      <c r="B311" s="2" t="s">
        <v>14011</v>
      </c>
      <c r="C311" s="3">
        <v>1</v>
      </c>
      <c r="D311" s="5">
        <v>44</v>
      </c>
      <c r="E311" s="3" t="s">
        <v>14012</v>
      </c>
      <c r="F311" s="2" t="s">
        <v>74</v>
      </c>
      <c r="G311" s="6" t="s">
        <v>446</v>
      </c>
      <c r="H311" s="2" t="s">
        <v>447</v>
      </c>
      <c r="I311" s="2" t="s">
        <v>792</v>
      </c>
      <c r="J311" s="2" t="s">
        <v>19</v>
      </c>
      <c r="K311" s="2" t="s">
        <v>137</v>
      </c>
      <c r="L311" s="7" t="str">
        <f>HYPERLINK("http://slimages.macys.com/is/image/MCY/14876014 ")</f>
        <v xml:space="preserve">http://slimages.macys.com/is/image/MCY/14876014 </v>
      </c>
    </row>
    <row r="312" spans="1:12" ht="24.75" x14ac:dyDescent="0.25">
      <c r="A312" s="4" t="s">
        <v>14013</v>
      </c>
      <c r="B312" s="2" t="s">
        <v>744</v>
      </c>
      <c r="C312" s="3">
        <v>1</v>
      </c>
      <c r="D312" s="5">
        <v>34.99</v>
      </c>
      <c r="E312" s="3" t="s">
        <v>979</v>
      </c>
      <c r="F312" s="2" t="s">
        <v>85</v>
      </c>
      <c r="G312" s="6" t="s">
        <v>245</v>
      </c>
      <c r="H312" s="2" t="s">
        <v>284</v>
      </c>
      <c r="I312" s="2" t="s">
        <v>285</v>
      </c>
      <c r="J312" s="2" t="s">
        <v>19</v>
      </c>
      <c r="K312" s="2" t="s">
        <v>34</v>
      </c>
      <c r="L312" s="7" t="str">
        <f>HYPERLINK("http://slimages.macys.com/is/image/MCY/9723880 ")</f>
        <v xml:space="preserve">http://slimages.macys.com/is/image/MCY/9723880 </v>
      </c>
    </row>
    <row r="313" spans="1:12" ht="24.75" x14ac:dyDescent="0.25">
      <c r="A313" s="4" t="s">
        <v>14014</v>
      </c>
      <c r="B313" s="2" t="s">
        <v>10751</v>
      </c>
      <c r="C313" s="3">
        <v>1</v>
      </c>
      <c r="D313" s="5">
        <v>34.880000000000003</v>
      </c>
      <c r="E313" s="3">
        <v>100018048</v>
      </c>
      <c r="F313" s="2" t="s">
        <v>566</v>
      </c>
      <c r="G313" s="6" t="s">
        <v>112</v>
      </c>
      <c r="H313" s="2" t="s">
        <v>194</v>
      </c>
      <c r="I313" s="2" t="s">
        <v>503</v>
      </c>
      <c r="J313" s="2" t="s">
        <v>19</v>
      </c>
      <c r="K313" s="2" t="s">
        <v>353</v>
      </c>
      <c r="L313" s="7" t="str">
        <f>HYPERLINK("http://slimages.macys.com/is/image/MCY/9864796 ")</f>
        <v xml:space="preserve">http://slimages.macys.com/is/image/MCY/9864796 </v>
      </c>
    </row>
    <row r="314" spans="1:12" ht="24.75" x14ac:dyDescent="0.25">
      <c r="A314" s="4" t="s">
        <v>14015</v>
      </c>
      <c r="B314" s="2" t="s">
        <v>10751</v>
      </c>
      <c r="C314" s="3">
        <v>1</v>
      </c>
      <c r="D314" s="5">
        <v>34.880000000000003</v>
      </c>
      <c r="E314" s="3">
        <v>100018048</v>
      </c>
      <c r="F314" s="2" t="s">
        <v>74</v>
      </c>
      <c r="G314" s="6" t="s">
        <v>141</v>
      </c>
      <c r="H314" s="2" t="s">
        <v>194</v>
      </c>
      <c r="I314" s="2" t="s">
        <v>503</v>
      </c>
      <c r="J314" s="2" t="s">
        <v>19</v>
      </c>
      <c r="K314" s="2" t="s">
        <v>353</v>
      </c>
      <c r="L314" s="7" t="str">
        <f>HYPERLINK("http://slimages.macys.com/is/image/MCY/9864796 ")</f>
        <v xml:space="preserve">http://slimages.macys.com/is/image/MCY/9864796 </v>
      </c>
    </row>
    <row r="315" spans="1:12" ht="24.75" x14ac:dyDescent="0.25">
      <c r="A315" s="4" t="s">
        <v>14016</v>
      </c>
      <c r="B315" s="2" t="s">
        <v>6494</v>
      </c>
      <c r="C315" s="3">
        <v>1</v>
      </c>
      <c r="D315" s="5">
        <v>34.99</v>
      </c>
      <c r="E315" s="3" t="s">
        <v>14017</v>
      </c>
      <c r="F315" s="2" t="s">
        <v>170</v>
      </c>
      <c r="G315" s="6" t="s">
        <v>181</v>
      </c>
      <c r="H315" s="2" t="s">
        <v>284</v>
      </c>
      <c r="I315" s="2" t="s">
        <v>285</v>
      </c>
      <c r="J315" s="2" t="s">
        <v>19</v>
      </c>
      <c r="K315" s="2" t="s">
        <v>34</v>
      </c>
      <c r="L315" s="7" t="str">
        <f>HYPERLINK("http://slimages.macys.com/is/image/MCY/11534595 ")</f>
        <v xml:space="preserve">http://slimages.macys.com/is/image/MCY/11534595 </v>
      </c>
    </row>
    <row r="316" spans="1:12" ht="24.75" x14ac:dyDescent="0.25">
      <c r="A316" s="4" t="s">
        <v>14018</v>
      </c>
      <c r="B316" s="2" t="s">
        <v>936</v>
      </c>
      <c r="C316" s="3">
        <v>1</v>
      </c>
      <c r="D316" s="5">
        <v>34.5</v>
      </c>
      <c r="E316" s="3">
        <v>100019103</v>
      </c>
      <c r="F316" s="2" t="s">
        <v>417</v>
      </c>
      <c r="G316" s="6" t="s">
        <v>27</v>
      </c>
      <c r="H316" s="2" t="s">
        <v>228</v>
      </c>
      <c r="I316" s="2" t="s">
        <v>229</v>
      </c>
      <c r="J316" s="2" t="s">
        <v>19</v>
      </c>
      <c r="K316" s="2" t="s">
        <v>230</v>
      </c>
      <c r="L316" s="7" t="str">
        <f>HYPERLINK("http://slimages.macys.com/is/image/MCY/10985237 ")</f>
        <v xml:space="preserve">http://slimages.macys.com/is/image/MCY/10985237 </v>
      </c>
    </row>
    <row r="317" spans="1:12" ht="24.75" x14ac:dyDescent="0.25">
      <c r="A317" s="4" t="s">
        <v>14019</v>
      </c>
      <c r="B317" s="2" t="s">
        <v>926</v>
      </c>
      <c r="C317" s="3">
        <v>1</v>
      </c>
      <c r="D317" s="5">
        <v>36.5</v>
      </c>
      <c r="E317" s="3">
        <v>100009311</v>
      </c>
      <c r="F317" s="2" t="s">
        <v>74</v>
      </c>
      <c r="G317" s="6" t="s">
        <v>27</v>
      </c>
      <c r="H317" s="2" t="s">
        <v>194</v>
      </c>
      <c r="I317" s="2" t="s">
        <v>928</v>
      </c>
      <c r="J317" s="2" t="s">
        <v>19</v>
      </c>
      <c r="K317" s="2" t="s">
        <v>929</v>
      </c>
      <c r="L317" s="7" t="str">
        <f>HYPERLINK("http://slimages.macys.com/is/image/MCY/10249270 ")</f>
        <v xml:space="preserve">http://slimages.macys.com/is/image/MCY/10249270 </v>
      </c>
    </row>
    <row r="318" spans="1:12" ht="24.75" x14ac:dyDescent="0.25">
      <c r="A318" s="4" t="s">
        <v>13012</v>
      </c>
      <c r="B318" s="2" t="s">
        <v>3706</v>
      </c>
      <c r="C318" s="3">
        <v>1</v>
      </c>
      <c r="D318" s="5">
        <v>37.130000000000003</v>
      </c>
      <c r="E318" s="3" t="s">
        <v>10760</v>
      </c>
      <c r="F318" s="2" t="s">
        <v>26</v>
      </c>
      <c r="G318" s="6" t="s">
        <v>181</v>
      </c>
      <c r="H318" s="2" t="s">
        <v>246</v>
      </c>
      <c r="I318" s="2" t="s">
        <v>189</v>
      </c>
      <c r="J318" s="2" t="s">
        <v>19</v>
      </c>
      <c r="K318" s="2" t="s">
        <v>701</v>
      </c>
      <c r="L318" s="7" t="str">
        <f>HYPERLINK("http://slimages.macys.com/is/image/MCY/12894593 ")</f>
        <v xml:space="preserve">http://slimages.macys.com/is/image/MCY/12894593 </v>
      </c>
    </row>
    <row r="319" spans="1:12" ht="24.75" x14ac:dyDescent="0.25">
      <c r="A319" s="4" t="s">
        <v>14020</v>
      </c>
      <c r="B319" s="2" t="s">
        <v>961</v>
      </c>
      <c r="C319" s="3">
        <v>1</v>
      </c>
      <c r="D319" s="5">
        <v>40.880000000000003</v>
      </c>
      <c r="E319" s="3" t="s">
        <v>5684</v>
      </c>
      <c r="F319" s="2" t="s">
        <v>376</v>
      </c>
      <c r="G319" s="6"/>
      <c r="H319" s="2" t="s">
        <v>312</v>
      </c>
      <c r="I319" s="2" t="s">
        <v>195</v>
      </c>
      <c r="J319" s="2" t="s">
        <v>19</v>
      </c>
      <c r="K319" s="2" t="s">
        <v>3699</v>
      </c>
      <c r="L319" s="7" t="str">
        <f>HYPERLINK("http://slimages.macys.com/is/image/MCY/11527247 ")</f>
        <v xml:space="preserve">http://slimages.macys.com/is/image/MCY/11527247 </v>
      </c>
    </row>
    <row r="320" spans="1:12" ht="24.75" x14ac:dyDescent="0.25">
      <c r="A320" s="4" t="s">
        <v>14021</v>
      </c>
      <c r="B320" s="2" t="s">
        <v>14022</v>
      </c>
      <c r="C320" s="3">
        <v>1</v>
      </c>
      <c r="D320" s="5">
        <v>59.5</v>
      </c>
      <c r="E320" s="3" t="s">
        <v>14023</v>
      </c>
      <c r="F320" s="2" t="s">
        <v>74</v>
      </c>
      <c r="G320" s="6" t="s">
        <v>187</v>
      </c>
      <c r="H320" s="2" t="s">
        <v>206</v>
      </c>
      <c r="I320" s="2" t="s">
        <v>207</v>
      </c>
      <c r="J320" s="2" t="s">
        <v>19</v>
      </c>
      <c r="K320" s="2" t="s">
        <v>14024</v>
      </c>
      <c r="L320" s="7" t="str">
        <f>HYPERLINK("http://slimages.macys.com/is/image/MCY/10125296 ")</f>
        <v xml:space="preserve">http://slimages.macys.com/is/image/MCY/10125296 </v>
      </c>
    </row>
    <row r="321" spans="1:12" ht="24.75" x14ac:dyDescent="0.25">
      <c r="A321" s="4" t="s">
        <v>10771</v>
      </c>
      <c r="B321" s="2" t="s">
        <v>2524</v>
      </c>
      <c r="C321" s="3">
        <v>1</v>
      </c>
      <c r="D321" s="5">
        <v>33.380000000000003</v>
      </c>
      <c r="E321" s="3" t="s">
        <v>10770</v>
      </c>
      <c r="F321" s="2" t="s">
        <v>26</v>
      </c>
      <c r="G321" s="6" t="s">
        <v>154</v>
      </c>
      <c r="H321" s="2" t="s">
        <v>194</v>
      </c>
      <c r="I321" s="2" t="s">
        <v>1398</v>
      </c>
      <c r="J321" s="2" t="s">
        <v>19</v>
      </c>
      <c r="K321" s="2" t="s">
        <v>247</v>
      </c>
      <c r="L321" s="7" t="str">
        <f>HYPERLINK("http://slimages.macys.com/is/image/MCY/13368039 ")</f>
        <v xml:space="preserve">http://slimages.macys.com/is/image/MCY/13368039 </v>
      </c>
    </row>
    <row r="322" spans="1:12" ht="24.75" x14ac:dyDescent="0.25">
      <c r="A322" s="4" t="s">
        <v>10769</v>
      </c>
      <c r="B322" s="2" t="s">
        <v>2524</v>
      </c>
      <c r="C322" s="3">
        <v>1</v>
      </c>
      <c r="D322" s="5">
        <v>33.380000000000003</v>
      </c>
      <c r="E322" s="3" t="s">
        <v>10770</v>
      </c>
      <c r="F322" s="2" t="s">
        <v>26</v>
      </c>
      <c r="G322" s="6" t="s">
        <v>234</v>
      </c>
      <c r="H322" s="2" t="s">
        <v>194</v>
      </c>
      <c r="I322" s="2" t="s">
        <v>1398</v>
      </c>
      <c r="J322" s="2" t="s">
        <v>19</v>
      </c>
      <c r="K322" s="2" t="s">
        <v>247</v>
      </c>
      <c r="L322" s="7" t="str">
        <f>HYPERLINK("http://slimages.macys.com/is/image/MCY/13368039 ")</f>
        <v xml:space="preserve">http://slimages.macys.com/is/image/MCY/13368039 </v>
      </c>
    </row>
    <row r="323" spans="1:12" ht="24.75" x14ac:dyDescent="0.25">
      <c r="A323" s="4" t="s">
        <v>12004</v>
      </c>
      <c r="B323" s="2" t="s">
        <v>12002</v>
      </c>
      <c r="C323" s="3">
        <v>1</v>
      </c>
      <c r="D323" s="5">
        <v>40.880000000000003</v>
      </c>
      <c r="E323" s="3" t="s">
        <v>12003</v>
      </c>
      <c r="F323" s="2" t="s">
        <v>566</v>
      </c>
      <c r="G323" s="6"/>
      <c r="H323" s="2" t="s">
        <v>312</v>
      </c>
      <c r="I323" s="2" t="s">
        <v>195</v>
      </c>
      <c r="J323" s="2" t="s">
        <v>19</v>
      </c>
      <c r="K323" s="2" t="s">
        <v>160</v>
      </c>
      <c r="L323" s="7" t="str">
        <f>HYPERLINK("http://slimages.macys.com/is/image/MCY/13766392 ")</f>
        <v xml:space="preserve">http://slimages.macys.com/is/image/MCY/13766392 </v>
      </c>
    </row>
    <row r="324" spans="1:12" ht="24.75" x14ac:dyDescent="0.25">
      <c r="A324" s="4" t="s">
        <v>10772</v>
      </c>
      <c r="B324" s="2" t="s">
        <v>2524</v>
      </c>
      <c r="C324" s="3">
        <v>1</v>
      </c>
      <c r="D324" s="5">
        <v>33.380000000000003</v>
      </c>
      <c r="E324" s="3" t="s">
        <v>10770</v>
      </c>
      <c r="F324" s="2" t="s">
        <v>26</v>
      </c>
      <c r="G324" s="6" t="s">
        <v>181</v>
      </c>
      <c r="H324" s="2" t="s">
        <v>194</v>
      </c>
      <c r="I324" s="2" t="s">
        <v>1398</v>
      </c>
      <c r="J324" s="2" t="s">
        <v>19</v>
      </c>
      <c r="K324" s="2" t="s">
        <v>247</v>
      </c>
      <c r="L324" s="7" t="str">
        <f>HYPERLINK("http://slimages.macys.com/is/image/MCY/13368039 ")</f>
        <v xml:space="preserve">http://slimages.macys.com/is/image/MCY/13368039 </v>
      </c>
    </row>
    <row r="325" spans="1:12" ht="24.75" x14ac:dyDescent="0.25">
      <c r="A325" s="4" t="s">
        <v>10776</v>
      </c>
      <c r="B325" s="2" t="s">
        <v>9508</v>
      </c>
      <c r="C325" s="3">
        <v>1</v>
      </c>
      <c r="D325" s="5">
        <v>27.99</v>
      </c>
      <c r="E325" s="3">
        <v>100011587</v>
      </c>
      <c r="F325" s="2" t="s">
        <v>64</v>
      </c>
      <c r="G325" s="6" t="s">
        <v>156</v>
      </c>
      <c r="H325" s="2" t="s">
        <v>194</v>
      </c>
      <c r="I325" s="2" t="s">
        <v>1922</v>
      </c>
      <c r="J325" s="2" t="s">
        <v>19</v>
      </c>
      <c r="K325" s="2" t="s">
        <v>338</v>
      </c>
      <c r="L325" s="7" t="str">
        <f>HYPERLINK("http://slimages.macys.com/is/image/MCY/9029329 ")</f>
        <v xml:space="preserve">http://slimages.macys.com/is/image/MCY/9029329 </v>
      </c>
    </row>
    <row r="326" spans="1:12" ht="24.75" x14ac:dyDescent="0.25">
      <c r="A326" s="4" t="s">
        <v>11999</v>
      </c>
      <c r="B326" s="2" t="s">
        <v>9508</v>
      </c>
      <c r="C326" s="3">
        <v>2</v>
      </c>
      <c r="D326" s="5">
        <v>27.99</v>
      </c>
      <c r="E326" s="3">
        <v>100011587</v>
      </c>
      <c r="F326" s="2" t="s">
        <v>64</v>
      </c>
      <c r="G326" s="6" t="s">
        <v>200</v>
      </c>
      <c r="H326" s="2" t="s">
        <v>194</v>
      </c>
      <c r="I326" s="2" t="s">
        <v>1922</v>
      </c>
      <c r="J326" s="2" t="s">
        <v>19</v>
      </c>
      <c r="K326" s="2" t="s">
        <v>338</v>
      </c>
      <c r="L326" s="7" t="str">
        <f>HYPERLINK("http://slimages.macys.com/is/image/MCY/9029329 ")</f>
        <v xml:space="preserve">http://slimages.macys.com/is/image/MCY/9029329 </v>
      </c>
    </row>
    <row r="327" spans="1:12" ht="24.75" x14ac:dyDescent="0.25">
      <c r="A327" s="4" t="s">
        <v>14025</v>
      </c>
      <c r="B327" s="2" t="s">
        <v>14026</v>
      </c>
      <c r="C327" s="3">
        <v>1</v>
      </c>
      <c r="D327" s="5">
        <v>39.99</v>
      </c>
      <c r="E327" s="3" t="s">
        <v>14027</v>
      </c>
      <c r="F327" s="2" t="s">
        <v>680</v>
      </c>
      <c r="G327" s="6" t="s">
        <v>245</v>
      </c>
      <c r="H327" s="2" t="s">
        <v>246</v>
      </c>
      <c r="I327" s="2" t="s">
        <v>189</v>
      </c>
      <c r="J327" s="2" t="s">
        <v>19</v>
      </c>
      <c r="K327" s="2" t="s">
        <v>1480</v>
      </c>
      <c r="L327" s="7" t="str">
        <f>HYPERLINK("http://slimages.macys.com/is/image/MCY/12076609 ")</f>
        <v xml:space="preserve">http://slimages.macys.com/is/image/MCY/12076609 </v>
      </c>
    </row>
    <row r="328" spans="1:12" ht="24.75" x14ac:dyDescent="0.25">
      <c r="A328" s="4" t="s">
        <v>14028</v>
      </c>
      <c r="B328" s="2" t="s">
        <v>12024</v>
      </c>
      <c r="C328" s="3">
        <v>1</v>
      </c>
      <c r="D328" s="5">
        <v>40.880000000000003</v>
      </c>
      <c r="E328" s="3" t="s">
        <v>14029</v>
      </c>
      <c r="F328" s="2" t="s">
        <v>70</v>
      </c>
      <c r="G328" s="6" t="s">
        <v>181</v>
      </c>
      <c r="H328" s="2" t="s">
        <v>194</v>
      </c>
      <c r="I328" s="2" t="s">
        <v>195</v>
      </c>
      <c r="J328" s="2" t="s">
        <v>19</v>
      </c>
      <c r="K328" s="2" t="s">
        <v>12026</v>
      </c>
      <c r="L328" s="7" t="str">
        <f>HYPERLINK("http://slimages.macys.com/is/image/MCY/13934459 ")</f>
        <v xml:space="preserve">http://slimages.macys.com/is/image/MCY/13934459 </v>
      </c>
    </row>
    <row r="329" spans="1:12" x14ac:dyDescent="0.25">
      <c r="A329" s="4" t="s">
        <v>12006</v>
      </c>
      <c r="B329" s="2" t="s">
        <v>1294</v>
      </c>
      <c r="C329" s="3">
        <v>1</v>
      </c>
      <c r="D329" s="5">
        <v>35.5</v>
      </c>
      <c r="E329" s="3" t="s">
        <v>10779</v>
      </c>
      <c r="F329" s="2" t="s">
        <v>64</v>
      </c>
      <c r="G329" s="6" t="s">
        <v>2276</v>
      </c>
      <c r="H329" s="2" t="s">
        <v>349</v>
      </c>
      <c r="I329" s="2" t="s">
        <v>285</v>
      </c>
      <c r="J329" s="2" t="s">
        <v>19</v>
      </c>
      <c r="K329" s="2" t="s">
        <v>160</v>
      </c>
      <c r="L329" s="7" t="str">
        <f>HYPERLINK("http://slimages.macys.com/is/image/MCY/9270120 ")</f>
        <v xml:space="preserve">http://slimages.macys.com/is/image/MCY/9270120 </v>
      </c>
    </row>
    <row r="330" spans="1:12" ht="24.75" x14ac:dyDescent="0.25">
      <c r="A330" s="4" t="s">
        <v>4774</v>
      </c>
      <c r="B330" s="2" t="s">
        <v>1012</v>
      </c>
      <c r="C330" s="3">
        <v>1</v>
      </c>
      <c r="D330" s="5">
        <v>37.130000000000003</v>
      </c>
      <c r="E330" s="3" t="s">
        <v>1013</v>
      </c>
      <c r="F330" s="2" t="s">
        <v>70</v>
      </c>
      <c r="G330" s="6" t="s">
        <v>141</v>
      </c>
      <c r="H330" s="2" t="s">
        <v>246</v>
      </c>
      <c r="I330" s="2" t="s">
        <v>214</v>
      </c>
      <c r="J330" s="2" t="s">
        <v>19</v>
      </c>
      <c r="K330" s="2" t="s">
        <v>253</v>
      </c>
      <c r="L330" s="7" t="str">
        <f>HYPERLINK("http://slimages.macys.com/is/image/MCY/10679372 ")</f>
        <v xml:space="preserve">http://slimages.macys.com/is/image/MCY/10679372 </v>
      </c>
    </row>
    <row r="331" spans="1:12" ht="24.75" x14ac:dyDescent="0.25">
      <c r="A331" s="4" t="s">
        <v>14030</v>
      </c>
      <c r="B331" s="2" t="s">
        <v>4915</v>
      </c>
      <c r="C331" s="3">
        <v>1</v>
      </c>
      <c r="D331" s="5">
        <v>34.880000000000003</v>
      </c>
      <c r="E331" s="3">
        <v>100009325</v>
      </c>
      <c r="F331" s="2" t="s">
        <v>26</v>
      </c>
      <c r="G331" s="6" t="s">
        <v>234</v>
      </c>
      <c r="H331" s="2" t="s">
        <v>194</v>
      </c>
      <c r="I331" s="2" t="s">
        <v>229</v>
      </c>
      <c r="J331" s="2" t="s">
        <v>19</v>
      </c>
      <c r="K331" s="2" t="s">
        <v>253</v>
      </c>
      <c r="L331" s="7" t="str">
        <f>HYPERLINK("http://slimages.macys.com/is/image/MCY/9489387 ")</f>
        <v xml:space="preserve">http://slimages.macys.com/is/image/MCY/9489387 </v>
      </c>
    </row>
    <row r="332" spans="1:12" ht="24.75" x14ac:dyDescent="0.25">
      <c r="A332" s="4" t="s">
        <v>14031</v>
      </c>
      <c r="B332" s="2" t="s">
        <v>744</v>
      </c>
      <c r="C332" s="3">
        <v>1</v>
      </c>
      <c r="D332" s="5">
        <v>34.99</v>
      </c>
      <c r="E332" s="3" t="s">
        <v>4781</v>
      </c>
      <c r="F332" s="2" t="s">
        <v>252</v>
      </c>
      <c r="G332" s="6" t="s">
        <v>154</v>
      </c>
      <c r="H332" s="2" t="s">
        <v>284</v>
      </c>
      <c r="I332" s="2" t="s">
        <v>285</v>
      </c>
      <c r="J332" s="2" t="s">
        <v>19</v>
      </c>
      <c r="K332" s="2" t="s">
        <v>34</v>
      </c>
      <c r="L332" s="7" t="str">
        <f>HYPERLINK("http://slimages.macys.com/is/image/MCY/9723880 ")</f>
        <v xml:space="preserve">http://slimages.macys.com/is/image/MCY/9723880 </v>
      </c>
    </row>
    <row r="333" spans="1:12" ht="24.75" x14ac:dyDescent="0.25">
      <c r="A333" s="4" t="s">
        <v>9049</v>
      </c>
      <c r="B333" s="2" t="s">
        <v>1012</v>
      </c>
      <c r="C333" s="3">
        <v>1</v>
      </c>
      <c r="D333" s="5">
        <v>37.130000000000003</v>
      </c>
      <c r="E333" s="3" t="s">
        <v>1013</v>
      </c>
      <c r="F333" s="2" t="s">
        <v>26</v>
      </c>
      <c r="G333" s="6" t="s">
        <v>141</v>
      </c>
      <c r="H333" s="2" t="s">
        <v>246</v>
      </c>
      <c r="I333" s="2" t="s">
        <v>214</v>
      </c>
      <c r="J333" s="2" t="s">
        <v>19</v>
      </c>
      <c r="K333" s="2" t="s">
        <v>253</v>
      </c>
      <c r="L333" s="7" t="str">
        <f>HYPERLINK("http://slimages.macys.com/is/image/MCY/10679372 ")</f>
        <v xml:space="preserve">http://slimages.macys.com/is/image/MCY/10679372 </v>
      </c>
    </row>
    <row r="334" spans="1:12" ht="24.75" x14ac:dyDescent="0.25">
      <c r="A334" s="4" t="s">
        <v>14032</v>
      </c>
      <c r="B334" s="2" t="s">
        <v>8101</v>
      </c>
      <c r="C334" s="3">
        <v>1</v>
      </c>
      <c r="D334" s="5">
        <v>38.15</v>
      </c>
      <c r="E334" s="3" t="s">
        <v>8102</v>
      </c>
      <c r="F334" s="2" t="s">
        <v>26</v>
      </c>
      <c r="G334" s="6" t="s">
        <v>234</v>
      </c>
      <c r="H334" s="2" t="s">
        <v>182</v>
      </c>
      <c r="I334" s="2" t="s">
        <v>183</v>
      </c>
      <c r="J334" s="2" t="s">
        <v>19</v>
      </c>
      <c r="K334" s="2" t="s">
        <v>8103</v>
      </c>
      <c r="L334" s="7" t="str">
        <f>HYPERLINK("http://slimages.macys.com/is/image/MCY/12851651 ")</f>
        <v xml:space="preserve">http://slimages.macys.com/is/image/MCY/12851651 </v>
      </c>
    </row>
    <row r="335" spans="1:12" ht="24.75" x14ac:dyDescent="0.25">
      <c r="A335" s="4" t="s">
        <v>14033</v>
      </c>
      <c r="B335" s="2" t="s">
        <v>954</v>
      </c>
      <c r="C335" s="3">
        <v>1</v>
      </c>
      <c r="D335" s="5">
        <v>44.63</v>
      </c>
      <c r="E335" s="3" t="s">
        <v>14034</v>
      </c>
      <c r="F335" s="2" t="s">
        <v>74</v>
      </c>
      <c r="G335" s="6" t="s">
        <v>245</v>
      </c>
      <c r="H335" s="2" t="s">
        <v>194</v>
      </c>
      <c r="I335" s="2" t="s">
        <v>195</v>
      </c>
      <c r="J335" s="2" t="s">
        <v>19</v>
      </c>
      <c r="K335" s="2" t="s">
        <v>438</v>
      </c>
      <c r="L335" s="7" t="str">
        <f>HYPERLINK("http://slimages.macys.com/is/image/MCY/13316337 ")</f>
        <v xml:space="preserve">http://slimages.macys.com/is/image/MCY/13316337 </v>
      </c>
    </row>
    <row r="336" spans="1:12" ht="24.75" x14ac:dyDescent="0.25">
      <c r="A336" s="4" t="s">
        <v>14035</v>
      </c>
      <c r="B336" s="2" t="s">
        <v>1028</v>
      </c>
      <c r="C336" s="3">
        <v>1</v>
      </c>
      <c r="D336" s="5">
        <v>36.5</v>
      </c>
      <c r="E336" s="3" t="s">
        <v>14036</v>
      </c>
      <c r="F336" s="2" t="s">
        <v>111</v>
      </c>
      <c r="G336" s="6"/>
      <c r="H336" s="2" t="s">
        <v>632</v>
      </c>
      <c r="I336" s="2" t="s">
        <v>408</v>
      </c>
      <c r="J336" s="2" t="s">
        <v>19</v>
      </c>
      <c r="K336" s="2" t="s">
        <v>409</v>
      </c>
      <c r="L336" s="7" t="str">
        <f>HYPERLINK("http://slimages.macys.com/is/image/MCY/8191312 ")</f>
        <v xml:space="preserve">http://slimages.macys.com/is/image/MCY/8191312 </v>
      </c>
    </row>
    <row r="337" spans="1:12" x14ac:dyDescent="0.25">
      <c r="A337" s="4" t="s">
        <v>14037</v>
      </c>
      <c r="B337" s="2" t="s">
        <v>14038</v>
      </c>
      <c r="C337" s="3">
        <v>1</v>
      </c>
      <c r="D337" s="5">
        <v>49.5</v>
      </c>
      <c r="E337" s="3" t="s">
        <v>14039</v>
      </c>
      <c r="F337" s="2" t="s">
        <v>74</v>
      </c>
      <c r="G337" s="6"/>
      <c r="H337" s="2" t="s">
        <v>206</v>
      </c>
      <c r="I337" s="2" t="s">
        <v>207</v>
      </c>
      <c r="J337" s="2"/>
      <c r="K337" s="2"/>
      <c r="L337" s="7" t="str">
        <f>HYPERLINK("http://slimages.macys.com/is/image/MCY/12099987 ")</f>
        <v xml:space="preserve">http://slimages.macys.com/is/image/MCY/12099987 </v>
      </c>
    </row>
    <row r="338" spans="1:12" ht="24.75" x14ac:dyDescent="0.25">
      <c r="A338" s="4" t="s">
        <v>3724</v>
      </c>
      <c r="B338" s="2" t="s">
        <v>3725</v>
      </c>
      <c r="C338" s="3">
        <v>1</v>
      </c>
      <c r="D338" s="5">
        <v>40.880000000000003</v>
      </c>
      <c r="E338" s="3" t="s">
        <v>3726</v>
      </c>
      <c r="F338" s="2" t="s">
        <v>252</v>
      </c>
      <c r="G338" s="6" t="s">
        <v>234</v>
      </c>
      <c r="H338" s="2" t="s">
        <v>194</v>
      </c>
      <c r="I338" s="2" t="s">
        <v>195</v>
      </c>
      <c r="J338" s="2" t="s">
        <v>19</v>
      </c>
      <c r="K338" s="2" t="s">
        <v>3731</v>
      </c>
      <c r="L338" s="7" t="str">
        <f>HYPERLINK("http://slimages.macys.com/is/image/MCY/11937875 ")</f>
        <v xml:space="preserve">http://slimages.macys.com/is/image/MCY/11937875 </v>
      </c>
    </row>
    <row r="339" spans="1:12" ht="24.75" x14ac:dyDescent="0.25">
      <c r="A339" s="4" t="s">
        <v>1038</v>
      </c>
      <c r="B339" s="2" t="s">
        <v>1036</v>
      </c>
      <c r="C339" s="3">
        <v>1</v>
      </c>
      <c r="D339" s="5">
        <v>36.5</v>
      </c>
      <c r="E339" s="3" t="s">
        <v>1037</v>
      </c>
      <c r="F339" s="2" t="s">
        <v>998</v>
      </c>
      <c r="G339" s="6" t="s">
        <v>154</v>
      </c>
      <c r="H339" s="2" t="s">
        <v>194</v>
      </c>
      <c r="I339" s="2" t="s">
        <v>195</v>
      </c>
      <c r="J339" s="2" t="s">
        <v>19</v>
      </c>
      <c r="K339" s="2" t="s">
        <v>137</v>
      </c>
      <c r="L339" s="7" t="str">
        <f>HYPERLINK("http://slimages.macys.com/is/image/MCY/11526970 ")</f>
        <v xml:space="preserve">http://slimages.macys.com/is/image/MCY/11526970 </v>
      </c>
    </row>
    <row r="340" spans="1:12" ht="24.75" x14ac:dyDescent="0.25">
      <c r="A340" s="4" t="s">
        <v>14040</v>
      </c>
      <c r="B340" s="2" t="s">
        <v>1036</v>
      </c>
      <c r="C340" s="3">
        <v>1</v>
      </c>
      <c r="D340" s="5">
        <v>36.5</v>
      </c>
      <c r="E340" s="3" t="s">
        <v>1037</v>
      </c>
      <c r="F340" s="2" t="s">
        <v>998</v>
      </c>
      <c r="G340" s="6" t="s">
        <v>156</v>
      </c>
      <c r="H340" s="2" t="s">
        <v>194</v>
      </c>
      <c r="I340" s="2" t="s">
        <v>195</v>
      </c>
      <c r="J340" s="2" t="s">
        <v>19</v>
      </c>
      <c r="K340" s="2" t="s">
        <v>137</v>
      </c>
      <c r="L340" s="7" t="str">
        <f>HYPERLINK("http://slimages.macys.com/is/image/MCY/11526970 ")</f>
        <v xml:space="preserve">http://slimages.macys.com/is/image/MCY/11526970 </v>
      </c>
    </row>
    <row r="341" spans="1:12" ht="24.75" x14ac:dyDescent="0.25">
      <c r="A341" s="4" t="s">
        <v>14041</v>
      </c>
      <c r="B341" s="2" t="s">
        <v>1078</v>
      </c>
      <c r="C341" s="3">
        <v>2</v>
      </c>
      <c r="D341" s="5">
        <v>34.5</v>
      </c>
      <c r="E341" s="3" t="s">
        <v>14042</v>
      </c>
      <c r="F341" s="2" t="s">
        <v>111</v>
      </c>
      <c r="G341" s="6" t="s">
        <v>1335</v>
      </c>
      <c r="H341" s="2" t="s">
        <v>228</v>
      </c>
      <c r="I341" s="2" t="s">
        <v>229</v>
      </c>
      <c r="J341" s="2" t="s">
        <v>19</v>
      </c>
      <c r="K341" s="2" t="s">
        <v>230</v>
      </c>
      <c r="L341" s="7" t="str">
        <f>HYPERLINK("http://slimages.macys.com/is/image/MCY/10985401 ")</f>
        <v xml:space="preserve">http://slimages.macys.com/is/image/MCY/10985401 </v>
      </c>
    </row>
    <row r="342" spans="1:12" ht="24.75" x14ac:dyDescent="0.25">
      <c r="A342" s="4" t="s">
        <v>12028</v>
      </c>
      <c r="B342" s="2" t="s">
        <v>10798</v>
      </c>
      <c r="C342" s="3">
        <v>2</v>
      </c>
      <c r="D342" s="5">
        <v>33.380000000000003</v>
      </c>
      <c r="E342" s="3">
        <v>100022522</v>
      </c>
      <c r="F342" s="2" t="s">
        <v>170</v>
      </c>
      <c r="G342" s="6" t="s">
        <v>154</v>
      </c>
      <c r="H342" s="2" t="s">
        <v>194</v>
      </c>
      <c r="I342" s="2" t="s">
        <v>1922</v>
      </c>
      <c r="J342" s="2" t="s">
        <v>19</v>
      </c>
      <c r="K342" s="2" t="s">
        <v>990</v>
      </c>
      <c r="L342" s="7" t="str">
        <f>HYPERLINK("http://slimages.macys.com/is/image/MCY/9962270 ")</f>
        <v xml:space="preserve">http://slimages.macys.com/is/image/MCY/9962270 </v>
      </c>
    </row>
    <row r="343" spans="1:12" ht="24.75" x14ac:dyDescent="0.25">
      <c r="A343" s="4" t="s">
        <v>14043</v>
      </c>
      <c r="B343" s="2" t="s">
        <v>12030</v>
      </c>
      <c r="C343" s="3">
        <v>1</v>
      </c>
      <c r="D343" s="5">
        <v>59.5</v>
      </c>
      <c r="E343" s="3" t="s">
        <v>12031</v>
      </c>
      <c r="F343" s="2" t="s">
        <v>680</v>
      </c>
      <c r="G343" s="6" t="s">
        <v>219</v>
      </c>
      <c r="H343" s="2" t="s">
        <v>206</v>
      </c>
      <c r="I343" s="2" t="s">
        <v>207</v>
      </c>
      <c r="J343" s="2" t="s">
        <v>19</v>
      </c>
      <c r="K343" s="2" t="s">
        <v>10520</v>
      </c>
      <c r="L343" s="7" t="str">
        <f>HYPERLINK("http://slimages.macys.com/is/image/MCY/13331478 ")</f>
        <v xml:space="preserve">http://slimages.macys.com/is/image/MCY/13331478 </v>
      </c>
    </row>
    <row r="344" spans="1:12" ht="48.75" x14ac:dyDescent="0.25">
      <c r="A344" s="4" t="s">
        <v>12032</v>
      </c>
      <c r="B344" s="2" t="s">
        <v>1052</v>
      </c>
      <c r="C344" s="3">
        <v>2</v>
      </c>
      <c r="D344" s="5">
        <v>37.130000000000003</v>
      </c>
      <c r="E344" s="3">
        <v>100010668</v>
      </c>
      <c r="F344" s="2" t="s">
        <v>64</v>
      </c>
      <c r="G344" s="6" t="s">
        <v>154</v>
      </c>
      <c r="H344" s="2" t="s">
        <v>284</v>
      </c>
      <c r="I344" s="2" t="s">
        <v>408</v>
      </c>
      <c r="J344" s="2" t="s">
        <v>19</v>
      </c>
      <c r="K344" s="2" t="s">
        <v>787</v>
      </c>
      <c r="L344" s="7" t="str">
        <f>HYPERLINK("http://slimages.macys.com/is/image/MCY/9198224 ")</f>
        <v xml:space="preserve">http://slimages.macys.com/is/image/MCY/9198224 </v>
      </c>
    </row>
    <row r="345" spans="1:12" ht="24.75" x14ac:dyDescent="0.25">
      <c r="A345" s="4" t="s">
        <v>14044</v>
      </c>
      <c r="B345" s="2" t="s">
        <v>9531</v>
      </c>
      <c r="C345" s="3">
        <v>1</v>
      </c>
      <c r="D345" s="5">
        <v>33.380000000000003</v>
      </c>
      <c r="E345" s="3" t="s">
        <v>9532</v>
      </c>
      <c r="F345" s="2" t="s">
        <v>566</v>
      </c>
      <c r="G345" s="6" t="s">
        <v>156</v>
      </c>
      <c r="H345" s="2" t="s">
        <v>194</v>
      </c>
      <c r="I345" s="2" t="s">
        <v>195</v>
      </c>
      <c r="J345" s="2" t="s">
        <v>19</v>
      </c>
      <c r="K345" s="2" t="s">
        <v>648</v>
      </c>
      <c r="L345" s="7" t="str">
        <f>HYPERLINK("http://slimages.macys.com/is/image/MCY/11936156 ")</f>
        <v xml:space="preserve">http://slimages.macys.com/is/image/MCY/11936156 </v>
      </c>
    </row>
    <row r="346" spans="1:12" ht="24.75" x14ac:dyDescent="0.25">
      <c r="A346" s="4" t="s">
        <v>14045</v>
      </c>
      <c r="B346" s="2" t="s">
        <v>9531</v>
      </c>
      <c r="C346" s="3">
        <v>1</v>
      </c>
      <c r="D346" s="5">
        <v>33.380000000000003</v>
      </c>
      <c r="E346" s="3" t="s">
        <v>9532</v>
      </c>
      <c r="F346" s="2" t="s">
        <v>74</v>
      </c>
      <c r="G346" s="6" t="s">
        <v>154</v>
      </c>
      <c r="H346" s="2" t="s">
        <v>194</v>
      </c>
      <c r="I346" s="2" t="s">
        <v>195</v>
      </c>
      <c r="J346" s="2" t="s">
        <v>19</v>
      </c>
      <c r="K346" s="2" t="s">
        <v>648</v>
      </c>
      <c r="L346" s="7" t="str">
        <f>HYPERLINK("http://slimages.macys.com/is/image/MCY/11936156 ")</f>
        <v xml:space="preserve">http://slimages.macys.com/is/image/MCY/11936156 </v>
      </c>
    </row>
    <row r="347" spans="1:12" ht="24.75" x14ac:dyDescent="0.25">
      <c r="A347" s="4" t="s">
        <v>14046</v>
      </c>
      <c r="B347" s="2" t="s">
        <v>8625</v>
      </c>
      <c r="C347" s="3">
        <v>1</v>
      </c>
      <c r="D347" s="5">
        <v>44.63</v>
      </c>
      <c r="E347" s="3" t="s">
        <v>8626</v>
      </c>
      <c r="F347" s="2" t="s">
        <v>26</v>
      </c>
      <c r="G347" s="6" t="s">
        <v>154</v>
      </c>
      <c r="H347" s="2" t="s">
        <v>246</v>
      </c>
      <c r="I347" s="2" t="s">
        <v>189</v>
      </c>
      <c r="J347" s="2" t="s">
        <v>19</v>
      </c>
      <c r="K347" s="2" t="s">
        <v>701</v>
      </c>
      <c r="L347" s="7" t="str">
        <f>HYPERLINK("http://slimages.macys.com/is/image/MCY/9504528 ")</f>
        <v xml:space="preserve">http://slimages.macys.com/is/image/MCY/9504528 </v>
      </c>
    </row>
    <row r="348" spans="1:12" x14ac:dyDescent="0.25">
      <c r="A348" s="4" t="s">
        <v>14047</v>
      </c>
      <c r="B348" s="2" t="s">
        <v>10826</v>
      </c>
      <c r="C348" s="3">
        <v>1</v>
      </c>
      <c r="D348" s="5">
        <v>59.5</v>
      </c>
      <c r="E348" s="3">
        <v>100061631</v>
      </c>
      <c r="F348" s="2" t="s">
        <v>64</v>
      </c>
      <c r="G348" s="6" t="s">
        <v>58</v>
      </c>
      <c r="H348" s="2" t="s">
        <v>386</v>
      </c>
      <c r="I348" s="2" t="s">
        <v>207</v>
      </c>
      <c r="J348" s="2" t="s">
        <v>19</v>
      </c>
      <c r="K348" s="2" t="s">
        <v>495</v>
      </c>
      <c r="L348" s="7" t="str">
        <f>HYPERLINK("http://slimages.macys.com/is/image/MCY/11963039 ")</f>
        <v xml:space="preserve">http://slimages.macys.com/is/image/MCY/11963039 </v>
      </c>
    </row>
    <row r="349" spans="1:12" ht="24.75" x14ac:dyDescent="0.25">
      <c r="A349" s="4" t="s">
        <v>14048</v>
      </c>
      <c r="B349" s="2" t="s">
        <v>14049</v>
      </c>
      <c r="C349" s="3">
        <v>1</v>
      </c>
      <c r="D349" s="5">
        <v>32.99</v>
      </c>
      <c r="E349" s="3">
        <v>4600214</v>
      </c>
      <c r="F349" s="2" t="s">
        <v>225</v>
      </c>
      <c r="G349" s="6" t="s">
        <v>5361</v>
      </c>
      <c r="H349" s="2" t="s">
        <v>1086</v>
      </c>
      <c r="I349" s="2" t="s">
        <v>1087</v>
      </c>
      <c r="J349" s="2" t="s">
        <v>19</v>
      </c>
      <c r="K349" s="2" t="s">
        <v>353</v>
      </c>
      <c r="L349" s="7" t="str">
        <f>HYPERLINK("http://slimages.macys.com/is/image/MCY/12067866 ")</f>
        <v xml:space="preserve">http://slimages.macys.com/is/image/MCY/12067866 </v>
      </c>
    </row>
    <row r="350" spans="1:12" x14ac:dyDescent="0.25">
      <c r="A350" s="4" t="s">
        <v>14050</v>
      </c>
      <c r="B350" s="2" t="s">
        <v>4821</v>
      </c>
      <c r="C350" s="3">
        <v>1</v>
      </c>
      <c r="D350" s="5">
        <v>32.99</v>
      </c>
      <c r="E350" s="3">
        <v>3380470</v>
      </c>
      <c r="F350" s="2" t="s">
        <v>417</v>
      </c>
      <c r="G350" s="6" t="s">
        <v>5361</v>
      </c>
      <c r="H350" s="2" t="s">
        <v>1086</v>
      </c>
      <c r="I350" s="2" t="s">
        <v>1087</v>
      </c>
      <c r="J350" s="2" t="s">
        <v>19</v>
      </c>
      <c r="K350" s="2" t="s">
        <v>353</v>
      </c>
      <c r="L350" s="7" t="str">
        <f>HYPERLINK("http://slimages.macys.com/is/image/MCY/11608549 ")</f>
        <v xml:space="preserve">http://slimages.macys.com/is/image/MCY/11608549 </v>
      </c>
    </row>
    <row r="351" spans="1:12" ht="24.75" x14ac:dyDescent="0.25">
      <c r="A351" s="4" t="s">
        <v>10834</v>
      </c>
      <c r="B351" s="2" t="s">
        <v>1093</v>
      </c>
      <c r="C351" s="3">
        <v>2</v>
      </c>
      <c r="D351" s="5">
        <v>37.130000000000003</v>
      </c>
      <c r="E351" s="3">
        <v>100018042</v>
      </c>
      <c r="F351" s="2" t="s">
        <v>676</v>
      </c>
      <c r="G351" s="6" t="s">
        <v>58</v>
      </c>
      <c r="H351" s="2" t="s">
        <v>194</v>
      </c>
      <c r="I351" s="2" t="s">
        <v>195</v>
      </c>
      <c r="J351" s="2" t="s">
        <v>19</v>
      </c>
      <c r="K351" s="2" t="s">
        <v>353</v>
      </c>
      <c r="L351" s="7" t="str">
        <f>HYPERLINK("http://slimages.macys.com/is/image/MCY/9693642 ")</f>
        <v xml:space="preserve">http://slimages.macys.com/is/image/MCY/9693642 </v>
      </c>
    </row>
    <row r="352" spans="1:12" ht="24.75" x14ac:dyDescent="0.25">
      <c r="A352" s="4" t="s">
        <v>13045</v>
      </c>
      <c r="B352" s="2" t="s">
        <v>1093</v>
      </c>
      <c r="C352" s="3">
        <v>1</v>
      </c>
      <c r="D352" s="5">
        <v>37.130000000000003</v>
      </c>
      <c r="E352" s="3">
        <v>100018042</v>
      </c>
      <c r="F352" s="2" t="s">
        <v>676</v>
      </c>
      <c r="G352" s="6" t="s">
        <v>65</v>
      </c>
      <c r="H352" s="2" t="s">
        <v>194</v>
      </c>
      <c r="I352" s="2" t="s">
        <v>195</v>
      </c>
      <c r="J352" s="2" t="s">
        <v>19</v>
      </c>
      <c r="K352" s="2" t="s">
        <v>353</v>
      </c>
      <c r="L352" s="7" t="str">
        <f>HYPERLINK("http://slimages.macys.com/is/image/MCY/9693642 ")</f>
        <v xml:space="preserve">http://slimages.macys.com/is/image/MCY/9693642 </v>
      </c>
    </row>
    <row r="353" spans="1:12" ht="24.75" x14ac:dyDescent="0.25">
      <c r="A353" s="4" t="s">
        <v>14051</v>
      </c>
      <c r="B353" s="2" t="s">
        <v>1093</v>
      </c>
      <c r="C353" s="3">
        <v>1</v>
      </c>
      <c r="D353" s="5">
        <v>37.130000000000003</v>
      </c>
      <c r="E353" s="3">
        <v>100018042</v>
      </c>
      <c r="F353" s="2" t="s">
        <v>15</v>
      </c>
      <c r="G353" s="6" t="s">
        <v>27</v>
      </c>
      <c r="H353" s="2" t="s">
        <v>194</v>
      </c>
      <c r="I353" s="2" t="s">
        <v>195</v>
      </c>
      <c r="J353" s="2" t="s">
        <v>19</v>
      </c>
      <c r="K353" s="2" t="s">
        <v>353</v>
      </c>
      <c r="L353" s="7" t="str">
        <f>HYPERLINK("http://slimages.macys.com/is/image/MCY/9693642 ")</f>
        <v xml:space="preserve">http://slimages.macys.com/is/image/MCY/9693642 </v>
      </c>
    </row>
    <row r="354" spans="1:12" ht="24.75" x14ac:dyDescent="0.25">
      <c r="A354" s="4" t="s">
        <v>10838</v>
      </c>
      <c r="B354" s="2" t="s">
        <v>1093</v>
      </c>
      <c r="C354" s="3">
        <v>1</v>
      </c>
      <c r="D354" s="5">
        <v>37.130000000000003</v>
      </c>
      <c r="E354" s="3">
        <v>100018042</v>
      </c>
      <c r="F354" s="2" t="s">
        <v>676</v>
      </c>
      <c r="G354" s="6" t="s">
        <v>16</v>
      </c>
      <c r="H354" s="2" t="s">
        <v>194</v>
      </c>
      <c r="I354" s="2" t="s">
        <v>195</v>
      </c>
      <c r="J354" s="2" t="s">
        <v>19</v>
      </c>
      <c r="K354" s="2" t="s">
        <v>353</v>
      </c>
      <c r="L354" s="7" t="str">
        <f>HYPERLINK("http://slimages.macys.com/is/image/MCY/9693642 ")</f>
        <v xml:space="preserve">http://slimages.macys.com/is/image/MCY/9693642 </v>
      </c>
    </row>
    <row r="355" spans="1:12" ht="24.75" x14ac:dyDescent="0.25">
      <c r="A355" s="4" t="s">
        <v>14052</v>
      </c>
      <c r="B355" s="2" t="s">
        <v>1097</v>
      </c>
      <c r="C355" s="3">
        <v>1</v>
      </c>
      <c r="D355" s="5">
        <v>44.63</v>
      </c>
      <c r="E355" s="3" t="s">
        <v>14053</v>
      </c>
      <c r="F355" s="2" t="s">
        <v>33</v>
      </c>
      <c r="G355" s="6" t="s">
        <v>234</v>
      </c>
      <c r="H355" s="2" t="s">
        <v>284</v>
      </c>
      <c r="I355" s="2" t="s">
        <v>285</v>
      </c>
      <c r="J355" s="2" t="s">
        <v>19</v>
      </c>
      <c r="K355" s="2" t="s">
        <v>442</v>
      </c>
      <c r="L355" s="7" t="str">
        <f>HYPERLINK("http://slimages.macys.com/is/image/MCY/16327664 ")</f>
        <v xml:space="preserve">http://slimages.macys.com/is/image/MCY/16327664 </v>
      </c>
    </row>
    <row r="356" spans="1:12" ht="36.75" x14ac:dyDescent="0.25">
      <c r="A356" s="4" t="s">
        <v>14054</v>
      </c>
      <c r="B356" s="2" t="s">
        <v>969</v>
      </c>
      <c r="C356" s="3">
        <v>1</v>
      </c>
      <c r="D356" s="5">
        <v>37.130000000000003</v>
      </c>
      <c r="E356" s="3">
        <v>100026210</v>
      </c>
      <c r="F356" s="2" t="s">
        <v>464</v>
      </c>
      <c r="G356" s="6" t="s">
        <v>181</v>
      </c>
      <c r="H356" s="2" t="s">
        <v>194</v>
      </c>
      <c r="I356" s="2" t="s">
        <v>195</v>
      </c>
      <c r="J356" s="2" t="s">
        <v>19</v>
      </c>
      <c r="K356" s="2" t="s">
        <v>965</v>
      </c>
      <c r="L356" s="7" t="str">
        <f>HYPERLINK("http://slimages.macys.com/is/image/MCY/9714233 ")</f>
        <v xml:space="preserve">http://slimages.macys.com/is/image/MCY/9714233 </v>
      </c>
    </row>
    <row r="357" spans="1:12" ht="24.75" x14ac:dyDescent="0.25">
      <c r="A357" s="4" t="s">
        <v>14055</v>
      </c>
      <c r="B357" s="2" t="s">
        <v>1114</v>
      </c>
      <c r="C357" s="3">
        <v>1</v>
      </c>
      <c r="D357" s="5">
        <v>37.130000000000003</v>
      </c>
      <c r="E357" s="3">
        <v>100042369</v>
      </c>
      <c r="F357" s="2" t="s">
        <v>566</v>
      </c>
      <c r="G357" s="6" t="s">
        <v>22</v>
      </c>
      <c r="H357" s="2" t="s">
        <v>194</v>
      </c>
      <c r="I357" s="2" t="s">
        <v>195</v>
      </c>
      <c r="J357" s="2" t="s">
        <v>19</v>
      </c>
      <c r="K357" s="2" t="s">
        <v>353</v>
      </c>
      <c r="L357" s="7" t="str">
        <f>HYPERLINK("http://slimages.macys.com/is/image/MCY/11934953 ")</f>
        <v xml:space="preserve">http://slimages.macys.com/is/image/MCY/11934953 </v>
      </c>
    </row>
    <row r="358" spans="1:12" ht="24.75" x14ac:dyDescent="0.25">
      <c r="A358" s="4" t="s">
        <v>14056</v>
      </c>
      <c r="B358" s="2" t="s">
        <v>1114</v>
      </c>
      <c r="C358" s="3">
        <v>2</v>
      </c>
      <c r="D358" s="5">
        <v>37.130000000000003</v>
      </c>
      <c r="E358" s="3">
        <v>100042369</v>
      </c>
      <c r="F358" s="2" t="s">
        <v>566</v>
      </c>
      <c r="G358" s="6" t="s">
        <v>16</v>
      </c>
      <c r="H358" s="2" t="s">
        <v>194</v>
      </c>
      <c r="I358" s="2" t="s">
        <v>195</v>
      </c>
      <c r="J358" s="2" t="s">
        <v>19</v>
      </c>
      <c r="K358" s="2" t="s">
        <v>353</v>
      </c>
      <c r="L358" s="7" t="str">
        <f>HYPERLINK("http://slimages.macys.com/is/image/MCY/11934953 ")</f>
        <v xml:space="preserve">http://slimages.macys.com/is/image/MCY/11934953 </v>
      </c>
    </row>
    <row r="359" spans="1:12" ht="24.75" x14ac:dyDescent="0.25">
      <c r="A359" s="4" t="s">
        <v>14057</v>
      </c>
      <c r="B359" s="2" t="s">
        <v>1114</v>
      </c>
      <c r="C359" s="3">
        <v>1</v>
      </c>
      <c r="D359" s="5">
        <v>37.130000000000003</v>
      </c>
      <c r="E359" s="3">
        <v>100042369</v>
      </c>
      <c r="F359" s="2" t="s">
        <v>566</v>
      </c>
      <c r="G359" s="6" t="s">
        <v>141</v>
      </c>
      <c r="H359" s="2" t="s">
        <v>194</v>
      </c>
      <c r="I359" s="2" t="s">
        <v>195</v>
      </c>
      <c r="J359" s="2" t="s">
        <v>19</v>
      </c>
      <c r="K359" s="2" t="s">
        <v>353</v>
      </c>
      <c r="L359" s="7" t="str">
        <f>HYPERLINK("http://slimages.macys.com/is/image/MCY/11934953 ")</f>
        <v xml:space="preserve">http://slimages.macys.com/is/image/MCY/11934953 </v>
      </c>
    </row>
    <row r="360" spans="1:12" ht="24.75" x14ac:dyDescent="0.25">
      <c r="A360" s="4" t="s">
        <v>14058</v>
      </c>
      <c r="B360" s="2" t="s">
        <v>14059</v>
      </c>
      <c r="C360" s="3">
        <v>1</v>
      </c>
      <c r="D360" s="5">
        <v>29.99</v>
      </c>
      <c r="E360" s="3" t="s">
        <v>14060</v>
      </c>
      <c r="F360" s="2" t="s">
        <v>199</v>
      </c>
      <c r="G360" s="6" t="s">
        <v>154</v>
      </c>
      <c r="H360" s="2" t="s">
        <v>1522</v>
      </c>
      <c r="I360" s="2" t="s">
        <v>1469</v>
      </c>
      <c r="J360" s="2" t="s">
        <v>19</v>
      </c>
      <c r="K360" s="2" t="s">
        <v>495</v>
      </c>
      <c r="L360" s="7" t="str">
        <f>HYPERLINK("http://slimages.macys.com/is/image/MCY/14769891 ")</f>
        <v xml:space="preserve">http://slimages.macys.com/is/image/MCY/14769891 </v>
      </c>
    </row>
    <row r="361" spans="1:12" ht="24.75" x14ac:dyDescent="0.25">
      <c r="A361" s="4" t="s">
        <v>1123</v>
      </c>
      <c r="B361" s="2" t="s">
        <v>1118</v>
      </c>
      <c r="C361" s="3">
        <v>1</v>
      </c>
      <c r="D361" s="5">
        <v>37.130000000000003</v>
      </c>
      <c r="E361" s="3">
        <v>100070736</v>
      </c>
      <c r="F361" s="2" t="s">
        <v>74</v>
      </c>
      <c r="G361" s="6" t="s">
        <v>156</v>
      </c>
      <c r="H361" s="2" t="s">
        <v>194</v>
      </c>
      <c r="I361" s="2" t="s">
        <v>195</v>
      </c>
      <c r="J361" s="2" t="s">
        <v>19</v>
      </c>
      <c r="K361" s="2" t="s">
        <v>353</v>
      </c>
      <c r="L361" s="7" t="str">
        <f>HYPERLINK("http://slimages.macys.com/is/image/MCY/13120823 ")</f>
        <v xml:space="preserve">http://slimages.macys.com/is/image/MCY/13120823 </v>
      </c>
    </row>
    <row r="362" spans="1:12" ht="24.75" x14ac:dyDescent="0.25">
      <c r="A362" s="4" t="s">
        <v>14061</v>
      </c>
      <c r="B362" s="2" t="s">
        <v>744</v>
      </c>
      <c r="C362" s="3">
        <v>1</v>
      </c>
      <c r="D362" s="5">
        <v>34.99</v>
      </c>
      <c r="E362" s="3" t="s">
        <v>8641</v>
      </c>
      <c r="F362" s="2" t="s">
        <v>111</v>
      </c>
      <c r="G362" s="6" t="s">
        <v>200</v>
      </c>
      <c r="H362" s="2" t="s">
        <v>284</v>
      </c>
      <c r="I362" s="2" t="s">
        <v>285</v>
      </c>
      <c r="J362" s="2"/>
      <c r="K362" s="2"/>
      <c r="L362" s="7" t="str">
        <f>HYPERLINK("http://slimages.macys.com/is/image/MCY/8353478 ")</f>
        <v xml:space="preserve">http://slimages.macys.com/is/image/MCY/8353478 </v>
      </c>
    </row>
    <row r="363" spans="1:12" ht="24.75" x14ac:dyDescent="0.25">
      <c r="A363" s="4" t="s">
        <v>14062</v>
      </c>
      <c r="B363" s="2" t="s">
        <v>14063</v>
      </c>
      <c r="C363" s="3">
        <v>1</v>
      </c>
      <c r="D363" s="5">
        <v>29.99</v>
      </c>
      <c r="E363" s="3" t="s">
        <v>14064</v>
      </c>
      <c r="F363" s="2" t="s">
        <v>998</v>
      </c>
      <c r="G363" s="6"/>
      <c r="H363" s="2" t="s">
        <v>632</v>
      </c>
      <c r="I363" s="2" t="s">
        <v>408</v>
      </c>
      <c r="J363" s="2"/>
      <c r="K363" s="2"/>
      <c r="L363" s="7" t="str">
        <f>HYPERLINK("http://slimages.macys.com/is/image/MCY/3731843 ")</f>
        <v xml:space="preserve">http://slimages.macys.com/is/image/MCY/3731843 </v>
      </c>
    </row>
    <row r="364" spans="1:12" ht="24.75" x14ac:dyDescent="0.25">
      <c r="A364" s="4" t="s">
        <v>14065</v>
      </c>
      <c r="B364" s="2" t="s">
        <v>14066</v>
      </c>
      <c r="C364" s="3">
        <v>1</v>
      </c>
      <c r="D364" s="5">
        <v>52</v>
      </c>
      <c r="E364" s="3" t="s">
        <v>14067</v>
      </c>
      <c r="F364" s="2" t="s">
        <v>225</v>
      </c>
      <c r="G364" s="6" t="s">
        <v>2276</v>
      </c>
      <c r="H364" s="2" t="s">
        <v>10225</v>
      </c>
      <c r="I364" s="2" t="s">
        <v>10226</v>
      </c>
      <c r="J364" s="2" t="s">
        <v>19</v>
      </c>
      <c r="K364" s="2" t="s">
        <v>442</v>
      </c>
      <c r="L364" s="7" t="str">
        <f>HYPERLINK("http://slimages.macys.com/is/image/MCY/13972631 ")</f>
        <v xml:space="preserve">http://slimages.macys.com/is/image/MCY/13972631 </v>
      </c>
    </row>
    <row r="365" spans="1:12" ht="24.75" x14ac:dyDescent="0.25">
      <c r="A365" s="4" t="s">
        <v>13063</v>
      </c>
      <c r="B365" s="2" t="s">
        <v>5770</v>
      </c>
      <c r="C365" s="3">
        <v>1</v>
      </c>
      <c r="D365" s="5">
        <v>65</v>
      </c>
      <c r="E365" s="3" t="s">
        <v>5771</v>
      </c>
      <c r="F365" s="2" t="s">
        <v>1914</v>
      </c>
      <c r="G365" s="6"/>
      <c r="H365" s="2" t="s">
        <v>447</v>
      </c>
      <c r="I365" s="2" t="s">
        <v>792</v>
      </c>
      <c r="J365" s="2" t="s">
        <v>19</v>
      </c>
      <c r="K365" s="2" t="s">
        <v>160</v>
      </c>
      <c r="L365" s="7" t="str">
        <f>HYPERLINK("http://slimages.macys.com/is/image/MCY/14532521 ")</f>
        <v xml:space="preserve">http://slimages.macys.com/is/image/MCY/14532521 </v>
      </c>
    </row>
    <row r="366" spans="1:12" ht="24.75" x14ac:dyDescent="0.25">
      <c r="A366" s="4" t="s">
        <v>14068</v>
      </c>
      <c r="B366" s="2" t="s">
        <v>3753</v>
      </c>
      <c r="C366" s="3">
        <v>2</v>
      </c>
      <c r="D366" s="5">
        <v>40</v>
      </c>
      <c r="E366" s="3" t="s">
        <v>3754</v>
      </c>
      <c r="F366" s="2" t="s">
        <v>752</v>
      </c>
      <c r="G366" s="6" t="s">
        <v>794</v>
      </c>
      <c r="H366" s="2" t="s">
        <v>447</v>
      </c>
      <c r="I366" s="2" t="s">
        <v>792</v>
      </c>
      <c r="J366" s="2" t="s">
        <v>19</v>
      </c>
      <c r="K366" s="2" t="s">
        <v>160</v>
      </c>
      <c r="L366" s="7" t="str">
        <f>HYPERLINK("http://slimages.macys.com/is/image/MCY/14875911 ")</f>
        <v xml:space="preserve">http://slimages.macys.com/is/image/MCY/14875911 </v>
      </c>
    </row>
    <row r="367" spans="1:12" ht="24.75" x14ac:dyDescent="0.25">
      <c r="A367" s="4" t="s">
        <v>14069</v>
      </c>
      <c r="B367" s="2" t="s">
        <v>5729</v>
      </c>
      <c r="C367" s="3">
        <v>1</v>
      </c>
      <c r="D367" s="5">
        <v>34.99</v>
      </c>
      <c r="E367" s="3" t="s">
        <v>14070</v>
      </c>
      <c r="F367" s="2" t="s">
        <v>53</v>
      </c>
      <c r="G367" s="6" t="s">
        <v>200</v>
      </c>
      <c r="H367" s="2" t="s">
        <v>284</v>
      </c>
      <c r="I367" s="2" t="s">
        <v>285</v>
      </c>
      <c r="J367" s="2" t="s">
        <v>19</v>
      </c>
      <c r="K367" s="2" t="s">
        <v>34</v>
      </c>
      <c r="L367" s="7" t="str">
        <f>HYPERLINK("http://slimages.macys.com/is/image/MCY/9723883 ")</f>
        <v xml:space="preserve">http://slimages.macys.com/is/image/MCY/9723883 </v>
      </c>
    </row>
    <row r="368" spans="1:12" ht="24.75" x14ac:dyDescent="0.25">
      <c r="A368" s="4" t="s">
        <v>14071</v>
      </c>
      <c r="B368" s="2" t="s">
        <v>1128</v>
      </c>
      <c r="C368" s="3">
        <v>1</v>
      </c>
      <c r="D368" s="5">
        <v>32.5</v>
      </c>
      <c r="E368" s="3" t="s">
        <v>1129</v>
      </c>
      <c r="F368" s="2" t="s">
        <v>252</v>
      </c>
      <c r="G368" s="6" t="s">
        <v>245</v>
      </c>
      <c r="H368" s="2" t="s">
        <v>194</v>
      </c>
      <c r="I368" s="2" t="s">
        <v>195</v>
      </c>
      <c r="J368" s="2" t="s">
        <v>19</v>
      </c>
      <c r="K368" s="2" t="s">
        <v>1108</v>
      </c>
      <c r="L368" s="7" t="str">
        <f>HYPERLINK("http://slimages.macys.com/is/image/MCY/12850781 ")</f>
        <v xml:space="preserve">http://slimages.macys.com/is/image/MCY/12850781 </v>
      </c>
    </row>
    <row r="369" spans="1:12" ht="24.75" x14ac:dyDescent="0.25">
      <c r="A369" s="4" t="s">
        <v>14072</v>
      </c>
      <c r="B369" s="2" t="s">
        <v>10854</v>
      </c>
      <c r="C369" s="3">
        <v>1</v>
      </c>
      <c r="D369" s="5">
        <v>69.5</v>
      </c>
      <c r="E369" s="3">
        <v>100052071</v>
      </c>
      <c r="F369" s="2" t="s">
        <v>74</v>
      </c>
      <c r="G369" s="6" t="s">
        <v>65</v>
      </c>
      <c r="H369" s="2" t="s">
        <v>386</v>
      </c>
      <c r="I369" s="2" t="s">
        <v>207</v>
      </c>
      <c r="J369" s="2" t="s">
        <v>19</v>
      </c>
      <c r="K369" s="2" t="s">
        <v>387</v>
      </c>
      <c r="L369" s="7" t="str">
        <f>HYPERLINK("http://slimages.macys.com/is/image/MCY/8456403 ")</f>
        <v xml:space="preserve">http://slimages.macys.com/is/image/MCY/8456403 </v>
      </c>
    </row>
    <row r="370" spans="1:12" ht="24.75" x14ac:dyDescent="0.25">
      <c r="A370" s="4" t="s">
        <v>2603</v>
      </c>
      <c r="B370" s="2" t="s">
        <v>1183</v>
      </c>
      <c r="C370" s="3">
        <v>1</v>
      </c>
      <c r="D370" s="5">
        <v>34.5</v>
      </c>
      <c r="E370" s="3" t="s">
        <v>2602</v>
      </c>
      <c r="F370" s="2" t="s">
        <v>26</v>
      </c>
      <c r="G370" s="6" t="s">
        <v>154</v>
      </c>
      <c r="H370" s="2" t="s">
        <v>228</v>
      </c>
      <c r="I370" s="2" t="s">
        <v>229</v>
      </c>
      <c r="J370" s="2" t="s">
        <v>19</v>
      </c>
      <c r="K370" s="2" t="s">
        <v>253</v>
      </c>
      <c r="L370" s="7" t="str">
        <f>HYPERLINK("http://slimages.macys.com/is/image/MCY/11269044 ")</f>
        <v xml:space="preserve">http://slimages.macys.com/is/image/MCY/11269044 </v>
      </c>
    </row>
    <row r="371" spans="1:12" ht="24.75" x14ac:dyDescent="0.25">
      <c r="A371" s="4" t="s">
        <v>12077</v>
      </c>
      <c r="B371" s="2" t="s">
        <v>7398</v>
      </c>
      <c r="C371" s="3">
        <v>1</v>
      </c>
      <c r="D371" s="5">
        <v>37.130000000000003</v>
      </c>
      <c r="E371" s="3">
        <v>100027423</v>
      </c>
      <c r="F371" s="2" t="s">
        <v>15</v>
      </c>
      <c r="G371" s="6" t="s">
        <v>12078</v>
      </c>
      <c r="H371" s="2" t="s">
        <v>194</v>
      </c>
      <c r="I371" s="2" t="s">
        <v>1112</v>
      </c>
      <c r="J371" s="2" t="s">
        <v>19</v>
      </c>
      <c r="K371" s="2" t="s">
        <v>409</v>
      </c>
      <c r="L371" s="7" t="str">
        <f>HYPERLINK("http://slimages.macys.com/is/image/MCY/8185791 ")</f>
        <v xml:space="preserve">http://slimages.macys.com/is/image/MCY/8185791 </v>
      </c>
    </row>
    <row r="372" spans="1:12" ht="24.75" x14ac:dyDescent="0.25">
      <c r="A372" s="4" t="s">
        <v>4853</v>
      </c>
      <c r="B372" s="2" t="s">
        <v>4854</v>
      </c>
      <c r="C372" s="3">
        <v>2</v>
      </c>
      <c r="D372" s="5">
        <v>37.130000000000003</v>
      </c>
      <c r="E372" s="3">
        <v>100027424</v>
      </c>
      <c r="F372" s="2" t="s">
        <v>74</v>
      </c>
      <c r="G372" s="6" t="s">
        <v>4855</v>
      </c>
      <c r="H372" s="2" t="s">
        <v>194</v>
      </c>
      <c r="I372" s="2" t="s">
        <v>1112</v>
      </c>
      <c r="J372" s="2" t="s">
        <v>19</v>
      </c>
      <c r="K372" s="2" t="s">
        <v>409</v>
      </c>
      <c r="L372" s="7" t="str">
        <f>HYPERLINK("http://slimages.macys.com/is/image/MCY/8185791 ")</f>
        <v xml:space="preserve">http://slimages.macys.com/is/image/MCY/8185791 </v>
      </c>
    </row>
    <row r="373" spans="1:12" ht="24.75" x14ac:dyDescent="0.25">
      <c r="A373" s="4" t="s">
        <v>12079</v>
      </c>
      <c r="B373" s="2" t="s">
        <v>9053</v>
      </c>
      <c r="C373" s="3">
        <v>2</v>
      </c>
      <c r="D373" s="5">
        <v>37.130000000000003</v>
      </c>
      <c r="E373" s="3" t="s">
        <v>12080</v>
      </c>
      <c r="F373" s="2" t="s">
        <v>26</v>
      </c>
      <c r="G373" s="6" t="s">
        <v>154</v>
      </c>
      <c r="H373" s="2" t="s">
        <v>194</v>
      </c>
      <c r="I373" s="2" t="s">
        <v>919</v>
      </c>
      <c r="J373" s="2" t="s">
        <v>19</v>
      </c>
      <c r="K373" s="2" t="s">
        <v>409</v>
      </c>
      <c r="L373" s="7" t="str">
        <f>HYPERLINK("http://slimages.macys.com/is/image/MCY/8185791 ")</f>
        <v xml:space="preserve">http://slimages.macys.com/is/image/MCY/8185791 </v>
      </c>
    </row>
    <row r="374" spans="1:12" ht="24.75" x14ac:dyDescent="0.25">
      <c r="A374" s="4" t="s">
        <v>7399</v>
      </c>
      <c r="B374" s="2" t="s">
        <v>4854</v>
      </c>
      <c r="C374" s="3">
        <v>2</v>
      </c>
      <c r="D374" s="5">
        <v>37.130000000000003</v>
      </c>
      <c r="E374" s="3">
        <v>100027424</v>
      </c>
      <c r="F374" s="2" t="s">
        <v>878</v>
      </c>
      <c r="G374" s="6" t="s">
        <v>7400</v>
      </c>
      <c r="H374" s="2" t="s">
        <v>194</v>
      </c>
      <c r="I374" s="2" t="s">
        <v>1112</v>
      </c>
      <c r="J374" s="2" t="s">
        <v>19</v>
      </c>
      <c r="K374" s="2" t="s">
        <v>409</v>
      </c>
      <c r="L374" s="7" t="str">
        <f>HYPERLINK("http://slimages.macys.com/is/image/MCY/8185791 ")</f>
        <v xml:space="preserve">http://slimages.macys.com/is/image/MCY/8185791 </v>
      </c>
    </row>
    <row r="375" spans="1:12" ht="24.75" x14ac:dyDescent="0.25">
      <c r="A375" s="4" t="s">
        <v>14073</v>
      </c>
      <c r="B375" s="2" t="s">
        <v>7398</v>
      </c>
      <c r="C375" s="3">
        <v>1</v>
      </c>
      <c r="D375" s="5">
        <v>37.130000000000003</v>
      </c>
      <c r="E375" s="3">
        <v>100027423</v>
      </c>
      <c r="F375" s="2" t="s">
        <v>15</v>
      </c>
      <c r="G375" s="6" t="s">
        <v>729</v>
      </c>
      <c r="H375" s="2" t="s">
        <v>194</v>
      </c>
      <c r="I375" s="2" t="s">
        <v>1112</v>
      </c>
      <c r="J375" s="2" t="s">
        <v>19</v>
      </c>
      <c r="K375" s="2" t="s">
        <v>409</v>
      </c>
      <c r="L375" s="7" t="str">
        <f>HYPERLINK("http://slimages.macys.com/is/image/MCY/8185791 ")</f>
        <v xml:space="preserve">http://slimages.macys.com/is/image/MCY/8185791 </v>
      </c>
    </row>
    <row r="376" spans="1:12" ht="24.75" x14ac:dyDescent="0.25">
      <c r="A376" s="4" t="s">
        <v>1190</v>
      </c>
      <c r="B376" s="2" t="s">
        <v>1188</v>
      </c>
      <c r="C376" s="3">
        <v>1</v>
      </c>
      <c r="D376" s="5">
        <v>44.63</v>
      </c>
      <c r="E376" s="3" t="s">
        <v>1189</v>
      </c>
      <c r="F376" s="2" t="s">
        <v>38</v>
      </c>
      <c r="G376" s="6" t="s">
        <v>154</v>
      </c>
      <c r="H376" s="2" t="s">
        <v>194</v>
      </c>
      <c r="I376" s="2" t="s">
        <v>195</v>
      </c>
      <c r="J376" s="2" t="s">
        <v>19</v>
      </c>
      <c r="K376" s="2" t="s">
        <v>803</v>
      </c>
      <c r="L376" s="7" t="str">
        <f>HYPERLINK("http://slimages.macys.com/is/image/MCY/13683354 ")</f>
        <v xml:space="preserve">http://slimages.macys.com/is/image/MCY/13683354 </v>
      </c>
    </row>
    <row r="377" spans="1:12" ht="24.75" x14ac:dyDescent="0.25">
      <c r="A377" s="4" t="s">
        <v>14074</v>
      </c>
      <c r="B377" s="2" t="s">
        <v>2614</v>
      </c>
      <c r="C377" s="3">
        <v>1</v>
      </c>
      <c r="D377" s="5">
        <v>34.880000000000003</v>
      </c>
      <c r="E377" s="3" t="s">
        <v>2615</v>
      </c>
      <c r="F377" s="2" t="s">
        <v>15</v>
      </c>
      <c r="G377" s="6" t="s">
        <v>205</v>
      </c>
      <c r="H377" s="2" t="s">
        <v>312</v>
      </c>
      <c r="I377" s="2" t="s">
        <v>195</v>
      </c>
      <c r="J377" s="2" t="s">
        <v>19</v>
      </c>
      <c r="K377" s="2" t="s">
        <v>353</v>
      </c>
      <c r="L377" s="7" t="str">
        <f>HYPERLINK("http://slimages.macys.com/is/image/MCY/8256708 ")</f>
        <v xml:space="preserve">http://slimages.macys.com/is/image/MCY/8256708 </v>
      </c>
    </row>
    <row r="378" spans="1:12" ht="24.75" x14ac:dyDescent="0.25">
      <c r="A378" s="4" t="s">
        <v>14075</v>
      </c>
      <c r="B378" s="2" t="s">
        <v>7414</v>
      </c>
      <c r="C378" s="3">
        <v>1</v>
      </c>
      <c r="D378" s="5">
        <v>37.130000000000003</v>
      </c>
      <c r="E378" s="3" t="s">
        <v>7415</v>
      </c>
      <c r="F378" s="2" t="s">
        <v>26</v>
      </c>
      <c r="G378" s="6" t="s">
        <v>22</v>
      </c>
      <c r="H378" s="2" t="s">
        <v>246</v>
      </c>
      <c r="I378" s="2" t="s">
        <v>189</v>
      </c>
      <c r="J378" s="2" t="s">
        <v>19</v>
      </c>
      <c r="K378" s="2" t="s">
        <v>353</v>
      </c>
      <c r="L378" s="7" t="str">
        <f>HYPERLINK("http://slimages.macys.com/is/image/MCY/11915457 ")</f>
        <v xml:space="preserve">http://slimages.macys.com/is/image/MCY/11915457 </v>
      </c>
    </row>
    <row r="379" spans="1:12" ht="24.75" x14ac:dyDescent="0.25">
      <c r="A379" s="4" t="s">
        <v>14076</v>
      </c>
      <c r="B379" s="2" t="s">
        <v>7414</v>
      </c>
      <c r="C379" s="3">
        <v>1</v>
      </c>
      <c r="D379" s="5">
        <v>37.130000000000003</v>
      </c>
      <c r="E379" s="3" t="s">
        <v>7415</v>
      </c>
      <c r="F379" s="2" t="s">
        <v>70</v>
      </c>
      <c r="G379" s="6" t="s">
        <v>27</v>
      </c>
      <c r="H379" s="2" t="s">
        <v>246</v>
      </c>
      <c r="I379" s="2" t="s">
        <v>189</v>
      </c>
      <c r="J379" s="2" t="s">
        <v>19</v>
      </c>
      <c r="K379" s="2" t="s">
        <v>353</v>
      </c>
      <c r="L379" s="7" t="str">
        <f>HYPERLINK("http://slimages.macys.com/is/image/MCY/11915457 ")</f>
        <v xml:space="preserve">http://slimages.macys.com/is/image/MCY/11915457 </v>
      </c>
    </row>
    <row r="380" spans="1:12" ht="24.75" x14ac:dyDescent="0.25">
      <c r="A380" s="4" t="s">
        <v>5773</v>
      </c>
      <c r="B380" s="2" t="s">
        <v>1174</v>
      </c>
      <c r="C380" s="3">
        <v>1</v>
      </c>
      <c r="D380" s="5">
        <v>34.5</v>
      </c>
      <c r="E380" s="3" t="s">
        <v>1175</v>
      </c>
      <c r="F380" s="2" t="s">
        <v>74</v>
      </c>
      <c r="G380" s="6"/>
      <c r="H380" s="2" t="s">
        <v>228</v>
      </c>
      <c r="I380" s="2" t="s">
        <v>863</v>
      </c>
      <c r="J380" s="2" t="s">
        <v>19</v>
      </c>
      <c r="K380" s="2" t="s">
        <v>230</v>
      </c>
      <c r="L380" s="7" t="str">
        <f>HYPERLINK("http://slimages.macys.com/is/image/MCY/3623515 ")</f>
        <v xml:space="preserve">http://slimages.macys.com/is/image/MCY/3623515 </v>
      </c>
    </row>
    <row r="381" spans="1:12" ht="24.75" x14ac:dyDescent="0.25">
      <c r="A381" s="4" t="s">
        <v>5772</v>
      </c>
      <c r="B381" s="2" t="s">
        <v>1167</v>
      </c>
      <c r="C381" s="3">
        <v>1</v>
      </c>
      <c r="D381" s="5">
        <v>34.5</v>
      </c>
      <c r="E381" s="3" t="s">
        <v>1168</v>
      </c>
      <c r="F381" s="2" t="s">
        <v>74</v>
      </c>
      <c r="G381" s="6" t="s">
        <v>16</v>
      </c>
      <c r="H381" s="2" t="s">
        <v>228</v>
      </c>
      <c r="I381" s="2" t="s">
        <v>863</v>
      </c>
      <c r="J381" s="2" t="s">
        <v>19</v>
      </c>
      <c r="K381" s="2" t="s">
        <v>230</v>
      </c>
      <c r="L381" s="7" t="str">
        <f>HYPERLINK("http://slimages.macys.com/is/image/MCY/3623515 ")</f>
        <v xml:space="preserve">http://slimages.macys.com/is/image/MCY/3623515 </v>
      </c>
    </row>
    <row r="382" spans="1:12" ht="24.75" x14ac:dyDescent="0.25">
      <c r="A382" s="4" t="s">
        <v>14077</v>
      </c>
      <c r="B382" s="2" t="s">
        <v>1174</v>
      </c>
      <c r="C382" s="3">
        <v>1</v>
      </c>
      <c r="D382" s="5">
        <v>34.5</v>
      </c>
      <c r="E382" s="3" t="s">
        <v>1175</v>
      </c>
      <c r="F382" s="2" t="s">
        <v>74</v>
      </c>
      <c r="G382" s="6" t="s">
        <v>7472</v>
      </c>
      <c r="H382" s="2" t="s">
        <v>228</v>
      </c>
      <c r="I382" s="2" t="s">
        <v>863</v>
      </c>
      <c r="J382" s="2" t="s">
        <v>19</v>
      </c>
      <c r="K382" s="2" t="s">
        <v>230</v>
      </c>
      <c r="L382" s="7" t="str">
        <f>HYPERLINK("http://slimages.macys.com/is/image/MCY/3623515 ")</f>
        <v xml:space="preserve">http://slimages.macys.com/is/image/MCY/3623515 </v>
      </c>
    </row>
    <row r="383" spans="1:12" ht="24.75" x14ac:dyDescent="0.25">
      <c r="A383" s="4" t="s">
        <v>10857</v>
      </c>
      <c r="B383" s="2" t="s">
        <v>1167</v>
      </c>
      <c r="C383" s="3">
        <v>1</v>
      </c>
      <c r="D383" s="5">
        <v>34.5</v>
      </c>
      <c r="E383" s="3" t="s">
        <v>1168</v>
      </c>
      <c r="F383" s="2" t="s">
        <v>74</v>
      </c>
      <c r="G383" s="6" t="s">
        <v>22</v>
      </c>
      <c r="H383" s="2" t="s">
        <v>228</v>
      </c>
      <c r="I383" s="2" t="s">
        <v>863</v>
      </c>
      <c r="J383" s="2" t="s">
        <v>19</v>
      </c>
      <c r="K383" s="2" t="s">
        <v>230</v>
      </c>
      <c r="L383" s="7" t="str">
        <f>HYPERLINK("http://slimages.macys.com/is/image/MCY/3623515 ")</f>
        <v xml:space="preserve">http://slimages.macys.com/is/image/MCY/3623515 </v>
      </c>
    </row>
    <row r="384" spans="1:12" ht="36.75" x14ac:dyDescent="0.25">
      <c r="A384" s="4" t="s">
        <v>14078</v>
      </c>
      <c r="B384" s="2" t="s">
        <v>13084</v>
      </c>
      <c r="C384" s="3">
        <v>1</v>
      </c>
      <c r="D384" s="5">
        <v>29.99</v>
      </c>
      <c r="E384" s="3" t="s">
        <v>13085</v>
      </c>
      <c r="F384" s="2" t="s">
        <v>64</v>
      </c>
      <c r="G384" s="6" t="s">
        <v>154</v>
      </c>
      <c r="H384" s="2" t="s">
        <v>1522</v>
      </c>
      <c r="I384" s="2" t="s">
        <v>1469</v>
      </c>
      <c r="J384" s="2" t="s">
        <v>19</v>
      </c>
      <c r="K384" s="2" t="s">
        <v>13086</v>
      </c>
      <c r="L384" s="7" t="str">
        <f>HYPERLINK("http://slimages.macys.com/is/image/MCY/9924189 ")</f>
        <v xml:space="preserve">http://slimages.macys.com/is/image/MCY/9924189 </v>
      </c>
    </row>
    <row r="385" spans="1:12" ht="48.75" x14ac:dyDescent="0.25">
      <c r="A385" s="4" t="s">
        <v>14079</v>
      </c>
      <c r="B385" s="2" t="s">
        <v>10054</v>
      </c>
      <c r="C385" s="3">
        <v>1</v>
      </c>
      <c r="D385" s="5">
        <v>40.880000000000003</v>
      </c>
      <c r="E385" s="3" t="s">
        <v>10055</v>
      </c>
      <c r="F385" s="2" t="s">
        <v>1584</v>
      </c>
      <c r="G385" s="6" t="s">
        <v>234</v>
      </c>
      <c r="H385" s="2" t="s">
        <v>284</v>
      </c>
      <c r="I385" s="2" t="s">
        <v>458</v>
      </c>
      <c r="J385" s="2" t="s">
        <v>19</v>
      </c>
      <c r="K385" s="2" t="s">
        <v>10056</v>
      </c>
      <c r="L385" s="7" t="str">
        <f>HYPERLINK("http://slimages.macys.com/is/image/MCY/15967214 ")</f>
        <v xml:space="preserve">http://slimages.macys.com/is/image/MCY/15967214 </v>
      </c>
    </row>
    <row r="386" spans="1:12" ht="24.75" x14ac:dyDescent="0.25">
      <c r="A386" s="4" t="s">
        <v>14080</v>
      </c>
      <c r="B386" s="2" t="s">
        <v>14081</v>
      </c>
      <c r="C386" s="3">
        <v>1</v>
      </c>
      <c r="D386" s="5">
        <v>34.65</v>
      </c>
      <c r="E386" s="3" t="s">
        <v>14082</v>
      </c>
      <c r="F386" s="2" t="s">
        <v>101</v>
      </c>
      <c r="G386" s="6" t="s">
        <v>156</v>
      </c>
      <c r="H386" s="2" t="s">
        <v>182</v>
      </c>
      <c r="I386" s="2" t="s">
        <v>183</v>
      </c>
      <c r="J386" s="2" t="s">
        <v>19</v>
      </c>
      <c r="K386" s="2" t="s">
        <v>160</v>
      </c>
      <c r="L386" s="7" t="str">
        <f>HYPERLINK("http://slimages.macys.com/is/image/MCY/16635365 ")</f>
        <v xml:space="preserve">http://slimages.macys.com/is/image/MCY/16635365 </v>
      </c>
    </row>
    <row r="387" spans="1:12" ht="24.75" x14ac:dyDescent="0.25">
      <c r="A387" s="4" t="s">
        <v>14083</v>
      </c>
      <c r="B387" s="2" t="s">
        <v>5818</v>
      </c>
      <c r="C387" s="3">
        <v>1</v>
      </c>
      <c r="D387" s="5">
        <v>37.130000000000003</v>
      </c>
      <c r="E387" s="3" t="s">
        <v>5819</v>
      </c>
      <c r="F387" s="2" t="s">
        <v>417</v>
      </c>
      <c r="G387" s="6" t="s">
        <v>181</v>
      </c>
      <c r="H387" s="2" t="s">
        <v>284</v>
      </c>
      <c r="I387" s="2" t="s">
        <v>285</v>
      </c>
      <c r="J387" s="2" t="s">
        <v>19</v>
      </c>
      <c r="K387" s="2" t="s">
        <v>990</v>
      </c>
      <c r="L387" s="7" t="str">
        <f>HYPERLINK("http://slimages.macys.com/is/image/MCY/12342959 ")</f>
        <v xml:space="preserve">http://slimages.macys.com/is/image/MCY/12342959 </v>
      </c>
    </row>
    <row r="388" spans="1:12" ht="24.75" x14ac:dyDescent="0.25">
      <c r="A388" s="4" t="s">
        <v>14084</v>
      </c>
      <c r="B388" s="2" t="s">
        <v>14085</v>
      </c>
      <c r="C388" s="3">
        <v>2</v>
      </c>
      <c r="D388" s="5">
        <v>59.5</v>
      </c>
      <c r="E388" s="3" t="s">
        <v>14086</v>
      </c>
      <c r="F388" s="2" t="s">
        <v>57</v>
      </c>
      <c r="G388" s="6"/>
      <c r="H388" s="2" t="s">
        <v>206</v>
      </c>
      <c r="I388" s="2" t="s">
        <v>207</v>
      </c>
      <c r="J388" s="2" t="s">
        <v>19</v>
      </c>
      <c r="K388" s="2" t="s">
        <v>14087</v>
      </c>
      <c r="L388" s="7" t="str">
        <f>HYPERLINK("http://slimages.macys.com/is/image/MCY/10755352 ")</f>
        <v xml:space="preserve">http://slimages.macys.com/is/image/MCY/10755352 </v>
      </c>
    </row>
    <row r="389" spans="1:12" ht="24.75" x14ac:dyDescent="0.25">
      <c r="A389" s="4" t="s">
        <v>14088</v>
      </c>
      <c r="B389" s="2" t="s">
        <v>10864</v>
      </c>
      <c r="C389" s="3">
        <v>1</v>
      </c>
      <c r="D389" s="5">
        <v>34.5</v>
      </c>
      <c r="E389" s="3" t="s">
        <v>10865</v>
      </c>
      <c r="F389" s="2" t="s">
        <v>417</v>
      </c>
      <c r="G389" s="6" t="s">
        <v>3671</v>
      </c>
      <c r="H389" s="2" t="s">
        <v>228</v>
      </c>
      <c r="I389" s="2" t="s">
        <v>863</v>
      </c>
      <c r="J389" s="2" t="s">
        <v>19</v>
      </c>
      <c r="K389" s="2" t="s">
        <v>253</v>
      </c>
      <c r="L389" s="7" t="str">
        <f>HYPERLINK("http://slimages.macys.com/is/image/MCY/9864908 ")</f>
        <v xml:space="preserve">http://slimages.macys.com/is/image/MCY/9864908 </v>
      </c>
    </row>
    <row r="390" spans="1:12" ht="24.75" x14ac:dyDescent="0.25">
      <c r="A390" s="4" t="s">
        <v>14089</v>
      </c>
      <c r="B390" s="2" t="s">
        <v>3793</v>
      </c>
      <c r="C390" s="3">
        <v>2</v>
      </c>
      <c r="D390" s="5">
        <v>65</v>
      </c>
      <c r="E390" s="3" t="s">
        <v>3794</v>
      </c>
      <c r="F390" s="2" t="s">
        <v>74</v>
      </c>
      <c r="G390" s="6" t="s">
        <v>794</v>
      </c>
      <c r="H390" s="2" t="s">
        <v>447</v>
      </c>
      <c r="I390" s="2" t="s">
        <v>792</v>
      </c>
      <c r="J390" s="2" t="s">
        <v>19</v>
      </c>
      <c r="K390" s="2" t="s">
        <v>160</v>
      </c>
      <c r="L390" s="7" t="str">
        <f>HYPERLINK("http://slimages.macys.com/is/image/MCY/15173570 ")</f>
        <v xml:space="preserve">http://slimages.macys.com/is/image/MCY/15173570 </v>
      </c>
    </row>
    <row r="391" spans="1:12" ht="24.75" x14ac:dyDescent="0.25">
      <c r="A391" s="4" t="s">
        <v>14090</v>
      </c>
      <c r="B391" s="2" t="s">
        <v>3796</v>
      </c>
      <c r="C391" s="3">
        <v>1</v>
      </c>
      <c r="D391" s="5">
        <v>65</v>
      </c>
      <c r="E391" s="3" t="s">
        <v>3797</v>
      </c>
      <c r="F391" s="2" t="s">
        <v>572</v>
      </c>
      <c r="G391" s="6" t="s">
        <v>794</v>
      </c>
      <c r="H391" s="2" t="s">
        <v>447</v>
      </c>
      <c r="I391" s="2" t="s">
        <v>792</v>
      </c>
      <c r="J391" s="2" t="s">
        <v>19</v>
      </c>
      <c r="K391" s="2" t="s">
        <v>160</v>
      </c>
      <c r="L391" s="7" t="str">
        <f>HYPERLINK("http://slimages.macys.com/is/image/MCY/14448546 ")</f>
        <v xml:space="preserve">http://slimages.macys.com/is/image/MCY/14448546 </v>
      </c>
    </row>
    <row r="392" spans="1:12" ht="24.75" x14ac:dyDescent="0.25">
      <c r="A392" s="4" t="s">
        <v>10885</v>
      </c>
      <c r="B392" s="2" t="s">
        <v>1002</v>
      </c>
      <c r="C392" s="3">
        <v>1</v>
      </c>
      <c r="D392" s="5">
        <v>44.63</v>
      </c>
      <c r="E392" s="3" t="s">
        <v>10882</v>
      </c>
      <c r="F392" s="2" t="s">
        <v>579</v>
      </c>
      <c r="G392" s="6" t="s">
        <v>200</v>
      </c>
      <c r="H392" s="2" t="s">
        <v>194</v>
      </c>
      <c r="I392" s="2" t="s">
        <v>195</v>
      </c>
      <c r="J392" s="2" t="s">
        <v>19</v>
      </c>
      <c r="K392" s="2" t="s">
        <v>137</v>
      </c>
      <c r="L392" s="7" t="str">
        <f>HYPERLINK("http://slimages.macys.com/is/image/MCY/9653306 ")</f>
        <v xml:space="preserve">http://slimages.macys.com/is/image/MCY/9653306 </v>
      </c>
    </row>
    <row r="393" spans="1:12" ht="24.75" x14ac:dyDescent="0.25">
      <c r="A393" s="4" t="s">
        <v>14091</v>
      </c>
      <c r="B393" s="2" t="s">
        <v>3793</v>
      </c>
      <c r="C393" s="3">
        <v>1</v>
      </c>
      <c r="D393" s="5">
        <v>65</v>
      </c>
      <c r="E393" s="3" t="s">
        <v>3794</v>
      </c>
      <c r="F393" s="2" t="s">
        <v>74</v>
      </c>
      <c r="G393" s="6" t="s">
        <v>446</v>
      </c>
      <c r="H393" s="2" t="s">
        <v>447</v>
      </c>
      <c r="I393" s="2" t="s">
        <v>792</v>
      </c>
      <c r="J393" s="2" t="s">
        <v>19</v>
      </c>
      <c r="K393" s="2" t="s">
        <v>160</v>
      </c>
      <c r="L393" s="7" t="str">
        <f>HYPERLINK("http://slimages.macys.com/is/image/MCY/15173570 ")</f>
        <v xml:space="preserve">http://slimages.macys.com/is/image/MCY/15173570 </v>
      </c>
    </row>
    <row r="394" spans="1:12" ht="24.75" x14ac:dyDescent="0.25">
      <c r="A394" s="4" t="s">
        <v>14092</v>
      </c>
      <c r="B394" s="2" t="s">
        <v>1215</v>
      </c>
      <c r="C394" s="3">
        <v>1</v>
      </c>
      <c r="D394" s="5">
        <v>37.130000000000003</v>
      </c>
      <c r="E394" s="3" t="s">
        <v>12106</v>
      </c>
      <c r="F394" s="2" t="s">
        <v>752</v>
      </c>
      <c r="G394" s="6" t="s">
        <v>156</v>
      </c>
      <c r="H394" s="2" t="s">
        <v>194</v>
      </c>
      <c r="I394" s="2" t="s">
        <v>580</v>
      </c>
      <c r="J394" s="2" t="s">
        <v>19</v>
      </c>
      <c r="K394" s="2" t="s">
        <v>247</v>
      </c>
      <c r="L394" s="7" t="str">
        <f>HYPERLINK("http://slimages.macys.com/is/image/MCY/13120765 ")</f>
        <v xml:space="preserve">http://slimages.macys.com/is/image/MCY/13120765 </v>
      </c>
    </row>
    <row r="395" spans="1:12" ht="24.75" x14ac:dyDescent="0.25">
      <c r="A395" s="4" t="s">
        <v>3799</v>
      </c>
      <c r="B395" s="2" t="s">
        <v>1222</v>
      </c>
      <c r="C395" s="3">
        <v>1</v>
      </c>
      <c r="D395" s="5">
        <v>37.130000000000003</v>
      </c>
      <c r="E395" s="3" t="s">
        <v>1223</v>
      </c>
      <c r="F395" s="2" t="s">
        <v>26</v>
      </c>
      <c r="G395" s="6" t="s">
        <v>156</v>
      </c>
      <c r="H395" s="2" t="s">
        <v>194</v>
      </c>
      <c r="I395" s="2" t="s">
        <v>580</v>
      </c>
      <c r="J395" s="2" t="s">
        <v>19</v>
      </c>
      <c r="K395" s="2" t="s">
        <v>247</v>
      </c>
      <c r="L395" s="7" t="str">
        <f>HYPERLINK("http://slimages.macys.com/is/image/MCY/12950179 ")</f>
        <v xml:space="preserve">http://slimages.macys.com/is/image/MCY/12950179 </v>
      </c>
    </row>
    <row r="396" spans="1:12" ht="24.75" x14ac:dyDescent="0.25">
      <c r="A396" s="4" t="s">
        <v>14093</v>
      </c>
      <c r="B396" s="2" t="s">
        <v>12114</v>
      </c>
      <c r="C396" s="3">
        <v>1</v>
      </c>
      <c r="D396" s="5">
        <v>27.98</v>
      </c>
      <c r="E396" s="3" t="s">
        <v>14094</v>
      </c>
      <c r="F396" s="2" t="s">
        <v>878</v>
      </c>
      <c r="G396" s="6" t="s">
        <v>234</v>
      </c>
      <c r="H396" s="2" t="s">
        <v>194</v>
      </c>
      <c r="I396" s="2" t="s">
        <v>1112</v>
      </c>
      <c r="J396" s="2" t="s">
        <v>19</v>
      </c>
      <c r="K396" s="2" t="s">
        <v>409</v>
      </c>
      <c r="L396" s="7" t="str">
        <f>HYPERLINK("http://slimages.macys.com/is/image/MCY/9053905 ")</f>
        <v xml:space="preserve">http://slimages.macys.com/is/image/MCY/9053905 </v>
      </c>
    </row>
    <row r="397" spans="1:12" ht="24.75" x14ac:dyDescent="0.25">
      <c r="A397" s="4" t="s">
        <v>7427</v>
      </c>
      <c r="B397" s="2" t="s">
        <v>1232</v>
      </c>
      <c r="C397" s="3">
        <v>1</v>
      </c>
      <c r="D397" s="5">
        <v>34.5</v>
      </c>
      <c r="E397" s="3" t="s">
        <v>1236</v>
      </c>
      <c r="F397" s="2" t="s">
        <v>506</v>
      </c>
      <c r="G397" s="6" t="s">
        <v>27</v>
      </c>
      <c r="H397" s="2" t="s">
        <v>194</v>
      </c>
      <c r="I397" s="2" t="s">
        <v>195</v>
      </c>
      <c r="J397" s="2" t="s">
        <v>19</v>
      </c>
      <c r="K397" s="2" t="s">
        <v>353</v>
      </c>
      <c r="L397" s="7" t="str">
        <f>HYPERLINK("http://slimages.macys.com/is/image/MCY/8312314 ")</f>
        <v xml:space="preserve">http://slimages.macys.com/is/image/MCY/8312314 </v>
      </c>
    </row>
    <row r="398" spans="1:12" ht="24.75" x14ac:dyDescent="0.25">
      <c r="A398" s="4" t="s">
        <v>14095</v>
      </c>
      <c r="B398" s="2" t="s">
        <v>7429</v>
      </c>
      <c r="C398" s="3">
        <v>1</v>
      </c>
      <c r="D398" s="5">
        <v>24.99</v>
      </c>
      <c r="E398" s="3">
        <v>100039542</v>
      </c>
      <c r="F398" s="2" t="s">
        <v>252</v>
      </c>
      <c r="G398" s="6" t="s">
        <v>16</v>
      </c>
      <c r="H398" s="2" t="s">
        <v>228</v>
      </c>
      <c r="I398" s="2" t="s">
        <v>857</v>
      </c>
      <c r="J398" s="2" t="s">
        <v>19</v>
      </c>
      <c r="K398" s="2" t="s">
        <v>338</v>
      </c>
      <c r="L398" s="7" t="str">
        <f>HYPERLINK("http://slimages.macys.com/is/image/MCY/10339525 ")</f>
        <v xml:space="preserve">http://slimages.macys.com/is/image/MCY/10339525 </v>
      </c>
    </row>
    <row r="399" spans="1:12" x14ac:dyDescent="0.25">
      <c r="A399" s="4" t="s">
        <v>14096</v>
      </c>
      <c r="B399" s="2" t="s">
        <v>14097</v>
      </c>
      <c r="C399" s="3">
        <v>1</v>
      </c>
      <c r="D399" s="5">
        <v>69.5</v>
      </c>
      <c r="E399" s="3" t="s">
        <v>14098</v>
      </c>
      <c r="F399" s="2" t="s">
        <v>74</v>
      </c>
      <c r="G399" s="6"/>
      <c r="H399" s="2" t="s">
        <v>206</v>
      </c>
      <c r="I399" s="2" t="s">
        <v>207</v>
      </c>
      <c r="J399" s="2" t="s">
        <v>19</v>
      </c>
      <c r="K399" s="2" t="s">
        <v>160</v>
      </c>
      <c r="L399" s="7" t="str">
        <f>HYPERLINK("http://slimages.macys.com/is/image/MCY/14021005 ")</f>
        <v xml:space="preserve">http://slimages.macys.com/is/image/MCY/14021005 </v>
      </c>
    </row>
    <row r="400" spans="1:12" x14ac:dyDescent="0.25">
      <c r="A400" s="4" t="s">
        <v>14099</v>
      </c>
      <c r="B400" s="2" t="s">
        <v>14097</v>
      </c>
      <c r="C400" s="3">
        <v>1</v>
      </c>
      <c r="D400" s="5">
        <v>69.5</v>
      </c>
      <c r="E400" s="3" t="s">
        <v>14098</v>
      </c>
      <c r="F400" s="2" t="s">
        <v>74</v>
      </c>
      <c r="G400" s="6"/>
      <c r="H400" s="2" t="s">
        <v>206</v>
      </c>
      <c r="I400" s="2" t="s">
        <v>207</v>
      </c>
      <c r="J400" s="2" t="s">
        <v>19</v>
      </c>
      <c r="K400" s="2" t="s">
        <v>160</v>
      </c>
      <c r="L400" s="7" t="str">
        <f>HYPERLINK("http://slimages.macys.com/is/image/MCY/14021005 ")</f>
        <v xml:space="preserve">http://slimages.macys.com/is/image/MCY/14021005 </v>
      </c>
    </row>
    <row r="401" spans="1:12" ht="24.75" x14ac:dyDescent="0.25">
      <c r="A401" s="4" t="s">
        <v>14100</v>
      </c>
      <c r="B401" s="2" t="s">
        <v>14101</v>
      </c>
      <c r="C401" s="3">
        <v>1</v>
      </c>
      <c r="D401" s="5">
        <v>36.75</v>
      </c>
      <c r="E401" s="3" t="s">
        <v>14102</v>
      </c>
      <c r="F401" s="2" t="s">
        <v>417</v>
      </c>
      <c r="G401" s="6" t="s">
        <v>934</v>
      </c>
      <c r="H401" s="2" t="s">
        <v>426</v>
      </c>
      <c r="I401" s="2" t="s">
        <v>863</v>
      </c>
      <c r="J401" s="2" t="s">
        <v>19</v>
      </c>
      <c r="K401" s="2" t="s">
        <v>253</v>
      </c>
      <c r="L401" s="7" t="str">
        <f>HYPERLINK("http://slimages.macys.com/is/image/MCY/10334558 ")</f>
        <v xml:space="preserve">http://slimages.macys.com/is/image/MCY/10334558 </v>
      </c>
    </row>
    <row r="402" spans="1:12" ht="24.75" x14ac:dyDescent="0.25">
      <c r="A402" s="4" t="s">
        <v>1247</v>
      </c>
      <c r="B402" s="2" t="s">
        <v>1232</v>
      </c>
      <c r="C402" s="3">
        <v>1</v>
      </c>
      <c r="D402" s="5">
        <v>34.880000000000003</v>
      </c>
      <c r="E402" s="3" t="s">
        <v>1246</v>
      </c>
      <c r="F402" s="2" t="s">
        <v>74</v>
      </c>
      <c r="G402" s="6" t="s">
        <v>336</v>
      </c>
      <c r="H402" s="2" t="s">
        <v>312</v>
      </c>
      <c r="I402" s="2" t="s">
        <v>195</v>
      </c>
      <c r="J402" s="2" t="s">
        <v>19</v>
      </c>
      <c r="K402" s="2" t="s">
        <v>353</v>
      </c>
      <c r="L402" s="7" t="str">
        <f>HYPERLINK("http://slimages.macys.com/is/image/MCY/8256708 ")</f>
        <v xml:space="preserve">http://slimages.macys.com/is/image/MCY/8256708 </v>
      </c>
    </row>
    <row r="403" spans="1:12" ht="24.75" x14ac:dyDescent="0.25">
      <c r="A403" s="4" t="s">
        <v>14103</v>
      </c>
      <c r="B403" s="2" t="s">
        <v>12119</v>
      </c>
      <c r="C403" s="3">
        <v>1</v>
      </c>
      <c r="D403" s="5">
        <v>33.380000000000003</v>
      </c>
      <c r="E403" s="3" t="s">
        <v>12122</v>
      </c>
      <c r="F403" s="2" t="s">
        <v>752</v>
      </c>
      <c r="G403" s="6"/>
      <c r="H403" s="2" t="s">
        <v>312</v>
      </c>
      <c r="I403" s="2" t="s">
        <v>195</v>
      </c>
      <c r="J403" s="2" t="s">
        <v>19</v>
      </c>
      <c r="K403" s="2" t="s">
        <v>107</v>
      </c>
      <c r="L403" s="7" t="str">
        <f>HYPERLINK("http://slimages.macys.com/is/image/MCY/14334261 ")</f>
        <v xml:space="preserve">http://slimages.macys.com/is/image/MCY/14334261 </v>
      </c>
    </row>
    <row r="404" spans="1:12" ht="24.75" x14ac:dyDescent="0.25">
      <c r="A404" s="4" t="s">
        <v>14104</v>
      </c>
      <c r="B404" s="2" t="s">
        <v>14105</v>
      </c>
      <c r="C404" s="3">
        <v>1</v>
      </c>
      <c r="D404" s="5">
        <v>59.5</v>
      </c>
      <c r="E404" s="3">
        <v>100061630</v>
      </c>
      <c r="F404" s="2" t="s">
        <v>64</v>
      </c>
      <c r="G404" s="6" t="s">
        <v>58</v>
      </c>
      <c r="H404" s="2" t="s">
        <v>386</v>
      </c>
      <c r="I404" s="2" t="s">
        <v>207</v>
      </c>
      <c r="J404" s="2" t="s">
        <v>19</v>
      </c>
      <c r="K404" s="2" t="s">
        <v>387</v>
      </c>
      <c r="L404" s="7" t="str">
        <f>HYPERLINK("http://slimages.macys.com/is/image/MCY/11963024 ")</f>
        <v xml:space="preserve">http://slimages.macys.com/is/image/MCY/11963024 </v>
      </c>
    </row>
    <row r="405" spans="1:12" ht="36.75" x14ac:dyDescent="0.25">
      <c r="A405" s="4" t="s">
        <v>14106</v>
      </c>
      <c r="B405" s="2" t="s">
        <v>2655</v>
      </c>
      <c r="C405" s="3">
        <v>1</v>
      </c>
      <c r="D405" s="5">
        <v>27.99</v>
      </c>
      <c r="E405" s="3" t="s">
        <v>2656</v>
      </c>
      <c r="F405" s="2" t="s">
        <v>225</v>
      </c>
      <c r="G405" s="6" t="s">
        <v>934</v>
      </c>
      <c r="H405" s="2" t="s">
        <v>312</v>
      </c>
      <c r="I405" s="2" t="s">
        <v>928</v>
      </c>
      <c r="J405" s="2" t="s">
        <v>19</v>
      </c>
      <c r="K405" s="2" t="s">
        <v>2657</v>
      </c>
      <c r="L405" s="7" t="str">
        <f>HYPERLINK("http://slimages.macys.com/is/image/MCY/2910492 ")</f>
        <v xml:space="preserve">http://slimages.macys.com/is/image/MCY/2910492 </v>
      </c>
    </row>
    <row r="406" spans="1:12" ht="36.75" x14ac:dyDescent="0.25">
      <c r="A406" s="4" t="s">
        <v>3822</v>
      </c>
      <c r="B406" s="2" t="s">
        <v>2655</v>
      </c>
      <c r="C406" s="3">
        <v>1</v>
      </c>
      <c r="D406" s="5">
        <v>27.99</v>
      </c>
      <c r="E406" s="3" t="s">
        <v>2656</v>
      </c>
      <c r="F406" s="2" t="s">
        <v>225</v>
      </c>
      <c r="G406" s="6" t="s">
        <v>165</v>
      </c>
      <c r="H406" s="2" t="s">
        <v>312</v>
      </c>
      <c r="I406" s="2" t="s">
        <v>928</v>
      </c>
      <c r="J406" s="2" t="s">
        <v>19</v>
      </c>
      <c r="K406" s="2" t="s">
        <v>2657</v>
      </c>
      <c r="L406" s="7" t="str">
        <f>HYPERLINK("http://slimages.macys.com/is/image/MCY/2910492 ")</f>
        <v xml:space="preserve">http://slimages.macys.com/is/image/MCY/2910492 </v>
      </c>
    </row>
    <row r="407" spans="1:12" ht="24.75" x14ac:dyDescent="0.25">
      <c r="A407" s="4" t="s">
        <v>14107</v>
      </c>
      <c r="B407" s="2" t="s">
        <v>4871</v>
      </c>
      <c r="C407" s="3">
        <v>1</v>
      </c>
      <c r="D407" s="5">
        <v>34.5</v>
      </c>
      <c r="E407" s="3" t="s">
        <v>14108</v>
      </c>
      <c r="F407" s="2" t="s">
        <v>15</v>
      </c>
      <c r="G407" s="6"/>
      <c r="H407" s="2" t="s">
        <v>228</v>
      </c>
      <c r="I407" s="2" t="s">
        <v>229</v>
      </c>
      <c r="J407" s="2" t="s">
        <v>19</v>
      </c>
      <c r="K407" s="2" t="s">
        <v>253</v>
      </c>
      <c r="L407" s="7" t="str">
        <f>HYPERLINK("http://slimages.macys.com/is/image/MCY/3604439 ")</f>
        <v xml:space="preserve">http://slimages.macys.com/is/image/MCY/3604439 </v>
      </c>
    </row>
    <row r="408" spans="1:12" ht="24.75" x14ac:dyDescent="0.25">
      <c r="A408" s="4" t="s">
        <v>14109</v>
      </c>
      <c r="B408" s="2" t="s">
        <v>4903</v>
      </c>
      <c r="C408" s="3">
        <v>1</v>
      </c>
      <c r="D408" s="5">
        <v>34.5</v>
      </c>
      <c r="E408" s="3" t="s">
        <v>4904</v>
      </c>
      <c r="F408" s="2" t="s">
        <v>417</v>
      </c>
      <c r="G408" s="6" t="s">
        <v>10852</v>
      </c>
      <c r="H408" s="2" t="s">
        <v>228</v>
      </c>
      <c r="I408" s="2" t="s">
        <v>229</v>
      </c>
      <c r="J408" s="2" t="s">
        <v>19</v>
      </c>
      <c r="K408" s="2" t="s">
        <v>253</v>
      </c>
      <c r="L408" s="7" t="str">
        <f>HYPERLINK("http://slimages.macys.com/is/image/MCY/10749299 ")</f>
        <v xml:space="preserve">http://slimages.macys.com/is/image/MCY/10749299 </v>
      </c>
    </row>
    <row r="409" spans="1:12" ht="24.75" x14ac:dyDescent="0.25">
      <c r="A409" s="4" t="s">
        <v>5837</v>
      </c>
      <c r="B409" s="2" t="s">
        <v>1203</v>
      </c>
      <c r="C409" s="3">
        <v>1</v>
      </c>
      <c r="D409" s="5">
        <v>34.5</v>
      </c>
      <c r="E409" s="3" t="s">
        <v>4901</v>
      </c>
      <c r="F409" s="2" t="s">
        <v>1614</v>
      </c>
      <c r="G409" s="6" t="s">
        <v>126</v>
      </c>
      <c r="H409" s="2" t="s">
        <v>426</v>
      </c>
      <c r="I409" s="2" t="s">
        <v>229</v>
      </c>
      <c r="J409" s="2" t="s">
        <v>19</v>
      </c>
      <c r="K409" s="2" t="s">
        <v>253</v>
      </c>
      <c r="L409" s="7" t="str">
        <f>HYPERLINK("http://slimages.macys.com/is/image/MCY/1290325 ")</f>
        <v xml:space="preserve">http://slimages.macys.com/is/image/MCY/1290325 </v>
      </c>
    </row>
    <row r="410" spans="1:12" ht="24.75" x14ac:dyDescent="0.25">
      <c r="A410" s="4" t="s">
        <v>14110</v>
      </c>
      <c r="B410" s="2" t="s">
        <v>14111</v>
      </c>
      <c r="C410" s="3">
        <v>1</v>
      </c>
      <c r="D410" s="5">
        <v>59.5</v>
      </c>
      <c r="E410" s="3" t="s">
        <v>14112</v>
      </c>
      <c r="F410" s="2" t="s">
        <v>33</v>
      </c>
      <c r="G410" s="6" t="s">
        <v>219</v>
      </c>
      <c r="H410" s="2" t="s">
        <v>206</v>
      </c>
      <c r="I410" s="2" t="s">
        <v>207</v>
      </c>
      <c r="J410" s="2" t="s">
        <v>19</v>
      </c>
      <c r="K410" s="2" t="s">
        <v>1348</v>
      </c>
      <c r="L410" s="7" t="str">
        <f>HYPERLINK("http://slimages.macys.com/is/image/MCY/13893568 ")</f>
        <v xml:space="preserve">http://slimages.macys.com/is/image/MCY/13893568 </v>
      </c>
    </row>
    <row r="411" spans="1:12" ht="24.75" x14ac:dyDescent="0.25">
      <c r="A411" s="4" t="s">
        <v>14113</v>
      </c>
      <c r="B411" s="2" t="s">
        <v>14111</v>
      </c>
      <c r="C411" s="3">
        <v>1</v>
      </c>
      <c r="D411" s="5">
        <v>59.5</v>
      </c>
      <c r="E411" s="3" t="s">
        <v>14112</v>
      </c>
      <c r="F411" s="2" t="s">
        <v>33</v>
      </c>
      <c r="G411" s="6"/>
      <c r="H411" s="2" t="s">
        <v>206</v>
      </c>
      <c r="I411" s="2" t="s">
        <v>207</v>
      </c>
      <c r="J411" s="2" t="s">
        <v>19</v>
      </c>
      <c r="K411" s="2" t="s">
        <v>1348</v>
      </c>
      <c r="L411" s="7" t="str">
        <f>HYPERLINK("http://slimages.macys.com/is/image/MCY/13893568 ")</f>
        <v xml:space="preserve">http://slimages.macys.com/is/image/MCY/13893568 </v>
      </c>
    </row>
    <row r="412" spans="1:12" ht="24.75" x14ac:dyDescent="0.25">
      <c r="A412" s="4" t="s">
        <v>14114</v>
      </c>
      <c r="B412" s="2" t="s">
        <v>8153</v>
      </c>
      <c r="C412" s="3">
        <v>1</v>
      </c>
      <c r="D412" s="5">
        <v>44.63</v>
      </c>
      <c r="E412" s="3" t="s">
        <v>8154</v>
      </c>
      <c r="F412" s="2" t="s">
        <v>74</v>
      </c>
      <c r="G412" s="6"/>
      <c r="H412" s="2" t="s">
        <v>312</v>
      </c>
      <c r="I412" s="2" t="s">
        <v>195</v>
      </c>
      <c r="J412" s="2" t="s">
        <v>19</v>
      </c>
      <c r="K412" s="2" t="s">
        <v>247</v>
      </c>
      <c r="L412" s="7" t="str">
        <f>HYPERLINK("http://slimages.macys.com/is/image/MCY/10335892 ")</f>
        <v xml:space="preserve">http://slimages.macys.com/is/image/MCY/10335892 </v>
      </c>
    </row>
    <row r="413" spans="1:12" ht="24.75" x14ac:dyDescent="0.25">
      <c r="A413" s="4" t="s">
        <v>10903</v>
      </c>
      <c r="B413" s="2" t="s">
        <v>4915</v>
      </c>
      <c r="C413" s="3">
        <v>1</v>
      </c>
      <c r="D413" s="5">
        <v>34.880000000000003</v>
      </c>
      <c r="E413" s="3">
        <v>100009325</v>
      </c>
      <c r="F413" s="2" t="s">
        <v>74</v>
      </c>
      <c r="G413" s="6" t="s">
        <v>156</v>
      </c>
      <c r="H413" s="2" t="s">
        <v>194</v>
      </c>
      <c r="I413" s="2" t="s">
        <v>229</v>
      </c>
      <c r="J413" s="2" t="s">
        <v>19</v>
      </c>
      <c r="K413" s="2" t="s">
        <v>253</v>
      </c>
      <c r="L413" s="7" t="str">
        <f>HYPERLINK("http://slimages.macys.com/is/image/MCY/9489387 ")</f>
        <v xml:space="preserve">http://slimages.macys.com/is/image/MCY/9489387 </v>
      </c>
    </row>
    <row r="414" spans="1:12" ht="24.75" x14ac:dyDescent="0.25">
      <c r="A414" s="4" t="s">
        <v>14115</v>
      </c>
      <c r="B414" s="2" t="s">
        <v>4915</v>
      </c>
      <c r="C414" s="3">
        <v>1</v>
      </c>
      <c r="D414" s="5">
        <v>34.880000000000003</v>
      </c>
      <c r="E414" s="3">
        <v>100009325</v>
      </c>
      <c r="F414" s="2" t="s">
        <v>64</v>
      </c>
      <c r="G414" s="6" t="s">
        <v>156</v>
      </c>
      <c r="H414" s="2" t="s">
        <v>194</v>
      </c>
      <c r="I414" s="2" t="s">
        <v>229</v>
      </c>
      <c r="J414" s="2" t="s">
        <v>19</v>
      </c>
      <c r="K414" s="2" t="s">
        <v>253</v>
      </c>
      <c r="L414" s="7" t="str">
        <f>HYPERLINK("http://slimages.macys.com/is/image/MCY/9489387 ")</f>
        <v xml:space="preserve">http://slimages.macys.com/is/image/MCY/9489387 </v>
      </c>
    </row>
    <row r="415" spans="1:12" ht="24.75" x14ac:dyDescent="0.25">
      <c r="A415" s="4" t="s">
        <v>14116</v>
      </c>
      <c r="B415" s="2" t="s">
        <v>14117</v>
      </c>
      <c r="C415" s="3">
        <v>1</v>
      </c>
      <c r="D415" s="5">
        <v>29.99</v>
      </c>
      <c r="E415" s="3" t="s">
        <v>14118</v>
      </c>
      <c r="F415" s="2" t="s">
        <v>111</v>
      </c>
      <c r="G415" s="6" t="s">
        <v>156</v>
      </c>
      <c r="H415" s="2" t="s">
        <v>246</v>
      </c>
      <c r="I415" s="2" t="s">
        <v>189</v>
      </c>
      <c r="J415" s="2" t="s">
        <v>19</v>
      </c>
      <c r="K415" s="2" t="s">
        <v>160</v>
      </c>
      <c r="L415" s="7" t="str">
        <f>HYPERLINK("http://slimages.macys.com/is/image/MCY/14355639 ")</f>
        <v xml:space="preserve">http://slimages.macys.com/is/image/MCY/14355639 </v>
      </c>
    </row>
    <row r="416" spans="1:12" ht="24.75" x14ac:dyDescent="0.25">
      <c r="A416" s="4" t="s">
        <v>14119</v>
      </c>
      <c r="B416" s="2" t="s">
        <v>12147</v>
      </c>
      <c r="C416" s="3">
        <v>1</v>
      </c>
      <c r="D416" s="5">
        <v>29.63</v>
      </c>
      <c r="E416" s="3" t="s">
        <v>12148</v>
      </c>
      <c r="F416" s="2" t="s">
        <v>26</v>
      </c>
      <c r="G416" s="6" t="s">
        <v>154</v>
      </c>
      <c r="H416" s="2" t="s">
        <v>246</v>
      </c>
      <c r="I416" s="2" t="s">
        <v>189</v>
      </c>
      <c r="J416" s="2" t="s">
        <v>19</v>
      </c>
      <c r="K416" s="2" t="s">
        <v>4121</v>
      </c>
      <c r="L416" s="7" t="str">
        <f>HYPERLINK("http://slimages.macys.com/is/image/MCY/13941612 ")</f>
        <v xml:space="preserve">http://slimages.macys.com/is/image/MCY/13941612 </v>
      </c>
    </row>
    <row r="417" spans="1:12" ht="24.75" x14ac:dyDescent="0.25">
      <c r="A417" s="4" t="s">
        <v>12146</v>
      </c>
      <c r="B417" s="2" t="s">
        <v>12147</v>
      </c>
      <c r="C417" s="3">
        <v>1</v>
      </c>
      <c r="D417" s="5">
        <v>29.63</v>
      </c>
      <c r="E417" s="3" t="s">
        <v>12148</v>
      </c>
      <c r="F417" s="2" t="s">
        <v>26</v>
      </c>
      <c r="G417" s="6" t="s">
        <v>234</v>
      </c>
      <c r="H417" s="2" t="s">
        <v>246</v>
      </c>
      <c r="I417" s="2" t="s">
        <v>189</v>
      </c>
      <c r="J417" s="2" t="s">
        <v>19</v>
      </c>
      <c r="K417" s="2" t="s">
        <v>4121</v>
      </c>
      <c r="L417" s="7" t="str">
        <f>HYPERLINK("http://slimages.macys.com/is/image/MCY/13941612 ")</f>
        <v xml:space="preserve">http://slimages.macys.com/is/image/MCY/13941612 </v>
      </c>
    </row>
    <row r="418" spans="1:12" ht="24.75" x14ac:dyDescent="0.25">
      <c r="A418" s="4" t="s">
        <v>1301</v>
      </c>
      <c r="B418" s="2" t="s">
        <v>1279</v>
      </c>
      <c r="C418" s="3">
        <v>1</v>
      </c>
      <c r="D418" s="5">
        <v>27.99</v>
      </c>
      <c r="E418" s="3" t="s">
        <v>1302</v>
      </c>
      <c r="F418" s="2" t="s">
        <v>566</v>
      </c>
      <c r="G418" s="6" t="s">
        <v>154</v>
      </c>
      <c r="H418" s="2" t="s">
        <v>194</v>
      </c>
      <c r="I418" s="2" t="s">
        <v>919</v>
      </c>
      <c r="J418" s="2" t="s">
        <v>19</v>
      </c>
      <c r="K418" s="2" t="s">
        <v>409</v>
      </c>
      <c r="L418" s="7" t="str">
        <f>HYPERLINK("http://slimages.macys.com/is/image/MCY/3244804 ")</f>
        <v xml:space="preserve">http://slimages.macys.com/is/image/MCY/3244804 </v>
      </c>
    </row>
    <row r="419" spans="1:12" ht="36.75" x14ac:dyDescent="0.25">
      <c r="A419" s="4" t="s">
        <v>14120</v>
      </c>
      <c r="B419" s="2" t="s">
        <v>1294</v>
      </c>
      <c r="C419" s="3">
        <v>1</v>
      </c>
      <c r="D419" s="5">
        <v>37.130000000000003</v>
      </c>
      <c r="E419" s="3" t="s">
        <v>1295</v>
      </c>
      <c r="F419" s="2" t="s">
        <v>1296</v>
      </c>
      <c r="G419" s="6"/>
      <c r="H419" s="2" t="s">
        <v>632</v>
      </c>
      <c r="I419" s="2" t="s">
        <v>285</v>
      </c>
      <c r="J419" s="2" t="s">
        <v>19</v>
      </c>
      <c r="K419" s="2" t="s">
        <v>1297</v>
      </c>
      <c r="L419" s="7" t="str">
        <f>HYPERLINK("http://slimages.macys.com/is/image/MCY/8660799 ")</f>
        <v xml:space="preserve">http://slimages.macys.com/is/image/MCY/8660799 </v>
      </c>
    </row>
    <row r="420" spans="1:12" ht="24.75" x14ac:dyDescent="0.25">
      <c r="A420" s="4" t="s">
        <v>1288</v>
      </c>
      <c r="B420" s="2" t="s">
        <v>1279</v>
      </c>
      <c r="C420" s="3">
        <v>1</v>
      </c>
      <c r="D420" s="5">
        <v>27.99</v>
      </c>
      <c r="E420" s="3" t="s">
        <v>1280</v>
      </c>
      <c r="F420" s="2" t="s">
        <v>566</v>
      </c>
      <c r="G420" s="6"/>
      <c r="H420" s="2" t="s">
        <v>312</v>
      </c>
      <c r="I420" s="2" t="s">
        <v>1112</v>
      </c>
      <c r="J420" s="2" t="s">
        <v>19</v>
      </c>
      <c r="K420" s="2" t="s">
        <v>409</v>
      </c>
      <c r="L420" s="7" t="str">
        <f>HYPERLINK("http://slimages.macys.com/is/image/MCY/3832970 ")</f>
        <v xml:space="preserve">http://slimages.macys.com/is/image/MCY/3832970 </v>
      </c>
    </row>
    <row r="421" spans="1:12" ht="24.75" x14ac:dyDescent="0.25">
      <c r="A421" s="4" t="s">
        <v>14121</v>
      </c>
      <c r="B421" s="2" t="s">
        <v>14122</v>
      </c>
      <c r="C421" s="3">
        <v>1</v>
      </c>
      <c r="D421" s="5">
        <v>49</v>
      </c>
      <c r="E421" s="3" t="s">
        <v>14123</v>
      </c>
      <c r="F421" s="2" t="s">
        <v>70</v>
      </c>
      <c r="G421" s="6" t="s">
        <v>154</v>
      </c>
      <c r="H421" s="2" t="s">
        <v>10225</v>
      </c>
      <c r="I421" s="2" t="s">
        <v>10226</v>
      </c>
      <c r="J421" s="2" t="s">
        <v>19</v>
      </c>
      <c r="K421" s="2" t="s">
        <v>201</v>
      </c>
      <c r="L421" s="7" t="str">
        <f>HYPERLINK("http://slimages.macys.com/is/image/MCY/11621507 ")</f>
        <v xml:space="preserve">http://slimages.macys.com/is/image/MCY/11621507 </v>
      </c>
    </row>
    <row r="422" spans="1:12" ht="24.75" x14ac:dyDescent="0.25">
      <c r="A422" s="4" t="s">
        <v>1281</v>
      </c>
      <c r="B422" s="2" t="s">
        <v>1279</v>
      </c>
      <c r="C422" s="3">
        <v>1</v>
      </c>
      <c r="D422" s="5">
        <v>27.99</v>
      </c>
      <c r="E422" s="3" t="s">
        <v>1280</v>
      </c>
      <c r="F422" s="2" t="s">
        <v>566</v>
      </c>
      <c r="G422" s="6"/>
      <c r="H422" s="2" t="s">
        <v>312</v>
      </c>
      <c r="I422" s="2" t="s">
        <v>1112</v>
      </c>
      <c r="J422" s="2" t="s">
        <v>19</v>
      </c>
      <c r="K422" s="2" t="s">
        <v>409</v>
      </c>
      <c r="L422" s="7" t="str">
        <f>HYPERLINK("http://slimages.macys.com/is/image/MCY/3832970 ")</f>
        <v xml:space="preserve">http://slimages.macys.com/is/image/MCY/3832970 </v>
      </c>
    </row>
    <row r="423" spans="1:12" ht="24.75" x14ac:dyDescent="0.25">
      <c r="A423" s="4" t="s">
        <v>14124</v>
      </c>
      <c r="B423" s="2" t="s">
        <v>14122</v>
      </c>
      <c r="C423" s="3">
        <v>1</v>
      </c>
      <c r="D423" s="5">
        <v>49</v>
      </c>
      <c r="E423" s="3" t="s">
        <v>14123</v>
      </c>
      <c r="F423" s="2" t="s">
        <v>70</v>
      </c>
      <c r="G423" s="6" t="s">
        <v>234</v>
      </c>
      <c r="H423" s="2" t="s">
        <v>10225</v>
      </c>
      <c r="I423" s="2" t="s">
        <v>10226</v>
      </c>
      <c r="J423" s="2" t="s">
        <v>19</v>
      </c>
      <c r="K423" s="2" t="s">
        <v>201</v>
      </c>
      <c r="L423" s="7" t="str">
        <f>HYPERLINK("http://slimages.macys.com/is/image/MCY/11621507 ")</f>
        <v xml:space="preserve">http://slimages.macys.com/is/image/MCY/11621507 </v>
      </c>
    </row>
    <row r="424" spans="1:12" ht="24.75" x14ac:dyDescent="0.25">
      <c r="A424" s="4" t="s">
        <v>14125</v>
      </c>
      <c r="B424" s="2" t="s">
        <v>12162</v>
      </c>
      <c r="C424" s="3">
        <v>1</v>
      </c>
      <c r="D424" s="5">
        <v>21.99</v>
      </c>
      <c r="E424" s="3" t="s">
        <v>12163</v>
      </c>
      <c r="F424" s="2" t="s">
        <v>752</v>
      </c>
      <c r="G424" s="6" t="s">
        <v>205</v>
      </c>
      <c r="H424" s="2" t="s">
        <v>312</v>
      </c>
      <c r="I424" s="2" t="s">
        <v>195</v>
      </c>
      <c r="J424" s="2" t="s">
        <v>19</v>
      </c>
      <c r="K424" s="2" t="s">
        <v>353</v>
      </c>
      <c r="L424" s="7" t="str">
        <f>HYPERLINK("http://slimages.macys.com/is/image/MCY/16058397 ")</f>
        <v xml:space="preserve">http://slimages.macys.com/is/image/MCY/16058397 </v>
      </c>
    </row>
    <row r="425" spans="1:12" ht="24.75" x14ac:dyDescent="0.25">
      <c r="A425" s="4" t="s">
        <v>14126</v>
      </c>
      <c r="B425" s="2" t="s">
        <v>1256</v>
      </c>
      <c r="C425" s="3">
        <v>1</v>
      </c>
      <c r="D425" s="5">
        <v>37.130000000000003</v>
      </c>
      <c r="E425" s="3" t="s">
        <v>14127</v>
      </c>
      <c r="F425" s="2" t="s">
        <v>74</v>
      </c>
      <c r="G425" s="6" t="s">
        <v>794</v>
      </c>
      <c r="H425" s="2" t="s">
        <v>632</v>
      </c>
      <c r="I425" s="2" t="s">
        <v>285</v>
      </c>
      <c r="J425" s="2" t="s">
        <v>19</v>
      </c>
      <c r="K425" s="2" t="s">
        <v>160</v>
      </c>
      <c r="L425" s="7" t="str">
        <f>HYPERLINK("http://slimages.macys.com/is/image/MCY/12876584 ")</f>
        <v xml:space="preserve">http://slimages.macys.com/is/image/MCY/12876584 </v>
      </c>
    </row>
    <row r="426" spans="1:12" ht="24.75" x14ac:dyDescent="0.25">
      <c r="A426" s="4" t="s">
        <v>14128</v>
      </c>
      <c r="B426" s="2" t="s">
        <v>9600</v>
      </c>
      <c r="C426" s="3">
        <v>1</v>
      </c>
      <c r="D426" s="5">
        <v>34.5</v>
      </c>
      <c r="E426" s="3">
        <v>100060492</v>
      </c>
      <c r="F426" s="2" t="s">
        <v>225</v>
      </c>
      <c r="G426" s="6" t="s">
        <v>58</v>
      </c>
      <c r="H426" s="2" t="s">
        <v>228</v>
      </c>
      <c r="I426" s="2" t="s">
        <v>229</v>
      </c>
      <c r="J426" s="2" t="s">
        <v>19</v>
      </c>
      <c r="K426" s="2" t="s">
        <v>253</v>
      </c>
      <c r="L426" s="7" t="str">
        <f>HYPERLINK("http://slimages.macys.com/is/image/MCY/12035190 ")</f>
        <v xml:space="preserve">http://slimages.macys.com/is/image/MCY/12035190 </v>
      </c>
    </row>
    <row r="427" spans="1:12" ht="24.75" x14ac:dyDescent="0.25">
      <c r="A427" s="4" t="s">
        <v>8165</v>
      </c>
      <c r="B427" s="2" t="s">
        <v>1339</v>
      </c>
      <c r="C427" s="3">
        <v>1</v>
      </c>
      <c r="D427" s="5">
        <v>29.63</v>
      </c>
      <c r="E427" s="3" t="s">
        <v>5864</v>
      </c>
      <c r="F427" s="2" t="s">
        <v>170</v>
      </c>
      <c r="G427" s="6" t="s">
        <v>234</v>
      </c>
      <c r="H427" s="2" t="s">
        <v>194</v>
      </c>
      <c r="I427" s="2" t="s">
        <v>195</v>
      </c>
      <c r="J427" s="2" t="s">
        <v>19</v>
      </c>
      <c r="K427" s="2" t="s">
        <v>1108</v>
      </c>
      <c r="L427" s="7" t="str">
        <f>HYPERLINK("http://slimages.macys.com/is/image/MCY/14826216 ")</f>
        <v xml:space="preserve">http://slimages.macys.com/is/image/MCY/14826216 </v>
      </c>
    </row>
    <row r="428" spans="1:12" ht="24.75" x14ac:dyDescent="0.25">
      <c r="A428" s="4" t="s">
        <v>14129</v>
      </c>
      <c r="B428" s="2" t="s">
        <v>14130</v>
      </c>
      <c r="C428" s="3">
        <v>1</v>
      </c>
      <c r="D428" s="5">
        <v>29.6</v>
      </c>
      <c r="E428" s="3">
        <v>100018079</v>
      </c>
      <c r="F428" s="2" t="s">
        <v>464</v>
      </c>
      <c r="G428" s="6" t="s">
        <v>234</v>
      </c>
      <c r="H428" s="2" t="s">
        <v>194</v>
      </c>
      <c r="I428" s="2" t="s">
        <v>195</v>
      </c>
      <c r="J428" s="2" t="s">
        <v>19</v>
      </c>
      <c r="K428" s="2" t="s">
        <v>3712</v>
      </c>
      <c r="L428" s="7" t="str">
        <f>HYPERLINK("http://slimages.macys.com/is/image/MCY/9691291 ")</f>
        <v xml:space="preserve">http://slimages.macys.com/is/image/MCY/9691291 </v>
      </c>
    </row>
    <row r="429" spans="1:12" ht="24.75" x14ac:dyDescent="0.25">
      <c r="A429" s="4" t="s">
        <v>7458</v>
      </c>
      <c r="B429" s="2" t="s">
        <v>7459</v>
      </c>
      <c r="C429" s="3">
        <v>1</v>
      </c>
      <c r="D429" s="5">
        <v>37.130000000000003</v>
      </c>
      <c r="E429" s="3" t="s">
        <v>7460</v>
      </c>
      <c r="F429" s="2" t="s">
        <v>676</v>
      </c>
      <c r="G429" s="6" t="s">
        <v>200</v>
      </c>
      <c r="H429" s="2" t="s">
        <v>246</v>
      </c>
      <c r="I429" s="2" t="s">
        <v>189</v>
      </c>
      <c r="J429" s="2" t="s">
        <v>19</v>
      </c>
      <c r="K429" s="2" t="s">
        <v>160</v>
      </c>
      <c r="L429" s="7" t="str">
        <f>HYPERLINK("http://slimages.macys.com/is/image/MCY/13761368 ")</f>
        <v xml:space="preserve">http://slimages.macys.com/is/image/MCY/13761368 </v>
      </c>
    </row>
    <row r="430" spans="1:12" ht="24.75" x14ac:dyDescent="0.25">
      <c r="A430" s="4" t="s">
        <v>12169</v>
      </c>
      <c r="B430" s="2" t="s">
        <v>10916</v>
      </c>
      <c r="C430" s="3">
        <v>1</v>
      </c>
      <c r="D430" s="5">
        <v>29.63</v>
      </c>
      <c r="E430" s="3" t="s">
        <v>10917</v>
      </c>
      <c r="F430" s="2" t="s">
        <v>1914</v>
      </c>
      <c r="G430" s="6" t="s">
        <v>156</v>
      </c>
      <c r="H430" s="2" t="s">
        <v>194</v>
      </c>
      <c r="I430" s="2" t="s">
        <v>195</v>
      </c>
      <c r="J430" s="2" t="s">
        <v>19</v>
      </c>
      <c r="K430" s="2" t="s">
        <v>247</v>
      </c>
      <c r="L430" s="7" t="str">
        <f>HYPERLINK("http://slimages.macys.com/is/image/MCY/12850789 ")</f>
        <v xml:space="preserve">http://slimages.macys.com/is/image/MCY/12850789 </v>
      </c>
    </row>
    <row r="431" spans="1:12" ht="24.75" x14ac:dyDescent="0.25">
      <c r="A431" s="4" t="s">
        <v>13124</v>
      </c>
      <c r="B431" s="2" t="s">
        <v>10916</v>
      </c>
      <c r="C431" s="3">
        <v>1</v>
      </c>
      <c r="D431" s="5">
        <v>29.63</v>
      </c>
      <c r="E431" s="3" t="s">
        <v>10917</v>
      </c>
      <c r="F431" s="2" t="s">
        <v>1914</v>
      </c>
      <c r="G431" s="6" t="s">
        <v>245</v>
      </c>
      <c r="H431" s="2" t="s">
        <v>194</v>
      </c>
      <c r="I431" s="2" t="s">
        <v>195</v>
      </c>
      <c r="J431" s="2" t="s">
        <v>19</v>
      </c>
      <c r="K431" s="2" t="s">
        <v>247</v>
      </c>
      <c r="L431" s="7" t="str">
        <f>HYPERLINK("http://slimages.macys.com/is/image/MCY/12850789 ")</f>
        <v xml:space="preserve">http://slimages.macys.com/is/image/MCY/12850789 </v>
      </c>
    </row>
    <row r="432" spans="1:12" ht="24.75" x14ac:dyDescent="0.25">
      <c r="A432" s="4" t="s">
        <v>10919</v>
      </c>
      <c r="B432" s="2" t="s">
        <v>10916</v>
      </c>
      <c r="C432" s="3">
        <v>3</v>
      </c>
      <c r="D432" s="5">
        <v>29.63</v>
      </c>
      <c r="E432" s="3" t="s">
        <v>10917</v>
      </c>
      <c r="F432" s="2" t="s">
        <v>1914</v>
      </c>
      <c r="G432" s="6" t="s">
        <v>181</v>
      </c>
      <c r="H432" s="2" t="s">
        <v>194</v>
      </c>
      <c r="I432" s="2" t="s">
        <v>195</v>
      </c>
      <c r="J432" s="2" t="s">
        <v>19</v>
      </c>
      <c r="K432" s="2" t="s">
        <v>247</v>
      </c>
      <c r="L432" s="7" t="str">
        <f>HYPERLINK("http://slimages.macys.com/is/image/MCY/12850789 ")</f>
        <v xml:space="preserve">http://slimages.macys.com/is/image/MCY/12850789 </v>
      </c>
    </row>
    <row r="433" spans="1:12" ht="24.75" x14ac:dyDescent="0.25">
      <c r="A433" s="4" t="s">
        <v>12173</v>
      </c>
      <c r="B433" s="2" t="s">
        <v>1307</v>
      </c>
      <c r="C433" s="3">
        <v>1</v>
      </c>
      <c r="D433" s="5">
        <v>33.380000000000003</v>
      </c>
      <c r="E433" s="3" t="s">
        <v>12171</v>
      </c>
      <c r="F433" s="2" t="s">
        <v>193</v>
      </c>
      <c r="G433" s="6"/>
      <c r="H433" s="2" t="s">
        <v>312</v>
      </c>
      <c r="I433" s="2" t="s">
        <v>195</v>
      </c>
      <c r="J433" s="2" t="s">
        <v>19</v>
      </c>
      <c r="K433" s="2" t="s">
        <v>12172</v>
      </c>
      <c r="L433" s="7" t="str">
        <f>HYPERLINK("http://slimages.macys.com/is/image/MCY/12950207 ")</f>
        <v xml:space="preserve">http://slimages.macys.com/is/image/MCY/12950207 </v>
      </c>
    </row>
    <row r="434" spans="1:12" ht="24.75" x14ac:dyDescent="0.25">
      <c r="A434" s="4" t="s">
        <v>13127</v>
      </c>
      <c r="B434" s="2" t="s">
        <v>12175</v>
      </c>
      <c r="C434" s="3">
        <v>1</v>
      </c>
      <c r="D434" s="5">
        <v>37.130000000000003</v>
      </c>
      <c r="E434" s="3" t="s">
        <v>12176</v>
      </c>
      <c r="F434" s="2" t="s">
        <v>15</v>
      </c>
      <c r="G434" s="6" t="s">
        <v>234</v>
      </c>
      <c r="H434" s="2" t="s">
        <v>194</v>
      </c>
      <c r="I434" s="2" t="s">
        <v>195</v>
      </c>
      <c r="J434" s="2" t="s">
        <v>19</v>
      </c>
      <c r="K434" s="2" t="s">
        <v>247</v>
      </c>
      <c r="L434" s="7" t="str">
        <f>HYPERLINK("http://slimages.macys.com/is/image/MCY/12063852 ")</f>
        <v xml:space="preserve">http://slimages.macys.com/is/image/MCY/12063852 </v>
      </c>
    </row>
    <row r="435" spans="1:12" ht="24.75" x14ac:dyDescent="0.25">
      <c r="A435" s="4" t="s">
        <v>14131</v>
      </c>
      <c r="B435" s="2" t="s">
        <v>14132</v>
      </c>
      <c r="C435" s="3">
        <v>1</v>
      </c>
      <c r="D435" s="5">
        <v>37.130000000000003</v>
      </c>
      <c r="E435" s="3" t="s">
        <v>14133</v>
      </c>
      <c r="F435" s="2" t="s">
        <v>74</v>
      </c>
      <c r="G435" s="6" t="s">
        <v>154</v>
      </c>
      <c r="H435" s="2" t="s">
        <v>194</v>
      </c>
      <c r="I435" s="2" t="s">
        <v>195</v>
      </c>
      <c r="J435" s="2" t="s">
        <v>19</v>
      </c>
      <c r="K435" s="2" t="s">
        <v>323</v>
      </c>
      <c r="L435" s="7" t="str">
        <f>HYPERLINK("http://slimages.macys.com/is/image/MCY/13830026 ")</f>
        <v xml:space="preserve">http://slimages.macys.com/is/image/MCY/13830026 </v>
      </c>
    </row>
    <row r="436" spans="1:12" ht="48.75" x14ac:dyDescent="0.25">
      <c r="A436" s="4" t="s">
        <v>10173</v>
      </c>
      <c r="B436" s="2" t="s">
        <v>984</v>
      </c>
      <c r="C436" s="3">
        <v>1</v>
      </c>
      <c r="D436" s="5">
        <v>44.63</v>
      </c>
      <c r="E436" s="3" t="s">
        <v>985</v>
      </c>
      <c r="F436" s="2" t="s">
        <v>74</v>
      </c>
      <c r="G436" s="6" t="s">
        <v>58</v>
      </c>
      <c r="H436" s="2" t="s">
        <v>246</v>
      </c>
      <c r="I436" s="2" t="s">
        <v>487</v>
      </c>
      <c r="J436" s="2" t="s">
        <v>19</v>
      </c>
      <c r="K436" s="2" t="s">
        <v>787</v>
      </c>
      <c r="L436" s="7" t="str">
        <f>HYPERLINK("http://slimages.macys.com/is/image/MCY/9213839 ")</f>
        <v xml:space="preserve">http://slimages.macys.com/is/image/MCY/9213839 </v>
      </c>
    </row>
    <row r="437" spans="1:12" ht="48.75" x14ac:dyDescent="0.25">
      <c r="A437" s="4" t="s">
        <v>4740</v>
      </c>
      <c r="B437" s="2" t="s">
        <v>984</v>
      </c>
      <c r="C437" s="3">
        <v>1</v>
      </c>
      <c r="D437" s="5">
        <v>44.63</v>
      </c>
      <c r="E437" s="3" t="s">
        <v>985</v>
      </c>
      <c r="F437" s="2" t="s">
        <v>132</v>
      </c>
      <c r="G437" s="6" t="s">
        <v>112</v>
      </c>
      <c r="H437" s="2" t="s">
        <v>246</v>
      </c>
      <c r="I437" s="2" t="s">
        <v>487</v>
      </c>
      <c r="J437" s="2" t="s">
        <v>19</v>
      </c>
      <c r="K437" s="2" t="s">
        <v>787</v>
      </c>
      <c r="L437" s="7" t="str">
        <f>HYPERLINK("http://slimages.macys.com/is/image/MCY/11808679 ")</f>
        <v xml:space="preserve">http://slimages.macys.com/is/image/MCY/11808679 </v>
      </c>
    </row>
    <row r="438" spans="1:12" ht="24.75" x14ac:dyDescent="0.25">
      <c r="A438" s="4" t="s">
        <v>14134</v>
      </c>
      <c r="B438" s="2" t="s">
        <v>10928</v>
      </c>
      <c r="C438" s="3">
        <v>1</v>
      </c>
      <c r="D438" s="5">
        <v>40.880000000000003</v>
      </c>
      <c r="E438" s="3" t="s">
        <v>10929</v>
      </c>
      <c r="F438" s="2" t="s">
        <v>74</v>
      </c>
      <c r="G438" s="6" t="s">
        <v>245</v>
      </c>
      <c r="H438" s="2" t="s">
        <v>246</v>
      </c>
      <c r="I438" s="2" t="s">
        <v>189</v>
      </c>
      <c r="J438" s="2" t="s">
        <v>19</v>
      </c>
      <c r="K438" s="2" t="s">
        <v>160</v>
      </c>
      <c r="L438" s="7" t="str">
        <f>HYPERLINK("http://slimages.macys.com/is/image/MCY/11995300 ")</f>
        <v xml:space="preserve">http://slimages.macys.com/is/image/MCY/11995300 </v>
      </c>
    </row>
    <row r="439" spans="1:12" ht="24.75" x14ac:dyDescent="0.25">
      <c r="A439" s="4" t="s">
        <v>14135</v>
      </c>
      <c r="B439" s="2" t="s">
        <v>10928</v>
      </c>
      <c r="C439" s="3">
        <v>1</v>
      </c>
      <c r="D439" s="5">
        <v>40.880000000000003</v>
      </c>
      <c r="E439" s="3" t="s">
        <v>10929</v>
      </c>
      <c r="F439" s="2" t="s">
        <v>331</v>
      </c>
      <c r="G439" s="6" t="s">
        <v>154</v>
      </c>
      <c r="H439" s="2" t="s">
        <v>246</v>
      </c>
      <c r="I439" s="2" t="s">
        <v>189</v>
      </c>
      <c r="J439" s="2" t="s">
        <v>19</v>
      </c>
      <c r="K439" s="2" t="s">
        <v>160</v>
      </c>
      <c r="L439" s="7" t="str">
        <f>HYPERLINK("http://slimages.macys.com/is/image/MCY/11995300 ")</f>
        <v xml:space="preserve">http://slimages.macys.com/is/image/MCY/11995300 </v>
      </c>
    </row>
    <row r="440" spans="1:12" ht="24.75" x14ac:dyDescent="0.25">
      <c r="A440" s="4" t="s">
        <v>13131</v>
      </c>
      <c r="B440" s="2" t="s">
        <v>10928</v>
      </c>
      <c r="C440" s="3">
        <v>1</v>
      </c>
      <c r="D440" s="5">
        <v>40.880000000000003</v>
      </c>
      <c r="E440" s="3" t="s">
        <v>10929</v>
      </c>
      <c r="F440" s="2" t="s">
        <v>57</v>
      </c>
      <c r="G440" s="6" t="s">
        <v>181</v>
      </c>
      <c r="H440" s="2" t="s">
        <v>246</v>
      </c>
      <c r="I440" s="2" t="s">
        <v>189</v>
      </c>
      <c r="J440" s="2" t="s">
        <v>19</v>
      </c>
      <c r="K440" s="2" t="s">
        <v>160</v>
      </c>
      <c r="L440" s="7" t="str">
        <f>HYPERLINK("http://slimages.macys.com/is/image/MCY/11995300 ")</f>
        <v xml:space="preserve">http://slimages.macys.com/is/image/MCY/11995300 </v>
      </c>
    </row>
    <row r="441" spans="1:12" ht="48.75" x14ac:dyDescent="0.25">
      <c r="A441" s="4" t="s">
        <v>14136</v>
      </c>
      <c r="B441" s="2" t="s">
        <v>984</v>
      </c>
      <c r="C441" s="3">
        <v>1</v>
      </c>
      <c r="D441" s="5">
        <v>44.63</v>
      </c>
      <c r="E441" s="3" t="s">
        <v>985</v>
      </c>
      <c r="F441" s="2" t="s">
        <v>572</v>
      </c>
      <c r="G441" s="6" t="s">
        <v>27</v>
      </c>
      <c r="H441" s="2" t="s">
        <v>246</v>
      </c>
      <c r="I441" s="2" t="s">
        <v>487</v>
      </c>
      <c r="J441" s="2" t="s">
        <v>19</v>
      </c>
      <c r="K441" s="2" t="s">
        <v>787</v>
      </c>
      <c r="L441" s="7" t="str">
        <f>HYPERLINK("http://slimages.macys.com/is/image/MCY/9213839 ")</f>
        <v xml:space="preserve">http://slimages.macys.com/is/image/MCY/9213839 </v>
      </c>
    </row>
    <row r="442" spans="1:12" ht="24.75" x14ac:dyDescent="0.25">
      <c r="A442" s="4" t="s">
        <v>10927</v>
      </c>
      <c r="B442" s="2" t="s">
        <v>10928</v>
      </c>
      <c r="C442" s="3">
        <v>1</v>
      </c>
      <c r="D442" s="5">
        <v>40.880000000000003</v>
      </c>
      <c r="E442" s="3" t="s">
        <v>10929</v>
      </c>
      <c r="F442" s="2" t="s">
        <v>57</v>
      </c>
      <c r="G442" s="6" t="s">
        <v>234</v>
      </c>
      <c r="H442" s="2" t="s">
        <v>246</v>
      </c>
      <c r="I442" s="2" t="s">
        <v>189</v>
      </c>
      <c r="J442" s="2" t="s">
        <v>19</v>
      </c>
      <c r="K442" s="2" t="s">
        <v>160</v>
      </c>
      <c r="L442" s="7" t="str">
        <f>HYPERLINK("http://slimages.macys.com/is/image/MCY/11995300 ")</f>
        <v xml:space="preserve">http://slimages.macys.com/is/image/MCY/11995300 </v>
      </c>
    </row>
    <row r="443" spans="1:12" ht="48.75" x14ac:dyDescent="0.25">
      <c r="A443" s="4" t="s">
        <v>14137</v>
      </c>
      <c r="B443" s="2" t="s">
        <v>984</v>
      </c>
      <c r="C443" s="3">
        <v>1</v>
      </c>
      <c r="D443" s="5">
        <v>44.63</v>
      </c>
      <c r="E443" s="3" t="s">
        <v>985</v>
      </c>
      <c r="F443" s="2" t="s">
        <v>64</v>
      </c>
      <c r="G443" s="6" t="s">
        <v>141</v>
      </c>
      <c r="H443" s="2" t="s">
        <v>246</v>
      </c>
      <c r="I443" s="2" t="s">
        <v>487</v>
      </c>
      <c r="J443" s="2" t="s">
        <v>19</v>
      </c>
      <c r="K443" s="2" t="s">
        <v>787</v>
      </c>
      <c r="L443" s="7" t="str">
        <f>HYPERLINK("http://slimages.macys.com/is/image/MCY/11808679 ")</f>
        <v xml:space="preserve">http://slimages.macys.com/is/image/MCY/11808679 </v>
      </c>
    </row>
    <row r="444" spans="1:12" ht="48.75" x14ac:dyDescent="0.25">
      <c r="A444" s="4" t="s">
        <v>12180</v>
      </c>
      <c r="B444" s="2" t="s">
        <v>984</v>
      </c>
      <c r="C444" s="3">
        <v>1</v>
      </c>
      <c r="D444" s="5">
        <v>44.63</v>
      </c>
      <c r="E444" s="3" t="s">
        <v>985</v>
      </c>
      <c r="F444" s="2" t="s">
        <v>89</v>
      </c>
      <c r="G444" s="6" t="s">
        <v>141</v>
      </c>
      <c r="H444" s="2" t="s">
        <v>246</v>
      </c>
      <c r="I444" s="2" t="s">
        <v>487</v>
      </c>
      <c r="J444" s="2" t="s">
        <v>19</v>
      </c>
      <c r="K444" s="2" t="s">
        <v>787</v>
      </c>
      <c r="L444" s="7" t="str">
        <f>HYPERLINK("http://slimages.macys.com/is/image/MCY/11808679 ")</f>
        <v xml:space="preserve">http://slimages.macys.com/is/image/MCY/11808679 </v>
      </c>
    </row>
    <row r="445" spans="1:12" ht="48.75" x14ac:dyDescent="0.25">
      <c r="A445" s="4" t="s">
        <v>14138</v>
      </c>
      <c r="B445" s="2" t="s">
        <v>984</v>
      </c>
      <c r="C445" s="3">
        <v>1</v>
      </c>
      <c r="D445" s="5">
        <v>44.63</v>
      </c>
      <c r="E445" s="3" t="s">
        <v>985</v>
      </c>
      <c r="F445" s="2" t="s">
        <v>74</v>
      </c>
      <c r="G445" s="6" t="s">
        <v>27</v>
      </c>
      <c r="H445" s="2" t="s">
        <v>246</v>
      </c>
      <c r="I445" s="2" t="s">
        <v>487</v>
      </c>
      <c r="J445" s="2" t="s">
        <v>19</v>
      </c>
      <c r="K445" s="2" t="s">
        <v>787</v>
      </c>
      <c r="L445" s="7" t="str">
        <f>HYPERLINK("http://slimages.macys.com/is/image/MCY/9213839 ")</f>
        <v xml:space="preserve">http://slimages.macys.com/is/image/MCY/9213839 </v>
      </c>
    </row>
    <row r="446" spans="1:12" ht="24.75" x14ac:dyDescent="0.25">
      <c r="A446" s="4" t="s">
        <v>2690</v>
      </c>
      <c r="B446" s="2" t="s">
        <v>1318</v>
      </c>
      <c r="C446" s="3">
        <v>1</v>
      </c>
      <c r="D446" s="5">
        <v>24.99</v>
      </c>
      <c r="E446" s="3">
        <v>100003708</v>
      </c>
      <c r="F446" s="2" t="s">
        <v>417</v>
      </c>
      <c r="G446" s="6" t="s">
        <v>112</v>
      </c>
      <c r="H446" s="2" t="s">
        <v>228</v>
      </c>
      <c r="I446" s="2" t="s">
        <v>229</v>
      </c>
      <c r="J446" s="2" t="s">
        <v>19</v>
      </c>
      <c r="K446" s="2" t="s">
        <v>253</v>
      </c>
      <c r="L446" s="7" t="str">
        <f>HYPERLINK("http://slimages.macys.com/is/image/MCY/9029356 ")</f>
        <v xml:space="preserve">http://slimages.macys.com/is/image/MCY/9029356 </v>
      </c>
    </row>
    <row r="447" spans="1:12" ht="24.75" x14ac:dyDescent="0.25">
      <c r="A447" s="4" t="s">
        <v>8703</v>
      </c>
      <c r="B447" s="2" t="s">
        <v>1253</v>
      </c>
      <c r="C447" s="3">
        <v>1</v>
      </c>
      <c r="D447" s="5">
        <v>24.99</v>
      </c>
      <c r="E447" s="3" t="s">
        <v>2688</v>
      </c>
      <c r="F447" s="2" t="s">
        <v>506</v>
      </c>
      <c r="G447" s="6" t="s">
        <v>126</v>
      </c>
      <c r="H447" s="2" t="s">
        <v>426</v>
      </c>
      <c r="I447" s="2" t="s">
        <v>863</v>
      </c>
      <c r="J447" s="2" t="s">
        <v>19</v>
      </c>
      <c r="K447" s="2" t="s">
        <v>253</v>
      </c>
      <c r="L447" s="7" t="str">
        <f>HYPERLINK("http://slimages.macys.com/is/image/MCY/9029356 ")</f>
        <v xml:space="preserve">http://slimages.macys.com/is/image/MCY/9029356 </v>
      </c>
    </row>
    <row r="448" spans="1:12" ht="24.75" x14ac:dyDescent="0.25">
      <c r="A448" s="4" t="s">
        <v>2692</v>
      </c>
      <c r="B448" s="2" t="s">
        <v>1318</v>
      </c>
      <c r="C448" s="3">
        <v>1</v>
      </c>
      <c r="D448" s="5">
        <v>24.99</v>
      </c>
      <c r="E448" s="3" t="s">
        <v>1321</v>
      </c>
      <c r="F448" s="2" t="s">
        <v>506</v>
      </c>
      <c r="G448" s="6" t="s">
        <v>112</v>
      </c>
      <c r="H448" s="2" t="s">
        <v>228</v>
      </c>
      <c r="I448" s="2" t="s">
        <v>229</v>
      </c>
      <c r="J448" s="2" t="s">
        <v>19</v>
      </c>
      <c r="K448" s="2" t="s">
        <v>253</v>
      </c>
      <c r="L448" s="7" t="str">
        <f>HYPERLINK("http://slimages.macys.com/is/image/MCY/8296032 ")</f>
        <v xml:space="preserve">http://slimages.macys.com/is/image/MCY/8296032 </v>
      </c>
    </row>
    <row r="449" spans="1:12" ht="24.75" x14ac:dyDescent="0.25">
      <c r="A449" s="4" t="s">
        <v>14139</v>
      </c>
      <c r="B449" s="2" t="s">
        <v>6671</v>
      </c>
      <c r="C449" s="3">
        <v>1</v>
      </c>
      <c r="D449" s="5">
        <v>31.15</v>
      </c>
      <c r="E449" s="3" t="s">
        <v>6672</v>
      </c>
      <c r="F449" s="2" t="s">
        <v>252</v>
      </c>
      <c r="G449" s="6" t="s">
        <v>234</v>
      </c>
      <c r="H449" s="2" t="s">
        <v>182</v>
      </c>
      <c r="I449" s="2" t="s">
        <v>183</v>
      </c>
      <c r="J449" s="2" t="s">
        <v>19</v>
      </c>
      <c r="K449" s="2" t="s">
        <v>353</v>
      </c>
      <c r="L449" s="7" t="str">
        <f>HYPERLINK("http://slimages.macys.com/is/image/MCY/12851812 ")</f>
        <v xml:space="preserve">http://slimages.macys.com/is/image/MCY/12851812 </v>
      </c>
    </row>
    <row r="450" spans="1:12" ht="24.75" x14ac:dyDescent="0.25">
      <c r="A450" s="4" t="s">
        <v>6648</v>
      </c>
      <c r="B450" s="2" t="s">
        <v>1365</v>
      </c>
      <c r="C450" s="3">
        <v>3</v>
      </c>
      <c r="D450" s="5">
        <v>37.130000000000003</v>
      </c>
      <c r="E450" s="3">
        <v>100065803</v>
      </c>
      <c r="F450" s="2" t="s">
        <v>74</v>
      </c>
      <c r="G450" s="6" t="s">
        <v>181</v>
      </c>
      <c r="H450" s="2" t="s">
        <v>194</v>
      </c>
      <c r="I450" s="2" t="s">
        <v>195</v>
      </c>
      <c r="J450" s="2" t="s">
        <v>19</v>
      </c>
      <c r="K450" s="2" t="s">
        <v>353</v>
      </c>
      <c r="L450" s="7" t="str">
        <f>HYPERLINK("http://slimages.macys.com/is/image/MCY/12850008 ")</f>
        <v xml:space="preserve">http://slimages.macys.com/is/image/MCY/12850008 </v>
      </c>
    </row>
    <row r="451" spans="1:12" ht="24.75" x14ac:dyDescent="0.25">
      <c r="A451" s="4" t="s">
        <v>2706</v>
      </c>
      <c r="B451" s="2" t="s">
        <v>1365</v>
      </c>
      <c r="C451" s="3">
        <v>1</v>
      </c>
      <c r="D451" s="5">
        <v>37.130000000000003</v>
      </c>
      <c r="E451" s="3">
        <v>100065803</v>
      </c>
      <c r="F451" s="2" t="s">
        <v>74</v>
      </c>
      <c r="G451" s="6" t="s">
        <v>245</v>
      </c>
      <c r="H451" s="2" t="s">
        <v>194</v>
      </c>
      <c r="I451" s="2" t="s">
        <v>195</v>
      </c>
      <c r="J451" s="2" t="s">
        <v>19</v>
      </c>
      <c r="K451" s="2" t="s">
        <v>353</v>
      </c>
      <c r="L451" s="7" t="str">
        <f>HYPERLINK("http://slimages.macys.com/is/image/MCY/12850008 ")</f>
        <v xml:space="preserve">http://slimages.macys.com/is/image/MCY/12850008 </v>
      </c>
    </row>
    <row r="452" spans="1:12" ht="36.75" x14ac:dyDescent="0.25">
      <c r="A452" s="4" t="s">
        <v>14140</v>
      </c>
      <c r="B452" s="2" t="s">
        <v>10937</v>
      </c>
      <c r="C452" s="3">
        <v>1</v>
      </c>
      <c r="D452" s="5">
        <v>36</v>
      </c>
      <c r="E452" s="3" t="s">
        <v>10938</v>
      </c>
      <c r="F452" s="2" t="s">
        <v>125</v>
      </c>
      <c r="G452" s="6" t="s">
        <v>154</v>
      </c>
      <c r="H452" s="2" t="s">
        <v>10225</v>
      </c>
      <c r="I452" s="2" t="s">
        <v>792</v>
      </c>
      <c r="J452" s="2" t="s">
        <v>19</v>
      </c>
      <c r="K452" s="2" t="s">
        <v>10939</v>
      </c>
      <c r="L452" s="7" t="str">
        <f>HYPERLINK("http://slimages.macys.com/is/image/MCY/10379386 ")</f>
        <v xml:space="preserve">http://slimages.macys.com/is/image/MCY/10379386 </v>
      </c>
    </row>
    <row r="453" spans="1:12" ht="36.75" x14ac:dyDescent="0.25">
      <c r="A453" s="4" t="s">
        <v>14141</v>
      </c>
      <c r="B453" s="2" t="s">
        <v>10937</v>
      </c>
      <c r="C453" s="3">
        <v>1</v>
      </c>
      <c r="D453" s="5">
        <v>36</v>
      </c>
      <c r="E453" s="3" t="s">
        <v>10938</v>
      </c>
      <c r="F453" s="2" t="s">
        <v>15</v>
      </c>
      <c r="G453" s="6" t="s">
        <v>181</v>
      </c>
      <c r="H453" s="2" t="s">
        <v>10225</v>
      </c>
      <c r="I453" s="2" t="s">
        <v>792</v>
      </c>
      <c r="J453" s="2" t="s">
        <v>19</v>
      </c>
      <c r="K453" s="2" t="s">
        <v>10939</v>
      </c>
      <c r="L453" s="7" t="str">
        <f>HYPERLINK("http://slimages.macys.com/is/image/MCY/10379386 ")</f>
        <v xml:space="preserve">http://slimages.macys.com/is/image/MCY/10379386 </v>
      </c>
    </row>
    <row r="454" spans="1:12" ht="24.75" x14ac:dyDescent="0.25">
      <c r="A454" s="4" t="s">
        <v>14142</v>
      </c>
      <c r="B454" s="2" t="s">
        <v>14143</v>
      </c>
      <c r="C454" s="3">
        <v>1</v>
      </c>
      <c r="D454" s="5">
        <v>42</v>
      </c>
      <c r="E454" s="3" t="s">
        <v>14144</v>
      </c>
      <c r="F454" s="2" t="s">
        <v>956</v>
      </c>
      <c r="G454" s="6" t="s">
        <v>234</v>
      </c>
      <c r="H454" s="2" t="s">
        <v>10225</v>
      </c>
      <c r="I454" s="2" t="s">
        <v>792</v>
      </c>
      <c r="J454" s="2" t="s">
        <v>19</v>
      </c>
      <c r="K454" s="2" t="s">
        <v>160</v>
      </c>
      <c r="L454" s="7" t="str">
        <f>HYPERLINK("http://slimages.macys.com/is/image/MCY/10379270 ")</f>
        <v xml:space="preserve">http://slimages.macys.com/is/image/MCY/10379270 </v>
      </c>
    </row>
    <row r="455" spans="1:12" ht="24.75" x14ac:dyDescent="0.25">
      <c r="A455" s="4" t="s">
        <v>1376</v>
      </c>
      <c r="B455" s="2" t="s">
        <v>1330</v>
      </c>
      <c r="C455" s="3">
        <v>1</v>
      </c>
      <c r="D455" s="5">
        <v>37.130000000000003</v>
      </c>
      <c r="E455" s="3" t="s">
        <v>1331</v>
      </c>
      <c r="F455" s="2" t="s">
        <v>125</v>
      </c>
      <c r="G455" s="6" t="s">
        <v>181</v>
      </c>
      <c r="H455" s="2" t="s">
        <v>194</v>
      </c>
      <c r="I455" s="2" t="s">
        <v>195</v>
      </c>
      <c r="J455" s="2" t="s">
        <v>19</v>
      </c>
      <c r="K455" s="2" t="s">
        <v>247</v>
      </c>
      <c r="L455" s="7" t="str">
        <f>HYPERLINK("http://slimages.macys.com/is/image/MCY/10889638 ")</f>
        <v xml:space="preserve">http://slimages.macys.com/is/image/MCY/10889638 </v>
      </c>
    </row>
    <row r="456" spans="1:12" ht="24.75" x14ac:dyDescent="0.25">
      <c r="A456" s="4" t="s">
        <v>14145</v>
      </c>
      <c r="B456" s="2" t="s">
        <v>1330</v>
      </c>
      <c r="C456" s="3">
        <v>1</v>
      </c>
      <c r="D456" s="5">
        <v>37.130000000000003</v>
      </c>
      <c r="E456" s="3" t="s">
        <v>1331</v>
      </c>
      <c r="F456" s="2" t="s">
        <v>676</v>
      </c>
      <c r="G456" s="6" t="s">
        <v>181</v>
      </c>
      <c r="H456" s="2" t="s">
        <v>194</v>
      </c>
      <c r="I456" s="2" t="s">
        <v>195</v>
      </c>
      <c r="J456" s="2" t="s">
        <v>19</v>
      </c>
      <c r="K456" s="2" t="s">
        <v>247</v>
      </c>
      <c r="L456" s="7" t="str">
        <f>HYPERLINK("http://slimages.macys.com/is/image/MCY/10889638 ")</f>
        <v xml:space="preserve">http://slimages.macys.com/is/image/MCY/10889638 </v>
      </c>
    </row>
    <row r="457" spans="1:12" ht="24.75" x14ac:dyDescent="0.25">
      <c r="A457" s="4" t="s">
        <v>14146</v>
      </c>
      <c r="B457" s="2" t="s">
        <v>12212</v>
      </c>
      <c r="C457" s="3">
        <v>1</v>
      </c>
      <c r="D457" s="5">
        <v>65</v>
      </c>
      <c r="E457" s="3" t="s">
        <v>12213</v>
      </c>
      <c r="F457" s="2" t="s">
        <v>74</v>
      </c>
      <c r="G457" s="6"/>
      <c r="H457" s="2" t="s">
        <v>447</v>
      </c>
      <c r="I457" s="2" t="s">
        <v>792</v>
      </c>
      <c r="J457" s="2" t="s">
        <v>19</v>
      </c>
      <c r="K457" s="2" t="s">
        <v>160</v>
      </c>
      <c r="L457" s="7" t="str">
        <f>HYPERLINK("http://slimages.macys.com/is/image/MCY/14315313 ")</f>
        <v xml:space="preserve">http://slimages.macys.com/is/image/MCY/14315313 </v>
      </c>
    </row>
    <row r="458" spans="1:12" ht="24.75" x14ac:dyDescent="0.25">
      <c r="A458" s="4" t="s">
        <v>14147</v>
      </c>
      <c r="B458" s="2" t="s">
        <v>14148</v>
      </c>
      <c r="C458" s="3">
        <v>1</v>
      </c>
      <c r="D458" s="5">
        <v>48</v>
      </c>
      <c r="E458" s="3" t="s">
        <v>14149</v>
      </c>
      <c r="F458" s="2" t="s">
        <v>331</v>
      </c>
      <c r="G458" s="6"/>
      <c r="H458" s="2" t="s">
        <v>447</v>
      </c>
      <c r="I458" s="2" t="s">
        <v>10226</v>
      </c>
      <c r="J458" s="2" t="s">
        <v>19</v>
      </c>
      <c r="K458" s="2" t="s">
        <v>442</v>
      </c>
      <c r="L458" s="7" t="str">
        <f>HYPERLINK("http://slimages.macys.com/is/image/MCY/15848667 ")</f>
        <v xml:space="preserve">http://slimages.macys.com/is/image/MCY/15848667 </v>
      </c>
    </row>
    <row r="459" spans="1:12" ht="60.75" x14ac:dyDescent="0.25">
      <c r="A459" s="4" t="s">
        <v>14150</v>
      </c>
      <c r="B459" s="2" t="s">
        <v>1397</v>
      </c>
      <c r="C459" s="3">
        <v>1</v>
      </c>
      <c r="D459" s="5">
        <v>29.63</v>
      </c>
      <c r="E459" s="3">
        <v>100022669</v>
      </c>
      <c r="F459" s="2" t="s">
        <v>26</v>
      </c>
      <c r="G459" s="6" t="s">
        <v>154</v>
      </c>
      <c r="H459" s="2" t="s">
        <v>194</v>
      </c>
      <c r="I459" s="2" t="s">
        <v>1398</v>
      </c>
      <c r="J459" s="2" t="s">
        <v>19</v>
      </c>
      <c r="K459" s="2" t="s">
        <v>1399</v>
      </c>
      <c r="L459" s="7" t="str">
        <f>HYPERLINK("http://slimages.macys.com/is/image/MCY/13368177 ")</f>
        <v xml:space="preserve">http://slimages.macys.com/is/image/MCY/13368177 </v>
      </c>
    </row>
    <row r="460" spans="1:12" ht="60.75" x14ac:dyDescent="0.25">
      <c r="A460" s="4" t="s">
        <v>14151</v>
      </c>
      <c r="B460" s="2" t="s">
        <v>1397</v>
      </c>
      <c r="C460" s="3">
        <v>1</v>
      </c>
      <c r="D460" s="5">
        <v>29.63</v>
      </c>
      <c r="E460" s="3">
        <v>100022669</v>
      </c>
      <c r="F460" s="2" t="s">
        <v>566</v>
      </c>
      <c r="G460" s="6" t="s">
        <v>200</v>
      </c>
      <c r="H460" s="2" t="s">
        <v>194</v>
      </c>
      <c r="I460" s="2" t="s">
        <v>1398</v>
      </c>
      <c r="J460" s="2" t="s">
        <v>19</v>
      </c>
      <c r="K460" s="2" t="s">
        <v>1399</v>
      </c>
      <c r="L460" s="7" t="str">
        <f>HYPERLINK("http://slimages.macys.com/is/image/MCY/13368177 ")</f>
        <v xml:space="preserve">http://slimages.macys.com/is/image/MCY/13368177 </v>
      </c>
    </row>
    <row r="461" spans="1:12" ht="24.75" x14ac:dyDescent="0.25">
      <c r="A461" s="4" t="s">
        <v>14152</v>
      </c>
      <c r="B461" s="2" t="s">
        <v>3864</v>
      </c>
      <c r="C461" s="3">
        <v>1</v>
      </c>
      <c r="D461" s="5">
        <v>24.99</v>
      </c>
      <c r="E461" s="3" t="s">
        <v>12178</v>
      </c>
      <c r="F461" s="2" t="s">
        <v>111</v>
      </c>
      <c r="G461" s="6" t="s">
        <v>1335</v>
      </c>
      <c r="H461" s="2" t="s">
        <v>228</v>
      </c>
      <c r="I461" s="2" t="s">
        <v>863</v>
      </c>
      <c r="J461" s="2" t="s">
        <v>19</v>
      </c>
      <c r="K461" s="2" t="s">
        <v>253</v>
      </c>
      <c r="L461" s="7" t="str">
        <f>HYPERLINK("http://slimages.macys.com/is/image/MCY/8185688 ")</f>
        <v xml:space="preserve">http://slimages.macys.com/is/image/MCY/8185688 </v>
      </c>
    </row>
    <row r="462" spans="1:12" ht="24.75" x14ac:dyDescent="0.25">
      <c r="A462" s="4" t="s">
        <v>10959</v>
      </c>
      <c r="B462" s="2" t="s">
        <v>10960</v>
      </c>
      <c r="C462" s="3">
        <v>2</v>
      </c>
      <c r="D462" s="5">
        <v>29.99</v>
      </c>
      <c r="E462" s="3" t="s">
        <v>10961</v>
      </c>
      <c r="F462" s="2" t="s">
        <v>64</v>
      </c>
      <c r="G462" s="6" t="s">
        <v>154</v>
      </c>
      <c r="H462" s="2" t="s">
        <v>246</v>
      </c>
      <c r="I462" s="2" t="s">
        <v>3504</v>
      </c>
      <c r="J462" s="2" t="s">
        <v>19</v>
      </c>
      <c r="K462" s="2" t="s">
        <v>803</v>
      </c>
      <c r="L462" s="7" t="str">
        <f>HYPERLINK("http://slimages.macys.com/is/image/MCY/12649559 ")</f>
        <v xml:space="preserve">http://slimages.macys.com/is/image/MCY/12649559 </v>
      </c>
    </row>
    <row r="463" spans="1:12" ht="24.75" x14ac:dyDescent="0.25">
      <c r="A463" s="4" t="s">
        <v>13151</v>
      </c>
      <c r="B463" s="2" t="s">
        <v>8200</v>
      </c>
      <c r="C463" s="3">
        <v>1</v>
      </c>
      <c r="D463" s="5">
        <v>37.130000000000003</v>
      </c>
      <c r="E463" s="3" t="s">
        <v>8201</v>
      </c>
      <c r="F463" s="2" t="s">
        <v>376</v>
      </c>
      <c r="G463" s="6"/>
      <c r="H463" s="2" t="s">
        <v>312</v>
      </c>
      <c r="I463" s="2" t="s">
        <v>195</v>
      </c>
      <c r="J463" s="2" t="s">
        <v>19</v>
      </c>
      <c r="K463" s="2" t="s">
        <v>247</v>
      </c>
      <c r="L463" s="7" t="str">
        <f>HYPERLINK("http://slimages.macys.com/is/image/MCY/13120693 ")</f>
        <v xml:space="preserve">http://slimages.macys.com/is/image/MCY/13120693 </v>
      </c>
    </row>
    <row r="464" spans="1:12" ht="24.75" x14ac:dyDescent="0.25">
      <c r="A464" s="4" t="s">
        <v>10967</v>
      </c>
      <c r="B464" s="2" t="s">
        <v>10968</v>
      </c>
      <c r="C464" s="3">
        <v>1</v>
      </c>
      <c r="D464" s="5">
        <v>33.380000000000003</v>
      </c>
      <c r="E464" s="3" t="s">
        <v>10969</v>
      </c>
      <c r="F464" s="2" t="s">
        <v>15</v>
      </c>
      <c r="G464" s="6" t="s">
        <v>181</v>
      </c>
      <c r="H464" s="2" t="s">
        <v>194</v>
      </c>
      <c r="I464" s="2" t="s">
        <v>195</v>
      </c>
      <c r="J464" s="2" t="s">
        <v>19</v>
      </c>
      <c r="K464" s="2" t="s">
        <v>1108</v>
      </c>
      <c r="L464" s="7" t="str">
        <f>HYPERLINK("http://slimages.macys.com/is/image/MCY/13422931 ")</f>
        <v xml:space="preserve">http://slimages.macys.com/is/image/MCY/13422931 </v>
      </c>
    </row>
    <row r="465" spans="1:12" ht="24.75" x14ac:dyDescent="0.25">
      <c r="A465" s="4" t="s">
        <v>14153</v>
      </c>
      <c r="B465" s="2" t="s">
        <v>5974</v>
      </c>
      <c r="C465" s="3">
        <v>1</v>
      </c>
      <c r="D465" s="5">
        <v>24.99</v>
      </c>
      <c r="E465" s="3" t="s">
        <v>14154</v>
      </c>
      <c r="F465" s="2" t="s">
        <v>70</v>
      </c>
      <c r="G465" s="6" t="s">
        <v>154</v>
      </c>
      <c r="H465" s="2" t="s">
        <v>284</v>
      </c>
      <c r="I465" s="2" t="s">
        <v>285</v>
      </c>
      <c r="J465" s="2" t="s">
        <v>19</v>
      </c>
      <c r="K465" s="2" t="s">
        <v>160</v>
      </c>
      <c r="L465" s="7" t="str">
        <f>HYPERLINK("http://slimages.macys.com/is/image/MCY/12806298 ")</f>
        <v xml:space="preserve">http://slimages.macys.com/is/image/MCY/12806298 </v>
      </c>
    </row>
    <row r="466" spans="1:12" ht="36.75" x14ac:dyDescent="0.25">
      <c r="A466" s="4" t="s">
        <v>14155</v>
      </c>
      <c r="B466" s="2" t="s">
        <v>14156</v>
      </c>
      <c r="C466" s="3">
        <v>1</v>
      </c>
      <c r="D466" s="5">
        <v>59.5</v>
      </c>
      <c r="E466" s="3" t="s">
        <v>14157</v>
      </c>
      <c r="F466" s="2" t="s">
        <v>74</v>
      </c>
      <c r="G466" s="6" t="s">
        <v>126</v>
      </c>
      <c r="H466" s="2" t="s">
        <v>206</v>
      </c>
      <c r="I466" s="2" t="s">
        <v>207</v>
      </c>
      <c r="J466" s="2" t="s">
        <v>19</v>
      </c>
      <c r="K466" s="2" t="s">
        <v>14158</v>
      </c>
      <c r="L466" s="7" t="str">
        <f>HYPERLINK("http://slimages.macys.com/is/image/MCY/8813325 ")</f>
        <v xml:space="preserve">http://slimages.macys.com/is/image/MCY/8813325 </v>
      </c>
    </row>
    <row r="467" spans="1:12" ht="36.75" x14ac:dyDescent="0.25">
      <c r="A467" s="4" t="s">
        <v>14159</v>
      </c>
      <c r="B467" s="2" t="s">
        <v>4984</v>
      </c>
      <c r="C467" s="3">
        <v>1</v>
      </c>
      <c r="D467" s="5">
        <v>25.88</v>
      </c>
      <c r="E467" s="3" t="s">
        <v>4985</v>
      </c>
      <c r="F467" s="2" t="s">
        <v>26</v>
      </c>
      <c r="G467" s="6" t="s">
        <v>181</v>
      </c>
      <c r="H467" s="2" t="s">
        <v>194</v>
      </c>
      <c r="I467" s="2" t="s">
        <v>195</v>
      </c>
      <c r="J467" s="2" t="s">
        <v>19</v>
      </c>
      <c r="K467" s="2" t="s">
        <v>4986</v>
      </c>
      <c r="L467" s="7" t="str">
        <f>HYPERLINK("http://slimages.macys.com/is/image/MCY/15522889 ")</f>
        <v xml:space="preserve">http://slimages.macys.com/is/image/MCY/15522889 </v>
      </c>
    </row>
    <row r="468" spans="1:12" ht="24.75" x14ac:dyDescent="0.25">
      <c r="A468" s="4" t="s">
        <v>14160</v>
      </c>
      <c r="B468" s="2" t="s">
        <v>12238</v>
      </c>
      <c r="C468" s="3">
        <v>1</v>
      </c>
      <c r="D468" s="5">
        <v>24.99</v>
      </c>
      <c r="E468" s="3" t="s">
        <v>12239</v>
      </c>
      <c r="F468" s="2" t="s">
        <v>1322</v>
      </c>
      <c r="G468" s="6" t="s">
        <v>234</v>
      </c>
      <c r="H468" s="2" t="s">
        <v>1473</v>
      </c>
      <c r="I468" s="2" t="s">
        <v>1426</v>
      </c>
      <c r="J468" s="2" t="s">
        <v>19</v>
      </c>
      <c r="K468" s="2" t="s">
        <v>2302</v>
      </c>
      <c r="L468" s="7" t="str">
        <f>HYPERLINK("http://slimages.macys.com/is/image/MCY/14660553 ")</f>
        <v xml:space="preserve">http://slimages.macys.com/is/image/MCY/14660553 </v>
      </c>
    </row>
    <row r="469" spans="1:12" ht="24.75" x14ac:dyDescent="0.25">
      <c r="A469" s="4" t="s">
        <v>14161</v>
      </c>
      <c r="B469" s="2" t="s">
        <v>12238</v>
      </c>
      <c r="C469" s="3">
        <v>1</v>
      </c>
      <c r="D469" s="5">
        <v>24.99</v>
      </c>
      <c r="E469" s="3" t="s">
        <v>12239</v>
      </c>
      <c r="F469" s="2" t="s">
        <v>1322</v>
      </c>
      <c r="G469" s="6" t="s">
        <v>156</v>
      </c>
      <c r="H469" s="2" t="s">
        <v>1473</v>
      </c>
      <c r="I469" s="2" t="s">
        <v>1426</v>
      </c>
      <c r="J469" s="2" t="s">
        <v>19</v>
      </c>
      <c r="K469" s="2" t="s">
        <v>2302</v>
      </c>
      <c r="L469" s="7" t="str">
        <f>HYPERLINK("http://slimages.macys.com/is/image/MCY/14660553 ")</f>
        <v xml:space="preserve">http://slimages.macys.com/is/image/MCY/14660553 </v>
      </c>
    </row>
    <row r="470" spans="1:12" ht="24.75" x14ac:dyDescent="0.25">
      <c r="A470" s="4" t="s">
        <v>14162</v>
      </c>
      <c r="B470" s="2" t="s">
        <v>10980</v>
      </c>
      <c r="C470" s="3">
        <v>1</v>
      </c>
      <c r="D470" s="5">
        <v>24.99</v>
      </c>
      <c r="E470" s="3" t="s">
        <v>10981</v>
      </c>
      <c r="F470" s="2" t="s">
        <v>252</v>
      </c>
      <c r="G470" s="6" t="s">
        <v>154</v>
      </c>
      <c r="H470" s="2" t="s">
        <v>1473</v>
      </c>
      <c r="I470" s="2" t="s">
        <v>1426</v>
      </c>
      <c r="J470" s="2" t="s">
        <v>19</v>
      </c>
      <c r="K470" s="2" t="s">
        <v>1431</v>
      </c>
      <c r="L470" s="7" t="str">
        <f>HYPERLINK("http://slimages.macys.com/is/image/MCY/11774666 ")</f>
        <v xml:space="preserve">http://slimages.macys.com/is/image/MCY/11774666 </v>
      </c>
    </row>
    <row r="471" spans="1:12" ht="24.75" x14ac:dyDescent="0.25">
      <c r="A471" s="4" t="s">
        <v>5922</v>
      </c>
      <c r="B471" s="2" t="s">
        <v>1444</v>
      </c>
      <c r="C471" s="3">
        <v>1</v>
      </c>
      <c r="D471" s="5">
        <v>34.880000000000003</v>
      </c>
      <c r="E471" s="3">
        <v>100042376</v>
      </c>
      <c r="F471" s="2" t="s">
        <v>94</v>
      </c>
      <c r="G471" s="6" t="s">
        <v>112</v>
      </c>
      <c r="H471" s="2" t="s">
        <v>194</v>
      </c>
      <c r="I471" s="2" t="s">
        <v>195</v>
      </c>
      <c r="J471" s="2" t="s">
        <v>19</v>
      </c>
      <c r="K471" s="2" t="s">
        <v>353</v>
      </c>
      <c r="L471" s="7" t="str">
        <f>HYPERLINK("http://slimages.macys.com/is/image/MCY/11764758 ")</f>
        <v xml:space="preserve">http://slimages.macys.com/is/image/MCY/11764758 </v>
      </c>
    </row>
    <row r="472" spans="1:12" ht="24.75" x14ac:dyDescent="0.25">
      <c r="A472" s="4" t="s">
        <v>14163</v>
      </c>
      <c r="B472" s="2" t="s">
        <v>1444</v>
      </c>
      <c r="C472" s="3">
        <v>1</v>
      </c>
      <c r="D472" s="5">
        <v>34.880000000000003</v>
      </c>
      <c r="E472" s="3">
        <v>100042376</v>
      </c>
      <c r="F472" s="2" t="s">
        <v>257</v>
      </c>
      <c r="G472" s="6" t="s">
        <v>112</v>
      </c>
      <c r="H472" s="2" t="s">
        <v>194</v>
      </c>
      <c r="I472" s="2" t="s">
        <v>195</v>
      </c>
      <c r="J472" s="2" t="s">
        <v>19</v>
      </c>
      <c r="K472" s="2" t="s">
        <v>353</v>
      </c>
      <c r="L472" s="7" t="str">
        <f>HYPERLINK("http://slimages.macys.com/is/image/MCY/11764758 ")</f>
        <v xml:space="preserve">http://slimages.macys.com/is/image/MCY/11764758 </v>
      </c>
    </row>
    <row r="473" spans="1:12" ht="24.75" x14ac:dyDescent="0.25">
      <c r="A473" s="4" t="s">
        <v>14164</v>
      </c>
      <c r="B473" s="2" t="s">
        <v>14165</v>
      </c>
      <c r="C473" s="3">
        <v>1</v>
      </c>
      <c r="D473" s="5">
        <v>24.99</v>
      </c>
      <c r="E473" s="3" t="s">
        <v>14166</v>
      </c>
      <c r="F473" s="2" t="s">
        <v>15</v>
      </c>
      <c r="G473" s="6" t="s">
        <v>234</v>
      </c>
      <c r="H473" s="2" t="s">
        <v>1473</v>
      </c>
      <c r="I473" s="2" t="s">
        <v>1426</v>
      </c>
      <c r="J473" s="2" t="s">
        <v>19</v>
      </c>
      <c r="K473" s="2" t="s">
        <v>247</v>
      </c>
      <c r="L473" s="7" t="str">
        <f>HYPERLINK("http://slimages.macys.com/is/image/MCY/10745069 ")</f>
        <v xml:space="preserve">http://slimages.macys.com/is/image/MCY/10745069 </v>
      </c>
    </row>
    <row r="474" spans="1:12" ht="24.75" x14ac:dyDescent="0.25">
      <c r="A474" s="4" t="s">
        <v>14167</v>
      </c>
      <c r="B474" s="2" t="s">
        <v>11004</v>
      </c>
      <c r="C474" s="3">
        <v>1</v>
      </c>
      <c r="D474" s="5">
        <v>44</v>
      </c>
      <c r="E474" s="3" t="s">
        <v>11005</v>
      </c>
      <c r="F474" s="2" t="s">
        <v>111</v>
      </c>
      <c r="G474" s="6" t="s">
        <v>446</v>
      </c>
      <c r="H474" s="2" t="s">
        <v>447</v>
      </c>
      <c r="I474" s="2" t="s">
        <v>792</v>
      </c>
      <c r="J474" s="2" t="s">
        <v>19</v>
      </c>
      <c r="K474" s="2" t="s">
        <v>160</v>
      </c>
      <c r="L474" s="7" t="str">
        <f>HYPERLINK("http://slimages.macys.com/is/image/MCY/14602211 ")</f>
        <v xml:space="preserve">http://slimages.macys.com/is/image/MCY/14602211 </v>
      </c>
    </row>
    <row r="475" spans="1:12" ht="24.75" x14ac:dyDescent="0.25">
      <c r="A475" s="4" t="s">
        <v>14168</v>
      </c>
      <c r="B475" s="2" t="s">
        <v>11004</v>
      </c>
      <c r="C475" s="3">
        <v>1</v>
      </c>
      <c r="D475" s="5">
        <v>44</v>
      </c>
      <c r="E475" s="3" t="s">
        <v>11005</v>
      </c>
      <c r="F475" s="2" t="s">
        <v>111</v>
      </c>
      <c r="G475" s="6"/>
      <c r="H475" s="2" t="s">
        <v>447</v>
      </c>
      <c r="I475" s="2" t="s">
        <v>792</v>
      </c>
      <c r="J475" s="2" t="s">
        <v>19</v>
      </c>
      <c r="K475" s="2" t="s">
        <v>160</v>
      </c>
      <c r="L475" s="7" t="str">
        <f>HYPERLINK("http://slimages.macys.com/is/image/MCY/14602211 ")</f>
        <v xml:space="preserve">http://slimages.macys.com/is/image/MCY/14602211 </v>
      </c>
    </row>
    <row r="476" spans="1:12" ht="24.75" x14ac:dyDescent="0.25">
      <c r="A476" s="4" t="s">
        <v>2745</v>
      </c>
      <c r="B476" s="2" t="s">
        <v>2746</v>
      </c>
      <c r="C476" s="3">
        <v>1</v>
      </c>
      <c r="D476" s="5">
        <v>29.5</v>
      </c>
      <c r="E476" s="3" t="s">
        <v>2747</v>
      </c>
      <c r="F476" s="2" t="s">
        <v>74</v>
      </c>
      <c r="G476" s="6"/>
      <c r="H476" s="2" t="s">
        <v>312</v>
      </c>
      <c r="I476" s="2" t="s">
        <v>195</v>
      </c>
      <c r="J476" s="2" t="s">
        <v>19</v>
      </c>
      <c r="K476" s="2" t="s">
        <v>1629</v>
      </c>
      <c r="L476" s="7" t="str">
        <f>HYPERLINK("http://slimages.macys.com/is/image/MCY/8604512 ")</f>
        <v xml:space="preserve">http://slimages.macys.com/is/image/MCY/8604512 </v>
      </c>
    </row>
    <row r="477" spans="1:12" ht="24.75" x14ac:dyDescent="0.25">
      <c r="A477" s="4" t="s">
        <v>13188</v>
      </c>
      <c r="B477" s="2" t="s">
        <v>1482</v>
      </c>
      <c r="C477" s="3">
        <v>1</v>
      </c>
      <c r="D477" s="5">
        <v>29.63</v>
      </c>
      <c r="E477" s="3" t="s">
        <v>2749</v>
      </c>
      <c r="F477" s="2" t="s">
        <v>15</v>
      </c>
      <c r="G477" s="6" t="s">
        <v>156</v>
      </c>
      <c r="H477" s="2" t="s">
        <v>194</v>
      </c>
      <c r="I477" s="2" t="s">
        <v>195</v>
      </c>
      <c r="J477" s="2" t="s">
        <v>19</v>
      </c>
      <c r="K477" s="2" t="s">
        <v>1082</v>
      </c>
      <c r="L477" s="7" t="str">
        <f>HYPERLINK("http://slimages.macys.com/is/image/MCY/12404964 ")</f>
        <v xml:space="preserve">http://slimages.macys.com/is/image/MCY/12404964 </v>
      </c>
    </row>
    <row r="478" spans="1:12" ht="24.75" x14ac:dyDescent="0.25">
      <c r="A478" s="4" t="s">
        <v>14169</v>
      </c>
      <c r="B478" s="2" t="s">
        <v>14170</v>
      </c>
      <c r="C478" s="3">
        <v>1</v>
      </c>
      <c r="D478" s="5">
        <v>19.989999999999998</v>
      </c>
      <c r="E478" s="3" t="s">
        <v>14171</v>
      </c>
      <c r="F478" s="2" t="s">
        <v>74</v>
      </c>
      <c r="G478" s="6" t="s">
        <v>156</v>
      </c>
      <c r="H478" s="2" t="s">
        <v>1473</v>
      </c>
      <c r="I478" s="2" t="s">
        <v>1426</v>
      </c>
      <c r="J478" s="2" t="s">
        <v>19</v>
      </c>
      <c r="K478" s="2" t="s">
        <v>495</v>
      </c>
      <c r="L478" s="7" t="str">
        <f>HYPERLINK("http://slimages.macys.com/is/image/MCY/14825624 ")</f>
        <v xml:space="preserve">http://slimages.macys.com/is/image/MCY/14825624 </v>
      </c>
    </row>
    <row r="479" spans="1:12" ht="24.75" x14ac:dyDescent="0.25">
      <c r="A479" s="4" t="s">
        <v>13189</v>
      </c>
      <c r="B479" s="2" t="s">
        <v>11020</v>
      </c>
      <c r="C479" s="3">
        <v>1</v>
      </c>
      <c r="D479" s="5">
        <v>24.99</v>
      </c>
      <c r="E479" s="3" t="s">
        <v>11021</v>
      </c>
      <c r="F479" s="2" t="s">
        <v>199</v>
      </c>
      <c r="G479" s="6" t="s">
        <v>187</v>
      </c>
      <c r="H479" s="2" t="s">
        <v>1425</v>
      </c>
      <c r="I479" s="2" t="s">
        <v>1469</v>
      </c>
      <c r="J479" s="2" t="s">
        <v>19</v>
      </c>
      <c r="K479" s="2" t="s">
        <v>495</v>
      </c>
      <c r="L479" s="7" t="str">
        <f>HYPERLINK("http://slimages.macys.com/is/image/MCY/14824963 ")</f>
        <v xml:space="preserve">http://slimages.macys.com/is/image/MCY/14824963 </v>
      </c>
    </row>
    <row r="480" spans="1:12" ht="24.75" x14ac:dyDescent="0.25">
      <c r="A480" s="4" t="s">
        <v>14172</v>
      </c>
      <c r="B480" s="2" t="s">
        <v>14173</v>
      </c>
      <c r="C480" s="3">
        <v>1</v>
      </c>
      <c r="D480" s="5">
        <v>44</v>
      </c>
      <c r="E480" s="3" t="s">
        <v>14174</v>
      </c>
      <c r="F480" s="2" t="s">
        <v>331</v>
      </c>
      <c r="G480" s="6" t="s">
        <v>234</v>
      </c>
      <c r="H480" s="2" t="s">
        <v>10225</v>
      </c>
      <c r="I480" s="2" t="s">
        <v>10226</v>
      </c>
      <c r="J480" s="2" t="s">
        <v>19</v>
      </c>
      <c r="K480" s="2" t="s">
        <v>247</v>
      </c>
      <c r="L480" s="7" t="str">
        <f>HYPERLINK("http://slimages.macys.com/is/image/MCY/13973358 ")</f>
        <v xml:space="preserve">http://slimages.macys.com/is/image/MCY/13973358 </v>
      </c>
    </row>
    <row r="481" spans="1:12" ht="24.75" x14ac:dyDescent="0.25">
      <c r="A481" s="4" t="s">
        <v>13195</v>
      </c>
      <c r="B481" s="2" t="s">
        <v>1467</v>
      </c>
      <c r="C481" s="3">
        <v>1</v>
      </c>
      <c r="D481" s="5">
        <v>24.99</v>
      </c>
      <c r="E481" s="3" t="s">
        <v>13194</v>
      </c>
      <c r="F481" s="2" t="s">
        <v>33</v>
      </c>
      <c r="G481" s="6" t="s">
        <v>234</v>
      </c>
      <c r="H481" s="2" t="s">
        <v>1522</v>
      </c>
      <c r="I481" s="2" t="s">
        <v>1469</v>
      </c>
      <c r="J481" s="2" t="s">
        <v>19</v>
      </c>
      <c r="K481" s="2" t="s">
        <v>495</v>
      </c>
      <c r="L481" s="7" t="str">
        <f>HYPERLINK("http://slimages.macys.com/is/image/MCY/11989539 ")</f>
        <v xml:space="preserve">http://slimages.macys.com/is/image/MCY/11989539 </v>
      </c>
    </row>
    <row r="482" spans="1:12" ht="24.75" x14ac:dyDescent="0.25">
      <c r="A482" s="4" t="s">
        <v>14175</v>
      </c>
      <c r="B482" s="2" t="s">
        <v>13198</v>
      </c>
      <c r="C482" s="3">
        <v>2</v>
      </c>
      <c r="D482" s="5">
        <v>29.99</v>
      </c>
      <c r="E482" s="3" t="s">
        <v>13199</v>
      </c>
      <c r="F482" s="2" t="s">
        <v>225</v>
      </c>
      <c r="G482" s="6" t="s">
        <v>238</v>
      </c>
      <c r="H482" s="2" t="s">
        <v>9995</v>
      </c>
      <c r="I482" s="2" t="s">
        <v>1087</v>
      </c>
      <c r="J482" s="2" t="s">
        <v>19</v>
      </c>
      <c r="K482" s="2" t="s">
        <v>353</v>
      </c>
      <c r="L482" s="7" t="str">
        <f>HYPERLINK("http://slimages.macys.com/is/image/MCY/12271587 ")</f>
        <v xml:space="preserve">http://slimages.macys.com/is/image/MCY/12271587 </v>
      </c>
    </row>
    <row r="483" spans="1:12" ht="24.75" x14ac:dyDescent="0.25">
      <c r="A483" s="4" t="s">
        <v>14176</v>
      </c>
      <c r="B483" s="2" t="s">
        <v>12263</v>
      </c>
      <c r="C483" s="3">
        <v>1</v>
      </c>
      <c r="D483" s="5">
        <v>33.380000000000003</v>
      </c>
      <c r="E483" s="3" t="s">
        <v>12264</v>
      </c>
      <c r="F483" s="2" t="s">
        <v>132</v>
      </c>
      <c r="G483" s="6" t="s">
        <v>154</v>
      </c>
      <c r="H483" s="2" t="s">
        <v>246</v>
      </c>
      <c r="I483" s="2" t="s">
        <v>189</v>
      </c>
      <c r="J483" s="2" t="s">
        <v>19</v>
      </c>
      <c r="K483" s="2" t="s">
        <v>160</v>
      </c>
      <c r="L483" s="7" t="str">
        <f>HYPERLINK("http://slimages.macys.com/is/image/MCY/12934811 ")</f>
        <v xml:space="preserve">http://slimages.macys.com/is/image/MCY/12934811 </v>
      </c>
    </row>
    <row r="484" spans="1:12" ht="24.75" x14ac:dyDescent="0.25">
      <c r="A484" s="4" t="s">
        <v>14177</v>
      </c>
      <c r="B484" s="2" t="s">
        <v>12263</v>
      </c>
      <c r="C484" s="3">
        <v>1</v>
      </c>
      <c r="D484" s="5">
        <v>33.380000000000003</v>
      </c>
      <c r="E484" s="3" t="s">
        <v>12264</v>
      </c>
      <c r="F484" s="2" t="s">
        <v>64</v>
      </c>
      <c r="G484" s="6" t="s">
        <v>154</v>
      </c>
      <c r="H484" s="2" t="s">
        <v>246</v>
      </c>
      <c r="I484" s="2" t="s">
        <v>189</v>
      </c>
      <c r="J484" s="2" t="s">
        <v>19</v>
      </c>
      <c r="K484" s="2" t="s">
        <v>160</v>
      </c>
      <c r="L484" s="7" t="str">
        <f>HYPERLINK("http://slimages.macys.com/is/image/MCY/12934811 ")</f>
        <v xml:space="preserve">http://slimages.macys.com/is/image/MCY/12934811 </v>
      </c>
    </row>
    <row r="485" spans="1:12" ht="24.75" x14ac:dyDescent="0.25">
      <c r="A485" s="4" t="s">
        <v>14178</v>
      </c>
      <c r="B485" s="2" t="s">
        <v>1475</v>
      </c>
      <c r="C485" s="3">
        <v>1</v>
      </c>
      <c r="D485" s="5">
        <v>33.380000000000003</v>
      </c>
      <c r="E485" s="3" t="s">
        <v>1476</v>
      </c>
      <c r="F485" s="2" t="s">
        <v>26</v>
      </c>
      <c r="G485" s="6" t="s">
        <v>181</v>
      </c>
      <c r="H485" s="2" t="s">
        <v>246</v>
      </c>
      <c r="I485" s="2" t="s">
        <v>189</v>
      </c>
      <c r="J485" s="2" t="s">
        <v>19</v>
      </c>
      <c r="K485" s="2" t="s">
        <v>160</v>
      </c>
      <c r="L485" s="7" t="str">
        <f>HYPERLINK("http://slimages.macys.com/is/image/MCY/13330738 ")</f>
        <v xml:space="preserve">http://slimages.macys.com/is/image/MCY/13330738 </v>
      </c>
    </row>
    <row r="486" spans="1:12" ht="24.75" x14ac:dyDescent="0.25">
      <c r="A486" s="4" t="s">
        <v>13203</v>
      </c>
      <c r="B486" s="2" t="s">
        <v>13204</v>
      </c>
      <c r="C486" s="3">
        <v>1</v>
      </c>
      <c r="D486" s="5">
        <v>25.88</v>
      </c>
      <c r="E486" s="3" t="s">
        <v>13205</v>
      </c>
      <c r="F486" s="2" t="s">
        <v>64</v>
      </c>
      <c r="G486" s="6" t="s">
        <v>234</v>
      </c>
      <c r="H486" s="2" t="s">
        <v>284</v>
      </c>
      <c r="I486" s="2" t="s">
        <v>11080</v>
      </c>
      <c r="J486" s="2" t="s">
        <v>19</v>
      </c>
      <c r="K486" s="2" t="s">
        <v>353</v>
      </c>
      <c r="L486" s="7" t="str">
        <f>HYPERLINK("http://slimages.macys.com/is/image/MCY/14377661 ")</f>
        <v xml:space="preserve">http://slimages.macys.com/is/image/MCY/14377661 </v>
      </c>
    </row>
    <row r="487" spans="1:12" ht="24.75" x14ac:dyDescent="0.25">
      <c r="A487" s="4" t="s">
        <v>14179</v>
      </c>
      <c r="B487" s="2" t="s">
        <v>14180</v>
      </c>
      <c r="C487" s="3">
        <v>1</v>
      </c>
      <c r="D487" s="5">
        <v>49.5</v>
      </c>
      <c r="E487" s="3" t="s">
        <v>14181</v>
      </c>
      <c r="F487" s="2" t="s">
        <v>74</v>
      </c>
      <c r="G487" s="6"/>
      <c r="H487" s="2" t="s">
        <v>206</v>
      </c>
      <c r="I487" s="2" t="s">
        <v>207</v>
      </c>
      <c r="J487" s="2" t="s">
        <v>19</v>
      </c>
      <c r="K487" s="2" t="s">
        <v>160</v>
      </c>
      <c r="L487" s="7" t="str">
        <f>HYPERLINK("http://slimages.macys.com/is/image/MCY/14627811 ")</f>
        <v xml:space="preserve">http://slimages.macys.com/is/image/MCY/14627811 </v>
      </c>
    </row>
    <row r="488" spans="1:12" ht="24.75" x14ac:dyDescent="0.25">
      <c r="A488" s="4" t="s">
        <v>14182</v>
      </c>
      <c r="B488" s="2" t="s">
        <v>3936</v>
      </c>
      <c r="C488" s="3">
        <v>1</v>
      </c>
      <c r="D488" s="5">
        <v>39.5</v>
      </c>
      <c r="E488" s="3" t="s">
        <v>14183</v>
      </c>
      <c r="F488" s="2" t="s">
        <v>193</v>
      </c>
      <c r="G488" s="6"/>
      <c r="H488" s="2" t="s">
        <v>127</v>
      </c>
      <c r="I488" s="2" t="s">
        <v>128</v>
      </c>
      <c r="J488" s="2" t="s">
        <v>19</v>
      </c>
      <c r="K488" s="2" t="s">
        <v>247</v>
      </c>
      <c r="L488" s="7" t="str">
        <f>HYPERLINK("http://slimages.macys.com/is/image/MCY/15908129 ")</f>
        <v xml:space="preserve">http://slimages.macys.com/is/image/MCY/15908129 </v>
      </c>
    </row>
    <row r="489" spans="1:12" ht="24.75" x14ac:dyDescent="0.25">
      <c r="A489" s="4" t="s">
        <v>5963</v>
      </c>
      <c r="B489" s="2" t="s">
        <v>5964</v>
      </c>
      <c r="C489" s="3">
        <v>1</v>
      </c>
      <c r="D489" s="5">
        <v>24.99</v>
      </c>
      <c r="E489" s="3" t="s">
        <v>5965</v>
      </c>
      <c r="F489" s="2" t="s">
        <v>74</v>
      </c>
      <c r="G489" s="6" t="s">
        <v>58</v>
      </c>
      <c r="H489" s="2" t="s">
        <v>1473</v>
      </c>
      <c r="I489" s="2" t="s">
        <v>1426</v>
      </c>
      <c r="J489" s="2" t="s">
        <v>19</v>
      </c>
      <c r="K489" s="2" t="s">
        <v>353</v>
      </c>
      <c r="L489" s="7" t="str">
        <f>HYPERLINK("http://slimages.macys.com/is/image/MCY/8142807 ")</f>
        <v xml:space="preserve">http://slimages.macys.com/is/image/MCY/8142807 </v>
      </c>
    </row>
    <row r="490" spans="1:12" ht="24.75" x14ac:dyDescent="0.25">
      <c r="A490" s="4" t="s">
        <v>14184</v>
      </c>
      <c r="B490" s="2" t="s">
        <v>14185</v>
      </c>
      <c r="C490" s="3">
        <v>1</v>
      </c>
      <c r="D490" s="5">
        <v>31.88</v>
      </c>
      <c r="E490" s="3" t="s">
        <v>14186</v>
      </c>
      <c r="F490" s="2"/>
      <c r="G490" s="6" t="s">
        <v>234</v>
      </c>
      <c r="H490" s="2" t="s">
        <v>194</v>
      </c>
      <c r="I490" s="2" t="s">
        <v>195</v>
      </c>
      <c r="J490" s="2" t="s">
        <v>19</v>
      </c>
      <c r="K490" s="2" t="s">
        <v>409</v>
      </c>
      <c r="L490" s="7" t="str">
        <f>HYPERLINK("http://slimages.macys.com/is/image/MCY/2946701 ")</f>
        <v xml:space="preserve">http://slimages.macys.com/is/image/MCY/2946701 </v>
      </c>
    </row>
    <row r="491" spans="1:12" ht="24.75" x14ac:dyDescent="0.25">
      <c r="A491" s="4" t="s">
        <v>2808</v>
      </c>
      <c r="B491" s="2" t="s">
        <v>1526</v>
      </c>
      <c r="C491" s="3">
        <v>1</v>
      </c>
      <c r="D491" s="5">
        <v>27.65</v>
      </c>
      <c r="E491" s="3" t="s">
        <v>1527</v>
      </c>
      <c r="F491" s="2" t="s">
        <v>257</v>
      </c>
      <c r="G491" s="6" t="s">
        <v>154</v>
      </c>
      <c r="H491" s="2" t="s">
        <v>182</v>
      </c>
      <c r="I491" s="2" t="s">
        <v>183</v>
      </c>
      <c r="J491" s="2" t="s">
        <v>19</v>
      </c>
      <c r="K491" s="2" t="s">
        <v>247</v>
      </c>
      <c r="L491" s="7" t="str">
        <f>HYPERLINK("http://slimages.macys.com/is/image/MCY/12851875 ")</f>
        <v xml:space="preserve">http://slimages.macys.com/is/image/MCY/12851875 </v>
      </c>
    </row>
    <row r="492" spans="1:12" ht="24.75" x14ac:dyDescent="0.25">
      <c r="A492" s="4" t="s">
        <v>5039</v>
      </c>
      <c r="B492" s="2" t="s">
        <v>5040</v>
      </c>
      <c r="C492" s="3">
        <v>2</v>
      </c>
      <c r="D492" s="5">
        <v>29.63</v>
      </c>
      <c r="E492" s="3">
        <v>100018082</v>
      </c>
      <c r="F492" s="2" t="s">
        <v>15</v>
      </c>
      <c r="G492" s="6" t="s">
        <v>154</v>
      </c>
      <c r="H492" s="2" t="s">
        <v>194</v>
      </c>
      <c r="I492" s="2" t="s">
        <v>195</v>
      </c>
      <c r="J492" s="2" t="s">
        <v>19</v>
      </c>
      <c r="K492" s="2" t="s">
        <v>1082</v>
      </c>
      <c r="L492" s="7" t="str">
        <f>HYPERLINK("http://slimages.macys.com/is/image/MCY/13367475 ")</f>
        <v xml:space="preserve">http://slimages.macys.com/is/image/MCY/13367475 </v>
      </c>
    </row>
    <row r="493" spans="1:12" ht="24.75" x14ac:dyDescent="0.25">
      <c r="A493" s="4" t="s">
        <v>8254</v>
      </c>
      <c r="B493" s="2" t="s">
        <v>5040</v>
      </c>
      <c r="C493" s="3">
        <v>1</v>
      </c>
      <c r="D493" s="5">
        <v>29.63</v>
      </c>
      <c r="E493" s="3">
        <v>100018082</v>
      </c>
      <c r="F493" s="2" t="s">
        <v>15</v>
      </c>
      <c r="G493" s="6" t="s">
        <v>245</v>
      </c>
      <c r="H493" s="2" t="s">
        <v>194</v>
      </c>
      <c r="I493" s="2" t="s">
        <v>195</v>
      </c>
      <c r="J493" s="2" t="s">
        <v>19</v>
      </c>
      <c r="K493" s="2" t="s">
        <v>1082</v>
      </c>
      <c r="L493" s="7" t="str">
        <f>HYPERLINK("http://slimages.macys.com/is/image/MCY/13367475 ")</f>
        <v xml:space="preserve">http://slimages.macys.com/is/image/MCY/13367475 </v>
      </c>
    </row>
    <row r="494" spans="1:12" ht="24.75" x14ac:dyDescent="0.25">
      <c r="A494" s="4" t="s">
        <v>14187</v>
      </c>
      <c r="B494" s="2" t="s">
        <v>11064</v>
      </c>
      <c r="C494" s="3">
        <v>1</v>
      </c>
      <c r="D494" s="5">
        <v>21.99</v>
      </c>
      <c r="E494" s="3" t="s">
        <v>11065</v>
      </c>
      <c r="F494" s="2" t="s">
        <v>15</v>
      </c>
      <c r="G494" s="6" t="s">
        <v>234</v>
      </c>
      <c r="H494" s="2" t="s">
        <v>1473</v>
      </c>
      <c r="I494" s="2" t="s">
        <v>1426</v>
      </c>
      <c r="J494" s="2" t="s">
        <v>19</v>
      </c>
      <c r="K494" s="2" t="s">
        <v>11066</v>
      </c>
      <c r="L494" s="7" t="str">
        <f>HYPERLINK("http://slimages.macys.com/is/image/MCY/13960174 ")</f>
        <v xml:space="preserve">http://slimages.macys.com/is/image/MCY/13960174 </v>
      </c>
    </row>
    <row r="495" spans="1:12" ht="24.75" x14ac:dyDescent="0.25">
      <c r="A495" s="4" t="s">
        <v>14188</v>
      </c>
      <c r="B495" s="2" t="s">
        <v>11074</v>
      </c>
      <c r="C495" s="3">
        <v>1</v>
      </c>
      <c r="D495" s="5">
        <v>29.63</v>
      </c>
      <c r="E495" s="3" t="s">
        <v>11075</v>
      </c>
      <c r="F495" s="2" t="s">
        <v>464</v>
      </c>
      <c r="G495" s="6" t="s">
        <v>156</v>
      </c>
      <c r="H495" s="2" t="s">
        <v>284</v>
      </c>
      <c r="I495" s="2" t="s">
        <v>285</v>
      </c>
      <c r="J495" s="2" t="s">
        <v>19</v>
      </c>
      <c r="K495" s="2" t="s">
        <v>442</v>
      </c>
      <c r="L495" s="7" t="str">
        <f>HYPERLINK("http://slimages.macys.com/is/image/MCY/10043380 ")</f>
        <v xml:space="preserve">http://slimages.macys.com/is/image/MCY/10043380 </v>
      </c>
    </row>
    <row r="496" spans="1:12" ht="24.75" x14ac:dyDescent="0.25">
      <c r="A496" s="4" t="s">
        <v>14189</v>
      </c>
      <c r="B496" s="2" t="s">
        <v>11074</v>
      </c>
      <c r="C496" s="3">
        <v>1</v>
      </c>
      <c r="D496" s="5">
        <v>29.63</v>
      </c>
      <c r="E496" s="3" t="s">
        <v>11075</v>
      </c>
      <c r="F496" s="2" t="s">
        <v>1914</v>
      </c>
      <c r="G496" s="6" t="s">
        <v>234</v>
      </c>
      <c r="H496" s="2" t="s">
        <v>284</v>
      </c>
      <c r="I496" s="2" t="s">
        <v>285</v>
      </c>
      <c r="J496" s="2" t="s">
        <v>19</v>
      </c>
      <c r="K496" s="2" t="s">
        <v>442</v>
      </c>
      <c r="L496" s="7" t="str">
        <f>HYPERLINK("http://slimages.macys.com/is/image/MCY/10043380 ")</f>
        <v xml:space="preserve">http://slimages.macys.com/is/image/MCY/10043380 </v>
      </c>
    </row>
    <row r="497" spans="1:12" ht="24.75" x14ac:dyDescent="0.25">
      <c r="A497" s="4" t="s">
        <v>14190</v>
      </c>
      <c r="B497" s="2" t="s">
        <v>11074</v>
      </c>
      <c r="C497" s="3">
        <v>1</v>
      </c>
      <c r="D497" s="5">
        <v>29.63</v>
      </c>
      <c r="E497" s="3" t="s">
        <v>11075</v>
      </c>
      <c r="F497" s="2" t="s">
        <v>1296</v>
      </c>
      <c r="G497" s="6" t="s">
        <v>181</v>
      </c>
      <c r="H497" s="2" t="s">
        <v>284</v>
      </c>
      <c r="I497" s="2" t="s">
        <v>285</v>
      </c>
      <c r="J497" s="2" t="s">
        <v>19</v>
      </c>
      <c r="K497" s="2" t="s">
        <v>442</v>
      </c>
      <c r="L497" s="7" t="str">
        <f>HYPERLINK("http://slimages.macys.com/is/image/MCY/10043380 ")</f>
        <v xml:space="preserve">http://slimages.macys.com/is/image/MCY/10043380 </v>
      </c>
    </row>
    <row r="498" spans="1:12" ht="24.75" x14ac:dyDescent="0.25">
      <c r="A498" s="4" t="s">
        <v>3958</v>
      </c>
      <c r="B498" s="2" t="s">
        <v>1539</v>
      </c>
      <c r="C498" s="3">
        <v>1</v>
      </c>
      <c r="D498" s="5">
        <v>26.99</v>
      </c>
      <c r="E498" s="3" t="s">
        <v>1540</v>
      </c>
      <c r="F498" s="2" t="s">
        <v>252</v>
      </c>
      <c r="G498" s="6" t="s">
        <v>58</v>
      </c>
      <c r="H498" s="2" t="s">
        <v>1473</v>
      </c>
      <c r="I498" s="2" t="s">
        <v>1426</v>
      </c>
      <c r="J498" s="2" t="s">
        <v>19</v>
      </c>
      <c r="K498" s="2" t="s">
        <v>353</v>
      </c>
      <c r="L498" s="7" t="str">
        <f>HYPERLINK("http://slimages.macys.com/is/image/MCY/10786732 ")</f>
        <v xml:space="preserve">http://slimages.macys.com/is/image/MCY/10786732 </v>
      </c>
    </row>
    <row r="499" spans="1:12" ht="24.75" x14ac:dyDescent="0.25">
      <c r="A499" s="4" t="s">
        <v>3959</v>
      </c>
      <c r="B499" s="2" t="s">
        <v>1539</v>
      </c>
      <c r="C499" s="3">
        <v>3</v>
      </c>
      <c r="D499" s="5">
        <v>26.99</v>
      </c>
      <c r="E499" s="3" t="s">
        <v>1540</v>
      </c>
      <c r="F499" s="2" t="s">
        <v>252</v>
      </c>
      <c r="G499" s="6" t="s">
        <v>16</v>
      </c>
      <c r="H499" s="2" t="s">
        <v>1473</v>
      </c>
      <c r="I499" s="2" t="s">
        <v>1426</v>
      </c>
      <c r="J499" s="2" t="s">
        <v>19</v>
      </c>
      <c r="K499" s="2" t="s">
        <v>353</v>
      </c>
      <c r="L499" s="7" t="str">
        <f>HYPERLINK("http://slimages.macys.com/is/image/MCY/10786732 ")</f>
        <v xml:space="preserve">http://slimages.macys.com/is/image/MCY/10786732 </v>
      </c>
    </row>
    <row r="500" spans="1:12" ht="24.75" x14ac:dyDescent="0.25">
      <c r="A500" s="4" t="s">
        <v>1538</v>
      </c>
      <c r="B500" s="2" t="s">
        <v>1539</v>
      </c>
      <c r="C500" s="3">
        <v>1</v>
      </c>
      <c r="D500" s="5">
        <v>26.99</v>
      </c>
      <c r="E500" s="3" t="s">
        <v>1540</v>
      </c>
      <c r="F500" s="2" t="s">
        <v>15</v>
      </c>
      <c r="G500" s="6" t="s">
        <v>22</v>
      </c>
      <c r="H500" s="2" t="s">
        <v>1473</v>
      </c>
      <c r="I500" s="2" t="s">
        <v>1426</v>
      </c>
      <c r="J500" s="2" t="s">
        <v>19</v>
      </c>
      <c r="K500" s="2" t="s">
        <v>353</v>
      </c>
      <c r="L500" s="7" t="str">
        <f>HYPERLINK("http://slimages.macys.com/is/image/MCY/10786732 ")</f>
        <v xml:space="preserve">http://slimages.macys.com/is/image/MCY/10786732 </v>
      </c>
    </row>
    <row r="501" spans="1:12" ht="24.75" x14ac:dyDescent="0.25">
      <c r="A501" s="4" t="s">
        <v>2831</v>
      </c>
      <c r="B501" s="2" t="s">
        <v>1539</v>
      </c>
      <c r="C501" s="3">
        <v>1</v>
      </c>
      <c r="D501" s="5">
        <v>26.99</v>
      </c>
      <c r="E501" s="3" t="s">
        <v>1548</v>
      </c>
      <c r="F501" s="2" t="s">
        <v>998</v>
      </c>
      <c r="G501" s="6" t="s">
        <v>238</v>
      </c>
      <c r="H501" s="2" t="s">
        <v>1425</v>
      </c>
      <c r="I501" s="2" t="s">
        <v>1426</v>
      </c>
      <c r="J501" s="2" t="s">
        <v>19</v>
      </c>
      <c r="K501" s="2" t="s">
        <v>353</v>
      </c>
      <c r="L501" s="7" t="str">
        <f>HYPERLINK("http://slimages.macys.com/is/image/MCY/11092539 ")</f>
        <v xml:space="preserve">http://slimages.macys.com/is/image/MCY/11092539 </v>
      </c>
    </row>
    <row r="502" spans="1:12" ht="24.75" x14ac:dyDescent="0.25">
      <c r="A502" s="4" t="s">
        <v>2826</v>
      </c>
      <c r="B502" s="2" t="s">
        <v>1539</v>
      </c>
      <c r="C502" s="3">
        <v>3</v>
      </c>
      <c r="D502" s="5">
        <v>26.99</v>
      </c>
      <c r="E502" s="3" t="s">
        <v>1540</v>
      </c>
      <c r="F502" s="2" t="s">
        <v>998</v>
      </c>
      <c r="G502" s="6" t="s">
        <v>27</v>
      </c>
      <c r="H502" s="2" t="s">
        <v>1473</v>
      </c>
      <c r="I502" s="2" t="s">
        <v>1426</v>
      </c>
      <c r="J502" s="2" t="s">
        <v>19</v>
      </c>
      <c r="K502" s="2" t="s">
        <v>353</v>
      </c>
      <c r="L502" s="7" t="str">
        <f>HYPERLINK("http://slimages.macys.com/is/image/MCY/10786732 ")</f>
        <v xml:space="preserve">http://slimages.macys.com/is/image/MCY/10786732 </v>
      </c>
    </row>
    <row r="503" spans="1:12" ht="24.75" x14ac:dyDescent="0.25">
      <c r="A503" s="4" t="s">
        <v>1544</v>
      </c>
      <c r="B503" s="2" t="s">
        <v>1539</v>
      </c>
      <c r="C503" s="3">
        <v>2</v>
      </c>
      <c r="D503" s="5">
        <v>26.99</v>
      </c>
      <c r="E503" s="3" t="s">
        <v>1540</v>
      </c>
      <c r="F503" s="2" t="s">
        <v>252</v>
      </c>
      <c r="G503" s="6" t="s">
        <v>112</v>
      </c>
      <c r="H503" s="2" t="s">
        <v>1473</v>
      </c>
      <c r="I503" s="2" t="s">
        <v>1426</v>
      </c>
      <c r="J503" s="2" t="s">
        <v>19</v>
      </c>
      <c r="K503" s="2" t="s">
        <v>353</v>
      </c>
      <c r="L503" s="7" t="str">
        <f>HYPERLINK("http://slimages.macys.com/is/image/MCY/10786732 ")</f>
        <v xml:space="preserve">http://slimages.macys.com/is/image/MCY/10786732 </v>
      </c>
    </row>
    <row r="504" spans="1:12" ht="24.75" x14ac:dyDescent="0.25">
      <c r="A504" s="4" t="s">
        <v>2825</v>
      </c>
      <c r="B504" s="2" t="s">
        <v>1539</v>
      </c>
      <c r="C504" s="3">
        <v>1</v>
      </c>
      <c r="D504" s="5">
        <v>26.99</v>
      </c>
      <c r="E504" s="3" t="s">
        <v>1540</v>
      </c>
      <c r="F504" s="2" t="s">
        <v>252</v>
      </c>
      <c r="G504" s="6" t="s">
        <v>22</v>
      </c>
      <c r="H504" s="2" t="s">
        <v>1473</v>
      </c>
      <c r="I504" s="2" t="s">
        <v>1426</v>
      </c>
      <c r="J504" s="2" t="s">
        <v>19</v>
      </c>
      <c r="K504" s="2" t="s">
        <v>353</v>
      </c>
      <c r="L504" s="7" t="str">
        <f>HYPERLINK("http://slimages.macys.com/is/image/MCY/10786732 ")</f>
        <v xml:space="preserve">http://slimages.macys.com/is/image/MCY/10786732 </v>
      </c>
    </row>
    <row r="505" spans="1:12" ht="24.75" x14ac:dyDescent="0.25">
      <c r="A505" s="4" t="s">
        <v>3957</v>
      </c>
      <c r="B505" s="2" t="s">
        <v>1539</v>
      </c>
      <c r="C505" s="3">
        <v>1</v>
      </c>
      <c r="D505" s="5">
        <v>26.99</v>
      </c>
      <c r="E505" s="3" t="s">
        <v>1540</v>
      </c>
      <c r="F505" s="2" t="s">
        <v>70</v>
      </c>
      <c r="G505" s="6" t="s">
        <v>16</v>
      </c>
      <c r="H505" s="2" t="s">
        <v>1473</v>
      </c>
      <c r="I505" s="2" t="s">
        <v>1426</v>
      </c>
      <c r="J505" s="2" t="s">
        <v>19</v>
      </c>
      <c r="K505" s="2" t="s">
        <v>353</v>
      </c>
      <c r="L505" s="7" t="str">
        <f>HYPERLINK("http://slimages.macys.com/is/image/MCY/10786732 ")</f>
        <v xml:space="preserve">http://slimages.macys.com/is/image/MCY/10786732 </v>
      </c>
    </row>
    <row r="506" spans="1:12" ht="24.75" x14ac:dyDescent="0.25">
      <c r="A506" s="4" t="s">
        <v>9140</v>
      </c>
      <c r="B506" s="2" t="s">
        <v>1539</v>
      </c>
      <c r="C506" s="3">
        <v>1</v>
      </c>
      <c r="D506" s="5">
        <v>26.99</v>
      </c>
      <c r="E506" s="3" t="s">
        <v>1540</v>
      </c>
      <c r="F506" s="2" t="s">
        <v>1234</v>
      </c>
      <c r="G506" s="6" t="s">
        <v>141</v>
      </c>
      <c r="H506" s="2" t="s">
        <v>1473</v>
      </c>
      <c r="I506" s="2" t="s">
        <v>1426</v>
      </c>
      <c r="J506" s="2" t="s">
        <v>19</v>
      </c>
      <c r="K506" s="2" t="s">
        <v>353</v>
      </c>
      <c r="L506" s="7" t="str">
        <f>HYPERLINK("http://slimages.macys.com/is/image/MCY/10786732 ")</f>
        <v xml:space="preserve">http://slimages.macys.com/is/image/MCY/10786732 </v>
      </c>
    </row>
    <row r="507" spans="1:12" ht="24.75" x14ac:dyDescent="0.25">
      <c r="A507" s="4" t="s">
        <v>11081</v>
      </c>
      <c r="B507" s="2" t="s">
        <v>11082</v>
      </c>
      <c r="C507" s="3">
        <v>1</v>
      </c>
      <c r="D507" s="5">
        <v>24.99</v>
      </c>
      <c r="E507" s="3" t="s">
        <v>11083</v>
      </c>
      <c r="F507" s="2" t="s">
        <v>1322</v>
      </c>
      <c r="G507" s="6" t="s">
        <v>187</v>
      </c>
      <c r="H507" s="2" t="s">
        <v>1425</v>
      </c>
      <c r="I507" s="2" t="s">
        <v>8769</v>
      </c>
      <c r="J507" s="2" t="s">
        <v>19</v>
      </c>
      <c r="K507" s="2" t="s">
        <v>3428</v>
      </c>
      <c r="L507" s="7" t="str">
        <f>HYPERLINK("http://slimages.macys.com/is/image/MCY/14661203 ")</f>
        <v xml:space="preserve">http://slimages.macys.com/is/image/MCY/14661203 </v>
      </c>
    </row>
    <row r="508" spans="1:12" ht="24.75" x14ac:dyDescent="0.25">
      <c r="A508" s="4" t="s">
        <v>14191</v>
      </c>
      <c r="B508" s="2" t="s">
        <v>14192</v>
      </c>
      <c r="C508" s="3">
        <v>1</v>
      </c>
      <c r="D508" s="5">
        <v>25.99</v>
      </c>
      <c r="E508" s="3" t="s">
        <v>14193</v>
      </c>
      <c r="F508" s="2" t="s">
        <v>2680</v>
      </c>
      <c r="G508" s="6" t="s">
        <v>154</v>
      </c>
      <c r="H508" s="2" t="s">
        <v>1473</v>
      </c>
      <c r="I508" s="2" t="s">
        <v>8769</v>
      </c>
      <c r="J508" s="2" t="s">
        <v>19</v>
      </c>
      <c r="K508" s="2" t="s">
        <v>3428</v>
      </c>
      <c r="L508" s="7" t="str">
        <f>HYPERLINK("http://slimages.macys.com/is/image/MCY/13940182 ")</f>
        <v xml:space="preserve">http://slimages.macys.com/is/image/MCY/13940182 </v>
      </c>
    </row>
    <row r="509" spans="1:12" ht="24.75" x14ac:dyDescent="0.25">
      <c r="A509" s="4" t="s">
        <v>2833</v>
      </c>
      <c r="B509" s="2" t="s">
        <v>1556</v>
      </c>
      <c r="C509" s="3">
        <v>2</v>
      </c>
      <c r="D509" s="5">
        <v>25.88</v>
      </c>
      <c r="E509" s="3">
        <v>100018059</v>
      </c>
      <c r="F509" s="2" t="s">
        <v>64</v>
      </c>
      <c r="G509" s="6" t="s">
        <v>234</v>
      </c>
      <c r="H509" s="2" t="s">
        <v>194</v>
      </c>
      <c r="I509" s="2" t="s">
        <v>195</v>
      </c>
      <c r="J509" s="2" t="s">
        <v>19</v>
      </c>
      <c r="K509" s="2" t="s">
        <v>648</v>
      </c>
      <c r="L509" s="7" t="str">
        <f>HYPERLINK("http://slimages.macys.com/is/image/MCY/9795496 ")</f>
        <v xml:space="preserve">http://slimages.macys.com/is/image/MCY/9795496 </v>
      </c>
    </row>
    <row r="510" spans="1:12" ht="24.75" x14ac:dyDescent="0.25">
      <c r="A510" s="4" t="s">
        <v>1557</v>
      </c>
      <c r="B510" s="2" t="s">
        <v>1556</v>
      </c>
      <c r="C510" s="3">
        <v>1</v>
      </c>
      <c r="D510" s="5">
        <v>25.88</v>
      </c>
      <c r="E510" s="3">
        <v>100018059</v>
      </c>
      <c r="F510" s="2" t="s">
        <v>64</v>
      </c>
      <c r="G510" s="6" t="s">
        <v>245</v>
      </c>
      <c r="H510" s="2" t="s">
        <v>194</v>
      </c>
      <c r="I510" s="2" t="s">
        <v>195</v>
      </c>
      <c r="J510" s="2" t="s">
        <v>19</v>
      </c>
      <c r="K510" s="2" t="s">
        <v>648</v>
      </c>
      <c r="L510" s="7" t="str">
        <f>HYPERLINK("http://slimages.macys.com/is/image/MCY/9795496 ")</f>
        <v xml:space="preserve">http://slimages.macys.com/is/image/MCY/9795496 </v>
      </c>
    </row>
    <row r="511" spans="1:12" ht="24.75" x14ac:dyDescent="0.25">
      <c r="A511" s="4" t="s">
        <v>14194</v>
      </c>
      <c r="B511" s="2" t="s">
        <v>1559</v>
      </c>
      <c r="C511" s="3">
        <v>1</v>
      </c>
      <c r="D511" s="5">
        <v>24.99</v>
      </c>
      <c r="E511" s="3" t="s">
        <v>3967</v>
      </c>
      <c r="F511" s="2" t="s">
        <v>15</v>
      </c>
      <c r="G511" s="6" t="s">
        <v>156</v>
      </c>
      <c r="H511" s="2" t="s">
        <v>1522</v>
      </c>
      <c r="I511" s="2" t="s">
        <v>1469</v>
      </c>
      <c r="J511" s="2" t="s">
        <v>19</v>
      </c>
      <c r="K511" s="2" t="s">
        <v>353</v>
      </c>
      <c r="L511" s="7" t="str">
        <f>HYPERLINK("http://slimages.macys.com/is/image/MCY/9432476 ")</f>
        <v xml:space="preserve">http://slimages.macys.com/is/image/MCY/9432476 </v>
      </c>
    </row>
    <row r="512" spans="1:12" ht="24.75" x14ac:dyDescent="0.25">
      <c r="A512" s="4" t="s">
        <v>14195</v>
      </c>
      <c r="B512" s="2" t="s">
        <v>12288</v>
      </c>
      <c r="C512" s="3">
        <v>1</v>
      </c>
      <c r="D512" s="5">
        <v>29.99</v>
      </c>
      <c r="E512" s="3" t="s">
        <v>12289</v>
      </c>
      <c r="F512" s="2" t="s">
        <v>64</v>
      </c>
      <c r="G512" s="6" t="s">
        <v>154</v>
      </c>
      <c r="H512" s="2" t="s">
        <v>246</v>
      </c>
      <c r="I512" s="2" t="s">
        <v>3504</v>
      </c>
      <c r="J512" s="2"/>
      <c r="K512" s="2"/>
      <c r="L512" s="7" t="str">
        <f>HYPERLINK("http://slimages.macys.com/is/image/MCY/10148457 ")</f>
        <v xml:space="preserve">http://slimages.macys.com/is/image/MCY/10148457 </v>
      </c>
    </row>
    <row r="513" spans="1:12" ht="24.75" x14ac:dyDescent="0.25">
      <c r="A513" s="4" t="s">
        <v>13243</v>
      </c>
      <c r="B513" s="2" t="s">
        <v>12288</v>
      </c>
      <c r="C513" s="3">
        <v>1</v>
      </c>
      <c r="D513" s="5">
        <v>29.99</v>
      </c>
      <c r="E513" s="3" t="s">
        <v>12289</v>
      </c>
      <c r="F513" s="2" t="s">
        <v>1322</v>
      </c>
      <c r="G513" s="6" t="s">
        <v>156</v>
      </c>
      <c r="H513" s="2" t="s">
        <v>246</v>
      </c>
      <c r="I513" s="2" t="s">
        <v>3504</v>
      </c>
      <c r="J513" s="2" t="s">
        <v>19</v>
      </c>
      <c r="K513" s="2" t="s">
        <v>1480</v>
      </c>
      <c r="L513" s="7" t="str">
        <f>HYPERLINK("http://slimages.macys.com/is/image/MCY/16109372 ")</f>
        <v xml:space="preserve">http://slimages.macys.com/is/image/MCY/16109372 </v>
      </c>
    </row>
    <row r="514" spans="1:12" ht="24.75" x14ac:dyDescent="0.25">
      <c r="A514" s="4" t="s">
        <v>14196</v>
      </c>
      <c r="B514" s="2" t="s">
        <v>12288</v>
      </c>
      <c r="C514" s="3">
        <v>1</v>
      </c>
      <c r="D514" s="5">
        <v>29.99</v>
      </c>
      <c r="E514" s="3" t="s">
        <v>12289</v>
      </c>
      <c r="F514" s="2" t="s">
        <v>64</v>
      </c>
      <c r="G514" s="6" t="s">
        <v>181</v>
      </c>
      <c r="H514" s="2" t="s">
        <v>246</v>
      </c>
      <c r="I514" s="2" t="s">
        <v>3504</v>
      </c>
      <c r="J514" s="2"/>
      <c r="K514" s="2"/>
      <c r="L514" s="7" t="str">
        <f>HYPERLINK("http://slimages.macys.com/is/image/MCY/10148457 ")</f>
        <v xml:space="preserve">http://slimages.macys.com/is/image/MCY/10148457 </v>
      </c>
    </row>
    <row r="515" spans="1:12" ht="24.75" x14ac:dyDescent="0.25">
      <c r="A515" s="4" t="s">
        <v>11087</v>
      </c>
      <c r="B515" s="2" t="s">
        <v>1579</v>
      </c>
      <c r="C515" s="3">
        <v>1</v>
      </c>
      <c r="D515" s="5">
        <v>29.63</v>
      </c>
      <c r="E515" s="3" t="s">
        <v>11085</v>
      </c>
      <c r="F515" s="2" t="s">
        <v>15</v>
      </c>
      <c r="G515" s="6" t="s">
        <v>154</v>
      </c>
      <c r="H515" s="2" t="s">
        <v>194</v>
      </c>
      <c r="I515" s="2" t="s">
        <v>195</v>
      </c>
      <c r="J515" s="2" t="s">
        <v>19</v>
      </c>
      <c r="K515" s="2" t="s">
        <v>11086</v>
      </c>
      <c r="L515" s="7" t="str">
        <f>HYPERLINK("http://slimages.macys.com/is/image/MCY/12850930 ")</f>
        <v xml:space="preserve">http://slimages.macys.com/is/image/MCY/12850930 </v>
      </c>
    </row>
    <row r="516" spans="1:12" ht="24.75" x14ac:dyDescent="0.25">
      <c r="A516" s="4" t="s">
        <v>14197</v>
      </c>
      <c r="B516" s="2" t="s">
        <v>1582</v>
      </c>
      <c r="C516" s="3">
        <v>1</v>
      </c>
      <c r="D516" s="5">
        <v>25.89</v>
      </c>
      <c r="E516" s="3" t="s">
        <v>1583</v>
      </c>
      <c r="F516" s="2" t="s">
        <v>1584</v>
      </c>
      <c r="G516" s="6" t="s">
        <v>234</v>
      </c>
      <c r="H516" s="2" t="s">
        <v>284</v>
      </c>
      <c r="I516" s="2" t="s">
        <v>285</v>
      </c>
      <c r="J516" s="2" t="s">
        <v>19</v>
      </c>
      <c r="K516" s="2" t="s">
        <v>247</v>
      </c>
      <c r="L516" s="7" t="str">
        <f>HYPERLINK("http://slimages.macys.com/is/image/MCY/13302247 ")</f>
        <v xml:space="preserve">http://slimages.macys.com/is/image/MCY/13302247 </v>
      </c>
    </row>
    <row r="517" spans="1:12" ht="24.75" x14ac:dyDescent="0.25">
      <c r="A517" s="4" t="s">
        <v>5053</v>
      </c>
      <c r="B517" s="2" t="s">
        <v>1600</v>
      </c>
      <c r="C517" s="3">
        <v>1</v>
      </c>
      <c r="D517" s="5">
        <v>21.99</v>
      </c>
      <c r="E517" s="3" t="s">
        <v>1601</v>
      </c>
      <c r="F517" s="2" t="s">
        <v>15</v>
      </c>
      <c r="G517" s="6"/>
      <c r="H517" s="2" t="s">
        <v>1425</v>
      </c>
      <c r="I517" s="2" t="s">
        <v>1426</v>
      </c>
      <c r="J517" s="2"/>
      <c r="K517" s="2"/>
      <c r="L517" s="7" t="str">
        <f>HYPERLINK("http://slimages.macys.com/is/image/MCY/10205122 ")</f>
        <v xml:space="preserve">http://slimages.macys.com/is/image/MCY/10205122 </v>
      </c>
    </row>
    <row r="518" spans="1:12" ht="24.75" x14ac:dyDescent="0.25">
      <c r="A518" s="4" t="s">
        <v>1607</v>
      </c>
      <c r="B518" s="2" t="s">
        <v>1600</v>
      </c>
      <c r="C518" s="3">
        <v>2</v>
      </c>
      <c r="D518" s="5">
        <v>21.99</v>
      </c>
      <c r="E518" s="3" t="s">
        <v>1601</v>
      </c>
      <c r="F518" s="2" t="s">
        <v>15</v>
      </c>
      <c r="G518" s="6" t="s">
        <v>219</v>
      </c>
      <c r="H518" s="2" t="s">
        <v>1425</v>
      </c>
      <c r="I518" s="2" t="s">
        <v>1426</v>
      </c>
      <c r="J518" s="2"/>
      <c r="K518" s="2"/>
      <c r="L518" s="7" t="str">
        <f>HYPERLINK("http://slimages.macys.com/is/image/MCY/10205122 ")</f>
        <v xml:space="preserve">http://slimages.macys.com/is/image/MCY/10205122 </v>
      </c>
    </row>
    <row r="519" spans="1:12" ht="24.75" x14ac:dyDescent="0.25">
      <c r="A519" s="4" t="s">
        <v>5052</v>
      </c>
      <c r="B519" s="2" t="s">
        <v>1600</v>
      </c>
      <c r="C519" s="3">
        <v>1</v>
      </c>
      <c r="D519" s="5">
        <v>21.99</v>
      </c>
      <c r="E519" s="3" t="s">
        <v>1601</v>
      </c>
      <c r="F519" s="2" t="s">
        <v>15</v>
      </c>
      <c r="G519" s="6"/>
      <c r="H519" s="2" t="s">
        <v>1425</v>
      </c>
      <c r="I519" s="2" t="s">
        <v>1426</v>
      </c>
      <c r="J519" s="2"/>
      <c r="K519" s="2"/>
      <c r="L519" s="7" t="str">
        <f>HYPERLINK("http://slimages.macys.com/is/image/MCY/10205122 ")</f>
        <v xml:space="preserve">http://slimages.macys.com/is/image/MCY/10205122 </v>
      </c>
    </row>
    <row r="520" spans="1:12" ht="24.75" x14ac:dyDescent="0.25">
      <c r="A520" s="4" t="s">
        <v>2850</v>
      </c>
      <c r="B520" s="2" t="s">
        <v>1586</v>
      </c>
      <c r="C520" s="3">
        <v>1</v>
      </c>
      <c r="D520" s="5">
        <v>21.99</v>
      </c>
      <c r="E520" s="3" t="s">
        <v>1587</v>
      </c>
      <c r="F520" s="2" t="s">
        <v>252</v>
      </c>
      <c r="G520" s="6"/>
      <c r="H520" s="2" t="s">
        <v>1425</v>
      </c>
      <c r="I520" s="2" t="s">
        <v>1426</v>
      </c>
      <c r="J520" s="2" t="s">
        <v>19</v>
      </c>
      <c r="K520" s="2" t="s">
        <v>34</v>
      </c>
      <c r="L520" s="7" t="str">
        <f>HYPERLINK("http://slimages.macys.com/is/image/MCY/11174709 ")</f>
        <v xml:space="preserve">http://slimages.macys.com/is/image/MCY/11174709 </v>
      </c>
    </row>
    <row r="521" spans="1:12" ht="24.75" x14ac:dyDescent="0.25">
      <c r="A521" s="4" t="s">
        <v>14198</v>
      </c>
      <c r="B521" s="2" t="s">
        <v>1600</v>
      </c>
      <c r="C521" s="3">
        <v>1</v>
      </c>
      <c r="D521" s="5">
        <v>21.99</v>
      </c>
      <c r="E521" s="3" t="s">
        <v>1601</v>
      </c>
      <c r="F521" s="2" t="s">
        <v>252</v>
      </c>
      <c r="G521" s="6" t="s">
        <v>187</v>
      </c>
      <c r="H521" s="2" t="s">
        <v>1425</v>
      </c>
      <c r="I521" s="2" t="s">
        <v>1426</v>
      </c>
      <c r="J521" s="2" t="s">
        <v>19</v>
      </c>
      <c r="K521" s="2" t="s">
        <v>34</v>
      </c>
      <c r="L521" s="7" t="str">
        <f>HYPERLINK("http://slimages.macys.com/is/image/MCY/11174709 ")</f>
        <v xml:space="preserve">http://slimages.macys.com/is/image/MCY/11174709 </v>
      </c>
    </row>
    <row r="522" spans="1:12" ht="24.75" x14ac:dyDescent="0.25">
      <c r="A522" s="4" t="s">
        <v>14199</v>
      </c>
      <c r="B522" s="2" t="s">
        <v>14200</v>
      </c>
      <c r="C522" s="3">
        <v>1</v>
      </c>
      <c r="D522" s="5">
        <v>30</v>
      </c>
      <c r="E522" s="3" t="s">
        <v>14201</v>
      </c>
      <c r="F522" s="2" t="s">
        <v>15</v>
      </c>
      <c r="G522" s="6" t="s">
        <v>791</v>
      </c>
      <c r="H522" s="2" t="s">
        <v>447</v>
      </c>
      <c r="I522" s="2" t="s">
        <v>792</v>
      </c>
      <c r="J522" s="2" t="s">
        <v>2474</v>
      </c>
      <c r="K522" s="2" t="s">
        <v>247</v>
      </c>
      <c r="L522" s="7" t="str">
        <f>HYPERLINK("http://slimages.macys.com/is/image/MCY/12258163 ")</f>
        <v xml:space="preserve">http://slimages.macys.com/is/image/MCY/12258163 </v>
      </c>
    </row>
    <row r="523" spans="1:12" ht="24.75" x14ac:dyDescent="0.25">
      <c r="A523" s="4" t="s">
        <v>14202</v>
      </c>
      <c r="B523" s="2" t="s">
        <v>14203</v>
      </c>
      <c r="C523" s="3">
        <v>1</v>
      </c>
      <c r="D523" s="5">
        <v>48</v>
      </c>
      <c r="E523" s="3">
        <v>1716</v>
      </c>
      <c r="F523" s="2" t="s">
        <v>15</v>
      </c>
      <c r="G523" s="6"/>
      <c r="H523" s="2" t="s">
        <v>447</v>
      </c>
      <c r="I523" s="2" t="s">
        <v>3409</v>
      </c>
      <c r="J523" s="2" t="s">
        <v>19</v>
      </c>
      <c r="K523" s="2" t="s">
        <v>3476</v>
      </c>
      <c r="L523" s="7" t="str">
        <f>HYPERLINK("http://slimages.macys.com/is/image/MCY/8078281 ")</f>
        <v xml:space="preserve">http://slimages.macys.com/is/image/MCY/8078281 </v>
      </c>
    </row>
    <row r="524" spans="1:12" ht="24.75" x14ac:dyDescent="0.25">
      <c r="A524" s="4" t="s">
        <v>14204</v>
      </c>
      <c r="B524" s="2" t="s">
        <v>11092</v>
      </c>
      <c r="C524" s="3">
        <v>1</v>
      </c>
      <c r="D524" s="5">
        <v>24.99</v>
      </c>
      <c r="E524" s="3" t="s">
        <v>11093</v>
      </c>
      <c r="F524" s="2" t="s">
        <v>15</v>
      </c>
      <c r="G524" s="6" t="s">
        <v>154</v>
      </c>
      <c r="H524" s="2" t="s">
        <v>1522</v>
      </c>
      <c r="I524" s="2" t="s">
        <v>1469</v>
      </c>
      <c r="J524" s="2" t="s">
        <v>19</v>
      </c>
      <c r="K524" s="2" t="s">
        <v>353</v>
      </c>
      <c r="L524" s="7" t="str">
        <f>HYPERLINK("http://slimages.macys.com/is/image/MCY/13683315 ")</f>
        <v xml:space="preserve">http://slimages.macys.com/is/image/MCY/13683315 </v>
      </c>
    </row>
    <row r="525" spans="1:12" ht="24.75" x14ac:dyDescent="0.25">
      <c r="A525" s="4" t="s">
        <v>13247</v>
      </c>
      <c r="B525" s="2" t="s">
        <v>11092</v>
      </c>
      <c r="C525" s="3">
        <v>1</v>
      </c>
      <c r="D525" s="5">
        <v>24.99</v>
      </c>
      <c r="E525" s="3" t="s">
        <v>11093</v>
      </c>
      <c r="F525" s="2" t="s">
        <v>26</v>
      </c>
      <c r="G525" s="6" t="s">
        <v>181</v>
      </c>
      <c r="H525" s="2" t="s">
        <v>1522</v>
      </c>
      <c r="I525" s="2" t="s">
        <v>1469</v>
      </c>
      <c r="J525" s="2" t="s">
        <v>19</v>
      </c>
      <c r="K525" s="2" t="s">
        <v>353</v>
      </c>
      <c r="L525" s="7" t="str">
        <f>HYPERLINK("http://slimages.macys.com/is/image/MCY/13683315 ")</f>
        <v xml:space="preserve">http://slimages.macys.com/is/image/MCY/13683315 </v>
      </c>
    </row>
    <row r="526" spans="1:12" ht="24.75" x14ac:dyDescent="0.25">
      <c r="A526" s="4" t="s">
        <v>12298</v>
      </c>
      <c r="B526" s="2" t="s">
        <v>11092</v>
      </c>
      <c r="C526" s="3">
        <v>1</v>
      </c>
      <c r="D526" s="5">
        <v>24.99</v>
      </c>
      <c r="E526" s="3" t="s">
        <v>11093</v>
      </c>
      <c r="F526" s="2" t="s">
        <v>74</v>
      </c>
      <c r="G526" s="6" t="s">
        <v>181</v>
      </c>
      <c r="H526" s="2" t="s">
        <v>1522</v>
      </c>
      <c r="I526" s="2" t="s">
        <v>1469</v>
      </c>
      <c r="J526" s="2" t="s">
        <v>19</v>
      </c>
      <c r="K526" s="2" t="s">
        <v>353</v>
      </c>
      <c r="L526" s="7" t="str">
        <f>HYPERLINK("http://slimages.macys.com/is/image/MCY/13683315 ")</f>
        <v xml:space="preserve">http://slimages.macys.com/is/image/MCY/13683315 </v>
      </c>
    </row>
    <row r="527" spans="1:12" ht="24.75" x14ac:dyDescent="0.25">
      <c r="A527" s="4" t="s">
        <v>11091</v>
      </c>
      <c r="B527" s="2" t="s">
        <v>11092</v>
      </c>
      <c r="C527" s="3">
        <v>1</v>
      </c>
      <c r="D527" s="5">
        <v>24.99</v>
      </c>
      <c r="E527" s="3" t="s">
        <v>11093</v>
      </c>
      <c r="F527" s="2" t="s">
        <v>26</v>
      </c>
      <c r="G527" s="6" t="s">
        <v>234</v>
      </c>
      <c r="H527" s="2" t="s">
        <v>1522</v>
      </c>
      <c r="I527" s="2" t="s">
        <v>1469</v>
      </c>
      <c r="J527" s="2" t="s">
        <v>19</v>
      </c>
      <c r="K527" s="2" t="s">
        <v>353</v>
      </c>
      <c r="L527" s="7" t="str">
        <f>HYPERLINK("http://slimages.macys.com/is/image/MCY/13683315 ")</f>
        <v xml:space="preserve">http://slimages.macys.com/is/image/MCY/13683315 </v>
      </c>
    </row>
    <row r="528" spans="1:12" ht="24.75" x14ac:dyDescent="0.25">
      <c r="A528" s="4" t="s">
        <v>14205</v>
      </c>
      <c r="B528" s="2" t="s">
        <v>11074</v>
      </c>
      <c r="C528" s="3">
        <v>1</v>
      </c>
      <c r="D528" s="5">
        <v>29.63</v>
      </c>
      <c r="E528" s="3" t="s">
        <v>11075</v>
      </c>
      <c r="F528" s="2" t="s">
        <v>64</v>
      </c>
      <c r="G528" s="6" t="s">
        <v>234</v>
      </c>
      <c r="H528" s="2" t="s">
        <v>284</v>
      </c>
      <c r="I528" s="2" t="s">
        <v>285</v>
      </c>
      <c r="J528" s="2" t="s">
        <v>19</v>
      </c>
      <c r="K528" s="2" t="s">
        <v>442</v>
      </c>
      <c r="L528" s="7" t="str">
        <f>HYPERLINK("http://slimages.macys.com/is/image/MCY/10043380 ")</f>
        <v xml:space="preserve">http://slimages.macys.com/is/image/MCY/10043380 </v>
      </c>
    </row>
    <row r="529" spans="1:12" ht="24.75" x14ac:dyDescent="0.25">
      <c r="A529" s="4" t="s">
        <v>1590</v>
      </c>
      <c r="B529" s="2" t="s">
        <v>1586</v>
      </c>
      <c r="C529" s="3">
        <v>1</v>
      </c>
      <c r="D529" s="5">
        <v>21.99</v>
      </c>
      <c r="E529" s="3" t="s">
        <v>1591</v>
      </c>
      <c r="F529" s="2" t="s">
        <v>1234</v>
      </c>
      <c r="G529" s="6" t="s">
        <v>154</v>
      </c>
      <c r="H529" s="2" t="s">
        <v>1473</v>
      </c>
      <c r="I529" s="2" t="s">
        <v>1426</v>
      </c>
      <c r="J529" s="2" t="s">
        <v>19</v>
      </c>
      <c r="K529" s="2" t="s">
        <v>34</v>
      </c>
      <c r="L529" s="7" t="str">
        <f>HYPERLINK("http://slimages.macys.com/is/image/MCY/10205114 ")</f>
        <v xml:space="preserve">http://slimages.macys.com/is/image/MCY/10205114 </v>
      </c>
    </row>
    <row r="530" spans="1:12" ht="24.75" x14ac:dyDescent="0.25">
      <c r="A530" s="4" t="s">
        <v>14206</v>
      </c>
      <c r="B530" s="2" t="s">
        <v>14207</v>
      </c>
      <c r="C530" s="3">
        <v>1</v>
      </c>
      <c r="D530" s="5">
        <v>21.99</v>
      </c>
      <c r="E530" s="3" t="s">
        <v>14208</v>
      </c>
      <c r="F530" s="2" t="s">
        <v>199</v>
      </c>
      <c r="G530" s="6" t="s">
        <v>200</v>
      </c>
      <c r="H530" s="2" t="s">
        <v>1473</v>
      </c>
      <c r="I530" s="2" t="s">
        <v>1426</v>
      </c>
      <c r="J530" s="2" t="s">
        <v>19</v>
      </c>
      <c r="K530" s="2" t="s">
        <v>353</v>
      </c>
      <c r="L530" s="7" t="str">
        <f>HYPERLINK("http://slimages.macys.com/is/image/MCY/8628231 ")</f>
        <v xml:space="preserve">http://slimages.macys.com/is/image/MCY/8628231 </v>
      </c>
    </row>
    <row r="531" spans="1:12" ht="24.75" x14ac:dyDescent="0.25">
      <c r="A531" s="4" t="s">
        <v>14209</v>
      </c>
      <c r="B531" s="2" t="s">
        <v>14207</v>
      </c>
      <c r="C531" s="3">
        <v>2</v>
      </c>
      <c r="D531" s="5">
        <v>21.99</v>
      </c>
      <c r="E531" s="3" t="s">
        <v>14208</v>
      </c>
      <c r="F531" s="2" t="s">
        <v>199</v>
      </c>
      <c r="G531" s="6" t="s">
        <v>234</v>
      </c>
      <c r="H531" s="2" t="s">
        <v>1473</v>
      </c>
      <c r="I531" s="2" t="s">
        <v>1426</v>
      </c>
      <c r="J531" s="2" t="s">
        <v>19</v>
      </c>
      <c r="K531" s="2" t="s">
        <v>353</v>
      </c>
      <c r="L531" s="7" t="str">
        <f>HYPERLINK("http://slimages.macys.com/is/image/MCY/8628231 ")</f>
        <v xml:space="preserve">http://slimages.macys.com/is/image/MCY/8628231 </v>
      </c>
    </row>
    <row r="532" spans="1:12" ht="24.75" x14ac:dyDescent="0.25">
      <c r="A532" s="4" t="s">
        <v>14210</v>
      </c>
      <c r="B532" s="2" t="s">
        <v>1586</v>
      </c>
      <c r="C532" s="3">
        <v>1</v>
      </c>
      <c r="D532" s="5">
        <v>21.99</v>
      </c>
      <c r="E532" s="3" t="s">
        <v>1591</v>
      </c>
      <c r="F532" s="2" t="s">
        <v>74</v>
      </c>
      <c r="G532" s="6" t="s">
        <v>181</v>
      </c>
      <c r="H532" s="2" t="s">
        <v>1473</v>
      </c>
      <c r="I532" s="2" t="s">
        <v>1426</v>
      </c>
      <c r="J532" s="2"/>
      <c r="K532" s="2"/>
      <c r="L532" s="7" t="str">
        <f>HYPERLINK("http://slimages.macys.com/is/image/MCY/10205118 ")</f>
        <v xml:space="preserve">http://slimages.macys.com/is/image/MCY/10205118 </v>
      </c>
    </row>
    <row r="533" spans="1:12" ht="24.75" x14ac:dyDescent="0.25">
      <c r="A533" s="4" t="s">
        <v>14211</v>
      </c>
      <c r="B533" s="2" t="s">
        <v>14212</v>
      </c>
      <c r="C533" s="3">
        <v>2</v>
      </c>
      <c r="D533" s="5">
        <v>25.99</v>
      </c>
      <c r="E533" s="3" t="s">
        <v>14213</v>
      </c>
      <c r="F533" s="2" t="s">
        <v>136</v>
      </c>
      <c r="G533" s="6" t="s">
        <v>156</v>
      </c>
      <c r="H533" s="2" t="s">
        <v>1473</v>
      </c>
      <c r="I533" s="2" t="s">
        <v>1426</v>
      </c>
      <c r="J533" s="2" t="s">
        <v>19</v>
      </c>
      <c r="K533" s="2" t="s">
        <v>1431</v>
      </c>
      <c r="L533" s="7" t="str">
        <f>HYPERLINK("http://slimages.macys.com/is/image/MCY/13382762 ")</f>
        <v xml:space="preserve">http://slimages.macys.com/is/image/MCY/13382762 </v>
      </c>
    </row>
    <row r="534" spans="1:12" ht="24.75" x14ac:dyDescent="0.25">
      <c r="A534" s="4" t="s">
        <v>8262</v>
      </c>
      <c r="B534" s="2" t="s">
        <v>1529</v>
      </c>
      <c r="C534" s="3">
        <v>1</v>
      </c>
      <c r="D534" s="5">
        <v>37.130000000000003</v>
      </c>
      <c r="E534" s="3" t="s">
        <v>1530</v>
      </c>
      <c r="F534" s="2" t="s">
        <v>74</v>
      </c>
      <c r="G534" s="6" t="s">
        <v>165</v>
      </c>
      <c r="H534" s="2" t="s">
        <v>312</v>
      </c>
      <c r="I534" s="2" t="s">
        <v>195</v>
      </c>
      <c r="J534" s="2" t="s">
        <v>19</v>
      </c>
      <c r="K534" s="2" t="s">
        <v>353</v>
      </c>
      <c r="L534" s="7" t="str">
        <f>HYPERLINK("http://slimages.macys.com/is/image/MCY/11938040 ")</f>
        <v xml:space="preserve">http://slimages.macys.com/is/image/MCY/11938040 </v>
      </c>
    </row>
    <row r="535" spans="1:12" ht="24.75" x14ac:dyDescent="0.25">
      <c r="A535" s="4" t="s">
        <v>14214</v>
      </c>
      <c r="B535" s="2" t="s">
        <v>14215</v>
      </c>
      <c r="C535" s="3">
        <v>1</v>
      </c>
      <c r="D535" s="5">
        <v>25.88</v>
      </c>
      <c r="E535" s="3">
        <v>100018059</v>
      </c>
      <c r="F535" s="2" t="s">
        <v>464</v>
      </c>
      <c r="G535" s="6" t="s">
        <v>181</v>
      </c>
      <c r="H535" s="2" t="s">
        <v>194</v>
      </c>
      <c r="I535" s="2" t="s">
        <v>195</v>
      </c>
      <c r="J535" s="2" t="s">
        <v>19</v>
      </c>
      <c r="K535" s="2" t="s">
        <v>648</v>
      </c>
      <c r="L535" s="7" t="str">
        <f>HYPERLINK("http://slimages.macys.com/is/image/MCY/9795496 ")</f>
        <v xml:space="preserve">http://slimages.macys.com/is/image/MCY/9795496 </v>
      </c>
    </row>
    <row r="536" spans="1:12" ht="24.75" x14ac:dyDescent="0.25">
      <c r="A536" s="4" t="s">
        <v>14216</v>
      </c>
      <c r="B536" s="2" t="s">
        <v>11156</v>
      </c>
      <c r="C536" s="3">
        <v>1</v>
      </c>
      <c r="D536" s="5">
        <v>19.2</v>
      </c>
      <c r="E536" s="3" t="s">
        <v>14217</v>
      </c>
      <c r="F536" s="2" t="s">
        <v>53</v>
      </c>
      <c r="G536" s="6" t="s">
        <v>181</v>
      </c>
      <c r="H536" s="2" t="s">
        <v>10225</v>
      </c>
      <c r="I536" s="2" t="s">
        <v>792</v>
      </c>
      <c r="J536" s="2" t="s">
        <v>19</v>
      </c>
      <c r="K536" s="2" t="s">
        <v>14218</v>
      </c>
      <c r="L536" s="7" t="str">
        <f>HYPERLINK("http://slimages.macys.com/is/image/MCY/10886742 ")</f>
        <v xml:space="preserve">http://slimages.macys.com/is/image/MCY/10886742 </v>
      </c>
    </row>
    <row r="537" spans="1:12" ht="24.75" x14ac:dyDescent="0.25">
      <c r="A537" s="4" t="s">
        <v>14219</v>
      </c>
      <c r="B537" s="2" t="s">
        <v>2878</v>
      </c>
      <c r="C537" s="3">
        <v>1</v>
      </c>
      <c r="D537" s="5">
        <v>29.5</v>
      </c>
      <c r="E537" s="3" t="s">
        <v>2879</v>
      </c>
      <c r="F537" s="2" t="s">
        <v>26</v>
      </c>
      <c r="G537" s="6" t="s">
        <v>200</v>
      </c>
      <c r="H537" s="2" t="s">
        <v>194</v>
      </c>
      <c r="I537" s="2" t="s">
        <v>195</v>
      </c>
      <c r="J537" s="2" t="s">
        <v>19</v>
      </c>
      <c r="K537" s="2" t="s">
        <v>1108</v>
      </c>
      <c r="L537" s="7" t="str">
        <f>HYPERLINK("http://slimages.macys.com/is/image/MCY/12144113 ")</f>
        <v xml:space="preserve">http://slimages.macys.com/is/image/MCY/12144113 </v>
      </c>
    </row>
    <row r="538" spans="1:12" ht="24.75" x14ac:dyDescent="0.25">
      <c r="A538" s="4" t="s">
        <v>14220</v>
      </c>
      <c r="B538" s="2" t="s">
        <v>2878</v>
      </c>
      <c r="C538" s="3">
        <v>1</v>
      </c>
      <c r="D538" s="5">
        <v>29.63</v>
      </c>
      <c r="E538" s="3" t="s">
        <v>2879</v>
      </c>
      <c r="F538" s="2" t="s">
        <v>1584</v>
      </c>
      <c r="G538" s="6" t="s">
        <v>156</v>
      </c>
      <c r="H538" s="2" t="s">
        <v>194</v>
      </c>
      <c r="I538" s="2" t="s">
        <v>195</v>
      </c>
      <c r="J538" s="2" t="s">
        <v>19</v>
      </c>
      <c r="K538" s="2" t="s">
        <v>1108</v>
      </c>
      <c r="L538" s="7" t="str">
        <f>HYPERLINK("http://slimages.macys.com/is/image/MCY/15002965 ")</f>
        <v xml:space="preserve">http://slimages.macys.com/is/image/MCY/15002965 </v>
      </c>
    </row>
    <row r="539" spans="1:12" ht="24.75" x14ac:dyDescent="0.25">
      <c r="A539" s="4" t="s">
        <v>14221</v>
      </c>
      <c r="B539" s="2" t="s">
        <v>1478</v>
      </c>
      <c r="C539" s="3">
        <v>1</v>
      </c>
      <c r="D539" s="5">
        <v>29.99</v>
      </c>
      <c r="E539" s="3" t="s">
        <v>9694</v>
      </c>
      <c r="F539" s="2" t="s">
        <v>132</v>
      </c>
      <c r="G539" s="6" t="s">
        <v>245</v>
      </c>
      <c r="H539" s="2" t="s">
        <v>246</v>
      </c>
      <c r="I539" s="2" t="s">
        <v>3504</v>
      </c>
      <c r="J539" s="2" t="s">
        <v>19</v>
      </c>
      <c r="K539" s="2" t="s">
        <v>1480</v>
      </c>
      <c r="L539" s="7" t="str">
        <f>HYPERLINK("http://slimages.macys.com/is/image/MCY/12649314 ")</f>
        <v xml:space="preserve">http://slimages.macys.com/is/image/MCY/12649314 </v>
      </c>
    </row>
    <row r="540" spans="1:12" ht="24.75" x14ac:dyDescent="0.25">
      <c r="A540" s="4" t="s">
        <v>14222</v>
      </c>
      <c r="B540" s="2" t="s">
        <v>1667</v>
      </c>
      <c r="C540" s="3">
        <v>1</v>
      </c>
      <c r="D540" s="5">
        <v>19.989999999999998</v>
      </c>
      <c r="E540" s="3" t="s">
        <v>11102</v>
      </c>
      <c r="F540" s="2" t="s">
        <v>566</v>
      </c>
      <c r="G540" s="6" t="s">
        <v>200</v>
      </c>
      <c r="H540" s="2" t="s">
        <v>194</v>
      </c>
      <c r="I540" s="2" t="s">
        <v>195</v>
      </c>
      <c r="J540" s="2" t="s">
        <v>19</v>
      </c>
      <c r="K540" s="2" t="s">
        <v>247</v>
      </c>
      <c r="L540" s="7" t="str">
        <f>HYPERLINK("http://slimages.macys.com/is/image/MCY/13368047 ")</f>
        <v xml:space="preserve">http://slimages.macys.com/is/image/MCY/13368047 </v>
      </c>
    </row>
    <row r="541" spans="1:12" ht="24.75" x14ac:dyDescent="0.25">
      <c r="A541" s="4" t="s">
        <v>11105</v>
      </c>
      <c r="B541" s="2" t="s">
        <v>1627</v>
      </c>
      <c r="C541" s="3">
        <v>1</v>
      </c>
      <c r="D541" s="5">
        <v>25.88</v>
      </c>
      <c r="E541" s="3" t="s">
        <v>11104</v>
      </c>
      <c r="F541" s="2" t="s">
        <v>74</v>
      </c>
      <c r="G541" s="6" t="s">
        <v>156</v>
      </c>
      <c r="H541" s="2" t="s">
        <v>194</v>
      </c>
      <c r="I541" s="2" t="s">
        <v>195</v>
      </c>
      <c r="J541" s="2" t="s">
        <v>19</v>
      </c>
      <c r="K541" s="2" t="s">
        <v>1629</v>
      </c>
      <c r="L541" s="7" t="str">
        <f>HYPERLINK("http://slimages.macys.com/is/image/MCY/3276758 ")</f>
        <v xml:space="preserve">http://slimages.macys.com/is/image/MCY/3276758 </v>
      </c>
    </row>
    <row r="542" spans="1:12" ht="24.75" x14ac:dyDescent="0.25">
      <c r="A542" s="4" t="s">
        <v>11103</v>
      </c>
      <c r="B542" s="2" t="s">
        <v>1627</v>
      </c>
      <c r="C542" s="3">
        <v>1</v>
      </c>
      <c r="D542" s="5">
        <v>25.88</v>
      </c>
      <c r="E542" s="3" t="s">
        <v>11104</v>
      </c>
      <c r="F542" s="2" t="s">
        <v>74</v>
      </c>
      <c r="G542" s="6" t="s">
        <v>234</v>
      </c>
      <c r="H542" s="2" t="s">
        <v>194</v>
      </c>
      <c r="I542" s="2" t="s">
        <v>195</v>
      </c>
      <c r="J542" s="2" t="s">
        <v>19</v>
      </c>
      <c r="K542" s="2" t="s">
        <v>1629</v>
      </c>
      <c r="L542" s="7" t="str">
        <f>HYPERLINK("http://slimages.macys.com/is/image/MCY/3276758 ")</f>
        <v xml:space="preserve">http://slimages.macys.com/is/image/MCY/3276758 </v>
      </c>
    </row>
    <row r="543" spans="1:12" ht="24.75" x14ac:dyDescent="0.25">
      <c r="A543" s="4" t="s">
        <v>11106</v>
      </c>
      <c r="B543" s="2" t="s">
        <v>1627</v>
      </c>
      <c r="C543" s="3">
        <v>1</v>
      </c>
      <c r="D543" s="5">
        <v>25.88</v>
      </c>
      <c r="E543" s="3" t="s">
        <v>11104</v>
      </c>
      <c r="F543" s="2" t="s">
        <v>74</v>
      </c>
      <c r="G543" s="6" t="s">
        <v>245</v>
      </c>
      <c r="H543" s="2" t="s">
        <v>194</v>
      </c>
      <c r="I543" s="2" t="s">
        <v>195</v>
      </c>
      <c r="J543" s="2" t="s">
        <v>19</v>
      </c>
      <c r="K543" s="2" t="s">
        <v>1629</v>
      </c>
      <c r="L543" s="7" t="str">
        <f>HYPERLINK("http://slimages.macys.com/is/image/MCY/3276758 ")</f>
        <v xml:space="preserve">http://slimages.macys.com/is/image/MCY/3276758 </v>
      </c>
    </row>
    <row r="544" spans="1:12" ht="24.75" x14ac:dyDescent="0.25">
      <c r="A544" s="4" t="s">
        <v>4001</v>
      </c>
      <c r="B544" s="2" t="s">
        <v>1683</v>
      </c>
      <c r="C544" s="3">
        <v>1</v>
      </c>
      <c r="D544" s="5">
        <v>37.130000000000003</v>
      </c>
      <c r="E544" s="3" t="s">
        <v>1684</v>
      </c>
      <c r="F544" s="2" t="s">
        <v>74</v>
      </c>
      <c r="G544" s="6" t="s">
        <v>234</v>
      </c>
      <c r="H544" s="2" t="s">
        <v>194</v>
      </c>
      <c r="I544" s="2" t="s">
        <v>195</v>
      </c>
      <c r="J544" s="2" t="s">
        <v>19</v>
      </c>
      <c r="K544" s="2" t="s">
        <v>247</v>
      </c>
      <c r="L544" s="7" t="str">
        <f>HYPERLINK("http://slimages.macys.com/is/image/MCY/13121030 ")</f>
        <v xml:space="preserve">http://slimages.macys.com/is/image/MCY/13121030 </v>
      </c>
    </row>
    <row r="545" spans="1:12" ht="24.75" x14ac:dyDescent="0.25">
      <c r="A545" s="4" t="s">
        <v>14223</v>
      </c>
      <c r="B545" s="2" t="s">
        <v>12313</v>
      </c>
      <c r="C545" s="3">
        <v>1</v>
      </c>
      <c r="D545" s="5">
        <v>21.99</v>
      </c>
      <c r="E545" s="3" t="s">
        <v>12314</v>
      </c>
      <c r="F545" s="2" t="s">
        <v>26</v>
      </c>
      <c r="G545" s="6" t="s">
        <v>181</v>
      </c>
      <c r="H545" s="2" t="s">
        <v>1473</v>
      </c>
      <c r="I545" s="2" t="s">
        <v>1426</v>
      </c>
      <c r="J545" s="2" t="s">
        <v>19</v>
      </c>
      <c r="K545" s="2" t="s">
        <v>648</v>
      </c>
      <c r="L545" s="7" t="str">
        <f>HYPERLINK("http://slimages.macys.com/is/image/MCY/13634416 ")</f>
        <v xml:space="preserve">http://slimages.macys.com/is/image/MCY/13634416 </v>
      </c>
    </row>
    <row r="546" spans="1:12" ht="24.75" x14ac:dyDescent="0.25">
      <c r="A546" s="4" t="s">
        <v>14224</v>
      </c>
      <c r="B546" s="2" t="s">
        <v>12313</v>
      </c>
      <c r="C546" s="3">
        <v>1</v>
      </c>
      <c r="D546" s="5">
        <v>21.99</v>
      </c>
      <c r="E546" s="3" t="s">
        <v>12314</v>
      </c>
      <c r="F546" s="2" t="s">
        <v>26</v>
      </c>
      <c r="G546" s="6" t="s">
        <v>234</v>
      </c>
      <c r="H546" s="2" t="s">
        <v>1473</v>
      </c>
      <c r="I546" s="2" t="s">
        <v>1426</v>
      </c>
      <c r="J546" s="2" t="s">
        <v>19</v>
      </c>
      <c r="K546" s="2" t="s">
        <v>648</v>
      </c>
      <c r="L546" s="7" t="str">
        <f>HYPERLINK("http://slimages.macys.com/is/image/MCY/13634416 ")</f>
        <v xml:space="preserve">http://slimages.macys.com/is/image/MCY/13634416 </v>
      </c>
    </row>
    <row r="547" spans="1:12" ht="24.75" x14ac:dyDescent="0.25">
      <c r="A547" s="4" t="s">
        <v>12312</v>
      </c>
      <c r="B547" s="2" t="s">
        <v>12313</v>
      </c>
      <c r="C547" s="3">
        <v>1</v>
      </c>
      <c r="D547" s="5">
        <v>21.99</v>
      </c>
      <c r="E547" s="3" t="s">
        <v>12314</v>
      </c>
      <c r="F547" s="2" t="s">
        <v>26</v>
      </c>
      <c r="G547" s="6" t="s">
        <v>154</v>
      </c>
      <c r="H547" s="2" t="s">
        <v>1473</v>
      </c>
      <c r="I547" s="2" t="s">
        <v>1426</v>
      </c>
      <c r="J547" s="2" t="s">
        <v>19</v>
      </c>
      <c r="K547" s="2" t="s">
        <v>648</v>
      </c>
      <c r="L547" s="7" t="str">
        <f>HYPERLINK("http://slimages.macys.com/is/image/MCY/13634416 ")</f>
        <v xml:space="preserve">http://slimages.macys.com/is/image/MCY/13634416 </v>
      </c>
    </row>
    <row r="548" spans="1:12" ht="24.75" x14ac:dyDescent="0.25">
      <c r="A548" s="4" t="s">
        <v>14225</v>
      </c>
      <c r="B548" s="2" t="s">
        <v>1627</v>
      </c>
      <c r="C548" s="3">
        <v>1</v>
      </c>
      <c r="D548" s="5">
        <v>25.88</v>
      </c>
      <c r="E548" s="3" t="s">
        <v>7569</v>
      </c>
      <c r="F548" s="2" t="s">
        <v>15</v>
      </c>
      <c r="G548" s="6"/>
      <c r="H548" s="2" t="s">
        <v>312</v>
      </c>
      <c r="I548" s="2" t="s">
        <v>195</v>
      </c>
      <c r="J548" s="2" t="s">
        <v>19</v>
      </c>
      <c r="K548" s="2" t="s">
        <v>1629</v>
      </c>
      <c r="L548" s="7" t="str">
        <f>HYPERLINK("http://slimages.macys.com/is/image/MCY/3314148 ")</f>
        <v xml:space="preserve">http://slimages.macys.com/is/image/MCY/3314148 </v>
      </c>
    </row>
    <row r="549" spans="1:12" ht="24.75" x14ac:dyDescent="0.25">
      <c r="A549" s="4" t="s">
        <v>14226</v>
      </c>
      <c r="B549" s="2" t="s">
        <v>6003</v>
      </c>
      <c r="C549" s="3">
        <v>2</v>
      </c>
      <c r="D549" s="5">
        <v>24.37</v>
      </c>
      <c r="E549" s="3" t="s">
        <v>14227</v>
      </c>
      <c r="F549" s="2" t="s">
        <v>417</v>
      </c>
      <c r="G549" s="6"/>
      <c r="H549" s="2" t="s">
        <v>312</v>
      </c>
      <c r="I549" s="2" t="s">
        <v>580</v>
      </c>
      <c r="J549" s="2" t="s">
        <v>19</v>
      </c>
      <c r="K549" s="2" t="s">
        <v>137</v>
      </c>
      <c r="L549" s="7" t="str">
        <f>HYPERLINK("http://slimages.macys.com/is/image/MCY/9743419 ")</f>
        <v xml:space="preserve">http://slimages.macys.com/is/image/MCY/9743419 </v>
      </c>
    </row>
    <row r="550" spans="1:12" ht="24.75" x14ac:dyDescent="0.25">
      <c r="A550" s="4" t="s">
        <v>14228</v>
      </c>
      <c r="B550" s="2" t="s">
        <v>1692</v>
      </c>
      <c r="C550" s="3">
        <v>1</v>
      </c>
      <c r="D550" s="5">
        <v>24.37</v>
      </c>
      <c r="E550" s="3" t="s">
        <v>10256</v>
      </c>
      <c r="F550" s="2" t="s">
        <v>417</v>
      </c>
      <c r="G550" s="6" t="s">
        <v>234</v>
      </c>
      <c r="H550" s="2" t="s">
        <v>194</v>
      </c>
      <c r="I550" s="2" t="s">
        <v>580</v>
      </c>
      <c r="J550" s="2" t="s">
        <v>19</v>
      </c>
      <c r="K550" s="2" t="s">
        <v>137</v>
      </c>
      <c r="L550" s="7" t="str">
        <f>HYPERLINK("http://slimages.macys.com/is/image/MCY/16404085 ")</f>
        <v xml:space="preserve">http://slimages.macys.com/is/image/MCY/16404085 </v>
      </c>
    </row>
    <row r="551" spans="1:12" ht="24.75" x14ac:dyDescent="0.25">
      <c r="A551" s="4" t="s">
        <v>14229</v>
      </c>
      <c r="B551" s="2" t="s">
        <v>1712</v>
      </c>
      <c r="C551" s="3">
        <v>1</v>
      </c>
      <c r="D551" s="5">
        <v>19.98</v>
      </c>
      <c r="E551" s="3" t="s">
        <v>14230</v>
      </c>
      <c r="F551" s="2" t="s">
        <v>74</v>
      </c>
      <c r="G551" s="6" t="s">
        <v>154</v>
      </c>
      <c r="H551" s="2" t="s">
        <v>194</v>
      </c>
      <c r="I551" s="2" t="s">
        <v>195</v>
      </c>
      <c r="J551" s="2" t="s">
        <v>19</v>
      </c>
      <c r="K551" s="2" t="s">
        <v>160</v>
      </c>
      <c r="L551" s="7" t="str">
        <f>HYPERLINK("http://slimages.macys.com/is/image/MCY/12405238 ")</f>
        <v xml:space="preserve">http://slimages.macys.com/is/image/MCY/12405238 </v>
      </c>
    </row>
    <row r="552" spans="1:12" ht="24.75" x14ac:dyDescent="0.25">
      <c r="A552" s="4" t="s">
        <v>4016</v>
      </c>
      <c r="B552" s="2" t="s">
        <v>1699</v>
      </c>
      <c r="C552" s="3">
        <v>1</v>
      </c>
      <c r="D552" s="5">
        <v>19.989999999999998</v>
      </c>
      <c r="E552" s="3" t="s">
        <v>1700</v>
      </c>
      <c r="F552" s="2" t="s">
        <v>26</v>
      </c>
      <c r="G552" s="6" t="s">
        <v>154</v>
      </c>
      <c r="H552" s="2" t="s">
        <v>1473</v>
      </c>
      <c r="I552" s="2" t="s">
        <v>1426</v>
      </c>
      <c r="J552" s="2" t="s">
        <v>19</v>
      </c>
      <c r="K552" s="2" t="s">
        <v>990</v>
      </c>
      <c r="L552" s="7" t="str">
        <f>HYPERLINK("http://slimages.macys.com/is/image/MCY/11831242 ")</f>
        <v xml:space="preserve">http://slimages.macys.com/is/image/MCY/11831242 </v>
      </c>
    </row>
    <row r="553" spans="1:12" ht="24.75" x14ac:dyDescent="0.25">
      <c r="A553" s="4" t="s">
        <v>14231</v>
      </c>
      <c r="B553" s="2" t="s">
        <v>1699</v>
      </c>
      <c r="C553" s="3">
        <v>1</v>
      </c>
      <c r="D553" s="5">
        <v>19.989999999999998</v>
      </c>
      <c r="E553" s="3" t="s">
        <v>1700</v>
      </c>
      <c r="F553" s="2" t="s">
        <v>74</v>
      </c>
      <c r="G553" s="6" t="s">
        <v>181</v>
      </c>
      <c r="H553" s="2" t="s">
        <v>1473</v>
      </c>
      <c r="I553" s="2" t="s">
        <v>1426</v>
      </c>
      <c r="J553" s="2" t="s">
        <v>19</v>
      </c>
      <c r="K553" s="2" t="s">
        <v>990</v>
      </c>
      <c r="L553" s="7" t="str">
        <f>HYPERLINK("http://slimages.macys.com/is/image/MCY/11831242 ")</f>
        <v xml:space="preserve">http://slimages.macys.com/is/image/MCY/11831242 </v>
      </c>
    </row>
    <row r="554" spans="1:12" ht="24.75" x14ac:dyDescent="0.25">
      <c r="A554" s="4" t="s">
        <v>13279</v>
      </c>
      <c r="B554" s="2" t="s">
        <v>1712</v>
      </c>
      <c r="C554" s="3">
        <v>1</v>
      </c>
      <c r="D554" s="5">
        <v>19.989999999999998</v>
      </c>
      <c r="E554" s="3" t="s">
        <v>13280</v>
      </c>
      <c r="F554" s="2" t="s">
        <v>74</v>
      </c>
      <c r="G554" s="6" t="s">
        <v>245</v>
      </c>
      <c r="H554" s="2" t="s">
        <v>194</v>
      </c>
      <c r="I554" s="2" t="s">
        <v>195</v>
      </c>
      <c r="J554" s="2" t="s">
        <v>19</v>
      </c>
      <c r="K554" s="2" t="s">
        <v>160</v>
      </c>
      <c r="L554" s="7" t="str">
        <f>HYPERLINK("http://slimages.macys.com/is/image/MCY/12405238 ")</f>
        <v xml:space="preserve">http://slimages.macys.com/is/image/MCY/12405238 </v>
      </c>
    </row>
    <row r="555" spans="1:12" ht="24.75" x14ac:dyDescent="0.25">
      <c r="A555" s="4" t="s">
        <v>14232</v>
      </c>
      <c r="B555" s="2" t="s">
        <v>1705</v>
      </c>
      <c r="C555" s="3">
        <v>1</v>
      </c>
      <c r="D555" s="5">
        <v>24.99</v>
      </c>
      <c r="E555" s="3" t="s">
        <v>4023</v>
      </c>
      <c r="F555" s="2"/>
      <c r="G555" s="6" t="s">
        <v>181</v>
      </c>
      <c r="H555" s="2" t="s">
        <v>1522</v>
      </c>
      <c r="I555" s="2" t="s">
        <v>1469</v>
      </c>
      <c r="J555" s="2" t="s">
        <v>19</v>
      </c>
      <c r="K555" s="2" t="s">
        <v>648</v>
      </c>
      <c r="L555" s="7" t="str">
        <f>HYPERLINK("http://slimages.macys.com/is/image/MCY/9114999 ")</f>
        <v xml:space="preserve">http://slimages.macys.com/is/image/MCY/9114999 </v>
      </c>
    </row>
    <row r="556" spans="1:12" ht="24.75" x14ac:dyDescent="0.25">
      <c r="A556" s="4" t="s">
        <v>6015</v>
      </c>
      <c r="B556" s="2" t="s">
        <v>1712</v>
      </c>
      <c r="C556" s="3">
        <v>1</v>
      </c>
      <c r="D556" s="5">
        <v>19.989999999999998</v>
      </c>
      <c r="E556" s="3" t="s">
        <v>2905</v>
      </c>
      <c r="F556" s="2" t="s">
        <v>170</v>
      </c>
      <c r="G556" s="6" t="s">
        <v>154</v>
      </c>
      <c r="H556" s="2" t="s">
        <v>194</v>
      </c>
      <c r="I556" s="2" t="s">
        <v>195</v>
      </c>
      <c r="J556" s="2" t="s">
        <v>19</v>
      </c>
      <c r="K556" s="2" t="s">
        <v>160</v>
      </c>
      <c r="L556" s="7" t="str">
        <f>HYPERLINK("http://slimages.macys.com/is/image/MCY/13317759 ")</f>
        <v xml:space="preserve">http://slimages.macys.com/is/image/MCY/13317759 </v>
      </c>
    </row>
    <row r="557" spans="1:12" ht="24.75" x14ac:dyDescent="0.25">
      <c r="A557" s="4" t="s">
        <v>12338</v>
      </c>
      <c r="B557" s="2" t="s">
        <v>12339</v>
      </c>
      <c r="C557" s="3">
        <v>1</v>
      </c>
      <c r="D557" s="5">
        <v>21.99</v>
      </c>
      <c r="E557" s="3" t="s">
        <v>12340</v>
      </c>
      <c r="F557" s="2" t="s">
        <v>15</v>
      </c>
      <c r="G557" s="6" t="s">
        <v>154</v>
      </c>
      <c r="H557" s="2" t="s">
        <v>1473</v>
      </c>
      <c r="I557" s="2" t="s">
        <v>1426</v>
      </c>
      <c r="J557" s="2" t="s">
        <v>19</v>
      </c>
      <c r="K557" s="2" t="s">
        <v>648</v>
      </c>
      <c r="L557" s="7" t="str">
        <f>HYPERLINK("http://slimages.macys.com/is/image/MCY/13634790 ")</f>
        <v xml:space="preserve">http://slimages.macys.com/is/image/MCY/13634790 </v>
      </c>
    </row>
    <row r="558" spans="1:12" ht="24.75" x14ac:dyDescent="0.25">
      <c r="A558" s="4" t="s">
        <v>13290</v>
      </c>
      <c r="B558" s="2" t="s">
        <v>12339</v>
      </c>
      <c r="C558" s="3">
        <v>2</v>
      </c>
      <c r="D558" s="5">
        <v>21.99</v>
      </c>
      <c r="E558" s="3" t="s">
        <v>12340</v>
      </c>
      <c r="F558" s="2" t="s">
        <v>132</v>
      </c>
      <c r="G558" s="6" t="s">
        <v>200</v>
      </c>
      <c r="H558" s="2" t="s">
        <v>1473</v>
      </c>
      <c r="I558" s="2" t="s">
        <v>1426</v>
      </c>
      <c r="J558" s="2" t="s">
        <v>19</v>
      </c>
      <c r="K558" s="2" t="s">
        <v>648</v>
      </c>
      <c r="L558" s="7" t="str">
        <f>HYPERLINK("http://slimages.macys.com/is/image/MCY/13634790 ")</f>
        <v xml:space="preserve">http://slimages.macys.com/is/image/MCY/13634790 </v>
      </c>
    </row>
    <row r="559" spans="1:12" ht="24.75" x14ac:dyDescent="0.25">
      <c r="A559" s="4" t="s">
        <v>14233</v>
      </c>
      <c r="B559" s="2" t="s">
        <v>12339</v>
      </c>
      <c r="C559" s="3">
        <v>1</v>
      </c>
      <c r="D559" s="5">
        <v>21.99</v>
      </c>
      <c r="E559" s="3" t="s">
        <v>12340</v>
      </c>
      <c r="F559" s="2" t="s">
        <v>15</v>
      </c>
      <c r="G559" s="6" t="s">
        <v>234</v>
      </c>
      <c r="H559" s="2" t="s">
        <v>1473</v>
      </c>
      <c r="I559" s="2" t="s">
        <v>1426</v>
      </c>
      <c r="J559" s="2" t="s">
        <v>19</v>
      </c>
      <c r="K559" s="2" t="s">
        <v>648</v>
      </c>
      <c r="L559" s="7" t="str">
        <f>HYPERLINK("http://slimages.macys.com/is/image/MCY/13634790 ")</f>
        <v xml:space="preserve">http://slimages.macys.com/is/image/MCY/13634790 </v>
      </c>
    </row>
    <row r="560" spans="1:12" ht="24.75" x14ac:dyDescent="0.25">
      <c r="A560" s="4" t="s">
        <v>14234</v>
      </c>
      <c r="B560" s="2" t="s">
        <v>12339</v>
      </c>
      <c r="C560" s="3">
        <v>2</v>
      </c>
      <c r="D560" s="5">
        <v>21.99</v>
      </c>
      <c r="E560" s="3" t="s">
        <v>12340</v>
      </c>
      <c r="F560" s="2" t="s">
        <v>820</v>
      </c>
      <c r="G560" s="6" t="s">
        <v>154</v>
      </c>
      <c r="H560" s="2" t="s">
        <v>1473</v>
      </c>
      <c r="I560" s="2" t="s">
        <v>1426</v>
      </c>
      <c r="J560" s="2" t="s">
        <v>19</v>
      </c>
      <c r="K560" s="2" t="s">
        <v>648</v>
      </c>
      <c r="L560" s="7" t="str">
        <f>HYPERLINK("http://slimages.macys.com/is/image/MCY/13634790 ")</f>
        <v xml:space="preserve">http://slimages.macys.com/is/image/MCY/13634790 </v>
      </c>
    </row>
    <row r="561" spans="1:12" ht="24.75" x14ac:dyDescent="0.25">
      <c r="A561" s="4" t="s">
        <v>12342</v>
      </c>
      <c r="B561" s="2" t="s">
        <v>12339</v>
      </c>
      <c r="C561" s="3">
        <v>1</v>
      </c>
      <c r="D561" s="5">
        <v>21.99</v>
      </c>
      <c r="E561" s="3" t="s">
        <v>12340</v>
      </c>
      <c r="F561" s="2" t="s">
        <v>132</v>
      </c>
      <c r="G561" s="6" t="s">
        <v>181</v>
      </c>
      <c r="H561" s="2" t="s">
        <v>1473</v>
      </c>
      <c r="I561" s="2" t="s">
        <v>1426</v>
      </c>
      <c r="J561" s="2" t="s">
        <v>19</v>
      </c>
      <c r="K561" s="2" t="s">
        <v>648</v>
      </c>
      <c r="L561" s="7" t="str">
        <f>HYPERLINK("http://slimages.macys.com/is/image/MCY/13634790 ")</f>
        <v xml:space="preserve">http://slimages.macys.com/is/image/MCY/13634790 </v>
      </c>
    </row>
    <row r="562" spans="1:12" ht="24.75" x14ac:dyDescent="0.25">
      <c r="A562" s="4" t="s">
        <v>14235</v>
      </c>
      <c r="B562" s="2" t="s">
        <v>14236</v>
      </c>
      <c r="C562" s="3">
        <v>1</v>
      </c>
      <c r="D562" s="5">
        <v>26.7</v>
      </c>
      <c r="E562" s="3" t="s">
        <v>14237</v>
      </c>
      <c r="F562" s="2" t="s">
        <v>70</v>
      </c>
      <c r="G562" s="6" t="s">
        <v>181</v>
      </c>
      <c r="H562" s="2" t="s">
        <v>284</v>
      </c>
      <c r="I562" s="2" t="s">
        <v>285</v>
      </c>
      <c r="J562" s="2" t="s">
        <v>19</v>
      </c>
      <c r="K562" s="2" t="s">
        <v>160</v>
      </c>
      <c r="L562" s="7" t="str">
        <f>HYPERLINK("http://slimages.macys.com/is/image/MCY/11572030 ")</f>
        <v xml:space="preserve">http://slimages.macys.com/is/image/MCY/11572030 </v>
      </c>
    </row>
    <row r="563" spans="1:12" ht="36.75" x14ac:dyDescent="0.25">
      <c r="A563" s="4" t="s">
        <v>5091</v>
      </c>
      <c r="B563" s="2" t="s">
        <v>2911</v>
      </c>
      <c r="C563" s="3">
        <v>2</v>
      </c>
      <c r="D563" s="5">
        <v>25.88</v>
      </c>
      <c r="E563" s="3">
        <v>100015718</v>
      </c>
      <c r="F563" s="2" t="s">
        <v>48</v>
      </c>
      <c r="G563" s="6" t="s">
        <v>156</v>
      </c>
      <c r="H563" s="2" t="s">
        <v>194</v>
      </c>
      <c r="I563" s="2" t="s">
        <v>195</v>
      </c>
      <c r="J563" s="2" t="s">
        <v>19</v>
      </c>
      <c r="K563" s="2" t="s">
        <v>1696</v>
      </c>
      <c r="L563" s="7" t="str">
        <f>HYPERLINK("http://slimages.macys.com/is/image/MCY/9504848 ")</f>
        <v xml:space="preserve">http://slimages.macys.com/is/image/MCY/9504848 </v>
      </c>
    </row>
    <row r="564" spans="1:12" ht="24.75" x14ac:dyDescent="0.25">
      <c r="A564" s="4" t="s">
        <v>14238</v>
      </c>
      <c r="B564" s="2" t="s">
        <v>11139</v>
      </c>
      <c r="C564" s="3">
        <v>1</v>
      </c>
      <c r="D564" s="5">
        <v>24.99</v>
      </c>
      <c r="E564" s="3" t="s">
        <v>11140</v>
      </c>
      <c r="F564" s="2" t="s">
        <v>85</v>
      </c>
      <c r="G564" s="6" t="s">
        <v>156</v>
      </c>
      <c r="H564" s="2" t="s">
        <v>1473</v>
      </c>
      <c r="I564" s="2" t="s">
        <v>1426</v>
      </c>
      <c r="J564" s="2" t="s">
        <v>19</v>
      </c>
      <c r="K564" s="2" t="s">
        <v>247</v>
      </c>
      <c r="L564" s="7" t="str">
        <f>HYPERLINK("http://slimages.macys.com/is/image/MCY/12877902 ")</f>
        <v xml:space="preserve">http://slimages.macys.com/is/image/MCY/12877902 </v>
      </c>
    </row>
    <row r="565" spans="1:12" ht="24.75" x14ac:dyDescent="0.25">
      <c r="A565" s="4" t="s">
        <v>13299</v>
      </c>
      <c r="B565" s="2" t="s">
        <v>1692</v>
      </c>
      <c r="C565" s="3">
        <v>1</v>
      </c>
      <c r="D565" s="5">
        <v>24.37</v>
      </c>
      <c r="E565" s="3" t="s">
        <v>7589</v>
      </c>
      <c r="F565" s="2" t="s">
        <v>170</v>
      </c>
      <c r="G565" s="6" t="s">
        <v>156</v>
      </c>
      <c r="H565" s="2" t="s">
        <v>194</v>
      </c>
      <c r="I565" s="2" t="s">
        <v>580</v>
      </c>
      <c r="J565" s="2" t="s">
        <v>19</v>
      </c>
      <c r="K565" s="2" t="s">
        <v>137</v>
      </c>
      <c r="L565" s="7" t="str">
        <f>HYPERLINK("http://slimages.macys.com/is/image/MCY/16404085 ")</f>
        <v xml:space="preserve">http://slimages.macys.com/is/image/MCY/16404085 </v>
      </c>
    </row>
    <row r="566" spans="1:12" ht="24.75" x14ac:dyDescent="0.25">
      <c r="A566" s="4" t="s">
        <v>13301</v>
      </c>
      <c r="B566" s="2" t="s">
        <v>11146</v>
      </c>
      <c r="C566" s="3">
        <v>2</v>
      </c>
      <c r="D566" s="5">
        <v>69.5</v>
      </c>
      <c r="E566" s="3" t="s">
        <v>11147</v>
      </c>
      <c r="F566" s="2" t="s">
        <v>132</v>
      </c>
      <c r="G566" s="6" t="s">
        <v>446</v>
      </c>
      <c r="H566" s="2" t="s">
        <v>447</v>
      </c>
      <c r="I566" s="2" t="s">
        <v>448</v>
      </c>
      <c r="J566" s="2" t="s">
        <v>19</v>
      </c>
      <c r="K566" s="2" t="s">
        <v>160</v>
      </c>
      <c r="L566" s="7" t="str">
        <f>HYPERLINK("http://slimages.macys.com/is/image/MCY/12650510 ")</f>
        <v xml:space="preserve">http://slimages.macys.com/is/image/MCY/12650510 </v>
      </c>
    </row>
    <row r="567" spans="1:12" ht="24.75" x14ac:dyDescent="0.25">
      <c r="A567" s="4" t="s">
        <v>14239</v>
      </c>
      <c r="B567" s="2" t="s">
        <v>9157</v>
      </c>
      <c r="C567" s="3">
        <v>1</v>
      </c>
      <c r="D567" s="5">
        <v>24.99</v>
      </c>
      <c r="E567" s="3" t="s">
        <v>9158</v>
      </c>
      <c r="F567" s="2"/>
      <c r="G567" s="6" t="s">
        <v>234</v>
      </c>
      <c r="H567" s="2" t="s">
        <v>1473</v>
      </c>
      <c r="I567" s="2" t="s">
        <v>1426</v>
      </c>
      <c r="J567" s="2" t="s">
        <v>19</v>
      </c>
      <c r="K567" s="2" t="s">
        <v>648</v>
      </c>
      <c r="L567" s="7" t="str">
        <f>HYPERLINK("http://slimages.macys.com/is/image/MCY/13398360 ")</f>
        <v xml:space="preserve">http://slimages.macys.com/is/image/MCY/13398360 </v>
      </c>
    </row>
    <row r="568" spans="1:12" ht="24.75" x14ac:dyDescent="0.25">
      <c r="A568" s="4" t="s">
        <v>13302</v>
      </c>
      <c r="B568" s="2" t="s">
        <v>13303</v>
      </c>
      <c r="C568" s="3">
        <v>1</v>
      </c>
      <c r="D568" s="5">
        <v>19.989999999999998</v>
      </c>
      <c r="E568" s="3" t="s">
        <v>13304</v>
      </c>
      <c r="F568" s="2"/>
      <c r="G568" s="6" t="s">
        <v>234</v>
      </c>
      <c r="H568" s="2" t="s">
        <v>1473</v>
      </c>
      <c r="I568" s="2" t="s">
        <v>1426</v>
      </c>
      <c r="J568" s="2" t="s">
        <v>19</v>
      </c>
      <c r="K568" s="2" t="s">
        <v>11066</v>
      </c>
      <c r="L568" s="7" t="str">
        <f>HYPERLINK("http://slimages.macys.com/is/image/MCY/13382900 ")</f>
        <v xml:space="preserve">http://slimages.macys.com/is/image/MCY/13382900 </v>
      </c>
    </row>
    <row r="569" spans="1:12" ht="24.75" x14ac:dyDescent="0.25">
      <c r="A569" s="4" t="s">
        <v>14240</v>
      </c>
      <c r="B569" s="2" t="s">
        <v>13303</v>
      </c>
      <c r="C569" s="3">
        <v>1</v>
      </c>
      <c r="D569" s="5">
        <v>19.989999999999998</v>
      </c>
      <c r="E569" s="3" t="s">
        <v>13304</v>
      </c>
      <c r="F569" s="2"/>
      <c r="G569" s="6" t="s">
        <v>245</v>
      </c>
      <c r="H569" s="2" t="s">
        <v>1473</v>
      </c>
      <c r="I569" s="2" t="s">
        <v>1426</v>
      </c>
      <c r="J569" s="2" t="s">
        <v>19</v>
      </c>
      <c r="K569" s="2" t="s">
        <v>11066</v>
      </c>
      <c r="L569" s="7" t="str">
        <f>HYPERLINK("http://slimages.macys.com/is/image/MCY/13382900 ")</f>
        <v xml:space="preserve">http://slimages.macys.com/is/image/MCY/13382900 </v>
      </c>
    </row>
    <row r="570" spans="1:12" ht="24.75" x14ac:dyDescent="0.25">
      <c r="A570" s="4" t="s">
        <v>6018</v>
      </c>
      <c r="B570" s="2" t="s">
        <v>1724</v>
      </c>
      <c r="C570" s="3">
        <v>1</v>
      </c>
      <c r="D570" s="5">
        <v>34.880000000000003</v>
      </c>
      <c r="E570" s="3">
        <v>100018041</v>
      </c>
      <c r="F570" s="2" t="s">
        <v>680</v>
      </c>
      <c r="G570" s="6" t="s">
        <v>22</v>
      </c>
      <c r="H570" s="2" t="s">
        <v>194</v>
      </c>
      <c r="I570" s="2" t="s">
        <v>195</v>
      </c>
      <c r="J570" s="2" t="s">
        <v>19</v>
      </c>
      <c r="K570" s="2" t="s">
        <v>353</v>
      </c>
      <c r="L570" s="7" t="str">
        <f>HYPERLINK("http://slimages.macys.com/is/image/MCY/12950342 ")</f>
        <v xml:space="preserve">http://slimages.macys.com/is/image/MCY/12950342 </v>
      </c>
    </row>
    <row r="571" spans="1:12" ht="24.75" x14ac:dyDescent="0.25">
      <c r="A571" s="4" t="s">
        <v>14241</v>
      </c>
      <c r="B571" s="2" t="s">
        <v>1729</v>
      </c>
      <c r="C571" s="3">
        <v>1</v>
      </c>
      <c r="D571" s="5">
        <v>37.130000000000003</v>
      </c>
      <c r="E571" s="3" t="s">
        <v>1730</v>
      </c>
      <c r="F571" s="2" t="s">
        <v>331</v>
      </c>
      <c r="G571" s="6" t="s">
        <v>234</v>
      </c>
      <c r="H571" s="2" t="s">
        <v>246</v>
      </c>
      <c r="I571" s="2" t="s">
        <v>189</v>
      </c>
      <c r="J571" s="2" t="s">
        <v>19</v>
      </c>
      <c r="K571" s="2" t="s">
        <v>990</v>
      </c>
      <c r="L571" s="7" t="str">
        <f>HYPERLINK("http://slimages.macys.com/is/image/MCY/11996044 ")</f>
        <v xml:space="preserve">http://slimages.macys.com/is/image/MCY/11996044 </v>
      </c>
    </row>
    <row r="572" spans="1:12" ht="24.75" x14ac:dyDescent="0.25">
      <c r="A572" s="4" t="s">
        <v>14242</v>
      </c>
      <c r="B572" s="2" t="s">
        <v>4037</v>
      </c>
      <c r="C572" s="3">
        <v>1</v>
      </c>
      <c r="D572" s="5">
        <v>26.7</v>
      </c>
      <c r="E572" s="3" t="s">
        <v>14243</v>
      </c>
      <c r="F572" s="2" t="s">
        <v>70</v>
      </c>
      <c r="G572" s="6" t="s">
        <v>187</v>
      </c>
      <c r="H572" s="2" t="s">
        <v>632</v>
      </c>
      <c r="I572" s="2" t="s">
        <v>285</v>
      </c>
      <c r="J572" s="2" t="s">
        <v>19</v>
      </c>
      <c r="K572" s="2" t="s">
        <v>160</v>
      </c>
      <c r="L572" s="7" t="str">
        <f>HYPERLINK("http://slimages.macys.com/is/image/MCY/12280926 ")</f>
        <v xml:space="preserve">http://slimages.macys.com/is/image/MCY/12280926 </v>
      </c>
    </row>
    <row r="573" spans="1:12" ht="24.75" x14ac:dyDescent="0.25">
      <c r="A573" s="4" t="s">
        <v>14244</v>
      </c>
      <c r="B573" s="2" t="s">
        <v>4046</v>
      </c>
      <c r="C573" s="3">
        <v>1</v>
      </c>
      <c r="D573" s="5">
        <v>19.989999999999998</v>
      </c>
      <c r="E573" s="3" t="s">
        <v>4047</v>
      </c>
      <c r="F573" s="2" t="s">
        <v>15</v>
      </c>
      <c r="G573" s="6" t="s">
        <v>181</v>
      </c>
      <c r="H573" s="2" t="s">
        <v>1473</v>
      </c>
      <c r="I573" s="2" t="s">
        <v>1426</v>
      </c>
      <c r="J573" s="2" t="s">
        <v>19</v>
      </c>
      <c r="K573" s="2" t="s">
        <v>495</v>
      </c>
      <c r="L573" s="7" t="str">
        <f>HYPERLINK("http://slimages.macys.com/is/image/MCY/12773814 ")</f>
        <v xml:space="preserve">http://slimages.macys.com/is/image/MCY/12773814 </v>
      </c>
    </row>
    <row r="574" spans="1:12" ht="24.75" x14ac:dyDescent="0.25">
      <c r="A574" s="4" t="s">
        <v>14245</v>
      </c>
      <c r="B574" s="2" t="s">
        <v>9163</v>
      </c>
      <c r="C574" s="3">
        <v>1</v>
      </c>
      <c r="D574" s="5">
        <v>19.989999999999998</v>
      </c>
      <c r="E574" s="3" t="s">
        <v>9164</v>
      </c>
      <c r="F574" s="2"/>
      <c r="G574" s="6" t="s">
        <v>181</v>
      </c>
      <c r="H574" s="2" t="s">
        <v>1473</v>
      </c>
      <c r="I574" s="2" t="s">
        <v>1426</v>
      </c>
      <c r="J574" s="2" t="s">
        <v>19</v>
      </c>
      <c r="K574" s="2" t="s">
        <v>338</v>
      </c>
      <c r="L574" s="7" t="str">
        <f>HYPERLINK("http://slimages.macys.com/is/image/MCY/12774531 ")</f>
        <v xml:space="preserve">http://slimages.macys.com/is/image/MCY/12774531 </v>
      </c>
    </row>
    <row r="575" spans="1:12" ht="24.75" x14ac:dyDescent="0.25">
      <c r="A575" s="4" t="s">
        <v>14246</v>
      </c>
      <c r="B575" s="2" t="s">
        <v>1724</v>
      </c>
      <c r="C575" s="3">
        <v>1</v>
      </c>
      <c r="D575" s="5">
        <v>34.880000000000003</v>
      </c>
      <c r="E575" s="3" t="s">
        <v>2925</v>
      </c>
      <c r="F575" s="2" t="s">
        <v>566</v>
      </c>
      <c r="G575" s="6" t="s">
        <v>802</v>
      </c>
      <c r="H575" s="2" t="s">
        <v>312</v>
      </c>
      <c r="I575" s="2" t="s">
        <v>195</v>
      </c>
      <c r="J575" s="2" t="s">
        <v>19</v>
      </c>
      <c r="K575" s="2" t="s">
        <v>353</v>
      </c>
      <c r="L575" s="7" t="str">
        <f>HYPERLINK("http://slimages.macys.com/is/image/MCY/9714189 ")</f>
        <v xml:space="preserve">http://slimages.macys.com/is/image/MCY/9714189 </v>
      </c>
    </row>
    <row r="576" spans="1:12" ht="24.75" x14ac:dyDescent="0.25">
      <c r="A576" s="4" t="s">
        <v>14247</v>
      </c>
      <c r="B576" s="2" t="s">
        <v>1632</v>
      </c>
      <c r="C576" s="3">
        <v>3</v>
      </c>
      <c r="D576" s="5">
        <v>19.989999999999998</v>
      </c>
      <c r="E576" s="3">
        <v>91211</v>
      </c>
      <c r="F576" s="2" t="s">
        <v>48</v>
      </c>
      <c r="G576" s="6" t="s">
        <v>154</v>
      </c>
      <c r="H576" s="2" t="s">
        <v>1473</v>
      </c>
      <c r="I576" s="2" t="s">
        <v>1426</v>
      </c>
      <c r="J576" s="2" t="s">
        <v>19</v>
      </c>
      <c r="K576" s="2" t="s">
        <v>1431</v>
      </c>
      <c r="L576" s="7" t="str">
        <f>HYPERLINK("http://slimages.macys.com/is/image/MCY/9633184 ")</f>
        <v xml:space="preserve">http://slimages.macys.com/is/image/MCY/9633184 </v>
      </c>
    </row>
    <row r="577" spans="1:12" ht="24.75" x14ac:dyDescent="0.25">
      <c r="A577" s="4" t="s">
        <v>14248</v>
      </c>
      <c r="B577" s="2" t="s">
        <v>1632</v>
      </c>
      <c r="C577" s="3">
        <v>1</v>
      </c>
      <c r="D577" s="5">
        <v>19.989999999999998</v>
      </c>
      <c r="E577" s="3">
        <v>91211</v>
      </c>
      <c r="F577" s="2" t="s">
        <v>48</v>
      </c>
      <c r="G577" s="6" t="s">
        <v>200</v>
      </c>
      <c r="H577" s="2" t="s">
        <v>1473</v>
      </c>
      <c r="I577" s="2" t="s">
        <v>1426</v>
      </c>
      <c r="J577" s="2" t="s">
        <v>19</v>
      </c>
      <c r="K577" s="2" t="s">
        <v>1431</v>
      </c>
      <c r="L577" s="7" t="str">
        <f>HYPERLINK("http://slimages.macys.com/is/image/MCY/9633184 ")</f>
        <v xml:space="preserve">http://slimages.macys.com/is/image/MCY/9633184 </v>
      </c>
    </row>
    <row r="578" spans="1:12" ht="24.75" x14ac:dyDescent="0.25">
      <c r="A578" s="4" t="s">
        <v>6775</v>
      </c>
      <c r="B578" s="2" t="s">
        <v>1738</v>
      </c>
      <c r="C578" s="3">
        <v>1</v>
      </c>
      <c r="D578" s="5">
        <v>29.63</v>
      </c>
      <c r="E578" s="3" t="s">
        <v>1739</v>
      </c>
      <c r="F578" s="2" t="s">
        <v>26</v>
      </c>
      <c r="G578" s="6" t="s">
        <v>200</v>
      </c>
      <c r="H578" s="2" t="s">
        <v>194</v>
      </c>
      <c r="I578" s="2" t="s">
        <v>195</v>
      </c>
      <c r="J578" s="2" t="s">
        <v>19</v>
      </c>
      <c r="K578" s="2" t="s">
        <v>1108</v>
      </c>
      <c r="L578" s="7" t="str">
        <f>HYPERLINK("http://slimages.macys.com/is/image/MCY/12064042 ")</f>
        <v xml:space="preserve">http://slimages.macys.com/is/image/MCY/12064042 </v>
      </c>
    </row>
    <row r="579" spans="1:12" ht="24.75" x14ac:dyDescent="0.25">
      <c r="A579" s="4" t="s">
        <v>14249</v>
      </c>
      <c r="B579" s="2" t="s">
        <v>11159</v>
      </c>
      <c r="C579" s="3">
        <v>1</v>
      </c>
      <c r="D579" s="5">
        <v>21.99</v>
      </c>
      <c r="E579" s="3" t="s">
        <v>11160</v>
      </c>
      <c r="F579" s="2" t="s">
        <v>70</v>
      </c>
      <c r="G579" s="6" t="s">
        <v>234</v>
      </c>
      <c r="H579" s="2" t="s">
        <v>1473</v>
      </c>
      <c r="I579" s="2" t="s">
        <v>1426</v>
      </c>
      <c r="J579" s="2" t="s">
        <v>19</v>
      </c>
      <c r="K579" s="2" t="s">
        <v>2302</v>
      </c>
      <c r="L579" s="7" t="str">
        <f>HYPERLINK("http://slimages.macys.com/is/image/MCY/14518509 ")</f>
        <v xml:space="preserve">http://slimages.macys.com/is/image/MCY/14518509 </v>
      </c>
    </row>
    <row r="580" spans="1:12" ht="24.75" x14ac:dyDescent="0.25">
      <c r="A580" s="4" t="s">
        <v>4052</v>
      </c>
      <c r="B580" s="2" t="s">
        <v>2936</v>
      </c>
      <c r="C580" s="3">
        <v>1</v>
      </c>
      <c r="D580" s="5">
        <v>20.99</v>
      </c>
      <c r="E580" s="3" t="s">
        <v>2937</v>
      </c>
      <c r="F580" s="2" t="s">
        <v>64</v>
      </c>
      <c r="G580" s="6" t="s">
        <v>156</v>
      </c>
      <c r="H580" s="2" t="s">
        <v>1473</v>
      </c>
      <c r="I580" s="2" t="s">
        <v>1864</v>
      </c>
      <c r="J580" s="2" t="s">
        <v>19</v>
      </c>
      <c r="K580" s="2" t="s">
        <v>107</v>
      </c>
      <c r="L580" s="7" t="str">
        <f>HYPERLINK("http://slimages.macys.com/is/image/MCY/12266786 ")</f>
        <v xml:space="preserve">http://slimages.macys.com/is/image/MCY/12266786 </v>
      </c>
    </row>
    <row r="581" spans="1:12" ht="24.75" x14ac:dyDescent="0.25">
      <c r="A581" s="4" t="s">
        <v>12374</v>
      </c>
      <c r="B581" s="2" t="s">
        <v>1753</v>
      </c>
      <c r="C581" s="3">
        <v>1</v>
      </c>
      <c r="D581" s="5">
        <v>29.63</v>
      </c>
      <c r="E581" s="3" t="s">
        <v>1754</v>
      </c>
      <c r="F581" s="2" t="s">
        <v>1322</v>
      </c>
      <c r="G581" s="6" t="s">
        <v>234</v>
      </c>
      <c r="H581" s="2" t="s">
        <v>194</v>
      </c>
      <c r="I581" s="2" t="s">
        <v>195</v>
      </c>
      <c r="J581" s="2" t="s">
        <v>19</v>
      </c>
      <c r="K581" s="2" t="s">
        <v>247</v>
      </c>
      <c r="L581" s="7" t="str">
        <f>HYPERLINK("http://slimages.macys.com/is/image/MCY/15522864 ")</f>
        <v xml:space="preserve">http://slimages.macys.com/is/image/MCY/15522864 </v>
      </c>
    </row>
    <row r="582" spans="1:12" ht="24.75" x14ac:dyDescent="0.25">
      <c r="A582" s="4" t="s">
        <v>14250</v>
      </c>
      <c r="B582" s="2" t="s">
        <v>14251</v>
      </c>
      <c r="C582" s="3">
        <v>1</v>
      </c>
      <c r="D582" s="5">
        <v>31.88</v>
      </c>
      <c r="E582" s="3" t="s">
        <v>14252</v>
      </c>
      <c r="F582" s="2" t="s">
        <v>417</v>
      </c>
      <c r="G582" s="6" t="s">
        <v>794</v>
      </c>
      <c r="H582" s="2" t="s">
        <v>632</v>
      </c>
      <c r="I582" s="2" t="s">
        <v>285</v>
      </c>
      <c r="J582" s="2" t="s">
        <v>19</v>
      </c>
      <c r="K582" s="2" t="s">
        <v>409</v>
      </c>
      <c r="L582" s="7" t="str">
        <f>HYPERLINK("http://slimages.macys.com/is/image/MCY/8754715 ")</f>
        <v xml:space="preserve">http://slimages.macys.com/is/image/MCY/8754715 </v>
      </c>
    </row>
    <row r="583" spans="1:12" ht="24.75" x14ac:dyDescent="0.25">
      <c r="A583" s="4" t="s">
        <v>14253</v>
      </c>
      <c r="B583" s="2" t="s">
        <v>14254</v>
      </c>
      <c r="C583" s="3">
        <v>1</v>
      </c>
      <c r="D583" s="5">
        <v>21.99</v>
      </c>
      <c r="E583" s="3" t="s">
        <v>14255</v>
      </c>
      <c r="F583" s="2" t="s">
        <v>74</v>
      </c>
      <c r="G583" s="6" t="s">
        <v>219</v>
      </c>
      <c r="H583" s="2" t="s">
        <v>1425</v>
      </c>
      <c r="I583" s="2" t="s">
        <v>1426</v>
      </c>
      <c r="J583" s="2" t="s">
        <v>19</v>
      </c>
      <c r="K583" s="2" t="s">
        <v>495</v>
      </c>
      <c r="L583" s="7" t="str">
        <f>HYPERLINK("http://slimages.macys.com/is/image/MCY/13303651 ")</f>
        <v xml:space="preserve">http://slimages.macys.com/is/image/MCY/13303651 </v>
      </c>
    </row>
    <row r="584" spans="1:12" ht="24.75" x14ac:dyDescent="0.25">
      <c r="A584" s="4" t="s">
        <v>2945</v>
      </c>
      <c r="B584" s="2" t="s">
        <v>1747</v>
      </c>
      <c r="C584" s="3">
        <v>1</v>
      </c>
      <c r="D584" s="5">
        <v>17.989999999999998</v>
      </c>
      <c r="E584" s="3" t="s">
        <v>1748</v>
      </c>
      <c r="F584" s="2" t="s">
        <v>70</v>
      </c>
      <c r="G584" s="6" t="s">
        <v>22</v>
      </c>
      <c r="H584" s="2" t="s">
        <v>1473</v>
      </c>
      <c r="I584" s="2" t="s">
        <v>1426</v>
      </c>
      <c r="J584" s="2" t="s">
        <v>19</v>
      </c>
      <c r="K584" s="2" t="s">
        <v>353</v>
      </c>
      <c r="L584" s="7" t="str">
        <f>HYPERLINK("http://slimages.macys.com/is/image/MCY/12776597 ")</f>
        <v xml:space="preserve">http://slimages.macys.com/is/image/MCY/12776597 </v>
      </c>
    </row>
    <row r="585" spans="1:12" ht="24.75" x14ac:dyDescent="0.25">
      <c r="A585" s="4" t="s">
        <v>14256</v>
      </c>
      <c r="B585" s="2" t="s">
        <v>14254</v>
      </c>
      <c r="C585" s="3">
        <v>1</v>
      </c>
      <c r="D585" s="5">
        <v>21.99</v>
      </c>
      <c r="E585" s="3" t="s">
        <v>14255</v>
      </c>
      <c r="F585" s="2" t="s">
        <v>15</v>
      </c>
      <c r="G585" s="6"/>
      <c r="H585" s="2" t="s">
        <v>1425</v>
      </c>
      <c r="I585" s="2" t="s">
        <v>1426</v>
      </c>
      <c r="J585" s="2" t="s">
        <v>19</v>
      </c>
      <c r="K585" s="2" t="s">
        <v>495</v>
      </c>
      <c r="L585" s="7" t="str">
        <f>HYPERLINK("http://slimages.macys.com/is/image/MCY/13303651 ")</f>
        <v xml:space="preserve">http://slimages.macys.com/is/image/MCY/13303651 </v>
      </c>
    </row>
    <row r="586" spans="1:12" ht="24.75" x14ac:dyDescent="0.25">
      <c r="A586" s="4" t="s">
        <v>12379</v>
      </c>
      <c r="B586" s="2" t="s">
        <v>11180</v>
      </c>
      <c r="C586" s="3">
        <v>1</v>
      </c>
      <c r="D586" s="5">
        <v>29.6</v>
      </c>
      <c r="E586" s="3">
        <v>100015577</v>
      </c>
      <c r="F586" s="2" t="s">
        <v>1788</v>
      </c>
      <c r="G586" s="6" t="s">
        <v>181</v>
      </c>
      <c r="H586" s="2" t="s">
        <v>194</v>
      </c>
      <c r="I586" s="2" t="s">
        <v>195</v>
      </c>
      <c r="J586" s="2" t="s">
        <v>19</v>
      </c>
      <c r="K586" s="2" t="s">
        <v>247</v>
      </c>
      <c r="L586" s="7" t="str">
        <f>HYPERLINK("http://slimages.macys.com/is/image/MCY/13906294 ")</f>
        <v xml:space="preserve">http://slimages.macys.com/is/image/MCY/13906294 </v>
      </c>
    </row>
    <row r="587" spans="1:12" ht="24.75" x14ac:dyDescent="0.25">
      <c r="A587" s="4" t="s">
        <v>14257</v>
      </c>
      <c r="B587" s="2" t="s">
        <v>9754</v>
      </c>
      <c r="C587" s="3">
        <v>1</v>
      </c>
      <c r="D587" s="5">
        <v>22.13</v>
      </c>
      <c r="E587" s="3" t="s">
        <v>12386</v>
      </c>
      <c r="F587" s="2" t="s">
        <v>33</v>
      </c>
      <c r="G587" s="6" t="s">
        <v>200</v>
      </c>
      <c r="H587" s="2" t="s">
        <v>194</v>
      </c>
      <c r="I587" s="2" t="s">
        <v>580</v>
      </c>
      <c r="J587" s="2" t="s">
        <v>19</v>
      </c>
      <c r="K587" s="2" t="s">
        <v>1758</v>
      </c>
      <c r="L587" s="7" t="str">
        <f>HYPERLINK("http://slimages.macys.com/is/image/MCY/12794139 ")</f>
        <v xml:space="preserve">http://slimages.macys.com/is/image/MCY/12794139 </v>
      </c>
    </row>
    <row r="588" spans="1:12" ht="24.75" x14ac:dyDescent="0.25">
      <c r="A588" s="4" t="s">
        <v>14258</v>
      </c>
      <c r="B588" s="2" t="s">
        <v>9183</v>
      </c>
      <c r="C588" s="3">
        <v>1</v>
      </c>
      <c r="D588" s="5">
        <v>22.13</v>
      </c>
      <c r="E588" s="3" t="s">
        <v>11194</v>
      </c>
      <c r="F588" s="2" t="s">
        <v>998</v>
      </c>
      <c r="G588" s="6" t="s">
        <v>154</v>
      </c>
      <c r="H588" s="2" t="s">
        <v>194</v>
      </c>
      <c r="I588" s="2" t="s">
        <v>1766</v>
      </c>
      <c r="J588" s="2" t="s">
        <v>19</v>
      </c>
      <c r="K588" s="2" t="s">
        <v>1082</v>
      </c>
      <c r="L588" s="7" t="str">
        <f>HYPERLINK("http://slimages.macys.com/is/image/MCY/12794126 ")</f>
        <v xml:space="preserve">http://slimages.macys.com/is/image/MCY/12794126 </v>
      </c>
    </row>
    <row r="589" spans="1:12" ht="24.75" x14ac:dyDescent="0.25">
      <c r="A589" s="4" t="s">
        <v>14259</v>
      </c>
      <c r="B589" s="2" t="s">
        <v>9183</v>
      </c>
      <c r="C589" s="3">
        <v>1</v>
      </c>
      <c r="D589" s="5">
        <v>22.13</v>
      </c>
      <c r="E589" s="3" t="s">
        <v>14260</v>
      </c>
      <c r="F589" s="2" t="s">
        <v>417</v>
      </c>
      <c r="G589" s="6" t="s">
        <v>245</v>
      </c>
      <c r="H589" s="2" t="s">
        <v>194</v>
      </c>
      <c r="I589" s="2" t="s">
        <v>580</v>
      </c>
      <c r="J589" s="2" t="s">
        <v>19</v>
      </c>
      <c r="K589" s="2" t="s">
        <v>1758</v>
      </c>
      <c r="L589" s="7" t="str">
        <f>HYPERLINK("http://slimages.macys.com/is/image/MCY/12734413 ")</f>
        <v xml:space="preserve">http://slimages.macys.com/is/image/MCY/12734413 </v>
      </c>
    </row>
    <row r="590" spans="1:12" ht="24.75" x14ac:dyDescent="0.25">
      <c r="A590" s="4" t="s">
        <v>14261</v>
      </c>
      <c r="B590" s="2" t="s">
        <v>9754</v>
      </c>
      <c r="C590" s="3">
        <v>1</v>
      </c>
      <c r="D590" s="5">
        <v>22.13</v>
      </c>
      <c r="E590" s="3" t="s">
        <v>12386</v>
      </c>
      <c r="F590" s="2" t="s">
        <v>33</v>
      </c>
      <c r="G590" s="6" t="s">
        <v>181</v>
      </c>
      <c r="H590" s="2" t="s">
        <v>194</v>
      </c>
      <c r="I590" s="2" t="s">
        <v>580</v>
      </c>
      <c r="J590" s="2" t="s">
        <v>19</v>
      </c>
      <c r="K590" s="2" t="s">
        <v>1758</v>
      </c>
      <c r="L590" s="7" t="str">
        <f>HYPERLINK("http://slimages.macys.com/is/image/MCY/12794139 ")</f>
        <v xml:space="preserve">http://slimages.macys.com/is/image/MCY/12794139 </v>
      </c>
    </row>
    <row r="591" spans="1:12" ht="24.75" x14ac:dyDescent="0.25">
      <c r="A591" s="4" t="s">
        <v>14262</v>
      </c>
      <c r="B591" s="2" t="s">
        <v>4079</v>
      </c>
      <c r="C591" s="3">
        <v>1</v>
      </c>
      <c r="D591" s="5">
        <v>22.13</v>
      </c>
      <c r="E591" s="3" t="s">
        <v>6066</v>
      </c>
      <c r="F591" s="2" t="s">
        <v>887</v>
      </c>
      <c r="G591" s="6" t="s">
        <v>245</v>
      </c>
      <c r="H591" s="2" t="s">
        <v>194</v>
      </c>
      <c r="I591" s="2" t="s">
        <v>1766</v>
      </c>
      <c r="J591" s="2" t="s">
        <v>19</v>
      </c>
      <c r="K591" s="2" t="s">
        <v>1758</v>
      </c>
      <c r="L591" s="7" t="str">
        <f>HYPERLINK("http://slimages.macys.com/is/image/MCY/11466752 ")</f>
        <v xml:space="preserve">http://slimages.macys.com/is/image/MCY/11466752 </v>
      </c>
    </row>
    <row r="592" spans="1:12" ht="24.75" x14ac:dyDescent="0.25">
      <c r="A592" s="4" t="s">
        <v>14263</v>
      </c>
      <c r="B592" s="2" t="s">
        <v>4076</v>
      </c>
      <c r="C592" s="3">
        <v>1</v>
      </c>
      <c r="D592" s="5">
        <v>22.13</v>
      </c>
      <c r="E592" s="3" t="s">
        <v>14264</v>
      </c>
      <c r="F592" s="2" t="s">
        <v>26</v>
      </c>
      <c r="G592" s="6" t="s">
        <v>181</v>
      </c>
      <c r="H592" s="2" t="s">
        <v>194</v>
      </c>
      <c r="I592" s="2" t="s">
        <v>580</v>
      </c>
      <c r="J592" s="2" t="s">
        <v>19</v>
      </c>
      <c r="K592" s="2" t="s">
        <v>1082</v>
      </c>
      <c r="L592" s="7" t="str">
        <f>HYPERLINK("http://slimages.macys.com/is/image/MCY/12794160 ")</f>
        <v xml:space="preserve">http://slimages.macys.com/is/image/MCY/12794160 </v>
      </c>
    </row>
    <row r="593" spans="1:12" ht="24.75" x14ac:dyDescent="0.25">
      <c r="A593" s="4" t="s">
        <v>14265</v>
      </c>
      <c r="B593" s="2" t="s">
        <v>9183</v>
      </c>
      <c r="C593" s="3">
        <v>1</v>
      </c>
      <c r="D593" s="5">
        <v>22.13</v>
      </c>
      <c r="E593" s="3" t="s">
        <v>11194</v>
      </c>
      <c r="F593" s="2" t="s">
        <v>998</v>
      </c>
      <c r="G593" s="6" t="s">
        <v>234</v>
      </c>
      <c r="H593" s="2" t="s">
        <v>194</v>
      </c>
      <c r="I593" s="2" t="s">
        <v>1766</v>
      </c>
      <c r="J593" s="2" t="s">
        <v>19</v>
      </c>
      <c r="K593" s="2" t="s">
        <v>1082</v>
      </c>
      <c r="L593" s="7" t="str">
        <f>HYPERLINK("http://slimages.macys.com/is/image/MCY/12794126 ")</f>
        <v xml:space="preserve">http://slimages.macys.com/is/image/MCY/12794126 </v>
      </c>
    </row>
    <row r="594" spans="1:12" ht="24.75" x14ac:dyDescent="0.25">
      <c r="A594" s="4" t="s">
        <v>8782</v>
      </c>
      <c r="B594" s="2" t="s">
        <v>1761</v>
      </c>
      <c r="C594" s="3">
        <v>1</v>
      </c>
      <c r="D594" s="5">
        <v>22.13</v>
      </c>
      <c r="E594" s="3" t="s">
        <v>1762</v>
      </c>
      <c r="F594" s="2" t="s">
        <v>15</v>
      </c>
      <c r="G594" s="6" t="s">
        <v>154</v>
      </c>
      <c r="H594" s="2" t="s">
        <v>194</v>
      </c>
      <c r="I594" s="2" t="s">
        <v>580</v>
      </c>
      <c r="J594" s="2" t="s">
        <v>19</v>
      </c>
      <c r="K594" s="2" t="s">
        <v>1082</v>
      </c>
      <c r="L594" s="7" t="str">
        <f>HYPERLINK("http://slimages.macys.com/is/image/MCY/12794096 ")</f>
        <v xml:space="preserve">http://slimages.macys.com/is/image/MCY/12794096 </v>
      </c>
    </row>
    <row r="595" spans="1:12" ht="24.75" x14ac:dyDescent="0.25">
      <c r="A595" s="4" t="s">
        <v>13328</v>
      </c>
      <c r="B595" s="2" t="s">
        <v>2967</v>
      </c>
      <c r="C595" s="3">
        <v>1</v>
      </c>
      <c r="D595" s="5">
        <v>22.13</v>
      </c>
      <c r="E595" s="3" t="s">
        <v>12390</v>
      </c>
      <c r="F595" s="2" t="s">
        <v>170</v>
      </c>
      <c r="G595" s="6" t="s">
        <v>156</v>
      </c>
      <c r="H595" s="2" t="s">
        <v>194</v>
      </c>
      <c r="I595" s="2" t="s">
        <v>580</v>
      </c>
      <c r="J595" s="2" t="s">
        <v>19</v>
      </c>
      <c r="K595" s="2" t="s">
        <v>1758</v>
      </c>
      <c r="L595" s="7" t="str">
        <f>HYPERLINK("http://slimages.macys.com/is/image/MCY/12794156 ")</f>
        <v xml:space="preserve">http://slimages.macys.com/is/image/MCY/12794156 </v>
      </c>
    </row>
    <row r="596" spans="1:12" ht="24.75" x14ac:dyDescent="0.25">
      <c r="A596" s="4" t="s">
        <v>13324</v>
      </c>
      <c r="B596" s="2" t="s">
        <v>2967</v>
      </c>
      <c r="C596" s="3">
        <v>1</v>
      </c>
      <c r="D596" s="5">
        <v>22.13</v>
      </c>
      <c r="E596" s="3" t="s">
        <v>12390</v>
      </c>
      <c r="F596" s="2" t="s">
        <v>170</v>
      </c>
      <c r="G596" s="6" t="s">
        <v>154</v>
      </c>
      <c r="H596" s="2" t="s">
        <v>194</v>
      </c>
      <c r="I596" s="2" t="s">
        <v>580</v>
      </c>
      <c r="J596" s="2" t="s">
        <v>19</v>
      </c>
      <c r="K596" s="2" t="s">
        <v>1758</v>
      </c>
      <c r="L596" s="7" t="str">
        <f>HYPERLINK("http://slimages.macys.com/is/image/MCY/12794156 ")</f>
        <v xml:space="preserve">http://slimages.macys.com/is/image/MCY/12794156 </v>
      </c>
    </row>
    <row r="597" spans="1:12" ht="24.75" x14ac:dyDescent="0.25">
      <c r="A597" s="4" t="s">
        <v>5119</v>
      </c>
      <c r="B597" s="2" t="s">
        <v>1761</v>
      </c>
      <c r="C597" s="3">
        <v>2</v>
      </c>
      <c r="D597" s="5">
        <v>22.13</v>
      </c>
      <c r="E597" s="3" t="s">
        <v>1762</v>
      </c>
      <c r="F597" s="2" t="s">
        <v>15</v>
      </c>
      <c r="G597" s="6" t="s">
        <v>156</v>
      </c>
      <c r="H597" s="2" t="s">
        <v>194</v>
      </c>
      <c r="I597" s="2" t="s">
        <v>580</v>
      </c>
      <c r="J597" s="2" t="s">
        <v>19</v>
      </c>
      <c r="K597" s="2" t="s">
        <v>1082</v>
      </c>
      <c r="L597" s="7" t="str">
        <f>HYPERLINK("http://slimages.macys.com/is/image/MCY/12794096 ")</f>
        <v xml:space="preserve">http://slimages.macys.com/is/image/MCY/12794096 </v>
      </c>
    </row>
    <row r="598" spans="1:12" ht="24.75" x14ac:dyDescent="0.25">
      <c r="A598" s="4" t="s">
        <v>8783</v>
      </c>
      <c r="B598" s="2" t="s">
        <v>4076</v>
      </c>
      <c r="C598" s="3">
        <v>1</v>
      </c>
      <c r="D598" s="5">
        <v>22.13</v>
      </c>
      <c r="E598" s="3" t="s">
        <v>4077</v>
      </c>
      <c r="F598" s="2" t="s">
        <v>887</v>
      </c>
      <c r="G598" s="6" t="s">
        <v>154</v>
      </c>
      <c r="H598" s="2" t="s">
        <v>194</v>
      </c>
      <c r="I598" s="2" t="s">
        <v>1766</v>
      </c>
      <c r="J598" s="2" t="s">
        <v>19</v>
      </c>
      <c r="K598" s="2" t="s">
        <v>1082</v>
      </c>
      <c r="L598" s="7" t="str">
        <f>HYPERLINK("http://slimages.macys.com/is/image/MCY/12950309 ")</f>
        <v xml:space="preserve">http://slimages.macys.com/is/image/MCY/12950309 </v>
      </c>
    </row>
    <row r="599" spans="1:12" ht="24.75" x14ac:dyDescent="0.25">
      <c r="A599" s="4" t="s">
        <v>14266</v>
      </c>
      <c r="B599" s="2" t="s">
        <v>11196</v>
      </c>
      <c r="C599" s="3">
        <v>1</v>
      </c>
      <c r="D599" s="5">
        <v>19.989999999999998</v>
      </c>
      <c r="E599" s="3" t="s">
        <v>11197</v>
      </c>
      <c r="F599" s="2" t="s">
        <v>74</v>
      </c>
      <c r="G599" s="6" t="s">
        <v>154</v>
      </c>
      <c r="H599" s="2" t="s">
        <v>1473</v>
      </c>
      <c r="I599" s="2" t="s">
        <v>1426</v>
      </c>
      <c r="J599" s="2" t="s">
        <v>19</v>
      </c>
      <c r="K599" s="2" t="s">
        <v>990</v>
      </c>
      <c r="L599" s="7" t="str">
        <f>HYPERLINK("http://slimages.macys.com/is/image/MCY/13303606 ")</f>
        <v xml:space="preserve">http://slimages.macys.com/is/image/MCY/13303606 </v>
      </c>
    </row>
    <row r="600" spans="1:12" ht="24.75" x14ac:dyDescent="0.25">
      <c r="A600" s="4" t="s">
        <v>14267</v>
      </c>
      <c r="B600" s="2" t="s">
        <v>11202</v>
      </c>
      <c r="C600" s="3">
        <v>1</v>
      </c>
      <c r="D600" s="5">
        <v>19.989999999999998</v>
      </c>
      <c r="E600" s="3" t="s">
        <v>11203</v>
      </c>
      <c r="F600" s="2" t="s">
        <v>53</v>
      </c>
      <c r="G600" s="6" t="s">
        <v>154</v>
      </c>
      <c r="H600" s="2" t="s">
        <v>1473</v>
      </c>
      <c r="I600" s="2" t="s">
        <v>1426</v>
      </c>
      <c r="J600" s="2" t="s">
        <v>19</v>
      </c>
      <c r="K600" s="2" t="s">
        <v>495</v>
      </c>
      <c r="L600" s="7" t="str">
        <f>HYPERLINK("http://slimages.macys.com/is/image/MCY/13633097 ")</f>
        <v xml:space="preserve">http://slimages.macys.com/is/image/MCY/13633097 </v>
      </c>
    </row>
    <row r="601" spans="1:12" ht="24.75" x14ac:dyDescent="0.25">
      <c r="A601" s="4" t="s">
        <v>14268</v>
      </c>
      <c r="B601" s="2" t="s">
        <v>3026</v>
      </c>
      <c r="C601" s="3">
        <v>1</v>
      </c>
      <c r="D601" s="5">
        <v>21.99</v>
      </c>
      <c r="E601" s="3" t="s">
        <v>14269</v>
      </c>
      <c r="F601" s="2" t="s">
        <v>64</v>
      </c>
      <c r="G601" s="6"/>
      <c r="H601" s="2" t="s">
        <v>632</v>
      </c>
      <c r="I601" s="2" t="s">
        <v>285</v>
      </c>
      <c r="J601" s="2" t="s">
        <v>19</v>
      </c>
      <c r="K601" s="2" t="s">
        <v>247</v>
      </c>
      <c r="L601" s="7" t="str">
        <f>HYPERLINK("http://slimages.macys.com/is/image/MCY/3742720 ")</f>
        <v xml:space="preserve">http://slimages.macys.com/is/image/MCY/3742720 </v>
      </c>
    </row>
    <row r="602" spans="1:12" ht="24.75" x14ac:dyDescent="0.25">
      <c r="A602" s="4" t="s">
        <v>14270</v>
      </c>
      <c r="B602" s="2" t="s">
        <v>13335</v>
      </c>
      <c r="C602" s="3">
        <v>1</v>
      </c>
      <c r="D602" s="5">
        <v>21.99</v>
      </c>
      <c r="E602" s="3" t="s">
        <v>13336</v>
      </c>
      <c r="F602" s="2" t="s">
        <v>85</v>
      </c>
      <c r="G602" s="6" t="s">
        <v>234</v>
      </c>
      <c r="H602" s="2" t="s">
        <v>1473</v>
      </c>
      <c r="I602" s="2" t="s">
        <v>1426</v>
      </c>
      <c r="J602" s="2" t="s">
        <v>19</v>
      </c>
      <c r="K602" s="2" t="s">
        <v>495</v>
      </c>
      <c r="L602" s="7" t="str">
        <f>HYPERLINK("http://slimages.macys.com/is/image/MCY/13382686 ")</f>
        <v xml:space="preserve">http://slimages.macys.com/is/image/MCY/13382686 </v>
      </c>
    </row>
    <row r="603" spans="1:12" ht="24.75" x14ac:dyDescent="0.25">
      <c r="A603" s="4" t="s">
        <v>14271</v>
      </c>
      <c r="B603" s="2" t="s">
        <v>9739</v>
      </c>
      <c r="C603" s="3">
        <v>1</v>
      </c>
      <c r="D603" s="5">
        <v>33</v>
      </c>
      <c r="E603" s="3" t="s">
        <v>9740</v>
      </c>
      <c r="F603" s="2" t="s">
        <v>1788</v>
      </c>
      <c r="G603" s="6" t="s">
        <v>446</v>
      </c>
      <c r="H603" s="2" t="s">
        <v>447</v>
      </c>
      <c r="I603" s="2" t="s">
        <v>792</v>
      </c>
      <c r="J603" s="2" t="s">
        <v>19</v>
      </c>
      <c r="K603" s="2" t="s">
        <v>442</v>
      </c>
      <c r="L603" s="7" t="str">
        <f>HYPERLINK("http://slimages.macys.com/is/image/MCY/13402061 ")</f>
        <v xml:space="preserve">http://slimages.macys.com/is/image/MCY/13402061 </v>
      </c>
    </row>
    <row r="604" spans="1:12" ht="24.75" x14ac:dyDescent="0.25">
      <c r="A604" s="4" t="s">
        <v>14272</v>
      </c>
      <c r="B604" s="2" t="s">
        <v>1783</v>
      </c>
      <c r="C604" s="3">
        <v>1</v>
      </c>
      <c r="D604" s="5">
        <v>45</v>
      </c>
      <c r="E604" s="3" t="s">
        <v>1784</v>
      </c>
      <c r="F604" s="2" t="s">
        <v>48</v>
      </c>
      <c r="G604" s="6"/>
      <c r="H604" s="2" t="s">
        <v>447</v>
      </c>
      <c r="I604" s="2" t="s">
        <v>792</v>
      </c>
      <c r="J604" s="2" t="s">
        <v>1499</v>
      </c>
      <c r="K604" s="2" t="s">
        <v>160</v>
      </c>
      <c r="L604" s="7" t="str">
        <f>HYPERLINK("http://slimages.macys.com/is/image/MCY/13286075 ")</f>
        <v xml:space="preserve">http://slimages.macys.com/is/image/MCY/13286075 </v>
      </c>
    </row>
    <row r="605" spans="1:12" ht="24.75" x14ac:dyDescent="0.25">
      <c r="A605" s="4" t="s">
        <v>14273</v>
      </c>
      <c r="B605" s="2" t="s">
        <v>1796</v>
      </c>
      <c r="C605" s="3">
        <v>1</v>
      </c>
      <c r="D605" s="5">
        <v>33</v>
      </c>
      <c r="E605" s="3" t="s">
        <v>1797</v>
      </c>
      <c r="F605" s="2" t="s">
        <v>1234</v>
      </c>
      <c r="G605" s="6" t="s">
        <v>794</v>
      </c>
      <c r="H605" s="2" t="s">
        <v>447</v>
      </c>
      <c r="I605" s="2" t="s">
        <v>792</v>
      </c>
      <c r="J605" s="2" t="s">
        <v>19</v>
      </c>
      <c r="K605" s="2" t="s">
        <v>160</v>
      </c>
      <c r="L605" s="7" t="str">
        <f>HYPERLINK("http://slimages.macys.com/is/image/MCY/13745636 ")</f>
        <v xml:space="preserve">http://slimages.macys.com/is/image/MCY/13745636 </v>
      </c>
    </row>
    <row r="606" spans="1:12" ht="24.75" x14ac:dyDescent="0.25">
      <c r="A606" s="4" t="s">
        <v>14274</v>
      </c>
      <c r="B606" s="2" t="s">
        <v>14275</v>
      </c>
      <c r="C606" s="3">
        <v>1</v>
      </c>
      <c r="D606" s="5">
        <v>45</v>
      </c>
      <c r="E606" s="3" t="s">
        <v>14276</v>
      </c>
      <c r="F606" s="2" t="s">
        <v>15</v>
      </c>
      <c r="G606" s="6" t="s">
        <v>794</v>
      </c>
      <c r="H606" s="2" t="s">
        <v>447</v>
      </c>
      <c r="I606" s="2" t="s">
        <v>792</v>
      </c>
      <c r="J606" s="2" t="s">
        <v>19</v>
      </c>
      <c r="K606" s="2" t="s">
        <v>160</v>
      </c>
      <c r="L606" s="7" t="str">
        <f>HYPERLINK("http://slimages.macys.com/is/image/MCY/9820089 ")</f>
        <v xml:space="preserve">http://slimages.macys.com/is/image/MCY/9820089 </v>
      </c>
    </row>
    <row r="607" spans="1:12" ht="24.75" x14ac:dyDescent="0.25">
      <c r="A607" s="4" t="s">
        <v>14277</v>
      </c>
      <c r="B607" s="2" t="s">
        <v>1177</v>
      </c>
      <c r="C607" s="3">
        <v>1</v>
      </c>
      <c r="D607" s="5">
        <v>45</v>
      </c>
      <c r="E607" s="3" t="s">
        <v>1799</v>
      </c>
      <c r="F607" s="2" t="s">
        <v>74</v>
      </c>
      <c r="G607" s="6" t="s">
        <v>446</v>
      </c>
      <c r="H607" s="2" t="s">
        <v>447</v>
      </c>
      <c r="I607" s="2" t="s">
        <v>792</v>
      </c>
      <c r="J607" s="2" t="s">
        <v>19</v>
      </c>
      <c r="K607" s="2" t="s">
        <v>160</v>
      </c>
      <c r="L607" s="7" t="str">
        <f>HYPERLINK("http://slimages.macys.com/is/image/MCY/9533039 ")</f>
        <v xml:space="preserve">http://slimages.macys.com/is/image/MCY/9533039 </v>
      </c>
    </row>
    <row r="608" spans="1:12" ht="24.75" x14ac:dyDescent="0.25">
      <c r="A608" s="4" t="s">
        <v>12399</v>
      </c>
      <c r="B608" s="2" t="s">
        <v>9739</v>
      </c>
      <c r="C608" s="3">
        <v>1</v>
      </c>
      <c r="D608" s="5">
        <v>33</v>
      </c>
      <c r="E608" s="3" t="s">
        <v>9740</v>
      </c>
      <c r="F608" s="2" t="s">
        <v>1788</v>
      </c>
      <c r="G608" s="6"/>
      <c r="H608" s="2" t="s">
        <v>447</v>
      </c>
      <c r="I608" s="2" t="s">
        <v>792</v>
      </c>
      <c r="J608" s="2" t="s">
        <v>19</v>
      </c>
      <c r="K608" s="2" t="s">
        <v>442</v>
      </c>
      <c r="L608" s="7" t="str">
        <f>HYPERLINK("http://slimages.macys.com/is/image/MCY/13402061 ")</f>
        <v xml:space="preserve">http://slimages.macys.com/is/image/MCY/13402061 </v>
      </c>
    </row>
    <row r="609" spans="1:12" ht="24.75" x14ac:dyDescent="0.25">
      <c r="A609" s="4" t="s">
        <v>6801</v>
      </c>
      <c r="B609" s="2" t="s">
        <v>1801</v>
      </c>
      <c r="C609" s="3">
        <v>1</v>
      </c>
      <c r="D609" s="5">
        <v>21.5</v>
      </c>
      <c r="E609" s="3" t="s">
        <v>1802</v>
      </c>
      <c r="F609" s="2" t="s">
        <v>566</v>
      </c>
      <c r="G609" s="6"/>
      <c r="H609" s="2" t="s">
        <v>312</v>
      </c>
      <c r="I609" s="2" t="s">
        <v>580</v>
      </c>
      <c r="J609" s="2" t="s">
        <v>19</v>
      </c>
      <c r="K609" s="2" t="s">
        <v>1758</v>
      </c>
      <c r="L609" s="7" t="str">
        <f>HYPERLINK("http://slimages.macys.com/is/image/MCY/11515389 ")</f>
        <v xml:space="preserve">http://slimages.macys.com/is/image/MCY/11515389 </v>
      </c>
    </row>
    <row r="610" spans="1:12" ht="24.75" x14ac:dyDescent="0.25">
      <c r="A610" s="4" t="s">
        <v>14278</v>
      </c>
      <c r="B610" s="2" t="s">
        <v>14279</v>
      </c>
      <c r="C610" s="3">
        <v>1</v>
      </c>
      <c r="D610" s="5">
        <v>19.989999999999998</v>
      </c>
      <c r="E610" s="3" t="s">
        <v>14280</v>
      </c>
      <c r="F610" s="2" t="s">
        <v>64</v>
      </c>
      <c r="G610" s="6" t="s">
        <v>234</v>
      </c>
      <c r="H610" s="2" t="s">
        <v>246</v>
      </c>
      <c r="I610" s="2" t="s">
        <v>1939</v>
      </c>
      <c r="J610" s="2" t="s">
        <v>19</v>
      </c>
      <c r="K610" s="2" t="s">
        <v>990</v>
      </c>
      <c r="L610" s="7" t="str">
        <f>HYPERLINK("http://slimages.macys.com/is/image/MCY/11680732 ")</f>
        <v xml:space="preserve">http://slimages.macys.com/is/image/MCY/11680732 </v>
      </c>
    </row>
    <row r="611" spans="1:12" ht="24.75" x14ac:dyDescent="0.25">
      <c r="A611" s="4" t="s">
        <v>14281</v>
      </c>
      <c r="B611" s="2" t="s">
        <v>12407</v>
      </c>
      <c r="C611" s="3">
        <v>1</v>
      </c>
      <c r="D611" s="5">
        <v>19.989999999999998</v>
      </c>
      <c r="E611" s="3" t="s">
        <v>12408</v>
      </c>
      <c r="F611" s="2" t="s">
        <v>70</v>
      </c>
      <c r="G611" s="6" t="s">
        <v>156</v>
      </c>
      <c r="H611" s="2" t="s">
        <v>1473</v>
      </c>
      <c r="I611" s="2" t="s">
        <v>1426</v>
      </c>
      <c r="J611" s="2" t="s">
        <v>19</v>
      </c>
      <c r="K611" s="2" t="s">
        <v>990</v>
      </c>
      <c r="L611" s="7" t="str">
        <f>HYPERLINK("http://slimages.macys.com/is/image/MCY/11882410 ")</f>
        <v xml:space="preserve">http://slimages.macys.com/is/image/MCY/11882410 </v>
      </c>
    </row>
    <row r="612" spans="1:12" ht="24.75" x14ac:dyDescent="0.25">
      <c r="A612" s="4" t="s">
        <v>14282</v>
      </c>
      <c r="B612" s="2" t="s">
        <v>13342</v>
      </c>
      <c r="C612" s="3">
        <v>1</v>
      </c>
      <c r="D612" s="5">
        <v>19.989999999999998</v>
      </c>
      <c r="E612" s="3" t="s">
        <v>13343</v>
      </c>
      <c r="F612" s="2" t="s">
        <v>74</v>
      </c>
      <c r="G612" s="6" t="s">
        <v>156</v>
      </c>
      <c r="H612" s="2" t="s">
        <v>1473</v>
      </c>
      <c r="I612" s="2" t="s">
        <v>1426</v>
      </c>
      <c r="J612" s="2" t="s">
        <v>19</v>
      </c>
      <c r="K612" s="2" t="s">
        <v>107</v>
      </c>
      <c r="L612" s="7" t="str">
        <f>HYPERLINK("http://slimages.macys.com/is/image/MCY/14825556 ")</f>
        <v xml:space="preserve">http://slimages.macys.com/is/image/MCY/14825556 </v>
      </c>
    </row>
    <row r="613" spans="1:12" ht="24.75" x14ac:dyDescent="0.25">
      <c r="A613" s="4" t="s">
        <v>10269</v>
      </c>
      <c r="B613" s="2" t="s">
        <v>5138</v>
      </c>
      <c r="C613" s="3">
        <v>1</v>
      </c>
      <c r="D613" s="5">
        <v>19.989999999999998</v>
      </c>
      <c r="E613" s="3" t="s">
        <v>5139</v>
      </c>
      <c r="F613" s="2" t="s">
        <v>15</v>
      </c>
      <c r="G613" s="6" t="s">
        <v>234</v>
      </c>
      <c r="H613" s="2" t="s">
        <v>1473</v>
      </c>
      <c r="I613" s="2" t="s">
        <v>1426</v>
      </c>
      <c r="J613" s="2" t="s">
        <v>19</v>
      </c>
      <c r="K613" s="2" t="s">
        <v>648</v>
      </c>
      <c r="L613" s="7" t="str">
        <f>HYPERLINK("http://slimages.macys.com/is/image/MCY/12774735 ")</f>
        <v xml:space="preserve">http://slimages.macys.com/is/image/MCY/12774735 </v>
      </c>
    </row>
    <row r="614" spans="1:12" ht="24.75" x14ac:dyDescent="0.25">
      <c r="A614" s="4" t="s">
        <v>14283</v>
      </c>
      <c r="B614" s="2" t="s">
        <v>11347</v>
      </c>
      <c r="C614" s="3">
        <v>1</v>
      </c>
      <c r="D614" s="5">
        <v>26.99</v>
      </c>
      <c r="E614" s="3" t="s">
        <v>14284</v>
      </c>
      <c r="F614" s="2" t="s">
        <v>26</v>
      </c>
      <c r="G614" s="6" t="s">
        <v>348</v>
      </c>
      <c r="H614" s="2" t="s">
        <v>349</v>
      </c>
      <c r="I614" s="2" t="s">
        <v>285</v>
      </c>
      <c r="J614" s="2" t="s">
        <v>19</v>
      </c>
      <c r="K614" s="2" t="s">
        <v>247</v>
      </c>
      <c r="L614" s="7" t="str">
        <f>HYPERLINK("http://slimages.macys.com/is/image/MCY/14706819 ")</f>
        <v xml:space="preserve">http://slimages.macys.com/is/image/MCY/14706819 </v>
      </c>
    </row>
    <row r="615" spans="1:12" ht="24.75" x14ac:dyDescent="0.25">
      <c r="A615" s="4" t="s">
        <v>6093</v>
      </c>
      <c r="B615" s="2" t="s">
        <v>6094</v>
      </c>
      <c r="C615" s="3">
        <v>1</v>
      </c>
      <c r="D615" s="5">
        <v>19.989999999999998</v>
      </c>
      <c r="E615" s="3" t="s">
        <v>6095</v>
      </c>
      <c r="F615" s="2" t="s">
        <v>38</v>
      </c>
      <c r="G615" s="6" t="s">
        <v>245</v>
      </c>
      <c r="H615" s="2" t="s">
        <v>1522</v>
      </c>
      <c r="I615" s="2" t="s">
        <v>1469</v>
      </c>
      <c r="J615" s="2" t="s">
        <v>19</v>
      </c>
      <c r="K615" s="2" t="s">
        <v>495</v>
      </c>
      <c r="L615" s="7" t="str">
        <f>HYPERLINK("http://slimages.macys.com/is/image/MCY/9837435 ")</f>
        <v xml:space="preserve">http://slimages.macys.com/is/image/MCY/9837435 </v>
      </c>
    </row>
    <row r="616" spans="1:12" ht="24.75" x14ac:dyDescent="0.25">
      <c r="A616" s="4" t="s">
        <v>14285</v>
      </c>
      <c r="B616" s="2" t="s">
        <v>6094</v>
      </c>
      <c r="C616" s="3">
        <v>1</v>
      </c>
      <c r="D616" s="5">
        <v>19.989999999999998</v>
      </c>
      <c r="E616" s="3" t="s">
        <v>6095</v>
      </c>
      <c r="F616" s="2" t="s">
        <v>417</v>
      </c>
      <c r="G616" s="6" t="s">
        <v>234</v>
      </c>
      <c r="H616" s="2" t="s">
        <v>1522</v>
      </c>
      <c r="I616" s="2" t="s">
        <v>1469</v>
      </c>
      <c r="J616" s="2" t="s">
        <v>19</v>
      </c>
      <c r="K616" s="2" t="s">
        <v>495</v>
      </c>
      <c r="L616" s="7" t="str">
        <f>HYPERLINK("http://slimages.macys.com/is/image/MCY/9837435 ")</f>
        <v xml:space="preserve">http://slimages.macys.com/is/image/MCY/9837435 </v>
      </c>
    </row>
    <row r="617" spans="1:12" ht="24.75" x14ac:dyDescent="0.25">
      <c r="A617" s="4" t="s">
        <v>11206</v>
      </c>
      <c r="B617" s="2" t="s">
        <v>1820</v>
      </c>
      <c r="C617" s="3">
        <v>2</v>
      </c>
      <c r="D617" s="5">
        <v>17.989999999999998</v>
      </c>
      <c r="E617" s="3" t="s">
        <v>11207</v>
      </c>
      <c r="F617" s="2" t="s">
        <v>74</v>
      </c>
      <c r="G617" s="6" t="s">
        <v>156</v>
      </c>
      <c r="H617" s="2" t="s">
        <v>1473</v>
      </c>
      <c r="I617" s="2" t="s">
        <v>1426</v>
      </c>
      <c r="J617" s="2" t="s">
        <v>19</v>
      </c>
      <c r="K617" s="2" t="s">
        <v>803</v>
      </c>
      <c r="L617" s="7" t="str">
        <f>HYPERLINK("http://slimages.macys.com/is/image/MCY/12222536 ")</f>
        <v xml:space="preserve">http://slimages.macys.com/is/image/MCY/12222536 </v>
      </c>
    </row>
    <row r="618" spans="1:12" ht="24.75" x14ac:dyDescent="0.25">
      <c r="A618" s="4" t="s">
        <v>14286</v>
      </c>
      <c r="B618" s="2" t="s">
        <v>11211</v>
      </c>
      <c r="C618" s="3">
        <v>1</v>
      </c>
      <c r="D618" s="5">
        <v>19.989999999999998</v>
      </c>
      <c r="E618" s="3" t="s">
        <v>11212</v>
      </c>
      <c r="F618" s="2" t="s">
        <v>74</v>
      </c>
      <c r="G618" s="6" t="s">
        <v>234</v>
      </c>
      <c r="H618" s="2" t="s">
        <v>1473</v>
      </c>
      <c r="I618" s="2" t="s">
        <v>1426</v>
      </c>
      <c r="J618" s="2" t="s">
        <v>19</v>
      </c>
      <c r="K618" s="2" t="s">
        <v>495</v>
      </c>
      <c r="L618" s="7" t="str">
        <f>HYPERLINK("http://slimages.macys.com/is/image/MCY/15131665 ")</f>
        <v xml:space="preserve">http://slimages.macys.com/is/image/MCY/15131665 </v>
      </c>
    </row>
    <row r="619" spans="1:12" ht="24.75" x14ac:dyDescent="0.25">
      <c r="A619" s="4" t="s">
        <v>14287</v>
      </c>
      <c r="B619" s="2" t="s">
        <v>11211</v>
      </c>
      <c r="C619" s="3">
        <v>1</v>
      </c>
      <c r="D619" s="5">
        <v>19.989999999999998</v>
      </c>
      <c r="E619" s="3" t="s">
        <v>11212</v>
      </c>
      <c r="F619" s="2" t="s">
        <v>1322</v>
      </c>
      <c r="G619" s="6" t="s">
        <v>181</v>
      </c>
      <c r="H619" s="2" t="s">
        <v>1473</v>
      </c>
      <c r="I619" s="2" t="s">
        <v>1426</v>
      </c>
      <c r="J619" s="2" t="s">
        <v>19</v>
      </c>
      <c r="K619" s="2" t="s">
        <v>495</v>
      </c>
      <c r="L619" s="7" t="str">
        <f>HYPERLINK("http://slimages.macys.com/is/image/MCY/15131665 ")</f>
        <v xml:space="preserve">http://slimages.macys.com/is/image/MCY/15131665 </v>
      </c>
    </row>
    <row r="620" spans="1:12" ht="24.75" x14ac:dyDescent="0.25">
      <c r="A620" s="4" t="s">
        <v>14288</v>
      </c>
      <c r="B620" s="2" t="s">
        <v>6098</v>
      </c>
      <c r="C620" s="3">
        <v>1</v>
      </c>
      <c r="D620" s="5">
        <v>19.989999999999998</v>
      </c>
      <c r="E620" s="3" t="s">
        <v>14289</v>
      </c>
      <c r="F620" s="2" t="s">
        <v>676</v>
      </c>
      <c r="G620" s="6" t="s">
        <v>2276</v>
      </c>
      <c r="H620" s="2" t="s">
        <v>349</v>
      </c>
      <c r="I620" s="2" t="s">
        <v>285</v>
      </c>
      <c r="J620" s="2" t="s">
        <v>19</v>
      </c>
      <c r="K620" s="2" t="s">
        <v>247</v>
      </c>
      <c r="L620" s="7" t="str">
        <f>HYPERLINK("http://slimages.macys.com/is/image/MCY/13934363 ")</f>
        <v xml:space="preserve">http://slimages.macys.com/is/image/MCY/13934363 </v>
      </c>
    </row>
    <row r="621" spans="1:12" x14ac:dyDescent="0.25">
      <c r="A621" s="4" t="s">
        <v>6097</v>
      </c>
      <c r="B621" s="2" t="s">
        <v>6098</v>
      </c>
      <c r="C621" s="3">
        <v>1</v>
      </c>
      <c r="D621" s="5">
        <v>19.989999999999998</v>
      </c>
      <c r="E621" s="3" t="s">
        <v>6099</v>
      </c>
      <c r="F621" s="2" t="s">
        <v>26</v>
      </c>
      <c r="G621" s="6" t="s">
        <v>348</v>
      </c>
      <c r="H621" s="2" t="s">
        <v>349</v>
      </c>
      <c r="I621" s="2" t="s">
        <v>285</v>
      </c>
      <c r="J621" s="2" t="s">
        <v>19</v>
      </c>
      <c r="K621" s="2" t="s">
        <v>247</v>
      </c>
      <c r="L621" s="7" t="str">
        <f>HYPERLINK("http://slimages.macys.com/is/image/MCY/13934363 ")</f>
        <v xml:space="preserve">http://slimages.macys.com/is/image/MCY/13934363 </v>
      </c>
    </row>
    <row r="622" spans="1:12" x14ac:dyDescent="0.25">
      <c r="A622" s="4" t="s">
        <v>14290</v>
      </c>
      <c r="B622" s="2" t="s">
        <v>6098</v>
      </c>
      <c r="C622" s="3">
        <v>1</v>
      </c>
      <c r="D622" s="5">
        <v>19.989999999999998</v>
      </c>
      <c r="E622" s="3" t="s">
        <v>6099</v>
      </c>
      <c r="F622" s="2" t="s">
        <v>26</v>
      </c>
      <c r="G622" s="6" t="s">
        <v>746</v>
      </c>
      <c r="H622" s="2" t="s">
        <v>349</v>
      </c>
      <c r="I622" s="2" t="s">
        <v>285</v>
      </c>
      <c r="J622" s="2" t="s">
        <v>19</v>
      </c>
      <c r="K622" s="2" t="s">
        <v>247</v>
      </c>
      <c r="L622" s="7" t="str">
        <f>HYPERLINK("http://slimages.macys.com/is/image/MCY/13934363 ")</f>
        <v xml:space="preserve">http://slimages.macys.com/is/image/MCY/13934363 </v>
      </c>
    </row>
    <row r="623" spans="1:12" x14ac:dyDescent="0.25">
      <c r="A623" s="4" t="s">
        <v>14291</v>
      </c>
      <c r="B623" s="2" t="s">
        <v>6098</v>
      </c>
      <c r="C623" s="3">
        <v>1</v>
      </c>
      <c r="D623" s="5">
        <v>19.989999999999998</v>
      </c>
      <c r="E623" s="3" t="s">
        <v>6099</v>
      </c>
      <c r="F623" s="2" t="s">
        <v>26</v>
      </c>
      <c r="G623" s="6" t="s">
        <v>2276</v>
      </c>
      <c r="H623" s="2" t="s">
        <v>349</v>
      </c>
      <c r="I623" s="2" t="s">
        <v>285</v>
      </c>
      <c r="J623" s="2" t="s">
        <v>19</v>
      </c>
      <c r="K623" s="2" t="s">
        <v>247</v>
      </c>
      <c r="L623" s="7" t="str">
        <f>HYPERLINK("http://slimages.macys.com/is/image/MCY/13934363 ")</f>
        <v xml:space="preserve">http://slimages.macys.com/is/image/MCY/13934363 </v>
      </c>
    </row>
    <row r="624" spans="1:12" ht="24.75" x14ac:dyDescent="0.25">
      <c r="A624" s="4" t="s">
        <v>14292</v>
      </c>
      <c r="B624" s="2" t="s">
        <v>4109</v>
      </c>
      <c r="C624" s="3">
        <v>5</v>
      </c>
      <c r="D624" s="5">
        <v>17.989999999999998</v>
      </c>
      <c r="E624" s="3" t="s">
        <v>4110</v>
      </c>
      <c r="F624" s="2" t="s">
        <v>1945</v>
      </c>
      <c r="G624" s="6" t="s">
        <v>219</v>
      </c>
      <c r="H624" s="2" t="s">
        <v>1425</v>
      </c>
      <c r="I624" s="2" t="s">
        <v>1469</v>
      </c>
      <c r="J624" s="2" t="s">
        <v>19</v>
      </c>
      <c r="K624" s="2" t="s">
        <v>353</v>
      </c>
      <c r="L624" s="7" t="str">
        <f>HYPERLINK("http://slimages.macys.com/is/image/MCY/3951544 ")</f>
        <v xml:space="preserve">http://slimages.macys.com/is/image/MCY/3951544 </v>
      </c>
    </row>
    <row r="625" spans="1:12" ht="24.75" x14ac:dyDescent="0.25">
      <c r="A625" s="4" t="s">
        <v>14293</v>
      </c>
      <c r="B625" s="2" t="s">
        <v>1689</v>
      </c>
      <c r="C625" s="3">
        <v>1</v>
      </c>
      <c r="D625" s="5">
        <v>25.88</v>
      </c>
      <c r="E625" s="3" t="s">
        <v>1690</v>
      </c>
      <c r="F625" s="2" t="s">
        <v>170</v>
      </c>
      <c r="G625" s="6" t="s">
        <v>245</v>
      </c>
      <c r="H625" s="2" t="s">
        <v>194</v>
      </c>
      <c r="I625" s="2" t="s">
        <v>195</v>
      </c>
      <c r="J625" s="2" t="s">
        <v>19</v>
      </c>
      <c r="K625" s="2" t="s">
        <v>648</v>
      </c>
      <c r="L625" s="7" t="str">
        <f>HYPERLINK("http://slimages.macys.com/is/image/MCY/3650047 ")</f>
        <v xml:space="preserve">http://slimages.macys.com/is/image/MCY/3650047 </v>
      </c>
    </row>
    <row r="626" spans="1:12" ht="24.75" x14ac:dyDescent="0.25">
      <c r="A626" s="4" t="s">
        <v>1688</v>
      </c>
      <c r="B626" s="2" t="s">
        <v>1689</v>
      </c>
      <c r="C626" s="3">
        <v>1</v>
      </c>
      <c r="D626" s="5">
        <v>25.88</v>
      </c>
      <c r="E626" s="3" t="s">
        <v>1690</v>
      </c>
      <c r="F626" s="2" t="s">
        <v>1584</v>
      </c>
      <c r="G626" s="6" t="s">
        <v>234</v>
      </c>
      <c r="H626" s="2" t="s">
        <v>194</v>
      </c>
      <c r="I626" s="2" t="s">
        <v>195</v>
      </c>
      <c r="J626" s="2" t="s">
        <v>19</v>
      </c>
      <c r="K626" s="2" t="s">
        <v>648</v>
      </c>
      <c r="L626" s="7" t="str">
        <f>HYPERLINK("http://slimages.macys.com/is/image/MCY/3650047 ")</f>
        <v xml:space="preserve">http://slimages.macys.com/is/image/MCY/3650047 </v>
      </c>
    </row>
    <row r="627" spans="1:12" ht="24.75" x14ac:dyDescent="0.25">
      <c r="A627" s="4" t="s">
        <v>14294</v>
      </c>
      <c r="B627" s="2" t="s">
        <v>11231</v>
      </c>
      <c r="C627" s="3">
        <v>1</v>
      </c>
      <c r="D627" s="5">
        <v>19.989999999999998</v>
      </c>
      <c r="E627" s="3" t="s">
        <v>11232</v>
      </c>
      <c r="F627" s="2" t="s">
        <v>74</v>
      </c>
      <c r="G627" s="6" t="s">
        <v>245</v>
      </c>
      <c r="H627" s="2" t="s">
        <v>1473</v>
      </c>
      <c r="I627" s="2" t="s">
        <v>1426</v>
      </c>
      <c r="J627" s="2" t="s">
        <v>19</v>
      </c>
      <c r="K627" s="2" t="s">
        <v>107</v>
      </c>
      <c r="L627" s="7" t="str">
        <f>HYPERLINK("http://slimages.macys.com/is/image/MCY/15071323 ")</f>
        <v xml:space="preserve">http://slimages.macys.com/is/image/MCY/15071323 </v>
      </c>
    </row>
    <row r="628" spans="1:12" ht="24.75" x14ac:dyDescent="0.25">
      <c r="A628" s="4" t="s">
        <v>13353</v>
      </c>
      <c r="B628" s="2" t="s">
        <v>11231</v>
      </c>
      <c r="C628" s="3">
        <v>1</v>
      </c>
      <c r="D628" s="5">
        <v>19.989999999999998</v>
      </c>
      <c r="E628" s="3" t="s">
        <v>11232</v>
      </c>
      <c r="F628" s="2" t="s">
        <v>74</v>
      </c>
      <c r="G628" s="6" t="s">
        <v>181</v>
      </c>
      <c r="H628" s="2" t="s">
        <v>1473</v>
      </c>
      <c r="I628" s="2" t="s">
        <v>1426</v>
      </c>
      <c r="J628" s="2" t="s">
        <v>19</v>
      </c>
      <c r="K628" s="2" t="s">
        <v>107</v>
      </c>
      <c r="L628" s="7" t="str">
        <f>HYPERLINK("http://slimages.macys.com/is/image/MCY/15071323 ")</f>
        <v xml:space="preserve">http://slimages.macys.com/is/image/MCY/15071323 </v>
      </c>
    </row>
    <row r="629" spans="1:12" ht="24.75" x14ac:dyDescent="0.25">
      <c r="A629" s="4" t="s">
        <v>14295</v>
      </c>
      <c r="B629" s="2" t="s">
        <v>11249</v>
      </c>
      <c r="C629" s="3">
        <v>1</v>
      </c>
      <c r="D629" s="5">
        <v>19.989999999999998</v>
      </c>
      <c r="E629" s="3" t="s">
        <v>11250</v>
      </c>
      <c r="F629" s="2" t="s">
        <v>417</v>
      </c>
      <c r="G629" s="6" t="s">
        <v>234</v>
      </c>
      <c r="H629" s="2" t="s">
        <v>1473</v>
      </c>
      <c r="I629" s="2" t="s">
        <v>1426</v>
      </c>
      <c r="J629" s="2" t="s">
        <v>19</v>
      </c>
      <c r="K629" s="2" t="s">
        <v>648</v>
      </c>
      <c r="L629" s="7" t="str">
        <f>HYPERLINK("http://slimages.macys.com/is/image/MCY/13382842 ")</f>
        <v xml:space="preserve">http://slimages.macys.com/is/image/MCY/13382842 </v>
      </c>
    </row>
    <row r="630" spans="1:12" ht="24.75" x14ac:dyDescent="0.25">
      <c r="A630" s="4" t="s">
        <v>14296</v>
      </c>
      <c r="B630" s="2" t="s">
        <v>11246</v>
      </c>
      <c r="C630" s="3">
        <v>1</v>
      </c>
      <c r="D630" s="5">
        <v>19.989999999999998</v>
      </c>
      <c r="E630" s="3" t="s">
        <v>11247</v>
      </c>
      <c r="F630" s="2" t="s">
        <v>85</v>
      </c>
      <c r="G630" s="6" t="s">
        <v>234</v>
      </c>
      <c r="H630" s="2" t="s">
        <v>1473</v>
      </c>
      <c r="I630" s="2" t="s">
        <v>1426</v>
      </c>
      <c r="J630" s="2" t="s">
        <v>19</v>
      </c>
      <c r="K630" s="2" t="s">
        <v>495</v>
      </c>
      <c r="L630" s="7" t="str">
        <f>HYPERLINK("http://slimages.macys.com/is/image/MCY/13631250 ")</f>
        <v xml:space="preserve">http://slimages.macys.com/is/image/MCY/13631250 </v>
      </c>
    </row>
    <row r="631" spans="1:12" ht="24.75" x14ac:dyDescent="0.25">
      <c r="A631" s="4" t="s">
        <v>14297</v>
      </c>
      <c r="B631" s="2" t="s">
        <v>4128</v>
      </c>
      <c r="C631" s="3">
        <v>1</v>
      </c>
      <c r="D631" s="5">
        <v>19.989999999999998</v>
      </c>
      <c r="E631" s="3" t="s">
        <v>5153</v>
      </c>
      <c r="F631" s="2" t="s">
        <v>94</v>
      </c>
      <c r="G631" s="6" t="s">
        <v>181</v>
      </c>
      <c r="H631" s="2" t="s">
        <v>1473</v>
      </c>
      <c r="I631" s="2" t="s">
        <v>1426</v>
      </c>
      <c r="J631" s="2" t="s">
        <v>19</v>
      </c>
      <c r="K631" s="2" t="s">
        <v>1108</v>
      </c>
      <c r="L631" s="7" t="str">
        <f>HYPERLINK("http://slimages.macys.com/is/image/MCY/11831179 ")</f>
        <v xml:space="preserve">http://slimages.macys.com/is/image/MCY/11831179 </v>
      </c>
    </row>
    <row r="632" spans="1:12" ht="24.75" x14ac:dyDescent="0.25">
      <c r="A632" s="4" t="s">
        <v>14298</v>
      </c>
      <c r="B632" s="2" t="s">
        <v>3026</v>
      </c>
      <c r="C632" s="3">
        <v>1</v>
      </c>
      <c r="D632" s="5">
        <v>21.99</v>
      </c>
      <c r="E632" s="3" t="s">
        <v>14299</v>
      </c>
      <c r="F632" s="2" t="s">
        <v>79</v>
      </c>
      <c r="G632" s="6"/>
      <c r="H632" s="2" t="s">
        <v>632</v>
      </c>
      <c r="I632" s="2" t="s">
        <v>285</v>
      </c>
      <c r="J632" s="2" t="s">
        <v>19</v>
      </c>
      <c r="K632" s="2" t="s">
        <v>247</v>
      </c>
      <c r="L632" s="7" t="str">
        <f>HYPERLINK("http://slimages.macys.com/is/image/MCY/3742720 ")</f>
        <v xml:space="preserve">http://slimages.macys.com/is/image/MCY/3742720 </v>
      </c>
    </row>
    <row r="633" spans="1:12" ht="24.75" x14ac:dyDescent="0.25">
      <c r="A633" s="4" t="s">
        <v>6101</v>
      </c>
      <c r="B633" s="2" t="s">
        <v>3026</v>
      </c>
      <c r="C633" s="3">
        <v>1</v>
      </c>
      <c r="D633" s="5">
        <v>21.99</v>
      </c>
      <c r="E633" s="3" t="s">
        <v>5156</v>
      </c>
      <c r="F633" s="2" t="s">
        <v>64</v>
      </c>
      <c r="G633" s="6" t="s">
        <v>181</v>
      </c>
      <c r="H633" s="2" t="s">
        <v>284</v>
      </c>
      <c r="I633" s="2" t="s">
        <v>285</v>
      </c>
      <c r="J633" s="2" t="s">
        <v>19</v>
      </c>
      <c r="K633" s="2" t="s">
        <v>247</v>
      </c>
      <c r="L633" s="7" t="str">
        <f>HYPERLINK("http://slimages.macys.com/is/image/MCY/16393197 ")</f>
        <v xml:space="preserve">http://slimages.macys.com/is/image/MCY/16393197 </v>
      </c>
    </row>
    <row r="634" spans="1:12" ht="24.75" x14ac:dyDescent="0.25">
      <c r="A634" s="4" t="s">
        <v>14300</v>
      </c>
      <c r="B634" s="2" t="s">
        <v>11246</v>
      </c>
      <c r="C634" s="3">
        <v>1</v>
      </c>
      <c r="D634" s="5">
        <v>19.989999999999998</v>
      </c>
      <c r="E634" s="3" t="s">
        <v>11247</v>
      </c>
      <c r="F634" s="2" t="s">
        <v>417</v>
      </c>
      <c r="G634" s="6" t="s">
        <v>234</v>
      </c>
      <c r="H634" s="2" t="s">
        <v>1473</v>
      </c>
      <c r="I634" s="2" t="s">
        <v>1426</v>
      </c>
      <c r="J634" s="2" t="s">
        <v>19</v>
      </c>
      <c r="K634" s="2" t="s">
        <v>495</v>
      </c>
      <c r="L634" s="7" t="str">
        <f>HYPERLINK("http://slimages.macys.com/is/image/MCY/13631250 ")</f>
        <v xml:space="preserve">http://slimages.macys.com/is/image/MCY/13631250 </v>
      </c>
    </row>
    <row r="635" spans="1:12" ht="24.75" x14ac:dyDescent="0.25">
      <c r="A635" s="4" t="s">
        <v>14301</v>
      </c>
      <c r="B635" s="2" t="s">
        <v>13368</v>
      </c>
      <c r="C635" s="3">
        <v>1</v>
      </c>
      <c r="D635" s="5">
        <v>19.989999999999998</v>
      </c>
      <c r="E635" s="3" t="s">
        <v>13369</v>
      </c>
      <c r="F635" s="2" t="s">
        <v>15</v>
      </c>
      <c r="G635" s="6" t="s">
        <v>154</v>
      </c>
      <c r="H635" s="2" t="s">
        <v>1473</v>
      </c>
      <c r="I635" s="2" t="s">
        <v>1426</v>
      </c>
      <c r="J635" s="2" t="s">
        <v>19</v>
      </c>
      <c r="K635" s="2" t="s">
        <v>990</v>
      </c>
      <c r="L635" s="7" t="str">
        <f>HYPERLINK("http://slimages.macys.com/is/image/MCY/9837076 ")</f>
        <v xml:space="preserve">http://slimages.macys.com/is/image/MCY/9837076 </v>
      </c>
    </row>
    <row r="636" spans="1:12" ht="24.75" x14ac:dyDescent="0.25">
      <c r="A636" s="4" t="s">
        <v>5161</v>
      </c>
      <c r="B636" s="2" t="s">
        <v>3026</v>
      </c>
      <c r="C636" s="3">
        <v>1</v>
      </c>
      <c r="D636" s="5">
        <v>21.99</v>
      </c>
      <c r="E636" s="3" t="s">
        <v>5156</v>
      </c>
      <c r="F636" s="2" t="s">
        <v>64</v>
      </c>
      <c r="G636" s="6" t="s">
        <v>234</v>
      </c>
      <c r="H636" s="2" t="s">
        <v>284</v>
      </c>
      <c r="I636" s="2" t="s">
        <v>285</v>
      </c>
      <c r="J636" s="2" t="s">
        <v>19</v>
      </c>
      <c r="K636" s="2" t="s">
        <v>247</v>
      </c>
      <c r="L636" s="7" t="str">
        <f>HYPERLINK("http://slimages.macys.com/is/image/MCY/16393197 ")</f>
        <v xml:space="preserve">http://slimages.macys.com/is/image/MCY/16393197 </v>
      </c>
    </row>
    <row r="637" spans="1:12" ht="24.75" x14ac:dyDescent="0.25">
      <c r="A637" s="4" t="s">
        <v>5155</v>
      </c>
      <c r="B637" s="2" t="s">
        <v>3026</v>
      </c>
      <c r="C637" s="3">
        <v>1</v>
      </c>
      <c r="D637" s="5">
        <v>21.99</v>
      </c>
      <c r="E637" s="3" t="s">
        <v>5156</v>
      </c>
      <c r="F637" s="2" t="s">
        <v>64</v>
      </c>
      <c r="G637" s="6" t="s">
        <v>156</v>
      </c>
      <c r="H637" s="2" t="s">
        <v>284</v>
      </c>
      <c r="I637" s="2" t="s">
        <v>285</v>
      </c>
      <c r="J637" s="2" t="s">
        <v>19</v>
      </c>
      <c r="K637" s="2" t="s">
        <v>247</v>
      </c>
      <c r="L637" s="7" t="str">
        <f>HYPERLINK("http://slimages.macys.com/is/image/MCY/16393197 ")</f>
        <v xml:space="preserve">http://slimages.macys.com/is/image/MCY/16393197 </v>
      </c>
    </row>
    <row r="638" spans="1:12" ht="24.75" x14ac:dyDescent="0.25">
      <c r="A638" s="4" t="s">
        <v>13367</v>
      </c>
      <c r="B638" s="2" t="s">
        <v>13368</v>
      </c>
      <c r="C638" s="3">
        <v>1</v>
      </c>
      <c r="D638" s="5">
        <v>19.989999999999998</v>
      </c>
      <c r="E638" s="3" t="s">
        <v>13369</v>
      </c>
      <c r="F638" s="2" t="s">
        <v>15</v>
      </c>
      <c r="G638" s="6" t="s">
        <v>181</v>
      </c>
      <c r="H638" s="2" t="s">
        <v>1473</v>
      </c>
      <c r="I638" s="2" t="s">
        <v>1426</v>
      </c>
      <c r="J638" s="2" t="s">
        <v>19</v>
      </c>
      <c r="K638" s="2" t="s">
        <v>990</v>
      </c>
      <c r="L638" s="7" t="str">
        <f>HYPERLINK("http://slimages.macys.com/is/image/MCY/9837076 ")</f>
        <v xml:space="preserve">http://slimages.macys.com/is/image/MCY/9837076 </v>
      </c>
    </row>
    <row r="639" spans="1:12" ht="24.75" x14ac:dyDescent="0.25">
      <c r="A639" s="4" t="s">
        <v>14302</v>
      </c>
      <c r="B639" s="2" t="s">
        <v>11249</v>
      </c>
      <c r="C639" s="3">
        <v>1</v>
      </c>
      <c r="D639" s="5">
        <v>19.989999999999998</v>
      </c>
      <c r="E639" s="3" t="s">
        <v>11250</v>
      </c>
      <c r="F639" s="2" t="s">
        <v>74</v>
      </c>
      <c r="G639" s="6" t="s">
        <v>154</v>
      </c>
      <c r="H639" s="2" t="s">
        <v>1473</v>
      </c>
      <c r="I639" s="2" t="s">
        <v>1426</v>
      </c>
      <c r="J639" s="2" t="s">
        <v>19</v>
      </c>
      <c r="K639" s="2" t="s">
        <v>648</v>
      </c>
      <c r="L639" s="7" t="str">
        <f>HYPERLINK("http://slimages.macys.com/is/image/MCY/13382842 ")</f>
        <v xml:space="preserve">http://slimages.macys.com/is/image/MCY/13382842 </v>
      </c>
    </row>
    <row r="640" spans="1:12" ht="24.75" x14ac:dyDescent="0.25">
      <c r="A640" s="4" t="s">
        <v>14303</v>
      </c>
      <c r="B640" s="2" t="s">
        <v>4128</v>
      </c>
      <c r="C640" s="3">
        <v>1</v>
      </c>
      <c r="D640" s="5">
        <v>19.989999999999998</v>
      </c>
      <c r="E640" s="3" t="s">
        <v>5153</v>
      </c>
      <c r="F640" s="2" t="s">
        <v>26</v>
      </c>
      <c r="G640" s="6" t="s">
        <v>156</v>
      </c>
      <c r="H640" s="2" t="s">
        <v>1473</v>
      </c>
      <c r="I640" s="2" t="s">
        <v>1426</v>
      </c>
      <c r="J640" s="2" t="s">
        <v>19</v>
      </c>
      <c r="K640" s="2" t="s">
        <v>1108</v>
      </c>
      <c r="L640" s="7" t="str">
        <f>HYPERLINK("http://slimages.macys.com/is/image/MCY/11831179 ")</f>
        <v xml:space="preserve">http://slimages.macys.com/is/image/MCY/11831179 </v>
      </c>
    </row>
    <row r="641" spans="1:12" ht="24.75" x14ac:dyDescent="0.25">
      <c r="A641" s="4" t="s">
        <v>14304</v>
      </c>
      <c r="B641" s="2" t="s">
        <v>1829</v>
      </c>
      <c r="C641" s="3">
        <v>1</v>
      </c>
      <c r="D641" s="5">
        <v>14.99</v>
      </c>
      <c r="E641" s="3" t="s">
        <v>1836</v>
      </c>
      <c r="F641" s="2" t="s">
        <v>252</v>
      </c>
      <c r="G641" s="6" t="s">
        <v>154</v>
      </c>
      <c r="H641" s="2" t="s">
        <v>194</v>
      </c>
      <c r="I641" s="2" t="s">
        <v>307</v>
      </c>
      <c r="J641" s="2" t="s">
        <v>19</v>
      </c>
      <c r="K641" s="2" t="s">
        <v>34</v>
      </c>
      <c r="L641" s="7" t="str">
        <f>HYPERLINK("http://slimages.macys.com/is/image/MCY/11937942 ")</f>
        <v xml:space="preserve">http://slimages.macys.com/is/image/MCY/11937942 </v>
      </c>
    </row>
    <row r="642" spans="1:12" ht="24.75" x14ac:dyDescent="0.25">
      <c r="A642" s="4" t="s">
        <v>14305</v>
      </c>
      <c r="B642" s="2" t="s">
        <v>1833</v>
      </c>
      <c r="C642" s="3">
        <v>1</v>
      </c>
      <c r="D642" s="5">
        <v>14.99</v>
      </c>
      <c r="E642" s="3" t="s">
        <v>11263</v>
      </c>
      <c r="F642" s="2" t="s">
        <v>74</v>
      </c>
      <c r="G642" s="6" t="s">
        <v>181</v>
      </c>
      <c r="H642" s="2" t="s">
        <v>194</v>
      </c>
      <c r="I642" s="2" t="s">
        <v>307</v>
      </c>
      <c r="J642" s="2" t="s">
        <v>19</v>
      </c>
      <c r="K642" s="2" t="s">
        <v>34</v>
      </c>
      <c r="L642" s="7" t="str">
        <f>HYPERLINK("http://slimages.macys.com/is/image/MCY/13368055 ")</f>
        <v xml:space="preserve">http://slimages.macys.com/is/image/MCY/13368055 </v>
      </c>
    </row>
    <row r="643" spans="1:12" ht="24.75" x14ac:dyDescent="0.25">
      <c r="A643" s="4" t="s">
        <v>14306</v>
      </c>
      <c r="B643" s="2" t="s">
        <v>1833</v>
      </c>
      <c r="C643" s="3">
        <v>2</v>
      </c>
      <c r="D643" s="5">
        <v>14.99</v>
      </c>
      <c r="E643" s="3" t="s">
        <v>11263</v>
      </c>
      <c r="F643" s="2" t="s">
        <v>74</v>
      </c>
      <c r="G643" s="6" t="s">
        <v>245</v>
      </c>
      <c r="H643" s="2" t="s">
        <v>194</v>
      </c>
      <c r="I643" s="2" t="s">
        <v>307</v>
      </c>
      <c r="J643" s="2" t="s">
        <v>19</v>
      </c>
      <c r="K643" s="2" t="s">
        <v>34</v>
      </c>
      <c r="L643" s="7" t="str">
        <f>HYPERLINK("http://slimages.macys.com/is/image/MCY/13368055 ")</f>
        <v xml:space="preserve">http://slimages.macys.com/is/image/MCY/13368055 </v>
      </c>
    </row>
    <row r="644" spans="1:12" ht="24.75" x14ac:dyDescent="0.25">
      <c r="A644" s="4" t="s">
        <v>14307</v>
      </c>
      <c r="B644" s="2" t="s">
        <v>1829</v>
      </c>
      <c r="C644" s="3">
        <v>1</v>
      </c>
      <c r="D644" s="5">
        <v>14.99</v>
      </c>
      <c r="E644" s="3" t="s">
        <v>14308</v>
      </c>
      <c r="F644" s="2" t="s">
        <v>70</v>
      </c>
      <c r="G644" s="6" t="s">
        <v>181</v>
      </c>
      <c r="H644" s="2" t="s">
        <v>194</v>
      </c>
      <c r="I644" s="2" t="s">
        <v>307</v>
      </c>
      <c r="J644" s="2" t="s">
        <v>19</v>
      </c>
      <c r="K644" s="2" t="s">
        <v>1831</v>
      </c>
      <c r="L644" s="7" t="str">
        <f>HYPERLINK("http://slimages.macys.com/is/image/MCY/13120872 ")</f>
        <v xml:space="preserve">http://slimages.macys.com/is/image/MCY/13120872 </v>
      </c>
    </row>
    <row r="645" spans="1:12" ht="24.75" x14ac:dyDescent="0.25">
      <c r="A645" s="4" t="s">
        <v>6827</v>
      </c>
      <c r="B645" s="2" t="s">
        <v>1856</v>
      </c>
      <c r="C645" s="3">
        <v>2</v>
      </c>
      <c r="D645" s="5">
        <v>17.989999999999998</v>
      </c>
      <c r="E645" s="3" t="s">
        <v>1857</v>
      </c>
      <c r="F645" s="2" t="s">
        <v>38</v>
      </c>
      <c r="G645" s="6"/>
      <c r="H645" s="2" t="s">
        <v>1425</v>
      </c>
      <c r="I645" s="2" t="s">
        <v>1469</v>
      </c>
      <c r="J645" s="2"/>
      <c r="K645" s="2"/>
      <c r="L645" s="7" t="str">
        <f>HYPERLINK("http://slimages.macys.com/is/image/MCY/11522835 ")</f>
        <v xml:space="preserve">http://slimages.macys.com/is/image/MCY/11522835 </v>
      </c>
    </row>
    <row r="646" spans="1:12" ht="24.75" x14ac:dyDescent="0.25">
      <c r="A646" s="4" t="s">
        <v>6122</v>
      </c>
      <c r="B646" s="2" t="s">
        <v>1856</v>
      </c>
      <c r="C646" s="3">
        <v>1</v>
      </c>
      <c r="D646" s="5">
        <v>17.989999999999998</v>
      </c>
      <c r="E646" s="3" t="s">
        <v>1857</v>
      </c>
      <c r="F646" s="2" t="s">
        <v>38</v>
      </c>
      <c r="G646" s="6"/>
      <c r="H646" s="2" t="s">
        <v>1425</v>
      </c>
      <c r="I646" s="2" t="s">
        <v>1469</v>
      </c>
      <c r="J646" s="2"/>
      <c r="K646" s="2"/>
      <c r="L646" s="7" t="str">
        <f>HYPERLINK("http://slimages.macys.com/is/image/MCY/11522835 ")</f>
        <v xml:space="preserve">http://slimages.macys.com/is/image/MCY/11522835 </v>
      </c>
    </row>
    <row r="647" spans="1:12" ht="24.75" x14ac:dyDescent="0.25">
      <c r="A647" s="4" t="s">
        <v>6123</v>
      </c>
      <c r="B647" s="2" t="s">
        <v>1856</v>
      </c>
      <c r="C647" s="3">
        <v>1</v>
      </c>
      <c r="D647" s="5">
        <v>17.989999999999998</v>
      </c>
      <c r="E647" s="3" t="s">
        <v>1857</v>
      </c>
      <c r="F647" s="2" t="s">
        <v>38</v>
      </c>
      <c r="G647" s="6" t="s">
        <v>219</v>
      </c>
      <c r="H647" s="2" t="s">
        <v>1425</v>
      </c>
      <c r="I647" s="2" t="s">
        <v>1469</v>
      </c>
      <c r="J647" s="2"/>
      <c r="K647" s="2"/>
      <c r="L647" s="7" t="str">
        <f>HYPERLINK("http://slimages.macys.com/is/image/MCY/11522835 ")</f>
        <v xml:space="preserve">http://slimages.macys.com/is/image/MCY/11522835 </v>
      </c>
    </row>
    <row r="648" spans="1:12" ht="24.75" x14ac:dyDescent="0.25">
      <c r="A648" s="4" t="s">
        <v>14309</v>
      </c>
      <c r="B648" s="2" t="s">
        <v>11272</v>
      </c>
      <c r="C648" s="3">
        <v>1</v>
      </c>
      <c r="D648" s="5">
        <v>19.989999999999998</v>
      </c>
      <c r="E648" s="3" t="s">
        <v>11277</v>
      </c>
      <c r="F648" s="2" t="s">
        <v>417</v>
      </c>
      <c r="G648" s="6" t="s">
        <v>156</v>
      </c>
      <c r="H648" s="2" t="s">
        <v>1473</v>
      </c>
      <c r="I648" s="2" t="s">
        <v>1426</v>
      </c>
      <c r="J648" s="2" t="s">
        <v>19</v>
      </c>
      <c r="K648" s="2" t="s">
        <v>107</v>
      </c>
      <c r="L648" s="7" t="str">
        <f>HYPERLINK("http://slimages.macys.com/is/image/MCY/14825102 ")</f>
        <v xml:space="preserve">http://slimages.macys.com/is/image/MCY/14825102 </v>
      </c>
    </row>
    <row r="649" spans="1:12" ht="24.75" x14ac:dyDescent="0.25">
      <c r="A649" s="4" t="s">
        <v>13389</v>
      </c>
      <c r="B649" s="2" t="s">
        <v>11279</v>
      </c>
      <c r="C649" s="3">
        <v>1</v>
      </c>
      <c r="D649" s="5">
        <v>19.989999999999998</v>
      </c>
      <c r="E649" s="3" t="s">
        <v>11280</v>
      </c>
      <c r="F649" s="2" t="s">
        <v>417</v>
      </c>
      <c r="G649" s="6" t="s">
        <v>234</v>
      </c>
      <c r="H649" s="2" t="s">
        <v>1473</v>
      </c>
      <c r="I649" s="2" t="s">
        <v>1426</v>
      </c>
      <c r="J649" s="2" t="s">
        <v>19</v>
      </c>
      <c r="K649" s="2" t="s">
        <v>107</v>
      </c>
      <c r="L649" s="7" t="str">
        <f>HYPERLINK("http://slimages.macys.com/is/image/MCY/14825689 ")</f>
        <v xml:space="preserve">http://slimages.macys.com/is/image/MCY/14825689 </v>
      </c>
    </row>
    <row r="650" spans="1:12" ht="24.75" x14ac:dyDescent="0.25">
      <c r="A650" s="4" t="s">
        <v>8823</v>
      </c>
      <c r="B650" s="2" t="s">
        <v>1862</v>
      </c>
      <c r="C650" s="3">
        <v>1</v>
      </c>
      <c r="D650" s="5">
        <v>20.99</v>
      </c>
      <c r="E650" s="3" t="s">
        <v>1868</v>
      </c>
      <c r="F650" s="2" t="s">
        <v>70</v>
      </c>
      <c r="G650" s="6" t="s">
        <v>154</v>
      </c>
      <c r="H650" s="2" t="s">
        <v>1473</v>
      </c>
      <c r="I650" s="2" t="s">
        <v>1864</v>
      </c>
      <c r="J650" s="2" t="s">
        <v>19</v>
      </c>
      <c r="K650" s="2" t="s">
        <v>648</v>
      </c>
      <c r="L650" s="7" t="str">
        <f>HYPERLINK("http://slimages.macys.com/is/image/MCY/12267099 ")</f>
        <v xml:space="preserve">http://slimages.macys.com/is/image/MCY/12267099 </v>
      </c>
    </row>
    <row r="651" spans="1:12" ht="24.75" x14ac:dyDescent="0.25">
      <c r="A651" s="4" t="s">
        <v>3046</v>
      </c>
      <c r="B651" s="2" t="s">
        <v>1862</v>
      </c>
      <c r="C651" s="3">
        <v>1</v>
      </c>
      <c r="D651" s="5">
        <v>20.99</v>
      </c>
      <c r="E651" s="3" t="s">
        <v>1868</v>
      </c>
      <c r="F651" s="2" t="s">
        <v>998</v>
      </c>
      <c r="G651" s="6" t="s">
        <v>154</v>
      </c>
      <c r="H651" s="2" t="s">
        <v>1473</v>
      </c>
      <c r="I651" s="2" t="s">
        <v>1864</v>
      </c>
      <c r="J651" s="2" t="s">
        <v>19</v>
      </c>
      <c r="K651" s="2" t="s">
        <v>648</v>
      </c>
      <c r="L651" s="7" t="str">
        <f>HYPERLINK("http://slimages.macys.com/is/image/MCY/12267099 ")</f>
        <v xml:space="preserve">http://slimages.macys.com/is/image/MCY/12267099 </v>
      </c>
    </row>
    <row r="652" spans="1:12" ht="24.75" x14ac:dyDescent="0.25">
      <c r="A652" s="4" t="s">
        <v>14310</v>
      </c>
      <c r="B652" s="2" t="s">
        <v>14311</v>
      </c>
      <c r="C652" s="3">
        <v>1</v>
      </c>
      <c r="D652" s="5">
        <v>19.989999999999998</v>
      </c>
      <c r="E652" s="3" t="s">
        <v>14312</v>
      </c>
      <c r="F652" s="2" t="s">
        <v>74</v>
      </c>
      <c r="G652" s="6" t="s">
        <v>234</v>
      </c>
      <c r="H652" s="2" t="s">
        <v>1473</v>
      </c>
      <c r="I652" s="2" t="s">
        <v>1426</v>
      </c>
      <c r="J652" s="2" t="s">
        <v>19</v>
      </c>
      <c r="K652" s="2" t="s">
        <v>648</v>
      </c>
      <c r="L652" s="7" t="str">
        <f>HYPERLINK("http://slimages.macys.com/is/image/MCY/14770235 ")</f>
        <v xml:space="preserve">http://slimages.macys.com/is/image/MCY/14770235 </v>
      </c>
    </row>
    <row r="653" spans="1:12" ht="24.75" x14ac:dyDescent="0.25">
      <c r="A653" s="4" t="s">
        <v>14313</v>
      </c>
      <c r="B653" s="2" t="s">
        <v>11291</v>
      </c>
      <c r="C653" s="3">
        <v>1</v>
      </c>
      <c r="D653" s="5">
        <v>19.989999999999998</v>
      </c>
      <c r="E653" s="3" t="s">
        <v>11292</v>
      </c>
      <c r="F653" s="2" t="s">
        <v>1322</v>
      </c>
      <c r="G653" s="6" t="s">
        <v>181</v>
      </c>
      <c r="H653" s="2" t="s">
        <v>1473</v>
      </c>
      <c r="I653" s="2" t="s">
        <v>1426</v>
      </c>
      <c r="J653" s="2" t="s">
        <v>19</v>
      </c>
      <c r="K653" s="2" t="s">
        <v>648</v>
      </c>
      <c r="L653" s="7" t="str">
        <f>HYPERLINK("http://slimages.macys.com/is/image/MCY/14769961 ")</f>
        <v xml:space="preserve">http://slimages.macys.com/is/image/MCY/14769961 </v>
      </c>
    </row>
    <row r="654" spans="1:12" ht="24.75" x14ac:dyDescent="0.25">
      <c r="A654" s="4" t="s">
        <v>14314</v>
      </c>
      <c r="B654" s="2" t="s">
        <v>14311</v>
      </c>
      <c r="C654" s="3">
        <v>1</v>
      </c>
      <c r="D654" s="5">
        <v>19.989999999999998</v>
      </c>
      <c r="E654" s="3" t="s">
        <v>14312</v>
      </c>
      <c r="F654" s="2" t="s">
        <v>74</v>
      </c>
      <c r="G654" s="6" t="s">
        <v>154</v>
      </c>
      <c r="H654" s="2" t="s">
        <v>1473</v>
      </c>
      <c r="I654" s="2" t="s">
        <v>1426</v>
      </c>
      <c r="J654" s="2" t="s">
        <v>19</v>
      </c>
      <c r="K654" s="2" t="s">
        <v>648</v>
      </c>
      <c r="L654" s="7" t="str">
        <f>HYPERLINK("http://slimages.macys.com/is/image/MCY/14770235 ")</f>
        <v xml:space="preserve">http://slimages.macys.com/is/image/MCY/14770235 </v>
      </c>
    </row>
    <row r="655" spans="1:12" ht="36.75" x14ac:dyDescent="0.25">
      <c r="A655" s="4" t="s">
        <v>13397</v>
      </c>
      <c r="B655" s="2" t="s">
        <v>4143</v>
      </c>
      <c r="C655" s="3">
        <v>1</v>
      </c>
      <c r="D655" s="5">
        <v>17.989999999999998</v>
      </c>
      <c r="E655" s="3" t="s">
        <v>4144</v>
      </c>
      <c r="F655" s="2" t="s">
        <v>64</v>
      </c>
      <c r="G655" s="6" t="s">
        <v>154</v>
      </c>
      <c r="H655" s="2" t="s">
        <v>1473</v>
      </c>
      <c r="I655" s="2" t="s">
        <v>1426</v>
      </c>
      <c r="J655" s="2" t="s">
        <v>19</v>
      </c>
      <c r="K655" s="2" t="s">
        <v>4151</v>
      </c>
      <c r="L655" s="7" t="str">
        <f>HYPERLINK("http://slimages.macys.com/is/image/MCY/12064410 ")</f>
        <v xml:space="preserve">http://slimages.macys.com/is/image/MCY/12064410 </v>
      </c>
    </row>
    <row r="656" spans="1:12" ht="24.75" x14ac:dyDescent="0.25">
      <c r="A656" s="4" t="s">
        <v>14315</v>
      </c>
      <c r="B656" s="2" t="s">
        <v>13407</v>
      </c>
      <c r="C656" s="3">
        <v>1</v>
      </c>
      <c r="D656" s="5">
        <v>19.989999999999998</v>
      </c>
      <c r="E656" s="3" t="s">
        <v>14316</v>
      </c>
      <c r="F656" s="2" t="s">
        <v>417</v>
      </c>
      <c r="G656" s="6"/>
      <c r="H656" s="2" t="s">
        <v>1425</v>
      </c>
      <c r="I656" s="2" t="s">
        <v>1426</v>
      </c>
      <c r="J656" s="2" t="s">
        <v>19</v>
      </c>
      <c r="K656" s="2" t="s">
        <v>648</v>
      </c>
      <c r="L656" s="7" t="str">
        <f>HYPERLINK("http://slimages.macys.com/is/image/MCY/14770143 ")</f>
        <v xml:space="preserve">http://slimages.macys.com/is/image/MCY/14770143 </v>
      </c>
    </row>
    <row r="657" spans="1:12" ht="24.75" x14ac:dyDescent="0.25">
      <c r="A657" s="4" t="s">
        <v>11305</v>
      </c>
      <c r="B657" s="2" t="s">
        <v>11306</v>
      </c>
      <c r="C657" s="3">
        <v>1</v>
      </c>
      <c r="D657" s="5">
        <v>17.989999999999998</v>
      </c>
      <c r="E657" s="3" t="s">
        <v>11307</v>
      </c>
      <c r="F657" s="2" t="s">
        <v>33</v>
      </c>
      <c r="G657" s="6" t="s">
        <v>181</v>
      </c>
      <c r="H657" s="2" t="s">
        <v>1522</v>
      </c>
      <c r="I657" s="2" t="s">
        <v>1469</v>
      </c>
      <c r="J657" s="2" t="s">
        <v>19</v>
      </c>
      <c r="K657" s="2" t="s">
        <v>495</v>
      </c>
      <c r="L657" s="7" t="str">
        <f>HYPERLINK("http://slimages.macys.com/is/image/MCY/13812518 ")</f>
        <v xml:space="preserve">http://slimages.macys.com/is/image/MCY/13812518 </v>
      </c>
    </row>
    <row r="658" spans="1:12" ht="24.75" x14ac:dyDescent="0.25">
      <c r="A658" s="4" t="s">
        <v>14317</v>
      </c>
      <c r="B658" s="2" t="s">
        <v>13404</v>
      </c>
      <c r="C658" s="3">
        <v>1</v>
      </c>
      <c r="D658" s="5">
        <v>19.989999999999998</v>
      </c>
      <c r="E658" s="3" t="s">
        <v>13405</v>
      </c>
      <c r="F658" s="2" t="s">
        <v>1322</v>
      </c>
      <c r="G658" s="6" t="s">
        <v>234</v>
      </c>
      <c r="H658" s="2" t="s">
        <v>1473</v>
      </c>
      <c r="I658" s="2" t="s">
        <v>1426</v>
      </c>
      <c r="J658" s="2" t="s">
        <v>19</v>
      </c>
      <c r="K658" s="2" t="s">
        <v>107</v>
      </c>
      <c r="L658" s="7" t="str">
        <f>HYPERLINK("http://slimages.macys.com/is/image/MCY/15071207 ")</f>
        <v xml:space="preserve">http://slimages.macys.com/is/image/MCY/15071207 </v>
      </c>
    </row>
    <row r="659" spans="1:12" ht="24.75" x14ac:dyDescent="0.25">
      <c r="A659" s="4" t="s">
        <v>12477</v>
      </c>
      <c r="B659" s="2" t="s">
        <v>11295</v>
      </c>
      <c r="C659" s="3">
        <v>1</v>
      </c>
      <c r="D659" s="5">
        <v>19.989999999999998</v>
      </c>
      <c r="E659" s="3" t="s">
        <v>11296</v>
      </c>
      <c r="F659" s="2" t="s">
        <v>417</v>
      </c>
      <c r="G659" s="6" t="s">
        <v>156</v>
      </c>
      <c r="H659" s="2" t="s">
        <v>1473</v>
      </c>
      <c r="I659" s="2" t="s">
        <v>1426</v>
      </c>
      <c r="J659" s="2" t="s">
        <v>19</v>
      </c>
      <c r="K659" s="2" t="s">
        <v>107</v>
      </c>
      <c r="L659" s="7" t="str">
        <f>HYPERLINK("http://slimages.macys.com/is/image/MCY/15071145 ")</f>
        <v xml:space="preserve">http://slimages.macys.com/is/image/MCY/15071145 </v>
      </c>
    </row>
    <row r="660" spans="1:12" ht="24.75" x14ac:dyDescent="0.25">
      <c r="A660" s="4" t="s">
        <v>14318</v>
      </c>
      <c r="B660" s="2" t="s">
        <v>14319</v>
      </c>
      <c r="C660" s="3">
        <v>1</v>
      </c>
      <c r="D660" s="5">
        <v>30</v>
      </c>
      <c r="E660" s="3" t="s">
        <v>14320</v>
      </c>
      <c r="F660" s="2" t="s">
        <v>15</v>
      </c>
      <c r="G660" s="6" t="s">
        <v>181</v>
      </c>
      <c r="H660" s="2" t="s">
        <v>10225</v>
      </c>
      <c r="I660" s="2" t="s">
        <v>792</v>
      </c>
      <c r="J660" s="2" t="s">
        <v>1499</v>
      </c>
      <c r="K660" s="2" t="s">
        <v>160</v>
      </c>
      <c r="L660" s="7" t="str">
        <f>HYPERLINK("http://slimages.macys.com/is/image/MCY/9944074 ")</f>
        <v xml:space="preserve">http://slimages.macys.com/is/image/MCY/9944074 </v>
      </c>
    </row>
    <row r="661" spans="1:12" ht="24.75" x14ac:dyDescent="0.25">
      <c r="A661" s="4" t="s">
        <v>14321</v>
      </c>
      <c r="B661" s="2" t="s">
        <v>1879</v>
      </c>
      <c r="C661" s="3">
        <v>1</v>
      </c>
      <c r="D661" s="5">
        <v>17.989999999999998</v>
      </c>
      <c r="E661" s="3" t="s">
        <v>14322</v>
      </c>
      <c r="F661" s="2" t="s">
        <v>464</v>
      </c>
      <c r="G661" s="6" t="s">
        <v>156</v>
      </c>
      <c r="H661" s="2" t="s">
        <v>194</v>
      </c>
      <c r="I661" s="2" t="s">
        <v>195</v>
      </c>
      <c r="J661" s="2" t="s">
        <v>19</v>
      </c>
      <c r="K661" s="2" t="s">
        <v>648</v>
      </c>
      <c r="L661" s="7" t="str">
        <f>HYPERLINK("http://slimages.macys.com/is/image/MCY/10482866 ")</f>
        <v xml:space="preserve">http://slimages.macys.com/is/image/MCY/10482866 </v>
      </c>
    </row>
    <row r="662" spans="1:12" ht="24.75" x14ac:dyDescent="0.25">
      <c r="A662" s="4" t="s">
        <v>14323</v>
      </c>
      <c r="B662" s="2" t="s">
        <v>1879</v>
      </c>
      <c r="C662" s="3">
        <v>1</v>
      </c>
      <c r="D662" s="5">
        <v>17.989999999999998</v>
      </c>
      <c r="E662" s="3" t="s">
        <v>1880</v>
      </c>
      <c r="F662" s="2" t="s">
        <v>752</v>
      </c>
      <c r="G662" s="6" t="s">
        <v>156</v>
      </c>
      <c r="H662" s="2" t="s">
        <v>194</v>
      </c>
      <c r="I662" s="2" t="s">
        <v>195</v>
      </c>
      <c r="J662" s="2" t="s">
        <v>19</v>
      </c>
      <c r="K662" s="2" t="s">
        <v>648</v>
      </c>
      <c r="L662" s="7" t="str">
        <f>HYPERLINK("http://slimages.macys.com/is/image/MCY/10482866 ")</f>
        <v xml:space="preserve">http://slimages.macys.com/is/image/MCY/10482866 </v>
      </c>
    </row>
    <row r="663" spans="1:12" ht="24.75" x14ac:dyDescent="0.25">
      <c r="A663" s="4" t="s">
        <v>1904</v>
      </c>
      <c r="B663" s="2" t="s">
        <v>1892</v>
      </c>
      <c r="C663" s="3">
        <v>2</v>
      </c>
      <c r="D663" s="5">
        <v>20.99</v>
      </c>
      <c r="E663" s="3" t="s">
        <v>1893</v>
      </c>
      <c r="F663" s="2" t="s">
        <v>15</v>
      </c>
      <c r="G663" s="6"/>
      <c r="H663" s="2" t="s">
        <v>1425</v>
      </c>
      <c r="I663" s="2" t="s">
        <v>1864</v>
      </c>
      <c r="J663" s="2" t="s">
        <v>19</v>
      </c>
      <c r="K663" s="2" t="s">
        <v>1894</v>
      </c>
      <c r="L663" s="7" t="str">
        <f>HYPERLINK("http://slimages.macys.com/is/image/MCY/11689288 ")</f>
        <v xml:space="preserve">http://slimages.macys.com/is/image/MCY/11689288 </v>
      </c>
    </row>
    <row r="664" spans="1:12" ht="24.75" x14ac:dyDescent="0.25">
      <c r="A664" s="4" t="s">
        <v>1909</v>
      </c>
      <c r="B664" s="2" t="s">
        <v>1892</v>
      </c>
      <c r="C664" s="3">
        <v>1</v>
      </c>
      <c r="D664" s="5">
        <v>20.99</v>
      </c>
      <c r="E664" s="3" t="s">
        <v>1893</v>
      </c>
      <c r="F664" s="2" t="s">
        <v>15</v>
      </c>
      <c r="G664" s="6"/>
      <c r="H664" s="2" t="s">
        <v>1425</v>
      </c>
      <c r="I664" s="2" t="s">
        <v>1864</v>
      </c>
      <c r="J664" s="2" t="s">
        <v>19</v>
      </c>
      <c r="K664" s="2" t="s">
        <v>1894</v>
      </c>
      <c r="L664" s="7" t="str">
        <f>HYPERLINK("http://slimages.macys.com/is/image/MCY/11689288 ")</f>
        <v xml:space="preserve">http://slimages.macys.com/is/image/MCY/11689288 </v>
      </c>
    </row>
    <row r="665" spans="1:12" ht="24.75" x14ac:dyDescent="0.25">
      <c r="A665" s="4" t="s">
        <v>4156</v>
      </c>
      <c r="B665" s="2" t="s">
        <v>1892</v>
      </c>
      <c r="C665" s="3">
        <v>1</v>
      </c>
      <c r="D665" s="5">
        <v>20.99</v>
      </c>
      <c r="E665" s="3" t="s">
        <v>1893</v>
      </c>
      <c r="F665" s="2" t="s">
        <v>15</v>
      </c>
      <c r="G665" s="6" t="s">
        <v>187</v>
      </c>
      <c r="H665" s="2" t="s">
        <v>1425</v>
      </c>
      <c r="I665" s="2" t="s">
        <v>1864</v>
      </c>
      <c r="J665" s="2" t="s">
        <v>19</v>
      </c>
      <c r="K665" s="2" t="s">
        <v>1894</v>
      </c>
      <c r="L665" s="7" t="str">
        <f>HYPERLINK("http://slimages.macys.com/is/image/MCY/11689288 ")</f>
        <v xml:space="preserve">http://slimages.macys.com/is/image/MCY/11689288 </v>
      </c>
    </row>
    <row r="666" spans="1:12" ht="24.75" x14ac:dyDescent="0.25">
      <c r="A666" s="4" t="s">
        <v>3057</v>
      </c>
      <c r="B666" s="2" t="s">
        <v>1892</v>
      </c>
      <c r="C666" s="3">
        <v>1</v>
      </c>
      <c r="D666" s="5">
        <v>20.99</v>
      </c>
      <c r="E666" s="3" t="s">
        <v>1901</v>
      </c>
      <c r="F666" s="2" t="s">
        <v>1788</v>
      </c>
      <c r="G666" s="6" t="s">
        <v>154</v>
      </c>
      <c r="H666" s="2" t="s">
        <v>1473</v>
      </c>
      <c r="I666" s="2" t="s">
        <v>1864</v>
      </c>
      <c r="J666" s="2" t="s">
        <v>19</v>
      </c>
      <c r="K666" s="2" t="s">
        <v>648</v>
      </c>
      <c r="L666" s="7" t="str">
        <f>HYPERLINK("http://slimages.macys.com/is/image/MCY/11689284 ")</f>
        <v xml:space="preserve">http://slimages.macys.com/is/image/MCY/11689284 </v>
      </c>
    </row>
    <row r="667" spans="1:12" ht="24.75" x14ac:dyDescent="0.25">
      <c r="A667" s="4" t="s">
        <v>3075</v>
      </c>
      <c r="B667" s="2" t="s">
        <v>1896</v>
      </c>
      <c r="C667" s="3">
        <v>1</v>
      </c>
      <c r="D667" s="5">
        <v>20.99</v>
      </c>
      <c r="E667" s="3" t="s">
        <v>1899</v>
      </c>
      <c r="F667" s="2" t="s">
        <v>998</v>
      </c>
      <c r="G667" s="6" t="s">
        <v>154</v>
      </c>
      <c r="H667" s="2" t="s">
        <v>1473</v>
      </c>
      <c r="I667" s="2" t="s">
        <v>1864</v>
      </c>
      <c r="J667" s="2" t="s">
        <v>19</v>
      </c>
      <c r="K667" s="2" t="s">
        <v>648</v>
      </c>
      <c r="L667" s="7" t="str">
        <f>HYPERLINK("http://slimages.macys.com/is/image/MCY/10787705 ")</f>
        <v xml:space="preserve">http://slimages.macys.com/is/image/MCY/10787705 </v>
      </c>
    </row>
    <row r="668" spans="1:12" ht="24.75" x14ac:dyDescent="0.25">
      <c r="A668" s="4" t="s">
        <v>8826</v>
      </c>
      <c r="B668" s="2" t="s">
        <v>1892</v>
      </c>
      <c r="C668" s="3">
        <v>2</v>
      </c>
      <c r="D668" s="5">
        <v>20.99</v>
      </c>
      <c r="E668" s="3" t="s">
        <v>1901</v>
      </c>
      <c r="F668" s="2" t="s">
        <v>252</v>
      </c>
      <c r="G668" s="6" t="s">
        <v>154</v>
      </c>
      <c r="H668" s="2" t="s">
        <v>1473</v>
      </c>
      <c r="I668" s="2" t="s">
        <v>1864</v>
      </c>
      <c r="J668" s="2" t="s">
        <v>19</v>
      </c>
      <c r="K668" s="2" t="s">
        <v>648</v>
      </c>
      <c r="L668" s="7" t="str">
        <f>HYPERLINK("http://slimages.macys.com/is/image/MCY/11689284 ")</f>
        <v xml:space="preserve">http://slimages.macys.com/is/image/MCY/11689284 </v>
      </c>
    </row>
    <row r="669" spans="1:12" ht="24.75" x14ac:dyDescent="0.25">
      <c r="A669" s="4" t="s">
        <v>3051</v>
      </c>
      <c r="B669" s="2" t="s">
        <v>1892</v>
      </c>
      <c r="C669" s="3">
        <v>1</v>
      </c>
      <c r="D669" s="5">
        <v>20.99</v>
      </c>
      <c r="E669" s="3" t="s">
        <v>1901</v>
      </c>
      <c r="F669" s="2" t="s">
        <v>998</v>
      </c>
      <c r="G669" s="6" t="s">
        <v>154</v>
      </c>
      <c r="H669" s="2" t="s">
        <v>1473</v>
      </c>
      <c r="I669" s="2" t="s">
        <v>1864</v>
      </c>
      <c r="J669" s="2" t="s">
        <v>19</v>
      </c>
      <c r="K669" s="2" t="s">
        <v>648</v>
      </c>
      <c r="L669" s="7" t="str">
        <f>HYPERLINK("http://slimages.macys.com/is/image/MCY/11689284 ")</f>
        <v xml:space="preserve">http://slimages.macys.com/is/image/MCY/11689284 </v>
      </c>
    </row>
    <row r="670" spans="1:12" ht="24.75" x14ac:dyDescent="0.25">
      <c r="A670" s="4" t="s">
        <v>14324</v>
      </c>
      <c r="B670" s="2" t="s">
        <v>1896</v>
      </c>
      <c r="C670" s="3">
        <v>1</v>
      </c>
      <c r="D670" s="5">
        <v>20.99</v>
      </c>
      <c r="E670" s="3" t="s">
        <v>1899</v>
      </c>
      <c r="F670" s="2" t="s">
        <v>1788</v>
      </c>
      <c r="G670" s="6" t="s">
        <v>234</v>
      </c>
      <c r="H670" s="2" t="s">
        <v>1473</v>
      </c>
      <c r="I670" s="2" t="s">
        <v>1864</v>
      </c>
      <c r="J670" s="2" t="s">
        <v>19</v>
      </c>
      <c r="K670" s="2" t="s">
        <v>648</v>
      </c>
      <c r="L670" s="7" t="str">
        <f>HYPERLINK("http://slimages.macys.com/is/image/MCY/10787705 ")</f>
        <v xml:space="preserve">http://slimages.macys.com/is/image/MCY/10787705 </v>
      </c>
    </row>
    <row r="671" spans="1:12" ht="24.75" x14ac:dyDescent="0.25">
      <c r="A671" s="4" t="s">
        <v>14325</v>
      </c>
      <c r="B671" s="2" t="s">
        <v>1896</v>
      </c>
      <c r="C671" s="3">
        <v>1</v>
      </c>
      <c r="D671" s="5">
        <v>20.99</v>
      </c>
      <c r="E671" s="3" t="s">
        <v>1899</v>
      </c>
      <c r="F671" s="2" t="s">
        <v>1788</v>
      </c>
      <c r="G671" s="6" t="s">
        <v>181</v>
      </c>
      <c r="H671" s="2" t="s">
        <v>1473</v>
      </c>
      <c r="I671" s="2" t="s">
        <v>1864</v>
      </c>
      <c r="J671" s="2" t="s">
        <v>19</v>
      </c>
      <c r="K671" s="2" t="s">
        <v>648</v>
      </c>
      <c r="L671" s="7" t="str">
        <f>HYPERLINK("http://slimages.macys.com/is/image/MCY/10787705 ")</f>
        <v xml:space="preserve">http://slimages.macys.com/is/image/MCY/10787705 </v>
      </c>
    </row>
    <row r="672" spans="1:12" ht="24.75" x14ac:dyDescent="0.25">
      <c r="A672" s="4" t="s">
        <v>4154</v>
      </c>
      <c r="B672" s="2" t="s">
        <v>1892</v>
      </c>
      <c r="C672" s="3">
        <v>1</v>
      </c>
      <c r="D672" s="5">
        <v>20.99</v>
      </c>
      <c r="E672" s="3" t="s">
        <v>1901</v>
      </c>
      <c r="F672" s="2" t="s">
        <v>252</v>
      </c>
      <c r="G672" s="6" t="s">
        <v>181</v>
      </c>
      <c r="H672" s="2" t="s">
        <v>1473</v>
      </c>
      <c r="I672" s="2" t="s">
        <v>1864</v>
      </c>
      <c r="J672" s="2" t="s">
        <v>19</v>
      </c>
      <c r="K672" s="2" t="s">
        <v>648</v>
      </c>
      <c r="L672" s="7" t="str">
        <f>HYPERLINK("http://slimages.macys.com/is/image/MCY/11689284 ")</f>
        <v xml:space="preserve">http://slimages.macys.com/is/image/MCY/11689284 </v>
      </c>
    </row>
    <row r="673" spans="1:12" ht="24.75" x14ac:dyDescent="0.25">
      <c r="A673" s="4" t="s">
        <v>5176</v>
      </c>
      <c r="B673" s="2" t="s">
        <v>1896</v>
      </c>
      <c r="C673" s="3">
        <v>4</v>
      </c>
      <c r="D673" s="5">
        <v>20.99</v>
      </c>
      <c r="E673" s="3" t="s">
        <v>1899</v>
      </c>
      <c r="F673" s="2" t="s">
        <v>252</v>
      </c>
      <c r="G673" s="6" t="s">
        <v>154</v>
      </c>
      <c r="H673" s="2" t="s">
        <v>1473</v>
      </c>
      <c r="I673" s="2" t="s">
        <v>1864</v>
      </c>
      <c r="J673" s="2" t="s">
        <v>19</v>
      </c>
      <c r="K673" s="2" t="s">
        <v>648</v>
      </c>
      <c r="L673" s="7" t="str">
        <f>HYPERLINK("http://slimages.macys.com/is/image/MCY/10787705 ")</f>
        <v xml:space="preserve">http://slimages.macys.com/is/image/MCY/10787705 </v>
      </c>
    </row>
    <row r="674" spans="1:12" ht="24.75" x14ac:dyDescent="0.25">
      <c r="A674" s="4" t="s">
        <v>3076</v>
      </c>
      <c r="B674" s="2" t="s">
        <v>1896</v>
      </c>
      <c r="C674" s="3">
        <v>1</v>
      </c>
      <c r="D674" s="5">
        <v>20.99</v>
      </c>
      <c r="E674" s="3" t="s">
        <v>1899</v>
      </c>
      <c r="F674" s="2" t="s">
        <v>70</v>
      </c>
      <c r="G674" s="6" t="s">
        <v>154</v>
      </c>
      <c r="H674" s="2" t="s">
        <v>1473</v>
      </c>
      <c r="I674" s="2" t="s">
        <v>1864</v>
      </c>
      <c r="J674" s="2" t="s">
        <v>19</v>
      </c>
      <c r="K674" s="2" t="s">
        <v>648</v>
      </c>
      <c r="L674" s="7" t="str">
        <f>HYPERLINK("http://slimages.macys.com/is/image/MCY/10787705 ")</f>
        <v xml:space="preserve">http://slimages.macys.com/is/image/MCY/10787705 </v>
      </c>
    </row>
    <row r="675" spans="1:12" ht="24.75" x14ac:dyDescent="0.25">
      <c r="A675" s="4" t="s">
        <v>14326</v>
      </c>
      <c r="B675" s="2" t="s">
        <v>14327</v>
      </c>
      <c r="C675" s="3">
        <v>1</v>
      </c>
      <c r="D675" s="5">
        <v>25.88</v>
      </c>
      <c r="E675" s="3">
        <v>100024513</v>
      </c>
      <c r="F675" s="2" t="s">
        <v>74</v>
      </c>
      <c r="G675" s="6" t="s">
        <v>156</v>
      </c>
      <c r="H675" s="2" t="s">
        <v>284</v>
      </c>
      <c r="I675" s="2" t="s">
        <v>285</v>
      </c>
      <c r="J675" s="2" t="s">
        <v>19</v>
      </c>
      <c r="K675" s="2" t="s">
        <v>247</v>
      </c>
      <c r="L675" s="7" t="str">
        <f>HYPERLINK("http://slimages.macys.com/is/image/MCY/14475764 ")</f>
        <v xml:space="preserve">http://slimages.macys.com/is/image/MCY/14475764 </v>
      </c>
    </row>
    <row r="676" spans="1:12" ht="24.75" x14ac:dyDescent="0.25">
      <c r="A676" s="4" t="s">
        <v>14328</v>
      </c>
      <c r="B676" s="2" t="s">
        <v>14329</v>
      </c>
      <c r="C676" s="3">
        <v>1</v>
      </c>
      <c r="D676" s="5">
        <v>21.99</v>
      </c>
      <c r="E676" s="3" t="s">
        <v>14330</v>
      </c>
      <c r="F676" s="2" t="s">
        <v>170</v>
      </c>
      <c r="G676" s="6" t="s">
        <v>234</v>
      </c>
      <c r="H676" s="2" t="s">
        <v>284</v>
      </c>
      <c r="I676" s="2" t="s">
        <v>285</v>
      </c>
      <c r="J676" s="2" t="s">
        <v>19</v>
      </c>
      <c r="K676" s="2" t="s">
        <v>247</v>
      </c>
      <c r="L676" s="7" t="str">
        <f>HYPERLINK("http://slimages.macys.com/is/image/MCY/13924281 ")</f>
        <v xml:space="preserve">http://slimages.macys.com/is/image/MCY/13924281 </v>
      </c>
    </row>
    <row r="677" spans="1:12" ht="24.75" x14ac:dyDescent="0.25">
      <c r="A677" s="4" t="s">
        <v>14331</v>
      </c>
      <c r="B677" s="2" t="s">
        <v>14329</v>
      </c>
      <c r="C677" s="3">
        <v>1</v>
      </c>
      <c r="D677" s="5">
        <v>21.99</v>
      </c>
      <c r="E677" s="3" t="s">
        <v>14330</v>
      </c>
      <c r="F677" s="2" t="s">
        <v>70</v>
      </c>
      <c r="G677" s="6" t="s">
        <v>156</v>
      </c>
      <c r="H677" s="2" t="s">
        <v>284</v>
      </c>
      <c r="I677" s="2" t="s">
        <v>285</v>
      </c>
      <c r="J677" s="2" t="s">
        <v>19</v>
      </c>
      <c r="K677" s="2" t="s">
        <v>247</v>
      </c>
      <c r="L677" s="7" t="str">
        <f>HYPERLINK("http://slimages.macys.com/is/image/MCY/13924281 ")</f>
        <v xml:space="preserve">http://slimages.macys.com/is/image/MCY/13924281 </v>
      </c>
    </row>
    <row r="678" spans="1:12" ht="24.75" x14ac:dyDescent="0.25">
      <c r="A678" s="4" t="s">
        <v>14332</v>
      </c>
      <c r="B678" s="2" t="s">
        <v>14333</v>
      </c>
      <c r="C678" s="3">
        <v>1</v>
      </c>
      <c r="D678" s="5">
        <v>21.99</v>
      </c>
      <c r="E678" s="3" t="s">
        <v>14334</v>
      </c>
      <c r="F678" s="2" t="s">
        <v>15</v>
      </c>
      <c r="G678" s="6" t="s">
        <v>200</v>
      </c>
      <c r="H678" s="2" t="s">
        <v>284</v>
      </c>
      <c r="I678" s="2" t="s">
        <v>285</v>
      </c>
      <c r="J678" s="2" t="s">
        <v>19</v>
      </c>
      <c r="K678" s="2" t="s">
        <v>247</v>
      </c>
      <c r="L678" s="7" t="str">
        <f>HYPERLINK("http://slimages.macys.com/is/image/MCY/14368372 ")</f>
        <v xml:space="preserve">http://slimages.macys.com/is/image/MCY/14368372 </v>
      </c>
    </row>
    <row r="679" spans="1:12" ht="24.75" x14ac:dyDescent="0.25">
      <c r="A679" s="4" t="s">
        <v>14335</v>
      </c>
      <c r="B679" s="2" t="s">
        <v>14336</v>
      </c>
      <c r="C679" s="3">
        <v>1</v>
      </c>
      <c r="D679" s="5">
        <v>21.99</v>
      </c>
      <c r="E679" s="3">
        <v>100010561</v>
      </c>
      <c r="F679" s="2" t="s">
        <v>5457</v>
      </c>
      <c r="G679" s="6" t="s">
        <v>181</v>
      </c>
      <c r="H679" s="2" t="s">
        <v>284</v>
      </c>
      <c r="I679" s="2" t="s">
        <v>285</v>
      </c>
      <c r="J679" s="2" t="s">
        <v>19</v>
      </c>
      <c r="K679" s="2" t="s">
        <v>247</v>
      </c>
      <c r="L679" s="7" t="str">
        <f>HYPERLINK("http://slimages.macys.com/is/image/MCY/15645214 ")</f>
        <v xml:space="preserve">http://slimages.macys.com/is/image/MCY/15645214 </v>
      </c>
    </row>
    <row r="680" spans="1:12" ht="24.75" x14ac:dyDescent="0.25">
      <c r="A680" s="4" t="s">
        <v>14337</v>
      </c>
      <c r="B680" s="2" t="s">
        <v>11322</v>
      </c>
      <c r="C680" s="3">
        <v>1</v>
      </c>
      <c r="D680" s="5">
        <v>24.99</v>
      </c>
      <c r="E680" s="3">
        <v>100024030</v>
      </c>
      <c r="F680" s="2" t="s">
        <v>956</v>
      </c>
      <c r="G680" s="6" t="s">
        <v>181</v>
      </c>
      <c r="H680" s="2" t="s">
        <v>284</v>
      </c>
      <c r="I680" s="2" t="s">
        <v>285</v>
      </c>
      <c r="J680" s="2" t="s">
        <v>19</v>
      </c>
      <c r="K680" s="2" t="s">
        <v>247</v>
      </c>
      <c r="L680" s="7" t="str">
        <f>HYPERLINK("http://slimages.macys.com/is/image/MCY/14366698 ")</f>
        <v xml:space="preserve">http://slimages.macys.com/is/image/MCY/14366698 </v>
      </c>
    </row>
    <row r="681" spans="1:12" ht="24.75" x14ac:dyDescent="0.25">
      <c r="A681" s="4" t="s">
        <v>14338</v>
      </c>
      <c r="B681" s="2" t="s">
        <v>11322</v>
      </c>
      <c r="C681" s="3">
        <v>1</v>
      </c>
      <c r="D681" s="5">
        <v>24.99</v>
      </c>
      <c r="E681" s="3">
        <v>100024030</v>
      </c>
      <c r="F681" s="2" t="s">
        <v>956</v>
      </c>
      <c r="G681" s="6" t="s">
        <v>234</v>
      </c>
      <c r="H681" s="2" t="s">
        <v>284</v>
      </c>
      <c r="I681" s="2" t="s">
        <v>285</v>
      </c>
      <c r="J681" s="2" t="s">
        <v>19</v>
      </c>
      <c r="K681" s="2" t="s">
        <v>247</v>
      </c>
      <c r="L681" s="7" t="str">
        <f>HYPERLINK("http://slimages.macys.com/is/image/MCY/14366698 ")</f>
        <v xml:space="preserve">http://slimages.macys.com/is/image/MCY/14366698 </v>
      </c>
    </row>
    <row r="682" spans="1:12" ht="24.75" x14ac:dyDescent="0.25">
      <c r="A682" s="4" t="s">
        <v>12490</v>
      </c>
      <c r="B682" s="2" t="s">
        <v>11322</v>
      </c>
      <c r="C682" s="3">
        <v>1</v>
      </c>
      <c r="D682" s="5">
        <v>24.99</v>
      </c>
      <c r="E682" s="3">
        <v>100024030</v>
      </c>
      <c r="F682" s="2" t="s">
        <v>956</v>
      </c>
      <c r="G682" s="6" t="s">
        <v>181</v>
      </c>
      <c r="H682" s="2" t="s">
        <v>284</v>
      </c>
      <c r="I682" s="2" t="s">
        <v>285</v>
      </c>
      <c r="J682" s="2" t="s">
        <v>19</v>
      </c>
      <c r="K682" s="2" t="s">
        <v>247</v>
      </c>
      <c r="L682" s="7" t="str">
        <f>HYPERLINK("http://slimages.macys.com/is/image/MCY/14366698 ")</f>
        <v xml:space="preserve">http://slimages.macys.com/is/image/MCY/14366698 </v>
      </c>
    </row>
    <row r="683" spans="1:12" ht="24.75" x14ac:dyDescent="0.25">
      <c r="A683" s="4" t="s">
        <v>11321</v>
      </c>
      <c r="B683" s="2" t="s">
        <v>11322</v>
      </c>
      <c r="C683" s="3">
        <v>1</v>
      </c>
      <c r="D683" s="5">
        <v>24.99</v>
      </c>
      <c r="E683" s="3">
        <v>100024030</v>
      </c>
      <c r="F683" s="2" t="s">
        <v>956</v>
      </c>
      <c r="G683" s="6" t="s">
        <v>156</v>
      </c>
      <c r="H683" s="2" t="s">
        <v>284</v>
      </c>
      <c r="I683" s="2" t="s">
        <v>285</v>
      </c>
      <c r="J683" s="2" t="s">
        <v>19</v>
      </c>
      <c r="K683" s="2" t="s">
        <v>247</v>
      </c>
      <c r="L683" s="7" t="str">
        <f>HYPERLINK("http://slimages.macys.com/is/image/MCY/14366698 ")</f>
        <v xml:space="preserve">http://slimages.macys.com/is/image/MCY/14366698 </v>
      </c>
    </row>
    <row r="684" spans="1:12" ht="24.75" x14ac:dyDescent="0.25">
      <c r="A684" s="4" t="s">
        <v>14339</v>
      </c>
      <c r="B684" s="2" t="s">
        <v>6862</v>
      </c>
      <c r="C684" s="3">
        <v>1</v>
      </c>
      <c r="D684" s="5">
        <v>17.989999999999998</v>
      </c>
      <c r="E684" s="3" t="s">
        <v>9778</v>
      </c>
      <c r="F684" s="2" t="s">
        <v>331</v>
      </c>
      <c r="G684" s="6" t="s">
        <v>154</v>
      </c>
      <c r="H684" s="2" t="s">
        <v>1473</v>
      </c>
      <c r="I684" s="2" t="s">
        <v>1426</v>
      </c>
      <c r="J684" s="2" t="s">
        <v>19</v>
      </c>
      <c r="K684" s="2" t="s">
        <v>648</v>
      </c>
      <c r="L684" s="7" t="str">
        <f>HYPERLINK("http://slimages.macys.com/is/image/MCY/12756103 ")</f>
        <v xml:space="preserve">http://slimages.macys.com/is/image/MCY/12756103 </v>
      </c>
    </row>
    <row r="685" spans="1:12" ht="36.75" x14ac:dyDescent="0.25">
      <c r="A685" s="4" t="s">
        <v>14340</v>
      </c>
      <c r="B685" s="2" t="s">
        <v>14341</v>
      </c>
      <c r="C685" s="3">
        <v>1</v>
      </c>
      <c r="D685" s="5">
        <v>23.45</v>
      </c>
      <c r="E685" s="3" t="s">
        <v>14342</v>
      </c>
      <c r="F685" s="2" t="s">
        <v>887</v>
      </c>
      <c r="G685" s="6" t="s">
        <v>446</v>
      </c>
      <c r="H685" s="2" t="s">
        <v>447</v>
      </c>
      <c r="I685" s="2" t="s">
        <v>792</v>
      </c>
      <c r="J685" s="2" t="s">
        <v>19</v>
      </c>
      <c r="K685" s="2" t="s">
        <v>274</v>
      </c>
      <c r="L685" s="7" t="str">
        <f>HYPERLINK("http://slimages.macys.com/is/image/MCY/15602567 ")</f>
        <v xml:space="preserve">http://slimages.macys.com/is/image/MCY/15602567 </v>
      </c>
    </row>
    <row r="686" spans="1:12" ht="24.75" x14ac:dyDescent="0.25">
      <c r="A686" s="4" t="s">
        <v>14343</v>
      </c>
      <c r="B686" s="2" t="s">
        <v>4162</v>
      </c>
      <c r="C686" s="3">
        <v>1</v>
      </c>
      <c r="D686" s="5">
        <v>19.989999999999998</v>
      </c>
      <c r="E686" s="3" t="s">
        <v>4163</v>
      </c>
      <c r="F686" s="2" t="s">
        <v>413</v>
      </c>
      <c r="G686" s="6" t="s">
        <v>200</v>
      </c>
      <c r="H686" s="2" t="s">
        <v>1473</v>
      </c>
      <c r="I686" s="2" t="s">
        <v>1426</v>
      </c>
      <c r="J686" s="2" t="s">
        <v>19</v>
      </c>
      <c r="K686" s="2" t="s">
        <v>648</v>
      </c>
      <c r="L686" s="7" t="str">
        <f>HYPERLINK("http://slimages.macys.com/is/image/MCY/11417426 ")</f>
        <v xml:space="preserve">http://slimages.macys.com/is/image/MCY/11417426 </v>
      </c>
    </row>
    <row r="687" spans="1:12" ht="24.75" x14ac:dyDescent="0.25">
      <c r="A687" s="4" t="s">
        <v>14344</v>
      </c>
      <c r="B687" s="2" t="s">
        <v>6858</v>
      </c>
      <c r="C687" s="3">
        <v>1</v>
      </c>
      <c r="D687" s="5">
        <v>17.989999999999998</v>
      </c>
      <c r="E687" s="3" t="s">
        <v>6859</v>
      </c>
      <c r="F687" s="2" t="s">
        <v>1322</v>
      </c>
      <c r="G687" s="6" t="s">
        <v>234</v>
      </c>
      <c r="H687" s="2" t="s">
        <v>1473</v>
      </c>
      <c r="I687" s="2" t="s">
        <v>1426</v>
      </c>
      <c r="J687" s="2" t="s">
        <v>19</v>
      </c>
      <c r="K687" s="2" t="s">
        <v>107</v>
      </c>
      <c r="L687" s="7" t="str">
        <f>HYPERLINK("http://slimages.macys.com/is/image/MCY/11917711 ")</f>
        <v xml:space="preserve">http://slimages.macys.com/is/image/MCY/11917711 </v>
      </c>
    </row>
    <row r="688" spans="1:12" ht="24.75" x14ac:dyDescent="0.25">
      <c r="A688" s="4" t="s">
        <v>14345</v>
      </c>
      <c r="B688" s="2" t="s">
        <v>14346</v>
      </c>
      <c r="C688" s="3">
        <v>1</v>
      </c>
      <c r="D688" s="5">
        <v>17.989999999999998</v>
      </c>
      <c r="E688" s="3" t="s">
        <v>14347</v>
      </c>
      <c r="F688" s="2" t="s">
        <v>417</v>
      </c>
      <c r="G688" s="6" t="s">
        <v>154</v>
      </c>
      <c r="H688" s="2" t="s">
        <v>1473</v>
      </c>
      <c r="I688" s="2" t="s">
        <v>1426</v>
      </c>
      <c r="J688" s="2" t="s">
        <v>19</v>
      </c>
      <c r="K688" s="2" t="s">
        <v>495</v>
      </c>
      <c r="L688" s="7" t="str">
        <f>HYPERLINK("http://slimages.macys.com/is/image/MCY/13965501 ")</f>
        <v xml:space="preserve">http://slimages.macys.com/is/image/MCY/13965501 </v>
      </c>
    </row>
    <row r="689" spans="1:12" ht="24.75" x14ac:dyDescent="0.25">
      <c r="A689" s="4" t="s">
        <v>14348</v>
      </c>
      <c r="B689" s="2" t="s">
        <v>3089</v>
      </c>
      <c r="C689" s="3">
        <v>1</v>
      </c>
      <c r="D689" s="5">
        <v>14.99</v>
      </c>
      <c r="E689" s="3" t="s">
        <v>3090</v>
      </c>
      <c r="F689" s="2" t="s">
        <v>26</v>
      </c>
      <c r="G689" s="6"/>
      <c r="H689" s="2" t="s">
        <v>1425</v>
      </c>
      <c r="I689" s="2" t="s">
        <v>1426</v>
      </c>
      <c r="J689" s="2" t="s">
        <v>19</v>
      </c>
      <c r="K689" s="2" t="s">
        <v>495</v>
      </c>
      <c r="L689" s="7" t="str">
        <f>HYPERLINK("http://slimages.macys.com/is/image/MCY/12639162 ")</f>
        <v xml:space="preserve">http://slimages.macys.com/is/image/MCY/12639162 </v>
      </c>
    </row>
    <row r="690" spans="1:12" ht="24.75" x14ac:dyDescent="0.25">
      <c r="A690" s="4" t="s">
        <v>6861</v>
      </c>
      <c r="B690" s="2" t="s">
        <v>6862</v>
      </c>
      <c r="C690" s="3">
        <v>1</v>
      </c>
      <c r="D690" s="5">
        <v>17.989999999999998</v>
      </c>
      <c r="E690" s="3" t="s">
        <v>6863</v>
      </c>
      <c r="F690" s="2" t="s">
        <v>417</v>
      </c>
      <c r="G690" s="6" t="s">
        <v>219</v>
      </c>
      <c r="H690" s="2" t="s">
        <v>1425</v>
      </c>
      <c r="I690" s="2" t="s">
        <v>1426</v>
      </c>
      <c r="J690" s="2" t="s">
        <v>19</v>
      </c>
      <c r="K690" s="2" t="s">
        <v>990</v>
      </c>
      <c r="L690" s="7" t="str">
        <f>HYPERLINK("http://slimages.macys.com/is/image/MCY/12327110 ")</f>
        <v xml:space="preserve">http://slimages.macys.com/is/image/MCY/12327110 </v>
      </c>
    </row>
    <row r="691" spans="1:12" ht="24.75" x14ac:dyDescent="0.25">
      <c r="A691" s="4" t="s">
        <v>14349</v>
      </c>
      <c r="B691" s="2" t="s">
        <v>13429</v>
      </c>
      <c r="C691" s="3">
        <v>1</v>
      </c>
      <c r="D691" s="5">
        <v>21.99</v>
      </c>
      <c r="E691" s="3" t="s">
        <v>13430</v>
      </c>
      <c r="F691" s="2" t="s">
        <v>3267</v>
      </c>
      <c r="G691" s="6" t="s">
        <v>156</v>
      </c>
      <c r="H691" s="2" t="s">
        <v>284</v>
      </c>
      <c r="I691" s="2" t="s">
        <v>285</v>
      </c>
      <c r="J691" s="2" t="s">
        <v>19</v>
      </c>
      <c r="K691" s="2" t="s">
        <v>247</v>
      </c>
      <c r="L691" s="7" t="str">
        <f>HYPERLINK("http://slimages.macys.com/is/image/MCY/9678859 ")</f>
        <v xml:space="preserve">http://slimages.macys.com/is/image/MCY/9678859 </v>
      </c>
    </row>
    <row r="692" spans="1:12" ht="24.75" x14ac:dyDescent="0.25">
      <c r="A692" s="4" t="s">
        <v>3111</v>
      </c>
      <c r="B692" s="2" t="s">
        <v>1927</v>
      </c>
      <c r="C692" s="3">
        <v>1</v>
      </c>
      <c r="D692" s="5">
        <v>17.989999999999998</v>
      </c>
      <c r="E692" s="3" t="s">
        <v>1928</v>
      </c>
      <c r="F692" s="2" t="s">
        <v>15</v>
      </c>
      <c r="G692" s="6" t="s">
        <v>154</v>
      </c>
      <c r="H692" s="2" t="s">
        <v>1473</v>
      </c>
      <c r="I692" s="2" t="s">
        <v>1426</v>
      </c>
      <c r="J692" s="2" t="s">
        <v>19</v>
      </c>
      <c r="K692" s="2" t="s">
        <v>803</v>
      </c>
      <c r="L692" s="7" t="str">
        <f>HYPERLINK("http://slimages.macys.com/is/image/MCY/11882200 ")</f>
        <v xml:space="preserve">http://slimages.macys.com/is/image/MCY/11882200 </v>
      </c>
    </row>
    <row r="693" spans="1:12" ht="24.75" x14ac:dyDescent="0.25">
      <c r="A693" s="4" t="s">
        <v>3109</v>
      </c>
      <c r="B693" s="2" t="s">
        <v>1927</v>
      </c>
      <c r="C693" s="3">
        <v>1</v>
      </c>
      <c r="D693" s="5">
        <v>17.989999999999998</v>
      </c>
      <c r="E693" s="3" t="s">
        <v>1928</v>
      </c>
      <c r="F693" s="2" t="s">
        <v>74</v>
      </c>
      <c r="G693" s="6" t="s">
        <v>154</v>
      </c>
      <c r="H693" s="2" t="s">
        <v>1473</v>
      </c>
      <c r="I693" s="2" t="s">
        <v>1426</v>
      </c>
      <c r="J693" s="2" t="s">
        <v>19</v>
      </c>
      <c r="K693" s="2" t="s">
        <v>803</v>
      </c>
      <c r="L693" s="7" t="str">
        <f>HYPERLINK("http://slimages.macys.com/is/image/MCY/11882200 ")</f>
        <v xml:space="preserve">http://slimages.macys.com/is/image/MCY/11882200 </v>
      </c>
    </row>
    <row r="694" spans="1:12" ht="24.75" x14ac:dyDescent="0.25">
      <c r="A694" s="4" t="s">
        <v>1930</v>
      </c>
      <c r="B694" s="2" t="s">
        <v>1927</v>
      </c>
      <c r="C694" s="3">
        <v>1</v>
      </c>
      <c r="D694" s="5">
        <v>17.989999999999998</v>
      </c>
      <c r="E694" s="3" t="s">
        <v>1928</v>
      </c>
      <c r="F694" s="2" t="s">
        <v>15</v>
      </c>
      <c r="G694" s="6" t="s">
        <v>156</v>
      </c>
      <c r="H694" s="2" t="s">
        <v>1473</v>
      </c>
      <c r="I694" s="2" t="s">
        <v>1426</v>
      </c>
      <c r="J694" s="2" t="s">
        <v>19</v>
      </c>
      <c r="K694" s="2" t="s">
        <v>803</v>
      </c>
      <c r="L694" s="7" t="str">
        <f>HYPERLINK("http://slimages.macys.com/is/image/MCY/11882200 ")</f>
        <v xml:space="preserve">http://slimages.macys.com/is/image/MCY/11882200 </v>
      </c>
    </row>
    <row r="695" spans="1:12" ht="24.75" x14ac:dyDescent="0.25">
      <c r="A695" s="4" t="s">
        <v>14350</v>
      </c>
      <c r="B695" s="2" t="s">
        <v>4181</v>
      </c>
      <c r="C695" s="3">
        <v>1</v>
      </c>
      <c r="D695" s="5">
        <v>17.989999999999998</v>
      </c>
      <c r="E695" s="3" t="s">
        <v>4182</v>
      </c>
      <c r="F695" s="2" t="s">
        <v>94</v>
      </c>
      <c r="G695" s="6" t="s">
        <v>156</v>
      </c>
      <c r="H695" s="2" t="s">
        <v>1473</v>
      </c>
      <c r="I695" s="2" t="s">
        <v>1426</v>
      </c>
      <c r="J695" s="2" t="s">
        <v>19</v>
      </c>
      <c r="K695" s="2" t="s">
        <v>990</v>
      </c>
      <c r="L695" s="7" t="str">
        <f>HYPERLINK("http://slimages.macys.com/is/image/MCY/12327134 ")</f>
        <v xml:space="preserve">http://slimages.macys.com/is/image/MCY/12327134 </v>
      </c>
    </row>
    <row r="696" spans="1:12" ht="24.75" x14ac:dyDescent="0.25">
      <c r="A696" s="4" t="s">
        <v>14351</v>
      </c>
      <c r="B696" s="2" t="s">
        <v>13442</v>
      </c>
      <c r="C696" s="3">
        <v>1</v>
      </c>
      <c r="D696" s="5">
        <v>14.99</v>
      </c>
      <c r="E696" s="3" t="s">
        <v>13443</v>
      </c>
      <c r="F696" s="2"/>
      <c r="G696" s="6" t="s">
        <v>156</v>
      </c>
      <c r="H696" s="2" t="s">
        <v>1522</v>
      </c>
      <c r="I696" s="2" t="s">
        <v>1469</v>
      </c>
      <c r="J696" s="2" t="s">
        <v>19</v>
      </c>
      <c r="K696" s="2" t="s">
        <v>495</v>
      </c>
      <c r="L696" s="7" t="str">
        <f>HYPERLINK("http://slimages.macys.com/is/image/MCY/13964312 ")</f>
        <v xml:space="preserve">http://slimages.macys.com/is/image/MCY/13964312 </v>
      </c>
    </row>
    <row r="697" spans="1:12" ht="24.75" x14ac:dyDescent="0.25">
      <c r="A697" s="4" t="s">
        <v>14352</v>
      </c>
      <c r="B697" s="2" t="s">
        <v>13442</v>
      </c>
      <c r="C697" s="3">
        <v>1</v>
      </c>
      <c r="D697" s="5">
        <v>14.99</v>
      </c>
      <c r="E697" s="3" t="s">
        <v>13443</v>
      </c>
      <c r="F697" s="2"/>
      <c r="G697" s="6" t="s">
        <v>234</v>
      </c>
      <c r="H697" s="2" t="s">
        <v>1522</v>
      </c>
      <c r="I697" s="2" t="s">
        <v>1469</v>
      </c>
      <c r="J697" s="2" t="s">
        <v>19</v>
      </c>
      <c r="K697" s="2" t="s">
        <v>495</v>
      </c>
      <c r="L697" s="7" t="str">
        <f>HYPERLINK("http://slimages.macys.com/is/image/MCY/13964312 ")</f>
        <v xml:space="preserve">http://slimages.macys.com/is/image/MCY/13964312 </v>
      </c>
    </row>
    <row r="698" spans="1:12" ht="24.75" x14ac:dyDescent="0.25">
      <c r="A698" s="4" t="s">
        <v>14353</v>
      </c>
      <c r="B698" s="2" t="s">
        <v>1918</v>
      </c>
      <c r="C698" s="3">
        <v>1</v>
      </c>
      <c r="D698" s="5">
        <v>19.989999999999998</v>
      </c>
      <c r="E698" s="3" t="s">
        <v>3087</v>
      </c>
      <c r="F698" s="2" t="s">
        <v>89</v>
      </c>
      <c r="G698" s="6" t="s">
        <v>200</v>
      </c>
      <c r="H698" s="2" t="s">
        <v>246</v>
      </c>
      <c r="I698" s="2" t="s">
        <v>189</v>
      </c>
      <c r="J698" s="2" t="s">
        <v>19</v>
      </c>
      <c r="K698" s="2" t="s">
        <v>648</v>
      </c>
      <c r="L698" s="7" t="str">
        <f>HYPERLINK("http://slimages.macys.com/is/image/MCY/8123674 ")</f>
        <v xml:space="preserve">http://slimages.macys.com/is/image/MCY/8123674 </v>
      </c>
    </row>
    <row r="699" spans="1:12" ht="24.75" x14ac:dyDescent="0.25">
      <c r="A699" s="4" t="s">
        <v>14354</v>
      </c>
      <c r="B699" s="2" t="s">
        <v>1918</v>
      </c>
      <c r="C699" s="3">
        <v>1</v>
      </c>
      <c r="D699" s="5">
        <v>19.989999999999998</v>
      </c>
      <c r="E699" s="3" t="s">
        <v>3087</v>
      </c>
      <c r="F699" s="2" t="s">
        <v>413</v>
      </c>
      <c r="G699" s="6" t="s">
        <v>154</v>
      </c>
      <c r="H699" s="2" t="s">
        <v>246</v>
      </c>
      <c r="I699" s="2" t="s">
        <v>189</v>
      </c>
      <c r="J699" s="2"/>
      <c r="K699" s="2"/>
      <c r="L699" s="7" t="str">
        <f>HYPERLINK("http://slimages.macys.com/is/image/MCY/11025207 ")</f>
        <v xml:space="preserve">http://slimages.macys.com/is/image/MCY/11025207 </v>
      </c>
    </row>
    <row r="700" spans="1:12" ht="24.75" x14ac:dyDescent="0.25">
      <c r="A700" s="4" t="s">
        <v>14355</v>
      </c>
      <c r="B700" s="2" t="s">
        <v>1937</v>
      </c>
      <c r="C700" s="3">
        <v>1</v>
      </c>
      <c r="D700" s="5">
        <v>19.989999999999998</v>
      </c>
      <c r="E700" s="3" t="s">
        <v>1938</v>
      </c>
      <c r="F700" s="2" t="s">
        <v>70</v>
      </c>
      <c r="G700" s="6" t="s">
        <v>154</v>
      </c>
      <c r="H700" s="2" t="s">
        <v>246</v>
      </c>
      <c r="I700" s="2" t="s">
        <v>1939</v>
      </c>
      <c r="J700" s="2" t="s">
        <v>19</v>
      </c>
      <c r="K700" s="2" t="s">
        <v>1940</v>
      </c>
      <c r="L700" s="7" t="str">
        <f>HYPERLINK("http://slimages.macys.com/is/image/MCY/11523112 ")</f>
        <v xml:space="preserve">http://slimages.macys.com/is/image/MCY/11523112 </v>
      </c>
    </row>
    <row r="701" spans="1:12" ht="24.75" x14ac:dyDescent="0.25">
      <c r="A701" s="4" t="s">
        <v>12533</v>
      </c>
      <c r="B701" s="2" t="s">
        <v>1937</v>
      </c>
      <c r="C701" s="3">
        <v>2</v>
      </c>
      <c r="D701" s="5">
        <v>19.989999999999998</v>
      </c>
      <c r="E701" s="3" t="s">
        <v>1938</v>
      </c>
      <c r="F701" s="2" t="s">
        <v>413</v>
      </c>
      <c r="G701" s="6" t="s">
        <v>154</v>
      </c>
      <c r="H701" s="2" t="s">
        <v>246</v>
      </c>
      <c r="I701" s="2" t="s">
        <v>1939</v>
      </c>
      <c r="J701" s="2" t="s">
        <v>19</v>
      </c>
      <c r="K701" s="2" t="s">
        <v>1940</v>
      </c>
      <c r="L701" s="7" t="str">
        <f>HYPERLINK("http://slimages.macys.com/is/image/MCY/11523112 ")</f>
        <v xml:space="preserve">http://slimages.macys.com/is/image/MCY/11523112 </v>
      </c>
    </row>
    <row r="702" spans="1:12" ht="24.75" x14ac:dyDescent="0.25">
      <c r="A702" s="4" t="s">
        <v>14356</v>
      </c>
      <c r="B702" s="2" t="s">
        <v>1937</v>
      </c>
      <c r="C702" s="3">
        <v>1</v>
      </c>
      <c r="D702" s="5">
        <v>19.989999999999998</v>
      </c>
      <c r="E702" s="3" t="s">
        <v>1938</v>
      </c>
      <c r="F702" s="2" t="s">
        <v>70</v>
      </c>
      <c r="G702" s="6" t="s">
        <v>234</v>
      </c>
      <c r="H702" s="2" t="s">
        <v>246</v>
      </c>
      <c r="I702" s="2" t="s">
        <v>1939</v>
      </c>
      <c r="J702" s="2" t="s">
        <v>19</v>
      </c>
      <c r="K702" s="2" t="s">
        <v>1940</v>
      </c>
      <c r="L702" s="7" t="str">
        <f>HYPERLINK("http://slimages.macys.com/is/image/MCY/11523112 ")</f>
        <v xml:space="preserve">http://slimages.macys.com/is/image/MCY/11523112 </v>
      </c>
    </row>
    <row r="703" spans="1:12" ht="24.75" x14ac:dyDescent="0.25">
      <c r="A703" s="4" t="s">
        <v>14357</v>
      </c>
      <c r="B703" s="2" t="s">
        <v>14358</v>
      </c>
      <c r="C703" s="3">
        <v>1</v>
      </c>
      <c r="D703" s="5">
        <v>17.989999999999998</v>
      </c>
      <c r="E703" s="3" t="s">
        <v>14359</v>
      </c>
      <c r="F703" s="2" t="s">
        <v>417</v>
      </c>
      <c r="G703" s="6" t="s">
        <v>154</v>
      </c>
      <c r="H703" s="2" t="s">
        <v>1473</v>
      </c>
      <c r="I703" s="2" t="s">
        <v>1426</v>
      </c>
      <c r="J703" s="2" t="s">
        <v>19</v>
      </c>
      <c r="K703" s="2" t="s">
        <v>990</v>
      </c>
      <c r="L703" s="7" t="str">
        <f>HYPERLINK("http://slimages.macys.com/is/image/MCY/9845203 ")</f>
        <v xml:space="preserve">http://slimages.macys.com/is/image/MCY/9845203 </v>
      </c>
    </row>
    <row r="704" spans="1:12" ht="24.75" x14ac:dyDescent="0.25">
      <c r="A704" s="4" t="s">
        <v>12537</v>
      </c>
      <c r="B704" s="2" t="s">
        <v>12538</v>
      </c>
      <c r="C704" s="3">
        <v>1</v>
      </c>
      <c r="D704" s="5">
        <v>17.989999999999998</v>
      </c>
      <c r="E704" s="3" t="s">
        <v>12539</v>
      </c>
      <c r="F704" s="2" t="s">
        <v>64</v>
      </c>
      <c r="G704" s="6" t="s">
        <v>234</v>
      </c>
      <c r="H704" s="2" t="s">
        <v>1473</v>
      </c>
      <c r="I704" s="2" t="s">
        <v>1426</v>
      </c>
      <c r="J704" s="2" t="s">
        <v>19</v>
      </c>
      <c r="K704" s="2" t="s">
        <v>495</v>
      </c>
      <c r="L704" s="7" t="str">
        <f>HYPERLINK("http://slimages.macys.com/is/image/MCY/13965403 ")</f>
        <v xml:space="preserve">http://slimages.macys.com/is/image/MCY/13965403 </v>
      </c>
    </row>
    <row r="705" spans="1:12" ht="24.75" x14ac:dyDescent="0.25">
      <c r="A705" s="4" t="s">
        <v>5191</v>
      </c>
      <c r="B705" s="2" t="s">
        <v>4188</v>
      </c>
      <c r="C705" s="3">
        <v>1</v>
      </c>
      <c r="D705" s="5">
        <v>17.989999999999998</v>
      </c>
      <c r="E705" s="3" t="s">
        <v>4189</v>
      </c>
      <c r="F705" s="2" t="s">
        <v>64</v>
      </c>
      <c r="G705" s="6" t="s">
        <v>245</v>
      </c>
      <c r="H705" s="2" t="s">
        <v>1473</v>
      </c>
      <c r="I705" s="2" t="s">
        <v>1426</v>
      </c>
      <c r="J705" s="2" t="s">
        <v>19</v>
      </c>
      <c r="K705" s="2" t="s">
        <v>990</v>
      </c>
      <c r="L705" s="7" t="str">
        <f>HYPERLINK("http://slimages.macys.com/is/image/MCY/12877743 ")</f>
        <v xml:space="preserve">http://slimages.macys.com/is/image/MCY/12877743 </v>
      </c>
    </row>
    <row r="706" spans="1:12" ht="24.75" x14ac:dyDescent="0.25">
      <c r="A706" s="4" t="s">
        <v>14360</v>
      </c>
      <c r="B706" s="2" t="s">
        <v>4188</v>
      </c>
      <c r="C706" s="3">
        <v>1</v>
      </c>
      <c r="D706" s="5">
        <v>17.989999999999998</v>
      </c>
      <c r="E706" s="3" t="s">
        <v>4189</v>
      </c>
      <c r="F706" s="2" t="s">
        <v>1322</v>
      </c>
      <c r="G706" s="6" t="s">
        <v>156</v>
      </c>
      <c r="H706" s="2" t="s">
        <v>1473</v>
      </c>
      <c r="I706" s="2" t="s">
        <v>1426</v>
      </c>
      <c r="J706" s="2" t="s">
        <v>19</v>
      </c>
      <c r="K706" s="2" t="s">
        <v>990</v>
      </c>
      <c r="L706" s="7" t="str">
        <f>HYPERLINK("http://slimages.macys.com/is/image/MCY/12877743 ")</f>
        <v xml:space="preserve">http://slimages.macys.com/is/image/MCY/12877743 </v>
      </c>
    </row>
    <row r="707" spans="1:12" ht="24.75" x14ac:dyDescent="0.25">
      <c r="A707" s="4" t="s">
        <v>14361</v>
      </c>
      <c r="B707" s="2" t="s">
        <v>4188</v>
      </c>
      <c r="C707" s="3">
        <v>1</v>
      </c>
      <c r="D707" s="5">
        <v>17.989999999999998</v>
      </c>
      <c r="E707" s="3" t="s">
        <v>4189</v>
      </c>
      <c r="F707" s="2"/>
      <c r="G707" s="6" t="s">
        <v>156</v>
      </c>
      <c r="H707" s="2" t="s">
        <v>1473</v>
      </c>
      <c r="I707" s="2" t="s">
        <v>1426</v>
      </c>
      <c r="J707" s="2" t="s">
        <v>19</v>
      </c>
      <c r="K707" s="2" t="s">
        <v>990</v>
      </c>
      <c r="L707" s="7" t="str">
        <f>HYPERLINK("http://slimages.macys.com/is/image/MCY/12877743 ")</f>
        <v xml:space="preserve">http://slimages.macys.com/is/image/MCY/12877743 </v>
      </c>
    </row>
    <row r="708" spans="1:12" ht="24.75" x14ac:dyDescent="0.25">
      <c r="A708" s="4" t="s">
        <v>14362</v>
      </c>
      <c r="B708" s="2" t="s">
        <v>6160</v>
      </c>
      <c r="C708" s="3">
        <v>1</v>
      </c>
      <c r="D708" s="5">
        <v>14.99</v>
      </c>
      <c r="E708" s="3" t="s">
        <v>11369</v>
      </c>
      <c r="F708" s="2" t="s">
        <v>70</v>
      </c>
      <c r="G708" s="6" t="s">
        <v>181</v>
      </c>
      <c r="H708" s="2" t="s">
        <v>1473</v>
      </c>
      <c r="I708" s="2" t="s">
        <v>1426</v>
      </c>
      <c r="J708" s="2" t="s">
        <v>19</v>
      </c>
      <c r="K708" s="2" t="s">
        <v>495</v>
      </c>
      <c r="L708" s="7" t="str">
        <f>HYPERLINK("http://slimages.macys.com/is/image/MCY/12033478 ")</f>
        <v xml:space="preserve">http://slimages.macys.com/is/image/MCY/12033478 </v>
      </c>
    </row>
    <row r="709" spans="1:12" ht="24.75" x14ac:dyDescent="0.25">
      <c r="A709" s="4" t="s">
        <v>3127</v>
      </c>
      <c r="B709" s="2" t="s">
        <v>3128</v>
      </c>
      <c r="C709" s="3">
        <v>1</v>
      </c>
      <c r="D709" s="5">
        <v>14.99</v>
      </c>
      <c r="E709" s="3" t="s">
        <v>3129</v>
      </c>
      <c r="F709" s="2" t="s">
        <v>26</v>
      </c>
      <c r="G709" s="6"/>
      <c r="H709" s="2" t="s">
        <v>1425</v>
      </c>
      <c r="I709" s="2" t="s">
        <v>1426</v>
      </c>
      <c r="J709" s="2" t="s">
        <v>19</v>
      </c>
      <c r="K709" s="2" t="s">
        <v>495</v>
      </c>
      <c r="L709" s="7" t="str">
        <f>HYPERLINK("http://slimages.macys.com/is/image/MCY/12064003 ")</f>
        <v xml:space="preserve">http://slimages.macys.com/is/image/MCY/12064003 </v>
      </c>
    </row>
    <row r="710" spans="1:12" ht="24.75" x14ac:dyDescent="0.25">
      <c r="A710" s="4" t="s">
        <v>3167</v>
      </c>
      <c r="B710" s="2" t="s">
        <v>3128</v>
      </c>
      <c r="C710" s="3">
        <v>1</v>
      </c>
      <c r="D710" s="5">
        <v>14.99</v>
      </c>
      <c r="E710" s="3" t="s">
        <v>3129</v>
      </c>
      <c r="F710" s="2" t="s">
        <v>26</v>
      </c>
      <c r="G710" s="6" t="s">
        <v>219</v>
      </c>
      <c r="H710" s="2" t="s">
        <v>1425</v>
      </c>
      <c r="I710" s="2" t="s">
        <v>1426</v>
      </c>
      <c r="J710" s="2" t="s">
        <v>19</v>
      </c>
      <c r="K710" s="2" t="s">
        <v>495</v>
      </c>
      <c r="L710" s="7" t="str">
        <f>HYPERLINK("http://slimages.macys.com/is/image/MCY/12064003 ")</f>
        <v xml:space="preserve">http://slimages.macys.com/is/image/MCY/12064003 </v>
      </c>
    </row>
    <row r="711" spans="1:12" ht="24.75" x14ac:dyDescent="0.25">
      <c r="A711" s="4" t="s">
        <v>14363</v>
      </c>
      <c r="B711" s="2" t="s">
        <v>3165</v>
      </c>
      <c r="C711" s="3">
        <v>1</v>
      </c>
      <c r="D711" s="5">
        <v>14.99</v>
      </c>
      <c r="E711" s="3" t="s">
        <v>3166</v>
      </c>
      <c r="F711" s="2" t="s">
        <v>64</v>
      </c>
      <c r="G711" s="6" t="s">
        <v>219</v>
      </c>
      <c r="H711" s="2" t="s">
        <v>1425</v>
      </c>
      <c r="I711" s="2" t="s">
        <v>1426</v>
      </c>
      <c r="J711" s="2" t="s">
        <v>19</v>
      </c>
      <c r="K711" s="2" t="s">
        <v>495</v>
      </c>
      <c r="L711" s="7" t="str">
        <f>HYPERLINK("http://slimages.macys.com/is/image/MCY/12672753 ")</f>
        <v xml:space="preserve">http://slimages.macys.com/is/image/MCY/12672753 </v>
      </c>
    </row>
    <row r="712" spans="1:12" ht="24.75" x14ac:dyDescent="0.25">
      <c r="A712" s="4" t="s">
        <v>14364</v>
      </c>
      <c r="B712" s="2" t="s">
        <v>1954</v>
      </c>
      <c r="C712" s="3">
        <v>1</v>
      </c>
      <c r="D712" s="5">
        <v>18.38</v>
      </c>
      <c r="E712" s="3" t="s">
        <v>11386</v>
      </c>
      <c r="F712" s="2" t="s">
        <v>85</v>
      </c>
      <c r="G712" s="6" t="s">
        <v>181</v>
      </c>
      <c r="H712" s="2" t="s">
        <v>194</v>
      </c>
      <c r="I712" s="2" t="s">
        <v>195</v>
      </c>
      <c r="J712" s="2" t="s">
        <v>19</v>
      </c>
      <c r="K712" s="2" t="s">
        <v>1108</v>
      </c>
      <c r="L712" s="7" t="str">
        <f>HYPERLINK("http://slimages.macys.com/is/image/MCY/13036261 ")</f>
        <v xml:space="preserve">http://slimages.macys.com/is/image/MCY/13036261 </v>
      </c>
    </row>
    <row r="713" spans="1:12" ht="24.75" x14ac:dyDescent="0.25">
      <c r="A713" s="4" t="s">
        <v>14365</v>
      </c>
      <c r="B713" s="2" t="s">
        <v>1954</v>
      </c>
      <c r="C713" s="3">
        <v>1</v>
      </c>
      <c r="D713" s="5">
        <v>18.38</v>
      </c>
      <c r="E713" s="3" t="s">
        <v>11382</v>
      </c>
      <c r="F713" s="2" t="s">
        <v>170</v>
      </c>
      <c r="G713" s="6" t="s">
        <v>156</v>
      </c>
      <c r="H713" s="2" t="s">
        <v>194</v>
      </c>
      <c r="I713" s="2" t="s">
        <v>195</v>
      </c>
      <c r="J713" s="2" t="s">
        <v>19</v>
      </c>
      <c r="K713" s="2" t="s">
        <v>1108</v>
      </c>
      <c r="L713" s="7" t="str">
        <f>HYPERLINK("http://slimages.macys.com/is/image/MCY/13120664 ")</f>
        <v xml:space="preserve">http://slimages.macys.com/is/image/MCY/13120664 </v>
      </c>
    </row>
    <row r="714" spans="1:12" ht="24.75" x14ac:dyDescent="0.25">
      <c r="A714" s="4" t="s">
        <v>14366</v>
      </c>
      <c r="B714" s="2" t="s">
        <v>3216</v>
      </c>
      <c r="C714" s="3">
        <v>1</v>
      </c>
      <c r="D714" s="5">
        <v>26.99</v>
      </c>
      <c r="E714" s="3" t="s">
        <v>10292</v>
      </c>
      <c r="F714" s="2" t="s">
        <v>676</v>
      </c>
      <c r="G714" s="6"/>
      <c r="H714" s="2" t="s">
        <v>349</v>
      </c>
      <c r="I714" s="2" t="s">
        <v>285</v>
      </c>
      <c r="J714" s="2" t="s">
        <v>19</v>
      </c>
      <c r="K714" s="2" t="s">
        <v>247</v>
      </c>
      <c r="L714" s="7" t="str">
        <f>HYPERLINK("http://slimages.macys.com/is/image/MCY/13934435 ")</f>
        <v xml:space="preserve">http://slimages.macys.com/is/image/MCY/13934435 </v>
      </c>
    </row>
    <row r="715" spans="1:12" ht="24.75" x14ac:dyDescent="0.25">
      <c r="A715" s="4" t="s">
        <v>14367</v>
      </c>
      <c r="B715" s="2" t="s">
        <v>3175</v>
      </c>
      <c r="C715" s="3">
        <v>1</v>
      </c>
      <c r="D715" s="5">
        <v>14.99</v>
      </c>
      <c r="E715" s="3" t="s">
        <v>14368</v>
      </c>
      <c r="F715" s="2" t="s">
        <v>1614</v>
      </c>
      <c r="G715" s="6" t="s">
        <v>181</v>
      </c>
      <c r="H715" s="2" t="s">
        <v>194</v>
      </c>
      <c r="I715" s="2" t="s">
        <v>195</v>
      </c>
      <c r="J715" s="2" t="s">
        <v>19</v>
      </c>
      <c r="K715" s="2" t="s">
        <v>1108</v>
      </c>
      <c r="L715" s="7" t="str">
        <f>HYPERLINK("http://slimages.macys.com/is/image/MCY/11700947 ")</f>
        <v xml:space="preserve">http://slimages.macys.com/is/image/MCY/11700947 </v>
      </c>
    </row>
    <row r="716" spans="1:12" ht="24.75" x14ac:dyDescent="0.25">
      <c r="A716" s="4" t="s">
        <v>14369</v>
      </c>
      <c r="B716" s="2" t="s">
        <v>1954</v>
      </c>
      <c r="C716" s="3">
        <v>1</v>
      </c>
      <c r="D716" s="5">
        <v>18.38</v>
      </c>
      <c r="E716" s="3" t="s">
        <v>14370</v>
      </c>
      <c r="F716" s="2" t="s">
        <v>74</v>
      </c>
      <c r="G716" s="6"/>
      <c r="H716" s="2" t="s">
        <v>312</v>
      </c>
      <c r="I716" s="2" t="s">
        <v>195</v>
      </c>
      <c r="J716" s="2" t="s">
        <v>19</v>
      </c>
      <c r="K716" s="2" t="s">
        <v>1108</v>
      </c>
      <c r="L716" s="7" t="str">
        <f>HYPERLINK("http://slimages.macys.com/is/image/MCY/13036272 ")</f>
        <v xml:space="preserve">http://slimages.macys.com/is/image/MCY/13036272 </v>
      </c>
    </row>
    <row r="717" spans="1:12" ht="24.75" x14ac:dyDescent="0.25">
      <c r="A717" s="4" t="s">
        <v>14371</v>
      </c>
      <c r="B717" s="2" t="s">
        <v>6890</v>
      </c>
      <c r="C717" s="3">
        <v>1</v>
      </c>
      <c r="D717" s="5">
        <v>19.989999999999998</v>
      </c>
      <c r="E717" s="3" t="s">
        <v>11392</v>
      </c>
      <c r="F717" s="2" t="s">
        <v>1584</v>
      </c>
      <c r="G717" s="6" t="s">
        <v>181</v>
      </c>
      <c r="H717" s="2" t="s">
        <v>246</v>
      </c>
      <c r="I717" s="2" t="s">
        <v>1939</v>
      </c>
      <c r="J717" s="2" t="s">
        <v>19</v>
      </c>
      <c r="K717" s="2" t="s">
        <v>648</v>
      </c>
      <c r="L717" s="7" t="str">
        <f>HYPERLINK("http://slimages.macys.com/is/image/MCY/12894550 ")</f>
        <v xml:space="preserve">http://slimages.macys.com/is/image/MCY/12894550 </v>
      </c>
    </row>
    <row r="718" spans="1:12" ht="24.75" x14ac:dyDescent="0.25">
      <c r="A718" s="4" t="s">
        <v>14372</v>
      </c>
      <c r="B718" s="2" t="s">
        <v>6890</v>
      </c>
      <c r="C718" s="3">
        <v>1</v>
      </c>
      <c r="D718" s="5">
        <v>19.989999999999998</v>
      </c>
      <c r="E718" s="3" t="s">
        <v>11392</v>
      </c>
      <c r="F718" s="2" t="s">
        <v>132</v>
      </c>
      <c r="G718" s="6" t="s">
        <v>156</v>
      </c>
      <c r="H718" s="2" t="s">
        <v>246</v>
      </c>
      <c r="I718" s="2" t="s">
        <v>1939</v>
      </c>
      <c r="J718" s="2" t="s">
        <v>19</v>
      </c>
      <c r="K718" s="2" t="s">
        <v>648</v>
      </c>
      <c r="L718" s="7" t="str">
        <f>HYPERLINK("http://slimages.macys.com/is/image/MCY/12894550 ")</f>
        <v xml:space="preserve">http://slimages.macys.com/is/image/MCY/12894550 </v>
      </c>
    </row>
    <row r="719" spans="1:12" ht="24.75" x14ac:dyDescent="0.25">
      <c r="A719" s="4" t="s">
        <v>13493</v>
      </c>
      <c r="B719" s="2" t="s">
        <v>1962</v>
      </c>
      <c r="C719" s="3">
        <v>1</v>
      </c>
      <c r="D719" s="5">
        <v>21.99</v>
      </c>
      <c r="E719" s="3">
        <v>100017611</v>
      </c>
      <c r="F719" s="2" t="s">
        <v>413</v>
      </c>
      <c r="G719" s="6" t="s">
        <v>154</v>
      </c>
      <c r="H719" s="2" t="s">
        <v>284</v>
      </c>
      <c r="I719" s="2" t="s">
        <v>285</v>
      </c>
      <c r="J719" s="2" t="s">
        <v>19</v>
      </c>
      <c r="K719" s="2" t="s">
        <v>247</v>
      </c>
      <c r="L719" s="7" t="str">
        <f>HYPERLINK("http://slimages.macys.com/is/image/MCY/14013654 ")</f>
        <v xml:space="preserve">http://slimages.macys.com/is/image/MCY/14013654 </v>
      </c>
    </row>
    <row r="720" spans="1:12" ht="24.75" x14ac:dyDescent="0.25">
      <c r="A720" s="4" t="s">
        <v>11394</v>
      </c>
      <c r="B720" s="2" t="s">
        <v>1962</v>
      </c>
      <c r="C720" s="3">
        <v>1</v>
      </c>
      <c r="D720" s="5">
        <v>21.99</v>
      </c>
      <c r="E720" s="3">
        <v>100017611</v>
      </c>
      <c r="F720" s="2" t="s">
        <v>676</v>
      </c>
      <c r="G720" s="6" t="s">
        <v>234</v>
      </c>
      <c r="H720" s="2" t="s">
        <v>284</v>
      </c>
      <c r="I720" s="2" t="s">
        <v>285</v>
      </c>
      <c r="J720" s="2" t="s">
        <v>19</v>
      </c>
      <c r="K720" s="2" t="s">
        <v>247</v>
      </c>
      <c r="L720" s="7" t="str">
        <f>HYPERLINK("http://slimages.macys.com/is/image/MCY/14013654 ")</f>
        <v xml:space="preserve">http://slimages.macys.com/is/image/MCY/14013654 </v>
      </c>
    </row>
    <row r="721" spans="1:12" ht="24.75" x14ac:dyDescent="0.25">
      <c r="A721" s="4" t="s">
        <v>14373</v>
      </c>
      <c r="B721" s="2" t="s">
        <v>1962</v>
      </c>
      <c r="C721" s="3">
        <v>1</v>
      </c>
      <c r="D721" s="5">
        <v>21.99</v>
      </c>
      <c r="E721" s="3">
        <v>100017611</v>
      </c>
      <c r="F721" s="2" t="s">
        <v>413</v>
      </c>
      <c r="G721" s="6" t="s">
        <v>200</v>
      </c>
      <c r="H721" s="2" t="s">
        <v>284</v>
      </c>
      <c r="I721" s="2" t="s">
        <v>285</v>
      </c>
      <c r="J721" s="2" t="s">
        <v>19</v>
      </c>
      <c r="K721" s="2" t="s">
        <v>247</v>
      </c>
      <c r="L721" s="7" t="str">
        <f>HYPERLINK("http://slimages.macys.com/is/image/MCY/14013654 ")</f>
        <v xml:space="preserve">http://slimages.macys.com/is/image/MCY/14013654 </v>
      </c>
    </row>
    <row r="722" spans="1:12" ht="24.75" x14ac:dyDescent="0.25">
      <c r="A722" s="4" t="s">
        <v>11396</v>
      </c>
      <c r="B722" s="2" t="s">
        <v>1962</v>
      </c>
      <c r="C722" s="3">
        <v>1</v>
      </c>
      <c r="D722" s="5">
        <v>21.99</v>
      </c>
      <c r="E722" s="3">
        <v>100017611</v>
      </c>
      <c r="F722" s="2" t="s">
        <v>566</v>
      </c>
      <c r="G722" s="6" t="s">
        <v>234</v>
      </c>
      <c r="H722" s="2" t="s">
        <v>284</v>
      </c>
      <c r="I722" s="2" t="s">
        <v>285</v>
      </c>
      <c r="J722" s="2" t="s">
        <v>19</v>
      </c>
      <c r="K722" s="2" t="s">
        <v>247</v>
      </c>
      <c r="L722" s="7" t="str">
        <f>HYPERLINK("http://slimages.macys.com/is/image/MCY/14013654 ")</f>
        <v xml:space="preserve">http://slimages.macys.com/is/image/MCY/14013654 </v>
      </c>
    </row>
    <row r="723" spans="1:12" ht="24.75" x14ac:dyDescent="0.25">
      <c r="A723" s="4" t="s">
        <v>14374</v>
      </c>
      <c r="B723" s="2" t="s">
        <v>4027</v>
      </c>
      <c r="C723" s="3">
        <v>1</v>
      </c>
      <c r="D723" s="5">
        <v>24.99</v>
      </c>
      <c r="E723" s="3" t="s">
        <v>11398</v>
      </c>
      <c r="F723" s="2" t="s">
        <v>74</v>
      </c>
      <c r="G723" s="6" t="s">
        <v>156</v>
      </c>
      <c r="H723" s="2" t="s">
        <v>1473</v>
      </c>
      <c r="I723" s="2" t="s">
        <v>1426</v>
      </c>
      <c r="J723" s="2" t="s">
        <v>19</v>
      </c>
      <c r="K723" s="2" t="s">
        <v>648</v>
      </c>
      <c r="L723" s="7" t="str">
        <f>HYPERLINK("http://slimages.macys.com/is/image/MCY/11026714 ")</f>
        <v xml:space="preserve">http://slimages.macys.com/is/image/MCY/11026714 </v>
      </c>
    </row>
    <row r="724" spans="1:12" ht="24.75" x14ac:dyDescent="0.25">
      <c r="A724" s="4" t="s">
        <v>14375</v>
      </c>
      <c r="B724" s="2" t="s">
        <v>4027</v>
      </c>
      <c r="C724" s="3">
        <v>1</v>
      </c>
      <c r="D724" s="5">
        <v>24.99</v>
      </c>
      <c r="E724" s="3" t="s">
        <v>11398</v>
      </c>
      <c r="F724" s="2" t="s">
        <v>64</v>
      </c>
      <c r="G724" s="6" t="s">
        <v>154</v>
      </c>
      <c r="H724" s="2" t="s">
        <v>1473</v>
      </c>
      <c r="I724" s="2" t="s">
        <v>1426</v>
      </c>
      <c r="J724" s="2" t="s">
        <v>19</v>
      </c>
      <c r="K724" s="2" t="s">
        <v>648</v>
      </c>
      <c r="L724" s="7" t="str">
        <f>HYPERLINK("http://slimages.macys.com/is/image/MCY/12363729 ")</f>
        <v xml:space="preserve">http://slimages.macys.com/is/image/MCY/12363729 </v>
      </c>
    </row>
    <row r="725" spans="1:12" ht="24.75" x14ac:dyDescent="0.25">
      <c r="A725" s="4" t="s">
        <v>14376</v>
      </c>
      <c r="B725" s="2" t="s">
        <v>4027</v>
      </c>
      <c r="C725" s="3">
        <v>1</v>
      </c>
      <c r="D725" s="5">
        <v>24.99</v>
      </c>
      <c r="E725" s="3" t="s">
        <v>11398</v>
      </c>
      <c r="F725" s="2" t="s">
        <v>417</v>
      </c>
      <c r="G725" s="6" t="s">
        <v>154</v>
      </c>
      <c r="H725" s="2" t="s">
        <v>1473</v>
      </c>
      <c r="I725" s="2" t="s">
        <v>1426</v>
      </c>
      <c r="J725" s="2" t="s">
        <v>19</v>
      </c>
      <c r="K725" s="2" t="s">
        <v>648</v>
      </c>
      <c r="L725" s="7" t="str">
        <f>HYPERLINK("http://slimages.macys.com/is/image/MCY/12363729 ")</f>
        <v xml:space="preserve">http://slimages.macys.com/is/image/MCY/12363729 </v>
      </c>
    </row>
    <row r="726" spans="1:12" ht="24.75" x14ac:dyDescent="0.25">
      <c r="A726" s="4" t="s">
        <v>14377</v>
      </c>
      <c r="B726" s="2" t="s">
        <v>3181</v>
      </c>
      <c r="C726" s="3">
        <v>1</v>
      </c>
      <c r="D726" s="5">
        <v>14.99</v>
      </c>
      <c r="E726" s="3" t="s">
        <v>3182</v>
      </c>
      <c r="F726" s="2" t="s">
        <v>26</v>
      </c>
      <c r="G726" s="6" t="s">
        <v>219</v>
      </c>
      <c r="H726" s="2" t="s">
        <v>1425</v>
      </c>
      <c r="I726" s="2" t="s">
        <v>1469</v>
      </c>
      <c r="J726" s="2" t="s">
        <v>19</v>
      </c>
      <c r="K726" s="2" t="s">
        <v>353</v>
      </c>
      <c r="L726" s="7" t="str">
        <f>HYPERLINK("http://slimages.macys.com/is/image/MCY/10743852 ")</f>
        <v xml:space="preserve">http://slimages.macys.com/is/image/MCY/10743852 </v>
      </c>
    </row>
    <row r="727" spans="1:12" ht="24.75" x14ac:dyDescent="0.25">
      <c r="A727" s="4" t="s">
        <v>5214</v>
      </c>
      <c r="B727" s="2" t="s">
        <v>1973</v>
      </c>
      <c r="C727" s="3">
        <v>1</v>
      </c>
      <c r="D727" s="5">
        <v>16.989999999999998</v>
      </c>
      <c r="E727" s="3" t="s">
        <v>1976</v>
      </c>
      <c r="F727" s="2" t="s">
        <v>15</v>
      </c>
      <c r="G727" s="6" t="s">
        <v>187</v>
      </c>
      <c r="H727" s="2" t="s">
        <v>1425</v>
      </c>
      <c r="I727" s="2" t="s">
        <v>1864</v>
      </c>
      <c r="J727" s="2" t="s">
        <v>19</v>
      </c>
      <c r="K727" s="2" t="s">
        <v>648</v>
      </c>
      <c r="L727" s="7" t="str">
        <f>HYPERLINK("http://slimages.macys.com/is/image/MCY/11634785 ")</f>
        <v xml:space="preserve">http://slimages.macys.com/is/image/MCY/11634785 </v>
      </c>
    </row>
    <row r="728" spans="1:12" ht="24.75" x14ac:dyDescent="0.25">
      <c r="A728" s="4" t="s">
        <v>3186</v>
      </c>
      <c r="B728" s="2" t="s">
        <v>1973</v>
      </c>
      <c r="C728" s="3">
        <v>1</v>
      </c>
      <c r="D728" s="5">
        <v>16.989999999999998</v>
      </c>
      <c r="E728" s="3" t="s">
        <v>1976</v>
      </c>
      <c r="F728" s="2" t="s">
        <v>15</v>
      </c>
      <c r="G728" s="6"/>
      <c r="H728" s="2" t="s">
        <v>1425</v>
      </c>
      <c r="I728" s="2" t="s">
        <v>1864</v>
      </c>
      <c r="J728" s="2" t="s">
        <v>19</v>
      </c>
      <c r="K728" s="2" t="s">
        <v>648</v>
      </c>
      <c r="L728" s="7" t="str">
        <f>HYPERLINK("http://slimages.macys.com/is/image/MCY/11634785 ")</f>
        <v xml:space="preserve">http://slimages.macys.com/is/image/MCY/11634785 </v>
      </c>
    </row>
    <row r="729" spans="1:12" ht="24.75" x14ac:dyDescent="0.25">
      <c r="A729" s="4" t="s">
        <v>6175</v>
      </c>
      <c r="B729" s="2" t="s">
        <v>1973</v>
      </c>
      <c r="C729" s="3">
        <v>1</v>
      </c>
      <c r="D729" s="5">
        <v>16.989999999999998</v>
      </c>
      <c r="E729" s="3" t="s">
        <v>1976</v>
      </c>
      <c r="F729" s="2" t="s">
        <v>70</v>
      </c>
      <c r="G729" s="6" t="s">
        <v>187</v>
      </c>
      <c r="H729" s="2" t="s">
        <v>1425</v>
      </c>
      <c r="I729" s="2" t="s">
        <v>1864</v>
      </c>
      <c r="J729" s="2" t="s">
        <v>19</v>
      </c>
      <c r="K729" s="2" t="s">
        <v>648</v>
      </c>
      <c r="L729" s="7" t="str">
        <f>HYPERLINK("http://slimages.macys.com/is/image/MCY/11634785 ")</f>
        <v xml:space="preserve">http://slimages.macys.com/is/image/MCY/11634785 </v>
      </c>
    </row>
    <row r="730" spans="1:12" ht="24.75" x14ac:dyDescent="0.25">
      <c r="A730" s="4" t="s">
        <v>3195</v>
      </c>
      <c r="B730" s="2" t="s">
        <v>1973</v>
      </c>
      <c r="C730" s="3">
        <v>1</v>
      </c>
      <c r="D730" s="5">
        <v>16.989999999999998</v>
      </c>
      <c r="E730" s="3" t="s">
        <v>1974</v>
      </c>
      <c r="F730" s="2" t="s">
        <v>74</v>
      </c>
      <c r="G730" s="6" t="s">
        <v>181</v>
      </c>
      <c r="H730" s="2" t="s">
        <v>1473</v>
      </c>
      <c r="I730" s="2" t="s">
        <v>1864</v>
      </c>
      <c r="J730" s="2" t="s">
        <v>19</v>
      </c>
      <c r="K730" s="2" t="s">
        <v>648</v>
      </c>
      <c r="L730" s="7" t="str">
        <f>HYPERLINK("http://slimages.macys.com/is/image/MCY/11634794 ")</f>
        <v xml:space="preserve">http://slimages.macys.com/is/image/MCY/11634794 </v>
      </c>
    </row>
    <row r="731" spans="1:12" ht="24.75" x14ac:dyDescent="0.25">
      <c r="A731" s="4" t="s">
        <v>3194</v>
      </c>
      <c r="B731" s="2" t="s">
        <v>1973</v>
      </c>
      <c r="C731" s="3">
        <v>1</v>
      </c>
      <c r="D731" s="5">
        <v>16.989999999999998</v>
      </c>
      <c r="E731" s="3" t="s">
        <v>1974</v>
      </c>
      <c r="F731" s="2" t="s">
        <v>74</v>
      </c>
      <c r="G731" s="6" t="s">
        <v>154</v>
      </c>
      <c r="H731" s="2" t="s">
        <v>1473</v>
      </c>
      <c r="I731" s="2" t="s">
        <v>1864</v>
      </c>
      <c r="J731" s="2" t="s">
        <v>19</v>
      </c>
      <c r="K731" s="2" t="s">
        <v>648</v>
      </c>
      <c r="L731" s="7" t="str">
        <f>HYPERLINK("http://slimages.macys.com/is/image/MCY/11634794 ")</f>
        <v xml:space="preserve">http://slimages.macys.com/is/image/MCY/11634794 </v>
      </c>
    </row>
    <row r="732" spans="1:12" ht="24.75" x14ac:dyDescent="0.25">
      <c r="A732" s="4" t="s">
        <v>11404</v>
      </c>
      <c r="B732" s="2" t="s">
        <v>1988</v>
      </c>
      <c r="C732" s="3">
        <v>3</v>
      </c>
      <c r="D732" s="5">
        <v>14.99</v>
      </c>
      <c r="E732" s="3" t="s">
        <v>1991</v>
      </c>
      <c r="F732" s="2" t="s">
        <v>64</v>
      </c>
      <c r="G732" s="6" t="s">
        <v>154</v>
      </c>
      <c r="H732" s="2" t="s">
        <v>1473</v>
      </c>
      <c r="I732" s="2" t="s">
        <v>1426</v>
      </c>
      <c r="J732" s="2" t="s">
        <v>19</v>
      </c>
      <c r="K732" s="2" t="s">
        <v>648</v>
      </c>
      <c r="L732" s="7" t="str">
        <f>HYPERLINK("http://slimages.macys.com/is/image/MCY/12767912 ")</f>
        <v xml:space="preserve">http://slimages.macys.com/is/image/MCY/12767912 </v>
      </c>
    </row>
    <row r="733" spans="1:12" ht="24.75" x14ac:dyDescent="0.25">
      <c r="A733" s="4" t="s">
        <v>12584</v>
      </c>
      <c r="B733" s="2" t="s">
        <v>3216</v>
      </c>
      <c r="C733" s="3">
        <v>1</v>
      </c>
      <c r="D733" s="5">
        <v>21.99</v>
      </c>
      <c r="E733" s="3" t="s">
        <v>11424</v>
      </c>
      <c r="F733" s="2" t="s">
        <v>956</v>
      </c>
      <c r="G733" s="6" t="s">
        <v>234</v>
      </c>
      <c r="H733" s="2" t="s">
        <v>284</v>
      </c>
      <c r="I733" s="2" t="s">
        <v>285</v>
      </c>
      <c r="J733" s="2" t="s">
        <v>19</v>
      </c>
      <c r="K733" s="2" t="s">
        <v>247</v>
      </c>
      <c r="L733" s="7" t="str">
        <f>HYPERLINK("http://slimages.macys.com/is/image/MCY/9462994 ")</f>
        <v xml:space="preserve">http://slimages.macys.com/is/image/MCY/9462994 </v>
      </c>
    </row>
    <row r="734" spans="1:12" ht="24.75" x14ac:dyDescent="0.25">
      <c r="A734" s="4" t="s">
        <v>14378</v>
      </c>
      <c r="B734" s="2" t="s">
        <v>3216</v>
      </c>
      <c r="C734" s="3">
        <v>1</v>
      </c>
      <c r="D734" s="5">
        <v>21.99</v>
      </c>
      <c r="E734" s="3" t="s">
        <v>14379</v>
      </c>
      <c r="F734" s="2" t="s">
        <v>376</v>
      </c>
      <c r="G734" s="6" t="s">
        <v>156</v>
      </c>
      <c r="H734" s="2" t="s">
        <v>284</v>
      </c>
      <c r="I734" s="2" t="s">
        <v>285</v>
      </c>
      <c r="J734" s="2" t="s">
        <v>19</v>
      </c>
      <c r="K734" s="2" t="s">
        <v>247</v>
      </c>
      <c r="L734" s="7" t="str">
        <f>HYPERLINK("http://slimages.macys.com/is/image/MCY/9462994 ")</f>
        <v xml:space="preserve">http://slimages.macys.com/is/image/MCY/9462994 </v>
      </c>
    </row>
    <row r="735" spans="1:12" ht="24.75" x14ac:dyDescent="0.25">
      <c r="A735" s="4" t="s">
        <v>11423</v>
      </c>
      <c r="B735" s="2" t="s">
        <v>3216</v>
      </c>
      <c r="C735" s="3">
        <v>2</v>
      </c>
      <c r="D735" s="5">
        <v>21.99</v>
      </c>
      <c r="E735" s="3" t="s">
        <v>11424</v>
      </c>
      <c r="F735" s="2" t="s">
        <v>956</v>
      </c>
      <c r="G735" s="6" t="s">
        <v>181</v>
      </c>
      <c r="H735" s="2" t="s">
        <v>284</v>
      </c>
      <c r="I735" s="2" t="s">
        <v>285</v>
      </c>
      <c r="J735" s="2" t="s">
        <v>19</v>
      </c>
      <c r="K735" s="2" t="s">
        <v>247</v>
      </c>
      <c r="L735" s="7" t="str">
        <f>HYPERLINK("http://slimages.macys.com/is/image/MCY/9462994 ")</f>
        <v xml:space="preserve">http://slimages.macys.com/is/image/MCY/9462994 </v>
      </c>
    </row>
    <row r="736" spans="1:12" ht="24.75" x14ac:dyDescent="0.25">
      <c r="A736" s="4" t="s">
        <v>14380</v>
      </c>
      <c r="B736" s="2" t="s">
        <v>2002</v>
      </c>
      <c r="C736" s="3">
        <v>1</v>
      </c>
      <c r="D736" s="5">
        <v>12.99</v>
      </c>
      <c r="E736" s="3" t="s">
        <v>11430</v>
      </c>
      <c r="F736" s="2" t="s">
        <v>417</v>
      </c>
      <c r="G736" s="6" t="s">
        <v>234</v>
      </c>
      <c r="H736" s="2" t="s">
        <v>194</v>
      </c>
      <c r="I736" s="2" t="s">
        <v>195</v>
      </c>
      <c r="J736" s="2" t="s">
        <v>19</v>
      </c>
      <c r="K736" s="2" t="s">
        <v>648</v>
      </c>
      <c r="L736" s="7" t="str">
        <f>HYPERLINK("http://slimages.macys.com/is/image/MCY/12734307 ")</f>
        <v xml:space="preserve">http://slimages.macys.com/is/image/MCY/12734307 </v>
      </c>
    </row>
    <row r="737" spans="1:12" ht="24.75" x14ac:dyDescent="0.25">
      <c r="A737" s="4" t="s">
        <v>14381</v>
      </c>
      <c r="B737" s="2" t="s">
        <v>2002</v>
      </c>
      <c r="C737" s="3">
        <v>1</v>
      </c>
      <c r="D737" s="5">
        <v>12.99</v>
      </c>
      <c r="E737" s="3" t="s">
        <v>14382</v>
      </c>
      <c r="F737" s="2" t="s">
        <v>752</v>
      </c>
      <c r="G737" s="6" t="s">
        <v>156</v>
      </c>
      <c r="H737" s="2" t="s">
        <v>194</v>
      </c>
      <c r="I737" s="2" t="s">
        <v>195</v>
      </c>
      <c r="J737" s="2" t="s">
        <v>19</v>
      </c>
      <c r="K737" s="2" t="s">
        <v>107</v>
      </c>
      <c r="L737" s="7" t="str">
        <f>HYPERLINK("http://slimages.macys.com/is/image/MCY/12850777 ")</f>
        <v xml:space="preserve">http://slimages.macys.com/is/image/MCY/12850777 </v>
      </c>
    </row>
    <row r="738" spans="1:12" ht="24.75" x14ac:dyDescent="0.25">
      <c r="A738" s="4" t="s">
        <v>14383</v>
      </c>
      <c r="B738" s="2" t="s">
        <v>7702</v>
      </c>
      <c r="C738" s="3">
        <v>1</v>
      </c>
      <c r="D738" s="5">
        <v>12.99</v>
      </c>
      <c r="E738" s="3" t="s">
        <v>7703</v>
      </c>
      <c r="F738" s="2" t="s">
        <v>170</v>
      </c>
      <c r="G738" s="6" t="s">
        <v>156</v>
      </c>
      <c r="H738" s="2" t="s">
        <v>194</v>
      </c>
      <c r="I738" s="2" t="s">
        <v>195</v>
      </c>
      <c r="J738" s="2" t="s">
        <v>19</v>
      </c>
      <c r="K738" s="2" t="s">
        <v>648</v>
      </c>
      <c r="L738" s="7" t="str">
        <f>HYPERLINK("http://slimages.macys.com/is/image/MCY/8257383 ")</f>
        <v xml:space="preserve">http://slimages.macys.com/is/image/MCY/8257383 </v>
      </c>
    </row>
    <row r="739" spans="1:12" ht="24.75" x14ac:dyDescent="0.25">
      <c r="A739" s="4" t="s">
        <v>14384</v>
      </c>
      <c r="B739" s="2" t="s">
        <v>7702</v>
      </c>
      <c r="C739" s="3">
        <v>2</v>
      </c>
      <c r="D739" s="5">
        <v>12.99</v>
      </c>
      <c r="E739" s="3" t="s">
        <v>7703</v>
      </c>
      <c r="F739" s="2" t="s">
        <v>170</v>
      </c>
      <c r="G739" s="6" t="s">
        <v>181</v>
      </c>
      <c r="H739" s="2" t="s">
        <v>194</v>
      </c>
      <c r="I739" s="2" t="s">
        <v>195</v>
      </c>
      <c r="J739" s="2" t="s">
        <v>19</v>
      </c>
      <c r="K739" s="2" t="s">
        <v>648</v>
      </c>
      <c r="L739" s="7" t="str">
        <f>HYPERLINK("http://slimages.macys.com/is/image/MCY/8257383 ")</f>
        <v xml:space="preserve">http://slimages.macys.com/is/image/MCY/8257383 </v>
      </c>
    </row>
    <row r="740" spans="1:12" ht="24.75" x14ac:dyDescent="0.25">
      <c r="A740" s="4" t="s">
        <v>14385</v>
      </c>
      <c r="B740" s="2" t="s">
        <v>2002</v>
      </c>
      <c r="C740" s="3">
        <v>1</v>
      </c>
      <c r="D740" s="5">
        <v>12.99</v>
      </c>
      <c r="E740" s="3" t="s">
        <v>12591</v>
      </c>
      <c r="F740" s="2" t="s">
        <v>89</v>
      </c>
      <c r="G740" s="6" t="s">
        <v>154</v>
      </c>
      <c r="H740" s="2" t="s">
        <v>194</v>
      </c>
      <c r="I740" s="2" t="s">
        <v>195</v>
      </c>
      <c r="J740" s="2" t="s">
        <v>19</v>
      </c>
      <c r="K740" s="2" t="s">
        <v>648</v>
      </c>
      <c r="L740" s="7" t="str">
        <f>HYPERLINK("http://slimages.macys.com/is/image/MCY/13315174 ")</f>
        <v xml:space="preserve">http://slimages.macys.com/is/image/MCY/13315174 </v>
      </c>
    </row>
    <row r="741" spans="1:12" ht="24.75" x14ac:dyDescent="0.25">
      <c r="A741" s="4" t="s">
        <v>14386</v>
      </c>
      <c r="B741" s="2" t="s">
        <v>2002</v>
      </c>
      <c r="C741" s="3">
        <v>1</v>
      </c>
      <c r="D741" s="5">
        <v>12.99</v>
      </c>
      <c r="E741" s="3" t="s">
        <v>4250</v>
      </c>
      <c r="F741" s="2" t="s">
        <v>579</v>
      </c>
      <c r="G741" s="6" t="s">
        <v>154</v>
      </c>
      <c r="H741" s="2" t="s">
        <v>194</v>
      </c>
      <c r="I741" s="2" t="s">
        <v>195</v>
      </c>
      <c r="J741" s="2" t="s">
        <v>19</v>
      </c>
      <c r="K741" s="2" t="s">
        <v>990</v>
      </c>
      <c r="L741" s="7" t="str">
        <f>HYPERLINK("http://slimages.macys.com/is/image/MCY/11764453 ")</f>
        <v xml:space="preserve">http://slimages.macys.com/is/image/MCY/11764453 </v>
      </c>
    </row>
    <row r="742" spans="1:12" ht="24.75" x14ac:dyDescent="0.25">
      <c r="A742" s="4" t="s">
        <v>11436</v>
      </c>
      <c r="B742" s="2" t="s">
        <v>7702</v>
      </c>
      <c r="C742" s="3">
        <v>1</v>
      </c>
      <c r="D742" s="5">
        <v>12.99</v>
      </c>
      <c r="E742" s="3" t="s">
        <v>11433</v>
      </c>
      <c r="F742" s="2" t="s">
        <v>579</v>
      </c>
      <c r="G742" s="6"/>
      <c r="H742" s="2" t="s">
        <v>312</v>
      </c>
      <c r="I742" s="2" t="s">
        <v>195</v>
      </c>
      <c r="J742" s="2" t="s">
        <v>19</v>
      </c>
      <c r="K742" s="2" t="s">
        <v>648</v>
      </c>
      <c r="L742" s="7" t="str">
        <f>HYPERLINK("http://slimages.macys.com/is/image/MCY/8157256 ")</f>
        <v xml:space="preserve">http://slimages.macys.com/is/image/MCY/8157256 </v>
      </c>
    </row>
    <row r="743" spans="1:12" ht="24.75" x14ac:dyDescent="0.25">
      <c r="A743" s="4" t="s">
        <v>11432</v>
      </c>
      <c r="B743" s="2" t="s">
        <v>7702</v>
      </c>
      <c r="C743" s="3">
        <v>1</v>
      </c>
      <c r="D743" s="5">
        <v>12.99</v>
      </c>
      <c r="E743" s="3" t="s">
        <v>11433</v>
      </c>
      <c r="F743" s="2" t="s">
        <v>579</v>
      </c>
      <c r="G743" s="6"/>
      <c r="H743" s="2" t="s">
        <v>312</v>
      </c>
      <c r="I743" s="2" t="s">
        <v>195</v>
      </c>
      <c r="J743" s="2" t="s">
        <v>19</v>
      </c>
      <c r="K743" s="2" t="s">
        <v>648</v>
      </c>
      <c r="L743" s="7" t="str">
        <f>HYPERLINK("http://slimages.macys.com/is/image/MCY/8157256 ")</f>
        <v xml:space="preserve">http://slimages.macys.com/is/image/MCY/8157256 </v>
      </c>
    </row>
    <row r="744" spans="1:12" ht="24.75" x14ac:dyDescent="0.25">
      <c r="A744" s="4" t="s">
        <v>11435</v>
      </c>
      <c r="B744" s="2" t="s">
        <v>7702</v>
      </c>
      <c r="C744" s="3">
        <v>2</v>
      </c>
      <c r="D744" s="5">
        <v>12.99</v>
      </c>
      <c r="E744" s="3" t="s">
        <v>11433</v>
      </c>
      <c r="F744" s="2" t="s">
        <v>579</v>
      </c>
      <c r="G744" s="6"/>
      <c r="H744" s="2" t="s">
        <v>312</v>
      </c>
      <c r="I744" s="2" t="s">
        <v>195</v>
      </c>
      <c r="J744" s="2" t="s">
        <v>19</v>
      </c>
      <c r="K744" s="2" t="s">
        <v>648</v>
      </c>
      <c r="L744" s="7" t="str">
        <f>HYPERLINK("http://slimages.macys.com/is/image/MCY/8157256 ")</f>
        <v xml:space="preserve">http://slimages.macys.com/is/image/MCY/8157256 </v>
      </c>
    </row>
    <row r="745" spans="1:12" ht="24.75" x14ac:dyDescent="0.25">
      <c r="A745" s="4" t="s">
        <v>14387</v>
      </c>
      <c r="B745" s="2" t="s">
        <v>7702</v>
      </c>
      <c r="C745" s="3">
        <v>1</v>
      </c>
      <c r="D745" s="5">
        <v>12.99</v>
      </c>
      <c r="E745" s="3" t="s">
        <v>11433</v>
      </c>
      <c r="F745" s="2" t="s">
        <v>579</v>
      </c>
      <c r="G745" s="6"/>
      <c r="H745" s="2" t="s">
        <v>312</v>
      </c>
      <c r="I745" s="2" t="s">
        <v>195</v>
      </c>
      <c r="J745" s="2" t="s">
        <v>19</v>
      </c>
      <c r="K745" s="2" t="s">
        <v>648</v>
      </c>
      <c r="L745" s="7" t="str">
        <f>HYPERLINK("http://slimages.macys.com/is/image/MCY/8157256 ")</f>
        <v xml:space="preserve">http://slimages.macys.com/is/image/MCY/8157256 </v>
      </c>
    </row>
    <row r="746" spans="1:12" ht="24.75" x14ac:dyDescent="0.25">
      <c r="A746" s="4" t="s">
        <v>2008</v>
      </c>
      <c r="B746" s="2" t="s">
        <v>2005</v>
      </c>
      <c r="C746" s="3">
        <v>1</v>
      </c>
      <c r="D746" s="5">
        <v>14.99</v>
      </c>
      <c r="E746" s="3" t="s">
        <v>2006</v>
      </c>
      <c r="F746" s="2" t="s">
        <v>74</v>
      </c>
      <c r="G746" s="6" t="s">
        <v>156</v>
      </c>
      <c r="H746" s="2" t="s">
        <v>1522</v>
      </c>
      <c r="I746" s="2" t="s">
        <v>1469</v>
      </c>
      <c r="J746" s="2" t="s">
        <v>19</v>
      </c>
      <c r="K746" s="2" t="s">
        <v>353</v>
      </c>
      <c r="L746" s="7" t="str">
        <f>HYPERLINK("http://slimages.macys.com/is/image/MCY/10743611 ")</f>
        <v xml:space="preserve">http://slimages.macys.com/is/image/MCY/10743611 </v>
      </c>
    </row>
    <row r="747" spans="1:12" ht="24.75" x14ac:dyDescent="0.25">
      <c r="A747" s="4" t="s">
        <v>6910</v>
      </c>
      <c r="B747" s="2" t="s">
        <v>2005</v>
      </c>
      <c r="C747" s="3">
        <v>1</v>
      </c>
      <c r="D747" s="5">
        <v>14.99</v>
      </c>
      <c r="E747" s="3" t="s">
        <v>2006</v>
      </c>
      <c r="F747" s="2" t="s">
        <v>15</v>
      </c>
      <c r="G747" s="6" t="s">
        <v>181</v>
      </c>
      <c r="H747" s="2" t="s">
        <v>1522</v>
      </c>
      <c r="I747" s="2" t="s">
        <v>1469</v>
      </c>
      <c r="J747" s="2" t="s">
        <v>19</v>
      </c>
      <c r="K747" s="2" t="s">
        <v>353</v>
      </c>
      <c r="L747" s="7" t="str">
        <f>HYPERLINK("http://slimages.macys.com/is/image/MCY/10743611 ")</f>
        <v xml:space="preserve">http://slimages.macys.com/is/image/MCY/10743611 </v>
      </c>
    </row>
    <row r="748" spans="1:12" ht="24.75" x14ac:dyDescent="0.25">
      <c r="A748" s="4" t="s">
        <v>14388</v>
      </c>
      <c r="B748" s="2" t="s">
        <v>14389</v>
      </c>
      <c r="C748" s="3">
        <v>5</v>
      </c>
      <c r="D748" s="5">
        <v>12.99</v>
      </c>
      <c r="E748" s="3" t="s">
        <v>14390</v>
      </c>
      <c r="F748" s="2" t="s">
        <v>376</v>
      </c>
      <c r="G748" s="6" t="s">
        <v>154</v>
      </c>
      <c r="H748" s="2" t="s">
        <v>194</v>
      </c>
      <c r="I748" s="2" t="s">
        <v>195</v>
      </c>
      <c r="J748" s="2" t="s">
        <v>19</v>
      </c>
      <c r="K748" s="2" t="s">
        <v>495</v>
      </c>
      <c r="L748" s="7" t="str">
        <f>HYPERLINK("http://slimages.macys.com/is/image/MCY/15998765 ")</f>
        <v xml:space="preserve">http://slimages.macys.com/is/image/MCY/15998765 </v>
      </c>
    </row>
    <row r="749" spans="1:12" ht="24.75" x14ac:dyDescent="0.25">
      <c r="A749" s="4" t="s">
        <v>14391</v>
      </c>
      <c r="B749" s="2" t="s">
        <v>14389</v>
      </c>
      <c r="C749" s="3">
        <v>1</v>
      </c>
      <c r="D749" s="5">
        <v>12.99</v>
      </c>
      <c r="E749" s="3" t="s">
        <v>14390</v>
      </c>
      <c r="F749" s="2" t="s">
        <v>376</v>
      </c>
      <c r="G749" s="6" t="s">
        <v>156</v>
      </c>
      <c r="H749" s="2" t="s">
        <v>194</v>
      </c>
      <c r="I749" s="2" t="s">
        <v>195</v>
      </c>
      <c r="J749" s="2" t="s">
        <v>19</v>
      </c>
      <c r="K749" s="2" t="s">
        <v>495</v>
      </c>
      <c r="L749" s="7" t="str">
        <f>HYPERLINK("http://slimages.macys.com/is/image/MCY/15998765 ")</f>
        <v xml:space="preserve">http://slimages.macys.com/is/image/MCY/15998765 </v>
      </c>
    </row>
    <row r="750" spans="1:12" ht="24.75" x14ac:dyDescent="0.25">
      <c r="A750" s="4" t="s">
        <v>14392</v>
      </c>
      <c r="B750" s="2" t="s">
        <v>14389</v>
      </c>
      <c r="C750" s="3">
        <v>4</v>
      </c>
      <c r="D750" s="5">
        <v>12.99</v>
      </c>
      <c r="E750" s="3" t="s">
        <v>14390</v>
      </c>
      <c r="F750" s="2" t="s">
        <v>376</v>
      </c>
      <c r="G750" s="6" t="s">
        <v>234</v>
      </c>
      <c r="H750" s="2" t="s">
        <v>194</v>
      </c>
      <c r="I750" s="2" t="s">
        <v>195</v>
      </c>
      <c r="J750" s="2" t="s">
        <v>19</v>
      </c>
      <c r="K750" s="2" t="s">
        <v>495</v>
      </c>
      <c r="L750" s="7" t="str">
        <f>HYPERLINK("http://slimages.macys.com/is/image/MCY/15998765 ")</f>
        <v xml:space="preserve">http://slimages.macys.com/is/image/MCY/15998765 </v>
      </c>
    </row>
    <row r="751" spans="1:12" ht="24.75" x14ac:dyDescent="0.25">
      <c r="A751" s="4" t="s">
        <v>14393</v>
      </c>
      <c r="B751" s="2" t="s">
        <v>14389</v>
      </c>
      <c r="C751" s="3">
        <v>5</v>
      </c>
      <c r="D751" s="5">
        <v>12.99</v>
      </c>
      <c r="E751" s="3" t="s">
        <v>14390</v>
      </c>
      <c r="F751" s="2" t="s">
        <v>376</v>
      </c>
      <c r="G751" s="6" t="s">
        <v>181</v>
      </c>
      <c r="H751" s="2" t="s">
        <v>194</v>
      </c>
      <c r="I751" s="2" t="s">
        <v>195</v>
      </c>
      <c r="J751" s="2" t="s">
        <v>19</v>
      </c>
      <c r="K751" s="2" t="s">
        <v>495</v>
      </c>
      <c r="L751" s="7" t="str">
        <f>HYPERLINK("http://slimages.macys.com/is/image/MCY/15998765 ")</f>
        <v xml:space="preserve">http://slimages.macys.com/is/image/MCY/15998765 </v>
      </c>
    </row>
    <row r="752" spans="1:12" ht="24.75" x14ac:dyDescent="0.25">
      <c r="A752" s="4" t="s">
        <v>13529</v>
      </c>
      <c r="B752" s="2" t="s">
        <v>2016</v>
      </c>
      <c r="C752" s="3">
        <v>2</v>
      </c>
      <c r="D752" s="5">
        <v>12.99</v>
      </c>
      <c r="E752" s="3" t="s">
        <v>2017</v>
      </c>
      <c r="F752" s="2" t="s">
        <v>566</v>
      </c>
      <c r="G752" s="6" t="s">
        <v>154</v>
      </c>
      <c r="H752" s="2" t="s">
        <v>194</v>
      </c>
      <c r="I752" s="2" t="s">
        <v>195</v>
      </c>
      <c r="J752" s="2" t="s">
        <v>19</v>
      </c>
      <c r="K752" s="2" t="s">
        <v>648</v>
      </c>
      <c r="L752" s="7" t="str">
        <f t="shared" ref="L752:L757" si="2">HYPERLINK("http://slimages.macys.com/is/image/MCY/14887463 ")</f>
        <v xml:space="preserve">http://slimages.macys.com/is/image/MCY/14887463 </v>
      </c>
    </row>
    <row r="753" spans="1:12" ht="24.75" x14ac:dyDescent="0.25">
      <c r="A753" s="4" t="s">
        <v>5236</v>
      </c>
      <c r="B753" s="2" t="s">
        <v>5237</v>
      </c>
      <c r="C753" s="3">
        <v>1</v>
      </c>
      <c r="D753" s="5">
        <v>12.99</v>
      </c>
      <c r="E753" s="3">
        <v>100007532</v>
      </c>
      <c r="F753" s="2" t="s">
        <v>85</v>
      </c>
      <c r="G753" s="6" t="s">
        <v>234</v>
      </c>
      <c r="H753" s="2" t="s">
        <v>194</v>
      </c>
      <c r="I753" s="2" t="s">
        <v>195</v>
      </c>
      <c r="J753" s="2" t="s">
        <v>19</v>
      </c>
      <c r="K753" s="2" t="s">
        <v>648</v>
      </c>
      <c r="L753" s="7" t="str">
        <f t="shared" si="2"/>
        <v xml:space="preserve">http://slimages.macys.com/is/image/MCY/14887463 </v>
      </c>
    </row>
    <row r="754" spans="1:12" ht="24.75" x14ac:dyDescent="0.25">
      <c r="A754" s="4" t="s">
        <v>2015</v>
      </c>
      <c r="B754" s="2" t="s">
        <v>2016</v>
      </c>
      <c r="C754" s="3">
        <v>1</v>
      </c>
      <c r="D754" s="5">
        <v>12.99</v>
      </c>
      <c r="E754" s="3" t="s">
        <v>2017</v>
      </c>
      <c r="F754" s="2" t="s">
        <v>1614</v>
      </c>
      <c r="G754" s="6" t="s">
        <v>156</v>
      </c>
      <c r="H754" s="2" t="s">
        <v>194</v>
      </c>
      <c r="I754" s="2" t="s">
        <v>195</v>
      </c>
      <c r="J754" s="2" t="s">
        <v>19</v>
      </c>
      <c r="K754" s="2" t="s">
        <v>648</v>
      </c>
      <c r="L754" s="7" t="str">
        <f t="shared" si="2"/>
        <v xml:space="preserve">http://slimages.macys.com/is/image/MCY/14887463 </v>
      </c>
    </row>
    <row r="755" spans="1:12" ht="24.75" x14ac:dyDescent="0.25">
      <c r="A755" s="4" t="s">
        <v>14394</v>
      </c>
      <c r="B755" s="2" t="s">
        <v>2016</v>
      </c>
      <c r="C755" s="3">
        <v>1</v>
      </c>
      <c r="D755" s="5">
        <v>12.99</v>
      </c>
      <c r="E755" s="3" t="s">
        <v>2017</v>
      </c>
      <c r="F755" s="2" t="s">
        <v>566</v>
      </c>
      <c r="G755" s="6" t="s">
        <v>245</v>
      </c>
      <c r="H755" s="2" t="s">
        <v>194</v>
      </c>
      <c r="I755" s="2" t="s">
        <v>195</v>
      </c>
      <c r="J755" s="2" t="s">
        <v>19</v>
      </c>
      <c r="K755" s="2" t="s">
        <v>648</v>
      </c>
      <c r="L755" s="7" t="str">
        <f t="shared" si="2"/>
        <v xml:space="preserve">http://slimages.macys.com/is/image/MCY/14887463 </v>
      </c>
    </row>
    <row r="756" spans="1:12" ht="24.75" x14ac:dyDescent="0.25">
      <c r="A756" s="4" t="s">
        <v>14395</v>
      </c>
      <c r="B756" s="2" t="s">
        <v>2016</v>
      </c>
      <c r="C756" s="3">
        <v>1</v>
      </c>
      <c r="D756" s="5">
        <v>12.99</v>
      </c>
      <c r="E756" s="3" t="s">
        <v>2017</v>
      </c>
      <c r="F756" s="2" t="s">
        <v>3267</v>
      </c>
      <c r="G756" s="6" t="s">
        <v>245</v>
      </c>
      <c r="H756" s="2" t="s">
        <v>194</v>
      </c>
      <c r="I756" s="2" t="s">
        <v>195</v>
      </c>
      <c r="J756" s="2" t="s">
        <v>19</v>
      </c>
      <c r="K756" s="2" t="s">
        <v>648</v>
      </c>
      <c r="L756" s="7" t="str">
        <f t="shared" si="2"/>
        <v xml:space="preserve">http://slimages.macys.com/is/image/MCY/14887463 </v>
      </c>
    </row>
    <row r="757" spans="1:12" ht="24.75" x14ac:dyDescent="0.25">
      <c r="A757" s="4" t="s">
        <v>14396</v>
      </c>
      <c r="B757" s="2" t="s">
        <v>2016</v>
      </c>
      <c r="C757" s="3">
        <v>1</v>
      </c>
      <c r="D757" s="5">
        <v>12.99</v>
      </c>
      <c r="E757" s="3" t="s">
        <v>2017</v>
      </c>
      <c r="F757" s="2" t="s">
        <v>413</v>
      </c>
      <c r="G757" s="6" t="s">
        <v>234</v>
      </c>
      <c r="H757" s="2" t="s">
        <v>194</v>
      </c>
      <c r="I757" s="2" t="s">
        <v>195</v>
      </c>
      <c r="J757" s="2" t="s">
        <v>19</v>
      </c>
      <c r="K757" s="2" t="s">
        <v>648</v>
      </c>
      <c r="L757" s="7" t="str">
        <f t="shared" si="2"/>
        <v xml:space="preserve">http://slimages.macys.com/is/image/MCY/14887463 </v>
      </c>
    </row>
    <row r="758" spans="1:12" ht="24.75" x14ac:dyDescent="0.25">
      <c r="A758" s="4" t="s">
        <v>11451</v>
      </c>
      <c r="B758" s="2" t="s">
        <v>11452</v>
      </c>
      <c r="C758" s="3">
        <v>1</v>
      </c>
      <c r="D758" s="5">
        <v>9.99</v>
      </c>
      <c r="E758" s="3" t="s">
        <v>11453</v>
      </c>
      <c r="F758" s="2" t="s">
        <v>1945</v>
      </c>
      <c r="G758" s="6" t="s">
        <v>181</v>
      </c>
      <c r="H758" s="2" t="s">
        <v>1473</v>
      </c>
      <c r="I758" s="2" t="s">
        <v>1426</v>
      </c>
      <c r="J758" s="2" t="s">
        <v>19</v>
      </c>
      <c r="K758" s="2" t="s">
        <v>495</v>
      </c>
      <c r="L758" s="7" t="str">
        <f>HYPERLINK("http://slimages.macys.com/is/image/MCY/12671319 ")</f>
        <v xml:space="preserve">http://slimages.macys.com/is/image/MCY/12671319 </v>
      </c>
    </row>
    <row r="759" spans="1:12" ht="24.75" x14ac:dyDescent="0.25">
      <c r="A759" s="4" t="s">
        <v>14397</v>
      </c>
      <c r="B759" s="2" t="s">
        <v>12595</v>
      </c>
      <c r="C759" s="3">
        <v>1</v>
      </c>
      <c r="D759" s="5">
        <v>9.99</v>
      </c>
      <c r="E759" s="3" t="s">
        <v>12596</v>
      </c>
      <c r="F759" s="2" t="s">
        <v>15</v>
      </c>
      <c r="G759" s="6" t="s">
        <v>234</v>
      </c>
      <c r="H759" s="2" t="s">
        <v>1473</v>
      </c>
      <c r="I759" s="2" t="s">
        <v>1426</v>
      </c>
      <c r="J759" s="2" t="s">
        <v>19</v>
      </c>
      <c r="K759" s="2" t="s">
        <v>495</v>
      </c>
      <c r="L759" s="7" t="str">
        <f>HYPERLINK("http://slimages.macys.com/is/image/MCY/13809356 ")</f>
        <v xml:space="preserve">http://slimages.macys.com/is/image/MCY/13809356 </v>
      </c>
    </row>
    <row r="760" spans="1:12" ht="24.75" x14ac:dyDescent="0.25">
      <c r="A760" s="4" t="s">
        <v>14398</v>
      </c>
      <c r="B760" s="2" t="s">
        <v>2016</v>
      </c>
      <c r="C760" s="3">
        <v>1</v>
      </c>
      <c r="D760" s="5">
        <v>12.99</v>
      </c>
      <c r="E760" s="3" t="s">
        <v>2017</v>
      </c>
      <c r="F760" s="2" t="s">
        <v>579</v>
      </c>
      <c r="G760" s="6" t="s">
        <v>245</v>
      </c>
      <c r="H760" s="2" t="s">
        <v>194</v>
      </c>
      <c r="I760" s="2" t="s">
        <v>195</v>
      </c>
      <c r="J760" s="2" t="s">
        <v>19</v>
      </c>
      <c r="K760" s="2" t="s">
        <v>648</v>
      </c>
      <c r="L760" s="7" t="str">
        <f>HYPERLINK("http://slimages.macys.com/is/image/MCY/14887463 ")</f>
        <v xml:space="preserve">http://slimages.macys.com/is/image/MCY/14887463 </v>
      </c>
    </row>
    <row r="761" spans="1:12" ht="24.75" x14ac:dyDescent="0.25">
      <c r="A761" s="4" t="s">
        <v>14399</v>
      </c>
      <c r="B761" s="2" t="s">
        <v>2016</v>
      </c>
      <c r="C761" s="3">
        <v>1</v>
      </c>
      <c r="D761" s="5">
        <v>12.99</v>
      </c>
      <c r="E761" s="3" t="s">
        <v>2017</v>
      </c>
      <c r="F761" s="2" t="s">
        <v>64</v>
      </c>
      <c r="G761" s="6" t="s">
        <v>156</v>
      </c>
      <c r="H761" s="2" t="s">
        <v>194</v>
      </c>
      <c r="I761" s="2" t="s">
        <v>195</v>
      </c>
      <c r="J761" s="2" t="s">
        <v>19</v>
      </c>
      <c r="K761" s="2" t="s">
        <v>648</v>
      </c>
      <c r="L761" s="7" t="str">
        <f>HYPERLINK("http://slimages.macys.com/is/image/MCY/14887463 ")</f>
        <v xml:space="preserve">http://slimages.macys.com/is/image/MCY/14887463 </v>
      </c>
    </row>
    <row r="762" spans="1:12" ht="24.75" x14ac:dyDescent="0.25">
      <c r="A762" s="4" t="s">
        <v>13535</v>
      </c>
      <c r="B762" s="2" t="s">
        <v>2016</v>
      </c>
      <c r="C762" s="3">
        <v>1</v>
      </c>
      <c r="D762" s="5">
        <v>12.99</v>
      </c>
      <c r="E762" s="3" t="s">
        <v>2017</v>
      </c>
      <c r="F762" s="2" t="s">
        <v>170</v>
      </c>
      <c r="G762" s="6" t="s">
        <v>234</v>
      </c>
      <c r="H762" s="2" t="s">
        <v>194</v>
      </c>
      <c r="I762" s="2" t="s">
        <v>195</v>
      </c>
      <c r="J762" s="2" t="s">
        <v>19</v>
      </c>
      <c r="K762" s="2" t="s">
        <v>648</v>
      </c>
      <c r="L762" s="7" t="str">
        <f>HYPERLINK("http://slimages.macys.com/is/image/MCY/14887463 ")</f>
        <v xml:space="preserve">http://slimages.macys.com/is/image/MCY/14887463 </v>
      </c>
    </row>
    <row r="763" spans="1:12" ht="24.75" x14ac:dyDescent="0.25">
      <c r="A763" s="4" t="s">
        <v>14400</v>
      </c>
      <c r="B763" s="2" t="s">
        <v>2016</v>
      </c>
      <c r="C763" s="3">
        <v>1</v>
      </c>
      <c r="D763" s="5">
        <v>12.99</v>
      </c>
      <c r="E763" s="3" t="s">
        <v>2017</v>
      </c>
      <c r="F763" s="2" t="s">
        <v>2619</v>
      </c>
      <c r="G763" s="6" t="s">
        <v>245</v>
      </c>
      <c r="H763" s="2" t="s">
        <v>194</v>
      </c>
      <c r="I763" s="2" t="s">
        <v>195</v>
      </c>
      <c r="J763" s="2" t="s">
        <v>19</v>
      </c>
      <c r="K763" s="2" t="s">
        <v>648</v>
      </c>
      <c r="L763" s="7" t="str">
        <f>HYPERLINK("http://slimages.macys.com/is/image/MCY/14887463 ")</f>
        <v xml:space="preserve">http://slimages.macys.com/is/image/MCY/14887463 </v>
      </c>
    </row>
    <row r="764" spans="1:12" ht="24.75" x14ac:dyDescent="0.25">
      <c r="A764" s="4" t="s">
        <v>14401</v>
      </c>
      <c r="B764" s="2" t="s">
        <v>2016</v>
      </c>
      <c r="C764" s="3">
        <v>1</v>
      </c>
      <c r="D764" s="5">
        <v>12.99</v>
      </c>
      <c r="E764" s="3" t="s">
        <v>2017</v>
      </c>
      <c r="F764" s="2" t="s">
        <v>64</v>
      </c>
      <c r="G764" s="6" t="s">
        <v>245</v>
      </c>
      <c r="H764" s="2" t="s">
        <v>194</v>
      </c>
      <c r="I764" s="2" t="s">
        <v>195</v>
      </c>
      <c r="J764" s="2" t="s">
        <v>19</v>
      </c>
      <c r="K764" s="2" t="s">
        <v>648</v>
      </c>
      <c r="L764" s="7" t="str">
        <f>HYPERLINK("http://slimages.macys.com/is/image/MCY/14887463 ")</f>
        <v xml:space="preserve">http://slimages.macys.com/is/image/MCY/14887463 </v>
      </c>
    </row>
    <row r="765" spans="1:12" ht="24.75" x14ac:dyDescent="0.25">
      <c r="A765" s="4" t="s">
        <v>14402</v>
      </c>
      <c r="B765" s="2" t="s">
        <v>11472</v>
      </c>
      <c r="C765" s="3">
        <v>1</v>
      </c>
      <c r="D765" s="5">
        <v>12.99</v>
      </c>
      <c r="E765" s="3" t="s">
        <v>11473</v>
      </c>
      <c r="F765" s="2" t="s">
        <v>26</v>
      </c>
      <c r="G765" s="6" t="s">
        <v>181</v>
      </c>
      <c r="H765" s="2" t="s">
        <v>1473</v>
      </c>
      <c r="I765" s="2" t="s">
        <v>1426</v>
      </c>
      <c r="J765" s="2" t="s">
        <v>19</v>
      </c>
      <c r="K765" s="2" t="s">
        <v>648</v>
      </c>
      <c r="L765" s="7" t="str">
        <f>HYPERLINK("http://slimages.macys.com/is/image/MCY/9897922 ")</f>
        <v xml:space="preserve">http://slimages.macys.com/is/image/MCY/9897922 </v>
      </c>
    </row>
    <row r="766" spans="1:12" ht="24.75" x14ac:dyDescent="0.25">
      <c r="A766" s="4" t="s">
        <v>14403</v>
      </c>
      <c r="B766" s="2" t="s">
        <v>11472</v>
      </c>
      <c r="C766" s="3">
        <v>1</v>
      </c>
      <c r="D766" s="5">
        <v>12.99</v>
      </c>
      <c r="E766" s="3" t="s">
        <v>11473</v>
      </c>
      <c r="F766" s="2" t="s">
        <v>53</v>
      </c>
      <c r="G766" s="6" t="s">
        <v>156</v>
      </c>
      <c r="H766" s="2" t="s">
        <v>1473</v>
      </c>
      <c r="I766" s="2" t="s">
        <v>1426</v>
      </c>
      <c r="J766" s="2" t="s">
        <v>19</v>
      </c>
      <c r="K766" s="2" t="s">
        <v>648</v>
      </c>
      <c r="L766" s="7" t="str">
        <f>HYPERLINK("http://slimages.macys.com/is/image/MCY/9897922 ")</f>
        <v xml:space="preserve">http://slimages.macys.com/is/image/MCY/9897922 </v>
      </c>
    </row>
    <row r="767" spans="1:12" ht="24.75" x14ac:dyDescent="0.25">
      <c r="A767" s="4" t="s">
        <v>14404</v>
      </c>
      <c r="B767" s="2" t="s">
        <v>11472</v>
      </c>
      <c r="C767" s="3">
        <v>1</v>
      </c>
      <c r="D767" s="5">
        <v>12.99</v>
      </c>
      <c r="E767" s="3" t="s">
        <v>11473</v>
      </c>
      <c r="F767" s="2" t="s">
        <v>417</v>
      </c>
      <c r="G767" s="6" t="s">
        <v>245</v>
      </c>
      <c r="H767" s="2" t="s">
        <v>1473</v>
      </c>
      <c r="I767" s="2" t="s">
        <v>1426</v>
      </c>
      <c r="J767" s="2" t="s">
        <v>19</v>
      </c>
      <c r="K767" s="2" t="s">
        <v>648</v>
      </c>
      <c r="L767" s="7" t="str">
        <f>HYPERLINK("http://slimages.macys.com/is/image/MCY/9897922 ")</f>
        <v xml:space="preserve">http://slimages.macys.com/is/image/MCY/9897922 </v>
      </c>
    </row>
    <row r="768" spans="1:12" ht="24.75" x14ac:dyDescent="0.25">
      <c r="A768" s="4" t="s">
        <v>14405</v>
      </c>
      <c r="B768" s="2" t="s">
        <v>2021</v>
      </c>
      <c r="C768" s="3">
        <v>1</v>
      </c>
      <c r="D768" s="5">
        <v>18.38</v>
      </c>
      <c r="E768" s="3">
        <v>100018061</v>
      </c>
      <c r="F768" s="2" t="s">
        <v>26</v>
      </c>
      <c r="G768" s="6" t="s">
        <v>181</v>
      </c>
      <c r="H768" s="2" t="s">
        <v>194</v>
      </c>
      <c r="I768" s="2" t="s">
        <v>195</v>
      </c>
      <c r="J768" s="2" t="s">
        <v>19</v>
      </c>
      <c r="K768" s="2" t="s">
        <v>495</v>
      </c>
      <c r="L768" s="7" t="str">
        <f>HYPERLINK("http://slimages.macys.com/is/image/MCY/12950402 ")</f>
        <v xml:space="preserve">http://slimages.macys.com/is/image/MCY/12950402 </v>
      </c>
    </row>
    <row r="769" spans="1:12" ht="24.75" x14ac:dyDescent="0.25">
      <c r="A769" s="4" t="s">
        <v>14406</v>
      </c>
      <c r="B769" s="2" t="s">
        <v>1964</v>
      </c>
      <c r="C769" s="3">
        <v>1</v>
      </c>
      <c r="D769" s="5">
        <v>19.989999999999998</v>
      </c>
      <c r="E769" s="3" t="s">
        <v>12604</v>
      </c>
      <c r="F769" s="2" t="s">
        <v>26</v>
      </c>
      <c r="G769" s="6" t="s">
        <v>794</v>
      </c>
      <c r="H769" s="2" t="s">
        <v>632</v>
      </c>
      <c r="I769" s="2" t="s">
        <v>285</v>
      </c>
      <c r="J769" s="2" t="s">
        <v>19</v>
      </c>
      <c r="K769" s="2" t="s">
        <v>247</v>
      </c>
      <c r="L769" s="7" t="str">
        <f>HYPERLINK("http://slimages.macys.com/is/image/MCY/11721629 ")</f>
        <v xml:space="preserve">http://slimages.macys.com/is/image/MCY/11721629 </v>
      </c>
    </row>
    <row r="770" spans="1:12" ht="24.75" x14ac:dyDescent="0.25">
      <c r="A770" s="4" t="s">
        <v>12603</v>
      </c>
      <c r="B770" s="2" t="s">
        <v>1964</v>
      </c>
      <c r="C770" s="3">
        <v>1</v>
      </c>
      <c r="D770" s="5">
        <v>19.989999999999998</v>
      </c>
      <c r="E770" s="3" t="s">
        <v>12604</v>
      </c>
      <c r="F770" s="2" t="s">
        <v>26</v>
      </c>
      <c r="G770" s="6"/>
      <c r="H770" s="2" t="s">
        <v>632</v>
      </c>
      <c r="I770" s="2" t="s">
        <v>285</v>
      </c>
      <c r="J770" s="2" t="s">
        <v>19</v>
      </c>
      <c r="K770" s="2" t="s">
        <v>247</v>
      </c>
      <c r="L770" s="7" t="str">
        <f>HYPERLINK("http://slimages.macys.com/is/image/MCY/11721629 ")</f>
        <v xml:space="preserve">http://slimages.macys.com/is/image/MCY/11721629 </v>
      </c>
    </row>
    <row r="771" spans="1:12" ht="24.75" x14ac:dyDescent="0.25">
      <c r="A771" s="4" t="s">
        <v>14407</v>
      </c>
      <c r="B771" s="2" t="s">
        <v>4277</v>
      </c>
      <c r="C771" s="3">
        <v>1</v>
      </c>
      <c r="D771" s="5">
        <v>12.99</v>
      </c>
      <c r="E771" s="3" t="s">
        <v>4278</v>
      </c>
      <c r="F771" s="2" t="s">
        <v>26</v>
      </c>
      <c r="G771" s="6" t="s">
        <v>181</v>
      </c>
      <c r="H771" s="2" t="s">
        <v>1473</v>
      </c>
      <c r="I771" s="2" t="s">
        <v>1426</v>
      </c>
      <c r="J771" s="2" t="s">
        <v>19</v>
      </c>
      <c r="K771" s="2" t="s">
        <v>648</v>
      </c>
      <c r="L771" s="7" t="str">
        <f>HYPERLINK("http://slimages.macys.com/is/image/MCY/9770425 ")</f>
        <v xml:space="preserve">http://slimages.macys.com/is/image/MCY/9770425 </v>
      </c>
    </row>
    <row r="772" spans="1:12" ht="24.75" x14ac:dyDescent="0.25">
      <c r="A772" s="4" t="s">
        <v>14408</v>
      </c>
      <c r="B772" s="2" t="s">
        <v>4277</v>
      </c>
      <c r="C772" s="3">
        <v>1</v>
      </c>
      <c r="D772" s="5">
        <v>12.99</v>
      </c>
      <c r="E772" s="3" t="s">
        <v>4278</v>
      </c>
      <c r="F772" s="2" t="s">
        <v>26</v>
      </c>
      <c r="G772" s="6" t="s">
        <v>156</v>
      </c>
      <c r="H772" s="2" t="s">
        <v>1473</v>
      </c>
      <c r="I772" s="2" t="s">
        <v>1426</v>
      </c>
      <c r="J772" s="2" t="s">
        <v>19</v>
      </c>
      <c r="K772" s="2" t="s">
        <v>648</v>
      </c>
      <c r="L772" s="7" t="str">
        <f>HYPERLINK("http://slimages.macys.com/is/image/MCY/9770425 ")</f>
        <v xml:space="preserve">http://slimages.macys.com/is/image/MCY/9770425 </v>
      </c>
    </row>
    <row r="773" spans="1:12" ht="24.75" x14ac:dyDescent="0.25">
      <c r="A773" s="4" t="s">
        <v>14409</v>
      </c>
      <c r="B773" s="2" t="s">
        <v>14410</v>
      </c>
      <c r="C773" s="3">
        <v>1</v>
      </c>
      <c r="D773" s="5">
        <v>12.99</v>
      </c>
      <c r="E773" s="3" t="s">
        <v>14411</v>
      </c>
      <c r="F773" s="2" t="s">
        <v>752</v>
      </c>
      <c r="G773" s="6"/>
      <c r="H773" s="2" t="s">
        <v>312</v>
      </c>
      <c r="I773" s="2" t="s">
        <v>195</v>
      </c>
      <c r="J773" s="2" t="s">
        <v>19</v>
      </c>
      <c r="K773" s="2" t="s">
        <v>495</v>
      </c>
      <c r="L773" s="7" t="str">
        <f>HYPERLINK("http://slimages.macys.com/is/image/MCY/13758519 ")</f>
        <v xml:space="preserve">http://slimages.macys.com/is/image/MCY/13758519 </v>
      </c>
    </row>
    <row r="774" spans="1:12" ht="24.75" x14ac:dyDescent="0.25">
      <c r="A774" s="4" t="s">
        <v>14412</v>
      </c>
      <c r="B774" s="2" t="s">
        <v>14413</v>
      </c>
      <c r="C774" s="3">
        <v>1</v>
      </c>
      <c r="D774" s="5">
        <v>17.989999999999998</v>
      </c>
      <c r="E774" s="3" t="s">
        <v>14414</v>
      </c>
      <c r="F774" s="2" t="s">
        <v>74</v>
      </c>
      <c r="G774" s="6" t="s">
        <v>245</v>
      </c>
      <c r="H774" s="2" t="s">
        <v>246</v>
      </c>
      <c r="I774" s="2" t="s">
        <v>1939</v>
      </c>
      <c r="J774" s="2" t="s">
        <v>19</v>
      </c>
      <c r="K774" s="2" t="s">
        <v>3423</v>
      </c>
      <c r="L774" s="7" t="str">
        <f>HYPERLINK("http://slimages.macys.com/is/image/MCY/3427880 ")</f>
        <v xml:space="preserve">http://slimages.macys.com/is/image/MCY/3427880 </v>
      </c>
    </row>
    <row r="775" spans="1:12" ht="24.75" x14ac:dyDescent="0.25">
      <c r="A775" s="4" t="s">
        <v>14415</v>
      </c>
      <c r="B775" s="2" t="s">
        <v>14416</v>
      </c>
      <c r="C775" s="3">
        <v>1</v>
      </c>
      <c r="D775" s="5">
        <v>16.989999999999998</v>
      </c>
      <c r="E775" s="3" t="s">
        <v>14417</v>
      </c>
      <c r="F775" s="2" t="s">
        <v>566</v>
      </c>
      <c r="G775" s="6" t="s">
        <v>234</v>
      </c>
      <c r="H775" s="2" t="s">
        <v>2029</v>
      </c>
      <c r="I775" s="2" t="s">
        <v>2030</v>
      </c>
      <c r="J775" s="2" t="s">
        <v>19</v>
      </c>
      <c r="K775" s="2" t="s">
        <v>1108</v>
      </c>
      <c r="L775" s="7" t="str">
        <f>HYPERLINK("http://slimages.macys.com/is/image/MCY/14316192 ")</f>
        <v xml:space="preserve">http://slimages.macys.com/is/image/MCY/14316192 </v>
      </c>
    </row>
    <row r="776" spans="1:12" ht="24.75" x14ac:dyDescent="0.25">
      <c r="A776" s="4" t="s">
        <v>14418</v>
      </c>
      <c r="B776" s="2" t="s">
        <v>7716</v>
      </c>
      <c r="C776" s="3">
        <v>1</v>
      </c>
      <c r="D776" s="5">
        <v>12.99</v>
      </c>
      <c r="E776" s="3" t="s">
        <v>7717</v>
      </c>
      <c r="F776" s="2" t="s">
        <v>53</v>
      </c>
      <c r="G776" s="6" t="s">
        <v>154</v>
      </c>
      <c r="H776" s="2" t="s">
        <v>1473</v>
      </c>
      <c r="I776" s="2" t="s">
        <v>1426</v>
      </c>
      <c r="J776" s="2" t="s">
        <v>19</v>
      </c>
      <c r="K776" s="2" t="s">
        <v>495</v>
      </c>
      <c r="L776" s="7" t="str">
        <f>HYPERLINK("http://slimages.macys.com/is/image/MCY/13758050 ")</f>
        <v xml:space="preserve">http://slimages.macys.com/is/image/MCY/13758050 </v>
      </c>
    </row>
    <row r="777" spans="1:12" ht="24.75" x14ac:dyDescent="0.25">
      <c r="A777" s="4" t="s">
        <v>14419</v>
      </c>
      <c r="B777" s="2" t="s">
        <v>7716</v>
      </c>
      <c r="C777" s="3">
        <v>1</v>
      </c>
      <c r="D777" s="5">
        <v>12.99</v>
      </c>
      <c r="E777" s="3" t="s">
        <v>7717</v>
      </c>
      <c r="F777" s="2" t="s">
        <v>85</v>
      </c>
      <c r="G777" s="6" t="s">
        <v>234</v>
      </c>
      <c r="H777" s="2" t="s">
        <v>1473</v>
      </c>
      <c r="I777" s="2" t="s">
        <v>1426</v>
      </c>
      <c r="J777" s="2" t="s">
        <v>19</v>
      </c>
      <c r="K777" s="2" t="s">
        <v>495</v>
      </c>
      <c r="L777" s="7" t="str">
        <f>HYPERLINK("http://slimages.macys.com/is/image/MCY/13758050 ")</f>
        <v xml:space="preserve">http://slimages.macys.com/is/image/MCY/13758050 </v>
      </c>
    </row>
    <row r="778" spans="1:12" ht="24.75" x14ac:dyDescent="0.25">
      <c r="A778" s="4" t="s">
        <v>14420</v>
      </c>
      <c r="B778" s="2" t="s">
        <v>7716</v>
      </c>
      <c r="C778" s="3">
        <v>1</v>
      </c>
      <c r="D778" s="5">
        <v>12.99</v>
      </c>
      <c r="E778" s="3" t="s">
        <v>7717</v>
      </c>
      <c r="F778" s="2" t="s">
        <v>85</v>
      </c>
      <c r="G778" s="6" t="s">
        <v>200</v>
      </c>
      <c r="H778" s="2" t="s">
        <v>1473</v>
      </c>
      <c r="I778" s="2" t="s">
        <v>1426</v>
      </c>
      <c r="J778" s="2" t="s">
        <v>19</v>
      </c>
      <c r="K778" s="2" t="s">
        <v>495</v>
      </c>
      <c r="L778" s="7" t="str">
        <f>HYPERLINK("http://slimages.macys.com/is/image/MCY/13758050 ")</f>
        <v xml:space="preserve">http://slimages.macys.com/is/image/MCY/13758050 </v>
      </c>
    </row>
    <row r="779" spans="1:12" ht="24.75" x14ac:dyDescent="0.25">
      <c r="A779" s="4" t="s">
        <v>14421</v>
      </c>
      <c r="B779" s="2" t="s">
        <v>14422</v>
      </c>
      <c r="C779" s="3">
        <v>1</v>
      </c>
      <c r="D779" s="5">
        <v>9.99</v>
      </c>
      <c r="E779" s="3" t="s">
        <v>14423</v>
      </c>
      <c r="F779" s="2" t="s">
        <v>26</v>
      </c>
      <c r="G779" s="6" t="s">
        <v>181</v>
      </c>
      <c r="H779" s="2" t="s">
        <v>1473</v>
      </c>
      <c r="I779" s="2" t="s">
        <v>1426</v>
      </c>
      <c r="J779" s="2" t="s">
        <v>19</v>
      </c>
      <c r="K779" s="2" t="s">
        <v>14424</v>
      </c>
      <c r="L779" s="7" t="str">
        <f>HYPERLINK("http://slimages.macys.com/is/image/MCY/14768584 ")</f>
        <v xml:space="preserve">http://slimages.macys.com/is/image/MCY/14768584 </v>
      </c>
    </row>
    <row r="780" spans="1:12" ht="24.75" x14ac:dyDescent="0.25">
      <c r="A780" s="4" t="s">
        <v>11506</v>
      </c>
      <c r="B780" s="2" t="s">
        <v>2036</v>
      </c>
      <c r="C780" s="3">
        <v>1</v>
      </c>
      <c r="D780" s="5">
        <v>12.99</v>
      </c>
      <c r="E780" s="3" t="s">
        <v>2037</v>
      </c>
      <c r="F780" s="2" t="s">
        <v>48</v>
      </c>
      <c r="G780" s="6" t="s">
        <v>156</v>
      </c>
      <c r="H780" s="2" t="s">
        <v>194</v>
      </c>
      <c r="I780" s="2" t="s">
        <v>195</v>
      </c>
      <c r="J780" s="2" t="s">
        <v>19</v>
      </c>
      <c r="K780" s="2" t="s">
        <v>495</v>
      </c>
      <c r="L780" s="7" t="str">
        <f>HYPERLINK("http://slimages.macys.com/is/image/MCY/13828817 ")</f>
        <v xml:space="preserve">http://slimages.macys.com/is/image/MCY/13828817 </v>
      </c>
    </row>
    <row r="781" spans="1:12" ht="24.75" x14ac:dyDescent="0.25">
      <c r="A781" s="4" t="s">
        <v>11503</v>
      </c>
      <c r="B781" s="2" t="s">
        <v>2036</v>
      </c>
      <c r="C781" s="3">
        <v>2</v>
      </c>
      <c r="D781" s="5">
        <v>12.99</v>
      </c>
      <c r="E781" s="3" t="s">
        <v>2037</v>
      </c>
      <c r="F781" s="2" t="s">
        <v>48</v>
      </c>
      <c r="G781" s="6" t="s">
        <v>154</v>
      </c>
      <c r="H781" s="2" t="s">
        <v>194</v>
      </c>
      <c r="I781" s="2" t="s">
        <v>195</v>
      </c>
      <c r="J781" s="2" t="s">
        <v>19</v>
      </c>
      <c r="K781" s="2" t="s">
        <v>495</v>
      </c>
      <c r="L781" s="7" t="str">
        <f>HYPERLINK("http://slimages.macys.com/is/image/MCY/13828817 ")</f>
        <v xml:space="preserve">http://slimages.macys.com/is/image/MCY/13828817 </v>
      </c>
    </row>
    <row r="782" spans="1:12" ht="24.75" x14ac:dyDescent="0.25">
      <c r="A782" s="4" t="s">
        <v>4292</v>
      </c>
      <c r="B782" s="2" t="s">
        <v>2036</v>
      </c>
      <c r="C782" s="3">
        <v>1</v>
      </c>
      <c r="D782" s="5">
        <v>12.99</v>
      </c>
      <c r="E782" s="3" t="s">
        <v>2037</v>
      </c>
      <c r="F782" s="2" t="s">
        <v>111</v>
      </c>
      <c r="G782" s="6" t="s">
        <v>245</v>
      </c>
      <c r="H782" s="2" t="s">
        <v>194</v>
      </c>
      <c r="I782" s="2" t="s">
        <v>195</v>
      </c>
      <c r="J782" s="2"/>
      <c r="K782" s="2"/>
      <c r="L782" s="7" t="str">
        <f>HYPERLINK("http://slimages.macys.com/is/image/MCY/9527158 ")</f>
        <v xml:space="preserve">http://slimages.macys.com/is/image/MCY/9527158 </v>
      </c>
    </row>
    <row r="783" spans="1:12" ht="24.75" x14ac:dyDescent="0.25">
      <c r="A783" s="4" t="s">
        <v>14425</v>
      </c>
      <c r="B783" s="2" t="s">
        <v>2036</v>
      </c>
      <c r="C783" s="3">
        <v>1</v>
      </c>
      <c r="D783" s="5">
        <v>12.99</v>
      </c>
      <c r="E783" s="3" t="s">
        <v>2037</v>
      </c>
      <c r="F783" s="2" t="s">
        <v>111</v>
      </c>
      <c r="G783" s="6" t="s">
        <v>156</v>
      </c>
      <c r="H783" s="2" t="s">
        <v>194</v>
      </c>
      <c r="I783" s="2" t="s">
        <v>195</v>
      </c>
      <c r="J783" s="2"/>
      <c r="K783" s="2"/>
      <c r="L783" s="7" t="str">
        <f>HYPERLINK("http://slimages.macys.com/is/image/MCY/9527158 ")</f>
        <v xml:space="preserve">http://slimages.macys.com/is/image/MCY/9527158 </v>
      </c>
    </row>
    <row r="784" spans="1:12" ht="24.75" x14ac:dyDescent="0.25">
      <c r="A784" s="4" t="s">
        <v>14426</v>
      </c>
      <c r="B784" s="2" t="s">
        <v>2036</v>
      </c>
      <c r="C784" s="3">
        <v>1</v>
      </c>
      <c r="D784" s="5">
        <v>12.99</v>
      </c>
      <c r="E784" s="3" t="s">
        <v>2037</v>
      </c>
      <c r="F784" s="2" t="s">
        <v>48</v>
      </c>
      <c r="G784" s="6" t="s">
        <v>245</v>
      </c>
      <c r="H784" s="2" t="s">
        <v>194</v>
      </c>
      <c r="I784" s="2" t="s">
        <v>195</v>
      </c>
      <c r="J784" s="2" t="s">
        <v>19</v>
      </c>
      <c r="K784" s="2" t="s">
        <v>495</v>
      </c>
      <c r="L784" s="7" t="str">
        <f>HYPERLINK("http://slimages.macys.com/is/image/MCY/13828817 ")</f>
        <v xml:space="preserve">http://slimages.macys.com/is/image/MCY/13828817 </v>
      </c>
    </row>
    <row r="785" spans="1:12" ht="24.75" x14ac:dyDescent="0.25">
      <c r="A785" s="4" t="s">
        <v>11505</v>
      </c>
      <c r="B785" s="2" t="s">
        <v>2036</v>
      </c>
      <c r="C785" s="3">
        <v>3</v>
      </c>
      <c r="D785" s="5">
        <v>12.99</v>
      </c>
      <c r="E785" s="3" t="s">
        <v>2037</v>
      </c>
      <c r="F785" s="2" t="s">
        <v>48</v>
      </c>
      <c r="G785" s="6" t="s">
        <v>181</v>
      </c>
      <c r="H785" s="2" t="s">
        <v>194</v>
      </c>
      <c r="I785" s="2" t="s">
        <v>195</v>
      </c>
      <c r="J785" s="2" t="s">
        <v>19</v>
      </c>
      <c r="K785" s="2" t="s">
        <v>495</v>
      </c>
      <c r="L785" s="7" t="str">
        <f>HYPERLINK("http://slimages.macys.com/is/image/MCY/13828817 ")</f>
        <v xml:space="preserve">http://slimages.macys.com/is/image/MCY/13828817 </v>
      </c>
    </row>
    <row r="786" spans="1:12" ht="24.75" x14ac:dyDescent="0.25">
      <c r="A786" s="4" t="s">
        <v>14427</v>
      </c>
      <c r="B786" s="2" t="s">
        <v>2036</v>
      </c>
      <c r="C786" s="3">
        <v>1</v>
      </c>
      <c r="D786" s="5">
        <v>12.99</v>
      </c>
      <c r="E786" s="3" t="s">
        <v>2037</v>
      </c>
      <c r="F786" s="2" t="s">
        <v>956</v>
      </c>
      <c r="G786" s="6" t="s">
        <v>245</v>
      </c>
      <c r="H786" s="2" t="s">
        <v>194</v>
      </c>
      <c r="I786" s="2" t="s">
        <v>195</v>
      </c>
      <c r="J786" s="2" t="s">
        <v>19</v>
      </c>
      <c r="K786" s="2" t="s">
        <v>495</v>
      </c>
      <c r="L786" s="7" t="str">
        <f>HYPERLINK("http://slimages.macys.com/is/image/MCY/10191342 ")</f>
        <v xml:space="preserve">http://slimages.macys.com/is/image/MCY/10191342 </v>
      </c>
    </row>
    <row r="787" spans="1:12" ht="24.75" x14ac:dyDescent="0.25">
      <c r="A787" s="4" t="s">
        <v>14428</v>
      </c>
      <c r="B787" s="2" t="s">
        <v>6216</v>
      </c>
      <c r="C787" s="3">
        <v>1</v>
      </c>
      <c r="D787" s="5">
        <v>14.99</v>
      </c>
      <c r="E787" s="3" t="s">
        <v>6217</v>
      </c>
      <c r="F787" s="2" t="s">
        <v>257</v>
      </c>
      <c r="G787" s="6" t="s">
        <v>156</v>
      </c>
      <c r="H787" s="2" t="s">
        <v>194</v>
      </c>
      <c r="I787" s="2" t="s">
        <v>195</v>
      </c>
      <c r="J787" s="2" t="s">
        <v>19</v>
      </c>
      <c r="K787" s="2" t="s">
        <v>1108</v>
      </c>
      <c r="L787" s="7" t="str">
        <f>HYPERLINK("http://slimages.macys.com/is/image/MCY/12280226 ")</f>
        <v xml:space="preserve">http://slimages.macys.com/is/image/MCY/12280226 </v>
      </c>
    </row>
    <row r="788" spans="1:12" ht="24.75" x14ac:dyDescent="0.25">
      <c r="A788" s="4" t="s">
        <v>14429</v>
      </c>
      <c r="B788" s="2" t="s">
        <v>6216</v>
      </c>
      <c r="C788" s="3">
        <v>2</v>
      </c>
      <c r="D788" s="5">
        <v>14.99</v>
      </c>
      <c r="E788" s="3" t="s">
        <v>6217</v>
      </c>
      <c r="F788" s="2" t="s">
        <v>1614</v>
      </c>
      <c r="G788" s="6" t="s">
        <v>234</v>
      </c>
      <c r="H788" s="2" t="s">
        <v>194</v>
      </c>
      <c r="I788" s="2" t="s">
        <v>195</v>
      </c>
      <c r="J788" s="2" t="s">
        <v>19</v>
      </c>
      <c r="K788" s="2" t="s">
        <v>1108</v>
      </c>
      <c r="L788" s="7" t="str">
        <f>HYPERLINK("http://slimages.macys.com/is/image/MCY/12280226 ")</f>
        <v xml:space="preserve">http://slimages.macys.com/is/image/MCY/12280226 </v>
      </c>
    </row>
    <row r="789" spans="1:12" ht="24.75" x14ac:dyDescent="0.25">
      <c r="A789" s="4" t="s">
        <v>4310</v>
      </c>
      <c r="B789" s="2" t="s">
        <v>2061</v>
      </c>
      <c r="C789" s="3">
        <v>1</v>
      </c>
      <c r="D789" s="5">
        <v>9.99</v>
      </c>
      <c r="E789" s="3" t="s">
        <v>4306</v>
      </c>
      <c r="F789" s="2" t="s">
        <v>413</v>
      </c>
      <c r="G789" s="6" t="s">
        <v>156</v>
      </c>
      <c r="H789" s="2" t="s">
        <v>1473</v>
      </c>
      <c r="I789" s="2" t="s">
        <v>1426</v>
      </c>
      <c r="J789" s="2" t="s">
        <v>19</v>
      </c>
      <c r="K789" s="2" t="s">
        <v>495</v>
      </c>
      <c r="L789" s="7" t="str">
        <f>HYPERLINK("http://slimages.macys.com/is/image/MCY/11915620 ")</f>
        <v xml:space="preserve">http://slimages.macys.com/is/image/MCY/11915620 </v>
      </c>
    </row>
    <row r="790" spans="1:12" ht="24.75" x14ac:dyDescent="0.25">
      <c r="A790" s="4" t="s">
        <v>14430</v>
      </c>
      <c r="B790" s="2" t="s">
        <v>14431</v>
      </c>
      <c r="C790" s="3">
        <v>2</v>
      </c>
      <c r="D790" s="5">
        <v>9.99</v>
      </c>
      <c r="E790" s="3" t="s">
        <v>14432</v>
      </c>
      <c r="F790" s="2" t="s">
        <v>15</v>
      </c>
      <c r="G790" s="6" t="s">
        <v>156</v>
      </c>
      <c r="H790" s="2" t="s">
        <v>1473</v>
      </c>
      <c r="I790" s="2" t="s">
        <v>1426</v>
      </c>
      <c r="J790" s="2" t="s">
        <v>19</v>
      </c>
      <c r="K790" s="2" t="s">
        <v>495</v>
      </c>
      <c r="L790" s="7" t="str">
        <f>HYPERLINK("http://slimages.macys.com/is/image/MCY/13809331 ")</f>
        <v xml:space="preserve">http://slimages.macys.com/is/image/MCY/13809331 </v>
      </c>
    </row>
    <row r="791" spans="1:12" ht="24.75" x14ac:dyDescent="0.25">
      <c r="A791" s="4" t="s">
        <v>14433</v>
      </c>
      <c r="B791" s="2" t="s">
        <v>4312</v>
      </c>
      <c r="C791" s="3">
        <v>1</v>
      </c>
      <c r="D791" s="5">
        <v>9.99</v>
      </c>
      <c r="E791" s="3" t="s">
        <v>4313</v>
      </c>
      <c r="F791" s="2" t="s">
        <v>15</v>
      </c>
      <c r="G791" s="6" t="s">
        <v>245</v>
      </c>
      <c r="H791" s="2" t="s">
        <v>1473</v>
      </c>
      <c r="I791" s="2" t="s">
        <v>1426</v>
      </c>
      <c r="J791" s="2" t="s">
        <v>19</v>
      </c>
      <c r="K791" s="2" t="s">
        <v>495</v>
      </c>
      <c r="L791" s="7" t="str">
        <f>HYPERLINK("http://slimages.macys.com/is/image/MCY/11882112 ")</f>
        <v xml:space="preserve">http://slimages.macys.com/is/image/MCY/11882112 </v>
      </c>
    </row>
    <row r="792" spans="1:12" ht="24.75" x14ac:dyDescent="0.25">
      <c r="A792" s="4" t="s">
        <v>14434</v>
      </c>
      <c r="B792" s="2" t="s">
        <v>11516</v>
      </c>
      <c r="C792" s="3">
        <v>1</v>
      </c>
      <c r="D792" s="5">
        <v>9.99</v>
      </c>
      <c r="E792" s="3" t="s">
        <v>11517</v>
      </c>
      <c r="F792" s="2" t="s">
        <v>70</v>
      </c>
      <c r="G792" s="6" t="s">
        <v>200</v>
      </c>
      <c r="H792" s="2" t="s">
        <v>1473</v>
      </c>
      <c r="I792" s="2" t="s">
        <v>1426</v>
      </c>
      <c r="J792" s="2" t="s">
        <v>19</v>
      </c>
      <c r="K792" s="2" t="s">
        <v>495</v>
      </c>
      <c r="L792" s="7" t="str">
        <f>HYPERLINK("http://slimages.macys.com/is/image/MCY/12775080 ")</f>
        <v xml:space="preserve">http://slimages.macys.com/is/image/MCY/12775080 </v>
      </c>
    </row>
    <row r="793" spans="1:12" ht="24.75" x14ac:dyDescent="0.25">
      <c r="A793" s="4" t="s">
        <v>14435</v>
      </c>
      <c r="B793" s="2" t="s">
        <v>6947</v>
      </c>
      <c r="C793" s="3">
        <v>1</v>
      </c>
      <c r="D793" s="5">
        <v>9.99</v>
      </c>
      <c r="E793" s="3" t="s">
        <v>6948</v>
      </c>
      <c r="F793" s="2" t="s">
        <v>417</v>
      </c>
      <c r="G793" s="6" t="s">
        <v>200</v>
      </c>
      <c r="H793" s="2" t="s">
        <v>1473</v>
      </c>
      <c r="I793" s="2" t="s">
        <v>1426</v>
      </c>
      <c r="J793" s="2" t="s">
        <v>19</v>
      </c>
      <c r="K793" s="2" t="s">
        <v>495</v>
      </c>
      <c r="L793" s="7" t="str">
        <f>HYPERLINK("http://slimages.macys.com/is/image/MCY/12326977 ")</f>
        <v xml:space="preserve">http://slimages.macys.com/is/image/MCY/12326977 </v>
      </c>
    </row>
    <row r="794" spans="1:12" ht="24.75" x14ac:dyDescent="0.25">
      <c r="A794" s="4" t="s">
        <v>4301</v>
      </c>
      <c r="B794" s="2" t="s">
        <v>4302</v>
      </c>
      <c r="C794" s="3">
        <v>1</v>
      </c>
      <c r="D794" s="5">
        <v>9.99</v>
      </c>
      <c r="E794" s="3" t="s">
        <v>4303</v>
      </c>
      <c r="F794" s="2" t="s">
        <v>1322</v>
      </c>
      <c r="G794" s="6" t="s">
        <v>219</v>
      </c>
      <c r="H794" s="2" t="s">
        <v>1425</v>
      </c>
      <c r="I794" s="2" t="s">
        <v>1426</v>
      </c>
      <c r="J794" s="2" t="s">
        <v>19</v>
      </c>
      <c r="K794" s="2" t="s">
        <v>495</v>
      </c>
      <c r="L794" s="7" t="str">
        <f>HYPERLINK("http://slimages.macys.com/is/image/MCY/12267126 ")</f>
        <v xml:space="preserve">http://slimages.macys.com/is/image/MCY/12267126 </v>
      </c>
    </row>
    <row r="795" spans="1:12" ht="24.75" x14ac:dyDescent="0.25">
      <c r="A795" s="4" t="s">
        <v>11518</v>
      </c>
      <c r="B795" s="2" t="s">
        <v>11516</v>
      </c>
      <c r="C795" s="3">
        <v>1</v>
      </c>
      <c r="D795" s="5">
        <v>9.99</v>
      </c>
      <c r="E795" s="3" t="s">
        <v>11517</v>
      </c>
      <c r="F795" s="2" t="s">
        <v>70</v>
      </c>
      <c r="G795" s="6" t="s">
        <v>154</v>
      </c>
      <c r="H795" s="2" t="s">
        <v>1473</v>
      </c>
      <c r="I795" s="2" t="s">
        <v>1426</v>
      </c>
      <c r="J795" s="2" t="s">
        <v>19</v>
      </c>
      <c r="K795" s="2" t="s">
        <v>495</v>
      </c>
      <c r="L795" s="7" t="str">
        <f>HYPERLINK("http://slimages.macys.com/is/image/MCY/12775080 ")</f>
        <v xml:space="preserve">http://slimages.macys.com/is/image/MCY/12775080 </v>
      </c>
    </row>
    <row r="796" spans="1:12" ht="24.75" x14ac:dyDescent="0.25">
      <c r="A796" s="4" t="s">
        <v>12632</v>
      </c>
      <c r="B796" s="2" t="s">
        <v>12633</v>
      </c>
      <c r="C796" s="3">
        <v>2</v>
      </c>
      <c r="D796" s="5">
        <v>9.99</v>
      </c>
      <c r="E796" s="3" t="s">
        <v>12634</v>
      </c>
      <c r="F796" s="2" t="s">
        <v>26</v>
      </c>
      <c r="G796" s="6" t="s">
        <v>156</v>
      </c>
      <c r="H796" s="2" t="s">
        <v>1473</v>
      </c>
      <c r="I796" s="2" t="s">
        <v>1426</v>
      </c>
      <c r="J796" s="2" t="s">
        <v>19</v>
      </c>
      <c r="K796" s="2" t="s">
        <v>495</v>
      </c>
      <c r="L796" s="7" t="str">
        <f>HYPERLINK("http://slimages.macys.com/is/image/MCY/13303967 ")</f>
        <v xml:space="preserve">http://slimages.macys.com/is/image/MCY/13303967 </v>
      </c>
    </row>
    <row r="797" spans="1:12" ht="24.75" x14ac:dyDescent="0.25">
      <c r="A797" s="4" t="s">
        <v>14436</v>
      </c>
      <c r="B797" s="2" t="s">
        <v>4295</v>
      </c>
      <c r="C797" s="3">
        <v>1</v>
      </c>
      <c r="D797" s="5">
        <v>9.99</v>
      </c>
      <c r="E797" s="3" t="s">
        <v>4296</v>
      </c>
      <c r="F797" s="2" t="s">
        <v>33</v>
      </c>
      <c r="G797" s="6" t="s">
        <v>156</v>
      </c>
      <c r="H797" s="2" t="s">
        <v>1473</v>
      </c>
      <c r="I797" s="2" t="s">
        <v>1426</v>
      </c>
      <c r="J797" s="2" t="s">
        <v>19</v>
      </c>
      <c r="K797" s="2" t="s">
        <v>495</v>
      </c>
      <c r="L797" s="7" t="str">
        <f>HYPERLINK("http://slimages.macys.com/is/image/MCY/11533706 ")</f>
        <v xml:space="preserve">http://slimages.macys.com/is/image/MCY/11533706 </v>
      </c>
    </row>
    <row r="798" spans="1:12" ht="24.75" x14ac:dyDescent="0.25">
      <c r="A798" s="4" t="s">
        <v>13554</v>
      </c>
      <c r="B798" s="2" t="s">
        <v>12628</v>
      </c>
      <c r="C798" s="3">
        <v>1</v>
      </c>
      <c r="D798" s="5">
        <v>9.99</v>
      </c>
      <c r="E798" s="3" t="s">
        <v>12629</v>
      </c>
      <c r="F798" s="2" t="s">
        <v>70</v>
      </c>
      <c r="G798" s="6" t="s">
        <v>154</v>
      </c>
      <c r="H798" s="2" t="s">
        <v>1473</v>
      </c>
      <c r="I798" s="2" t="s">
        <v>1426</v>
      </c>
      <c r="J798" s="2" t="s">
        <v>19</v>
      </c>
      <c r="K798" s="2" t="s">
        <v>495</v>
      </c>
      <c r="L798" s="7" t="str">
        <f>HYPERLINK("http://slimages.macys.com/is/image/MCY/12549989 ")</f>
        <v xml:space="preserve">http://slimages.macys.com/is/image/MCY/12549989 </v>
      </c>
    </row>
    <row r="799" spans="1:12" ht="24.75" x14ac:dyDescent="0.25">
      <c r="A799" s="4" t="s">
        <v>12635</v>
      </c>
      <c r="B799" s="2" t="s">
        <v>2058</v>
      </c>
      <c r="C799" s="3">
        <v>1</v>
      </c>
      <c r="D799" s="5">
        <v>9.99</v>
      </c>
      <c r="E799" s="3" t="s">
        <v>2059</v>
      </c>
      <c r="F799" s="2" t="s">
        <v>64</v>
      </c>
      <c r="G799" s="6" t="s">
        <v>245</v>
      </c>
      <c r="H799" s="2" t="s">
        <v>1473</v>
      </c>
      <c r="I799" s="2" t="s">
        <v>1426</v>
      </c>
      <c r="J799" s="2" t="s">
        <v>19</v>
      </c>
      <c r="K799" s="2" t="s">
        <v>495</v>
      </c>
      <c r="L799" s="7" t="str">
        <f>HYPERLINK("http://slimages.macys.com/is/image/MCY/12645133 ")</f>
        <v xml:space="preserve">http://slimages.macys.com/is/image/MCY/12645133 </v>
      </c>
    </row>
    <row r="800" spans="1:12" ht="24.75" x14ac:dyDescent="0.25">
      <c r="A800" s="4" t="s">
        <v>14437</v>
      </c>
      <c r="B800" s="2" t="s">
        <v>5257</v>
      </c>
      <c r="C800" s="3">
        <v>1</v>
      </c>
      <c r="D800" s="5">
        <v>9.99</v>
      </c>
      <c r="E800" s="3" t="s">
        <v>5258</v>
      </c>
      <c r="F800" s="2" t="s">
        <v>413</v>
      </c>
      <c r="G800" s="6" t="s">
        <v>245</v>
      </c>
      <c r="H800" s="2" t="s">
        <v>1473</v>
      </c>
      <c r="I800" s="2" t="s">
        <v>1426</v>
      </c>
      <c r="J800" s="2" t="s">
        <v>19</v>
      </c>
      <c r="K800" s="2" t="s">
        <v>495</v>
      </c>
      <c r="L800" s="7" t="str">
        <f>HYPERLINK("http://slimages.macys.com/is/image/MCY/11774072 ")</f>
        <v xml:space="preserve">http://slimages.macys.com/is/image/MCY/11774072 </v>
      </c>
    </row>
    <row r="801" spans="1:12" ht="24.75" x14ac:dyDescent="0.25">
      <c r="A801" s="4" t="s">
        <v>11511</v>
      </c>
      <c r="B801" s="2" t="s">
        <v>11512</v>
      </c>
      <c r="C801" s="3">
        <v>1</v>
      </c>
      <c r="D801" s="5">
        <v>9.99</v>
      </c>
      <c r="E801" s="3" t="s">
        <v>11513</v>
      </c>
      <c r="F801" s="2" t="s">
        <v>94</v>
      </c>
      <c r="G801" s="6" t="s">
        <v>156</v>
      </c>
      <c r="H801" s="2" t="s">
        <v>1473</v>
      </c>
      <c r="I801" s="2" t="s">
        <v>1426</v>
      </c>
      <c r="J801" s="2" t="s">
        <v>19</v>
      </c>
      <c r="K801" s="2" t="s">
        <v>495</v>
      </c>
      <c r="L801" s="7" t="str">
        <f>HYPERLINK("http://slimages.macys.com/is/image/MCY/12645139 ")</f>
        <v xml:space="preserve">http://slimages.macys.com/is/image/MCY/12645139 </v>
      </c>
    </row>
    <row r="802" spans="1:12" ht="24.75" x14ac:dyDescent="0.25">
      <c r="A802" s="4" t="s">
        <v>14438</v>
      </c>
      <c r="B802" s="2" t="s">
        <v>11512</v>
      </c>
      <c r="C802" s="3">
        <v>1</v>
      </c>
      <c r="D802" s="5">
        <v>9.99</v>
      </c>
      <c r="E802" s="3" t="s">
        <v>11513</v>
      </c>
      <c r="F802" s="2" t="s">
        <v>94</v>
      </c>
      <c r="G802" s="6" t="s">
        <v>245</v>
      </c>
      <c r="H802" s="2" t="s">
        <v>1473</v>
      </c>
      <c r="I802" s="2" t="s">
        <v>1426</v>
      </c>
      <c r="J802" s="2" t="s">
        <v>19</v>
      </c>
      <c r="K802" s="2" t="s">
        <v>495</v>
      </c>
      <c r="L802" s="7" t="str">
        <f>HYPERLINK("http://slimages.macys.com/is/image/MCY/12645139 ")</f>
        <v xml:space="preserve">http://slimages.macys.com/is/image/MCY/12645139 </v>
      </c>
    </row>
    <row r="803" spans="1:12" ht="24.75" x14ac:dyDescent="0.25">
      <c r="A803" s="4" t="s">
        <v>4315</v>
      </c>
      <c r="B803" s="2" t="s">
        <v>2036</v>
      </c>
      <c r="C803" s="3">
        <v>1</v>
      </c>
      <c r="D803" s="5">
        <v>12.99</v>
      </c>
      <c r="E803" s="3" t="s">
        <v>2037</v>
      </c>
      <c r="F803" s="2" t="s">
        <v>566</v>
      </c>
      <c r="G803" s="6" t="s">
        <v>154</v>
      </c>
      <c r="H803" s="2" t="s">
        <v>194</v>
      </c>
      <c r="I803" s="2" t="s">
        <v>195</v>
      </c>
      <c r="J803" s="2" t="s">
        <v>19</v>
      </c>
      <c r="K803" s="2" t="s">
        <v>495</v>
      </c>
      <c r="L803" s="7" t="str">
        <f>HYPERLINK("http://slimages.macys.com/is/image/MCY/9344781 ")</f>
        <v xml:space="preserve">http://slimages.macys.com/is/image/MCY/9344781 </v>
      </c>
    </row>
    <row r="804" spans="1:12" ht="24.75" x14ac:dyDescent="0.25">
      <c r="A804" s="4" t="s">
        <v>4314</v>
      </c>
      <c r="B804" s="2" t="s">
        <v>2036</v>
      </c>
      <c r="C804" s="3">
        <v>2</v>
      </c>
      <c r="D804" s="5">
        <v>12.99</v>
      </c>
      <c r="E804" s="3" t="s">
        <v>2037</v>
      </c>
      <c r="F804" s="2" t="s">
        <v>566</v>
      </c>
      <c r="G804" s="6" t="s">
        <v>181</v>
      </c>
      <c r="H804" s="2" t="s">
        <v>194</v>
      </c>
      <c r="I804" s="2" t="s">
        <v>195</v>
      </c>
      <c r="J804" s="2" t="s">
        <v>19</v>
      </c>
      <c r="K804" s="2" t="s">
        <v>495</v>
      </c>
      <c r="L804" s="7" t="str">
        <f>HYPERLINK("http://slimages.macys.com/is/image/MCY/9344781 ")</f>
        <v xml:space="preserve">http://slimages.macys.com/is/image/MCY/9344781 </v>
      </c>
    </row>
    <row r="805" spans="1:12" ht="24.75" x14ac:dyDescent="0.25">
      <c r="A805" s="4" t="s">
        <v>14439</v>
      </c>
      <c r="B805" s="2" t="s">
        <v>2068</v>
      </c>
      <c r="C805" s="3">
        <v>1</v>
      </c>
      <c r="D805" s="5">
        <v>12.99</v>
      </c>
      <c r="E805" s="3" t="s">
        <v>2069</v>
      </c>
      <c r="F805" s="2" t="s">
        <v>1788</v>
      </c>
      <c r="G805" s="6" t="s">
        <v>200</v>
      </c>
      <c r="H805" s="2" t="s">
        <v>194</v>
      </c>
      <c r="I805" s="2" t="s">
        <v>195</v>
      </c>
      <c r="J805" s="2" t="s">
        <v>19</v>
      </c>
      <c r="K805" s="2" t="s">
        <v>648</v>
      </c>
      <c r="L805" s="7" t="str">
        <f>HYPERLINK("http://slimages.macys.com/is/image/MCY/15142218 ")</f>
        <v xml:space="preserve">http://slimages.macys.com/is/image/MCY/15142218 </v>
      </c>
    </row>
    <row r="806" spans="1:12" ht="24.75" x14ac:dyDescent="0.25">
      <c r="A806" s="4" t="s">
        <v>14440</v>
      </c>
      <c r="B806" s="2" t="s">
        <v>2068</v>
      </c>
      <c r="C806" s="3">
        <v>1</v>
      </c>
      <c r="D806" s="5">
        <v>12.99</v>
      </c>
      <c r="E806" s="3" t="s">
        <v>2069</v>
      </c>
      <c r="F806" s="2" t="s">
        <v>125</v>
      </c>
      <c r="G806" s="6" t="s">
        <v>181</v>
      </c>
      <c r="H806" s="2" t="s">
        <v>194</v>
      </c>
      <c r="I806" s="2" t="s">
        <v>195</v>
      </c>
      <c r="J806" s="2" t="s">
        <v>19</v>
      </c>
      <c r="K806" s="2" t="s">
        <v>648</v>
      </c>
      <c r="L806" s="7" t="str">
        <f>HYPERLINK("http://slimages.macys.com/is/image/MCY/14447310 ")</f>
        <v xml:space="preserve">http://slimages.macys.com/is/image/MCY/14447310 </v>
      </c>
    </row>
    <row r="807" spans="1:12" ht="24.75" x14ac:dyDescent="0.25">
      <c r="A807" s="4" t="s">
        <v>14441</v>
      </c>
      <c r="B807" s="2" t="s">
        <v>5279</v>
      </c>
      <c r="C807" s="3">
        <v>1</v>
      </c>
      <c r="D807" s="5">
        <v>9.99</v>
      </c>
      <c r="E807" s="3" t="s">
        <v>12649</v>
      </c>
      <c r="F807" s="2" t="s">
        <v>1322</v>
      </c>
      <c r="G807" s="6" t="s">
        <v>154</v>
      </c>
      <c r="H807" s="2" t="s">
        <v>1473</v>
      </c>
      <c r="I807" s="2" t="s">
        <v>1426</v>
      </c>
      <c r="J807" s="2" t="s">
        <v>19</v>
      </c>
      <c r="K807" s="2" t="s">
        <v>990</v>
      </c>
      <c r="L807" s="7" t="str">
        <f>HYPERLINK("http://slimages.macys.com/is/image/MCY/13757797 ")</f>
        <v xml:space="preserve">http://slimages.macys.com/is/image/MCY/13757797 </v>
      </c>
    </row>
    <row r="808" spans="1:12" ht="24.75" x14ac:dyDescent="0.25">
      <c r="A808" s="4" t="s">
        <v>14442</v>
      </c>
      <c r="B808" s="2" t="s">
        <v>5279</v>
      </c>
      <c r="C808" s="3">
        <v>1</v>
      </c>
      <c r="D808" s="5">
        <v>9.99</v>
      </c>
      <c r="E808" s="3" t="s">
        <v>12649</v>
      </c>
      <c r="F808" s="2" t="s">
        <v>85</v>
      </c>
      <c r="G808" s="6" t="s">
        <v>245</v>
      </c>
      <c r="H808" s="2" t="s">
        <v>1473</v>
      </c>
      <c r="I808" s="2" t="s">
        <v>1426</v>
      </c>
      <c r="J808" s="2" t="s">
        <v>19</v>
      </c>
      <c r="K808" s="2" t="s">
        <v>990</v>
      </c>
      <c r="L808" s="7" t="str">
        <f>HYPERLINK("http://slimages.macys.com/is/image/MCY/13757797 ")</f>
        <v xml:space="preserve">http://slimages.macys.com/is/image/MCY/13757797 </v>
      </c>
    </row>
    <row r="809" spans="1:12" ht="24.75" x14ac:dyDescent="0.25">
      <c r="A809" s="4" t="s">
        <v>14443</v>
      </c>
      <c r="B809" s="2" t="s">
        <v>9240</v>
      </c>
      <c r="C809" s="3">
        <v>1</v>
      </c>
      <c r="D809" s="5">
        <v>9.99</v>
      </c>
      <c r="E809" s="3" t="s">
        <v>9241</v>
      </c>
      <c r="F809" s="2" t="s">
        <v>1322</v>
      </c>
      <c r="G809" s="6" t="s">
        <v>154</v>
      </c>
      <c r="H809" s="2" t="s">
        <v>1473</v>
      </c>
      <c r="I809" s="2" t="s">
        <v>1426</v>
      </c>
      <c r="J809" s="2" t="s">
        <v>19</v>
      </c>
      <c r="K809" s="2" t="s">
        <v>648</v>
      </c>
      <c r="L809" s="7" t="str">
        <f>HYPERLINK("http://slimages.macys.com/is/image/MCY/10918744 ")</f>
        <v xml:space="preserve">http://slimages.macys.com/is/image/MCY/10918744 </v>
      </c>
    </row>
    <row r="810" spans="1:12" ht="24.75" x14ac:dyDescent="0.25">
      <c r="A810" s="4" t="s">
        <v>14444</v>
      </c>
      <c r="B810" s="2" t="s">
        <v>9240</v>
      </c>
      <c r="C810" s="3">
        <v>1</v>
      </c>
      <c r="D810" s="5">
        <v>9.99</v>
      </c>
      <c r="E810" s="3" t="s">
        <v>9241</v>
      </c>
      <c r="F810" s="2" t="s">
        <v>15</v>
      </c>
      <c r="G810" s="6" t="s">
        <v>156</v>
      </c>
      <c r="H810" s="2" t="s">
        <v>1473</v>
      </c>
      <c r="I810" s="2" t="s">
        <v>1426</v>
      </c>
      <c r="J810" s="2" t="s">
        <v>19</v>
      </c>
      <c r="K810" s="2" t="s">
        <v>648</v>
      </c>
      <c r="L810" s="7" t="str">
        <f>HYPERLINK("http://slimages.macys.com/is/image/MCY/10918744 ")</f>
        <v xml:space="preserve">http://slimages.macys.com/is/image/MCY/10918744 </v>
      </c>
    </row>
    <row r="811" spans="1:12" ht="24.75" x14ac:dyDescent="0.25">
      <c r="A811" s="4" t="s">
        <v>14445</v>
      </c>
      <c r="B811" s="2" t="s">
        <v>4318</v>
      </c>
      <c r="C811" s="3">
        <v>1</v>
      </c>
      <c r="D811" s="5">
        <v>9.99</v>
      </c>
      <c r="E811" s="3" t="s">
        <v>4319</v>
      </c>
      <c r="F811" s="2" t="s">
        <v>94</v>
      </c>
      <c r="G811" s="6" t="s">
        <v>154</v>
      </c>
      <c r="H811" s="2" t="s">
        <v>1473</v>
      </c>
      <c r="I811" s="2" t="s">
        <v>1426</v>
      </c>
      <c r="J811" s="2" t="s">
        <v>19</v>
      </c>
      <c r="K811" s="2" t="s">
        <v>648</v>
      </c>
      <c r="L811" s="7" t="str">
        <f>HYPERLINK("http://slimages.macys.com/is/image/MCY/13301237 ")</f>
        <v xml:space="preserve">http://slimages.macys.com/is/image/MCY/13301237 </v>
      </c>
    </row>
    <row r="812" spans="1:12" ht="24.75" x14ac:dyDescent="0.25">
      <c r="A812" s="4" t="s">
        <v>14446</v>
      </c>
      <c r="B812" s="2" t="s">
        <v>9240</v>
      </c>
      <c r="C812" s="3">
        <v>1</v>
      </c>
      <c r="D812" s="5">
        <v>9.99</v>
      </c>
      <c r="E812" s="3" t="s">
        <v>9243</v>
      </c>
      <c r="F812" s="2" t="s">
        <v>26</v>
      </c>
      <c r="G812" s="6" t="s">
        <v>154</v>
      </c>
      <c r="H812" s="2" t="s">
        <v>1473</v>
      </c>
      <c r="I812" s="2" t="s">
        <v>1426</v>
      </c>
      <c r="J812" s="2" t="s">
        <v>19</v>
      </c>
      <c r="K812" s="2" t="s">
        <v>648</v>
      </c>
      <c r="L812" s="7" t="str">
        <f>HYPERLINK("http://slimages.macys.com/is/image/MCY/9694020 ")</f>
        <v xml:space="preserve">http://slimages.macys.com/is/image/MCY/9694020 </v>
      </c>
    </row>
    <row r="813" spans="1:12" ht="24.75" x14ac:dyDescent="0.25">
      <c r="A813" s="4" t="s">
        <v>9827</v>
      </c>
      <c r="B813" s="2" t="s">
        <v>9240</v>
      </c>
      <c r="C813" s="3">
        <v>3</v>
      </c>
      <c r="D813" s="5">
        <v>9.99</v>
      </c>
      <c r="E813" s="3" t="s">
        <v>9241</v>
      </c>
      <c r="F813" s="2" t="s">
        <v>79</v>
      </c>
      <c r="G813" s="6" t="s">
        <v>154</v>
      </c>
      <c r="H813" s="2" t="s">
        <v>1473</v>
      </c>
      <c r="I813" s="2" t="s">
        <v>1426</v>
      </c>
      <c r="J813" s="2" t="s">
        <v>19</v>
      </c>
      <c r="K813" s="2" t="s">
        <v>648</v>
      </c>
      <c r="L813" s="7" t="str">
        <f>HYPERLINK("http://slimages.macys.com/is/image/MCY/10918744 ")</f>
        <v xml:space="preserve">http://slimages.macys.com/is/image/MCY/10918744 </v>
      </c>
    </row>
    <row r="814" spans="1:12" ht="24.75" x14ac:dyDescent="0.25">
      <c r="A814" s="4" t="s">
        <v>12657</v>
      </c>
      <c r="B814" s="2" t="s">
        <v>9240</v>
      </c>
      <c r="C814" s="3">
        <v>4</v>
      </c>
      <c r="D814" s="5">
        <v>9.99</v>
      </c>
      <c r="E814" s="3" t="s">
        <v>9241</v>
      </c>
      <c r="F814" s="2" t="s">
        <v>79</v>
      </c>
      <c r="G814" s="6" t="s">
        <v>181</v>
      </c>
      <c r="H814" s="2" t="s">
        <v>1473</v>
      </c>
      <c r="I814" s="2" t="s">
        <v>1426</v>
      </c>
      <c r="J814" s="2" t="s">
        <v>19</v>
      </c>
      <c r="K814" s="2" t="s">
        <v>648</v>
      </c>
      <c r="L814" s="7" t="str">
        <f>HYPERLINK("http://slimages.macys.com/is/image/MCY/10918744 ")</f>
        <v xml:space="preserve">http://slimages.macys.com/is/image/MCY/10918744 </v>
      </c>
    </row>
    <row r="815" spans="1:12" ht="24.75" x14ac:dyDescent="0.25">
      <c r="A815" s="4" t="s">
        <v>14447</v>
      </c>
      <c r="B815" s="2" t="s">
        <v>9240</v>
      </c>
      <c r="C815" s="3">
        <v>4</v>
      </c>
      <c r="D815" s="5">
        <v>9.99</v>
      </c>
      <c r="E815" s="3" t="s">
        <v>9241</v>
      </c>
      <c r="F815" s="2" t="s">
        <v>79</v>
      </c>
      <c r="G815" s="6" t="s">
        <v>234</v>
      </c>
      <c r="H815" s="2" t="s">
        <v>1473</v>
      </c>
      <c r="I815" s="2" t="s">
        <v>1426</v>
      </c>
      <c r="J815" s="2" t="s">
        <v>19</v>
      </c>
      <c r="K815" s="2" t="s">
        <v>648</v>
      </c>
      <c r="L815" s="7" t="str">
        <f>HYPERLINK("http://slimages.macys.com/is/image/MCY/10918744 ")</f>
        <v xml:space="preserve">http://slimages.macys.com/is/image/MCY/10918744 </v>
      </c>
    </row>
    <row r="816" spans="1:12" ht="24.75" x14ac:dyDescent="0.25">
      <c r="A816" s="4" t="s">
        <v>14448</v>
      </c>
      <c r="B816" s="2" t="s">
        <v>9240</v>
      </c>
      <c r="C816" s="3">
        <v>1</v>
      </c>
      <c r="D816" s="5">
        <v>9.99</v>
      </c>
      <c r="E816" s="3" t="s">
        <v>9241</v>
      </c>
      <c r="F816" s="2" t="s">
        <v>79</v>
      </c>
      <c r="G816" s="6" t="s">
        <v>200</v>
      </c>
      <c r="H816" s="2" t="s">
        <v>1473</v>
      </c>
      <c r="I816" s="2" t="s">
        <v>1426</v>
      </c>
      <c r="J816" s="2" t="s">
        <v>19</v>
      </c>
      <c r="K816" s="2" t="s">
        <v>648</v>
      </c>
      <c r="L816" s="7" t="str">
        <f>HYPERLINK("http://slimages.macys.com/is/image/MCY/10918744 ")</f>
        <v xml:space="preserve">http://slimages.macys.com/is/image/MCY/10918744 </v>
      </c>
    </row>
    <row r="817" spans="1:12" ht="24.75" x14ac:dyDescent="0.25">
      <c r="A817" s="4" t="s">
        <v>12651</v>
      </c>
      <c r="B817" s="2" t="s">
        <v>9240</v>
      </c>
      <c r="C817" s="3">
        <v>2</v>
      </c>
      <c r="D817" s="5">
        <v>9.99</v>
      </c>
      <c r="E817" s="3" t="s">
        <v>9241</v>
      </c>
      <c r="F817" s="2" t="s">
        <v>79</v>
      </c>
      <c r="G817" s="6" t="s">
        <v>156</v>
      </c>
      <c r="H817" s="2" t="s">
        <v>1473</v>
      </c>
      <c r="I817" s="2" t="s">
        <v>1426</v>
      </c>
      <c r="J817" s="2" t="s">
        <v>19</v>
      </c>
      <c r="K817" s="2" t="s">
        <v>648</v>
      </c>
      <c r="L817" s="7" t="str">
        <f>HYPERLINK("http://slimages.macys.com/is/image/MCY/10918744 ")</f>
        <v xml:space="preserve">http://slimages.macys.com/is/image/MCY/10918744 </v>
      </c>
    </row>
    <row r="818" spans="1:12" ht="24.75" x14ac:dyDescent="0.25">
      <c r="A818" s="4" t="s">
        <v>4323</v>
      </c>
      <c r="B818" s="2" t="s">
        <v>4321</v>
      </c>
      <c r="C818" s="3">
        <v>2</v>
      </c>
      <c r="D818" s="5">
        <v>12.99</v>
      </c>
      <c r="E818" s="3" t="s">
        <v>4322</v>
      </c>
      <c r="F818" s="2" t="s">
        <v>887</v>
      </c>
      <c r="G818" s="6"/>
      <c r="H818" s="2" t="s">
        <v>312</v>
      </c>
      <c r="I818" s="2" t="s">
        <v>195</v>
      </c>
      <c r="J818" s="2" t="s">
        <v>19</v>
      </c>
      <c r="K818" s="2" t="s">
        <v>648</v>
      </c>
      <c r="L818" s="7" t="str">
        <f>HYPERLINK("http://slimages.macys.com/is/image/MCY/8157256 ")</f>
        <v xml:space="preserve">http://slimages.macys.com/is/image/MCY/8157256 </v>
      </c>
    </row>
    <row r="819" spans="1:12" ht="24.75" x14ac:dyDescent="0.25">
      <c r="A819" s="4" t="s">
        <v>12659</v>
      </c>
      <c r="B819" s="2" t="s">
        <v>11548</v>
      </c>
      <c r="C819" s="3">
        <v>1</v>
      </c>
      <c r="D819" s="5">
        <v>12.99</v>
      </c>
      <c r="E819" s="3" t="s">
        <v>11549</v>
      </c>
      <c r="F819" s="2" t="s">
        <v>64</v>
      </c>
      <c r="G819" s="6"/>
      <c r="H819" s="2" t="s">
        <v>312</v>
      </c>
      <c r="I819" s="2" t="s">
        <v>195</v>
      </c>
      <c r="J819" s="2" t="s">
        <v>19</v>
      </c>
      <c r="K819" s="2" t="s">
        <v>648</v>
      </c>
      <c r="L819" s="7" t="str">
        <f>HYPERLINK("http://slimages.macys.com/is/image/MCY/8157256 ")</f>
        <v xml:space="preserve">http://slimages.macys.com/is/image/MCY/8157256 </v>
      </c>
    </row>
    <row r="820" spans="1:12" ht="24.75" x14ac:dyDescent="0.25">
      <c r="A820" s="4" t="s">
        <v>5281</v>
      </c>
      <c r="B820" s="2" t="s">
        <v>4321</v>
      </c>
      <c r="C820" s="3">
        <v>1</v>
      </c>
      <c r="D820" s="5">
        <v>12.99</v>
      </c>
      <c r="E820" s="3" t="s">
        <v>4322</v>
      </c>
      <c r="F820" s="2" t="s">
        <v>887</v>
      </c>
      <c r="G820" s="6"/>
      <c r="H820" s="2" t="s">
        <v>312</v>
      </c>
      <c r="I820" s="2" t="s">
        <v>195</v>
      </c>
      <c r="J820" s="2" t="s">
        <v>19</v>
      </c>
      <c r="K820" s="2" t="s">
        <v>648</v>
      </c>
      <c r="L820" s="7" t="str">
        <f>HYPERLINK("http://slimages.macys.com/is/image/MCY/8157256 ")</f>
        <v xml:space="preserve">http://slimages.macys.com/is/image/MCY/8157256 </v>
      </c>
    </row>
    <row r="821" spans="1:12" ht="24.75" x14ac:dyDescent="0.25">
      <c r="A821" s="4" t="s">
        <v>11552</v>
      </c>
      <c r="B821" s="2" t="s">
        <v>4326</v>
      </c>
      <c r="C821" s="3">
        <v>1</v>
      </c>
      <c r="D821" s="5">
        <v>9.99</v>
      </c>
      <c r="E821" s="3" t="s">
        <v>4327</v>
      </c>
      <c r="F821" s="2" t="s">
        <v>74</v>
      </c>
      <c r="G821" s="6" t="s">
        <v>154</v>
      </c>
      <c r="H821" s="2" t="s">
        <v>1473</v>
      </c>
      <c r="I821" s="2" t="s">
        <v>1426</v>
      </c>
      <c r="J821" s="2" t="s">
        <v>19</v>
      </c>
      <c r="K821" s="2" t="s">
        <v>495</v>
      </c>
      <c r="L821" s="7" t="str">
        <f>HYPERLINK("http://slimages.macys.com/is/image/MCY/10742489 ")</f>
        <v xml:space="preserve">http://slimages.macys.com/is/image/MCY/10742489 </v>
      </c>
    </row>
    <row r="822" spans="1:12" ht="24.75" x14ac:dyDescent="0.25">
      <c r="A822" s="4" t="s">
        <v>9833</v>
      </c>
      <c r="B822" s="2" t="s">
        <v>2075</v>
      </c>
      <c r="C822" s="3">
        <v>1</v>
      </c>
      <c r="D822" s="5">
        <v>9.99</v>
      </c>
      <c r="E822" s="3" t="s">
        <v>2076</v>
      </c>
      <c r="F822" s="2" t="s">
        <v>3267</v>
      </c>
      <c r="G822" s="6" t="s">
        <v>234</v>
      </c>
      <c r="H822" s="2" t="s">
        <v>1473</v>
      </c>
      <c r="I822" s="2" t="s">
        <v>1426</v>
      </c>
      <c r="J822" s="2" t="s">
        <v>19</v>
      </c>
      <c r="K822" s="2" t="s">
        <v>990</v>
      </c>
      <c r="L822" s="7" t="str">
        <f>HYPERLINK("http://slimages.macys.com/is/image/MCY/15161436 ")</f>
        <v xml:space="preserve">http://slimages.macys.com/is/image/MCY/15161436 </v>
      </c>
    </row>
    <row r="823" spans="1:12" ht="24.75" x14ac:dyDescent="0.25">
      <c r="A823" s="4" t="s">
        <v>6968</v>
      </c>
      <c r="B823" s="2" t="s">
        <v>2075</v>
      </c>
      <c r="C823" s="3">
        <v>2</v>
      </c>
      <c r="D823" s="5">
        <v>9.99</v>
      </c>
      <c r="E823" s="3" t="s">
        <v>2076</v>
      </c>
      <c r="F823" s="2" t="s">
        <v>331</v>
      </c>
      <c r="G823" s="6" t="s">
        <v>181</v>
      </c>
      <c r="H823" s="2" t="s">
        <v>1473</v>
      </c>
      <c r="I823" s="2" t="s">
        <v>1426</v>
      </c>
      <c r="J823" s="2" t="s">
        <v>19</v>
      </c>
      <c r="K823" s="2" t="s">
        <v>990</v>
      </c>
      <c r="L823" s="7" t="str">
        <f>HYPERLINK("http://slimages.macys.com/is/image/MCY/15161436 ")</f>
        <v xml:space="preserve">http://slimages.macys.com/is/image/MCY/15161436 </v>
      </c>
    </row>
    <row r="824" spans="1:12" ht="24.75" x14ac:dyDescent="0.25">
      <c r="A824" s="4" t="s">
        <v>6965</v>
      </c>
      <c r="B824" s="2" t="s">
        <v>2075</v>
      </c>
      <c r="C824" s="3">
        <v>1</v>
      </c>
      <c r="D824" s="5">
        <v>9.99</v>
      </c>
      <c r="E824" s="3" t="s">
        <v>2076</v>
      </c>
      <c r="F824" s="2" t="s">
        <v>1322</v>
      </c>
      <c r="G824" s="6" t="s">
        <v>154</v>
      </c>
      <c r="H824" s="2" t="s">
        <v>1473</v>
      </c>
      <c r="I824" s="2" t="s">
        <v>1426</v>
      </c>
      <c r="J824" s="2" t="s">
        <v>19</v>
      </c>
      <c r="K824" s="2" t="s">
        <v>990</v>
      </c>
      <c r="L824" s="7" t="str">
        <f>HYPERLINK("http://slimages.macys.com/is/image/MCY/15161436 ")</f>
        <v xml:space="preserve">http://slimages.macys.com/is/image/MCY/15161436 </v>
      </c>
    </row>
    <row r="825" spans="1:12" ht="24.75" x14ac:dyDescent="0.25">
      <c r="A825" s="4" t="s">
        <v>3246</v>
      </c>
      <c r="B825" s="2" t="s">
        <v>2075</v>
      </c>
      <c r="C825" s="3">
        <v>1</v>
      </c>
      <c r="D825" s="5">
        <v>9.99</v>
      </c>
      <c r="E825" s="3" t="s">
        <v>2076</v>
      </c>
      <c r="F825" s="2" t="s">
        <v>26</v>
      </c>
      <c r="G825" s="6" t="s">
        <v>181</v>
      </c>
      <c r="H825" s="2" t="s">
        <v>1473</v>
      </c>
      <c r="I825" s="2" t="s">
        <v>1426</v>
      </c>
      <c r="J825" s="2" t="s">
        <v>19</v>
      </c>
      <c r="K825" s="2" t="s">
        <v>990</v>
      </c>
      <c r="L825" s="7" t="str">
        <f>HYPERLINK("http://slimages.macys.com/is/image/MCY/15161436 ")</f>
        <v xml:space="preserve">http://slimages.macys.com/is/image/MCY/15161436 </v>
      </c>
    </row>
    <row r="826" spans="1:12" ht="24.75" x14ac:dyDescent="0.25">
      <c r="A826" s="4" t="s">
        <v>14449</v>
      </c>
      <c r="B826" s="2" t="s">
        <v>4339</v>
      </c>
      <c r="C826" s="3">
        <v>1</v>
      </c>
      <c r="D826" s="5">
        <v>9.99</v>
      </c>
      <c r="E826" s="3" t="s">
        <v>4340</v>
      </c>
      <c r="F826" s="2" t="s">
        <v>74</v>
      </c>
      <c r="G826" s="6" t="s">
        <v>234</v>
      </c>
      <c r="H826" s="2" t="s">
        <v>1473</v>
      </c>
      <c r="I826" s="2" t="s">
        <v>1426</v>
      </c>
      <c r="J826" s="2" t="s">
        <v>19</v>
      </c>
      <c r="K826" s="2" t="s">
        <v>648</v>
      </c>
      <c r="L826" s="7" t="str">
        <f>HYPERLINK("http://slimages.macys.com/is/image/MCY/10747176 ")</f>
        <v xml:space="preserve">http://slimages.macys.com/is/image/MCY/10747176 </v>
      </c>
    </row>
    <row r="827" spans="1:12" ht="24.75" x14ac:dyDescent="0.25">
      <c r="A827" s="4" t="s">
        <v>14450</v>
      </c>
      <c r="B827" s="2" t="s">
        <v>11412</v>
      </c>
      <c r="C827" s="3">
        <v>1</v>
      </c>
      <c r="D827" s="5">
        <v>9.99</v>
      </c>
      <c r="E827" s="3" t="s">
        <v>11413</v>
      </c>
      <c r="F827" s="2" t="s">
        <v>199</v>
      </c>
      <c r="G827" s="6" t="s">
        <v>200</v>
      </c>
      <c r="H827" s="2" t="s">
        <v>1473</v>
      </c>
      <c r="I827" s="2" t="s">
        <v>1426</v>
      </c>
      <c r="J827" s="2" t="s">
        <v>19</v>
      </c>
      <c r="K827" s="2" t="s">
        <v>648</v>
      </c>
      <c r="L827" s="7" t="str">
        <f>HYPERLINK("http://slimages.macys.com/is/image/MCY/9803162 ")</f>
        <v xml:space="preserve">http://slimages.macys.com/is/image/MCY/9803162 </v>
      </c>
    </row>
    <row r="828" spans="1:12" ht="24.75" x14ac:dyDescent="0.25">
      <c r="A828" s="4" t="s">
        <v>14451</v>
      </c>
      <c r="B828" s="2" t="s">
        <v>11412</v>
      </c>
      <c r="C828" s="3">
        <v>1</v>
      </c>
      <c r="D828" s="5">
        <v>9.99</v>
      </c>
      <c r="E828" s="3" t="s">
        <v>11413</v>
      </c>
      <c r="F828" s="2" t="s">
        <v>53</v>
      </c>
      <c r="G828" s="6" t="s">
        <v>200</v>
      </c>
      <c r="H828" s="2" t="s">
        <v>1473</v>
      </c>
      <c r="I828" s="2" t="s">
        <v>1426</v>
      </c>
      <c r="J828" s="2" t="s">
        <v>19</v>
      </c>
      <c r="K828" s="2" t="s">
        <v>648</v>
      </c>
      <c r="L828" s="7" t="str">
        <f>HYPERLINK("http://slimages.macys.com/is/image/MCY/9803162 ")</f>
        <v xml:space="preserve">http://slimages.macys.com/is/image/MCY/9803162 </v>
      </c>
    </row>
    <row r="829" spans="1:12" ht="24.75" x14ac:dyDescent="0.25">
      <c r="A829" s="4" t="s">
        <v>14452</v>
      </c>
      <c r="B829" s="2" t="s">
        <v>11560</v>
      </c>
      <c r="C829" s="3">
        <v>1</v>
      </c>
      <c r="D829" s="5">
        <v>9.98</v>
      </c>
      <c r="E829" s="3" t="s">
        <v>11561</v>
      </c>
      <c r="F829" s="2" t="s">
        <v>26</v>
      </c>
      <c r="G829" s="6" t="s">
        <v>154</v>
      </c>
      <c r="H829" s="2" t="s">
        <v>1473</v>
      </c>
      <c r="I829" s="2" t="s">
        <v>1426</v>
      </c>
      <c r="J829" s="2"/>
      <c r="K829" s="2"/>
      <c r="L829" s="7" t="str">
        <f>HYPERLINK("http://slimages.macys.com/is/image/MCY/9803159 ")</f>
        <v xml:space="preserve">http://slimages.macys.com/is/image/MCY/9803159 </v>
      </c>
    </row>
    <row r="830" spans="1:12" ht="24.75" x14ac:dyDescent="0.25">
      <c r="A830" s="4" t="s">
        <v>14453</v>
      </c>
      <c r="B830" s="2" t="s">
        <v>2087</v>
      </c>
      <c r="C830" s="3">
        <v>1</v>
      </c>
      <c r="D830" s="5">
        <v>9.99</v>
      </c>
      <c r="E830" s="3" t="s">
        <v>2088</v>
      </c>
      <c r="F830" s="2" t="s">
        <v>79</v>
      </c>
      <c r="G830" s="6" t="s">
        <v>154</v>
      </c>
      <c r="H830" s="2" t="s">
        <v>1473</v>
      </c>
      <c r="I830" s="2" t="s">
        <v>1426</v>
      </c>
      <c r="J830" s="2" t="s">
        <v>19</v>
      </c>
      <c r="K830" s="2" t="s">
        <v>648</v>
      </c>
      <c r="L830" s="7" t="str">
        <f>HYPERLINK("http://slimages.macys.com/is/image/MCY/3559834 ")</f>
        <v xml:space="preserve">http://slimages.macys.com/is/image/MCY/3559834 </v>
      </c>
    </row>
    <row r="831" spans="1:12" ht="24.75" x14ac:dyDescent="0.25">
      <c r="A831" s="4" t="s">
        <v>14454</v>
      </c>
      <c r="B831" s="2" t="s">
        <v>11412</v>
      </c>
      <c r="C831" s="3">
        <v>1</v>
      </c>
      <c r="D831" s="5">
        <v>9.99</v>
      </c>
      <c r="E831" s="3" t="s">
        <v>11413</v>
      </c>
      <c r="F831" s="2" t="s">
        <v>132</v>
      </c>
      <c r="G831" s="6" t="s">
        <v>154</v>
      </c>
      <c r="H831" s="2" t="s">
        <v>1473</v>
      </c>
      <c r="I831" s="2" t="s">
        <v>1426</v>
      </c>
      <c r="J831" s="2" t="s">
        <v>19</v>
      </c>
      <c r="K831" s="2" t="s">
        <v>648</v>
      </c>
      <c r="L831" s="7" t="str">
        <f>HYPERLINK("http://slimages.macys.com/is/image/MCY/9803162 ")</f>
        <v xml:space="preserve">http://slimages.macys.com/is/image/MCY/9803162 </v>
      </c>
    </row>
    <row r="832" spans="1:12" ht="24.75" x14ac:dyDescent="0.25">
      <c r="A832" s="4" t="s">
        <v>14455</v>
      </c>
      <c r="B832" s="2" t="s">
        <v>11412</v>
      </c>
      <c r="C832" s="3">
        <v>1</v>
      </c>
      <c r="D832" s="5">
        <v>9.99</v>
      </c>
      <c r="E832" s="3" t="s">
        <v>11413</v>
      </c>
      <c r="F832" s="2" t="s">
        <v>64</v>
      </c>
      <c r="G832" s="6" t="s">
        <v>154</v>
      </c>
      <c r="H832" s="2" t="s">
        <v>1473</v>
      </c>
      <c r="I832" s="2" t="s">
        <v>1426</v>
      </c>
      <c r="J832" s="2" t="s">
        <v>19</v>
      </c>
      <c r="K832" s="2" t="s">
        <v>648</v>
      </c>
      <c r="L832" s="7" t="str">
        <f>HYPERLINK("http://slimages.macys.com/is/image/MCY/9803162 ")</f>
        <v xml:space="preserve">http://slimages.macys.com/is/image/MCY/9803162 </v>
      </c>
    </row>
    <row r="833" spans="1:12" ht="24.75" x14ac:dyDescent="0.25">
      <c r="A833" s="4" t="s">
        <v>14456</v>
      </c>
      <c r="B833" s="2" t="s">
        <v>2087</v>
      </c>
      <c r="C833" s="3">
        <v>1</v>
      </c>
      <c r="D833" s="5">
        <v>9.99</v>
      </c>
      <c r="E833" s="3" t="s">
        <v>2088</v>
      </c>
      <c r="F833" s="2" t="s">
        <v>74</v>
      </c>
      <c r="G833" s="6" t="s">
        <v>234</v>
      </c>
      <c r="H833" s="2" t="s">
        <v>1473</v>
      </c>
      <c r="I833" s="2" t="s">
        <v>1426</v>
      </c>
      <c r="J833" s="2" t="s">
        <v>19</v>
      </c>
      <c r="K833" s="2" t="s">
        <v>648</v>
      </c>
      <c r="L833" s="7" t="str">
        <f>HYPERLINK("http://slimages.macys.com/is/image/MCY/3559834 ")</f>
        <v xml:space="preserve">http://slimages.macys.com/is/image/MCY/3559834 </v>
      </c>
    </row>
    <row r="834" spans="1:12" ht="24.75" x14ac:dyDescent="0.25">
      <c r="A834" s="4" t="s">
        <v>14457</v>
      </c>
      <c r="B834" s="2" t="s">
        <v>2087</v>
      </c>
      <c r="C834" s="3">
        <v>1</v>
      </c>
      <c r="D834" s="5">
        <v>9.99</v>
      </c>
      <c r="E834" s="3" t="s">
        <v>2088</v>
      </c>
      <c r="F834" s="2" t="s">
        <v>74</v>
      </c>
      <c r="G834" s="6" t="s">
        <v>154</v>
      </c>
      <c r="H834" s="2" t="s">
        <v>1473</v>
      </c>
      <c r="I834" s="2" t="s">
        <v>1426</v>
      </c>
      <c r="J834" s="2" t="s">
        <v>19</v>
      </c>
      <c r="K834" s="2" t="s">
        <v>648</v>
      </c>
      <c r="L834" s="7" t="str">
        <f>HYPERLINK("http://slimages.macys.com/is/image/MCY/3559834 ")</f>
        <v xml:space="preserve">http://slimages.macys.com/is/image/MCY/3559834 </v>
      </c>
    </row>
    <row r="835" spans="1:12" ht="24.75" x14ac:dyDescent="0.25">
      <c r="A835" s="4" t="s">
        <v>14458</v>
      </c>
      <c r="B835" s="2" t="s">
        <v>2033</v>
      </c>
      <c r="C835" s="3">
        <v>1</v>
      </c>
      <c r="D835" s="5">
        <v>9.99</v>
      </c>
      <c r="E835" s="3" t="s">
        <v>5274</v>
      </c>
      <c r="F835" s="2" t="s">
        <v>26</v>
      </c>
      <c r="G835" s="6" t="s">
        <v>181</v>
      </c>
      <c r="H835" s="2" t="s">
        <v>1473</v>
      </c>
      <c r="I835" s="2" t="s">
        <v>1426</v>
      </c>
      <c r="J835" s="2" t="s">
        <v>19</v>
      </c>
      <c r="K835" s="2" t="s">
        <v>990</v>
      </c>
      <c r="L835" s="7" t="str">
        <f>HYPERLINK("http://slimages.macys.com/is/image/MCY/10746490 ")</f>
        <v xml:space="preserve">http://slimages.macys.com/is/image/MCY/10746490 </v>
      </c>
    </row>
    <row r="836" spans="1:12" ht="24.75" x14ac:dyDescent="0.25">
      <c r="A836" s="4" t="s">
        <v>14459</v>
      </c>
      <c r="B836" s="2" t="s">
        <v>11572</v>
      </c>
      <c r="C836" s="3">
        <v>2</v>
      </c>
      <c r="D836" s="5">
        <v>9.99</v>
      </c>
      <c r="E836" s="3" t="s">
        <v>4348</v>
      </c>
      <c r="F836" s="2" t="s">
        <v>26</v>
      </c>
      <c r="G836" s="6" t="s">
        <v>234</v>
      </c>
      <c r="H836" s="2" t="s">
        <v>1473</v>
      </c>
      <c r="I836" s="2" t="s">
        <v>1426</v>
      </c>
      <c r="J836" s="2" t="s">
        <v>19</v>
      </c>
      <c r="K836" s="2" t="s">
        <v>648</v>
      </c>
      <c r="L836" s="7" t="str">
        <f>HYPERLINK("http://slimages.macys.com/is/image/MCY/3559834 ")</f>
        <v xml:space="preserve">http://slimages.macys.com/is/image/MCY/3559834 </v>
      </c>
    </row>
    <row r="837" spans="1:12" ht="24.75" x14ac:dyDescent="0.25">
      <c r="A837" s="4" t="s">
        <v>14460</v>
      </c>
      <c r="B837" s="2" t="s">
        <v>11572</v>
      </c>
      <c r="C837" s="3">
        <v>1</v>
      </c>
      <c r="D837" s="5">
        <v>9.99</v>
      </c>
      <c r="E837" s="3" t="s">
        <v>4348</v>
      </c>
      <c r="F837" s="2" t="s">
        <v>26</v>
      </c>
      <c r="G837" s="6" t="s">
        <v>245</v>
      </c>
      <c r="H837" s="2" t="s">
        <v>1473</v>
      </c>
      <c r="I837" s="2" t="s">
        <v>1426</v>
      </c>
      <c r="J837" s="2" t="s">
        <v>19</v>
      </c>
      <c r="K837" s="2" t="s">
        <v>648</v>
      </c>
      <c r="L837" s="7" t="str">
        <f>HYPERLINK("http://slimages.macys.com/is/image/MCY/3559834 ")</f>
        <v xml:space="preserve">http://slimages.macys.com/is/image/MCY/3559834 </v>
      </c>
    </row>
    <row r="838" spans="1:12" ht="24.75" x14ac:dyDescent="0.25">
      <c r="A838" s="4" t="s">
        <v>8393</v>
      </c>
      <c r="B838" s="2" t="s">
        <v>2064</v>
      </c>
      <c r="C838" s="3">
        <v>4</v>
      </c>
      <c r="D838" s="5">
        <v>9.99</v>
      </c>
      <c r="E838" s="3" t="s">
        <v>3279</v>
      </c>
      <c r="F838" s="2" t="s">
        <v>1914</v>
      </c>
      <c r="G838" s="6" t="s">
        <v>234</v>
      </c>
      <c r="H838" s="2" t="s">
        <v>1473</v>
      </c>
      <c r="I838" s="2" t="s">
        <v>1426</v>
      </c>
      <c r="J838" s="2" t="s">
        <v>19</v>
      </c>
      <c r="K838" s="2" t="s">
        <v>990</v>
      </c>
      <c r="L838" s="7" t="str">
        <f>HYPERLINK("http://slimages.macys.com/is/image/MCY/11130625 ")</f>
        <v xml:space="preserve">http://slimages.macys.com/is/image/MCY/11130625 </v>
      </c>
    </row>
    <row r="839" spans="1:12" ht="24.75" x14ac:dyDescent="0.25">
      <c r="A839" s="4" t="s">
        <v>5276</v>
      </c>
      <c r="B839" s="2" t="s">
        <v>2064</v>
      </c>
      <c r="C839" s="3">
        <v>1</v>
      </c>
      <c r="D839" s="5">
        <v>9.99</v>
      </c>
      <c r="E839" s="3" t="s">
        <v>3279</v>
      </c>
      <c r="F839" s="2" t="s">
        <v>1914</v>
      </c>
      <c r="G839" s="6" t="s">
        <v>181</v>
      </c>
      <c r="H839" s="2" t="s">
        <v>1473</v>
      </c>
      <c r="I839" s="2" t="s">
        <v>1426</v>
      </c>
      <c r="J839" s="2" t="s">
        <v>19</v>
      </c>
      <c r="K839" s="2" t="s">
        <v>990</v>
      </c>
      <c r="L839" s="7" t="str">
        <f>HYPERLINK("http://slimages.macys.com/is/image/MCY/11130625 ")</f>
        <v xml:space="preserve">http://slimages.macys.com/is/image/MCY/11130625 </v>
      </c>
    </row>
    <row r="840" spans="1:12" ht="24.75" x14ac:dyDescent="0.25">
      <c r="A840" s="4" t="s">
        <v>14461</v>
      </c>
      <c r="B840" s="2" t="s">
        <v>2064</v>
      </c>
      <c r="C840" s="3">
        <v>4</v>
      </c>
      <c r="D840" s="5">
        <v>9.99</v>
      </c>
      <c r="E840" s="3" t="s">
        <v>3279</v>
      </c>
      <c r="F840" s="2" t="s">
        <v>3267</v>
      </c>
      <c r="G840" s="6" t="s">
        <v>154</v>
      </c>
      <c r="H840" s="2" t="s">
        <v>1473</v>
      </c>
      <c r="I840" s="2" t="s">
        <v>1426</v>
      </c>
      <c r="J840" s="2" t="s">
        <v>19</v>
      </c>
      <c r="K840" s="2" t="s">
        <v>990</v>
      </c>
      <c r="L840" s="7" t="str">
        <f>HYPERLINK("http://slimages.macys.com/is/image/MCY/11130625 ")</f>
        <v xml:space="preserve">http://slimages.macys.com/is/image/MCY/11130625 </v>
      </c>
    </row>
    <row r="841" spans="1:12" ht="24.75" x14ac:dyDescent="0.25">
      <c r="A841" s="4" t="s">
        <v>11574</v>
      </c>
      <c r="B841" s="2" t="s">
        <v>11572</v>
      </c>
      <c r="C841" s="3">
        <v>1</v>
      </c>
      <c r="D841" s="5">
        <v>9.99</v>
      </c>
      <c r="E841" s="3" t="s">
        <v>4348</v>
      </c>
      <c r="F841" s="2" t="s">
        <v>26</v>
      </c>
      <c r="G841" s="6" t="s">
        <v>154</v>
      </c>
      <c r="H841" s="2" t="s">
        <v>1473</v>
      </c>
      <c r="I841" s="2" t="s">
        <v>1426</v>
      </c>
      <c r="J841" s="2" t="s">
        <v>19</v>
      </c>
      <c r="K841" s="2" t="s">
        <v>648</v>
      </c>
      <c r="L841" s="7" t="str">
        <f>HYPERLINK("http://slimages.macys.com/is/image/MCY/3559834 ")</f>
        <v xml:space="preserve">http://slimages.macys.com/is/image/MCY/3559834 </v>
      </c>
    </row>
    <row r="842" spans="1:12" ht="24.75" x14ac:dyDescent="0.25">
      <c r="A842" s="4" t="s">
        <v>4316</v>
      </c>
      <c r="B842" s="2" t="s">
        <v>2064</v>
      </c>
      <c r="C842" s="3">
        <v>1</v>
      </c>
      <c r="D842" s="5">
        <v>9.99</v>
      </c>
      <c r="E842" s="3" t="s">
        <v>3279</v>
      </c>
      <c r="F842" s="2" t="s">
        <v>1914</v>
      </c>
      <c r="G842" s="6" t="s">
        <v>156</v>
      </c>
      <c r="H842" s="2" t="s">
        <v>1473</v>
      </c>
      <c r="I842" s="2" t="s">
        <v>1426</v>
      </c>
      <c r="J842" s="2" t="s">
        <v>19</v>
      </c>
      <c r="K842" s="2" t="s">
        <v>990</v>
      </c>
      <c r="L842" s="7" t="str">
        <f>HYPERLINK("http://slimages.macys.com/is/image/MCY/11130625 ")</f>
        <v xml:space="preserve">http://slimages.macys.com/is/image/MCY/11130625 </v>
      </c>
    </row>
    <row r="843" spans="1:12" ht="24.75" x14ac:dyDescent="0.25">
      <c r="A843" s="4" t="s">
        <v>14462</v>
      </c>
      <c r="B843" s="2" t="s">
        <v>11572</v>
      </c>
      <c r="C843" s="3">
        <v>3</v>
      </c>
      <c r="D843" s="5">
        <v>9.99</v>
      </c>
      <c r="E843" s="3" t="s">
        <v>4348</v>
      </c>
      <c r="F843" s="2" t="s">
        <v>26</v>
      </c>
      <c r="G843" s="6" t="s">
        <v>181</v>
      </c>
      <c r="H843" s="2" t="s">
        <v>1473</v>
      </c>
      <c r="I843" s="2" t="s">
        <v>1426</v>
      </c>
      <c r="J843" s="2" t="s">
        <v>19</v>
      </c>
      <c r="K843" s="2" t="s">
        <v>648</v>
      </c>
      <c r="L843" s="7" t="str">
        <f>HYPERLINK("http://slimages.macys.com/is/image/MCY/3559834 ")</f>
        <v xml:space="preserve">http://slimages.macys.com/is/image/MCY/3559834 </v>
      </c>
    </row>
    <row r="844" spans="1:12" ht="24.75" x14ac:dyDescent="0.25">
      <c r="A844" s="4" t="s">
        <v>2099</v>
      </c>
      <c r="B844" s="2" t="s">
        <v>2100</v>
      </c>
      <c r="C844" s="3">
        <v>4</v>
      </c>
      <c r="D844" s="5">
        <v>9.99</v>
      </c>
      <c r="E844" s="3" t="s">
        <v>2101</v>
      </c>
      <c r="F844" s="2" t="s">
        <v>26</v>
      </c>
      <c r="G844" s="6" t="s">
        <v>234</v>
      </c>
      <c r="H844" s="2" t="s">
        <v>1473</v>
      </c>
      <c r="I844" s="2" t="s">
        <v>1426</v>
      </c>
      <c r="J844" s="2" t="s">
        <v>19</v>
      </c>
      <c r="K844" s="2" t="s">
        <v>495</v>
      </c>
      <c r="L844" s="7" t="str">
        <f>HYPERLINK("http://slimages.macys.com/is/image/MCY/11774903 ")</f>
        <v xml:space="preserve">http://slimages.macys.com/is/image/MCY/11774903 </v>
      </c>
    </row>
    <row r="845" spans="1:12" ht="24.75" x14ac:dyDescent="0.25">
      <c r="A845" s="4" t="s">
        <v>8412</v>
      </c>
      <c r="B845" s="2" t="s">
        <v>2100</v>
      </c>
      <c r="C845" s="3">
        <v>2</v>
      </c>
      <c r="D845" s="5">
        <v>9.99</v>
      </c>
      <c r="E845" s="3" t="s">
        <v>2101</v>
      </c>
      <c r="F845" s="2" t="s">
        <v>26</v>
      </c>
      <c r="G845" s="6" t="s">
        <v>181</v>
      </c>
      <c r="H845" s="2" t="s">
        <v>1473</v>
      </c>
      <c r="I845" s="2" t="s">
        <v>1426</v>
      </c>
      <c r="J845" s="2" t="s">
        <v>19</v>
      </c>
      <c r="K845" s="2" t="s">
        <v>495</v>
      </c>
      <c r="L845" s="7" t="str">
        <f>HYPERLINK("http://slimages.macys.com/is/image/MCY/11774903 ")</f>
        <v xml:space="preserve">http://slimages.macys.com/is/image/MCY/11774903 </v>
      </c>
    </row>
    <row r="846" spans="1:12" ht="24.75" x14ac:dyDescent="0.25">
      <c r="A846" s="4" t="s">
        <v>8413</v>
      </c>
      <c r="B846" s="2" t="s">
        <v>2100</v>
      </c>
      <c r="C846" s="3">
        <v>2</v>
      </c>
      <c r="D846" s="5">
        <v>9.99</v>
      </c>
      <c r="E846" s="3" t="s">
        <v>2101</v>
      </c>
      <c r="F846" s="2" t="s">
        <v>26</v>
      </c>
      <c r="G846" s="6" t="s">
        <v>156</v>
      </c>
      <c r="H846" s="2" t="s">
        <v>1473</v>
      </c>
      <c r="I846" s="2" t="s">
        <v>1426</v>
      </c>
      <c r="J846" s="2" t="s">
        <v>19</v>
      </c>
      <c r="K846" s="2" t="s">
        <v>495</v>
      </c>
      <c r="L846" s="7" t="str">
        <f>HYPERLINK("http://slimages.macys.com/is/image/MCY/11774903 ")</f>
        <v xml:space="preserve">http://slimages.macys.com/is/image/MCY/11774903 </v>
      </c>
    </row>
    <row r="847" spans="1:12" ht="24.75" x14ac:dyDescent="0.25">
      <c r="A847" s="4" t="s">
        <v>8414</v>
      </c>
      <c r="B847" s="2" t="s">
        <v>2100</v>
      </c>
      <c r="C847" s="3">
        <v>1</v>
      </c>
      <c r="D847" s="5">
        <v>9.99</v>
      </c>
      <c r="E847" s="3" t="s">
        <v>2101</v>
      </c>
      <c r="F847" s="2" t="s">
        <v>26</v>
      </c>
      <c r="G847" s="6" t="s">
        <v>245</v>
      </c>
      <c r="H847" s="2" t="s">
        <v>1473</v>
      </c>
      <c r="I847" s="2" t="s">
        <v>1426</v>
      </c>
      <c r="J847" s="2" t="s">
        <v>19</v>
      </c>
      <c r="K847" s="2" t="s">
        <v>495</v>
      </c>
      <c r="L847" s="7" t="str">
        <f>HYPERLINK("http://slimages.macys.com/is/image/MCY/11774903 ")</f>
        <v xml:space="preserve">http://slimages.macys.com/is/image/MCY/11774903 </v>
      </c>
    </row>
    <row r="848" spans="1:12" ht="24.75" x14ac:dyDescent="0.25">
      <c r="A848" s="4" t="s">
        <v>14463</v>
      </c>
      <c r="B848" s="2" t="s">
        <v>2100</v>
      </c>
      <c r="C848" s="3">
        <v>1</v>
      </c>
      <c r="D848" s="5">
        <v>9.99</v>
      </c>
      <c r="E848" s="3" t="s">
        <v>2101</v>
      </c>
      <c r="F848" s="2" t="s">
        <v>26</v>
      </c>
      <c r="G848" s="6" t="s">
        <v>200</v>
      </c>
      <c r="H848" s="2" t="s">
        <v>1473</v>
      </c>
      <c r="I848" s="2" t="s">
        <v>1426</v>
      </c>
      <c r="J848" s="2" t="s">
        <v>19</v>
      </c>
      <c r="K848" s="2" t="s">
        <v>495</v>
      </c>
      <c r="L848" s="7" t="str">
        <f>HYPERLINK("http://slimages.macys.com/is/image/MCY/11774903 ")</f>
        <v xml:space="preserve">http://slimages.macys.com/is/image/MCY/11774903 </v>
      </c>
    </row>
    <row r="849" spans="1:12" ht="24.75" x14ac:dyDescent="0.25">
      <c r="A849" s="4" t="s">
        <v>14464</v>
      </c>
      <c r="B849" s="2" t="s">
        <v>2093</v>
      </c>
      <c r="C849" s="3">
        <v>1</v>
      </c>
      <c r="D849" s="5">
        <v>9.99</v>
      </c>
      <c r="E849" s="3" t="s">
        <v>14465</v>
      </c>
      <c r="F849" s="2" t="s">
        <v>33</v>
      </c>
      <c r="G849" s="6" t="s">
        <v>187</v>
      </c>
      <c r="H849" s="2" t="s">
        <v>1425</v>
      </c>
      <c r="I849" s="2" t="s">
        <v>1426</v>
      </c>
      <c r="J849" s="2" t="s">
        <v>19</v>
      </c>
      <c r="K849" s="2" t="s">
        <v>495</v>
      </c>
      <c r="L849" s="7" t="str">
        <f>HYPERLINK("http://slimages.macys.com/is/image/MCY/10516720 ")</f>
        <v xml:space="preserve">http://slimages.macys.com/is/image/MCY/10516720 </v>
      </c>
    </row>
    <row r="850" spans="1:12" ht="24.75" x14ac:dyDescent="0.25">
      <c r="A850" s="4" t="s">
        <v>3273</v>
      </c>
      <c r="B850" s="2" t="s">
        <v>3265</v>
      </c>
      <c r="C850" s="3">
        <v>1</v>
      </c>
      <c r="D850" s="5">
        <v>9.99</v>
      </c>
      <c r="E850" s="3" t="s">
        <v>3266</v>
      </c>
      <c r="F850" s="2" t="s">
        <v>3267</v>
      </c>
      <c r="G850" s="6" t="s">
        <v>154</v>
      </c>
      <c r="H850" s="2" t="s">
        <v>1473</v>
      </c>
      <c r="I850" s="2" t="s">
        <v>1426</v>
      </c>
      <c r="J850" s="2" t="s">
        <v>19</v>
      </c>
      <c r="K850" s="2" t="s">
        <v>495</v>
      </c>
      <c r="L850" s="7" t="str">
        <f>HYPERLINK("http://slimages.macys.com/is/image/MCY/11532809 ")</f>
        <v xml:space="preserve">http://slimages.macys.com/is/image/MCY/11532809 </v>
      </c>
    </row>
    <row r="851" spans="1:12" ht="24.75" x14ac:dyDescent="0.25">
      <c r="A851" s="4" t="s">
        <v>12692</v>
      </c>
      <c r="B851" s="2" t="s">
        <v>12690</v>
      </c>
      <c r="C851" s="3">
        <v>1</v>
      </c>
      <c r="D851" s="5">
        <v>9.99</v>
      </c>
      <c r="E851" s="3" t="s">
        <v>12691</v>
      </c>
      <c r="F851" s="2" t="s">
        <v>85</v>
      </c>
      <c r="G851" s="6" t="s">
        <v>154</v>
      </c>
      <c r="H851" s="2" t="s">
        <v>1473</v>
      </c>
      <c r="I851" s="2" t="s">
        <v>1426</v>
      </c>
      <c r="J851" s="2" t="s">
        <v>19</v>
      </c>
      <c r="K851" s="2" t="s">
        <v>107</v>
      </c>
      <c r="L851" s="7" t="str">
        <f>HYPERLINK("http://slimages.macys.com/is/image/MCY/13304037 ")</f>
        <v xml:space="preserve">http://slimages.macys.com/is/image/MCY/13304037 </v>
      </c>
    </row>
    <row r="852" spans="1:12" ht="24.75" x14ac:dyDescent="0.25">
      <c r="A852" s="4" t="s">
        <v>14466</v>
      </c>
      <c r="B852" s="2" t="s">
        <v>2093</v>
      </c>
      <c r="C852" s="3">
        <v>1</v>
      </c>
      <c r="D852" s="5">
        <v>9.99</v>
      </c>
      <c r="E852" s="3" t="s">
        <v>14465</v>
      </c>
      <c r="F852" s="2" t="s">
        <v>33</v>
      </c>
      <c r="G852" s="6"/>
      <c r="H852" s="2" t="s">
        <v>1425</v>
      </c>
      <c r="I852" s="2" t="s">
        <v>1426</v>
      </c>
      <c r="J852" s="2" t="s">
        <v>19</v>
      </c>
      <c r="K852" s="2" t="s">
        <v>495</v>
      </c>
      <c r="L852" s="7" t="str">
        <f>HYPERLINK("http://slimages.macys.com/is/image/MCY/10516720 ")</f>
        <v xml:space="preserve">http://slimages.macys.com/is/image/MCY/10516720 </v>
      </c>
    </row>
    <row r="853" spans="1:12" ht="24.75" x14ac:dyDescent="0.25">
      <c r="A853" s="4" t="s">
        <v>14467</v>
      </c>
      <c r="B853" s="2" t="s">
        <v>6999</v>
      </c>
      <c r="C853" s="3">
        <v>1</v>
      </c>
      <c r="D853" s="5">
        <v>9.99</v>
      </c>
      <c r="E853" s="3" t="s">
        <v>7000</v>
      </c>
      <c r="F853" s="2" t="s">
        <v>1322</v>
      </c>
      <c r="G853" s="6" t="s">
        <v>245</v>
      </c>
      <c r="H853" s="2" t="s">
        <v>1473</v>
      </c>
      <c r="I853" s="2" t="s">
        <v>1426</v>
      </c>
      <c r="J853" s="2" t="s">
        <v>19</v>
      </c>
      <c r="K853" s="2" t="s">
        <v>495</v>
      </c>
      <c r="L853" s="7" t="str">
        <f>HYPERLINK("http://slimages.macys.com/is/image/MCY/10466532 ")</f>
        <v xml:space="preserve">http://slimages.macys.com/is/image/MCY/10466532 </v>
      </c>
    </row>
    <row r="854" spans="1:12" ht="24.75" x14ac:dyDescent="0.25">
      <c r="A854" s="4" t="s">
        <v>8898</v>
      </c>
      <c r="B854" s="2" t="s">
        <v>2072</v>
      </c>
      <c r="C854" s="3">
        <v>1</v>
      </c>
      <c r="D854" s="5">
        <v>9.99</v>
      </c>
      <c r="E854" s="3" t="s">
        <v>6956</v>
      </c>
      <c r="F854" s="2" t="s">
        <v>413</v>
      </c>
      <c r="G854" s="6" t="s">
        <v>245</v>
      </c>
      <c r="H854" s="2" t="s">
        <v>1473</v>
      </c>
      <c r="I854" s="2" t="s">
        <v>1426</v>
      </c>
      <c r="J854" s="2" t="s">
        <v>19</v>
      </c>
      <c r="K854" s="2" t="s">
        <v>648</v>
      </c>
      <c r="L854" s="7" t="str">
        <f>HYPERLINK("http://slimages.macys.com/is/image/MCY/10741447 ")</f>
        <v xml:space="preserve">http://slimages.macys.com/is/image/MCY/10741447 </v>
      </c>
    </row>
    <row r="855" spans="1:12" ht="24.75" x14ac:dyDescent="0.25">
      <c r="A855" s="4" t="s">
        <v>11601</v>
      </c>
      <c r="B855" s="2" t="s">
        <v>11598</v>
      </c>
      <c r="C855" s="3">
        <v>1</v>
      </c>
      <c r="D855" s="5">
        <v>12.99</v>
      </c>
      <c r="E855" s="3" t="s">
        <v>11599</v>
      </c>
      <c r="F855" s="2" t="s">
        <v>74</v>
      </c>
      <c r="G855" s="6" t="s">
        <v>234</v>
      </c>
      <c r="H855" s="2" t="s">
        <v>2029</v>
      </c>
      <c r="I855" s="2" t="s">
        <v>2030</v>
      </c>
      <c r="J855" s="2" t="s">
        <v>19</v>
      </c>
      <c r="K855" s="2" t="s">
        <v>495</v>
      </c>
      <c r="L855" s="7" t="str">
        <f>HYPERLINK("http://slimages.macys.com/is/image/MCY/11751780 ")</f>
        <v xml:space="preserve">http://slimages.macys.com/is/image/MCY/11751780 </v>
      </c>
    </row>
    <row r="856" spans="1:12" ht="24.75" x14ac:dyDescent="0.25">
      <c r="A856" s="4" t="s">
        <v>14468</v>
      </c>
      <c r="B856" s="2" t="s">
        <v>11598</v>
      </c>
      <c r="C856" s="3">
        <v>1</v>
      </c>
      <c r="D856" s="5">
        <v>12.99</v>
      </c>
      <c r="E856" s="3" t="s">
        <v>11599</v>
      </c>
      <c r="F856" s="2" t="s">
        <v>53</v>
      </c>
      <c r="G856" s="6" t="s">
        <v>156</v>
      </c>
      <c r="H856" s="2" t="s">
        <v>2029</v>
      </c>
      <c r="I856" s="2" t="s">
        <v>2030</v>
      </c>
      <c r="J856" s="2" t="s">
        <v>19</v>
      </c>
      <c r="K856" s="2" t="s">
        <v>495</v>
      </c>
      <c r="L856" s="7" t="str">
        <f>HYPERLINK("http://slimages.macys.com/is/image/MCY/11751780 ")</f>
        <v xml:space="preserve">http://slimages.macys.com/is/image/MCY/11751780 </v>
      </c>
    </row>
    <row r="857" spans="1:12" ht="24.75" x14ac:dyDescent="0.25">
      <c r="A857" s="4" t="s">
        <v>14469</v>
      </c>
      <c r="B857" s="2" t="s">
        <v>7764</v>
      </c>
      <c r="C857" s="3">
        <v>1</v>
      </c>
      <c r="D857" s="5">
        <v>12.99</v>
      </c>
      <c r="E857" s="3" t="s">
        <v>7765</v>
      </c>
      <c r="F857" s="2" t="s">
        <v>1788</v>
      </c>
      <c r="G857" s="6" t="s">
        <v>234</v>
      </c>
      <c r="H857" s="2" t="s">
        <v>2029</v>
      </c>
      <c r="I857" s="2" t="s">
        <v>2030</v>
      </c>
      <c r="J857" s="2" t="s">
        <v>19</v>
      </c>
      <c r="K857" s="2" t="s">
        <v>495</v>
      </c>
      <c r="L857" s="7" t="str">
        <f>HYPERLINK("http://slimages.macys.com/is/image/MCY/11753159 ")</f>
        <v xml:space="preserve">http://slimages.macys.com/is/image/MCY/11753159 </v>
      </c>
    </row>
    <row r="858" spans="1:12" ht="24.75" x14ac:dyDescent="0.25">
      <c r="A858" s="4" t="s">
        <v>14470</v>
      </c>
      <c r="B858" s="2" t="s">
        <v>7764</v>
      </c>
      <c r="C858" s="3">
        <v>1</v>
      </c>
      <c r="D858" s="5">
        <v>12.99</v>
      </c>
      <c r="E858" s="3" t="s">
        <v>7765</v>
      </c>
      <c r="F858" s="2" t="s">
        <v>15</v>
      </c>
      <c r="G858" s="6" t="s">
        <v>181</v>
      </c>
      <c r="H858" s="2" t="s">
        <v>2029</v>
      </c>
      <c r="I858" s="2" t="s">
        <v>2030</v>
      </c>
      <c r="J858" s="2" t="s">
        <v>19</v>
      </c>
      <c r="K858" s="2" t="s">
        <v>495</v>
      </c>
      <c r="L858" s="7" t="str">
        <f>HYPERLINK("http://slimages.macys.com/is/image/MCY/11753159 ")</f>
        <v xml:space="preserve">http://slimages.macys.com/is/image/MCY/11753159 </v>
      </c>
    </row>
    <row r="859" spans="1:12" ht="24.75" x14ac:dyDescent="0.25">
      <c r="A859" s="4" t="s">
        <v>14471</v>
      </c>
      <c r="B859" s="2" t="s">
        <v>2072</v>
      </c>
      <c r="C859" s="3">
        <v>1</v>
      </c>
      <c r="D859" s="5">
        <v>9.99</v>
      </c>
      <c r="E859" s="3" t="s">
        <v>2073</v>
      </c>
      <c r="F859" s="2" t="s">
        <v>413</v>
      </c>
      <c r="G859" s="6"/>
      <c r="H859" s="2" t="s">
        <v>1425</v>
      </c>
      <c r="I859" s="2" t="s">
        <v>1426</v>
      </c>
      <c r="J859" s="2" t="s">
        <v>19</v>
      </c>
      <c r="K859" s="2" t="s">
        <v>990</v>
      </c>
      <c r="L859" s="7" t="str">
        <f>HYPERLINK("http://slimages.macys.com/is/image/MCY/10741444 ")</f>
        <v xml:space="preserve">http://slimages.macys.com/is/image/MCY/10741444 </v>
      </c>
    </row>
    <row r="860" spans="1:12" ht="24.75" x14ac:dyDescent="0.25">
      <c r="A860" s="4" t="s">
        <v>14472</v>
      </c>
      <c r="B860" s="2" t="s">
        <v>2113</v>
      </c>
      <c r="C860" s="3">
        <v>1</v>
      </c>
      <c r="D860" s="5">
        <v>9.99</v>
      </c>
      <c r="E860" s="3" t="s">
        <v>9859</v>
      </c>
      <c r="F860" s="2" t="s">
        <v>94</v>
      </c>
      <c r="G860" s="6" t="s">
        <v>245</v>
      </c>
      <c r="H860" s="2" t="s">
        <v>1473</v>
      </c>
      <c r="I860" s="2" t="s">
        <v>1426</v>
      </c>
      <c r="J860" s="2" t="s">
        <v>19</v>
      </c>
      <c r="K860" s="2" t="s">
        <v>648</v>
      </c>
      <c r="L860" s="7" t="str">
        <f>HYPERLINK("http://slimages.macys.com/is/image/MCY/16543317 ")</f>
        <v xml:space="preserve">http://slimages.macys.com/is/image/MCY/16543317 </v>
      </c>
    </row>
    <row r="861" spans="1:12" ht="24.75" x14ac:dyDescent="0.25">
      <c r="A861" s="4" t="s">
        <v>14473</v>
      </c>
      <c r="B861" s="2" t="s">
        <v>2113</v>
      </c>
      <c r="C861" s="3">
        <v>1</v>
      </c>
      <c r="D861" s="5">
        <v>9.99</v>
      </c>
      <c r="E861" s="3" t="s">
        <v>2114</v>
      </c>
      <c r="F861" s="2" t="s">
        <v>15</v>
      </c>
      <c r="G861" s="6" t="s">
        <v>219</v>
      </c>
      <c r="H861" s="2" t="s">
        <v>1425</v>
      </c>
      <c r="I861" s="2" t="s">
        <v>1426</v>
      </c>
      <c r="J861" s="2" t="s">
        <v>19</v>
      </c>
      <c r="K861" s="2" t="s">
        <v>648</v>
      </c>
      <c r="L861" s="7" t="str">
        <f>HYPERLINK("http://slimages.macys.com/is/image/MCY/10703601 ")</f>
        <v xml:space="preserve">http://slimages.macys.com/is/image/MCY/10703601 </v>
      </c>
    </row>
    <row r="862" spans="1:12" ht="24.75" x14ac:dyDescent="0.25">
      <c r="A862" s="4" t="s">
        <v>14474</v>
      </c>
      <c r="B862" s="2" t="s">
        <v>2113</v>
      </c>
      <c r="C862" s="3">
        <v>1</v>
      </c>
      <c r="D862" s="5">
        <v>9.99</v>
      </c>
      <c r="E862" s="3" t="s">
        <v>2114</v>
      </c>
      <c r="F862" s="2" t="s">
        <v>94</v>
      </c>
      <c r="G862" s="6" t="s">
        <v>187</v>
      </c>
      <c r="H862" s="2" t="s">
        <v>1425</v>
      </c>
      <c r="I862" s="2" t="s">
        <v>1426</v>
      </c>
      <c r="J862" s="2" t="s">
        <v>19</v>
      </c>
      <c r="K862" s="2" t="s">
        <v>648</v>
      </c>
      <c r="L862" s="7" t="str">
        <f>HYPERLINK("http://slimages.macys.com/is/image/MCY/10703601 ")</f>
        <v xml:space="preserve">http://slimages.macys.com/is/image/MCY/10703601 </v>
      </c>
    </row>
    <row r="863" spans="1:12" ht="24.75" x14ac:dyDescent="0.25">
      <c r="A863" s="4" t="s">
        <v>14475</v>
      </c>
      <c r="B863" s="2" t="s">
        <v>2113</v>
      </c>
      <c r="C863" s="3">
        <v>1</v>
      </c>
      <c r="D863" s="5">
        <v>9.99</v>
      </c>
      <c r="E863" s="3" t="s">
        <v>2114</v>
      </c>
      <c r="F863" s="2" t="s">
        <v>74</v>
      </c>
      <c r="G863" s="6" t="s">
        <v>219</v>
      </c>
      <c r="H863" s="2" t="s">
        <v>1425</v>
      </c>
      <c r="I863" s="2" t="s">
        <v>1426</v>
      </c>
      <c r="J863" s="2" t="s">
        <v>19</v>
      </c>
      <c r="K863" s="2" t="s">
        <v>648</v>
      </c>
      <c r="L863" s="7" t="str">
        <f>HYPERLINK("http://slimages.macys.com/is/image/MCY/10703601 ")</f>
        <v xml:space="preserve">http://slimages.macys.com/is/image/MCY/10703601 </v>
      </c>
    </row>
    <row r="864" spans="1:12" ht="24.75" x14ac:dyDescent="0.25">
      <c r="A864" s="4" t="s">
        <v>5301</v>
      </c>
      <c r="B864" s="2" t="s">
        <v>2083</v>
      </c>
      <c r="C864" s="3">
        <v>1</v>
      </c>
      <c r="D864" s="5">
        <v>9.99</v>
      </c>
      <c r="E864" s="3" t="s">
        <v>2084</v>
      </c>
      <c r="F864" s="2" t="s">
        <v>33</v>
      </c>
      <c r="G864" s="6" t="s">
        <v>154</v>
      </c>
      <c r="H864" s="2" t="s">
        <v>1473</v>
      </c>
      <c r="I864" s="2" t="s">
        <v>1426</v>
      </c>
      <c r="J864" s="2" t="s">
        <v>19</v>
      </c>
      <c r="K864" s="2" t="s">
        <v>648</v>
      </c>
      <c r="L864" s="7" t="str">
        <f>HYPERLINK("http://slimages.macys.com/is/image/MCY/10703349 ")</f>
        <v xml:space="preserve">http://slimages.macys.com/is/image/MCY/10703349 </v>
      </c>
    </row>
    <row r="865" spans="1:12" ht="24.75" x14ac:dyDescent="0.25">
      <c r="A865" s="4" t="s">
        <v>4336</v>
      </c>
      <c r="B865" s="2" t="s">
        <v>2083</v>
      </c>
      <c r="C865" s="3">
        <v>1</v>
      </c>
      <c r="D865" s="5">
        <v>9.99</v>
      </c>
      <c r="E865" s="3" t="s">
        <v>2084</v>
      </c>
      <c r="F865" s="2" t="s">
        <v>136</v>
      </c>
      <c r="G865" s="6" t="s">
        <v>154</v>
      </c>
      <c r="H865" s="2" t="s">
        <v>1473</v>
      </c>
      <c r="I865" s="2" t="s">
        <v>1426</v>
      </c>
      <c r="J865" s="2" t="s">
        <v>19</v>
      </c>
      <c r="K865" s="2" t="s">
        <v>648</v>
      </c>
      <c r="L865" s="7" t="str">
        <f>HYPERLINK("http://slimages.macys.com/is/image/MCY/10703349 ")</f>
        <v xml:space="preserve">http://slimages.macys.com/is/image/MCY/10703349 </v>
      </c>
    </row>
    <row r="866" spans="1:12" ht="24.75" x14ac:dyDescent="0.25">
      <c r="A866" s="4" t="s">
        <v>14476</v>
      </c>
      <c r="B866" s="2" t="s">
        <v>9769</v>
      </c>
      <c r="C866" s="3">
        <v>1</v>
      </c>
      <c r="D866" s="5">
        <v>48</v>
      </c>
      <c r="E866" s="3" t="s">
        <v>11619</v>
      </c>
      <c r="F866" s="2" t="s">
        <v>26</v>
      </c>
      <c r="G866" s="6" t="s">
        <v>6589</v>
      </c>
      <c r="H866" s="2" t="s">
        <v>447</v>
      </c>
      <c r="I866" s="2" t="s">
        <v>3409</v>
      </c>
      <c r="J866" s="2"/>
      <c r="K866" s="2"/>
      <c r="L866" s="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80"/>
  <sheetViews>
    <sheetView workbookViewId="0">
      <selection activeCell="G1" sqref="G1:I1048576"/>
    </sheetView>
  </sheetViews>
  <sheetFormatPr defaultRowHeight="15" x14ac:dyDescent="0.25"/>
  <cols>
    <col min="1" max="1" width="14.28515625" customWidth="1"/>
    <col min="2" max="2" width="22.28515625" customWidth="1"/>
    <col min="3" max="3" width="15" customWidth="1"/>
    <col min="4" max="4" width="12" customWidth="1"/>
    <col min="5" max="6" width="11.42578125" customWidth="1"/>
    <col min="7" max="7" width="12.140625" customWidth="1"/>
    <col min="8" max="8" width="36.5703125" bestFit="1" customWidth="1"/>
    <col min="9" max="10" width="20.7109375" customWidth="1"/>
    <col min="11" max="11" width="64.28515625" customWidth="1"/>
  </cols>
  <sheetData>
    <row r="1" spans="1:11" ht="24" x14ac:dyDescent="0.25">
      <c r="A1" s="1" t="s">
        <v>0</v>
      </c>
      <c r="B1" s="1" t="s">
        <v>1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24.75" x14ac:dyDescent="0.25">
      <c r="A2" s="4" t="s">
        <v>2124</v>
      </c>
      <c r="B2" s="2" t="s">
        <v>2125</v>
      </c>
      <c r="C2" s="5">
        <v>149</v>
      </c>
      <c r="D2" s="3" t="s">
        <v>2126</v>
      </c>
      <c r="E2" s="2" t="s">
        <v>74</v>
      </c>
      <c r="F2" s="6" t="s">
        <v>22</v>
      </c>
      <c r="G2" s="2" t="s">
        <v>95</v>
      </c>
      <c r="H2" s="2" t="s">
        <v>96</v>
      </c>
      <c r="I2" s="2" t="s">
        <v>19</v>
      </c>
      <c r="J2" s="2" t="s">
        <v>2127</v>
      </c>
      <c r="K2" s="7" t="str">
        <f>HYPERLINK("http://slimages.macys.com/is/image/MCY/12794405 ")</f>
        <v xml:space="preserve">http://slimages.macys.com/is/image/MCY/12794405 </v>
      </c>
    </row>
    <row r="3" spans="1:11" ht="48.75" x14ac:dyDescent="0.25">
      <c r="A3" s="4" t="s">
        <v>2128</v>
      </c>
      <c r="B3" s="2" t="s">
        <v>2129</v>
      </c>
      <c r="C3" s="5">
        <v>148</v>
      </c>
      <c r="D3" s="3" t="s">
        <v>2130</v>
      </c>
      <c r="E3" s="2" t="s">
        <v>413</v>
      </c>
      <c r="F3" s="6" t="s">
        <v>106</v>
      </c>
      <c r="G3" s="2" t="s">
        <v>17</v>
      </c>
      <c r="H3" s="2" t="s">
        <v>40</v>
      </c>
      <c r="I3" s="2" t="s">
        <v>19</v>
      </c>
      <c r="J3" s="2" t="s">
        <v>2131</v>
      </c>
      <c r="K3" s="7" t="str">
        <f>HYPERLINK("http://slimages.macys.com/is/image/MCY/13313400 ")</f>
        <v xml:space="preserve">http://slimages.macys.com/is/image/MCY/13313400 </v>
      </c>
    </row>
    <row r="4" spans="1:11" ht="48.75" x14ac:dyDescent="0.25">
      <c r="A4" s="4" t="s">
        <v>2132</v>
      </c>
      <c r="B4" s="2" t="s">
        <v>2129</v>
      </c>
      <c r="C4" s="5">
        <v>148</v>
      </c>
      <c r="D4" s="3" t="s">
        <v>2130</v>
      </c>
      <c r="E4" s="2" t="s">
        <v>413</v>
      </c>
      <c r="F4" s="6" t="s">
        <v>141</v>
      </c>
      <c r="G4" s="2" t="s">
        <v>17</v>
      </c>
      <c r="H4" s="2" t="s">
        <v>40</v>
      </c>
      <c r="I4" s="2" t="s">
        <v>19</v>
      </c>
      <c r="J4" s="2" t="s">
        <v>2131</v>
      </c>
      <c r="K4" s="7" t="str">
        <f>HYPERLINK("http://slimages.macys.com/is/image/MCY/13313400 ")</f>
        <v xml:space="preserve">http://slimages.macys.com/is/image/MCY/13313400 </v>
      </c>
    </row>
    <row r="5" spans="1:11" ht="48.75" x14ac:dyDescent="0.25">
      <c r="A5" s="4" t="s">
        <v>2133</v>
      </c>
      <c r="B5" s="2" t="s">
        <v>2129</v>
      </c>
      <c r="C5" s="5">
        <v>148</v>
      </c>
      <c r="D5" s="3" t="s">
        <v>2130</v>
      </c>
      <c r="E5" s="2" t="s">
        <v>413</v>
      </c>
      <c r="F5" s="6" t="s">
        <v>65</v>
      </c>
      <c r="G5" s="2" t="s">
        <v>17</v>
      </c>
      <c r="H5" s="2" t="s">
        <v>40</v>
      </c>
      <c r="I5" s="2" t="s">
        <v>19</v>
      </c>
      <c r="J5" s="2" t="s">
        <v>2131</v>
      </c>
      <c r="K5" s="7" t="str">
        <f>HYPERLINK("http://slimages.macys.com/is/image/MCY/13313400 ")</f>
        <v xml:space="preserve">http://slimages.macys.com/is/image/MCY/13313400 </v>
      </c>
    </row>
    <row r="6" spans="1:11" ht="24.75" x14ac:dyDescent="0.25">
      <c r="A6" s="4" t="s">
        <v>81</v>
      </c>
      <c r="B6" s="2" t="s">
        <v>77</v>
      </c>
      <c r="C6" s="5">
        <v>128</v>
      </c>
      <c r="D6" s="3" t="s">
        <v>78</v>
      </c>
      <c r="E6" s="2" t="s">
        <v>79</v>
      </c>
      <c r="F6" s="6" t="s">
        <v>27</v>
      </c>
      <c r="G6" s="2" t="s">
        <v>17</v>
      </c>
      <c r="H6" s="2" t="s">
        <v>18</v>
      </c>
      <c r="I6" s="2" t="s">
        <v>19</v>
      </c>
      <c r="J6" s="2" t="s">
        <v>75</v>
      </c>
      <c r="K6" s="7" t="str">
        <f>HYPERLINK("http://slimages.macys.com/is/image/MCY/13061199 ")</f>
        <v xml:space="preserve">http://slimages.macys.com/is/image/MCY/13061199 </v>
      </c>
    </row>
    <row r="7" spans="1:11" ht="24.75" x14ac:dyDescent="0.25">
      <c r="A7" s="4" t="s">
        <v>2134</v>
      </c>
      <c r="B7" s="2" t="s">
        <v>104</v>
      </c>
      <c r="C7" s="5">
        <v>119</v>
      </c>
      <c r="D7" s="3" t="s">
        <v>105</v>
      </c>
      <c r="E7" s="2" t="s">
        <v>26</v>
      </c>
      <c r="F7" s="6" t="s">
        <v>16</v>
      </c>
      <c r="G7" s="2" t="s">
        <v>17</v>
      </c>
      <c r="H7" s="2" t="s">
        <v>18</v>
      </c>
      <c r="I7" s="2" t="s">
        <v>19</v>
      </c>
      <c r="J7" s="2" t="s">
        <v>107</v>
      </c>
      <c r="K7" s="7" t="str">
        <f>HYPERLINK("http://slimages.macys.com/is/image/MCY/12326948 ")</f>
        <v xml:space="preserve">http://slimages.macys.com/is/image/MCY/12326948 </v>
      </c>
    </row>
    <row r="8" spans="1:11" ht="24.75" x14ac:dyDescent="0.25">
      <c r="A8" s="4" t="s">
        <v>2135</v>
      </c>
      <c r="B8" s="2" t="s">
        <v>2136</v>
      </c>
      <c r="C8" s="5">
        <v>118</v>
      </c>
      <c r="D8" s="3" t="s">
        <v>2137</v>
      </c>
      <c r="E8" s="2" t="s">
        <v>111</v>
      </c>
      <c r="F8" s="6" t="s">
        <v>65</v>
      </c>
      <c r="G8" s="2" t="s">
        <v>17</v>
      </c>
      <c r="H8" s="2" t="s">
        <v>18</v>
      </c>
      <c r="I8" s="2" t="s">
        <v>19</v>
      </c>
      <c r="J8" s="2" t="s">
        <v>34</v>
      </c>
      <c r="K8" s="7" t="str">
        <f>HYPERLINK("http://slimages.macys.com/is/image/MCY/12072760 ")</f>
        <v xml:space="preserve">http://slimages.macys.com/is/image/MCY/12072760 </v>
      </c>
    </row>
    <row r="9" spans="1:11" ht="24.75" x14ac:dyDescent="0.25">
      <c r="A9" s="4" t="s">
        <v>2138</v>
      </c>
      <c r="B9" s="2" t="s">
        <v>104</v>
      </c>
      <c r="C9" s="5">
        <v>119</v>
      </c>
      <c r="D9" s="3" t="s">
        <v>105</v>
      </c>
      <c r="E9" s="2" t="s">
        <v>26</v>
      </c>
      <c r="F9" s="6" t="s">
        <v>58</v>
      </c>
      <c r="G9" s="2" t="s">
        <v>17</v>
      </c>
      <c r="H9" s="2" t="s">
        <v>18</v>
      </c>
      <c r="I9" s="2" t="s">
        <v>19</v>
      </c>
      <c r="J9" s="2" t="s">
        <v>107</v>
      </c>
      <c r="K9" s="7" t="str">
        <f>HYPERLINK("http://slimages.macys.com/is/image/MCY/12326948 ")</f>
        <v xml:space="preserve">http://slimages.macys.com/is/image/MCY/12326948 </v>
      </c>
    </row>
    <row r="10" spans="1:11" ht="24.75" x14ac:dyDescent="0.25">
      <c r="A10" s="4" t="s">
        <v>2139</v>
      </c>
      <c r="B10" s="2" t="s">
        <v>139</v>
      </c>
      <c r="C10" s="5">
        <v>99</v>
      </c>
      <c r="D10" s="3" t="s">
        <v>140</v>
      </c>
      <c r="E10" s="2" t="s">
        <v>64</v>
      </c>
      <c r="F10" s="6" t="s">
        <v>65</v>
      </c>
      <c r="G10" s="2" t="s">
        <v>95</v>
      </c>
      <c r="H10" s="2" t="s">
        <v>96</v>
      </c>
      <c r="I10" s="2" t="s">
        <v>19</v>
      </c>
      <c r="J10" s="2" t="s">
        <v>137</v>
      </c>
      <c r="K10" s="7" t="str">
        <f>HYPERLINK("http://slimages.macys.com/is/image/MCY/12794480 ")</f>
        <v xml:space="preserve">http://slimages.macys.com/is/image/MCY/12794480 </v>
      </c>
    </row>
    <row r="11" spans="1:11" ht="36.75" x14ac:dyDescent="0.25">
      <c r="A11" s="4" t="s">
        <v>2140</v>
      </c>
      <c r="B11" s="2" t="s">
        <v>2141</v>
      </c>
      <c r="C11" s="5">
        <v>89</v>
      </c>
      <c r="D11" s="3" t="s">
        <v>2142</v>
      </c>
      <c r="E11" s="2" t="s">
        <v>26</v>
      </c>
      <c r="F11" s="6" t="s">
        <v>16</v>
      </c>
      <c r="G11" s="2" t="s">
        <v>95</v>
      </c>
      <c r="H11" s="2" t="s">
        <v>96</v>
      </c>
      <c r="I11" s="2" t="s">
        <v>19</v>
      </c>
      <c r="J11" s="2" t="s">
        <v>2143</v>
      </c>
      <c r="K11" s="7" t="str">
        <f>HYPERLINK("http://slimages.macys.com/is/image/MCY/12746950 ")</f>
        <v xml:space="preserve">http://slimages.macys.com/is/image/MCY/12746950 </v>
      </c>
    </row>
    <row r="12" spans="1:11" ht="24.75" x14ac:dyDescent="0.25">
      <c r="A12" s="4" t="s">
        <v>2144</v>
      </c>
      <c r="B12" s="2" t="s">
        <v>149</v>
      </c>
      <c r="C12" s="5">
        <v>89</v>
      </c>
      <c r="D12" s="3" t="s">
        <v>150</v>
      </c>
      <c r="E12" s="2" t="s">
        <v>74</v>
      </c>
      <c r="F12" s="6" t="s">
        <v>58</v>
      </c>
      <c r="G12" s="2" t="s">
        <v>95</v>
      </c>
      <c r="H12" s="2" t="s">
        <v>96</v>
      </c>
      <c r="I12" s="2" t="s">
        <v>19</v>
      </c>
      <c r="J12" s="2" t="s">
        <v>151</v>
      </c>
      <c r="K12" s="7" t="str">
        <f>HYPERLINK("http://slimages.macys.com/is/image/MCY/12794413 ")</f>
        <v xml:space="preserve">http://slimages.macys.com/is/image/MCY/12794413 </v>
      </c>
    </row>
    <row r="13" spans="1:11" ht="36.75" x14ac:dyDescent="0.25">
      <c r="A13" s="4" t="s">
        <v>2145</v>
      </c>
      <c r="B13" s="2" t="s">
        <v>2146</v>
      </c>
      <c r="C13" s="5">
        <v>89</v>
      </c>
      <c r="D13" s="3" t="s">
        <v>2147</v>
      </c>
      <c r="E13" s="2" t="s">
        <v>252</v>
      </c>
      <c r="F13" s="6" t="s">
        <v>27</v>
      </c>
      <c r="G13" s="2" t="s">
        <v>95</v>
      </c>
      <c r="H13" s="2" t="s">
        <v>96</v>
      </c>
      <c r="I13" s="2" t="s">
        <v>19</v>
      </c>
      <c r="J13" s="2" t="s">
        <v>2148</v>
      </c>
      <c r="K13" s="7" t="str">
        <f>HYPERLINK("http://slimages.macys.com/is/image/MCY/12034289 ")</f>
        <v xml:space="preserve">http://slimages.macys.com/is/image/MCY/12034289 </v>
      </c>
    </row>
    <row r="14" spans="1:11" ht="24.75" x14ac:dyDescent="0.25">
      <c r="A14" s="4" t="s">
        <v>2149</v>
      </c>
      <c r="B14" s="2" t="s">
        <v>2150</v>
      </c>
      <c r="C14" s="5">
        <v>89</v>
      </c>
      <c r="D14" s="3" t="s">
        <v>2151</v>
      </c>
      <c r="E14" s="2" t="s">
        <v>331</v>
      </c>
      <c r="F14" s="6" t="s">
        <v>27</v>
      </c>
      <c r="G14" s="2" t="s">
        <v>95</v>
      </c>
      <c r="H14" s="2" t="s">
        <v>96</v>
      </c>
      <c r="I14" s="2" t="s">
        <v>19</v>
      </c>
      <c r="J14" s="2" t="s">
        <v>137</v>
      </c>
      <c r="K14" s="7" t="str">
        <f>HYPERLINK("http://slimages.macys.com/is/image/MCY/12228336 ")</f>
        <v xml:space="preserve">http://slimages.macys.com/is/image/MCY/12228336 </v>
      </c>
    </row>
    <row r="15" spans="1:11" ht="24.75" x14ac:dyDescent="0.25">
      <c r="A15" s="4" t="s">
        <v>2152</v>
      </c>
      <c r="B15" s="2" t="s">
        <v>2153</v>
      </c>
      <c r="C15" s="5">
        <v>79</v>
      </c>
      <c r="D15" s="3">
        <v>10717696</v>
      </c>
      <c r="E15" s="2" t="s">
        <v>15</v>
      </c>
      <c r="F15" s="6" t="s">
        <v>16</v>
      </c>
      <c r="G15" s="2" t="s">
        <v>2154</v>
      </c>
      <c r="H15" s="2" t="s">
        <v>2155</v>
      </c>
      <c r="I15" s="2" t="s">
        <v>19</v>
      </c>
      <c r="J15" s="2" t="s">
        <v>2156</v>
      </c>
      <c r="K15" s="7" t="str">
        <f>HYPERLINK("http://slimages.macys.com/is/image/MCY/12147560 ")</f>
        <v xml:space="preserve">http://slimages.macys.com/is/image/MCY/12147560 </v>
      </c>
    </row>
    <row r="16" spans="1:11" ht="24.75" x14ac:dyDescent="0.25">
      <c r="A16" s="4" t="s">
        <v>2157</v>
      </c>
      <c r="B16" s="2" t="s">
        <v>153</v>
      </c>
      <c r="C16" s="5">
        <v>79.5</v>
      </c>
      <c r="D16" s="3">
        <v>10719732</v>
      </c>
      <c r="E16" s="2" t="s">
        <v>33</v>
      </c>
      <c r="F16" s="6" t="s">
        <v>245</v>
      </c>
      <c r="G16" s="2" t="s">
        <v>17</v>
      </c>
      <c r="H16" s="2" t="s">
        <v>121</v>
      </c>
      <c r="I16" s="2" t="s">
        <v>19</v>
      </c>
      <c r="J16" s="2" t="s">
        <v>34</v>
      </c>
      <c r="K16" s="7" t="str">
        <f>HYPERLINK("http://slimages.macys.com/is/image/MCY/10534487 ")</f>
        <v xml:space="preserve">http://slimages.macys.com/is/image/MCY/10534487 </v>
      </c>
    </row>
    <row r="17" spans="1:11" ht="24.75" x14ac:dyDescent="0.25">
      <c r="A17" s="4" t="s">
        <v>2158</v>
      </c>
      <c r="B17" s="2" t="s">
        <v>2159</v>
      </c>
      <c r="C17" s="5">
        <v>79.5</v>
      </c>
      <c r="D17" s="3">
        <v>10723364</v>
      </c>
      <c r="E17" s="2" t="s">
        <v>15</v>
      </c>
      <c r="F17" s="6" t="s">
        <v>65</v>
      </c>
      <c r="G17" s="2" t="s">
        <v>17</v>
      </c>
      <c r="H17" s="2" t="s">
        <v>121</v>
      </c>
      <c r="I17" s="2" t="s">
        <v>19</v>
      </c>
      <c r="J17" s="2" t="s">
        <v>34</v>
      </c>
      <c r="K17" s="7" t="str">
        <f>HYPERLINK("http://slimages.macys.com/is/image/MCY/12340424 ")</f>
        <v xml:space="preserve">http://slimages.macys.com/is/image/MCY/12340424 </v>
      </c>
    </row>
    <row r="18" spans="1:11" ht="24.75" x14ac:dyDescent="0.25">
      <c r="A18" s="4" t="s">
        <v>2160</v>
      </c>
      <c r="B18" s="2" t="s">
        <v>153</v>
      </c>
      <c r="C18" s="5">
        <v>79.5</v>
      </c>
      <c r="D18" s="3">
        <v>10719732</v>
      </c>
      <c r="E18" s="2" t="s">
        <v>33</v>
      </c>
      <c r="F18" s="6" t="s">
        <v>234</v>
      </c>
      <c r="G18" s="2" t="s">
        <v>17</v>
      </c>
      <c r="H18" s="2" t="s">
        <v>121</v>
      </c>
      <c r="I18" s="2" t="s">
        <v>19</v>
      </c>
      <c r="J18" s="2" t="s">
        <v>34</v>
      </c>
      <c r="K18" s="7" t="str">
        <f>HYPERLINK("http://slimages.macys.com/is/image/MCY/10534487 ")</f>
        <v xml:space="preserve">http://slimages.macys.com/is/image/MCY/10534487 </v>
      </c>
    </row>
    <row r="19" spans="1:11" ht="24.75" x14ac:dyDescent="0.25">
      <c r="A19" s="4" t="s">
        <v>2161</v>
      </c>
      <c r="B19" s="2" t="s">
        <v>2162</v>
      </c>
      <c r="C19" s="5">
        <v>79</v>
      </c>
      <c r="D19" s="3" t="s">
        <v>2163</v>
      </c>
      <c r="E19" s="2" t="s">
        <v>887</v>
      </c>
      <c r="F19" s="6" t="s">
        <v>39</v>
      </c>
      <c r="G19" s="2" t="s">
        <v>95</v>
      </c>
      <c r="H19" s="2" t="s">
        <v>96</v>
      </c>
      <c r="I19" s="2" t="s">
        <v>19</v>
      </c>
      <c r="J19" s="2" t="s">
        <v>97</v>
      </c>
      <c r="K19" s="7" t="str">
        <f>HYPERLINK("http://slimages.macys.com/is/image/MCY/11784599 ")</f>
        <v xml:space="preserve">http://slimages.macys.com/is/image/MCY/11784599 </v>
      </c>
    </row>
    <row r="20" spans="1:11" ht="24.75" x14ac:dyDescent="0.25">
      <c r="A20" s="4" t="s">
        <v>2164</v>
      </c>
      <c r="B20" s="2" t="s">
        <v>2162</v>
      </c>
      <c r="C20" s="5">
        <v>79</v>
      </c>
      <c r="D20" s="3" t="s">
        <v>2163</v>
      </c>
      <c r="E20" s="2" t="s">
        <v>887</v>
      </c>
      <c r="F20" s="6" t="s">
        <v>16</v>
      </c>
      <c r="G20" s="2" t="s">
        <v>95</v>
      </c>
      <c r="H20" s="2" t="s">
        <v>96</v>
      </c>
      <c r="I20" s="2" t="s">
        <v>19</v>
      </c>
      <c r="J20" s="2" t="s">
        <v>97</v>
      </c>
      <c r="K20" s="7" t="str">
        <f>HYPERLINK("http://slimages.macys.com/is/image/MCY/11784599 ")</f>
        <v xml:space="preserve">http://slimages.macys.com/is/image/MCY/11784599 </v>
      </c>
    </row>
    <row r="21" spans="1:11" ht="24.75" x14ac:dyDescent="0.25">
      <c r="A21" s="4" t="s">
        <v>2165</v>
      </c>
      <c r="B21" s="2" t="s">
        <v>2162</v>
      </c>
      <c r="C21" s="5">
        <v>79</v>
      </c>
      <c r="D21" s="3" t="s">
        <v>2163</v>
      </c>
      <c r="E21" s="2" t="s">
        <v>887</v>
      </c>
      <c r="F21" s="6" t="s">
        <v>58</v>
      </c>
      <c r="G21" s="2" t="s">
        <v>95</v>
      </c>
      <c r="H21" s="2" t="s">
        <v>96</v>
      </c>
      <c r="I21" s="2" t="s">
        <v>19</v>
      </c>
      <c r="J21" s="2" t="s">
        <v>97</v>
      </c>
      <c r="K21" s="7" t="str">
        <f>HYPERLINK("http://slimages.macys.com/is/image/MCY/11784599 ")</f>
        <v xml:space="preserve">http://slimages.macys.com/is/image/MCY/11784599 </v>
      </c>
    </row>
    <row r="22" spans="1:11" ht="24.75" x14ac:dyDescent="0.25">
      <c r="A22" s="4" t="s">
        <v>177</v>
      </c>
      <c r="B22" s="2" t="s">
        <v>178</v>
      </c>
      <c r="C22" s="5">
        <v>55.65</v>
      </c>
      <c r="D22" s="3" t="s">
        <v>179</v>
      </c>
      <c r="E22" s="2" t="s">
        <v>180</v>
      </c>
      <c r="F22" s="6" t="s">
        <v>181</v>
      </c>
      <c r="G22" s="2" t="s">
        <v>182</v>
      </c>
      <c r="H22" s="2" t="s">
        <v>183</v>
      </c>
      <c r="I22" s="2" t="s">
        <v>19</v>
      </c>
      <c r="J22" s="2" t="s">
        <v>34</v>
      </c>
      <c r="K22" s="7" t="str">
        <f>HYPERLINK("http://slimages.macys.com/is/image/MCY/12938423 ")</f>
        <v xml:space="preserve">http://slimages.macys.com/is/image/MCY/12938423 </v>
      </c>
    </row>
    <row r="23" spans="1:11" ht="24.75" x14ac:dyDescent="0.25">
      <c r="A23" s="4" t="s">
        <v>2166</v>
      </c>
      <c r="B23" s="2" t="s">
        <v>178</v>
      </c>
      <c r="C23" s="5">
        <v>55.65</v>
      </c>
      <c r="D23" s="3" t="s">
        <v>179</v>
      </c>
      <c r="E23" s="2" t="s">
        <v>180</v>
      </c>
      <c r="F23" s="6" t="s">
        <v>234</v>
      </c>
      <c r="G23" s="2" t="s">
        <v>182</v>
      </c>
      <c r="H23" s="2" t="s">
        <v>183</v>
      </c>
      <c r="I23" s="2" t="s">
        <v>19</v>
      </c>
      <c r="J23" s="2" t="s">
        <v>34</v>
      </c>
      <c r="K23" s="7" t="str">
        <f>HYPERLINK("http://slimages.macys.com/is/image/MCY/12938423 ")</f>
        <v xml:space="preserve">http://slimages.macys.com/is/image/MCY/12938423 </v>
      </c>
    </row>
    <row r="24" spans="1:11" ht="24.75" x14ac:dyDescent="0.25">
      <c r="A24" s="4" t="s">
        <v>2167</v>
      </c>
      <c r="B24" s="2" t="s">
        <v>2168</v>
      </c>
      <c r="C24" s="5">
        <v>79.5</v>
      </c>
      <c r="D24" s="3" t="s">
        <v>2169</v>
      </c>
      <c r="E24" s="2" t="s">
        <v>752</v>
      </c>
      <c r="F24" s="6" t="s">
        <v>934</v>
      </c>
      <c r="G24" s="2" t="s">
        <v>127</v>
      </c>
      <c r="H24" s="2" t="s">
        <v>128</v>
      </c>
      <c r="I24" s="2" t="s">
        <v>19</v>
      </c>
      <c r="J24" s="2" t="s">
        <v>160</v>
      </c>
      <c r="K24" s="7" t="str">
        <f>HYPERLINK("http://slimages.macys.com/is/image/MCY/14542718 ")</f>
        <v xml:space="preserve">http://slimages.macys.com/is/image/MCY/14542718 </v>
      </c>
    </row>
    <row r="25" spans="1:11" x14ac:dyDescent="0.25">
      <c r="A25" s="4" t="s">
        <v>2170</v>
      </c>
      <c r="B25" s="2" t="s">
        <v>178</v>
      </c>
      <c r="C25" s="5">
        <v>55.65</v>
      </c>
      <c r="D25" s="3" t="s">
        <v>179</v>
      </c>
      <c r="E25" s="2" t="s">
        <v>74</v>
      </c>
      <c r="F25" s="6" t="s">
        <v>154</v>
      </c>
      <c r="G25" s="2" t="s">
        <v>182</v>
      </c>
      <c r="H25" s="2" t="s">
        <v>183</v>
      </c>
      <c r="I25" s="2" t="s">
        <v>19</v>
      </c>
      <c r="J25" s="2" t="s">
        <v>34</v>
      </c>
      <c r="K25" s="7" t="str">
        <f>HYPERLINK("http://slimages.macys.com/is/image/MCY/12935648 ")</f>
        <v xml:space="preserve">http://slimages.macys.com/is/image/MCY/12935648 </v>
      </c>
    </row>
    <row r="26" spans="1:11" x14ac:dyDescent="0.25">
      <c r="A26" s="4" t="s">
        <v>233</v>
      </c>
      <c r="B26" s="2" t="s">
        <v>178</v>
      </c>
      <c r="C26" s="5">
        <v>55.65</v>
      </c>
      <c r="D26" s="3" t="s">
        <v>179</v>
      </c>
      <c r="E26" s="2" t="s">
        <v>74</v>
      </c>
      <c r="F26" s="6" t="s">
        <v>234</v>
      </c>
      <c r="G26" s="2" t="s">
        <v>182</v>
      </c>
      <c r="H26" s="2" t="s">
        <v>183</v>
      </c>
      <c r="I26" s="2" t="s">
        <v>19</v>
      </c>
      <c r="J26" s="2" t="s">
        <v>34</v>
      </c>
      <c r="K26" s="7" t="str">
        <f>HYPERLINK("http://slimages.macys.com/is/image/MCY/12935648 ")</f>
        <v xml:space="preserve">http://slimages.macys.com/is/image/MCY/12935648 </v>
      </c>
    </row>
    <row r="27" spans="1:11" x14ac:dyDescent="0.25">
      <c r="A27" s="4" t="s">
        <v>2171</v>
      </c>
      <c r="B27" s="2" t="s">
        <v>178</v>
      </c>
      <c r="C27" s="5">
        <v>55.65</v>
      </c>
      <c r="D27" s="3" t="s">
        <v>179</v>
      </c>
      <c r="E27" s="2" t="s">
        <v>74</v>
      </c>
      <c r="F27" s="6" t="s">
        <v>156</v>
      </c>
      <c r="G27" s="2" t="s">
        <v>182</v>
      </c>
      <c r="H27" s="2" t="s">
        <v>183</v>
      </c>
      <c r="I27" s="2" t="s">
        <v>19</v>
      </c>
      <c r="J27" s="2" t="s">
        <v>34</v>
      </c>
      <c r="K27" s="7" t="str">
        <f>HYPERLINK("http://slimages.macys.com/is/image/MCY/12935648 ")</f>
        <v xml:space="preserve">http://slimages.macys.com/is/image/MCY/12935648 </v>
      </c>
    </row>
    <row r="28" spans="1:11" ht="24.75" x14ac:dyDescent="0.25">
      <c r="A28" s="4" t="s">
        <v>2172</v>
      </c>
      <c r="B28" s="2" t="s">
        <v>2173</v>
      </c>
      <c r="C28" s="5">
        <v>59.63</v>
      </c>
      <c r="D28" s="3" t="s">
        <v>2174</v>
      </c>
      <c r="E28" s="2" t="s">
        <v>26</v>
      </c>
      <c r="F28" s="6"/>
      <c r="G28" s="2" t="s">
        <v>188</v>
      </c>
      <c r="H28" s="2" t="s">
        <v>189</v>
      </c>
      <c r="I28" s="2" t="s">
        <v>19</v>
      </c>
      <c r="J28" s="2" t="s">
        <v>263</v>
      </c>
      <c r="K28" s="7" t="str">
        <f>HYPERLINK("http://slimages.macys.com/is/image/MCY/11808238 ")</f>
        <v xml:space="preserve">http://slimages.macys.com/is/image/MCY/11808238 </v>
      </c>
    </row>
    <row r="29" spans="1:11" ht="24.75" x14ac:dyDescent="0.25">
      <c r="A29" s="4" t="s">
        <v>2175</v>
      </c>
      <c r="B29" s="2" t="s">
        <v>2176</v>
      </c>
      <c r="C29" s="5">
        <v>51.75</v>
      </c>
      <c r="D29" s="3">
        <v>100053415</v>
      </c>
      <c r="E29" s="2" t="s">
        <v>15</v>
      </c>
      <c r="F29" s="6" t="s">
        <v>181</v>
      </c>
      <c r="G29" s="2" t="s">
        <v>228</v>
      </c>
      <c r="H29" s="2" t="s">
        <v>229</v>
      </c>
      <c r="I29" s="2" t="s">
        <v>19</v>
      </c>
      <c r="J29" s="2" t="s">
        <v>230</v>
      </c>
      <c r="K29" s="7" t="str">
        <f>HYPERLINK("http://slimages.macys.com/is/image/MCY/12317942 ")</f>
        <v xml:space="preserve">http://slimages.macys.com/is/image/MCY/12317942 </v>
      </c>
    </row>
    <row r="30" spans="1:11" ht="24.75" x14ac:dyDescent="0.25">
      <c r="A30" s="4" t="s">
        <v>2177</v>
      </c>
      <c r="B30" s="2" t="s">
        <v>2178</v>
      </c>
      <c r="C30" s="5">
        <v>51.5</v>
      </c>
      <c r="D30" s="3" t="s">
        <v>2179</v>
      </c>
      <c r="E30" s="2" t="s">
        <v>26</v>
      </c>
      <c r="F30" s="6" t="s">
        <v>200</v>
      </c>
      <c r="G30" s="2" t="s">
        <v>246</v>
      </c>
      <c r="H30" s="2" t="s">
        <v>189</v>
      </c>
      <c r="I30" s="2" t="s">
        <v>19</v>
      </c>
      <c r="J30" s="2" t="s">
        <v>2180</v>
      </c>
      <c r="K30" s="7" t="str">
        <f>HYPERLINK("http://slimages.macys.com/is/image/MCY/10678670 ")</f>
        <v xml:space="preserve">http://slimages.macys.com/is/image/MCY/10678670 </v>
      </c>
    </row>
    <row r="31" spans="1:11" ht="24.75" x14ac:dyDescent="0.25">
      <c r="A31" s="4" t="s">
        <v>2181</v>
      </c>
      <c r="B31" s="2" t="s">
        <v>255</v>
      </c>
      <c r="C31" s="5">
        <v>62.15</v>
      </c>
      <c r="D31" s="3" t="s">
        <v>256</v>
      </c>
      <c r="E31" s="2" t="s">
        <v>257</v>
      </c>
      <c r="F31" s="6" t="s">
        <v>181</v>
      </c>
      <c r="G31" s="2" t="s">
        <v>182</v>
      </c>
      <c r="H31" s="2" t="s">
        <v>183</v>
      </c>
      <c r="I31" s="2" t="s">
        <v>19</v>
      </c>
      <c r="J31" s="2" t="s">
        <v>258</v>
      </c>
      <c r="K31" s="7" t="str">
        <f>HYPERLINK("http://slimages.macys.com/is/image/MCY/12851794 ")</f>
        <v xml:space="preserve">http://slimages.macys.com/is/image/MCY/12851794 </v>
      </c>
    </row>
    <row r="32" spans="1:11" ht="24.75" x14ac:dyDescent="0.25">
      <c r="A32" s="4" t="s">
        <v>2182</v>
      </c>
      <c r="B32" s="2" t="s">
        <v>255</v>
      </c>
      <c r="C32" s="5">
        <v>62.15</v>
      </c>
      <c r="D32" s="3" t="s">
        <v>256</v>
      </c>
      <c r="E32" s="2" t="s">
        <v>257</v>
      </c>
      <c r="F32" s="6" t="s">
        <v>154</v>
      </c>
      <c r="G32" s="2" t="s">
        <v>182</v>
      </c>
      <c r="H32" s="2" t="s">
        <v>183</v>
      </c>
      <c r="I32" s="2" t="s">
        <v>19</v>
      </c>
      <c r="J32" s="2" t="s">
        <v>258</v>
      </c>
      <c r="K32" s="7" t="str">
        <f>HYPERLINK("http://slimages.macys.com/is/image/MCY/12851794 ")</f>
        <v xml:space="preserve">http://slimages.macys.com/is/image/MCY/12851794 </v>
      </c>
    </row>
    <row r="33" spans="1:11" ht="24.75" x14ac:dyDescent="0.25">
      <c r="A33" s="4" t="s">
        <v>2183</v>
      </c>
      <c r="B33" s="2" t="s">
        <v>255</v>
      </c>
      <c r="C33" s="5">
        <v>62.15</v>
      </c>
      <c r="D33" s="3" t="s">
        <v>256</v>
      </c>
      <c r="E33" s="2" t="s">
        <v>257</v>
      </c>
      <c r="F33" s="6" t="s">
        <v>156</v>
      </c>
      <c r="G33" s="2" t="s">
        <v>182</v>
      </c>
      <c r="H33" s="2" t="s">
        <v>183</v>
      </c>
      <c r="I33" s="2" t="s">
        <v>19</v>
      </c>
      <c r="J33" s="2" t="s">
        <v>258</v>
      </c>
      <c r="K33" s="7" t="str">
        <f>HYPERLINK("http://slimages.macys.com/is/image/MCY/12851794 ")</f>
        <v xml:space="preserve">http://slimages.macys.com/is/image/MCY/12851794 </v>
      </c>
    </row>
    <row r="34" spans="1:11" ht="24.75" x14ac:dyDescent="0.25">
      <c r="A34" s="4" t="s">
        <v>2184</v>
      </c>
      <c r="B34" s="2" t="s">
        <v>2185</v>
      </c>
      <c r="C34" s="5">
        <v>59.63</v>
      </c>
      <c r="D34" s="3" t="s">
        <v>2186</v>
      </c>
      <c r="E34" s="2" t="s">
        <v>331</v>
      </c>
      <c r="F34" s="6"/>
      <c r="G34" s="2" t="s">
        <v>188</v>
      </c>
      <c r="H34" s="2" t="s">
        <v>214</v>
      </c>
      <c r="I34" s="2" t="s">
        <v>19</v>
      </c>
      <c r="J34" s="2" t="s">
        <v>253</v>
      </c>
      <c r="K34" s="7" t="str">
        <f>HYPERLINK("http://slimages.macys.com/is/image/MCY/8077966 ")</f>
        <v xml:space="preserve">http://slimages.macys.com/is/image/MCY/8077966 </v>
      </c>
    </row>
    <row r="35" spans="1:11" ht="24.75" x14ac:dyDescent="0.25">
      <c r="A35" s="4" t="s">
        <v>2187</v>
      </c>
      <c r="B35" s="2" t="s">
        <v>2188</v>
      </c>
      <c r="C35" s="5">
        <v>69.5</v>
      </c>
      <c r="D35" s="3">
        <v>100058338</v>
      </c>
      <c r="E35" s="2" t="s">
        <v>64</v>
      </c>
      <c r="F35" s="6" t="s">
        <v>141</v>
      </c>
      <c r="G35" s="2" t="s">
        <v>386</v>
      </c>
      <c r="H35" s="2" t="s">
        <v>207</v>
      </c>
      <c r="I35" s="2" t="s">
        <v>19</v>
      </c>
      <c r="J35" s="2" t="s">
        <v>338</v>
      </c>
      <c r="K35" s="7" t="str">
        <f>HYPERLINK("http://slimages.macys.com/is/image/MCY/11943173 ")</f>
        <v xml:space="preserve">http://slimages.macys.com/is/image/MCY/11943173 </v>
      </c>
    </row>
    <row r="36" spans="1:11" ht="24.75" x14ac:dyDescent="0.25">
      <c r="A36" s="4" t="s">
        <v>2189</v>
      </c>
      <c r="B36" s="2" t="s">
        <v>2188</v>
      </c>
      <c r="C36" s="5">
        <v>69.5</v>
      </c>
      <c r="D36" s="3">
        <v>100058338</v>
      </c>
      <c r="E36" s="2" t="s">
        <v>64</v>
      </c>
      <c r="F36" s="6" t="s">
        <v>22</v>
      </c>
      <c r="G36" s="2" t="s">
        <v>386</v>
      </c>
      <c r="H36" s="2" t="s">
        <v>207</v>
      </c>
      <c r="I36" s="2" t="s">
        <v>19</v>
      </c>
      <c r="J36" s="2" t="s">
        <v>338</v>
      </c>
      <c r="K36" s="7" t="str">
        <f>HYPERLINK("http://slimages.macys.com/is/image/MCY/11943173 ")</f>
        <v xml:space="preserve">http://slimages.macys.com/is/image/MCY/11943173 </v>
      </c>
    </row>
    <row r="37" spans="1:11" ht="24.75" x14ac:dyDescent="0.25">
      <c r="A37" s="4" t="s">
        <v>2190</v>
      </c>
      <c r="B37" s="2" t="s">
        <v>269</v>
      </c>
      <c r="C37" s="5">
        <v>50.65</v>
      </c>
      <c r="D37" s="3" t="s">
        <v>270</v>
      </c>
      <c r="E37" s="2" t="s">
        <v>252</v>
      </c>
      <c r="F37" s="6" t="s">
        <v>234</v>
      </c>
      <c r="G37" s="2" t="s">
        <v>182</v>
      </c>
      <c r="H37" s="2" t="s">
        <v>183</v>
      </c>
      <c r="I37" s="2" t="s">
        <v>19</v>
      </c>
      <c r="J37" s="2" t="s">
        <v>208</v>
      </c>
      <c r="K37" s="7" t="str">
        <f>HYPERLINK("http://slimages.macys.com/is/image/MCY/12465152 ")</f>
        <v xml:space="preserve">http://slimages.macys.com/is/image/MCY/12465152 </v>
      </c>
    </row>
    <row r="38" spans="1:11" ht="24.75" x14ac:dyDescent="0.25">
      <c r="A38" s="4" t="s">
        <v>2191</v>
      </c>
      <c r="B38" s="2" t="s">
        <v>276</v>
      </c>
      <c r="C38" s="5">
        <v>62.65</v>
      </c>
      <c r="D38" s="3" t="s">
        <v>277</v>
      </c>
      <c r="E38" s="2" t="s">
        <v>257</v>
      </c>
      <c r="F38" s="6" t="s">
        <v>181</v>
      </c>
      <c r="G38" s="2" t="s">
        <v>182</v>
      </c>
      <c r="H38" s="2" t="s">
        <v>183</v>
      </c>
      <c r="I38" s="2" t="s">
        <v>19</v>
      </c>
      <c r="J38" s="2" t="s">
        <v>208</v>
      </c>
      <c r="K38" s="7" t="str">
        <f>HYPERLINK("http://slimages.macys.com/is/image/MCY/12670890 ")</f>
        <v xml:space="preserve">http://slimages.macys.com/is/image/MCY/12670890 </v>
      </c>
    </row>
    <row r="39" spans="1:11" ht="24.75" x14ac:dyDescent="0.25">
      <c r="A39" s="4" t="s">
        <v>2192</v>
      </c>
      <c r="B39" s="2" t="s">
        <v>276</v>
      </c>
      <c r="C39" s="5">
        <v>62.65</v>
      </c>
      <c r="D39" s="3" t="s">
        <v>277</v>
      </c>
      <c r="E39" s="2" t="s">
        <v>257</v>
      </c>
      <c r="F39" s="6" t="s">
        <v>154</v>
      </c>
      <c r="G39" s="2" t="s">
        <v>182</v>
      </c>
      <c r="H39" s="2" t="s">
        <v>183</v>
      </c>
      <c r="I39" s="2" t="s">
        <v>19</v>
      </c>
      <c r="J39" s="2" t="s">
        <v>208</v>
      </c>
      <c r="K39" s="7" t="str">
        <f>HYPERLINK("http://slimages.macys.com/is/image/MCY/12670890 ")</f>
        <v xml:space="preserve">http://slimages.macys.com/is/image/MCY/12670890 </v>
      </c>
    </row>
    <row r="40" spans="1:11" ht="24.75" x14ac:dyDescent="0.25">
      <c r="A40" s="4" t="s">
        <v>2193</v>
      </c>
      <c r="B40" s="2" t="s">
        <v>276</v>
      </c>
      <c r="C40" s="5">
        <v>62.65</v>
      </c>
      <c r="D40" s="3" t="s">
        <v>277</v>
      </c>
      <c r="E40" s="2" t="s">
        <v>257</v>
      </c>
      <c r="F40" s="6" t="s">
        <v>156</v>
      </c>
      <c r="G40" s="2" t="s">
        <v>182</v>
      </c>
      <c r="H40" s="2" t="s">
        <v>183</v>
      </c>
      <c r="I40" s="2" t="s">
        <v>19</v>
      </c>
      <c r="J40" s="2" t="s">
        <v>208</v>
      </c>
      <c r="K40" s="7" t="str">
        <f>HYPERLINK("http://slimages.macys.com/is/image/MCY/12670890 ")</f>
        <v xml:space="preserve">http://slimages.macys.com/is/image/MCY/12670890 </v>
      </c>
    </row>
    <row r="41" spans="1:11" ht="24.75" x14ac:dyDescent="0.25">
      <c r="A41" s="4" t="s">
        <v>2194</v>
      </c>
      <c r="B41" s="2" t="s">
        <v>2195</v>
      </c>
      <c r="C41" s="5">
        <v>48.38</v>
      </c>
      <c r="D41" s="3" t="s">
        <v>2196</v>
      </c>
      <c r="E41" s="2" t="s">
        <v>74</v>
      </c>
      <c r="F41" s="6" t="s">
        <v>407</v>
      </c>
      <c r="G41" s="2" t="s">
        <v>349</v>
      </c>
      <c r="H41" s="2" t="s">
        <v>408</v>
      </c>
      <c r="I41" s="2" t="s">
        <v>19</v>
      </c>
      <c r="J41" s="2" t="s">
        <v>160</v>
      </c>
      <c r="K41" s="7" t="str">
        <f>HYPERLINK("http://slimages.macys.com/is/image/MCY/13535632 ")</f>
        <v xml:space="preserve">http://slimages.macys.com/is/image/MCY/13535632 </v>
      </c>
    </row>
    <row r="42" spans="1:11" ht="36.75" x14ac:dyDescent="0.25">
      <c r="A42" s="4" t="s">
        <v>2197</v>
      </c>
      <c r="B42" s="2" t="s">
        <v>2198</v>
      </c>
      <c r="C42" s="5">
        <v>52.13</v>
      </c>
      <c r="D42" s="3">
        <v>100020408</v>
      </c>
      <c r="E42" s="2" t="s">
        <v>26</v>
      </c>
      <c r="F42" s="6" t="s">
        <v>181</v>
      </c>
      <c r="G42" s="2" t="s">
        <v>194</v>
      </c>
      <c r="H42" s="2" t="s">
        <v>195</v>
      </c>
      <c r="I42" s="2" t="s">
        <v>19</v>
      </c>
      <c r="J42" s="2" t="s">
        <v>2199</v>
      </c>
      <c r="K42" s="7" t="str">
        <f>HYPERLINK("http://slimages.macys.com/is/image/MCY/9504840 ")</f>
        <v xml:space="preserve">http://slimages.macys.com/is/image/MCY/9504840 </v>
      </c>
    </row>
    <row r="43" spans="1:11" ht="24.75" x14ac:dyDescent="0.25">
      <c r="A43" s="4" t="s">
        <v>2200</v>
      </c>
      <c r="B43" s="2" t="s">
        <v>293</v>
      </c>
      <c r="C43" s="5">
        <v>52.13</v>
      </c>
      <c r="D43" s="3" t="s">
        <v>294</v>
      </c>
      <c r="E43" s="2" t="s">
        <v>26</v>
      </c>
      <c r="F43" s="6" t="s">
        <v>156</v>
      </c>
      <c r="G43" s="2" t="s">
        <v>194</v>
      </c>
      <c r="H43" s="2" t="s">
        <v>195</v>
      </c>
      <c r="I43" s="2" t="s">
        <v>19</v>
      </c>
      <c r="J43" s="2" t="s">
        <v>160</v>
      </c>
      <c r="K43" s="7" t="str">
        <f>HYPERLINK("http://slimages.macys.com/is/image/MCY/12143831 ")</f>
        <v xml:space="preserve">http://slimages.macys.com/is/image/MCY/12143831 </v>
      </c>
    </row>
    <row r="44" spans="1:11" ht="24.75" x14ac:dyDescent="0.25">
      <c r="A44" s="4" t="s">
        <v>2201</v>
      </c>
      <c r="B44" s="2" t="s">
        <v>2202</v>
      </c>
      <c r="C44" s="5">
        <v>48.38</v>
      </c>
      <c r="D44" s="3" t="s">
        <v>2203</v>
      </c>
      <c r="E44" s="2" t="s">
        <v>26</v>
      </c>
      <c r="F44" s="6" t="s">
        <v>348</v>
      </c>
      <c r="G44" s="2" t="s">
        <v>349</v>
      </c>
      <c r="H44" s="2" t="s">
        <v>285</v>
      </c>
      <c r="I44" s="2" t="s">
        <v>19</v>
      </c>
      <c r="J44" s="2" t="s">
        <v>2204</v>
      </c>
      <c r="K44" s="7" t="str">
        <f>HYPERLINK("http://slimages.macys.com/is/image/MCY/11859318 ")</f>
        <v xml:space="preserve">http://slimages.macys.com/is/image/MCY/11859318 </v>
      </c>
    </row>
    <row r="45" spans="1:11" ht="24.75" x14ac:dyDescent="0.25">
      <c r="A45" s="4" t="s">
        <v>2205</v>
      </c>
      <c r="B45" s="2" t="s">
        <v>305</v>
      </c>
      <c r="C45" s="5">
        <v>52.13</v>
      </c>
      <c r="D45" s="3" t="s">
        <v>306</v>
      </c>
      <c r="E45" s="2" t="s">
        <v>74</v>
      </c>
      <c r="F45" s="6" t="s">
        <v>234</v>
      </c>
      <c r="G45" s="2" t="s">
        <v>194</v>
      </c>
      <c r="H45" s="2" t="s">
        <v>307</v>
      </c>
      <c r="I45" s="2" t="s">
        <v>19</v>
      </c>
      <c r="J45" s="2" t="s">
        <v>247</v>
      </c>
      <c r="K45" s="7" t="str">
        <f>HYPERLINK("http://slimages.macys.com/is/image/MCY/11937882 ")</f>
        <v xml:space="preserve">http://slimages.macys.com/is/image/MCY/11937882 </v>
      </c>
    </row>
    <row r="46" spans="1:11" ht="36.75" x14ac:dyDescent="0.25">
      <c r="A46" s="4" t="s">
        <v>2206</v>
      </c>
      <c r="B46" s="2" t="s">
        <v>2207</v>
      </c>
      <c r="C46" s="5">
        <v>79.5</v>
      </c>
      <c r="D46" s="3">
        <v>100056435</v>
      </c>
      <c r="E46" s="2" t="s">
        <v>64</v>
      </c>
      <c r="F46" s="6" t="s">
        <v>2208</v>
      </c>
      <c r="G46" s="2" t="s">
        <v>386</v>
      </c>
      <c r="H46" s="2" t="s">
        <v>207</v>
      </c>
      <c r="I46" s="2" t="s">
        <v>19</v>
      </c>
      <c r="J46" s="2" t="s">
        <v>2209</v>
      </c>
      <c r="K46" s="7" t="str">
        <f>HYPERLINK("http://slimages.macys.com/is/image/MCY/11943211 ")</f>
        <v xml:space="preserve">http://slimages.macys.com/is/image/MCY/11943211 </v>
      </c>
    </row>
    <row r="47" spans="1:11" ht="36.75" x14ac:dyDescent="0.25">
      <c r="A47" s="4" t="s">
        <v>2210</v>
      </c>
      <c r="B47" s="2" t="s">
        <v>2211</v>
      </c>
      <c r="C47" s="5">
        <v>59.5</v>
      </c>
      <c r="D47" s="3" t="s">
        <v>2212</v>
      </c>
      <c r="E47" s="2" t="s">
        <v>136</v>
      </c>
      <c r="F47" s="6" t="s">
        <v>363</v>
      </c>
      <c r="G47" s="2" t="s">
        <v>127</v>
      </c>
      <c r="H47" s="2" t="s">
        <v>128</v>
      </c>
      <c r="I47" s="2" t="s">
        <v>19</v>
      </c>
      <c r="J47" s="2" t="s">
        <v>2213</v>
      </c>
      <c r="K47" s="7" t="str">
        <f>HYPERLINK("http://slimages.macys.com/is/image/MCY/11074772 ")</f>
        <v xml:space="preserve">http://slimages.macys.com/is/image/MCY/11074772 </v>
      </c>
    </row>
    <row r="48" spans="1:11" ht="24.75" x14ac:dyDescent="0.25">
      <c r="A48" s="4" t="s">
        <v>2214</v>
      </c>
      <c r="B48" s="2" t="s">
        <v>319</v>
      </c>
      <c r="C48" s="5">
        <v>44.63</v>
      </c>
      <c r="D48" s="3" t="s">
        <v>320</v>
      </c>
      <c r="E48" s="2" t="s">
        <v>26</v>
      </c>
      <c r="F48" s="6" t="s">
        <v>154</v>
      </c>
      <c r="G48" s="2" t="s">
        <v>194</v>
      </c>
      <c r="H48" s="2" t="s">
        <v>195</v>
      </c>
      <c r="I48" s="2" t="s">
        <v>19</v>
      </c>
      <c r="J48" s="2" t="s">
        <v>107</v>
      </c>
      <c r="K48" s="7" t="str">
        <f>HYPERLINK("http://slimages.macys.com/is/image/MCY/12794080 ")</f>
        <v xml:space="preserve">http://slimages.macys.com/is/image/MCY/12794080 </v>
      </c>
    </row>
    <row r="49" spans="1:11" ht="24.75" x14ac:dyDescent="0.25">
      <c r="A49" s="4" t="s">
        <v>2215</v>
      </c>
      <c r="B49" s="2" t="s">
        <v>325</v>
      </c>
      <c r="C49" s="5">
        <v>52.13</v>
      </c>
      <c r="D49" s="3" t="s">
        <v>326</v>
      </c>
      <c r="E49" s="2" t="s">
        <v>74</v>
      </c>
      <c r="F49" s="6"/>
      <c r="G49" s="2" t="s">
        <v>312</v>
      </c>
      <c r="H49" s="2" t="s">
        <v>307</v>
      </c>
      <c r="I49" s="2" t="s">
        <v>19</v>
      </c>
      <c r="J49" s="2" t="s">
        <v>327</v>
      </c>
      <c r="K49" s="7" t="str">
        <f>HYPERLINK("http://slimages.macys.com/is/image/MCY/9484121 ")</f>
        <v xml:space="preserve">http://slimages.macys.com/is/image/MCY/9484121 </v>
      </c>
    </row>
    <row r="50" spans="1:11" ht="36.75" x14ac:dyDescent="0.25">
      <c r="A50" s="4" t="s">
        <v>2216</v>
      </c>
      <c r="B50" s="2" t="s">
        <v>2217</v>
      </c>
      <c r="C50" s="5">
        <v>48.38</v>
      </c>
      <c r="D50" s="3" t="s">
        <v>2218</v>
      </c>
      <c r="E50" s="2" t="s">
        <v>331</v>
      </c>
      <c r="F50" s="6" t="s">
        <v>348</v>
      </c>
      <c r="G50" s="2" t="s">
        <v>349</v>
      </c>
      <c r="H50" s="2" t="s">
        <v>2219</v>
      </c>
      <c r="I50" s="2" t="s">
        <v>19</v>
      </c>
      <c r="J50" s="2" t="s">
        <v>274</v>
      </c>
      <c r="K50" s="7" t="str">
        <f>HYPERLINK("http://slimages.macys.com/is/image/MCY/12230757 ")</f>
        <v xml:space="preserve">http://slimages.macys.com/is/image/MCY/12230757 </v>
      </c>
    </row>
    <row r="51" spans="1:11" ht="24.75" x14ac:dyDescent="0.25">
      <c r="A51" s="4" t="s">
        <v>2220</v>
      </c>
      <c r="B51" s="2" t="s">
        <v>2221</v>
      </c>
      <c r="C51" s="5">
        <v>69.5</v>
      </c>
      <c r="D51" s="3">
        <v>100061334</v>
      </c>
      <c r="E51" s="2" t="s">
        <v>64</v>
      </c>
      <c r="F51" s="6" t="s">
        <v>27</v>
      </c>
      <c r="G51" s="2" t="s">
        <v>386</v>
      </c>
      <c r="H51" s="2" t="s">
        <v>207</v>
      </c>
      <c r="I51" s="2" t="s">
        <v>19</v>
      </c>
      <c r="J51" s="2" t="s">
        <v>338</v>
      </c>
      <c r="K51" s="7" t="str">
        <f>HYPERLINK("http://slimages.macys.com/is/image/MCY/12285299 ")</f>
        <v xml:space="preserve">http://slimages.macys.com/is/image/MCY/12285299 </v>
      </c>
    </row>
    <row r="52" spans="1:11" ht="36.75" x14ac:dyDescent="0.25">
      <c r="A52" s="4" t="s">
        <v>2222</v>
      </c>
      <c r="B52" s="2" t="s">
        <v>2223</v>
      </c>
      <c r="C52" s="5">
        <v>48.38</v>
      </c>
      <c r="D52" s="3" t="s">
        <v>2224</v>
      </c>
      <c r="E52" s="2" t="s">
        <v>26</v>
      </c>
      <c r="F52" s="6" t="s">
        <v>746</v>
      </c>
      <c r="G52" s="2" t="s">
        <v>349</v>
      </c>
      <c r="H52" s="2" t="s">
        <v>285</v>
      </c>
      <c r="I52" s="2" t="s">
        <v>19</v>
      </c>
      <c r="J52" s="2" t="s">
        <v>2225</v>
      </c>
      <c r="K52" s="7" t="str">
        <f>HYPERLINK("http://slimages.macys.com/is/image/MCY/12077740 ")</f>
        <v xml:space="preserve">http://slimages.macys.com/is/image/MCY/12077740 </v>
      </c>
    </row>
    <row r="53" spans="1:11" ht="24.75" x14ac:dyDescent="0.25">
      <c r="A53" s="4" t="s">
        <v>2226</v>
      </c>
      <c r="B53" s="2" t="s">
        <v>2227</v>
      </c>
      <c r="C53" s="5">
        <v>79.5</v>
      </c>
      <c r="D53" s="3">
        <v>100050172</v>
      </c>
      <c r="E53" s="2" t="s">
        <v>64</v>
      </c>
      <c r="F53" s="6" t="s">
        <v>22</v>
      </c>
      <c r="G53" s="2" t="s">
        <v>386</v>
      </c>
      <c r="H53" s="2" t="s">
        <v>391</v>
      </c>
      <c r="I53" s="2" t="s">
        <v>19</v>
      </c>
      <c r="J53" s="2" t="s">
        <v>392</v>
      </c>
      <c r="K53" s="7" t="str">
        <f>HYPERLINK("http://slimages.macys.com/is/image/MCY/12067831 ")</f>
        <v xml:space="preserve">http://slimages.macys.com/is/image/MCY/12067831 </v>
      </c>
    </row>
    <row r="54" spans="1:11" ht="24.75" x14ac:dyDescent="0.25">
      <c r="A54" s="4" t="s">
        <v>2228</v>
      </c>
      <c r="B54" s="2" t="s">
        <v>2229</v>
      </c>
      <c r="C54" s="5">
        <v>48.38</v>
      </c>
      <c r="D54" s="3" t="s">
        <v>2230</v>
      </c>
      <c r="E54" s="2" t="s">
        <v>64</v>
      </c>
      <c r="F54" s="6" t="s">
        <v>22</v>
      </c>
      <c r="G54" s="2" t="s">
        <v>213</v>
      </c>
      <c r="H54" s="2" t="s">
        <v>214</v>
      </c>
      <c r="I54" s="2" t="s">
        <v>19</v>
      </c>
      <c r="J54" s="2" t="s">
        <v>2231</v>
      </c>
      <c r="K54" s="7" t="str">
        <f>HYPERLINK("http://slimages.macys.com/is/image/MCY/11252995 ")</f>
        <v xml:space="preserve">http://slimages.macys.com/is/image/MCY/11252995 </v>
      </c>
    </row>
    <row r="55" spans="1:11" ht="24.75" x14ac:dyDescent="0.25">
      <c r="A55" s="4" t="s">
        <v>2232</v>
      </c>
      <c r="B55" s="2" t="s">
        <v>2233</v>
      </c>
      <c r="C55" s="5">
        <v>48.38</v>
      </c>
      <c r="D55" s="3" t="s">
        <v>2234</v>
      </c>
      <c r="E55" s="2" t="s">
        <v>15</v>
      </c>
      <c r="F55" s="6" t="s">
        <v>16</v>
      </c>
      <c r="G55" s="2" t="s">
        <v>213</v>
      </c>
      <c r="H55" s="2" t="s">
        <v>214</v>
      </c>
      <c r="I55" s="2" t="s">
        <v>19</v>
      </c>
      <c r="J55" s="2" t="s">
        <v>392</v>
      </c>
      <c r="K55" s="7" t="str">
        <f>HYPERLINK("http://slimages.macys.com/is/image/MCY/12402057 ")</f>
        <v xml:space="preserve">http://slimages.macys.com/is/image/MCY/12402057 </v>
      </c>
    </row>
    <row r="56" spans="1:11" ht="24.75" x14ac:dyDescent="0.25">
      <c r="A56" s="4" t="s">
        <v>2235</v>
      </c>
      <c r="B56" s="2" t="s">
        <v>2236</v>
      </c>
      <c r="C56" s="5">
        <v>48.38</v>
      </c>
      <c r="D56" s="3" t="s">
        <v>2237</v>
      </c>
      <c r="E56" s="2" t="s">
        <v>26</v>
      </c>
      <c r="F56" s="6" t="s">
        <v>200</v>
      </c>
      <c r="G56" s="2" t="s">
        <v>246</v>
      </c>
      <c r="H56" s="2" t="s">
        <v>189</v>
      </c>
      <c r="I56" s="2" t="s">
        <v>19</v>
      </c>
      <c r="J56" s="2" t="s">
        <v>241</v>
      </c>
      <c r="K56" s="7" t="str">
        <f>HYPERLINK("http://slimages.macys.com/is/image/MCY/11938495 ")</f>
        <v xml:space="preserve">http://slimages.macys.com/is/image/MCY/11938495 </v>
      </c>
    </row>
    <row r="57" spans="1:11" ht="24.75" x14ac:dyDescent="0.25">
      <c r="A57" s="4" t="s">
        <v>356</v>
      </c>
      <c r="B57" s="2" t="s">
        <v>355</v>
      </c>
      <c r="C57" s="5">
        <v>48</v>
      </c>
      <c r="D57" s="3">
        <v>100053387</v>
      </c>
      <c r="E57" s="2" t="s">
        <v>111</v>
      </c>
      <c r="F57" s="6" t="s">
        <v>65</v>
      </c>
      <c r="G57" s="2" t="s">
        <v>228</v>
      </c>
      <c r="H57" s="2" t="s">
        <v>229</v>
      </c>
      <c r="I57" s="2" t="s">
        <v>19</v>
      </c>
      <c r="J57" s="2" t="s">
        <v>338</v>
      </c>
      <c r="K57" s="7" t="str">
        <f t="shared" ref="K57:K64" si="0">HYPERLINK("http://slimages.macys.com/is/image/MCY/13829477 ")</f>
        <v xml:space="preserve">http://slimages.macys.com/is/image/MCY/13829477 </v>
      </c>
    </row>
    <row r="58" spans="1:11" ht="24.75" x14ac:dyDescent="0.25">
      <c r="A58" s="4" t="s">
        <v>354</v>
      </c>
      <c r="B58" s="2" t="s">
        <v>355</v>
      </c>
      <c r="C58" s="5">
        <v>48</v>
      </c>
      <c r="D58" s="3">
        <v>100053387</v>
      </c>
      <c r="E58" s="2" t="s">
        <v>111</v>
      </c>
      <c r="F58" s="6" t="s">
        <v>27</v>
      </c>
      <c r="G58" s="2" t="s">
        <v>228</v>
      </c>
      <c r="H58" s="2" t="s">
        <v>229</v>
      </c>
      <c r="I58" s="2" t="s">
        <v>19</v>
      </c>
      <c r="J58" s="2" t="s">
        <v>338</v>
      </c>
      <c r="K58" s="7" t="str">
        <f t="shared" si="0"/>
        <v xml:space="preserve">http://slimages.macys.com/is/image/MCY/13829477 </v>
      </c>
    </row>
    <row r="59" spans="1:11" ht="24.75" x14ac:dyDescent="0.25">
      <c r="A59" s="4" t="s">
        <v>2238</v>
      </c>
      <c r="B59" s="2" t="s">
        <v>355</v>
      </c>
      <c r="C59" s="5">
        <v>48</v>
      </c>
      <c r="D59" s="3">
        <v>100053387</v>
      </c>
      <c r="E59" s="2" t="s">
        <v>111</v>
      </c>
      <c r="F59" s="6" t="s">
        <v>22</v>
      </c>
      <c r="G59" s="2" t="s">
        <v>228</v>
      </c>
      <c r="H59" s="2" t="s">
        <v>229</v>
      </c>
      <c r="I59" s="2" t="s">
        <v>19</v>
      </c>
      <c r="J59" s="2" t="s">
        <v>338</v>
      </c>
      <c r="K59" s="7" t="str">
        <f t="shared" si="0"/>
        <v xml:space="preserve">http://slimages.macys.com/is/image/MCY/13829477 </v>
      </c>
    </row>
    <row r="60" spans="1:11" ht="24.75" x14ac:dyDescent="0.25">
      <c r="A60" s="4" t="s">
        <v>357</v>
      </c>
      <c r="B60" s="2" t="s">
        <v>355</v>
      </c>
      <c r="C60" s="5">
        <v>48</v>
      </c>
      <c r="D60" s="3">
        <v>100053387</v>
      </c>
      <c r="E60" s="2" t="s">
        <v>111</v>
      </c>
      <c r="F60" s="6" t="s">
        <v>16</v>
      </c>
      <c r="G60" s="2" t="s">
        <v>228</v>
      </c>
      <c r="H60" s="2" t="s">
        <v>229</v>
      </c>
      <c r="I60" s="2" t="s">
        <v>19</v>
      </c>
      <c r="J60" s="2" t="s">
        <v>338</v>
      </c>
      <c r="K60" s="7" t="str">
        <f t="shared" si="0"/>
        <v xml:space="preserve">http://slimages.macys.com/is/image/MCY/13829477 </v>
      </c>
    </row>
    <row r="61" spans="1:11" ht="24.75" x14ac:dyDescent="0.25">
      <c r="A61" s="4" t="s">
        <v>2239</v>
      </c>
      <c r="B61" s="2" t="s">
        <v>355</v>
      </c>
      <c r="C61" s="5">
        <v>48</v>
      </c>
      <c r="D61" s="3">
        <v>100053387</v>
      </c>
      <c r="E61" s="2" t="s">
        <v>111</v>
      </c>
      <c r="F61" s="6" t="s">
        <v>112</v>
      </c>
      <c r="G61" s="2" t="s">
        <v>228</v>
      </c>
      <c r="H61" s="2" t="s">
        <v>229</v>
      </c>
      <c r="I61" s="2" t="s">
        <v>19</v>
      </c>
      <c r="J61" s="2" t="s">
        <v>338</v>
      </c>
      <c r="K61" s="7" t="str">
        <f t="shared" si="0"/>
        <v xml:space="preserve">http://slimages.macys.com/is/image/MCY/13829477 </v>
      </c>
    </row>
    <row r="62" spans="1:11" ht="24.75" x14ac:dyDescent="0.25">
      <c r="A62" s="4" t="s">
        <v>2240</v>
      </c>
      <c r="B62" s="2" t="s">
        <v>355</v>
      </c>
      <c r="C62" s="5">
        <v>48</v>
      </c>
      <c r="D62" s="3">
        <v>100053387</v>
      </c>
      <c r="E62" s="2" t="s">
        <v>111</v>
      </c>
      <c r="F62" s="6" t="s">
        <v>141</v>
      </c>
      <c r="G62" s="2" t="s">
        <v>228</v>
      </c>
      <c r="H62" s="2" t="s">
        <v>229</v>
      </c>
      <c r="I62" s="2" t="s">
        <v>19</v>
      </c>
      <c r="J62" s="2" t="s">
        <v>338</v>
      </c>
      <c r="K62" s="7" t="str">
        <f t="shared" si="0"/>
        <v xml:space="preserve">http://slimages.macys.com/is/image/MCY/13829477 </v>
      </c>
    </row>
    <row r="63" spans="1:11" ht="24.75" x14ac:dyDescent="0.25">
      <c r="A63" s="4" t="s">
        <v>2241</v>
      </c>
      <c r="B63" s="2" t="s">
        <v>355</v>
      </c>
      <c r="C63" s="5">
        <v>48</v>
      </c>
      <c r="D63" s="3">
        <v>100053387</v>
      </c>
      <c r="E63" s="2" t="s">
        <v>111</v>
      </c>
      <c r="F63" s="6" t="s">
        <v>58</v>
      </c>
      <c r="G63" s="2" t="s">
        <v>228</v>
      </c>
      <c r="H63" s="2" t="s">
        <v>229</v>
      </c>
      <c r="I63" s="2" t="s">
        <v>19</v>
      </c>
      <c r="J63" s="2" t="s">
        <v>338</v>
      </c>
      <c r="K63" s="7" t="str">
        <f t="shared" si="0"/>
        <v xml:space="preserve">http://slimages.macys.com/is/image/MCY/13829477 </v>
      </c>
    </row>
    <row r="64" spans="1:11" ht="24.75" x14ac:dyDescent="0.25">
      <c r="A64" s="4" t="s">
        <v>2242</v>
      </c>
      <c r="B64" s="2" t="s">
        <v>355</v>
      </c>
      <c r="C64" s="5">
        <v>48</v>
      </c>
      <c r="D64" s="3">
        <v>100053387</v>
      </c>
      <c r="E64" s="2" t="s">
        <v>111</v>
      </c>
      <c r="F64" s="6" t="s">
        <v>106</v>
      </c>
      <c r="G64" s="2" t="s">
        <v>228</v>
      </c>
      <c r="H64" s="2" t="s">
        <v>229</v>
      </c>
      <c r="I64" s="2" t="s">
        <v>19</v>
      </c>
      <c r="J64" s="2" t="s">
        <v>338</v>
      </c>
      <c r="K64" s="7" t="str">
        <f t="shared" si="0"/>
        <v xml:space="preserve">http://slimages.macys.com/is/image/MCY/13829477 </v>
      </c>
    </row>
    <row r="65" spans="1:11" ht="24.75" x14ac:dyDescent="0.25">
      <c r="A65" s="4" t="s">
        <v>358</v>
      </c>
      <c r="B65" s="2" t="s">
        <v>359</v>
      </c>
      <c r="C65" s="5">
        <v>59.5</v>
      </c>
      <c r="D65" s="3" t="s">
        <v>360</v>
      </c>
      <c r="E65" s="2" t="s">
        <v>26</v>
      </c>
      <c r="F65" s="6" t="s">
        <v>205</v>
      </c>
      <c r="G65" s="2" t="s">
        <v>127</v>
      </c>
      <c r="H65" s="2" t="s">
        <v>128</v>
      </c>
      <c r="I65" s="2" t="s">
        <v>19</v>
      </c>
      <c r="J65" s="2" t="s">
        <v>361</v>
      </c>
      <c r="K65" s="7" t="str">
        <f>HYPERLINK("http://slimages.macys.com/is/image/MCY/10890960 ")</f>
        <v xml:space="preserve">http://slimages.macys.com/is/image/MCY/10890960 </v>
      </c>
    </row>
    <row r="66" spans="1:11" ht="24.75" x14ac:dyDescent="0.25">
      <c r="A66" s="4" t="s">
        <v>2243</v>
      </c>
      <c r="B66" s="2" t="s">
        <v>2244</v>
      </c>
      <c r="C66" s="5">
        <v>44.63</v>
      </c>
      <c r="D66" s="3" t="s">
        <v>2245</v>
      </c>
      <c r="E66" s="2" t="s">
        <v>125</v>
      </c>
      <c r="F66" s="6" t="s">
        <v>154</v>
      </c>
      <c r="G66" s="2" t="s">
        <v>194</v>
      </c>
      <c r="H66" s="2" t="s">
        <v>195</v>
      </c>
      <c r="I66" s="2" t="s">
        <v>19</v>
      </c>
      <c r="J66" s="2" t="s">
        <v>34</v>
      </c>
      <c r="K66" s="7" t="str">
        <f>HYPERLINK("http://slimages.macys.com/is/image/MCY/12756091 ")</f>
        <v xml:space="preserve">http://slimages.macys.com/is/image/MCY/12756091 </v>
      </c>
    </row>
    <row r="67" spans="1:11" ht="24.75" x14ac:dyDescent="0.25">
      <c r="A67" s="4" t="s">
        <v>2246</v>
      </c>
      <c r="B67" s="2" t="s">
        <v>2244</v>
      </c>
      <c r="C67" s="5">
        <v>44.63</v>
      </c>
      <c r="D67" s="3" t="s">
        <v>2245</v>
      </c>
      <c r="E67" s="2" t="s">
        <v>125</v>
      </c>
      <c r="F67" s="6" t="s">
        <v>181</v>
      </c>
      <c r="G67" s="2" t="s">
        <v>194</v>
      </c>
      <c r="H67" s="2" t="s">
        <v>195</v>
      </c>
      <c r="I67" s="2" t="s">
        <v>19</v>
      </c>
      <c r="J67" s="2" t="s">
        <v>34</v>
      </c>
      <c r="K67" s="7" t="str">
        <f>HYPERLINK("http://slimages.macys.com/is/image/MCY/12756091 ")</f>
        <v xml:space="preserve">http://slimages.macys.com/is/image/MCY/12756091 </v>
      </c>
    </row>
    <row r="68" spans="1:11" ht="36.75" x14ac:dyDescent="0.25">
      <c r="A68" s="4" t="s">
        <v>2247</v>
      </c>
      <c r="B68" s="2" t="s">
        <v>2248</v>
      </c>
      <c r="C68" s="5">
        <v>44.63</v>
      </c>
      <c r="D68" s="3" t="s">
        <v>2249</v>
      </c>
      <c r="E68" s="2" t="s">
        <v>38</v>
      </c>
      <c r="F68" s="6" t="s">
        <v>2250</v>
      </c>
      <c r="G68" s="2" t="s">
        <v>349</v>
      </c>
      <c r="H68" s="2" t="s">
        <v>408</v>
      </c>
      <c r="I68" s="2" t="s">
        <v>19</v>
      </c>
      <c r="J68" s="2" t="s">
        <v>500</v>
      </c>
      <c r="K68" s="7" t="str">
        <f>HYPERLINK("http://slimages.macys.com/is/image/MCY/9468308 ")</f>
        <v xml:space="preserve">http://slimages.macys.com/is/image/MCY/9468308 </v>
      </c>
    </row>
    <row r="69" spans="1:11" ht="24.75" x14ac:dyDescent="0.25">
      <c r="A69" s="4" t="s">
        <v>2251</v>
      </c>
      <c r="B69" s="2" t="s">
        <v>2252</v>
      </c>
      <c r="C69" s="5">
        <v>48</v>
      </c>
      <c r="D69" s="3">
        <v>100050014</v>
      </c>
      <c r="E69" s="2" t="s">
        <v>111</v>
      </c>
      <c r="F69" s="6" t="s">
        <v>22</v>
      </c>
      <c r="G69" s="2" t="s">
        <v>228</v>
      </c>
      <c r="H69" s="2" t="s">
        <v>229</v>
      </c>
      <c r="I69" s="2" t="s">
        <v>19</v>
      </c>
      <c r="J69" s="2" t="s">
        <v>387</v>
      </c>
      <c r="K69" s="7" t="str">
        <f>HYPERLINK("http://slimages.macys.com/is/image/MCY/11804490 ")</f>
        <v xml:space="preserve">http://slimages.macys.com/is/image/MCY/11804490 </v>
      </c>
    </row>
    <row r="70" spans="1:11" ht="24.75" x14ac:dyDescent="0.25">
      <c r="A70" s="4" t="s">
        <v>2253</v>
      </c>
      <c r="B70" s="2" t="s">
        <v>2254</v>
      </c>
      <c r="C70" s="5">
        <v>44.5</v>
      </c>
      <c r="D70" s="3" t="s">
        <v>2255</v>
      </c>
      <c r="E70" s="2" t="s">
        <v>15</v>
      </c>
      <c r="F70" s="6" t="s">
        <v>154</v>
      </c>
      <c r="G70" s="2" t="s">
        <v>194</v>
      </c>
      <c r="H70" s="2" t="s">
        <v>195</v>
      </c>
      <c r="I70" s="2" t="s">
        <v>19</v>
      </c>
      <c r="J70" s="2" t="s">
        <v>201</v>
      </c>
      <c r="K70" s="7" t="str">
        <f>HYPERLINK("http://slimages.macys.com/is/image/MCY/11804466 ")</f>
        <v xml:space="preserve">http://slimages.macys.com/is/image/MCY/11804466 </v>
      </c>
    </row>
    <row r="71" spans="1:11" ht="24.75" x14ac:dyDescent="0.25">
      <c r="A71" s="4" t="s">
        <v>2256</v>
      </c>
      <c r="B71" s="2" t="s">
        <v>374</v>
      </c>
      <c r="C71" s="5">
        <v>52.13</v>
      </c>
      <c r="D71" s="3" t="s">
        <v>375</v>
      </c>
      <c r="E71" s="2" t="s">
        <v>170</v>
      </c>
      <c r="F71" s="6" t="s">
        <v>27</v>
      </c>
      <c r="G71" s="2" t="s">
        <v>246</v>
      </c>
      <c r="H71" s="2" t="s">
        <v>189</v>
      </c>
      <c r="I71" s="2" t="s">
        <v>19</v>
      </c>
      <c r="J71" s="2" t="s">
        <v>361</v>
      </c>
      <c r="K71" s="7" t="str">
        <f>HYPERLINK("http://slimages.macys.com/is/image/MCY/10676355 ")</f>
        <v xml:space="preserve">http://slimages.macys.com/is/image/MCY/10676355 </v>
      </c>
    </row>
    <row r="72" spans="1:11" ht="36.75" x14ac:dyDescent="0.25">
      <c r="A72" s="4" t="s">
        <v>2257</v>
      </c>
      <c r="B72" s="2" t="s">
        <v>2258</v>
      </c>
      <c r="C72" s="5">
        <v>48.38</v>
      </c>
      <c r="D72" s="3" t="s">
        <v>2259</v>
      </c>
      <c r="E72" s="2" t="s">
        <v>170</v>
      </c>
      <c r="F72" s="6"/>
      <c r="G72" s="2" t="s">
        <v>349</v>
      </c>
      <c r="H72" s="2" t="s">
        <v>285</v>
      </c>
      <c r="I72" s="2" t="s">
        <v>19</v>
      </c>
      <c r="J72" s="2" t="s">
        <v>274</v>
      </c>
      <c r="K72" s="7" t="str">
        <f>HYPERLINK("http://slimages.macys.com/is/image/MCY/12077754 ")</f>
        <v xml:space="preserve">http://slimages.macys.com/is/image/MCY/12077754 </v>
      </c>
    </row>
    <row r="73" spans="1:11" ht="36.75" x14ac:dyDescent="0.25">
      <c r="A73" s="4" t="s">
        <v>410</v>
      </c>
      <c r="B73" s="2" t="s">
        <v>411</v>
      </c>
      <c r="C73" s="5">
        <v>44.63</v>
      </c>
      <c r="D73" s="3" t="s">
        <v>412</v>
      </c>
      <c r="E73" s="2" t="s">
        <v>413</v>
      </c>
      <c r="F73" s="6" t="s">
        <v>181</v>
      </c>
      <c r="G73" s="2" t="s">
        <v>284</v>
      </c>
      <c r="H73" s="2" t="s">
        <v>285</v>
      </c>
      <c r="I73" s="2" t="s">
        <v>19</v>
      </c>
      <c r="J73" s="2" t="s">
        <v>274</v>
      </c>
      <c r="K73" s="7" t="str">
        <f>HYPERLINK("http://slimages.macys.com/is/image/MCY/12237188 ")</f>
        <v xml:space="preserve">http://slimages.macys.com/is/image/MCY/12237188 </v>
      </c>
    </row>
    <row r="74" spans="1:11" ht="36.75" x14ac:dyDescent="0.25">
      <c r="A74" s="4" t="s">
        <v>2260</v>
      </c>
      <c r="B74" s="2" t="s">
        <v>411</v>
      </c>
      <c r="C74" s="5">
        <v>44.63</v>
      </c>
      <c r="D74" s="3" t="s">
        <v>412</v>
      </c>
      <c r="E74" s="2" t="s">
        <v>413</v>
      </c>
      <c r="F74" s="6" t="s">
        <v>154</v>
      </c>
      <c r="G74" s="2" t="s">
        <v>284</v>
      </c>
      <c r="H74" s="2" t="s">
        <v>285</v>
      </c>
      <c r="I74" s="2" t="s">
        <v>19</v>
      </c>
      <c r="J74" s="2" t="s">
        <v>274</v>
      </c>
      <c r="K74" s="7" t="str">
        <f>HYPERLINK("http://slimages.macys.com/is/image/MCY/12237188 ")</f>
        <v xml:space="preserve">http://slimages.macys.com/is/image/MCY/12237188 </v>
      </c>
    </row>
    <row r="75" spans="1:11" ht="24.75" x14ac:dyDescent="0.25">
      <c r="A75" s="4" t="s">
        <v>2261</v>
      </c>
      <c r="B75" s="2" t="s">
        <v>2262</v>
      </c>
      <c r="C75" s="5">
        <v>79.5</v>
      </c>
      <c r="D75" s="3" t="s">
        <v>2263</v>
      </c>
      <c r="E75" s="2" t="s">
        <v>26</v>
      </c>
      <c r="F75" s="6" t="s">
        <v>219</v>
      </c>
      <c r="G75" s="2" t="s">
        <v>206</v>
      </c>
      <c r="H75" s="2" t="s">
        <v>207</v>
      </c>
      <c r="I75" s="2" t="s">
        <v>19</v>
      </c>
      <c r="J75" s="2" t="s">
        <v>201</v>
      </c>
      <c r="K75" s="7" t="str">
        <f>HYPERLINK("http://slimages.macys.com/is/image/MCY/12852911 ")</f>
        <v xml:space="preserve">http://slimages.macys.com/is/image/MCY/12852911 </v>
      </c>
    </row>
    <row r="76" spans="1:11" x14ac:dyDescent="0.25">
      <c r="A76" s="4" t="s">
        <v>2264</v>
      </c>
      <c r="B76" s="2" t="s">
        <v>2265</v>
      </c>
      <c r="C76" s="5">
        <v>79.5</v>
      </c>
      <c r="D76" s="3">
        <v>100060510</v>
      </c>
      <c r="E76" s="2" t="s">
        <v>74</v>
      </c>
      <c r="F76" s="6" t="s">
        <v>2208</v>
      </c>
      <c r="G76" s="2" t="s">
        <v>386</v>
      </c>
      <c r="H76" s="2" t="s">
        <v>207</v>
      </c>
      <c r="I76" s="2" t="s">
        <v>19</v>
      </c>
      <c r="J76" s="2" t="s">
        <v>353</v>
      </c>
      <c r="K76" s="7" t="str">
        <f>HYPERLINK("http://slimages.macys.com/is/image/MCY/12792713 ")</f>
        <v xml:space="preserve">http://slimages.macys.com/is/image/MCY/12792713 </v>
      </c>
    </row>
    <row r="77" spans="1:11" x14ac:dyDescent="0.25">
      <c r="A77" s="4" t="s">
        <v>2266</v>
      </c>
      <c r="B77" s="2" t="s">
        <v>440</v>
      </c>
      <c r="C77" s="5">
        <v>41.65</v>
      </c>
      <c r="D77" s="3" t="s">
        <v>441</v>
      </c>
      <c r="E77" s="2" t="s">
        <v>26</v>
      </c>
      <c r="F77" s="6" t="s">
        <v>156</v>
      </c>
      <c r="G77" s="2" t="s">
        <v>182</v>
      </c>
      <c r="H77" s="2" t="s">
        <v>183</v>
      </c>
      <c r="I77" s="2" t="s">
        <v>19</v>
      </c>
      <c r="J77" s="2" t="s">
        <v>442</v>
      </c>
      <c r="K77" s="7" t="str">
        <f>HYPERLINK("http://slimages.macys.com/is/image/MCY/12671298 ")</f>
        <v xml:space="preserve">http://slimages.macys.com/is/image/MCY/12671298 </v>
      </c>
    </row>
    <row r="78" spans="1:11" ht="24.75" x14ac:dyDescent="0.25">
      <c r="A78" s="4" t="s">
        <v>2267</v>
      </c>
      <c r="B78" s="2" t="s">
        <v>2268</v>
      </c>
      <c r="C78" s="5">
        <v>44.63</v>
      </c>
      <c r="D78" s="3" t="s">
        <v>2269</v>
      </c>
      <c r="E78" s="2" t="s">
        <v>94</v>
      </c>
      <c r="F78" s="6" t="s">
        <v>348</v>
      </c>
      <c r="G78" s="2" t="s">
        <v>349</v>
      </c>
      <c r="H78" s="2" t="s">
        <v>285</v>
      </c>
      <c r="I78" s="2" t="s">
        <v>19</v>
      </c>
      <c r="J78" s="2" t="s">
        <v>160</v>
      </c>
      <c r="K78" s="7" t="str">
        <f>HYPERLINK("http://slimages.macys.com/is/image/MCY/13039993 ")</f>
        <v xml:space="preserve">http://slimages.macys.com/is/image/MCY/13039993 </v>
      </c>
    </row>
    <row r="79" spans="1:11" ht="24.75" x14ac:dyDescent="0.25">
      <c r="A79" s="4" t="s">
        <v>2270</v>
      </c>
      <c r="B79" s="2" t="s">
        <v>2271</v>
      </c>
      <c r="C79" s="5">
        <v>52.13</v>
      </c>
      <c r="D79" s="3" t="s">
        <v>2272</v>
      </c>
      <c r="E79" s="2" t="s">
        <v>26</v>
      </c>
      <c r="F79" s="6" t="s">
        <v>154</v>
      </c>
      <c r="G79" s="2" t="s">
        <v>246</v>
      </c>
      <c r="H79" s="2" t="s">
        <v>189</v>
      </c>
      <c r="I79" s="2" t="s">
        <v>19</v>
      </c>
      <c r="J79" s="2" t="s">
        <v>220</v>
      </c>
      <c r="K79" s="7" t="str">
        <f>HYPERLINK("http://slimages.macys.com/is/image/MCY/11746869 ")</f>
        <v xml:space="preserve">http://slimages.macys.com/is/image/MCY/11746869 </v>
      </c>
    </row>
    <row r="80" spans="1:11" ht="24.75" x14ac:dyDescent="0.25">
      <c r="A80" s="4" t="s">
        <v>2273</v>
      </c>
      <c r="B80" s="2" t="s">
        <v>453</v>
      </c>
      <c r="C80" s="5">
        <v>44.63</v>
      </c>
      <c r="D80" s="3" t="s">
        <v>454</v>
      </c>
      <c r="E80" s="2" t="s">
        <v>74</v>
      </c>
      <c r="F80" s="6" t="s">
        <v>746</v>
      </c>
      <c r="G80" s="2" t="s">
        <v>349</v>
      </c>
      <c r="H80" s="2" t="s">
        <v>285</v>
      </c>
      <c r="I80" s="2" t="s">
        <v>19</v>
      </c>
      <c r="J80" s="2" t="s">
        <v>323</v>
      </c>
      <c r="K80" s="7" t="str">
        <f>HYPERLINK("http://slimages.macys.com/is/image/MCY/12343071 ")</f>
        <v xml:space="preserve">http://slimages.macys.com/is/image/MCY/12343071 </v>
      </c>
    </row>
    <row r="81" spans="1:11" ht="24.75" x14ac:dyDescent="0.25">
      <c r="A81" s="4" t="s">
        <v>452</v>
      </c>
      <c r="B81" s="2" t="s">
        <v>453</v>
      </c>
      <c r="C81" s="5">
        <v>44.63</v>
      </c>
      <c r="D81" s="3" t="s">
        <v>454</v>
      </c>
      <c r="E81" s="2" t="s">
        <v>74</v>
      </c>
      <c r="F81" s="6" t="s">
        <v>348</v>
      </c>
      <c r="G81" s="2" t="s">
        <v>349</v>
      </c>
      <c r="H81" s="2" t="s">
        <v>285</v>
      </c>
      <c r="I81" s="2" t="s">
        <v>19</v>
      </c>
      <c r="J81" s="2" t="s">
        <v>323</v>
      </c>
      <c r="K81" s="7" t="str">
        <f>HYPERLINK("http://slimages.macys.com/is/image/MCY/12343071 ")</f>
        <v xml:space="preserve">http://slimages.macys.com/is/image/MCY/12343071 </v>
      </c>
    </row>
    <row r="82" spans="1:11" ht="24.75" x14ac:dyDescent="0.25">
      <c r="A82" s="4" t="s">
        <v>2274</v>
      </c>
      <c r="B82" s="2" t="s">
        <v>453</v>
      </c>
      <c r="C82" s="5">
        <v>44.63</v>
      </c>
      <c r="D82" s="3" t="s">
        <v>454</v>
      </c>
      <c r="E82" s="2" t="s">
        <v>74</v>
      </c>
      <c r="F82" s="6"/>
      <c r="G82" s="2" t="s">
        <v>349</v>
      </c>
      <c r="H82" s="2" t="s">
        <v>285</v>
      </c>
      <c r="I82" s="2" t="s">
        <v>19</v>
      </c>
      <c r="J82" s="2" t="s">
        <v>323</v>
      </c>
      <c r="K82" s="7" t="str">
        <f>HYPERLINK("http://slimages.macys.com/is/image/MCY/12343071 ")</f>
        <v xml:space="preserve">http://slimages.macys.com/is/image/MCY/12343071 </v>
      </c>
    </row>
    <row r="83" spans="1:11" ht="24.75" x14ac:dyDescent="0.25">
      <c r="A83" s="4" t="s">
        <v>2275</v>
      </c>
      <c r="B83" s="2" t="s">
        <v>456</v>
      </c>
      <c r="C83" s="5">
        <v>44.63</v>
      </c>
      <c r="D83" s="3" t="s">
        <v>457</v>
      </c>
      <c r="E83" s="2" t="s">
        <v>26</v>
      </c>
      <c r="F83" s="6" t="s">
        <v>2276</v>
      </c>
      <c r="G83" s="2" t="s">
        <v>349</v>
      </c>
      <c r="H83" s="2" t="s">
        <v>458</v>
      </c>
      <c r="I83" s="2" t="s">
        <v>19</v>
      </c>
      <c r="J83" s="2" t="s">
        <v>459</v>
      </c>
      <c r="K83" s="7" t="str">
        <f>HYPERLINK("http://slimages.macys.com/is/image/MCY/11030035 ")</f>
        <v xml:space="preserve">http://slimages.macys.com/is/image/MCY/11030035 </v>
      </c>
    </row>
    <row r="84" spans="1:11" ht="24.75" x14ac:dyDescent="0.25">
      <c r="A84" s="4" t="s">
        <v>455</v>
      </c>
      <c r="B84" s="2" t="s">
        <v>456</v>
      </c>
      <c r="C84" s="5">
        <v>44.63</v>
      </c>
      <c r="D84" s="3" t="s">
        <v>457</v>
      </c>
      <c r="E84" s="2" t="s">
        <v>26</v>
      </c>
      <c r="F84" s="6" t="s">
        <v>348</v>
      </c>
      <c r="G84" s="2" t="s">
        <v>349</v>
      </c>
      <c r="H84" s="2" t="s">
        <v>458</v>
      </c>
      <c r="I84" s="2" t="s">
        <v>19</v>
      </c>
      <c r="J84" s="2" t="s">
        <v>459</v>
      </c>
      <c r="K84" s="7" t="str">
        <f>HYPERLINK("http://slimages.macys.com/is/image/MCY/11030035 ")</f>
        <v xml:space="preserve">http://slimages.macys.com/is/image/MCY/11030035 </v>
      </c>
    </row>
    <row r="85" spans="1:11" ht="36.75" x14ac:dyDescent="0.25">
      <c r="A85" s="4" t="s">
        <v>2277</v>
      </c>
      <c r="B85" s="2" t="s">
        <v>2278</v>
      </c>
      <c r="C85" s="5">
        <v>44.5</v>
      </c>
      <c r="D85" s="3" t="s">
        <v>2279</v>
      </c>
      <c r="E85" s="2" t="s">
        <v>956</v>
      </c>
      <c r="F85" s="6" t="s">
        <v>181</v>
      </c>
      <c r="G85" s="2" t="s">
        <v>194</v>
      </c>
      <c r="H85" s="2" t="s">
        <v>195</v>
      </c>
      <c r="I85" s="2" t="s">
        <v>19</v>
      </c>
      <c r="J85" s="2" t="s">
        <v>2280</v>
      </c>
      <c r="K85" s="7" t="str">
        <f>HYPERLINK("http://slimages.macys.com/is/image/MCY/11804478 ")</f>
        <v xml:space="preserve">http://slimages.macys.com/is/image/MCY/11804478 </v>
      </c>
    </row>
    <row r="86" spans="1:11" ht="36.75" x14ac:dyDescent="0.25">
      <c r="A86" s="4" t="s">
        <v>2281</v>
      </c>
      <c r="B86" s="2" t="s">
        <v>2278</v>
      </c>
      <c r="C86" s="5">
        <v>44.5</v>
      </c>
      <c r="D86" s="3" t="s">
        <v>2279</v>
      </c>
      <c r="E86" s="2" t="s">
        <v>1788</v>
      </c>
      <c r="F86" s="6" t="s">
        <v>154</v>
      </c>
      <c r="G86" s="2" t="s">
        <v>194</v>
      </c>
      <c r="H86" s="2" t="s">
        <v>195</v>
      </c>
      <c r="I86" s="2" t="s">
        <v>19</v>
      </c>
      <c r="J86" s="2" t="s">
        <v>2280</v>
      </c>
      <c r="K86" s="7" t="str">
        <f>HYPERLINK("http://slimages.macys.com/is/image/MCY/11804478 ")</f>
        <v xml:space="preserve">http://slimages.macys.com/is/image/MCY/11804478 </v>
      </c>
    </row>
    <row r="87" spans="1:11" ht="24.75" x14ac:dyDescent="0.25">
      <c r="A87" s="4" t="s">
        <v>2282</v>
      </c>
      <c r="B87" s="2" t="s">
        <v>764</v>
      </c>
      <c r="C87" s="5">
        <v>44.63</v>
      </c>
      <c r="D87" s="3" t="s">
        <v>2283</v>
      </c>
      <c r="E87" s="2" t="s">
        <v>376</v>
      </c>
      <c r="F87" s="6" t="s">
        <v>2276</v>
      </c>
      <c r="G87" s="2" t="s">
        <v>349</v>
      </c>
      <c r="H87" s="2" t="s">
        <v>458</v>
      </c>
      <c r="I87" s="2" t="s">
        <v>19</v>
      </c>
      <c r="J87" s="2" t="s">
        <v>459</v>
      </c>
      <c r="K87" s="7" t="str">
        <f>HYPERLINK("http://slimages.macys.com/is/image/MCY/13041071 ")</f>
        <v xml:space="preserve">http://slimages.macys.com/is/image/MCY/13041071 </v>
      </c>
    </row>
    <row r="88" spans="1:11" ht="24.75" x14ac:dyDescent="0.25">
      <c r="A88" s="4" t="s">
        <v>2284</v>
      </c>
      <c r="B88" s="2" t="s">
        <v>492</v>
      </c>
      <c r="C88" s="5">
        <v>44.5</v>
      </c>
      <c r="D88" s="3" t="s">
        <v>493</v>
      </c>
      <c r="E88" s="2" t="s">
        <v>494</v>
      </c>
      <c r="F88" s="6" t="s">
        <v>181</v>
      </c>
      <c r="G88" s="2" t="s">
        <v>194</v>
      </c>
      <c r="H88" s="2" t="s">
        <v>195</v>
      </c>
      <c r="I88" s="2" t="s">
        <v>19</v>
      </c>
      <c r="J88" s="2" t="s">
        <v>495</v>
      </c>
      <c r="K88" s="7" t="str">
        <f>HYPERLINK("http://slimages.macys.com/is/image/MCY/11937857 ")</f>
        <v xml:space="preserve">http://slimages.macys.com/is/image/MCY/11937857 </v>
      </c>
    </row>
    <row r="89" spans="1:11" ht="24.75" x14ac:dyDescent="0.25">
      <c r="A89" s="4" t="s">
        <v>2285</v>
      </c>
      <c r="B89" s="2" t="s">
        <v>492</v>
      </c>
      <c r="C89" s="5">
        <v>44.5</v>
      </c>
      <c r="D89" s="3" t="s">
        <v>493</v>
      </c>
      <c r="E89" s="2" t="s">
        <v>494</v>
      </c>
      <c r="F89" s="6" t="s">
        <v>234</v>
      </c>
      <c r="G89" s="2" t="s">
        <v>194</v>
      </c>
      <c r="H89" s="2" t="s">
        <v>195</v>
      </c>
      <c r="I89" s="2" t="s">
        <v>19</v>
      </c>
      <c r="J89" s="2" t="s">
        <v>495</v>
      </c>
      <c r="K89" s="7" t="str">
        <f>HYPERLINK("http://slimages.macys.com/is/image/MCY/11937857 ")</f>
        <v xml:space="preserve">http://slimages.macys.com/is/image/MCY/11937857 </v>
      </c>
    </row>
    <row r="90" spans="1:11" ht="24.75" x14ac:dyDescent="0.25">
      <c r="A90" s="4" t="s">
        <v>2286</v>
      </c>
      <c r="B90" s="2" t="s">
        <v>2287</v>
      </c>
      <c r="C90" s="5">
        <v>44.63</v>
      </c>
      <c r="D90" s="3" t="s">
        <v>2288</v>
      </c>
      <c r="E90" s="2" t="s">
        <v>376</v>
      </c>
      <c r="F90" s="6"/>
      <c r="G90" s="2" t="s">
        <v>312</v>
      </c>
      <c r="H90" s="2" t="s">
        <v>195</v>
      </c>
      <c r="I90" s="2" t="s">
        <v>19</v>
      </c>
      <c r="J90" s="2" t="s">
        <v>201</v>
      </c>
      <c r="K90" s="7" t="str">
        <f>HYPERLINK("http://slimages.macys.com/is/image/MCY/9837149 ")</f>
        <v xml:space="preserve">http://slimages.macys.com/is/image/MCY/9837149 </v>
      </c>
    </row>
    <row r="91" spans="1:11" ht="24.75" x14ac:dyDescent="0.25">
      <c r="A91" s="4" t="s">
        <v>2289</v>
      </c>
      <c r="B91" s="2" t="s">
        <v>2290</v>
      </c>
      <c r="C91" s="5">
        <v>44.63</v>
      </c>
      <c r="D91" s="3" t="s">
        <v>2291</v>
      </c>
      <c r="E91" s="2" t="s">
        <v>26</v>
      </c>
      <c r="F91" s="6" t="s">
        <v>181</v>
      </c>
      <c r="G91" s="2" t="s">
        <v>284</v>
      </c>
      <c r="H91" s="2" t="s">
        <v>285</v>
      </c>
      <c r="I91" s="2" t="s">
        <v>19</v>
      </c>
      <c r="J91" s="2" t="s">
        <v>160</v>
      </c>
      <c r="K91" s="7" t="str">
        <f>HYPERLINK("http://slimages.macys.com/is/image/MCY/12271124 ")</f>
        <v xml:space="preserve">http://slimages.macys.com/is/image/MCY/12271124 </v>
      </c>
    </row>
    <row r="92" spans="1:11" ht="36.75" x14ac:dyDescent="0.25">
      <c r="A92" s="4" t="s">
        <v>2292</v>
      </c>
      <c r="B92" s="2" t="s">
        <v>502</v>
      </c>
      <c r="C92" s="5">
        <v>40.880000000000003</v>
      </c>
      <c r="D92" s="3">
        <v>100047671</v>
      </c>
      <c r="E92" s="2" t="s">
        <v>79</v>
      </c>
      <c r="F92" s="6" t="s">
        <v>112</v>
      </c>
      <c r="G92" s="2" t="s">
        <v>194</v>
      </c>
      <c r="H92" s="2" t="s">
        <v>503</v>
      </c>
      <c r="I92" s="2" t="s">
        <v>19</v>
      </c>
      <c r="J92" s="2" t="s">
        <v>504</v>
      </c>
      <c r="K92" s="7" t="str">
        <f>HYPERLINK("http://slimages.macys.com/is/image/MCY/11937756 ")</f>
        <v xml:space="preserve">http://slimages.macys.com/is/image/MCY/11937756 </v>
      </c>
    </row>
    <row r="93" spans="1:11" ht="36.75" x14ac:dyDescent="0.25">
      <c r="A93" s="4" t="s">
        <v>2293</v>
      </c>
      <c r="B93" s="2" t="s">
        <v>502</v>
      </c>
      <c r="C93" s="5">
        <v>40.880000000000003</v>
      </c>
      <c r="D93" s="3">
        <v>100047671</v>
      </c>
      <c r="E93" s="2" t="s">
        <v>79</v>
      </c>
      <c r="F93" s="6" t="s">
        <v>22</v>
      </c>
      <c r="G93" s="2" t="s">
        <v>194</v>
      </c>
      <c r="H93" s="2" t="s">
        <v>503</v>
      </c>
      <c r="I93" s="2" t="s">
        <v>19</v>
      </c>
      <c r="J93" s="2" t="s">
        <v>504</v>
      </c>
      <c r="K93" s="7" t="str">
        <f>HYPERLINK("http://slimages.macys.com/is/image/MCY/11937756 ")</f>
        <v xml:space="preserve">http://slimages.macys.com/is/image/MCY/11937756 </v>
      </c>
    </row>
    <row r="94" spans="1:11" ht="24.75" x14ac:dyDescent="0.25">
      <c r="A94" s="4" t="s">
        <v>2294</v>
      </c>
      <c r="B94" s="2" t="s">
        <v>2295</v>
      </c>
      <c r="C94" s="5">
        <v>40.880000000000003</v>
      </c>
      <c r="D94" s="3" t="s">
        <v>2296</v>
      </c>
      <c r="E94" s="2" t="s">
        <v>74</v>
      </c>
      <c r="F94" s="6" t="s">
        <v>234</v>
      </c>
      <c r="G94" s="2" t="s">
        <v>284</v>
      </c>
      <c r="H94" s="2" t="s">
        <v>408</v>
      </c>
      <c r="I94" s="2" t="s">
        <v>19</v>
      </c>
      <c r="J94" s="2" t="s">
        <v>409</v>
      </c>
      <c r="K94" s="7" t="str">
        <f>HYPERLINK("http://slimages.macys.com/is/image/MCY/12807933 ")</f>
        <v xml:space="preserve">http://slimages.macys.com/is/image/MCY/12807933 </v>
      </c>
    </row>
    <row r="95" spans="1:11" ht="36.75" x14ac:dyDescent="0.25">
      <c r="A95" s="4" t="s">
        <v>507</v>
      </c>
      <c r="B95" s="2" t="s">
        <v>502</v>
      </c>
      <c r="C95" s="5">
        <v>40.880000000000003</v>
      </c>
      <c r="D95" s="3">
        <v>100047671</v>
      </c>
      <c r="E95" s="2" t="s">
        <v>79</v>
      </c>
      <c r="F95" s="6" t="s">
        <v>16</v>
      </c>
      <c r="G95" s="2" t="s">
        <v>194</v>
      </c>
      <c r="H95" s="2" t="s">
        <v>503</v>
      </c>
      <c r="I95" s="2" t="s">
        <v>19</v>
      </c>
      <c r="J95" s="2" t="s">
        <v>504</v>
      </c>
      <c r="K95" s="7" t="str">
        <f>HYPERLINK("http://slimages.macys.com/is/image/MCY/11937756 ")</f>
        <v xml:space="preserve">http://slimages.macys.com/is/image/MCY/11937756 </v>
      </c>
    </row>
    <row r="96" spans="1:11" ht="36.75" x14ac:dyDescent="0.25">
      <c r="A96" s="4" t="s">
        <v>2297</v>
      </c>
      <c r="B96" s="2" t="s">
        <v>502</v>
      </c>
      <c r="C96" s="5">
        <v>40.880000000000003</v>
      </c>
      <c r="D96" s="3">
        <v>100047671</v>
      </c>
      <c r="E96" s="2" t="s">
        <v>506</v>
      </c>
      <c r="F96" s="6" t="s">
        <v>22</v>
      </c>
      <c r="G96" s="2" t="s">
        <v>194</v>
      </c>
      <c r="H96" s="2" t="s">
        <v>503</v>
      </c>
      <c r="I96" s="2" t="s">
        <v>19</v>
      </c>
      <c r="J96" s="2" t="s">
        <v>504</v>
      </c>
      <c r="K96" s="7" t="str">
        <f>HYPERLINK("http://slimages.macys.com/is/image/MCY/11937756 ")</f>
        <v xml:space="preserve">http://slimages.macys.com/is/image/MCY/11937756 </v>
      </c>
    </row>
    <row r="97" spans="1:11" ht="36.75" x14ac:dyDescent="0.25">
      <c r="A97" s="4" t="s">
        <v>2298</v>
      </c>
      <c r="B97" s="2" t="s">
        <v>502</v>
      </c>
      <c r="C97" s="5">
        <v>40.880000000000003</v>
      </c>
      <c r="D97" s="3">
        <v>100047671</v>
      </c>
      <c r="E97" s="2" t="s">
        <v>79</v>
      </c>
      <c r="F97" s="6" t="s">
        <v>27</v>
      </c>
      <c r="G97" s="2" t="s">
        <v>194</v>
      </c>
      <c r="H97" s="2" t="s">
        <v>503</v>
      </c>
      <c r="I97" s="2" t="s">
        <v>19</v>
      </c>
      <c r="J97" s="2" t="s">
        <v>504</v>
      </c>
      <c r="K97" s="7" t="str">
        <f>HYPERLINK("http://slimages.macys.com/is/image/MCY/11937756 ")</f>
        <v xml:space="preserve">http://slimages.macys.com/is/image/MCY/11937756 </v>
      </c>
    </row>
    <row r="98" spans="1:11" ht="24.75" x14ac:dyDescent="0.25">
      <c r="A98" s="4" t="s">
        <v>2299</v>
      </c>
      <c r="B98" s="2" t="s">
        <v>2300</v>
      </c>
      <c r="C98" s="5">
        <v>44.63</v>
      </c>
      <c r="D98" s="3" t="s">
        <v>2301</v>
      </c>
      <c r="E98" s="2" t="s">
        <v>15</v>
      </c>
      <c r="F98" s="6" t="s">
        <v>181</v>
      </c>
      <c r="G98" s="2" t="s">
        <v>194</v>
      </c>
      <c r="H98" s="2" t="s">
        <v>195</v>
      </c>
      <c r="I98" s="2" t="s">
        <v>19</v>
      </c>
      <c r="J98" s="2" t="s">
        <v>2302</v>
      </c>
      <c r="K98" s="7" t="str">
        <f>HYPERLINK("http://slimages.macys.com/is/image/MCY/12668044 ")</f>
        <v xml:space="preserve">http://slimages.macys.com/is/image/MCY/12668044 </v>
      </c>
    </row>
    <row r="99" spans="1:11" ht="24.75" x14ac:dyDescent="0.25">
      <c r="A99" s="4" t="s">
        <v>2303</v>
      </c>
      <c r="B99" s="2" t="s">
        <v>2300</v>
      </c>
      <c r="C99" s="5">
        <v>44.63</v>
      </c>
      <c r="D99" s="3" t="s">
        <v>2301</v>
      </c>
      <c r="E99" s="2" t="s">
        <v>15</v>
      </c>
      <c r="F99" s="6" t="s">
        <v>154</v>
      </c>
      <c r="G99" s="2" t="s">
        <v>194</v>
      </c>
      <c r="H99" s="2" t="s">
        <v>195</v>
      </c>
      <c r="I99" s="2" t="s">
        <v>19</v>
      </c>
      <c r="J99" s="2" t="s">
        <v>2302</v>
      </c>
      <c r="K99" s="7" t="str">
        <f>HYPERLINK("http://slimages.macys.com/is/image/MCY/12668044 ")</f>
        <v xml:space="preserve">http://slimages.macys.com/is/image/MCY/12668044 </v>
      </c>
    </row>
    <row r="100" spans="1:11" ht="24.75" x14ac:dyDescent="0.25">
      <c r="A100" s="4" t="s">
        <v>2304</v>
      </c>
      <c r="B100" s="2" t="s">
        <v>502</v>
      </c>
      <c r="C100" s="5">
        <v>39.5</v>
      </c>
      <c r="D100" s="3" t="s">
        <v>516</v>
      </c>
      <c r="E100" s="2" t="s">
        <v>79</v>
      </c>
      <c r="F100" s="6" t="s">
        <v>802</v>
      </c>
      <c r="G100" s="2" t="s">
        <v>312</v>
      </c>
      <c r="H100" s="2" t="s">
        <v>195</v>
      </c>
      <c r="I100" s="2" t="s">
        <v>19</v>
      </c>
      <c r="J100" s="2" t="s">
        <v>517</v>
      </c>
      <c r="K100" s="7" t="str">
        <f>HYPERLINK("http://slimages.macys.com/is/image/MCY/12272685 ")</f>
        <v xml:space="preserve">http://slimages.macys.com/is/image/MCY/12272685 </v>
      </c>
    </row>
    <row r="101" spans="1:11" ht="24.75" x14ac:dyDescent="0.25">
      <c r="A101" s="4" t="s">
        <v>2305</v>
      </c>
      <c r="B101" s="2" t="s">
        <v>502</v>
      </c>
      <c r="C101" s="5">
        <v>39.5</v>
      </c>
      <c r="D101" s="3" t="s">
        <v>516</v>
      </c>
      <c r="E101" s="2" t="s">
        <v>79</v>
      </c>
      <c r="F101" s="6" t="s">
        <v>934</v>
      </c>
      <c r="G101" s="2" t="s">
        <v>312</v>
      </c>
      <c r="H101" s="2" t="s">
        <v>195</v>
      </c>
      <c r="I101" s="2" t="s">
        <v>19</v>
      </c>
      <c r="J101" s="2" t="s">
        <v>517</v>
      </c>
      <c r="K101" s="7" t="str">
        <f>HYPERLINK("http://slimages.macys.com/is/image/MCY/12272685 ")</f>
        <v xml:space="preserve">http://slimages.macys.com/is/image/MCY/12272685 </v>
      </c>
    </row>
    <row r="102" spans="1:11" ht="36.75" x14ac:dyDescent="0.25">
      <c r="A102" s="4" t="s">
        <v>2306</v>
      </c>
      <c r="B102" s="2" t="s">
        <v>519</v>
      </c>
      <c r="C102" s="5">
        <v>44.63</v>
      </c>
      <c r="D102" s="3" t="s">
        <v>520</v>
      </c>
      <c r="E102" s="2" t="s">
        <v>26</v>
      </c>
      <c r="F102" s="6" t="s">
        <v>181</v>
      </c>
      <c r="G102" s="2" t="s">
        <v>194</v>
      </c>
      <c r="H102" s="2" t="s">
        <v>195</v>
      </c>
      <c r="I102" s="2" t="s">
        <v>19</v>
      </c>
      <c r="J102" s="2" t="s">
        <v>521</v>
      </c>
      <c r="K102" s="7" t="str">
        <f>HYPERLINK("http://slimages.macys.com/is/image/MCY/12279320 ")</f>
        <v xml:space="preserve">http://slimages.macys.com/is/image/MCY/12279320 </v>
      </c>
    </row>
    <row r="103" spans="1:11" ht="36.75" x14ac:dyDescent="0.25">
      <c r="A103" s="4" t="s">
        <v>2307</v>
      </c>
      <c r="B103" s="2" t="s">
        <v>519</v>
      </c>
      <c r="C103" s="5">
        <v>44.63</v>
      </c>
      <c r="D103" s="3" t="s">
        <v>520</v>
      </c>
      <c r="E103" s="2" t="s">
        <v>125</v>
      </c>
      <c r="F103" s="6" t="s">
        <v>156</v>
      </c>
      <c r="G103" s="2" t="s">
        <v>194</v>
      </c>
      <c r="H103" s="2" t="s">
        <v>195</v>
      </c>
      <c r="I103" s="2" t="s">
        <v>19</v>
      </c>
      <c r="J103" s="2" t="s">
        <v>521</v>
      </c>
      <c r="K103" s="7" t="str">
        <f>HYPERLINK("http://slimages.macys.com/is/image/MCY/12279320 ")</f>
        <v xml:space="preserve">http://slimages.macys.com/is/image/MCY/12279320 </v>
      </c>
    </row>
    <row r="104" spans="1:11" ht="36.75" x14ac:dyDescent="0.25">
      <c r="A104" s="4" t="s">
        <v>2308</v>
      </c>
      <c r="B104" s="2" t="s">
        <v>519</v>
      </c>
      <c r="C104" s="5">
        <v>44.63</v>
      </c>
      <c r="D104" s="3" t="s">
        <v>520</v>
      </c>
      <c r="E104" s="2" t="s">
        <v>74</v>
      </c>
      <c r="F104" s="6" t="s">
        <v>154</v>
      </c>
      <c r="G104" s="2" t="s">
        <v>194</v>
      </c>
      <c r="H104" s="2" t="s">
        <v>195</v>
      </c>
      <c r="I104" s="2" t="s">
        <v>19</v>
      </c>
      <c r="J104" s="2" t="s">
        <v>521</v>
      </c>
      <c r="K104" s="7" t="str">
        <f>HYPERLINK("http://slimages.macys.com/is/image/MCY/12279325 ")</f>
        <v xml:space="preserve">http://slimages.macys.com/is/image/MCY/12279325 </v>
      </c>
    </row>
    <row r="105" spans="1:11" ht="36.75" x14ac:dyDescent="0.25">
      <c r="A105" s="4" t="s">
        <v>2309</v>
      </c>
      <c r="B105" s="2" t="s">
        <v>519</v>
      </c>
      <c r="C105" s="5">
        <v>44.63</v>
      </c>
      <c r="D105" s="3" t="s">
        <v>520</v>
      </c>
      <c r="E105" s="2" t="s">
        <v>15</v>
      </c>
      <c r="F105" s="6" t="s">
        <v>181</v>
      </c>
      <c r="G105" s="2" t="s">
        <v>194</v>
      </c>
      <c r="H105" s="2" t="s">
        <v>195</v>
      </c>
      <c r="I105" s="2" t="s">
        <v>19</v>
      </c>
      <c r="J105" s="2" t="s">
        <v>521</v>
      </c>
      <c r="K105" s="7" t="str">
        <f>HYPERLINK("http://slimages.macys.com/is/image/MCY/12279320 ")</f>
        <v xml:space="preserve">http://slimages.macys.com/is/image/MCY/12279320 </v>
      </c>
    </row>
    <row r="106" spans="1:11" ht="36.75" x14ac:dyDescent="0.25">
      <c r="A106" s="4" t="s">
        <v>2310</v>
      </c>
      <c r="B106" s="2" t="s">
        <v>519</v>
      </c>
      <c r="C106" s="5">
        <v>44.63</v>
      </c>
      <c r="D106" s="3" t="s">
        <v>520</v>
      </c>
      <c r="E106" s="2" t="s">
        <v>15</v>
      </c>
      <c r="F106" s="6" t="s">
        <v>154</v>
      </c>
      <c r="G106" s="2" t="s">
        <v>194</v>
      </c>
      <c r="H106" s="2" t="s">
        <v>195</v>
      </c>
      <c r="I106" s="2" t="s">
        <v>19</v>
      </c>
      <c r="J106" s="2" t="s">
        <v>521</v>
      </c>
      <c r="K106" s="7" t="str">
        <f>HYPERLINK("http://slimages.macys.com/is/image/MCY/12279320 ")</f>
        <v xml:space="preserve">http://slimages.macys.com/is/image/MCY/12279320 </v>
      </c>
    </row>
    <row r="107" spans="1:11" ht="36.75" x14ac:dyDescent="0.25">
      <c r="A107" s="4" t="s">
        <v>2311</v>
      </c>
      <c r="B107" s="2" t="s">
        <v>519</v>
      </c>
      <c r="C107" s="5">
        <v>44.63</v>
      </c>
      <c r="D107" s="3" t="s">
        <v>520</v>
      </c>
      <c r="E107" s="2" t="s">
        <v>26</v>
      </c>
      <c r="F107" s="6" t="s">
        <v>156</v>
      </c>
      <c r="G107" s="2" t="s">
        <v>194</v>
      </c>
      <c r="H107" s="2" t="s">
        <v>195</v>
      </c>
      <c r="I107" s="2" t="s">
        <v>19</v>
      </c>
      <c r="J107" s="2" t="s">
        <v>521</v>
      </c>
      <c r="K107" s="7" t="str">
        <f>HYPERLINK("http://slimages.macys.com/is/image/MCY/12279320 ")</f>
        <v xml:space="preserve">http://slimages.macys.com/is/image/MCY/12279320 </v>
      </c>
    </row>
    <row r="108" spans="1:11" ht="24.75" x14ac:dyDescent="0.25">
      <c r="A108" s="4" t="s">
        <v>2312</v>
      </c>
      <c r="B108" s="2" t="s">
        <v>2313</v>
      </c>
      <c r="C108" s="5">
        <v>52.13</v>
      </c>
      <c r="D108" s="3" t="s">
        <v>2314</v>
      </c>
      <c r="E108" s="2" t="s">
        <v>572</v>
      </c>
      <c r="F108" s="6" t="s">
        <v>106</v>
      </c>
      <c r="G108" s="2" t="s">
        <v>246</v>
      </c>
      <c r="H108" s="2" t="s">
        <v>487</v>
      </c>
      <c r="I108" s="2" t="s">
        <v>19</v>
      </c>
      <c r="J108" s="2" t="s">
        <v>409</v>
      </c>
      <c r="K108" s="7" t="str">
        <f>HYPERLINK("http://slimages.macys.com/is/image/MCY/11806897 ")</f>
        <v xml:space="preserve">http://slimages.macys.com/is/image/MCY/11806897 </v>
      </c>
    </row>
    <row r="109" spans="1:11" ht="24.75" x14ac:dyDescent="0.25">
      <c r="A109" s="4" t="s">
        <v>2315</v>
      </c>
      <c r="B109" s="2" t="s">
        <v>530</v>
      </c>
      <c r="C109" s="5">
        <v>44.63</v>
      </c>
      <c r="D109" s="3" t="s">
        <v>531</v>
      </c>
      <c r="E109" s="2" t="s">
        <v>532</v>
      </c>
      <c r="F109" s="6" t="s">
        <v>234</v>
      </c>
      <c r="G109" s="2" t="s">
        <v>194</v>
      </c>
      <c r="H109" s="2" t="s">
        <v>195</v>
      </c>
      <c r="I109" s="2" t="s">
        <v>19</v>
      </c>
      <c r="J109" s="2" t="s">
        <v>533</v>
      </c>
      <c r="K109" s="7" t="str">
        <f>HYPERLINK("http://slimages.macys.com/is/image/MCY/12316730 ")</f>
        <v xml:space="preserve">http://slimages.macys.com/is/image/MCY/12316730 </v>
      </c>
    </row>
    <row r="110" spans="1:11" ht="24.75" x14ac:dyDescent="0.25">
      <c r="A110" s="4" t="s">
        <v>2316</v>
      </c>
      <c r="B110" s="2" t="s">
        <v>2317</v>
      </c>
      <c r="C110" s="5">
        <v>44.5</v>
      </c>
      <c r="D110" s="3" t="s">
        <v>2318</v>
      </c>
      <c r="E110" s="2" t="s">
        <v>15</v>
      </c>
      <c r="F110" s="6"/>
      <c r="G110" s="2" t="s">
        <v>312</v>
      </c>
      <c r="H110" s="2" t="s">
        <v>195</v>
      </c>
      <c r="I110" s="2" t="s">
        <v>19</v>
      </c>
      <c r="J110" s="2" t="s">
        <v>2319</v>
      </c>
      <c r="K110" s="7" t="str">
        <f>HYPERLINK("http://slimages.macys.com/is/image/MCY/13785779 ")</f>
        <v xml:space="preserve">http://slimages.macys.com/is/image/MCY/13785779 </v>
      </c>
    </row>
    <row r="111" spans="1:11" ht="24.75" x14ac:dyDescent="0.25">
      <c r="A111" s="4" t="s">
        <v>2320</v>
      </c>
      <c r="B111" s="2" t="s">
        <v>530</v>
      </c>
      <c r="C111" s="5">
        <v>44.63</v>
      </c>
      <c r="D111" s="3" t="s">
        <v>531</v>
      </c>
      <c r="E111" s="2" t="s">
        <v>532</v>
      </c>
      <c r="F111" s="6" t="s">
        <v>154</v>
      </c>
      <c r="G111" s="2" t="s">
        <v>194</v>
      </c>
      <c r="H111" s="2" t="s">
        <v>195</v>
      </c>
      <c r="I111" s="2" t="s">
        <v>19</v>
      </c>
      <c r="J111" s="2" t="s">
        <v>533</v>
      </c>
      <c r="K111" s="7" t="str">
        <f>HYPERLINK("http://slimages.macys.com/is/image/MCY/12316730 ")</f>
        <v xml:space="preserve">http://slimages.macys.com/is/image/MCY/12316730 </v>
      </c>
    </row>
    <row r="112" spans="1:11" ht="24.75" x14ac:dyDescent="0.25">
      <c r="A112" s="4" t="s">
        <v>2321</v>
      </c>
      <c r="B112" s="2" t="s">
        <v>2322</v>
      </c>
      <c r="C112" s="5">
        <v>44.63</v>
      </c>
      <c r="D112" s="3">
        <v>100062919</v>
      </c>
      <c r="E112" s="2" t="s">
        <v>74</v>
      </c>
      <c r="F112" s="6" t="s">
        <v>181</v>
      </c>
      <c r="G112" s="2" t="s">
        <v>194</v>
      </c>
      <c r="H112" s="2" t="s">
        <v>195</v>
      </c>
      <c r="I112" s="2" t="s">
        <v>19</v>
      </c>
      <c r="J112" s="2" t="s">
        <v>610</v>
      </c>
      <c r="K112" s="7" t="str">
        <f>HYPERLINK("http://slimages.macys.com/is/image/MCY/11937752 ")</f>
        <v xml:space="preserve">http://slimages.macys.com/is/image/MCY/11937752 </v>
      </c>
    </row>
    <row r="113" spans="1:11" ht="24.75" x14ac:dyDescent="0.25">
      <c r="A113" s="4" t="s">
        <v>2323</v>
      </c>
      <c r="B113" s="2" t="s">
        <v>548</v>
      </c>
      <c r="C113" s="5">
        <v>44.5</v>
      </c>
      <c r="D113" s="3" t="s">
        <v>549</v>
      </c>
      <c r="E113" s="2" t="s">
        <v>252</v>
      </c>
      <c r="F113" s="6" t="s">
        <v>156</v>
      </c>
      <c r="G113" s="2" t="s">
        <v>194</v>
      </c>
      <c r="H113" s="2" t="s">
        <v>195</v>
      </c>
      <c r="I113" s="2" t="s">
        <v>19</v>
      </c>
      <c r="J113" s="2" t="s">
        <v>34</v>
      </c>
      <c r="K113" s="7" t="str">
        <f>HYPERLINK("http://slimages.macys.com/is/image/MCY/11527016 ")</f>
        <v xml:space="preserve">http://slimages.macys.com/is/image/MCY/11527016 </v>
      </c>
    </row>
    <row r="114" spans="1:11" ht="24.75" x14ac:dyDescent="0.25">
      <c r="A114" s="4" t="s">
        <v>2324</v>
      </c>
      <c r="B114" s="2" t="s">
        <v>548</v>
      </c>
      <c r="C114" s="5">
        <v>44.5</v>
      </c>
      <c r="D114" s="3" t="s">
        <v>549</v>
      </c>
      <c r="E114" s="2" t="s">
        <v>252</v>
      </c>
      <c r="F114" s="6" t="s">
        <v>154</v>
      </c>
      <c r="G114" s="2" t="s">
        <v>194</v>
      </c>
      <c r="H114" s="2" t="s">
        <v>195</v>
      </c>
      <c r="I114" s="2" t="s">
        <v>19</v>
      </c>
      <c r="J114" s="2" t="s">
        <v>34</v>
      </c>
      <c r="K114" s="7" t="str">
        <f>HYPERLINK("http://slimages.macys.com/is/image/MCY/11527016 ")</f>
        <v xml:space="preserve">http://slimages.macys.com/is/image/MCY/11527016 </v>
      </c>
    </row>
    <row r="115" spans="1:11" ht="24.75" x14ac:dyDescent="0.25">
      <c r="A115" s="4" t="s">
        <v>2325</v>
      </c>
      <c r="B115" s="2" t="s">
        <v>548</v>
      </c>
      <c r="C115" s="5">
        <v>44.5</v>
      </c>
      <c r="D115" s="3" t="s">
        <v>549</v>
      </c>
      <c r="E115" s="2" t="s">
        <v>252</v>
      </c>
      <c r="F115" s="6" t="s">
        <v>234</v>
      </c>
      <c r="G115" s="2" t="s">
        <v>194</v>
      </c>
      <c r="H115" s="2" t="s">
        <v>195</v>
      </c>
      <c r="I115" s="2" t="s">
        <v>19</v>
      </c>
      <c r="J115" s="2" t="s">
        <v>34</v>
      </c>
      <c r="K115" s="7" t="str">
        <f>HYPERLINK("http://slimages.macys.com/is/image/MCY/11527016 ")</f>
        <v xml:space="preserve">http://slimages.macys.com/is/image/MCY/11527016 </v>
      </c>
    </row>
    <row r="116" spans="1:11" ht="48.75" x14ac:dyDescent="0.25">
      <c r="A116" s="4" t="s">
        <v>2326</v>
      </c>
      <c r="B116" s="2" t="s">
        <v>551</v>
      </c>
      <c r="C116" s="5">
        <v>48</v>
      </c>
      <c r="D116" s="3">
        <v>100053418</v>
      </c>
      <c r="E116" s="2" t="s">
        <v>26</v>
      </c>
      <c r="F116" s="6" t="s">
        <v>156</v>
      </c>
      <c r="G116" s="2" t="s">
        <v>228</v>
      </c>
      <c r="H116" s="2" t="s">
        <v>229</v>
      </c>
      <c r="I116" s="2" t="s">
        <v>19</v>
      </c>
      <c r="J116" s="2" t="s">
        <v>552</v>
      </c>
      <c r="K116" s="7" t="str">
        <f>HYPERLINK("http://slimages.macys.com/is/image/MCY/12158587 ")</f>
        <v xml:space="preserve">http://slimages.macys.com/is/image/MCY/12158587 </v>
      </c>
    </row>
    <row r="117" spans="1:11" ht="24.75" x14ac:dyDescent="0.25">
      <c r="A117" s="4" t="s">
        <v>2327</v>
      </c>
      <c r="B117" s="2" t="s">
        <v>2328</v>
      </c>
      <c r="C117" s="5">
        <v>44.63</v>
      </c>
      <c r="D117" s="3" t="s">
        <v>2329</v>
      </c>
      <c r="E117" s="2" t="s">
        <v>199</v>
      </c>
      <c r="F117" s="6"/>
      <c r="G117" s="2" t="s">
        <v>312</v>
      </c>
      <c r="H117" s="2" t="s">
        <v>503</v>
      </c>
      <c r="I117" s="2" t="s">
        <v>19</v>
      </c>
      <c r="J117" s="2" t="s">
        <v>537</v>
      </c>
      <c r="K117" s="7" t="str">
        <f>HYPERLINK("http://slimages.macys.com/is/image/MCY/12279791 ")</f>
        <v xml:space="preserve">http://slimages.macys.com/is/image/MCY/12279791 </v>
      </c>
    </row>
    <row r="118" spans="1:11" ht="24.75" x14ac:dyDescent="0.25">
      <c r="A118" s="4" t="s">
        <v>559</v>
      </c>
      <c r="B118" s="2" t="s">
        <v>560</v>
      </c>
      <c r="C118" s="5">
        <v>39.5</v>
      </c>
      <c r="D118" s="3" t="s">
        <v>561</v>
      </c>
      <c r="E118" s="2" t="s">
        <v>562</v>
      </c>
      <c r="F118" s="6" t="s">
        <v>154</v>
      </c>
      <c r="G118" s="2" t="s">
        <v>194</v>
      </c>
      <c r="H118" s="2" t="s">
        <v>195</v>
      </c>
      <c r="I118" s="2" t="s">
        <v>19</v>
      </c>
      <c r="J118" s="2" t="s">
        <v>151</v>
      </c>
      <c r="K118" s="7" t="str">
        <f>HYPERLINK("http://slimages.macys.com/is/image/MCY/11937879 ")</f>
        <v xml:space="preserve">http://slimages.macys.com/is/image/MCY/11937879 </v>
      </c>
    </row>
    <row r="119" spans="1:11" ht="24.75" x14ac:dyDescent="0.25">
      <c r="A119" s="4" t="s">
        <v>2330</v>
      </c>
      <c r="B119" s="2" t="s">
        <v>2331</v>
      </c>
      <c r="C119" s="5">
        <v>52.13</v>
      </c>
      <c r="D119" s="3" t="s">
        <v>2332</v>
      </c>
      <c r="E119" s="2" t="s">
        <v>170</v>
      </c>
      <c r="F119" s="6"/>
      <c r="G119" s="2" t="s">
        <v>188</v>
      </c>
      <c r="H119" s="2" t="s">
        <v>189</v>
      </c>
      <c r="I119" s="2" t="s">
        <v>19</v>
      </c>
      <c r="J119" s="2" t="s">
        <v>1480</v>
      </c>
      <c r="K119" s="7" t="str">
        <f>HYPERLINK("http://slimages.macys.com/is/image/MCY/11883922 ")</f>
        <v xml:space="preserve">http://slimages.macys.com/is/image/MCY/11883922 </v>
      </c>
    </row>
    <row r="120" spans="1:11" ht="24.75" x14ac:dyDescent="0.25">
      <c r="A120" s="4" t="s">
        <v>2333</v>
      </c>
      <c r="B120" s="2" t="s">
        <v>2334</v>
      </c>
      <c r="C120" s="5">
        <v>59.5</v>
      </c>
      <c r="D120" s="3" t="s">
        <v>2335</v>
      </c>
      <c r="E120" s="2" t="s">
        <v>74</v>
      </c>
      <c r="F120" s="6" t="s">
        <v>187</v>
      </c>
      <c r="G120" s="2" t="s">
        <v>127</v>
      </c>
      <c r="H120" s="2" t="s">
        <v>128</v>
      </c>
      <c r="I120" s="2" t="s">
        <v>19</v>
      </c>
      <c r="J120" s="2" t="s">
        <v>160</v>
      </c>
      <c r="K120" s="7" t="str">
        <f>HYPERLINK("http://slimages.macys.com/is/image/MCY/9599934 ")</f>
        <v xml:space="preserve">http://slimages.macys.com/is/image/MCY/9599934 </v>
      </c>
    </row>
    <row r="121" spans="1:11" ht="24.75" x14ac:dyDescent="0.25">
      <c r="A121" s="4" t="s">
        <v>2336</v>
      </c>
      <c r="B121" s="2" t="s">
        <v>570</v>
      </c>
      <c r="C121" s="5">
        <v>40.880000000000003</v>
      </c>
      <c r="D121" s="3" t="s">
        <v>571</v>
      </c>
      <c r="E121" s="2" t="s">
        <v>572</v>
      </c>
      <c r="F121" s="6" t="s">
        <v>22</v>
      </c>
      <c r="G121" s="2" t="s">
        <v>246</v>
      </c>
      <c r="H121" s="2" t="s">
        <v>525</v>
      </c>
      <c r="I121" s="2" t="s">
        <v>19</v>
      </c>
      <c r="J121" s="2" t="s">
        <v>338</v>
      </c>
      <c r="K121" s="7" t="str">
        <f>HYPERLINK("http://slimages.macys.com/is/image/MCY/11746434 ")</f>
        <v xml:space="preserve">http://slimages.macys.com/is/image/MCY/11746434 </v>
      </c>
    </row>
    <row r="122" spans="1:11" ht="36.75" x14ac:dyDescent="0.25">
      <c r="A122" s="4" t="s">
        <v>2337</v>
      </c>
      <c r="B122" s="2" t="s">
        <v>614</v>
      </c>
      <c r="C122" s="5">
        <v>40.880000000000003</v>
      </c>
      <c r="D122" s="3" t="s">
        <v>615</v>
      </c>
      <c r="E122" s="2" t="s">
        <v>26</v>
      </c>
      <c r="F122" s="6" t="s">
        <v>200</v>
      </c>
      <c r="G122" s="2" t="s">
        <v>284</v>
      </c>
      <c r="H122" s="2" t="s">
        <v>408</v>
      </c>
      <c r="I122" s="2" t="s">
        <v>19</v>
      </c>
      <c r="J122" s="2" t="s">
        <v>500</v>
      </c>
      <c r="K122" s="7" t="str">
        <f>HYPERLINK("http://slimages.macys.com/is/image/MCY/12672193 ")</f>
        <v xml:space="preserve">http://slimages.macys.com/is/image/MCY/12672193 </v>
      </c>
    </row>
    <row r="123" spans="1:11" ht="36.75" x14ac:dyDescent="0.25">
      <c r="A123" s="4" t="s">
        <v>2338</v>
      </c>
      <c r="B123" s="2" t="s">
        <v>614</v>
      </c>
      <c r="C123" s="5">
        <v>40.880000000000003</v>
      </c>
      <c r="D123" s="3" t="s">
        <v>615</v>
      </c>
      <c r="E123" s="2" t="s">
        <v>26</v>
      </c>
      <c r="F123" s="6" t="s">
        <v>154</v>
      </c>
      <c r="G123" s="2" t="s">
        <v>284</v>
      </c>
      <c r="H123" s="2" t="s">
        <v>408</v>
      </c>
      <c r="I123" s="2" t="s">
        <v>19</v>
      </c>
      <c r="J123" s="2" t="s">
        <v>500</v>
      </c>
      <c r="K123" s="7" t="str">
        <f>HYPERLINK("http://slimages.macys.com/is/image/MCY/12672193 ")</f>
        <v xml:space="preserve">http://slimages.macys.com/is/image/MCY/12672193 </v>
      </c>
    </row>
    <row r="124" spans="1:11" ht="24.75" x14ac:dyDescent="0.25">
      <c r="A124" s="4" t="s">
        <v>2339</v>
      </c>
      <c r="B124" s="2" t="s">
        <v>2340</v>
      </c>
      <c r="C124" s="5">
        <v>37.130000000000003</v>
      </c>
      <c r="D124" s="3" t="s">
        <v>2341</v>
      </c>
      <c r="E124" s="2" t="s">
        <v>111</v>
      </c>
      <c r="F124" s="6" t="s">
        <v>154</v>
      </c>
      <c r="G124" s="2" t="s">
        <v>194</v>
      </c>
      <c r="H124" s="2" t="s">
        <v>195</v>
      </c>
      <c r="I124" s="2" t="s">
        <v>19</v>
      </c>
      <c r="J124" s="2" t="s">
        <v>201</v>
      </c>
      <c r="K124" s="7" t="str">
        <f>HYPERLINK("http://slimages.macys.com/is/image/MCY/11804343 ")</f>
        <v xml:space="preserve">http://slimages.macys.com/is/image/MCY/11804343 </v>
      </c>
    </row>
    <row r="125" spans="1:11" ht="48.75" x14ac:dyDescent="0.25">
      <c r="A125" s="4" t="s">
        <v>2342</v>
      </c>
      <c r="B125" s="2" t="s">
        <v>599</v>
      </c>
      <c r="C125" s="5">
        <v>37.130000000000003</v>
      </c>
      <c r="D125" s="3" t="s">
        <v>600</v>
      </c>
      <c r="E125" s="2" t="s">
        <v>125</v>
      </c>
      <c r="F125" s="6" t="s">
        <v>181</v>
      </c>
      <c r="G125" s="2" t="s">
        <v>194</v>
      </c>
      <c r="H125" s="2" t="s">
        <v>195</v>
      </c>
      <c r="I125" s="2" t="s">
        <v>19</v>
      </c>
      <c r="J125" s="2" t="s">
        <v>601</v>
      </c>
      <c r="K125" s="7" t="str">
        <f>HYPERLINK("http://slimages.macys.com/is/image/MCY/12734338 ")</f>
        <v xml:space="preserve">http://slimages.macys.com/is/image/MCY/12734338 </v>
      </c>
    </row>
    <row r="126" spans="1:11" ht="24.75" x14ac:dyDescent="0.25">
      <c r="A126" s="4" t="s">
        <v>605</v>
      </c>
      <c r="B126" s="2" t="s">
        <v>606</v>
      </c>
      <c r="C126" s="5">
        <v>37.130000000000003</v>
      </c>
      <c r="D126" s="3">
        <v>100054430</v>
      </c>
      <c r="E126" s="2" t="s">
        <v>15</v>
      </c>
      <c r="F126" s="6" t="s">
        <v>22</v>
      </c>
      <c r="G126" s="2" t="s">
        <v>194</v>
      </c>
      <c r="H126" s="2" t="s">
        <v>503</v>
      </c>
      <c r="I126" s="2" t="s">
        <v>19</v>
      </c>
      <c r="J126" s="2" t="s">
        <v>607</v>
      </c>
      <c r="K126" s="7" t="str">
        <f>HYPERLINK("http://slimages.macys.com/is/image/MCY/12063680 ")</f>
        <v xml:space="preserve">http://slimages.macys.com/is/image/MCY/12063680 </v>
      </c>
    </row>
    <row r="127" spans="1:11" ht="24.75" x14ac:dyDescent="0.25">
      <c r="A127" s="4" t="s">
        <v>2343</v>
      </c>
      <c r="B127" s="2" t="s">
        <v>606</v>
      </c>
      <c r="C127" s="5">
        <v>37.130000000000003</v>
      </c>
      <c r="D127" s="3">
        <v>100054430</v>
      </c>
      <c r="E127" s="2" t="s">
        <v>15</v>
      </c>
      <c r="F127" s="6" t="s">
        <v>58</v>
      </c>
      <c r="G127" s="2" t="s">
        <v>194</v>
      </c>
      <c r="H127" s="2" t="s">
        <v>503</v>
      </c>
      <c r="I127" s="2" t="s">
        <v>19</v>
      </c>
      <c r="J127" s="2" t="s">
        <v>607</v>
      </c>
      <c r="K127" s="7" t="str">
        <f>HYPERLINK("http://slimages.macys.com/is/image/MCY/12063680 ")</f>
        <v xml:space="preserve">http://slimages.macys.com/is/image/MCY/12063680 </v>
      </c>
    </row>
    <row r="128" spans="1:11" ht="24.75" x14ac:dyDescent="0.25">
      <c r="A128" s="4" t="s">
        <v>2344</v>
      </c>
      <c r="B128" s="2" t="s">
        <v>606</v>
      </c>
      <c r="C128" s="5">
        <v>37.130000000000003</v>
      </c>
      <c r="D128" s="3">
        <v>100054430</v>
      </c>
      <c r="E128" s="2" t="s">
        <v>15</v>
      </c>
      <c r="F128" s="6" t="s">
        <v>27</v>
      </c>
      <c r="G128" s="2" t="s">
        <v>194</v>
      </c>
      <c r="H128" s="2" t="s">
        <v>503</v>
      </c>
      <c r="I128" s="2" t="s">
        <v>19</v>
      </c>
      <c r="J128" s="2" t="s">
        <v>607</v>
      </c>
      <c r="K128" s="7" t="str">
        <f>HYPERLINK("http://slimages.macys.com/is/image/MCY/12063680 ")</f>
        <v xml:space="preserve">http://slimages.macys.com/is/image/MCY/12063680 </v>
      </c>
    </row>
    <row r="129" spans="1:11" ht="24.75" x14ac:dyDescent="0.25">
      <c r="A129" s="4" t="s">
        <v>2345</v>
      </c>
      <c r="B129" s="2" t="s">
        <v>606</v>
      </c>
      <c r="C129" s="5">
        <v>37.130000000000003</v>
      </c>
      <c r="D129" s="3">
        <v>100054430</v>
      </c>
      <c r="E129" s="2" t="s">
        <v>15</v>
      </c>
      <c r="F129" s="6" t="s">
        <v>65</v>
      </c>
      <c r="G129" s="2" t="s">
        <v>194</v>
      </c>
      <c r="H129" s="2" t="s">
        <v>503</v>
      </c>
      <c r="I129" s="2" t="s">
        <v>19</v>
      </c>
      <c r="J129" s="2" t="s">
        <v>607</v>
      </c>
      <c r="K129" s="7" t="str">
        <f>HYPERLINK("http://slimages.macys.com/is/image/MCY/12063680 ")</f>
        <v xml:space="preserve">http://slimages.macys.com/is/image/MCY/12063680 </v>
      </c>
    </row>
    <row r="130" spans="1:11" ht="24.75" x14ac:dyDescent="0.25">
      <c r="A130" s="4" t="s">
        <v>2346</v>
      </c>
      <c r="B130" s="2" t="s">
        <v>606</v>
      </c>
      <c r="C130" s="5">
        <v>37.130000000000003</v>
      </c>
      <c r="D130" s="3">
        <v>100054430</v>
      </c>
      <c r="E130" s="2" t="s">
        <v>15</v>
      </c>
      <c r="F130" s="6" t="s">
        <v>112</v>
      </c>
      <c r="G130" s="2" t="s">
        <v>194</v>
      </c>
      <c r="H130" s="2" t="s">
        <v>503</v>
      </c>
      <c r="I130" s="2" t="s">
        <v>19</v>
      </c>
      <c r="J130" s="2" t="s">
        <v>607</v>
      </c>
      <c r="K130" s="7" t="str">
        <f>HYPERLINK("http://slimages.macys.com/is/image/MCY/12063680 ")</f>
        <v xml:space="preserve">http://slimages.macys.com/is/image/MCY/12063680 </v>
      </c>
    </row>
    <row r="131" spans="1:11" ht="24.75" x14ac:dyDescent="0.25">
      <c r="A131" s="4" t="s">
        <v>2347</v>
      </c>
      <c r="B131" s="2" t="s">
        <v>612</v>
      </c>
      <c r="C131" s="5">
        <v>37.130000000000003</v>
      </c>
      <c r="D131" s="3">
        <v>100042366</v>
      </c>
      <c r="E131" s="2" t="s">
        <v>111</v>
      </c>
      <c r="F131" s="6" t="s">
        <v>156</v>
      </c>
      <c r="G131" s="2" t="s">
        <v>194</v>
      </c>
      <c r="H131" s="2" t="s">
        <v>195</v>
      </c>
      <c r="I131" s="2" t="s">
        <v>19</v>
      </c>
      <c r="J131" s="2" t="s">
        <v>546</v>
      </c>
      <c r="K131" s="7" t="str">
        <f>HYPERLINK("http://slimages.macys.com/is/image/MCY/12734278 ")</f>
        <v xml:space="preserve">http://slimages.macys.com/is/image/MCY/12734278 </v>
      </c>
    </row>
    <row r="132" spans="1:11" ht="24.75" x14ac:dyDescent="0.25">
      <c r="A132" s="4" t="s">
        <v>2348</v>
      </c>
      <c r="B132" s="2" t="s">
        <v>612</v>
      </c>
      <c r="C132" s="5">
        <v>37.130000000000003</v>
      </c>
      <c r="D132" s="3">
        <v>100042366</v>
      </c>
      <c r="E132" s="2" t="s">
        <v>111</v>
      </c>
      <c r="F132" s="6" t="s">
        <v>181</v>
      </c>
      <c r="G132" s="2" t="s">
        <v>194</v>
      </c>
      <c r="H132" s="2" t="s">
        <v>195</v>
      </c>
      <c r="I132" s="2" t="s">
        <v>19</v>
      </c>
      <c r="J132" s="2" t="s">
        <v>546</v>
      </c>
      <c r="K132" s="7" t="str">
        <f>HYPERLINK("http://slimages.macys.com/is/image/MCY/12734278 ")</f>
        <v xml:space="preserve">http://slimages.macys.com/is/image/MCY/12734278 </v>
      </c>
    </row>
    <row r="133" spans="1:11" ht="24.75" x14ac:dyDescent="0.25">
      <c r="A133" s="4" t="s">
        <v>619</v>
      </c>
      <c r="B133" s="2" t="s">
        <v>617</v>
      </c>
      <c r="C133" s="5">
        <v>44.63</v>
      </c>
      <c r="D133" s="3">
        <v>100054444</v>
      </c>
      <c r="E133" s="2" t="s">
        <v>111</v>
      </c>
      <c r="F133" s="6" t="s">
        <v>234</v>
      </c>
      <c r="G133" s="2" t="s">
        <v>194</v>
      </c>
      <c r="H133" s="2" t="s">
        <v>195</v>
      </c>
      <c r="I133" s="2" t="s">
        <v>19</v>
      </c>
      <c r="J133" s="2" t="s">
        <v>546</v>
      </c>
      <c r="K133" s="7" t="str">
        <f>HYPERLINK("http://slimages.macys.com/is/image/MCY/12279794 ")</f>
        <v xml:space="preserve">http://slimages.macys.com/is/image/MCY/12279794 </v>
      </c>
    </row>
    <row r="134" spans="1:11" ht="24.75" x14ac:dyDescent="0.25">
      <c r="A134" s="4" t="s">
        <v>620</v>
      </c>
      <c r="B134" s="2" t="s">
        <v>617</v>
      </c>
      <c r="C134" s="5">
        <v>44.63</v>
      </c>
      <c r="D134" s="3">
        <v>100054444</v>
      </c>
      <c r="E134" s="2" t="s">
        <v>111</v>
      </c>
      <c r="F134" s="6" t="s">
        <v>181</v>
      </c>
      <c r="G134" s="2" t="s">
        <v>194</v>
      </c>
      <c r="H134" s="2" t="s">
        <v>195</v>
      </c>
      <c r="I134" s="2" t="s">
        <v>19</v>
      </c>
      <c r="J134" s="2" t="s">
        <v>546</v>
      </c>
      <c r="K134" s="7" t="str">
        <f>HYPERLINK("http://slimages.macys.com/is/image/MCY/12279794 ")</f>
        <v xml:space="preserve">http://slimages.macys.com/is/image/MCY/12279794 </v>
      </c>
    </row>
    <row r="135" spans="1:11" ht="24.75" x14ac:dyDescent="0.25">
      <c r="A135" s="4" t="s">
        <v>616</v>
      </c>
      <c r="B135" s="2" t="s">
        <v>617</v>
      </c>
      <c r="C135" s="5">
        <v>44.63</v>
      </c>
      <c r="D135" s="3">
        <v>100054444</v>
      </c>
      <c r="E135" s="2" t="s">
        <v>111</v>
      </c>
      <c r="F135" s="6" t="s">
        <v>154</v>
      </c>
      <c r="G135" s="2" t="s">
        <v>194</v>
      </c>
      <c r="H135" s="2" t="s">
        <v>195</v>
      </c>
      <c r="I135" s="2" t="s">
        <v>19</v>
      </c>
      <c r="J135" s="2" t="s">
        <v>546</v>
      </c>
      <c r="K135" s="7" t="str">
        <f>HYPERLINK("http://slimages.macys.com/is/image/MCY/12279794 ")</f>
        <v xml:space="preserve">http://slimages.macys.com/is/image/MCY/12279794 </v>
      </c>
    </row>
    <row r="136" spans="1:11" ht="24.75" x14ac:dyDescent="0.25">
      <c r="A136" s="4" t="s">
        <v>618</v>
      </c>
      <c r="B136" s="2" t="s">
        <v>617</v>
      </c>
      <c r="C136" s="5">
        <v>44.63</v>
      </c>
      <c r="D136" s="3">
        <v>100054444</v>
      </c>
      <c r="E136" s="2" t="s">
        <v>111</v>
      </c>
      <c r="F136" s="6" t="s">
        <v>200</v>
      </c>
      <c r="G136" s="2" t="s">
        <v>194</v>
      </c>
      <c r="H136" s="2" t="s">
        <v>195</v>
      </c>
      <c r="I136" s="2" t="s">
        <v>19</v>
      </c>
      <c r="J136" s="2" t="s">
        <v>546</v>
      </c>
      <c r="K136" s="7" t="str">
        <f>HYPERLINK("http://slimages.macys.com/is/image/MCY/12279794 ")</f>
        <v xml:space="preserve">http://slimages.macys.com/is/image/MCY/12279794 </v>
      </c>
    </row>
    <row r="137" spans="1:11" ht="24.75" x14ac:dyDescent="0.25">
      <c r="A137" s="4" t="s">
        <v>2349</v>
      </c>
      <c r="B137" s="2" t="s">
        <v>630</v>
      </c>
      <c r="C137" s="5">
        <v>44.63</v>
      </c>
      <c r="D137" s="3" t="s">
        <v>631</v>
      </c>
      <c r="E137" s="2" t="s">
        <v>376</v>
      </c>
      <c r="F137" s="6"/>
      <c r="G137" s="2" t="s">
        <v>632</v>
      </c>
      <c r="H137" s="2" t="s">
        <v>285</v>
      </c>
      <c r="I137" s="2" t="s">
        <v>19</v>
      </c>
      <c r="J137" s="2" t="s">
        <v>633</v>
      </c>
      <c r="K137" s="7" t="str">
        <f>HYPERLINK("http://slimages.macys.com/is/image/MCY/9449926 ")</f>
        <v xml:space="preserve">http://slimages.macys.com/is/image/MCY/9449926 </v>
      </c>
    </row>
    <row r="138" spans="1:11" ht="24.75" x14ac:dyDescent="0.25">
      <c r="A138" s="4" t="s">
        <v>2350</v>
      </c>
      <c r="B138" s="2" t="s">
        <v>2351</v>
      </c>
      <c r="C138" s="5">
        <v>37.130000000000003</v>
      </c>
      <c r="D138" s="3" t="s">
        <v>2352</v>
      </c>
      <c r="E138" s="2" t="s">
        <v>417</v>
      </c>
      <c r="F138" s="6" t="s">
        <v>181</v>
      </c>
      <c r="G138" s="2" t="s">
        <v>194</v>
      </c>
      <c r="H138" s="2" t="s">
        <v>195</v>
      </c>
      <c r="I138" s="2" t="s">
        <v>19</v>
      </c>
      <c r="J138" s="2" t="s">
        <v>438</v>
      </c>
      <c r="K138" s="7" t="str">
        <f>HYPERLINK("http://slimages.macys.com/is/image/MCY/12667948 ")</f>
        <v xml:space="preserve">http://slimages.macys.com/is/image/MCY/12667948 </v>
      </c>
    </row>
    <row r="139" spans="1:11" ht="24.75" x14ac:dyDescent="0.25">
      <c r="A139" s="4" t="s">
        <v>2353</v>
      </c>
      <c r="B139" s="2" t="s">
        <v>2354</v>
      </c>
      <c r="C139" s="5">
        <v>44.63</v>
      </c>
      <c r="D139" s="3" t="s">
        <v>2355</v>
      </c>
      <c r="E139" s="2" t="s">
        <v>26</v>
      </c>
      <c r="F139" s="6" t="s">
        <v>205</v>
      </c>
      <c r="G139" s="2" t="s">
        <v>188</v>
      </c>
      <c r="H139" s="2" t="s">
        <v>214</v>
      </c>
      <c r="I139" s="2" t="s">
        <v>19</v>
      </c>
      <c r="J139" s="2" t="s">
        <v>253</v>
      </c>
      <c r="K139" s="7" t="str">
        <f>HYPERLINK("http://slimages.macys.com/is/image/MCY/9910745 ")</f>
        <v xml:space="preserve">http://slimages.macys.com/is/image/MCY/9910745 </v>
      </c>
    </row>
    <row r="140" spans="1:11" ht="24.75" x14ac:dyDescent="0.25">
      <c r="A140" s="4" t="s">
        <v>2356</v>
      </c>
      <c r="B140" s="2" t="s">
        <v>2357</v>
      </c>
      <c r="C140" s="5">
        <v>40.880000000000003</v>
      </c>
      <c r="D140" s="3" t="s">
        <v>2358</v>
      </c>
      <c r="E140" s="2" t="s">
        <v>15</v>
      </c>
      <c r="F140" s="6" t="s">
        <v>181</v>
      </c>
      <c r="G140" s="2" t="s">
        <v>284</v>
      </c>
      <c r="H140" s="2" t="s">
        <v>285</v>
      </c>
      <c r="I140" s="2" t="s">
        <v>19</v>
      </c>
      <c r="J140" s="2" t="s">
        <v>160</v>
      </c>
      <c r="K140" s="7" t="str">
        <f>HYPERLINK("http://slimages.macys.com/is/image/MCY/12671658 ")</f>
        <v xml:space="preserve">http://slimages.macys.com/is/image/MCY/12671658 </v>
      </c>
    </row>
    <row r="141" spans="1:11" ht="24.75" x14ac:dyDescent="0.25">
      <c r="A141" s="4" t="s">
        <v>2359</v>
      </c>
      <c r="B141" s="2" t="s">
        <v>2360</v>
      </c>
      <c r="C141" s="5">
        <v>37.130000000000003</v>
      </c>
      <c r="D141" s="3" t="s">
        <v>2361</v>
      </c>
      <c r="E141" s="2" t="s">
        <v>64</v>
      </c>
      <c r="F141" s="6"/>
      <c r="G141" s="2" t="s">
        <v>632</v>
      </c>
      <c r="H141" s="2" t="s">
        <v>408</v>
      </c>
      <c r="I141" s="2" t="s">
        <v>19</v>
      </c>
      <c r="J141" s="2" t="s">
        <v>409</v>
      </c>
      <c r="K141" s="7" t="str">
        <f>HYPERLINK("http://slimages.macys.com/is/image/MCY/12711658 ")</f>
        <v xml:space="preserve">http://slimages.macys.com/is/image/MCY/12711658 </v>
      </c>
    </row>
    <row r="142" spans="1:11" ht="24.75" x14ac:dyDescent="0.25">
      <c r="A142" s="4" t="s">
        <v>2362</v>
      </c>
      <c r="B142" s="2" t="s">
        <v>2363</v>
      </c>
      <c r="C142" s="5">
        <v>44.5</v>
      </c>
      <c r="D142" s="3" t="s">
        <v>2364</v>
      </c>
      <c r="E142" s="2" t="s">
        <v>64</v>
      </c>
      <c r="F142" s="6" t="s">
        <v>200</v>
      </c>
      <c r="G142" s="2" t="s">
        <v>246</v>
      </c>
      <c r="H142" s="2" t="s">
        <v>189</v>
      </c>
      <c r="I142" s="2" t="s">
        <v>19</v>
      </c>
      <c r="J142" s="2" t="s">
        <v>160</v>
      </c>
      <c r="K142" s="7" t="str">
        <f>HYPERLINK("http://slimages.macys.com/is/image/MCY/11470258 ")</f>
        <v xml:space="preserve">http://slimages.macys.com/is/image/MCY/11470258 </v>
      </c>
    </row>
    <row r="143" spans="1:11" ht="24.75" x14ac:dyDescent="0.25">
      <c r="A143" s="4" t="s">
        <v>645</v>
      </c>
      <c r="B143" s="2" t="s">
        <v>646</v>
      </c>
      <c r="C143" s="5">
        <v>39.5</v>
      </c>
      <c r="D143" s="3" t="s">
        <v>647</v>
      </c>
      <c r="E143" s="2" t="s">
        <v>33</v>
      </c>
      <c r="F143" s="6" t="s">
        <v>234</v>
      </c>
      <c r="G143" s="2" t="s">
        <v>194</v>
      </c>
      <c r="H143" s="2" t="s">
        <v>195</v>
      </c>
      <c r="I143" s="2" t="s">
        <v>19</v>
      </c>
      <c r="J143" s="2" t="s">
        <v>648</v>
      </c>
      <c r="K143" s="7" t="str">
        <f>HYPERLINK("http://slimages.macys.com/is/image/MCY/12404939 ")</f>
        <v xml:space="preserve">http://slimages.macys.com/is/image/MCY/12404939 </v>
      </c>
    </row>
    <row r="144" spans="1:11" ht="24.75" x14ac:dyDescent="0.25">
      <c r="A144" s="4" t="s">
        <v>2365</v>
      </c>
      <c r="B144" s="2" t="s">
        <v>2366</v>
      </c>
      <c r="C144" s="5">
        <v>37.130000000000003</v>
      </c>
      <c r="D144" s="3" t="s">
        <v>2367</v>
      </c>
      <c r="E144" s="2" t="s">
        <v>680</v>
      </c>
      <c r="F144" s="6" t="s">
        <v>22</v>
      </c>
      <c r="G144" s="2" t="s">
        <v>246</v>
      </c>
      <c r="H144" s="2" t="s">
        <v>525</v>
      </c>
      <c r="I144" s="2" t="s">
        <v>19</v>
      </c>
      <c r="J144" s="2" t="s">
        <v>338</v>
      </c>
      <c r="K144" s="7" t="str">
        <f>HYPERLINK("http://slimages.macys.com/is/image/MCY/11746357 ")</f>
        <v xml:space="preserve">http://slimages.macys.com/is/image/MCY/11746357 </v>
      </c>
    </row>
    <row r="145" spans="1:11" ht="24.75" x14ac:dyDescent="0.25">
      <c r="A145" s="4" t="s">
        <v>2368</v>
      </c>
      <c r="B145" s="2" t="s">
        <v>2366</v>
      </c>
      <c r="C145" s="5">
        <v>37.130000000000003</v>
      </c>
      <c r="D145" s="3" t="s">
        <v>2367</v>
      </c>
      <c r="E145" s="2" t="s">
        <v>26</v>
      </c>
      <c r="F145" s="6" t="s">
        <v>16</v>
      </c>
      <c r="G145" s="2" t="s">
        <v>246</v>
      </c>
      <c r="H145" s="2" t="s">
        <v>525</v>
      </c>
      <c r="I145" s="2" t="s">
        <v>19</v>
      </c>
      <c r="J145" s="2" t="s">
        <v>338</v>
      </c>
      <c r="K145" s="7" t="str">
        <f>HYPERLINK("http://slimages.macys.com/is/image/MCY/11746357 ")</f>
        <v xml:space="preserve">http://slimages.macys.com/is/image/MCY/11746357 </v>
      </c>
    </row>
    <row r="146" spans="1:11" ht="24.75" x14ac:dyDescent="0.25">
      <c r="A146" s="4" t="s">
        <v>2369</v>
      </c>
      <c r="B146" s="2" t="s">
        <v>2366</v>
      </c>
      <c r="C146" s="5">
        <v>37.130000000000003</v>
      </c>
      <c r="D146" s="3" t="s">
        <v>2367</v>
      </c>
      <c r="E146" s="2" t="s">
        <v>74</v>
      </c>
      <c r="F146" s="6" t="s">
        <v>22</v>
      </c>
      <c r="G146" s="2" t="s">
        <v>246</v>
      </c>
      <c r="H146" s="2" t="s">
        <v>525</v>
      </c>
      <c r="I146" s="2" t="s">
        <v>19</v>
      </c>
      <c r="J146" s="2" t="s">
        <v>338</v>
      </c>
      <c r="K146" s="7" t="str">
        <f>HYPERLINK("http://slimages.macys.com/is/image/MCY/11746357 ")</f>
        <v xml:space="preserve">http://slimages.macys.com/is/image/MCY/11746357 </v>
      </c>
    </row>
    <row r="147" spans="1:11" ht="24.75" x14ac:dyDescent="0.25">
      <c r="A147" s="4" t="s">
        <v>2370</v>
      </c>
      <c r="B147" s="2" t="s">
        <v>663</v>
      </c>
      <c r="C147" s="5">
        <v>29.99</v>
      </c>
      <c r="D147" s="3" t="s">
        <v>664</v>
      </c>
      <c r="E147" s="2" t="s">
        <v>15</v>
      </c>
      <c r="F147" s="6" t="s">
        <v>156</v>
      </c>
      <c r="G147" s="2" t="s">
        <v>284</v>
      </c>
      <c r="H147" s="2" t="s">
        <v>408</v>
      </c>
      <c r="I147" s="2" t="s">
        <v>19</v>
      </c>
      <c r="J147" s="2" t="s">
        <v>409</v>
      </c>
      <c r="K147" s="7" t="str">
        <f>HYPERLINK("http://slimages.macys.com/is/image/MCY/13397153 ")</f>
        <v xml:space="preserve">http://slimages.macys.com/is/image/MCY/13397153 </v>
      </c>
    </row>
    <row r="148" spans="1:11" ht="24.75" x14ac:dyDescent="0.25">
      <c r="A148" s="4" t="s">
        <v>2371</v>
      </c>
      <c r="B148" s="2" t="s">
        <v>2372</v>
      </c>
      <c r="C148" s="5">
        <v>44.5</v>
      </c>
      <c r="D148" s="3" t="s">
        <v>2373</v>
      </c>
      <c r="E148" s="2" t="s">
        <v>26</v>
      </c>
      <c r="F148" s="6"/>
      <c r="G148" s="2" t="s">
        <v>194</v>
      </c>
      <c r="H148" s="2" t="s">
        <v>195</v>
      </c>
      <c r="I148" s="2" t="s">
        <v>19</v>
      </c>
      <c r="J148" s="2" t="s">
        <v>648</v>
      </c>
      <c r="K148" s="7" t="str">
        <f>HYPERLINK("http://slimages.macys.com/is/image/MCY/12667980 ")</f>
        <v xml:space="preserve">http://slimages.macys.com/is/image/MCY/12667980 </v>
      </c>
    </row>
    <row r="149" spans="1:11" ht="24.75" x14ac:dyDescent="0.25">
      <c r="A149" s="4" t="s">
        <v>2374</v>
      </c>
      <c r="B149" s="2" t="s">
        <v>2372</v>
      </c>
      <c r="C149" s="5">
        <v>44.5</v>
      </c>
      <c r="D149" s="3" t="s">
        <v>2373</v>
      </c>
      <c r="E149" s="2" t="s">
        <v>26</v>
      </c>
      <c r="F149" s="6"/>
      <c r="G149" s="2" t="s">
        <v>194</v>
      </c>
      <c r="H149" s="2" t="s">
        <v>195</v>
      </c>
      <c r="I149" s="2" t="s">
        <v>19</v>
      </c>
      <c r="J149" s="2" t="s">
        <v>648</v>
      </c>
      <c r="K149" s="7" t="str">
        <f>HYPERLINK("http://slimages.macys.com/is/image/MCY/12667980 ")</f>
        <v xml:space="preserve">http://slimages.macys.com/is/image/MCY/12667980 </v>
      </c>
    </row>
    <row r="150" spans="1:11" ht="24.75" x14ac:dyDescent="0.25">
      <c r="A150" s="4" t="s">
        <v>2375</v>
      </c>
      <c r="B150" s="2" t="s">
        <v>2376</v>
      </c>
      <c r="C150" s="5">
        <v>40.880000000000003</v>
      </c>
      <c r="D150" s="3" t="s">
        <v>2377</v>
      </c>
      <c r="E150" s="2" t="s">
        <v>26</v>
      </c>
      <c r="F150" s="6" t="s">
        <v>156</v>
      </c>
      <c r="G150" s="2" t="s">
        <v>284</v>
      </c>
      <c r="H150" s="2" t="s">
        <v>285</v>
      </c>
      <c r="I150" s="2" t="s">
        <v>19</v>
      </c>
      <c r="J150" s="2" t="s">
        <v>34</v>
      </c>
      <c r="K150" s="7" t="str">
        <f>HYPERLINK("http://slimages.macys.com/is/image/MCY/12671730 ")</f>
        <v xml:space="preserve">http://slimages.macys.com/is/image/MCY/12671730 </v>
      </c>
    </row>
    <row r="151" spans="1:11" ht="24.75" x14ac:dyDescent="0.25">
      <c r="A151" s="4" t="s">
        <v>2378</v>
      </c>
      <c r="B151" s="2" t="s">
        <v>678</v>
      </c>
      <c r="C151" s="5">
        <v>44.5</v>
      </c>
      <c r="D151" s="3" t="s">
        <v>679</v>
      </c>
      <c r="E151" s="2" t="s">
        <v>680</v>
      </c>
      <c r="F151" s="6" t="s">
        <v>27</v>
      </c>
      <c r="G151" s="2" t="s">
        <v>213</v>
      </c>
      <c r="H151" s="2" t="s">
        <v>214</v>
      </c>
      <c r="I151" s="2" t="s">
        <v>19</v>
      </c>
      <c r="J151" s="2" t="s">
        <v>253</v>
      </c>
      <c r="K151" s="7" t="str">
        <f>HYPERLINK("http://slimages.macys.com/is/image/MCY/9886548 ")</f>
        <v xml:space="preserve">http://slimages.macys.com/is/image/MCY/9886548 </v>
      </c>
    </row>
    <row r="152" spans="1:11" ht="24.75" x14ac:dyDescent="0.25">
      <c r="A152" s="4" t="s">
        <v>2379</v>
      </c>
      <c r="B152" s="2" t="s">
        <v>678</v>
      </c>
      <c r="C152" s="5">
        <v>44.5</v>
      </c>
      <c r="D152" s="3" t="s">
        <v>679</v>
      </c>
      <c r="E152" s="2" t="s">
        <v>680</v>
      </c>
      <c r="F152" s="6" t="s">
        <v>22</v>
      </c>
      <c r="G152" s="2" t="s">
        <v>213</v>
      </c>
      <c r="H152" s="2" t="s">
        <v>214</v>
      </c>
      <c r="I152" s="2" t="s">
        <v>19</v>
      </c>
      <c r="J152" s="2" t="s">
        <v>253</v>
      </c>
      <c r="K152" s="7" t="str">
        <f>HYPERLINK("http://slimages.macys.com/is/image/MCY/9886548 ")</f>
        <v xml:space="preserve">http://slimages.macys.com/is/image/MCY/9886548 </v>
      </c>
    </row>
    <row r="153" spans="1:11" ht="24.75" x14ac:dyDescent="0.25">
      <c r="A153" s="4" t="s">
        <v>2380</v>
      </c>
      <c r="B153" s="2" t="s">
        <v>682</v>
      </c>
      <c r="C153" s="5">
        <v>40.880000000000003</v>
      </c>
      <c r="D153" s="3" t="s">
        <v>683</v>
      </c>
      <c r="E153" s="2" t="s">
        <v>111</v>
      </c>
      <c r="F153" s="6" t="s">
        <v>181</v>
      </c>
      <c r="G153" s="2" t="s">
        <v>194</v>
      </c>
      <c r="H153" s="2" t="s">
        <v>503</v>
      </c>
      <c r="I153" s="2" t="s">
        <v>19</v>
      </c>
      <c r="J153" s="2" t="s">
        <v>546</v>
      </c>
      <c r="K153" s="7" t="str">
        <f>HYPERLINK("http://slimages.macys.com/is/image/MCY/12316740 ")</f>
        <v xml:space="preserve">http://slimages.macys.com/is/image/MCY/12316740 </v>
      </c>
    </row>
    <row r="154" spans="1:11" ht="24.75" x14ac:dyDescent="0.25">
      <c r="A154" s="4" t="s">
        <v>2381</v>
      </c>
      <c r="B154" s="2" t="s">
        <v>689</v>
      </c>
      <c r="C154" s="5">
        <v>40.880000000000003</v>
      </c>
      <c r="D154" s="3" t="s">
        <v>690</v>
      </c>
      <c r="E154" s="2" t="s">
        <v>15</v>
      </c>
      <c r="F154" s="6" t="s">
        <v>181</v>
      </c>
      <c r="G154" s="2" t="s">
        <v>194</v>
      </c>
      <c r="H154" s="2" t="s">
        <v>195</v>
      </c>
      <c r="I154" s="2" t="s">
        <v>19</v>
      </c>
      <c r="J154" s="2" t="s">
        <v>691</v>
      </c>
      <c r="K154" s="7" t="str">
        <f>HYPERLINK("http://slimages.macys.com/is/image/MCY/12279956 ")</f>
        <v xml:space="preserve">http://slimages.macys.com/is/image/MCY/12279956 </v>
      </c>
    </row>
    <row r="155" spans="1:11" ht="24.75" x14ac:dyDescent="0.25">
      <c r="A155" s="4" t="s">
        <v>2382</v>
      </c>
      <c r="B155" s="2" t="s">
        <v>693</v>
      </c>
      <c r="C155" s="5">
        <v>29.99</v>
      </c>
      <c r="D155" s="3" t="s">
        <v>694</v>
      </c>
      <c r="E155" s="2" t="s">
        <v>413</v>
      </c>
      <c r="F155" s="6" t="s">
        <v>154</v>
      </c>
      <c r="G155" s="2" t="s">
        <v>284</v>
      </c>
      <c r="H155" s="2" t="s">
        <v>408</v>
      </c>
      <c r="I155" s="2" t="s">
        <v>19</v>
      </c>
      <c r="J155" s="2" t="s">
        <v>409</v>
      </c>
      <c r="K155" s="7" t="str">
        <f>HYPERLINK("http://slimages.macys.com/is/image/MCY/9387631 ")</f>
        <v xml:space="preserve">http://slimages.macys.com/is/image/MCY/9387631 </v>
      </c>
    </row>
    <row r="156" spans="1:11" ht="24.75" x14ac:dyDescent="0.25">
      <c r="A156" s="4" t="s">
        <v>2383</v>
      </c>
      <c r="B156" s="2" t="s">
        <v>693</v>
      </c>
      <c r="C156" s="5">
        <v>29.99</v>
      </c>
      <c r="D156" s="3" t="s">
        <v>694</v>
      </c>
      <c r="E156" s="2" t="s">
        <v>413</v>
      </c>
      <c r="F156" s="6" t="s">
        <v>200</v>
      </c>
      <c r="G156" s="2" t="s">
        <v>284</v>
      </c>
      <c r="H156" s="2" t="s">
        <v>408</v>
      </c>
      <c r="I156" s="2" t="s">
        <v>19</v>
      </c>
      <c r="J156" s="2" t="s">
        <v>409</v>
      </c>
      <c r="K156" s="7" t="str">
        <f>HYPERLINK("http://slimages.macys.com/is/image/MCY/9387631 ")</f>
        <v xml:space="preserve">http://slimages.macys.com/is/image/MCY/9387631 </v>
      </c>
    </row>
    <row r="157" spans="1:11" ht="24.75" x14ac:dyDescent="0.25">
      <c r="A157" s="4" t="s">
        <v>2384</v>
      </c>
      <c r="B157" s="2" t="s">
        <v>2385</v>
      </c>
      <c r="C157" s="5">
        <v>39.5</v>
      </c>
      <c r="D157" s="3" t="s">
        <v>2386</v>
      </c>
      <c r="E157" s="2" t="s">
        <v>417</v>
      </c>
      <c r="F157" s="6" t="s">
        <v>181</v>
      </c>
      <c r="G157" s="2" t="s">
        <v>194</v>
      </c>
      <c r="H157" s="2" t="s">
        <v>195</v>
      </c>
      <c r="I157" s="2" t="s">
        <v>19</v>
      </c>
      <c r="J157" s="2" t="s">
        <v>201</v>
      </c>
      <c r="K157" s="7" t="str">
        <f>HYPERLINK("http://slimages.macys.com/is/image/MCY/12034726 ")</f>
        <v xml:space="preserve">http://slimages.macys.com/is/image/MCY/12034726 </v>
      </c>
    </row>
    <row r="158" spans="1:11" ht="24.75" x14ac:dyDescent="0.25">
      <c r="A158" s="4" t="s">
        <v>2387</v>
      </c>
      <c r="B158" s="2" t="s">
        <v>2385</v>
      </c>
      <c r="C158" s="5">
        <v>39.5</v>
      </c>
      <c r="D158" s="3" t="s">
        <v>2386</v>
      </c>
      <c r="E158" s="2" t="s">
        <v>26</v>
      </c>
      <c r="F158" s="6" t="s">
        <v>234</v>
      </c>
      <c r="G158" s="2" t="s">
        <v>194</v>
      </c>
      <c r="H158" s="2" t="s">
        <v>195</v>
      </c>
      <c r="I158" s="2" t="s">
        <v>19</v>
      </c>
      <c r="J158" s="2" t="s">
        <v>201</v>
      </c>
      <c r="K158" s="7" t="str">
        <f>HYPERLINK("http://slimages.macys.com/is/image/MCY/12034726 ")</f>
        <v xml:space="preserve">http://slimages.macys.com/is/image/MCY/12034726 </v>
      </c>
    </row>
    <row r="159" spans="1:11" ht="24.75" x14ac:dyDescent="0.25">
      <c r="A159" s="4" t="s">
        <v>2388</v>
      </c>
      <c r="B159" s="2" t="s">
        <v>2385</v>
      </c>
      <c r="C159" s="5">
        <v>39.5</v>
      </c>
      <c r="D159" s="3" t="s">
        <v>2386</v>
      </c>
      <c r="E159" s="2" t="s">
        <v>26</v>
      </c>
      <c r="F159" s="6" t="s">
        <v>156</v>
      </c>
      <c r="G159" s="2" t="s">
        <v>194</v>
      </c>
      <c r="H159" s="2" t="s">
        <v>195</v>
      </c>
      <c r="I159" s="2" t="s">
        <v>19</v>
      </c>
      <c r="J159" s="2" t="s">
        <v>201</v>
      </c>
      <c r="K159" s="7" t="str">
        <f>HYPERLINK("http://slimages.macys.com/is/image/MCY/12034726 ")</f>
        <v xml:space="preserve">http://slimages.macys.com/is/image/MCY/12034726 </v>
      </c>
    </row>
    <row r="160" spans="1:11" ht="24.75" x14ac:dyDescent="0.25">
      <c r="A160" s="4" t="s">
        <v>2389</v>
      </c>
      <c r="B160" s="2" t="s">
        <v>707</v>
      </c>
      <c r="C160" s="5">
        <v>40.880000000000003</v>
      </c>
      <c r="D160" s="3">
        <v>100047657</v>
      </c>
      <c r="E160" s="2" t="s">
        <v>376</v>
      </c>
      <c r="F160" s="6" t="s">
        <v>16</v>
      </c>
      <c r="G160" s="2" t="s">
        <v>194</v>
      </c>
      <c r="H160" s="2" t="s">
        <v>195</v>
      </c>
      <c r="I160" s="2" t="s">
        <v>19</v>
      </c>
      <c r="J160" s="2" t="s">
        <v>546</v>
      </c>
      <c r="K160" s="7" t="str">
        <f>HYPERLINK("http://slimages.macys.com/is/image/MCY/12143636 ")</f>
        <v xml:space="preserve">http://slimages.macys.com/is/image/MCY/12143636 </v>
      </c>
    </row>
    <row r="161" spans="1:11" ht="24.75" x14ac:dyDescent="0.25">
      <c r="A161" s="4" t="s">
        <v>2390</v>
      </c>
      <c r="B161" s="2" t="s">
        <v>707</v>
      </c>
      <c r="C161" s="5">
        <v>40.880000000000003</v>
      </c>
      <c r="D161" s="3">
        <v>100047657</v>
      </c>
      <c r="E161" s="2" t="s">
        <v>376</v>
      </c>
      <c r="F161" s="6" t="s">
        <v>65</v>
      </c>
      <c r="G161" s="2" t="s">
        <v>194</v>
      </c>
      <c r="H161" s="2" t="s">
        <v>195</v>
      </c>
      <c r="I161" s="2" t="s">
        <v>19</v>
      </c>
      <c r="J161" s="2" t="s">
        <v>546</v>
      </c>
      <c r="K161" s="7" t="str">
        <f>HYPERLINK("http://slimages.macys.com/is/image/MCY/12143636 ")</f>
        <v xml:space="preserve">http://slimages.macys.com/is/image/MCY/12143636 </v>
      </c>
    </row>
    <row r="162" spans="1:11" ht="24.75" x14ac:dyDescent="0.25">
      <c r="A162" s="4" t="s">
        <v>2391</v>
      </c>
      <c r="B162" s="2" t="s">
        <v>707</v>
      </c>
      <c r="C162" s="5">
        <v>40.880000000000003</v>
      </c>
      <c r="D162" s="3">
        <v>100047657</v>
      </c>
      <c r="E162" s="2" t="s">
        <v>376</v>
      </c>
      <c r="F162" s="6" t="s">
        <v>22</v>
      </c>
      <c r="G162" s="2" t="s">
        <v>194</v>
      </c>
      <c r="H162" s="2" t="s">
        <v>195</v>
      </c>
      <c r="I162" s="2" t="s">
        <v>19</v>
      </c>
      <c r="J162" s="2" t="s">
        <v>546</v>
      </c>
      <c r="K162" s="7" t="str">
        <f>HYPERLINK("http://slimages.macys.com/is/image/MCY/12143636 ")</f>
        <v xml:space="preserve">http://slimages.macys.com/is/image/MCY/12143636 </v>
      </c>
    </row>
    <row r="163" spans="1:11" ht="24.75" x14ac:dyDescent="0.25">
      <c r="A163" s="4" t="s">
        <v>2392</v>
      </c>
      <c r="B163" s="2" t="s">
        <v>2385</v>
      </c>
      <c r="C163" s="5">
        <v>39.5</v>
      </c>
      <c r="D163" s="3" t="s">
        <v>2386</v>
      </c>
      <c r="E163" s="2" t="s">
        <v>26</v>
      </c>
      <c r="F163" s="6" t="s">
        <v>181</v>
      </c>
      <c r="G163" s="2" t="s">
        <v>194</v>
      </c>
      <c r="H163" s="2" t="s">
        <v>195</v>
      </c>
      <c r="I163" s="2" t="s">
        <v>19</v>
      </c>
      <c r="J163" s="2" t="s">
        <v>201</v>
      </c>
      <c r="K163" s="7" t="str">
        <f>HYPERLINK("http://slimages.macys.com/is/image/MCY/12034726 ")</f>
        <v xml:space="preserve">http://slimages.macys.com/is/image/MCY/12034726 </v>
      </c>
    </row>
    <row r="164" spans="1:11" ht="24.75" x14ac:dyDescent="0.25">
      <c r="A164" s="4" t="s">
        <v>2393</v>
      </c>
      <c r="B164" s="2" t="s">
        <v>2394</v>
      </c>
      <c r="C164" s="5">
        <v>40.880000000000003</v>
      </c>
      <c r="D164" s="3" t="s">
        <v>2395</v>
      </c>
      <c r="E164" s="2" t="s">
        <v>33</v>
      </c>
      <c r="F164" s="6" t="s">
        <v>181</v>
      </c>
      <c r="G164" s="2" t="s">
        <v>194</v>
      </c>
      <c r="H164" s="2" t="s">
        <v>195</v>
      </c>
      <c r="I164" s="2" t="s">
        <v>19</v>
      </c>
      <c r="J164" s="2" t="s">
        <v>34</v>
      </c>
      <c r="K164" s="7" t="str">
        <f>HYPERLINK("http://slimages.macys.com/is/image/MCY/12950238 ")</f>
        <v xml:space="preserve">http://slimages.macys.com/is/image/MCY/12950238 </v>
      </c>
    </row>
    <row r="165" spans="1:11" ht="24.75" x14ac:dyDescent="0.25">
      <c r="A165" s="4" t="s">
        <v>2396</v>
      </c>
      <c r="B165" s="2" t="s">
        <v>2397</v>
      </c>
      <c r="C165" s="5">
        <v>40.880000000000003</v>
      </c>
      <c r="D165" s="3">
        <v>100005507</v>
      </c>
      <c r="E165" s="2" t="s">
        <v>74</v>
      </c>
      <c r="F165" s="6" t="s">
        <v>154</v>
      </c>
      <c r="G165" s="2" t="s">
        <v>284</v>
      </c>
      <c r="H165" s="2" t="s">
        <v>285</v>
      </c>
      <c r="I165" s="2" t="s">
        <v>19</v>
      </c>
      <c r="J165" s="2" t="s">
        <v>160</v>
      </c>
      <c r="K165" s="7" t="str">
        <f>HYPERLINK("http://slimages.macys.com/is/image/MCY/16326811 ")</f>
        <v xml:space="preserve">http://slimages.macys.com/is/image/MCY/16326811 </v>
      </c>
    </row>
    <row r="166" spans="1:11" ht="24.75" x14ac:dyDescent="0.25">
      <c r="A166" s="4" t="s">
        <v>720</v>
      </c>
      <c r="B166" s="2" t="s">
        <v>453</v>
      </c>
      <c r="C166" s="5">
        <v>37.130000000000003</v>
      </c>
      <c r="D166" s="3" t="s">
        <v>721</v>
      </c>
      <c r="E166" s="2" t="s">
        <v>417</v>
      </c>
      <c r="F166" s="6" t="s">
        <v>234</v>
      </c>
      <c r="G166" s="2" t="s">
        <v>284</v>
      </c>
      <c r="H166" s="2" t="s">
        <v>285</v>
      </c>
      <c r="I166" s="2" t="s">
        <v>19</v>
      </c>
      <c r="J166" s="2" t="s">
        <v>323</v>
      </c>
      <c r="K166" s="7" t="str">
        <f>HYPERLINK("http://slimages.macys.com/is/image/MCY/9678668 ")</f>
        <v xml:space="preserve">http://slimages.macys.com/is/image/MCY/9678668 </v>
      </c>
    </row>
    <row r="167" spans="1:11" ht="24.75" x14ac:dyDescent="0.25">
      <c r="A167" s="4" t="s">
        <v>722</v>
      </c>
      <c r="B167" s="2" t="s">
        <v>453</v>
      </c>
      <c r="C167" s="5">
        <v>37.130000000000003</v>
      </c>
      <c r="D167" s="3" t="s">
        <v>721</v>
      </c>
      <c r="E167" s="2" t="s">
        <v>417</v>
      </c>
      <c r="F167" s="6" t="s">
        <v>154</v>
      </c>
      <c r="G167" s="2" t="s">
        <v>284</v>
      </c>
      <c r="H167" s="2" t="s">
        <v>285</v>
      </c>
      <c r="I167" s="2" t="s">
        <v>19</v>
      </c>
      <c r="J167" s="2" t="s">
        <v>323</v>
      </c>
      <c r="K167" s="7" t="str">
        <f>HYPERLINK("http://slimages.macys.com/is/image/MCY/9678668 ")</f>
        <v xml:space="preserve">http://slimages.macys.com/is/image/MCY/9678668 </v>
      </c>
    </row>
    <row r="168" spans="1:11" ht="24.75" x14ac:dyDescent="0.25">
      <c r="A168" s="4" t="s">
        <v>2398</v>
      </c>
      <c r="B168" s="2" t="s">
        <v>453</v>
      </c>
      <c r="C168" s="5">
        <v>37.130000000000003</v>
      </c>
      <c r="D168" s="3" t="s">
        <v>721</v>
      </c>
      <c r="E168" s="2" t="s">
        <v>417</v>
      </c>
      <c r="F168" s="6" t="s">
        <v>181</v>
      </c>
      <c r="G168" s="2" t="s">
        <v>284</v>
      </c>
      <c r="H168" s="2" t="s">
        <v>285</v>
      </c>
      <c r="I168" s="2" t="s">
        <v>19</v>
      </c>
      <c r="J168" s="2" t="s">
        <v>323</v>
      </c>
      <c r="K168" s="7" t="str">
        <f>HYPERLINK("http://slimages.macys.com/is/image/MCY/9678668 ")</f>
        <v xml:space="preserve">http://slimages.macys.com/is/image/MCY/9678668 </v>
      </c>
    </row>
    <row r="169" spans="1:11" ht="24.75" x14ac:dyDescent="0.25">
      <c r="A169" s="4" t="s">
        <v>2399</v>
      </c>
      <c r="B169" s="2" t="s">
        <v>453</v>
      </c>
      <c r="C169" s="5">
        <v>37.130000000000003</v>
      </c>
      <c r="D169" s="3" t="s">
        <v>721</v>
      </c>
      <c r="E169" s="2" t="s">
        <v>417</v>
      </c>
      <c r="F169" s="6" t="s">
        <v>156</v>
      </c>
      <c r="G169" s="2" t="s">
        <v>284</v>
      </c>
      <c r="H169" s="2" t="s">
        <v>285</v>
      </c>
      <c r="I169" s="2" t="s">
        <v>19</v>
      </c>
      <c r="J169" s="2" t="s">
        <v>323</v>
      </c>
      <c r="K169" s="7" t="str">
        <f>HYPERLINK("http://slimages.macys.com/is/image/MCY/9678668 ")</f>
        <v xml:space="preserve">http://slimages.macys.com/is/image/MCY/9678668 </v>
      </c>
    </row>
    <row r="170" spans="1:11" ht="24.75" x14ac:dyDescent="0.25">
      <c r="A170" s="4" t="s">
        <v>723</v>
      </c>
      <c r="B170" s="2" t="s">
        <v>453</v>
      </c>
      <c r="C170" s="5">
        <v>37.130000000000003</v>
      </c>
      <c r="D170" s="3" t="s">
        <v>721</v>
      </c>
      <c r="E170" s="2" t="s">
        <v>417</v>
      </c>
      <c r="F170" s="6" t="s">
        <v>200</v>
      </c>
      <c r="G170" s="2" t="s">
        <v>284</v>
      </c>
      <c r="H170" s="2" t="s">
        <v>285</v>
      </c>
      <c r="I170" s="2" t="s">
        <v>19</v>
      </c>
      <c r="J170" s="2" t="s">
        <v>323</v>
      </c>
      <c r="K170" s="7" t="str">
        <f>HYPERLINK("http://slimages.macys.com/is/image/MCY/9678668 ")</f>
        <v xml:space="preserve">http://slimages.macys.com/is/image/MCY/9678668 </v>
      </c>
    </row>
    <row r="171" spans="1:11" ht="24.75" x14ac:dyDescent="0.25">
      <c r="A171" s="4" t="s">
        <v>2400</v>
      </c>
      <c r="B171" s="2" t="s">
        <v>693</v>
      </c>
      <c r="C171" s="5">
        <v>29.99</v>
      </c>
      <c r="D171" s="3" t="s">
        <v>2401</v>
      </c>
      <c r="E171" s="2" t="s">
        <v>53</v>
      </c>
      <c r="F171" s="6" t="s">
        <v>181</v>
      </c>
      <c r="G171" s="2" t="s">
        <v>284</v>
      </c>
      <c r="H171" s="2" t="s">
        <v>408</v>
      </c>
      <c r="I171" s="2" t="s">
        <v>19</v>
      </c>
      <c r="J171" s="2" t="s">
        <v>409</v>
      </c>
      <c r="K171" s="7" t="str">
        <f>HYPERLINK("http://slimages.macys.com/is/image/MCY/13397153 ")</f>
        <v xml:space="preserve">http://slimages.macys.com/is/image/MCY/13397153 </v>
      </c>
    </row>
    <row r="172" spans="1:11" ht="24.75" x14ac:dyDescent="0.25">
      <c r="A172" s="4" t="s">
        <v>2402</v>
      </c>
      <c r="B172" s="2" t="s">
        <v>2403</v>
      </c>
      <c r="C172" s="5">
        <v>36.75</v>
      </c>
      <c r="D172" s="3">
        <v>100009360</v>
      </c>
      <c r="E172" s="2" t="s">
        <v>225</v>
      </c>
      <c r="F172" s="6" t="s">
        <v>181</v>
      </c>
      <c r="G172" s="2" t="s">
        <v>194</v>
      </c>
      <c r="H172" s="2" t="s">
        <v>503</v>
      </c>
      <c r="I172" s="2" t="s">
        <v>19</v>
      </c>
      <c r="J172" s="2" t="s">
        <v>160</v>
      </c>
      <c r="K172" s="7" t="str">
        <f>HYPERLINK("http://slimages.macys.com/is/image/MCY/12734522 ")</f>
        <v xml:space="preserve">http://slimages.macys.com/is/image/MCY/12734522 </v>
      </c>
    </row>
    <row r="173" spans="1:11" ht="24.75" x14ac:dyDescent="0.25">
      <c r="A173" s="4" t="s">
        <v>2404</v>
      </c>
      <c r="B173" s="2" t="s">
        <v>768</v>
      </c>
      <c r="C173" s="5">
        <v>34.880000000000003</v>
      </c>
      <c r="D173" s="3">
        <v>100054400</v>
      </c>
      <c r="E173" s="2" t="s">
        <v>64</v>
      </c>
      <c r="F173" s="6" t="s">
        <v>141</v>
      </c>
      <c r="G173" s="2" t="s">
        <v>194</v>
      </c>
      <c r="H173" s="2" t="s">
        <v>195</v>
      </c>
      <c r="I173" s="2" t="s">
        <v>19</v>
      </c>
      <c r="J173" s="2" t="s">
        <v>546</v>
      </c>
      <c r="K173" s="7" t="str">
        <f>HYPERLINK("http://slimages.macys.com/is/image/MCY/12850455 ")</f>
        <v xml:space="preserve">http://slimages.macys.com/is/image/MCY/12850455 </v>
      </c>
    </row>
    <row r="174" spans="1:11" ht="24.75" x14ac:dyDescent="0.25">
      <c r="A174" s="4" t="s">
        <v>2405</v>
      </c>
      <c r="B174" s="2" t="s">
        <v>768</v>
      </c>
      <c r="C174" s="5">
        <v>34.880000000000003</v>
      </c>
      <c r="D174" s="3">
        <v>100054400</v>
      </c>
      <c r="E174" s="2" t="s">
        <v>64</v>
      </c>
      <c r="F174" s="6" t="s">
        <v>106</v>
      </c>
      <c r="G174" s="2" t="s">
        <v>194</v>
      </c>
      <c r="H174" s="2" t="s">
        <v>195</v>
      </c>
      <c r="I174" s="2" t="s">
        <v>19</v>
      </c>
      <c r="J174" s="2" t="s">
        <v>546</v>
      </c>
      <c r="K174" s="7" t="str">
        <f>HYPERLINK("http://slimages.macys.com/is/image/MCY/12850455 ")</f>
        <v xml:space="preserve">http://slimages.macys.com/is/image/MCY/12850455 </v>
      </c>
    </row>
    <row r="175" spans="1:11" ht="24.75" x14ac:dyDescent="0.25">
      <c r="A175" s="4" t="s">
        <v>2406</v>
      </c>
      <c r="B175" s="2" t="s">
        <v>768</v>
      </c>
      <c r="C175" s="5">
        <v>34.880000000000003</v>
      </c>
      <c r="D175" s="3">
        <v>100054400</v>
      </c>
      <c r="E175" s="2" t="s">
        <v>64</v>
      </c>
      <c r="F175" s="6" t="s">
        <v>65</v>
      </c>
      <c r="G175" s="2" t="s">
        <v>194</v>
      </c>
      <c r="H175" s="2" t="s">
        <v>195</v>
      </c>
      <c r="I175" s="2" t="s">
        <v>19</v>
      </c>
      <c r="J175" s="2" t="s">
        <v>546</v>
      </c>
      <c r="K175" s="7" t="str">
        <f>HYPERLINK("http://slimages.macys.com/is/image/MCY/12850455 ")</f>
        <v xml:space="preserve">http://slimages.macys.com/is/image/MCY/12850455 </v>
      </c>
    </row>
    <row r="176" spans="1:11" ht="24.75" x14ac:dyDescent="0.25">
      <c r="A176" s="4" t="s">
        <v>2407</v>
      </c>
      <c r="B176" s="2" t="s">
        <v>768</v>
      </c>
      <c r="C176" s="5">
        <v>34.880000000000003</v>
      </c>
      <c r="D176" s="3">
        <v>100054400</v>
      </c>
      <c r="E176" s="2" t="s">
        <v>64</v>
      </c>
      <c r="F176" s="6" t="s">
        <v>58</v>
      </c>
      <c r="G176" s="2" t="s">
        <v>194</v>
      </c>
      <c r="H176" s="2" t="s">
        <v>195</v>
      </c>
      <c r="I176" s="2" t="s">
        <v>19</v>
      </c>
      <c r="J176" s="2" t="s">
        <v>546</v>
      </c>
      <c r="K176" s="7" t="str">
        <f>HYPERLINK("http://slimages.macys.com/is/image/MCY/12850455 ")</f>
        <v xml:space="preserve">http://slimages.macys.com/is/image/MCY/12850455 </v>
      </c>
    </row>
    <row r="177" spans="1:11" ht="36.75" x14ac:dyDescent="0.25">
      <c r="A177" s="4" t="s">
        <v>2408</v>
      </c>
      <c r="B177" s="2" t="s">
        <v>764</v>
      </c>
      <c r="C177" s="5">
        <v>37.130000000000003</v>
      </c>
      <c r="D177" s="3" t="s">
        <v>765</v>
      </c>
      <c r="E177" s="2" t="s">
        <v>566</v>
      </c>
      <c r="F177" s="6" t="s">
        <v>154</v>
      </c>
      <c r="G177" s="2" t="s">
        <v>284</v>
      </c>
      <c r="H177" s="2" t="s">
        <v>458</v>
      </c>
      <c r="I177" s="2" t="s">
        <v>19</v>
      </c>
      <c r="J177" s="2" t="s">
        <v>514</v>
      </c>
      <c r="K177" s="7" t="str">
        <f>HYPERLINK("http://slimages.macys.com/is/image/MCY/13804604 ")</f>
        <v xml:space="preserve">http://slimages.macys.com/is/image/MCY/13804604 </v>
      </c>
    </row>
    <row r="178" spans="1:11" ht="24.75" x14ac:dyDescent="0.25">
      <c r="A178" s="4" t="s">
        <v>767</v>
      </c>
      <c r="B178" s="2" t="s">
        <v>768</v>
      </c>
      <c r="C178" s="5">
        <v>34.880000000000003</v>
      </c>
      <c r="D178" s="3">
        <v>100054400</v>
      </c>
      <c r="E178" s="2" t="s">
        <v>64</v>
      </c>
      <c r="F178" s="6" t="s">
        <v>22</v>
      </c>
      <c r="G178" s="2" t="s">
        <v>194</v>
      </c>
      <c r="H178" s="2" t="s">
        <v>195</v>
      </c>
      <c r="I178" s="2" t="s">
        <v>19</v>
      </c>
      <c r="J178" s="2" t="s">
        <v>546</v>
      </c>
      <c r="K178" s="7" t="str">
        <f>HYPERLINK("http://slimages.macys.com/is/image/MCY/12850455 ")</f>
        <v xml:space="preserve">http://slimages.macys.com/is/image/MCY/12850455 </v>
      </c>
    </row>
    <row r="179" spans="1:11" ht="36.75" x14ac:dyDescent="0.25">
      <c r="A179" s="4" t="s">
        <v>766</v>
      </c>
      <c r="B179" s="2" t="s">
        <v>764</v>
      </c>
      <c r="C179" s="5">
        <v>37.130000000000003</v>
      </c>
      <c r="D179" s="3" t="s">
        <v>765</v>
      </c>
      <c r="E179" s="2" t="s">
        <v>566</v>
      </c>
      <c r="F179" s="6" t="s">
        <v>200</v>
      </c>
      <c r="G179" s="2" t="s">
        <v>284</v>
      </c>
      <c r="H179" s="2" t="s">
        <v>458</v>
      </c>
      <c r="I179" s="2" t="s">
        <v>19</v>
      </c>
      <c r="J179" s="2" t="s">
        <v>514</v>
      </c>
      <c r="K179" s="7" t="str">
        <f>HYPERLINK("http://slimages.macys.com/is/image/MCY/13804604 ")</f>
        <v xml:space="preserve">http://slimages.macys.com/is/image/MCY/13804604 </v>
      </c>
    </row>
    <row r="180" spans="1:11" ht="36.75" x14ac:dyDescent="0.25">
      <c r="A180" s="4" t="s">
        <v>763</v>
      </c>
      <c r="B180" s="2" t="s">
        <v>764</v>
      </c>
      <c r="C180" s="5">
        <v>37.130000000000003</v>
      </c>
      <c r="D180" s="3" t="s">
        <v>765</v>
      </c>
      <c r="E180" s="2" t="s">
        <v>566</v>
      </c>
      <c r="F180" s="6" t="s">
        <v>181</v>
      </c>
      <c r="G180" s="2" t="s">
        <v>284</v>
      </c>
      <c r="H180" s="2" t="s">
        <v>458</v>
      </c>
      <c r="I180" s="2" t="s">
        <v>19</v>
      </c>
      <c r="J180" s="2" t="s">
        <v>514</v>
      </c>
      <c r="K180" s="7" t="str">
        <f>HYPERLINK("http://slimages.macys.com/is/image/MCY/13804604 ")</f>
        <v xml:space="preserve">http://slimages.macys.com/is/image/MCY/13804604 </v>
      </c>
    </row>
    <row r="181" spans="1:11" ht="24.75" x14ac:dyDescent="0.25">
      <c r="A181" s="4" t="s">
        <v>2409</v>
      </c>
      <c r="B181" s="2" t="s">
        <v>768</v>
      </c>
      <c r="C181" s="5">
        <v>34.880000000000003</v>
      </c>
      <c r="D181" s="3">
        <v>100054400</v>
      </c>
      <c r="E181" s="2" t="s">
        <v>64</v>
      </c>
      <c r="F181" s="6" t="s">
        <v>16</v>
      </c>
      <c r="G181" s="2" t="s">
        <v>194</v>
      </c>
      <c r="H181" s="2" t="s">
        <v>195</v>
      </c>
      <c r="I181" s="2" t="s">
        <v>19</v>
      </c>
      <c r="J181" s="2" t="s">
        <v>546</v>
      </c>
      <c r="K181" s="7" t="str">
        <f>HYPERLINK("http://slimages.macys.com/is/image/MCY/12850455 ")</f>
        <v xml:space="preserve">http://slimages.macys.com/is/image/MCY/12850455 </v>
      </c>
    </row>
    <row r="182" spans="1:11" ht="24.75" x14ac:dyDescent="0.25">
      <c r="A182" s="4" t="s">
        <v>2410</v>
      </c>
      <c r="B182" s="2" t="s">
        <v>2411</v>
      </c>
      <c r="C182" s="5">
        <v>48.38</v>
      </c>
      <c r="D182" s="3" t="s">
        <v>2412</v>
      </c>
      <c r="E182" s="2" t="s">
        <v>26</v>
      </c>
      <c r="F182" s="6"/>
      <c r="G182" s="2" t="s">
        <v>349</v>
      </c>
      <c r="H182" s="2" t="s">
        <v>285</v>
      </c>
      <c r="I182" s="2" t="s">
        <v>19</v>
      </c>
      <c r="J182" s="2" t="s">
        <v>160</v>
      </c>
      <c r="K182" s="7" t="str">
        <f>HYPERLINK("http://slimages.macys.com/is/image/MCY/12877169 ")</f>
        <v xml:space="preserve">http://slimages.macys.com/is/image/MCY/12877169 </v>
      </c>
    </row>
    <row r="183" spans="1:11" ht="24.75" x14ac:dyDescent="0.25">
      <c r="A183" s="4" t="s">
        <v>2413</v>
      </c>
      <c r="B183" s="2" t="s">
        <v>768</v>
      </c>
      <c r="C183" s="5">
        <v>34.880000000000003</v>
      </c>
      <c r="D183" s="3" t="s">
        <v>2414</v>
      </c>
      <c r="E183" s="2" t="s">
        <v>64</v>
      </c>
      <c r="F183" s="6" t="s">
        <v>336</v>
      </c>
      <c r="G183" s="2" t="s">
        <v>312</v>
      </c>
      <c r="H183" s="2" t="s">
        <v>195</v>
      </c>
      <c r="I183" s="2" t="s">
        <v>19</v>
      </c>
      <c r="J183" s="2" t="s">
        <v>546</v>
      </c>
      <c r="K183" s="7" t="str">
        <f>HYPERLINK("http://slimages.macys.com/is/image/MCY/12850455 ")</f>
        <v xml:space="preserve">http://slimages.macys.com/is/image/MCY/12850455 </v>
      </c>
    </row>
    <row r="184" spans="1:11" ht="24.75" x14ac:dyDescent="0.25">
      <c r="A184" s="4" t="s">
        <v>2415</v>
      </c>
      <c r="B184" s="2" t="s">
        <v>777</v>
      </c>
      <c r="C184" s="5">
        <v>34.880000000000003</v>
      </c>
      <c r="D184" s="3" t="s">
        <v>778</v>
      </c>
      <c r="E184" s="2" t="s">
        <v>74</v>
      </c>
      <c r="F184" s="6"/>
      <c r="G184" s="2" t="s">
        <v>312</v>
      </c>
      <c r="H184" s="2" t="s">
        <v>503</v>
      </c>
      <c r="I184" s="2" t="s">
        <v>19</v>
      </c>
      <c r="J184" s="2" t="s">
        <v>353</v>
      </c>
      <c r="K184" s="7" t="str">
        <f>HYPERLINK("http://slimages.macys.com/is/image/MCY/11146051 ")</f>
        <v xml:space="preserve">http://slimages.macys.com/is/image/MCY/11146051 </v>
      </c>
    </row>
    <row r="185" spans="1:11" ht="36.75" x14ac:dyDescent="0.25">
      <c r="A185" s="4" t="s">
        <v>2416</v>
      </c>
      <c r="B185" s="2" t="s">
        <v>2417</v>
      </c>
      <c r="C185" s="5">
        <v>45</v>
      </c>
      <c r="D185" s="3" t="s">
        <v>2418</v>
      </c>
      <c r="E185" s="2" t="s">
        <v>752</v>
      </c>
      <c r="F185" s="6" t="s">
        <v>446</v>
      </c>
      <c r="G185" s="2" t="s">
        <v>447</v>
      </c>
      <c r="H185" s="2" t="s">
        <v>792</v>
      </c>
      <c r="I185" s="2" t="s">
        <v>19</v>
      </c>
      <c r="J185" s="2" t="s">
        <v>2419</v>
      </c>
      <c r="K185" s="7" t="str">
        <f>HYPERLINK("http://slimages.macys.com/is/image/MCY/11702378 ")</f>
        <v xml:space="preserve">http://slimages.macys.com/is/image/MCY/11702378 </v>
      </c>
    </row>
    <row r="186" spans="1:11" ht="24.75" x14ac:dyDescent="0.25">
      <c r="A186" s="4" t="s">
        <v>2420</v>
      </c>
      <c r="B186" s="2" t="s">
        <v>2421</v>
      </c>
      <c r="C186" s="5">
        <v>41.65</v>
      </c>
      <c r="D186" s="3" t="s">
        <v>2422</v>
      </c>
      <c r="E186" s="2" t="s">
        <v>26</v>
      </c>
      <c r="F186" s="6" t="s">
        <v>234</v>
      </c>
      <c r="G186" s="2" t="s">
        <v>182</v>
      </c>
      <c r="H186" s="2" t="s">
        <v>183</v>
      </c>
      <c r="I186" s="2" t="s">
        <v>19</v>
      </c>
      <c r="J186" s="2" t="s">
        <v>201</v>
      </c>
      <c r="K186" s="7" t="str">
        <f>HYPERLINK("http://slimages.macys.com/is/image/MCY/12851849 ")</f>
        <v xml:space="preserve">http://slimages.macys.com/is/image/MCY/12851849 </v>
      </c>
    </row>
    <row r="187" spans="1:11" ht="24.75" x14ac:dyDescent="0.25">
      <c r="A187" s="4" t="s">
        <v>2423</v>
      </c>
      <c r="B187" s="2" t="s">
        <v>808</v>
      </c>
      <c r="C187" s="5">
        <v>37.130000000000003</v>
      </c>
      <c r="D187" s="3">
        <v>100013676</v>
      </c>
      <c r="E187" s="2" t="s">
        <v>956</v>
      </c>
      <c r="F187" s="6" t="s">
        <v>181</v>
      </c>
      <c r="G187" s="2" t="s">
        <v>194</v>
      </c>
      <c r="H187" s="2" t="s">
        <v>503</v>
      </c>
      <c r="I187" s="2" t="s">
        <v>19</v>
      </c>
      <c r="J187" s="2" t="s">
        <v>546</v>
      </c>
      <c r="K187" s="7" t="str">
        <f>HYPERLINK("http://slimages.macys.com/is/image/MCY/9340718 ")</f>
        <v xml:space="preserve">http://slimages.macys.com/is/image/MCY/9340718 </v>
      </c>
    </row>
    <row r="188" spans="1:11" ht="24.75" x14ac:dyDescent="0.25">
      <c r="A188" s="4" t="s">
        <v>2424</v>
      </c>
      <c r="B188" s="2" t="s">
        <v>808</v>
      </c>
      <c r="C188" s="5">
        <v>37.130000000000003</v>
      </c>
      <c r="D188" s="3">
        <v>100013676</v>
      </c>
      <c r="E188" s="2" t="s">
        <v>64</v>
      </c>
      <c r="F188" s="6" t="s">
        <v>154</v>
      </c>
      <c r="G188" s="2" t="s">
        <v>194</v>
      </c>
      <c r="H188" s="2" t="s">
        <v>503</v>
      </c>
      <c r="I188" s="2" t="s">
        <v>19</v>
      </c>
      <c r="J188" s="2" t="s">
        <v>546</v>
      </c>
      <c r="K188" s="7" t="str">
        <f>HYPERLINK("http://slimages.macys.com/is/image/MCY/13785844 ")</f>
        <v xml:space="preserve">http://slimages.macys.com/is/image/MCY/13785844 </v>
      </c>
    </row>
    <row r="189" spans="1:11" ht="24.75" x14ac:dyDescent="0.25">
      <c r="A189" s="4" t="s">
        <v>813</v>
      </c>
      <c r="B189" s="2" t="s">
        <v>811</v>
      </c>
      <c r="C189" s="5">
        <v>37.130000000000003</v>
      </c>
      <c r="D189" s="3" t="s">
        <v>812</v>
      </c>
      <c r="E189" s="2" t="s">
        <v>170</v>
      </c>
      <c r="F189" s="6" t="s">
        <v>154</v>
      </c>
      <c r="G189" s="2" t="s">
        <v>194</v>
      </c>
      <c r="H189" s="2" t="s">
        <v>195</v>
      </c>
      <c r="I189" s="2" t="s">
        <v>19</v>
      </c>
      <c r="J189" s="2" t="s">
        <v>160</v>
      </c>
      <c r="K189" s="7" t="str">
        <f>HYPERLINK("http://slimages.macys.com/is/image/MCY/11804348 ")</f>
        <v xml:space="preserve">http://slimages.macys.com/is/image/MCY/11804348 </v>
      </c>
    </row>
    <row r="190" spans="1:11" ht="48.75" x14ac:dyDescent="0.25">
      <c r="A190" s="4" t="s">
        <v>2425</v>
      </c>
      <c r="B190" s="2" t="s">
        <v>2426</v>
      </c>
      <c r="C190" s="5">
        <v>44.63</v>
      </c>
      <c r="D190" s="3" t="s">
        <v>2427</v>
      </c>
      <c r="E190" s="2" t="s">
        <v>64</v>
      </c>
      <c r="F190" s="6" t="s">
        <v>165</v>
      </c>
      <c r="G190" s="2" t="s">
        <v>188</v>
      </c>
      <c r="H190" s="2" t="s">
        <v>487</v>
      </c>
      <c r="I190" s="2" t="s">
        <v>19</v>
      </c>
      <c r="J190" s="2" t="s">
        <v>2428</v>
      </c>
      <c r="K190" s="7" t="str">
        <f>HYPERLINK("http://slimages.macys.com/is/image/MCY/11807039 ")</f>
        <v xml:space="preserve">http://slimages.macys.com/is/image/MCY/11807039 </v>
      </c>
    </row>
    <row r="191" spans="1:11" ht="24.75" x14ac:dyDescent="0.25">
      <c r="A191" s="4" t="s">
        <v>2429</v>
      </c>
      <c r="B191" s="2" t="s">
        <v>2430</v>
      </c>
      <c r="C191" s="5">
        <v>59.5</v>
      </c>
      <c r="D191" s="3" t="s">
        <v>2431</v>
      </c>
      <c r="E191" s="2" t="s">
        <v>64</v>
      </c>
      <c r="F191" s="6" t="s">
        <v>39</v>
      </c>
      <c r="G191" s="2" t="s">
        <v>386</v>
      </c>
      <c r="H191" s="2" t="s">
        <v>337</v>
      </c>
      <c r="I191" s="2" t="s">
        <v>19</v>
      </c>
      <c r="J191" s="2" t="s">
        <v>387</v>
      </c>
      <c r="K191" s="7" t="str">
        <f>HYPERLINK("http://slimages.macys.com/is/image/MCY/9477891 ")</f>
        <v xml:space="preserve">http://slimages.macys.com/is/image/MCY/9477891 </v>
      </c>
    </row>
    <row r="192" spans="1:11" ht="24.75" x14ac:dyDescent="0.25">
      <c r="A192" s="4" t="s">
        <v>2432</v>
      </c>
      <c r="B192" s="2" t="s">
        <v>818</v>
      </c>
      <c r="C192" s="5">
        <v>36.5</v>
      </c>
      <c r="D192" s="3" t="s">
        <v>819</v>
      </c>
      <c r="E192" s="2" t="s">
        <v>820</v>
      </c>
      <c r="F192" s="6" t="s">
        <v>181</v>
      </c>
      <c r="G192" s="2" t="s">
        <v>194</v>
      </c>
      <c r="H192" s="2" t="s">
        <v>195</v>
      </c>
      <c r="I192" s="2" t="s">
        <v>19</v>
      </c>
      <c r="J192" s="2" t="s">
        <v>201</v>
      </c>
      <c r="K192" s="7" t="str">
        <f>HYPERLINK("http://slimages.macys.com/is/image/MCY/11935616 ")</f>
        <v xml:space="preserve">http://slimages.macys.com/is/image/MCY/11935616 </v>
      </c>
    </row>
    <row r="193" spans="1:11" ht="24.75" x14ac:dyDescent="0.25">
      <c r="A193" s="4" t="s">
        <v>821</v>
      </c>
      <c r="B193" s="2" t="s">
        <v>818</v>
      </c>
      <c r="C193" s="5">
        <v>36.5</v>
      </c>
      <c r="D193" s="3" t="s">
        <v>819</v>
      </c>
      <c r="E193" s="2" t="s">
        <v>820</v>
      </c>
      <c r="F193" s="6" t="s">
        <v>154</v>
      </c>
      <c r="G193" s="2" t="s">
        <v>194</v>
      </c>
      <c r="H193" s="2" t="s">
        <v>195</v>
      </c>
      <c r="I193" s="2" t="s">
        <v>19</v>
      </c>
      <c r="J193" s="2" t="s">
        <v>201</v>
      </c>
      <c r="K193" s="7" t="str">
        <f>HYPERLINK("http://slimages.macys.com/is/image/MCY/11935616 ")</f>
        <v xml:space="preserve">http://slimages.macys.com/is/image/MCY/11935616 </v>
      </c>
    </row>
    <row r="194" spans="1:11" ht="24.75" x14ac:dyDescent="0.25">
      <c r="A194" s="4" t="s">
        <v>817</v>
      </c>
      <c r="B194" s="2" t="s">
        <v>818</v>
      </c>
      <c r="C194" s="5">
        <v>36.5</v>
      </c>
      <c r="D194" s="3" t="s">
        <v>819</v>
      </c>
      <c r="E194" s="2" t="s">
        <v>820</v>
      </c>
      <c r="F194" s="6" t="s">
        <v>234</v>
      </c>
      <c r="G194" s="2" t="s">
        <v>194</v>
      </c>
      <c r="H194" s="2" t="s">
        <v>195</v>
      </c>
      <c r="I194" s="2" t="s">
        <v>19</v>
      </c>
      <c r="J194" s="2" t="s">
        <v>201</v>
      </c>
      <c r="K194" s="7" t="str">
        <f>HYPERLINK("http://slimages.macys.com/is/image/MCY/11935616 ")</f>
        <v xml:space="preserve">http://slimages.macys.com/is/image/MCY/11935616 </v>
      </c>
    </row>
    <row r="195" spans="1:11" ht="24.75" x14ac:dyDescent="0.25">
      <c r="A195" s="4" t="s">
        <v>822</v>
      </c>
      <c r="B195" s="2" t="s">
        <v>818</v>
      </c>
      <c r="C195" s="5">
        <v>36.5</v>
      </c>
      <c r="D195" s="3" t="s">
        <v>819</v>
      </c>
      <c r="E195" s="2" t="s">
        <v>820</v>
      </c>
      <c r="F195" s="6" t="s">
        <v>156</v>
      </c>
      <c r="G195" s="2" t="s">
        <v>194</v>
      </c>
      <c r="H195" s="2" t="s">
        <v>195</v>
      </c>
      <c r="I195" s="2" t="s">
        <v>19</v>
      </c>
      <c r="J195" s="2" t="s">
        <v>201</v>
      </c>
      <c r="K195" s="7" t="str">
        <f>HYPERLINK("http://slimages.macys.com/is/image/MCY/11935616 ")</f>
        <v xml:space="preserve">http://slimages.macys.com/is/image/MCY/11935616 </v>
      </c>
    </row>
    <row r="196" spans="1:11" ht="24.75" x14ac:dyDescent="0.25">
      <c r="A196" s="4" t="s">
        <v>2433</v>
      </c>
      <c r="B196" s="2" t="s">
        <v>824</v>
      </c>
      <c r="C196" s="5">
        <v>36.5</v>
      </c>
      <c r="D196" s="3" t="s">
        <v>825</v>
      </c>
      <c r="E196" s="2" t="s">
        <v>26</v>
      </c>
      <c r="F196" s="6" t="s">
        <v>181</v>
      </c>
      <c r="G196" s="2" t="s">
        <v>194</v>
      </c>
      <c r="H196" s="2" t="s">
        <v>307</v>
      </c>
      <c r="I196" s="2" t="s">
        <v>19</v>
      </c>
      <c r="J196" s="2" t="s">
        <v>160</v>
      </c>
      <c r="K196" s="7" t="str">
        <f>HYPERLINK("http://slimages.macys.com/is/image/MCY/11936006 ")</f>
        <v xml:space="preserve">http://slimages.macys.com/is/image/MCY/11936006 </v>
      </c>
    </row>
    <row r="197" spans="1:11" ht="24.75" x14ac:dyDescent="0.25">
      <c r="A197" s="4" t="s">
        <v>2434</v>
      </c>
      <c r="B197" s="2" t="s">
        <v>824</v>
      </c>
      <c r="C197" s="5">
        <v>36.5</v>
      </c>
      <c r="D197" s="3" t="s">
        <v>825</v>
      </c>
      <c r="E197" s="2" t="s">
        <v>26</v>
      </c>
      <c r="F197" s="6" t="s">
        <v>156</v>
      </c>
      <c r="G197" s="2" t="s">
        <v>194</v>
      </c>
      <c r="H197" s="2" t="s">
        <v>307</v>
      </c>
      <c r="I197" s="2" t="s">
        <v>19</v>
      </c>
      <c r="J197" s="2" t="s">
        <v>160</v>
      </c>
      <c r="K197" s="7" t="str">
        <f>HYPERLINK("http://slimages.macys.com/is/image/MCY/11936006 ")</f>
        <v xml:space="preserve">http://slimages.macys.com/is/image/MCY/11936006 </v>
      </c>
    </row>
    <row r="198" spans="1:11" ht="24.75" x14ac:dyDescent="0.25">
      <c r="A198" s="4" t="s">
        <v>2435</v>
      </c>
      <c r="B198" s="2" t="s">
        <v>824</v>
      </c>
      <c r="C198" s="5">
        <v>36.5</v>
      </c>
      <c r="D198" s="3" t="s">
        <v>825</v>
      </c>
      <c r="E198" s="2" t="s">
        <v>26</v>
      </c>
      <c r="F198" s="6" t="s">
        <v>154</v>
      </c>
      <c r="G198" s="2" t="s">
        <v>194</v>
      </c>
      <c r="H198" s="2" t="s">
        <v>307</v>
      </c>
      <c r="I198" s="2" t="s">
        <v>19</v>
      </c>
      <c r="J198" s="2" t="s">
        <v>160</v>
      </c>
      <c r="K198" s="7" t="str">
        <f>HYPERLINK("http://slimages.macys.com/is/image/MCY/11936006 ")</f>
        <v xml:space="preserve">http://slimages.macys.com/is/image/MCY/11936006 </v>
      </c>
    </row>
    <row r="199" spans="1:11" ht="24.75" x14ac:dyDescent="0.25">
      <c r="A199" s="4" t="s">
        <v>2436</v>
      </c>
      <c r="B199" s="2" t="s">
        <v>2437</v>
      </c>
      <c r="C199" s="5">
        <v>48</v>
      </c>
      <c r="D199" s="3">
        <v>100053912</v>
      </c>
      <c r="E199" s="2" t="s">
        <v>74</v>
      </c>
      <c r="F199" s="6" t="s">
        <v>22</v>
      </c>
      <c r="G199" s="2" t="s">
        <v>228</v>
      </c>
      <c r="H199" s="2" t="s">
        <v>229</v>
      </c>
      <c r="I199" s="2" t="s">
        <v>19</v>
      </c>
      <c r="J199" s="2" t="s">
        <v>253</v>
      </c>
      <c r="K199" s="7" t="str">
        <f>HYPERLINK("http://slimages.macys.com/is/image/MCY/11937890 ")</f>
        <v xml:space="preserve">http://slimages.macys.com/is/image/MCY/11937890 </v>
      </c>
    </row>
    <row r="200" spans="1:11" ht="24.75" x14ac:dyDescent="0.25">
      <c r="A200" s="4" t="s">
        <v>2438</v>
      </c>
      <c r="B200" s="2" t="s">
        <v>2439</v>
      </c>
      <c r="C200" s="5">
        <v>44.63</v>
      </c>
      <c r="D200" s="3" t="s">
        <v>2440</v>
      </c>
      <c r="E200" s="2" t="s">
        <v>956</v>
      </c>
      <c r="F200" s="6" t="s">
        <v>156</v>
      </c>
      <c r="G200" s="2" t="s">
        <v>194</v>
      </c>
      <c r="H200" s="2" t="s">
        <v>195</v>
      </c>
      <c r="I200" s="2" t="s">
        <v>19</v>
      </c>
      <c r="J200" s="2" t="s">
        <v>34</v>
      </c>
      <c r="K200" s="7" t="str">
        <f>HYPERLINK("http://slimages.macys.com/is/image/MCY/11527019 ")</f>
        <v xml:space="preserve">http://slimages.macys.com/is/image/MCY/11527019 </v>
      </c>
    </row>
    <row r="201" spans="1:11" ht="24.75" x14ac:dyDescent="0.25">
      <c r="A201" s="4" t="s">
        <v>2441</v>
      </c>
      <c r="B201" s="2" t="s">
        <v>2439</v>
      </c>
      <c r="C201" s="5">
        <v>44.63</v>
      </c>
      <c r="D201" s="3" t="s">
        <v>2440</v>
      </c>
      <c r="E201" s="2" t="s">
        <v>956</v>
      </c>
      <c r="F201" s="6" t="s">
        <v>245</v>
      </c>
      <c r="G201" s="2" t="s">
        <v>194</v>
      </c>
      <c r="H201" s="2" t="s">
        <v>195</v>
      </c>
      <c r="I201" s="2" t="s">
        <v>19</v>
      </c>
      <c r="J201" s="2" t="s">
        <v>34</v>
      </c>
      <c r="K201" s="7" t="str">
        <f>HYPERLINK("http://slimages.macys.com/is/image/MCY/11527019 ")</f>
        <v xml:space="preserve">http://slimages.macys.com/is/image/MCY/11527019 </v>
      </c>
    </row>
    <row r="202" spans="1:11" ht="24.75" x14ac:dyDescent="0.25">
      <c r="A202" s="4" t="s">
        <v>830</v>
      </c>
      <c r="B202" s="2" t="s">
        <v>827</v>
      </c>
      <c r="C202" s="5">
        <v>37.130000000000003</v>
      </c>
      <c r="D202" s="3">
        <v>100009535</v>
      </c>
      <c r="E202" s="2" t="s">
        <v>376</v>
      </c>
      <c r="F202" s="6" t="s">
        <v>22</v>
      </c>
      <c r="G202" s="2" t="s">
        <v>194</v>
      </c>
      <c r="H202" s="2" t="s">
        <v>503</v>
      </c>
      <c r="I202" s="2" t="s">
        <v>19</v>
      </c>
      <c r="J202" s="2" t="s">
        <v>353</v>
      </c>
      <c r="K202" s="7" t="str">
        <f>HYPERLINK("http://slimages.macys.com/is/image/MCY/9340634 ")</f>
        <v xml:space="preserve">http://slimages.macys.com/is/image/MCY/9340634 </v>
      </c>
    </row>
    <row r="203" spans="1:11" ht="24.75" x14ac:dyDescent="0.25">
      <c r="A203" s="4" t="s">
        <v>829</v>
      </c>
      <c r="B203" s="2" t="s">
        <v>827</v>
      </c>
      <c r="C203" s="5">
        <v>37.130000000000003</v>
      </c>
      <c r="D203" s="3">
        <v>100009535</v>
      </c>
      <c r="E203" s="2" t="s">
        <v>376</v>
      </c>
      <c r="F203" s="6" t="s">
        <v>112</v>
      </c>
      <c r="G203" s="2" t="s">
        <v>194</v>
      </c>
      <c r="H203" s="2" t="s">
        <v>503</v>
      </c>
      <c r="I203" s="2" t="s">
        <v>19</v>
      </c>
      <c r="J203" s="2" t="s">
        <v>353</v>
      </c>
      <c r="K203" s="7" t="str">
        <f>HYPERLINK("http://slimages.macys.com/is/image/MCY/9340634 ")</f>
        <v xml:space="preserve">http://slimages.macys.com/is/image/MCY/9340634 </v>
      </c>
    </row>
    <row r="204" spans="1:11" ht="24.75" x14ac:dyDescent="0.25">
      <c r="A204" s="4" t="s">
        <v>2442</v>
      </c>
      <c r="B204" s="2" t="s">
        <v>827</v>
      </c>
      <c r="C204" s="5">
        <v>37.130000000000003</v>
      </c>
      <c r="D204" s="3">
        <v>100009535</v>
      </c>
      <c r="E204" s="2" t="s">
        <v>566</v>
      </c>
      <c r="F204" s="6" t="s">
        <v>16</v>
      </c>
      <c r="G204" s="2" t="s">
        <v>194</v>
      </c>
      <c r="H204" s="2" t="s">
        <v>503</v>
      </c>
      <c r="I204" s="2" t="s">
        <v>19</v>
      </c>
      <c r="J204" s="2" t="s">
        <v>353</v>
      </c>
      <c r="K204" s="7" t="str">
        <f>HYPERLINK("http://slimages.macys.com/is/image/MCY/9340634 ")</f>
        <v xml:space="preserve">http://slimages.macys.com/is/image/MCY/9340634 </v>
      </c>
    </row>
    <row r="205" spans="1:11" ht="24.75" x14ac:dyDescent="0.25">
      <c r="A205" s="4" t="s">
        <v>2443</v>
      </c>
      <c r="B205" s="2" t="s">
        <v>827</v>
      </c>
      <c r="C205" s="5">
        <v>37.130000000000003</v>
      </c>
      <c r="D205" s="3">
        <v>100009535</v>
      </c>
      <c r="E205" s="2" t="s">
        <v>64</v>
      </c>
      <c r="F205" s="6" t="s">
        <v>106</v>
      </c>
      <c r="G205" s="2" t="s">
        <v>194</v>
      </c>
      <c r="H205" s="2" t="s">
        <v>503</v>
      </c>
      <c r="I205" s="2" t="s">
        <v>19</v>
      </c>
      <c r="J205" s="2" t="s">
        <v>353</v>
      </c>
      <c r="K205" s="7" t="str">
        <f>HYPERLINK("http://slimages.macys.com/is/image/MCY/9340634 ")</f>
        <v xml:space="preserve">http://slimages.macys.com/is/image/MCY/9340634 </v>
      </c>
    </row>
    <row r="206" spans="1:11" ht="24.75" x14ac:dyDescent="0.25">
      <c r="A206" s="4" t="s">
        <v>2444</v>
      </c>
      <c r="B206" s="2" t="s">
        <v>2439</v>
      </c>
      <c r="C206" s="5">
        <v>44.63</v>
      </c>
      <c r="D206" s="3" t="s">
        <v>2440</v>
      </c>
      <c r="E206" s="2" t="s">
        <v>956</v>
      </c>
      <c r="F206" s="6" t="s">
        <v>181</v>
      </c>
      <c r="G206" s="2" t="s">
        <v>194</v>
      </c>
      <c r="H206" s="2" t="s">
        <v>195</v>
      </c>
      <c r="I206" s="2" t="s">
        <v>19</v>
      </c>
      <c r="J206" s="2" t="s">
        <v>34</v>
      </c>
      <c r="K206" s="7" t="str">
        <f>HYPERLINK("http://slimages.macys.com/is/image/MCY/11527019 ")</f>
        <v xml:space="preserve">http://slimages.macys.com/is/image/MCY/11527019 </v>
      </c>
    </row>
    <row r="207" spans="1:11" ht="24.75" x14ac:dyDescent="0.25">
      <c r="A207" s="4" t="s">
        <v>2445</v>
      </c>
      <c r="B207" s="2" t="s">
        <v>2439</v>
      </c>
      <c r="C207" s="5">
        <v>44.63</v>
      </c>
      <c r="D207" s="3" t="s">
        <v>2440</v>
      </c>
      <c r="E207" s="2" t="s">
        <v>956</v>
      </c>
      <c r="F207" s="6" t="s">
        <v>154</v>
      </c>
      <c r="G207" s="2" t="s">
        <v>194</v>
      </c>
      <c r="H207" s="2" t="s">
        <v>195</v>
      </c>
      <c r="I207" s="2" t="s">
        <v>19</v>
      </c>
      <c r="J207" s="2" t="s">
        <v>34</v>
      </c>
      <c r="K207" s="7" t="str">
        <f>HYPERLINK("http://slimages.macys.com/is/image/MCY/11527019 ")</f>
        <v xml:space="preserve">http://slimages.macys.com/is/image/MCY/11527019 </v>
      </c>
    </row>
    <row r="208" spans="1:11" ht="24.75" x14ac:dyDescent="0.25">
      <c r="A208" s="4" t="s">
        <v>2446</v>
      </c>
      <c r="B208" s="2" t="s">
        <v>2447</v>
      </c>
      <c r="C208" s="5">
        <v>37.130000000000003</v>
      </c>
      <c r="D208" s="3">
        <v>100015637</v>
      </c>
      <c r="E208" s="2" t="s">
        <v>15</v>
      </c>
      <c r="F208" s="6" t="s">
        <v>245</v>
      </c>
      <c r="G208" s="2" t="s">
        <v>194</v>
      </c>
      <c r="H208" s="2" t="s">
        <v>195</v>
      </c>
      <c r="I208" s="2" t="s">
        <v>19</v>
      </c>
      <c r="J208" s="2" t="s">
        <v>247</v>
      </c>
      <c r="K208" s="7" t="str">
        <f>HYPERLINK("http://slimages.macys.com/is/image/MCY/9557664 ")</f>
        <v xml:space="preserve">http://slimages.macys.com/is/image/MCY/9557664 </v>
      </c>
    </row>
    <row r="209" spans="1:11" ht="24.75" x14ac:dyDescent="0.25">
      <c r="A209" s="4" t="s">
        <v>2448</v>
      </c>
      <c r="B209" s="2" t="s">
        <v>2449</v>
      </c>
      <c r="C209" s="5">
        <v>40.880000000000003</v>
      </c>
      <c r="D209" s="3" t="s">
        <v>2450</v>
      </c>
      <c r="E209" s="2" t="s">
        <v>53</v>
      </c>
      <c r="F209" s="6" t="s">
        <v>181</v>
      </c>
      <c r="G209" s="2" t="s">
        <v>284</v>
      </c>
      <c r="H209" s="2" t="s">
        <v>285</v>
      </c>
      <c r="I209" s="2" t="s">
        <v>19</v>
      </c>
      <c r="J209" s="2" t="s">
        <v>160</v>
      </c>
      <c r="K209" s="7" t="str">
        <f>HYPERLINK("http://slimages.macys.com/is/image/MCY/13338892 ")</f>
        <v xml:space="preserve">http://slimages.macys.com/is/image/MCY/13338892 </v>
      </c>
    </row>
    <row r="210" spans="1:11" ht="24.75" x14ac:dyDescent="0.25">
      <c r="A210" s="4" t="s">
        <v>2451</v>
      </c>
      <c r="B210" s="2" t="s">
        <v>837</v>
      </c>
      <c r="C210" s="5">
        <v>40.880000000000003</v>
      </c>
      <c r="D210" s="3" t="s">
        <v>838</v>
      </c>
      <c r="E210" s="2" t="s">
        <v>57</v>
      </c>
      <c r="F210" s="6" t="s">
        <v>802</v>
      </c>
      <c r="G210" s="2" t="s">
        <v>188</v>
      </c>
      <c r="H210" s="2" t="s">
        <v>189</v>
      </c>
      <c r="I210" s="2" t="s">
        <v>19</v>
      </c>
      <c r="J210" s="2" t="s">
        <v>839</v>
      </c>
      <c r="K210" s="7" t="str">
        <f>HYPERLINK("http://slimages.macys.com/is/image/MCY/11940229 ")</f>
        <v xml:space="preserve">http://slimages.macys.com/is/image/MCY/11940229 </v>
      </c>
    </row>
    <row r="211" spans="1:11" ht="24.75" x14ac:dyDescent="0.25">
      <c r="A211" s="4" t="s">
        <v>2452</v>
      </c>
      <c r="B211" s="2" t="s">
        <v>837</v>
      </c>
      <c r="C211" s="5">
        <v>40.880000000000003</v>
      </c>
      <c r="D211" s="3" t="s">
        <v>838</v>
      </c>
      <c r="E211" s="2" t="s">
        <v>57</v>
      </c>
      <c r="F211" s="6" t="s">
        <v>165</v>
      </c>
      <c r="G211" s="2" t="s">
        <v>188</v>
      </c>
      <c r="H211" s="2" t="s">
        <v>189</v>
      </c>
      <c r="I211" s="2" t="s">
        <v>19</v>
      </c>
      <c r="J211" s="2" t="s">
        <v>839</v>
      </c>
      <c r="K211" s="7" t="str">
        <f>HYPERLINK("http://slimages.macys.com/is/image/MCY/11940229 ")</f>
        <v xml:space="preserve">http://slimages.macys.com/is/image/MCY/11940229 </v>
      </c>
    </row>
    <row r="212" spans="1:11" ht="24.75" x14ac:dyDescent="0.25">
      <c r="A212" s="4" t="s">
        <v>2453</v>
      </c>
      <c r="B212" s="2" t="s">
        <v>837</v>
      </c>
      <c r="C212" s="5">
        <v>40.880000000000003</v>
      </c>
      <c r="D212" s="3" t="s">
        <v>838</v>
      </c>
      <c r="E212" s="2" t="s">
        <v>57</v>
      </c>
      <c r="F212" s="6" t="s">
        <v>934</v>
      </c>
      <c r="G212" s="2" t="s">
        <v>188</v>
      </c>
      <c r="H212" s="2" t="s">
        <v>189</v>
      </c>
      <c r="I212" s="2" t="s">
        <v>19</v>
      </c>
      <c r="J212" s="2" t="s">
        <v>839</v>
      </c>
      <c r="K212" s="7" t="str">
        <f>HYPERLINK("http://slimages.macys.com/is/image/MCY/11940229 ")</f>
        <v xml:space="preserve">http://slimages.macys.com/is/image/MCY/11940229 </v>
      </c>
    </row>
    <row r="213" spans="1:11" ht="48.75" x14ac:dyDescent="0.25">
      <c r="A213" s="4" t="s">
        <v>2454</v>
      </c>
      <c r="B213" s="2" t="s">
        <v>841</v>
      </c>
      <c r="C213" s="5">
        <v>34.99</v>
      </c>
      <c r="D213" s="3" t="s">
        <v>842</v>
      </c>
      <c r="E213" s="2" t="s">
        <v>26</v>
      </c>
      <c r="F213" s="6" t="s">
        <v>499</v>
      </c>
      <c r="G213" s="2" t="s">
        <v>349</v>
      </c>
      <c r="H213" s="2" t="s">
        <v>408</v>
      </c>
      <c r="I213" s="2" t="s">
        <v>19</v>
      </c>
      <c r="J213" s="2" t="s">
        <v>787</v>
      </c>
      <c r="K213" s="7" t="str">
        <f>HYPERLINK("http://slimages.macys.com/is/image/MCY/3935281 ")</f>
        <v xml:space="preserve">http://slimages.macys.com/is/image/MCY/3935281 </v>
      </c>
    </row>
    <row r="214" spans="1:11" ht="48.75" x14ac:dyDescent="0.25">
      <c r="A214" s="4" t="s">
        <v>846</v>
      </c>
      <c r="B214" s="2" t="s">
        <v>841</v>
      </c>
      <c r="C214" s="5">
        <v>34.99</v>
      </c>
      <c r="D214" s="3" t="s">
        <v>842</v>
      </c>
      <c r="E214" s="2" t="s">
        <v>26</v>
      </c>
      <c r="F214" s="6" t="s">
        <v>847</v>
      </c>
      <c r="G214" s="2" t="s">
        <v>349</v>
      </c>
      <c r="H214" s="2" t="s">
        <v>408</v>
      </c>
      <c r="I214" s="2" t="s">
        <v>19</v>
      </c>
      <c r="J214" s="2" t="s">
        <v>787</v>
      </c>
      <c r="K214" s="7" t="str">
        <f>HYPERLINK("http://slimages.macys.com/is/image/MCY/3935281 ")</f>
        <v xml:space="preserve">http://slimages.macys.com/is/image/MCY/3935281 </v>
      </c>
    </row>
    <row r="215" spans="1:11" ht="48.75" x14ac:dyDescent="0.25">
      <c r="A215" s="4" t="s">
        <v>2455</v>
      </c>
      <c r="B215" s="2" t="s">
        <v>841</v>
      </c>
      <c r="C215" s="5">
        <v>34.99</v>
      </c>
      <c r="D215" s="3" t="s">
        <v>842</v>
      </c>
      <c r="E215" s="2" t="s">
        <v>26</v>
      </c>
      <c r="F215" s="6" t="s">
        <v>2456</v>
      </c>
      <c r="G215" s="2" t="s">
        <v>349</v>
      </c>
      <c r="H215" s="2" t="s">
        <v>408</v>
      </c>
      <c r="I215" s="2" t="s">
        <v>19</v>
      </c>
      <c r="J215" s="2" t="s">
        <v>787</v>
      </c>
      <c r="K215" s="7" t="str">
        <f>HYPERLINK("http://slimages.macys.com/is/image/MCY/3935281 ")</f>
        <v xml:space="preserve">http://slimages.macys.com/is/image/MCY/3935281 </v>
      </c>
    </row>
    <row r="216" spans="1:11" ht="48.75" x14ac:dyDescent="0.25">
      <c r="A216" s="4" t="s">
        <v>2457</v>
      </c>
      <c r="B216" s="2" t="s">
        <v>841</v>
      </c>
      <c r="C216" s="5">
        <v>34.99</v>
      </c>
      <c r="D216" s="3" t="s">
        <v>842</v>
      </c>
      <c r="E216" s="2" t="s">
        <v>26</v>
      </c>
      <c r="F216" s="6" t="s">
        <v>2458</v>
      </c>
      <c r="G216" s="2" t="s">
        <v>349</v>
      </c>
      <c r="H216" s="2" t="s">
        <v>408</v>
      </c>
      <c r="I216" s="2" t="s">
        <v>19</v>
      </c>
      <c r="J216" s="2" t="s">
        <v>787</v>
      </c>
      <c r="K216" s="7" t="str">
        <f>HYPERLINK("http://slimages.macys.com/is/image/MCY/3935281 ")</f>
        <v xml:space="preserve">http://slimages.macys.com/is/image/MCY/3935281 </v>
      </c>
    </row>
    <row r="217" spans="1:11" ht="24.75" x14ac:dyDescent="0.25">
      <c r="A217" s="4" t="s">
        <v>2459</v>
      </c>
      <c r="B217" s="2" t="s">
        <v>2460</v>
      </c>
      <c r="C217" s="5">
        <v>34.880000000000003</v>
      </c>
      <c r="D217" s="3" t="s">
        <v>2461</v>
      </c>
      <c r="E217" s="2" t="s">
        <v>26</v>
      </c>
      <c r="F217" s="6" t="s">
        <v>126</v>
      </c>
      <c r="G217" s="2" t="s">
        <v>312</v>
      </c>
      <c r="H217" s="2" t="s">
        <v>503</v>
      </c>
      <c r="I217" s="2" t="s">
        <v>19</v>
      </c>
      <c r="J217" s="2" t="s">
        <v>353</v>
      </c>
      <c r="K217" s="7" t="str">
        <f>HYPERLINK("http://slimages.macys.com/is/image/MCY/9325305 ")</f>
        <v xml:space="preserve">http://slimages.macys.com/is/image/MCY/9325305 </v>
      </c>
    </row>
    <row r="218" spans="1:11" ht="24.75" x14ac:dyDescent="0.25">
      <c r="A218" s="4" t="s">
        <v>2462</v>
      </c>
      <c r="B218" s="2" t="s">
        <v>849</v>
      </c>
      <c r="C218" s="5">
        <v>40.65</v>
      </c>
      <c r="D218" s="3" t="s">
        <v>850</v>
      </c>
      <c r="E218" s="2" t="s">
        <v>74</v>
      </c>
      <c r="F218" s="6" t="s">
        <v>181</v>
      </c>
      <c r="G218" s="2" t="s">
        <v>182</v>
      </c>
      <c r="H218" s="2" t="s">
        <v>183</v>
      </c>
      <c r="I218" s="2" t="s">
        <v>19</v>
      </c>
      <c r="J218" s="2" t="s">
        <v>851</v>
      </c>
      <c r="K218" s="7" t="str">
        <f>HYPERLINK("http://slimages.macys.com/is/image/MCY/12851655 ")</f>
        <v xml:space="preserve">http://slimages.macys.com/is/image/MCY/12851655 </v>
      </c>
    </row>
    <row r="219" spans="1:11" ht="24.75" x14ac:dyDescent="0.25">
      <c r="A219" s="4" t="s">
        <v>2463</v>
      </c>
      <c r="B219" s="2" t="s">
        <v>856</v>
      </c>
      <c r="C219" s="5">
        <v>48</v>
      </c>
      <c r="D219" s="3">
        <v>100013497</v>
      </c>
      <c r="E219" s="2" t="s">
        <v>252</v>
      </c>
      <c r="F219" s="6" t="s">
        <v>22</v>
      </c>
      <c r="G219" s="2" t="s">
        <v>228</v>
      </c>
      <c r="H219" s="2" t="s">
        <v>857</v>
      </c>
      <c r="I219" s="2" t="s">
        <v>19</v>
      </c>
      <c r="J219" s="2" t="s">
        <v>387</v>
      </c>
      <c r="K219" s="7" t="str">
        <f>HYPERLINK("http://slimages.macys.com/is/image/MCY/9478981 ")</f>
        <v xml:space="preserve">http://slimages.macys.com/is/image/MCY/9478981 </v>
      </c>
    </row>
    <row r="220" spans="1:11" ht="24.75" x14ac:dyDescent="0.25">
      <c r="A220" s="4" t="s">
        <v>855</v>
      </c>
      <c r="B220" s="2" t="s">
        <v>856</v>
      </c>
      <c r="C220" s="5">
        <v>48</v>
      </c>
      <c r="D220" s="3">
        <v>100013497</v>
      </c>
      <c r="E220" s="2" t="s">
        <v>252</v>
      </c>
      <c r="F220" s="6" t="s">
        <v>16</v>
      </c>
      <c r="G220" s="2" t="s">
        <v>228</v>
      </c>
      <c r="H220" s="2" t="s">
        <v>857</v>
      </c>
      <c r="I220" s="2" t="s">
        <v>19</v>
      </c>
      <c r="J220" s="2" t="s">
        <v>387</v>
      </c>
      <c r="K220" s="7" t="str">
        <f>HYPERLINK("http://slimages.macys.com/is/image/MCY/9478981 ")</f>
        <v xml:space="preserve">http://slimages.macys.com/is/image/MCY/9478981 </v>
      </c>
    </row>
    <row r="221" spans="1:11" ht="24.75" x14ac:dyDescent="0.25">
      <c r="A221" s="4" t="s">
        <v>2464</v>
      </c>
      <c r="B221" s="2" t="s">
        <v>818</v>
      </c>
      <c r="C221" s="5">
        <v>36.5</v>
      </c>
      <c r="D221" s="3" t="s">
        <v>2465</v>
      </c>
      <c r="E221" s="2" t="s">
        <v>26</v>
      </c>
      <c r="F221" s="6" t="s">
        <v>181</v>
      </c>
      <c r="G221" s="2" t="s">
        <v>194</v>
      </c>
      <c r="H221" s="2" t="s">
        <v>195</v>
      </c>
      <c r="I221" s="2" t="s">
        <v>19</v>
      </c>
      <c r="J221" s="2" t="s">
        <v>247</v>
      </c>
      <c r="K221" s="7" t="str">
        <f>HYPERLINK("http://slimages.macys.com/is/image/MCY/11764566 ")</f>
        <v xml:space="preserve">http://slimages.macys.com/is/image/MCY/11764566 </v>
      </c>
    </row>
    <row r="222" spans="1:11" ht="24.75" x14ac:dyDescent="0.25">
      <c r="A222" s="4" t="s">
        <v>2466</v>
      </c>
      <c r="B222" s="2" t="s">
        <v>818</v>
      </c>
      <c r="C222" s="5">
        <v>36.5</v>
      </c>
      <c r="D222" s="3" t="s">
        <v>2465</v>
      </c>
      <c r="E222" s="2" t="s">
        <v>26</v>
      </c>
      <c r="F222" s="6" t="s">
        <v>156</v>
      </c>
      <c r="G222" s="2" t="s">
        <v>194</v>
      </c>
      <c r="H222" s="2" t="s">
        <v>195</v>
      </c>
      <c r="I222" s="2" t="s">
        <v>19</v>
      </c>
      <c r="J222" s="2" t="s">
        <v>247</v>
      </c>
      <c r="K222" s="7" t="str">
        <f>HYPERLINK("http://slimages.macys.com/is/image/MCY/11764566 ")</f>
        <v xml:space="preserve">http://slimages.macys.com/is/image/MCY/11764566 </v>
      </c>
    </row>
    <row r="223" spans="1:11" ht="24.75" x14ac:dyDescent="0.25">
      <c r="A223" s="4" t="s">
        <v>2467</v>
      </c>
      <c r="B223" s="2" t="s">
        <v>818</v>
      </c>
      <c r="C223" s="5">
        <v>36.5</v>
      </c>
      <c r="D223" s="3" t="s">
        <v>2465</v>
      </c>
      <c r="E223" s="2" t="s">
        <v>26</v>
      </c>
      <c r="F223" s="6" t="s">
        <v>234</v>
      </c>
      <c r="G223" s="2" t="s">
        <v>194</v>
      </c>
      <c r="H223" s="2" t="s">
        <v>195</v>
      </c>
      <c r="I223" s="2" t="s">
        <v>19</v>
      </c>
      <c r="J223" s="2" t="s">
        <v>247</v>
      </c>
      <c r="K223" s="7" t="str">
        <f>HYPERLINK("http://slimages.macys.com/is/image/MCY/11764566 ")</f>
        <v xml:space="preserve">http://slimages.macys.com/is/image/MCY/11764566 </v>
      </c>
    </row>
    <row r="224" spans="1:11" ht="24.75" x14ac:dyDescent="0.25">
      <c r="A224" s="4" t="s">
        <v>2468</v>
      </c>
      <c r="B224" s="2" t="s">
        <v>2469</v>
      </c>
      <c r="C224" s="5">
        <v>69.5</v>
      </c>
      <c r="D224" s="3" t="s">
        <v>2470</v>
      </c>
      <c r="E224" s="2" t="s">
        <v>74</v>
      </c>
      <c r="F224" s="6" t="s">
        <v>165</v>
      </c>
      <c r="G224" s="2" t="s">
        <v>206</v>
      </c>
      <c r="H224" s="2" t="s">
        <v>1010</v>
      </c>
      <c r="I224" s="2" t="s">
        <v>19</v>
      </c>
      <c r="J224" s="2" t="s">
        <v>409</v>
      </c>
      <c r="K224" s="7" t="str">
        <f>HYPERLINK("http://slimages.macys.com/is/image/MCY/10892400 ")</f>
        <v xml:space="preserve">http://slimages.macys.com/is/image/MCY/10892400 </v>
      </c>
    </row>
    <row r="225" spans="1:11" ht="24.75" x14ac:dyDescent="0.25">
      <c r="A225" s="4" t="s">
        <v>2471</v>
      </c>
      <c r="B225" s="2" t="s">
        <v>2472</v>
      </c>
      <c r="C225" s="5">
        <v>45</v>
      </c>
      <c r="D225" s="3" t="s">
        <v>2473</v>
      </c>
      <c r="E225" s="2" t="s">
        <v>15</v>
      </c>
      <c r="F225" s="6" t="s">
        <v>446</v>
      </c>
      <c r="G225" s="2" t="s">
        <v>447</v>
      </c>
      <c r="H225" s="2" t="s">
        <v>792</v>
      </c>
      <c r="I225" s="2" t="s">
        <v>2474</v>
      </c>
      <c r="J225" s="2" t="s">
        <v>160</v>
      </c>
      <c r="K225" s="7" t="str">
        <f>HYPERLINK("http://slimages.macys.com/is/image/MCY/12258294 ")</f>
        <v xml:space="preserve">http://slimages.macys.com/is/image/MCY/12258294 </v>
      </c>
    </row>
    <row r="226" spans="1:11" ht="24.75" x14ac:dyDescent="0.25">
      <c r="A226" s="4" t="s">
        <v>2475</v>
      </c>
      <c r="B226" s="2" t="s">
        <v>2476</v>
      </c>
      <c r="C226" s="5">
        <v>40.880000000000003</v>
      </c>
      <c r="D226" s="3" t="s">
        <v>2477</v>
      </c>
      <c r="E226" s="2" t="s">
        <v>752</v>
      </c>
      <c r="F226" s="6" t="s">
        <v>154</v>
      </c>
      <c r="G226" s="2" t="s">
        <v>194</v>
      </c>
      <c r="H226" s="2" t="s">
        <v>195</v>
      </c>
      <c r="I226" s="2" t="s">
        <v>19</v>
      </c>
      <c r="J226" s="2" t="s">
        <v>34</v>
      </c>
      <c r="K226" s="7" t="str">
        <f>HYPERLINK("http://slimages.macys.com/is/image/MCY/12279885 ")</f>
        <v xml:space="preserve">http://slimages.macys.com/is/image/MCY/12279885 </v>
      </c>
    </row>
    <row r="227" spans="1:11" ht="24.75" x14ac:dyDescent="0.25">
      <c r="A227" s="4" t="s">
        <v>2478</v>
      </c>
      <c r="B227" s="2" t="s">
        <v>2476</v>
      </c>
      <c r="C227" s="5">
        <v>40.880000000000003</v>
      </c>
      <c r="D227" s="3" t="s">
        <v>2479</v>
      </c>
      <c r="E227" s="2" t="s">
        <v>1614</v>
      </c>
      <c r="F227" s="6" t="s">
        <v>154</v>
      </c>
      <c r="G227" s="2" t="s">
        <v>194</v>
      </c>
      <c r="H227" s="2" t="s">
        <v>195</v>
      </c>
      <c r="I227" s="2" t="s">
        <v>19</v>
      </c>
      <c r="J227" s="2" t="s">
        <v>34</v>
      </c>
      <c r="K227" s="7" t="str">
        <f>HYPERLINK("http://slimages.macys.com/is/image/MCY/11526932 ")</f>
        <v xml:space="preserve">http://slimages.macys.com/is/image/MCY/11526932 </v>
      </c>
    </row>
    <row r="228" spans="1:11" ht="24.75" x14ac:dyDescent="0.25">
      <c r="A228" s="4" t="s">
        <v>875</v>
      </c>
      <c r="B228" s="2" t="s">
        <v>876</v>
      </c>
      <c r="C228" s="5">
        <v>34.5</v>
      </c>
      <c r="D228" s="3" t="s">
        <v>877</v>
      </c>
      <c r="E228" s="2" t="s">
        <v>878</v>
      </c>
      <c r="F228" s="6" t="s">
        <v>802</v>
      </c>
      <c r="G228" s="2" t="s">
        <v>426</v>
      </c>
      <c r="H228" s="2" t="s">
        <v>229</v>
      </c>
      <c r="I228" s="2" t="s">
        <v>19</v>
      </c>
      <c r="J228" s="2" t="s">
        <v>253</v>
      </c>
      <c r="K228" s="7" t="str">
        <f>HYPERLINK("http://slimages.macys.com/is/image/MCY/1290325 ")</f>
        <v xml:space="preserve">http://slimages.macys.com/is/image/MCY/1290325 </v>
      </c>
    </row>
    <row r="229" spans="1:11" ht="24.75" x14ac:dyDescent="0.25">
      <c r="A229" s="4" t="s">
        <v>883</v>
      </c>
      <c r="B229" s="2" t="s">
        <v>876</v>
      </c>
      <c r="C229" s="5">
        <v>34.5</v>
      </c>
      <c r="D229" s="3" t="s">
        <v>877</v>
      </c>
      <c r="E229" s="2" t="s">
        <v>878</v>
      </c>
      <c r="F229" s="6" t="s">
        <v>238</v>
      </c>
      <c r="G229" s="2" t="s">
        <v>426</v>
      </c>
      <c r="H229" s="2" t="s">
        <v>229</v>
      </c>
      <c r="I229" s="2" t="s">
        <v>19</v>
      </c>
      <c r="J229" s="2" t="s">
        <v>253</v>
      </c>
      <c r="K229" s="7" t="str">
        <f>HYPERLINK("http://slimages.macys.com/is/image/MCY/1290325 ")</f>
        <v xml:space="preserve">http://slimages.macys.com/is/image/MCY/1290325 </v>
      </c>
    </row>
    <row r="230" spans="1:11" ht="24.75" x14ac:dyDescent="0.25">
      <c r="A230" s="4" t="s">
        <v>2480</v>
      </c>
      <c r="B230" s="2" t="s">
        <v>876</v>
      </c>
      <c r="C230" s="5">
        <v>34.5</v>
      </c>
      <c r="D230" s="3" t="s">
        <v>877</v>
      </c>
      <c r="E230" s="2" t="s">
        <v>878</v>
      </c>
      <c r="F230" s="6" t="s">
        <v>205</v>
      </c>
      <c r="G230" s="2" t="s">
        <v>426</v>
      </c>
      <c r="H230" s="2" t="s">
        <v>229</v>
      </c>
      <c r="I230" s="2" t="s">
        <v>19</v>
      </c>
      <c r="J230" s="2" t="s">
        <v>253</v>
      </c>
      <c r="K230" s="7" t="str">
        <f>HYPERLINK("http://slimages.macys.com/is/image/MCY/1290325 ")</f>
        <v xml:space="preserve">http://slimages.macys.com/is/image/MCY/1290325 </v>
      </c>
    </row>
    <row r="231" spans="1:11" ht="24.75" x14ac:dyDescent="0.25">
      <c r="A231" s="4" t="s">
        <v>2481</v>
      </c>
      <c r="B231" s="2" t="s">
        <v>876</v>
      </c>
      <c r="C231" s="5">
        <v>34.5</v>
      </c>
      <c r="D231" s="3" t="s">
        <v>877</v>
      </c>
      <c r="E231" s="2" t="s">
        <v>878</v>
      </c>
      <c r="F231" s="6" t="s">
        <v>934</v>
      </c>
      <c r="G231" s="2" t="s">
        <v>426</v>
      </c>
      <c r="H231" s="2" t="s">
        <v>229</v>
      </c>
      <c r="I231" s="2" t="s">
        <v>19</v>
      </c>
      <c r="J231" s="2" t="s">
        <v>253</v>
      </c>
      <c r="K231" s="7" t="str">
        <f>HYPERLINK("http://slimages.macys.com/is/image/MCY/1290325 ")</f>
        <v xml:space="preserve">http://slimages.macys.com/is/image/MCY/1290325 </v>
      </c>
    </row>
    <row r="232" spans="1:11" ht="24.75" x14ac:dyDescent="0.25">
      <c r="A232" s="4" t="s">
        <v>2482</v>
      </c>
      <c r="B232" s="2" t="s">
        <v>2483</v>
      </c>
      <c r="C232" s="5">
        <v>34.880000000000003</v>
      </c>
      <c r="D232" s="3">
        <v>100058189</v>
      </c>
      <c r="E232" s="2" t="s">
        <v>15</v>
      </c>
      <c r="F232" s="6" t="s">
        <v>27</v>
      </c>
      <c r="G232" s="2" t="s">
        <v>194</v>
      </c>
      <c r="H232" s="2" t="s">
        <v>195</v>
      </c>
      <c r="I232" s="2" t="s">
        <v>19</v>
      </c>
      <c r="J232" s="2" t="s">
        <v>648</v>
      </c>
      <c r="K232" s="7" t="str">
        <f>HYPERLINK("http://slimages.macys.com/is/image/MCY/12802459 ")</f>
        <v xml:space="preserve">http://slimages.macys.com/is/image/MCY/12802459 </v>
      </c>
    </row>
    <row r="233" spans="1:11" ht="24.75" x14ac:dyDescent="0.25">
      <c r="A233" s="4" t="s">
        <v>2484</v>
      </c>
      <c r="B233" s="2" t="s">
        <v>926</v>
      </c>
      <c r="C233" s="5">
        <v>37.130000000000003</v>
      </c>
      <c r="D233" s="3">
        <v>100009311</v>
      </c>
      <c r="E233" s="2" t="s">
        <v>64</v>
      </c>
      <c r="F233" s="6" t="s">
        <v>16</v>
      </c>
      <c r="G233" s="2" t="s">
        <v>194</v>
      </c>
      <c r="H233" s="2" t="s">
        <v>928</v>
      </c>
      <c r="I233" s="2" t="s">
        <v>19</v>
      </c>
      <c r="J233" s="2" t="s">
        <v>929</v>
      </c>
      <c r="K233" s="7" t="str">
        <f>HYPERLINK("http://slimages.macys.com/is/image/MCY/10249270 ")</f>
        <v xml:space="preserve">http://slimages.macys.com/is/image/MCY/10249270 </v>
      </c>
    </row>
    <row r="234" spans="1:11" ht="24.75" x14ac:dyDescent="0.25">
      <c r="A234" s="4" t="s">
        <v>892</v>
      </c>
      <c r="B234" s="2" t="s">
        <v>890</v>
      </c>
      <c r="C234" s="5">
        <v>34.5</v>
      </c>
      <c r="D234" s="3" t="s">
        <v>891</v>
      </c>
      <c r="E234" s="2" t="s">
        <v>64</v>
      </c>
      <c r="F234" s="6" t="s">
        <v>141</v>
      </c>
      <c r="G234" s="2" t="s">
        <v>228</v>
      </c>
      <c r="H234" s="2" t="s">
        <v>229</v>
      </c>
      <c r="I234" s="2" t="s">
        <v>19</v>
      </c>
      <c r="J234" s="2" t="s">
        <v>253</v>
      </c>
      <c r="K234" s="7" t="str">
        <f>HYPERLINK("http://slimages.macys.com/is/image/MCY/3623510 ")</f>
        <v xml:space="preserve">http://slimages.macys.com/is/image/MCY/3623510 </v>
      </c>
    </row>
    <row r="235" spans="1:11" ht="24.75" x14ac:dyDescent="0.25">
      <c r="A235" s="4" t="s">
        <v>2485</v>
      </c>
      <c r="B235" s="2" t="s">
        <v>2486</v>
      </c>
      <c r="C235" s="5">
        <v>44.63</v>
      </c>
      <c r="D235" s="3" t="s">
        <v>2487</v>
      </c>
      <c r="E235" s="2" t="s">
        <v>64</v>
      </c>
      <c r="F235" s="6" t="s">
        <v>106</v>
      </c>
      <c r="G235" s="2" t="s">
        <v>246</v>
      </c>
      <c r="H235" s="2" t="s">
        <v>487</v>
      </c>
      <c r="I235" s="2" t="s">
        <v>19</v>
      </c>
      <c r="J235" s="2" t="s">
        <v>409</v>
      </c>
      <c r="K235" s="7" t="str">
        <f>HYPERLINK("http://slimages.macys.com/is/image/MCY/11471043 ")</f>
        <v xml:space="preserve">http://slimages.macys.com/is/image/MCY/11471043 </v>
      </c>
    </row>
    <row r="236" spans="1:11" ht="24.75" x14ac:dyDescent="0.25">
      <c r="A236" s="4" t="s">
        <v>2488</v>
      </c>
      <c r="B236" s="2" t="s">
        <v>901</v>
      </c>
      <c r="C236" s="5">
        <v>39.5</v>
      </c>
      <c r="D236" s="3" t="s">
        <v>902</v>
      </c>
      <c r="E236" s="2" t="s">
        <v>417</v>
      </c>
      <c r="F236" s="6" t="s">
        <v>181</v>
      </c>
      <c r="G236" s="2" t="s">
        <v>194</v>
      </c>
      <c r="H236" s="2" t="s">
        <v>195</v>
      </c>
      <c r="I236" s="2" t="s">
        <v>19</v>
      </c>
      <c r="J236" s="2" t="s">
        <v>438</v>
      </c>
      <c r="K236" s="7" t="str">
        <f>HYPERLINK("http://slimages.macys.com/is/image/MCY/12143757 ")</f>
        <v xml:space="preserve">http://slimages.macys.com/is/image/MCY/12143757 </v>
      </c>
    </row>
    <row r="237" spans="1:11" ht="24.75" x14ac:dyDescent="0.25">
      <c r="A237" s="4" t="s">
        <v>2489</v>
      </c>
      <c r="B237" s="2" t="s">
        <v>898</v>
      </c>
      <c r="C237" s="5">
        <v>37.130000000000003</v>
      </c>
      <c r="D237" s="3">
        <v>100009193</v>
      </c>
      <c r="E237" s="2" t="s">
        <v>376</v>
      </c>
      <c r="F237" s="6" t="s">
        <v>22</v>
      </c>
      <c r="G237" s="2" t="s">
        <v>194</v>
      </c>
      <c r="H237" s="2" t="s">
        <v>503</v>
      </c>
      <c r="I237" s="2" t="s">
        <v>19</v>
      </c>
      <c r="J237" s="2" t="s">
        <v>353</v>
      </c>
      <c r="K237" s="7" t="str">
        <f>HYPERLINK("http://slimages.macys.com/is/image/MCY/11804644 ")</f>
        <v xml:space="preserve">http://slimages.macys.com/is/image/MCY/11804644 </v>
      </c>
    </row>
    <row r="238" spans="1:11" ht="24.75" x14ac:dyDescent="0.25">
      <c r="A238" s="4" t="s">
        <v>2490</v>
      </c>
      <c r="B238" s="2" t="s">
        <v>992</v>
      </c>
      <c r="C238" s="5">
        <v>34.5</v>
      </c>
      <c r="D238" s="3" t="s">
        <v>2491</v>
      </c>
      <c r="E238" s="2" t="s">
        <v>417</v>
      </c>
      <c r="F238" s="6" t="s">
        <v>187</v>
      </c>
      <c r="G238" s="2" t="s">
        <v>426</v>
      </c>
      <c r="H238" s="2" t="s">
        <v>229</v>
      </c>
      <c r="I238" s="2" t="s">
        <v>19</v>
      </c>
      <c r="J238" s="2" t="s">
        <v>353</v>
      </c>
      <c r="K238" s="7" t="str">
        <f>HYPERLINK("http://slimages.macys.com/is/image/MCY/11934830 ")</f>
        <v xml:space="preserve">http://slimages.macys.com/is/image/MCY/11934830 </v>
      </c>
    </row>
    <row r="239" spans="1:11" ht="24.75" x14ac:dyDescent="0.25">
      <c r="A239" s="4" t="s">
        <v>2492</v>
      </c>
      <c r="B239" s="2" t="s">
        <v>904</v>
      </c>
      <c r="C239" s="5">
        <v>34.5</v>
      </c>
      <c r="D239" s="3" t="s">
        <v>905</v>
      </c>
      <c r="E239" s="2" t="s">
        <v>74</v>
      </c>
      <c r="F239" s="6" t="s">
        <v>154</v>
      </c>
      <c r="G239" s="2" t="s">
        <v>228</v>
      </c>
      <c r="H239" s="2" t="s">
        <v>229</v>
      </c>
      <c r="I239" s="2" t="s">
        <v>19</v>
      </c>
      <c r="J239" s="2" t="s">
        <v>253</v>
      </c>
      <c r="K239" s="7" t="str">
        <f>HYPERLINK("http://slimages.macys.com/is/image/MCY/12794164 ")</f>
        <v xml:space="preserve">http://slimages.macys.com/is/image/MCY/12794164 </v>
      </c>
    </row>
    <row r="240" spans="1:11" ht="24.75" x14ac:dyDescent="0.25">
      <c r="A240" s="4" t="s">
        <v>2493</v>
      </c>
      <c r="B240" s="2" t="s">
        <v>904</v>
      </c>
      <c r="C240" s="5">
        <v>34.5</v>
      </c>
      <c r="D240" s="3" t="s">
        <v>905</v>
      </c>
      <c r="E240" s="2" t="s">
        <v>74</v>
      </c>
      <c r="F240" s="6" t="s">
        <v>181</v>
      </c>
      <c r="G240" s="2" t="s">
        <v>228</v>
      </c>
      <c r="H240" s="2" t="s">
        <v>229</v>
      </c>
      <c r="I240" s="2" t="s">
        <v>19</v>
      </c>
      <c r="J240" s="2" t="s">
        <v>253</v>
      </c>
      <c r="K240" s="7" t="str">
        <f>HYPERLINK("http://slimages.macys.com/is/image/MCY/12794164 ")</f>
        <v xml:space="preserve">http://slimages.macys.com/is/image/MCY/12794164 </v>
      </c>
    </row>
    <row r="241" spans="1:11" ht="24.75" x14ac:dyDescent="0.25">
      <c r="A241" s="4" t="s">
        <v>2494</v>
      </c>
      <c r="B241" s="2" t="s">
        <v>453</v>
      </c>
      <c r="C241" s="5">
        <v>37.130000000000003</v>
      </c>
      <c r="D241" s="3" t="s">
        <v>721</v>
      </c>
      <c r="E241" s="2" t="s">
        <v>74</v>
      </c>
      <c r="F241" s="6" t="s">
        <v>154</v>
      </c>
      <c r="G241" s="2" t="s">
        <v>284</v>
      </c>
      <c r="H241" s="2" t="s">
        <v>285</v>
      </c>
      <c r="I241" s="2" t="s">
        <v>19</v>
      </c>
      <c r="J241" s="2" t="s">
        <v>323</v>
      </c>
      <c r="K241" s="7" t="str">
        <f>HYPERLINK("http://slimages.macys.com/is/image/MCY/9678668 ")</f>
        <v xml:space="preserve">http://slimages.macys.com/is/image/MCY/9678668 </v>
      </c>
    </row>
    <row r="242" spans="1:11" ht="24.75" x14ac:dyDescent="0.25">
      <c r="A242" s="4" t="s">
        <v>2495</v>
      </c>
      <c r="B242" s="2" t="s">
        <v>2496</v>
      </c>
      <c r="C242" s="5">
        <v>37.130000000000003</v>
      </c>
      <c r="D242" s="3" t="s">
        <v>2497</v>
      </c>
      <c r="E242" s="2" t="s">
        <v>252</v>
      </c>
      <c r="F242" s="6" t="s">
        <v>234</v>
      </c>
      <c r="G242" s="2" t="s">
        <v>194</v>
      </c>
      <c r="H242" s="2" t="s">
        <v>307</v>
      </c>
      <c r="I242" s="2" t="s">
        <v>19</v>
      </c>
      <c r="J242" s="2" t="s">
        <v>160</v>
      </c>
      <c r="K242" s="7" t="str">
        <f>HYPERLINK("http://slimages.macys.com/is/image/MCY/12316773 ")</f>
        <v xml:space="preserve">http://slimages.macys.com/is/image/MCY/12316773 </v>
      </c>
    </row>
    <row r="243" spans="1:11" ht="24.75" x14ac:dyDescent="0.25">
      <c r="A243" s="4" t="s">
        <v>2498</v>
      </c>
      <c r="B243" s="2" t="s">
        <v>2460</v>
      </c>
      <c r="C243" s="5">
        <v>34.880000000000003</v>
      </c>
      <c r="D243" s="3">
        <v>100009313</v>
      </c>
      <c r="E243" s="2" t="s">
        <v>26</v>
      </c>
      <c r="F243" s="6" t="s">
        <v>106</v>
      </c>
      <c r="G243" s="2" t="s">
        <v>194</v>
      </c>
      <c r="H243" s="2" t="s">
        <v>503</v>
      </c>
      <c r="I243" s="2" t="s">
        <v>19</v>
      </c>
      <c r="J243" s="2" t="s">
        <v>353</v>
      </c>
      <c r="K243" s="7" t="str">
        <f>HYPERLINK("http://slimages.macys.com/is/image/MCY/9340611 ")</f>
        <v xml:space="preserve">http://slimages.macys.com/is/image/MCY/9340611 </v>
      </c>
    </row>
    <row r="244" spans="1:11" ht="24.75" x14ac:dyDescent="0.25">
      <c r="A244" s="4" t="s">
        <v>2499</v>
      </c>
      <c r="B244" s="2" t="s">
        <v>948</v>
      </c>
      <c r="C244" s="5">
        <v>34.880000000000003</v>
      </c>
      <c r="D244" s="3">
        <v>100038962</v>
      </c>
      <c r="E244" s="2" t="s">
        <v>376</v>
      </c>
      <c r="F244" s="6" t="s">
        <v>16</v>
      </c>
      <c r="G244" s="2" t="s">
        <v>194</v>
      </c>
      <c r="H244" s="2" t="s">
        <v>195</v>
      </c>
      <c r="I244" s="2" t="s">
        <v>19</v>
      </c>
      <c r="J244" s="2" t="s">
        <v>353</v>
      </c>
      <c r="K244" s="7" t="str">
        <f>HYPERLINK("http://slimages.macys.com/is/image/MCY/11145019 ")</f>
        <v xml:space="preserve">http://slimages.macys.com/is/image/MCY/11145019 </v>
      </c>
    </row>
    <row r="245" spans="1:11" ht="24.75" x14ac:dyDescent="0.25">
      <c r="A245" s="4" t="s">
        <v>2500</v>
      </c>
      <c r="B245" s="2" t="s">
        <v>945</v>
      </c>
      <c r="C245" s="5">
        <v>44.63</v>
      </c>
      <c r="D245" s="3" t="s">
        <v>946</v>
      </c>
      <c r="E245" s="2" t="s">
        <v>676</v>
      </c>
      <c r="F245" s="6"/>
      <c r="G245" s="2" t="s">
        <v>312</v>
      </c>
      <c r="H245" s="2" t="s">
        <v>195</v>
      </c>
      <c r="I245" s="2" t="s">
        <v>19</v>
      </c>
      <c r="J245" s="2" t="s">
        <v>247</v>
      </c>
      <c r="K245" s="7" t="str">
        <f>HYPERLINK("http://slimages.macys.com/is/image/MCY/8963902 ")</f>
        <v xml:space="preserve">http://slimages.macys.com/is/image/MCY/8963902 </v>
      </c>
    </row>
    <row r="246" spans="1:11" ht="24.75" x14ac:dyDescent="0.25">
      <c r="A246" s="4" t="s">
        <v>2501</v>
      </c>
      <c r="B246" s="2" t="s">
        <v>948</v>
      </c>
      <c r="C246" s="5">
        <v>34.880000000000003</v>
      </c>
      <c r="D246" s="3">
        <v>100038962</v>
      </c>
      <c r="E246" s="2" t="s">
        <v>376</v>
      </c>
      <c r="F246" s="6" t="s">
        <v>58</v>
      </c>
      <c r="G246" s="2" t="s">
        <v>194</v>
      </c>
      <c r="H246" s="2" t="s">
        <v>195</v>
      </c>
      <c r="I246" s="2" t="s">
        <v>19</v>
      </c>
      <c r="J246" s="2" t="s">
        <v>353</v>
      </c>
      <c r="K246" s="7" t="str">
        <f>HYPERLINK("http://slimages.macys.com/is/image/MCY/11145019 ")</f>
        <v xml:space="preserve">http://slimages.macys.com/is/image/MCY/11145019 </v>
      </c>
    </row>
    <row r="247" spans="1:11" ht="24.75" x14ac:dyDescent="0.25">
      <c r="A247" s="4" t="s">
        <v>2502</v>
      </c>
      <c r="B247" s="2" t="s">
        <v>954</v>
      </c>
      <c r="C247" s="5">
        <v>44.63</v>
      </c>
      <c r="D247" s="3" t="s">
        <v>955</v>
      </c>
      <c r="E247" s="2" t="s">
        <v>956</v>
      </c>
      <c r="F247" s="6" t="s">
        <v>181</v>
      </c>
      <c r="G247" s="2" t="s">
        <v>194</v>
      </c>
      <c r="H247" s="2" t="s">
        <v>195</v>
      </c>
      <c r="I247" s="2" t="s">
        <v>19</v>
      </c>
      <c r="J247" s="2" t="s">
        <v>438</v>
      </c>
      <c r="K247" s="7" t="str">
        <f>HYPERLINK("http://slimages.macys.com/is/image/MCY/12794040 ")</f>
        <v xml:space="preserve">http://slimages.macys.com/is/image/MCY/12794040 </v>
      </c>
    </row>
    <row r="248" spans="1:11" ht="36.75" x14ac:dyDescent="0.25">
      <c r="A248" s="4" t="s">
        <v>2503</v>
      </c>
      <c r="B248" s="2" t="s">
        <v>961</v>
      </c>
      <c r="C248" s="5">
        <v>40.880000000000003</v>
      </c>
      <c r="D248" s="3">
        <v>100026212</v>
      </c>
      <c r="E248" s="2" t="s">
        <v>15</v>
      </c>
      <c r="F248" s="6" t="s">
        <v>234</v>
      </c>
      <c r="G248" s="2" t="s">
        <v>194</v>
      </c>
      <c r="H248" s="2" t="s">
        <v>195</v>
      </c>
      <c r="I248" s="2" t="s">
        <v>19</v>
      </c>
      <c r="J248" s="2" t="s">
        <v>962</v>
      </c>
      <c r="K248" s="7" t="str">
        <f>HYPERLINK("http://slimages.macys.com/is/image/MCY/10139221 ")</f>
        <v xml:space="preserve">http://slimages.macys.com/is/image/MCY/10139221 </v>
      </c>
    </row>
    <row r="249" spans="1:11" ht="36.75" x14ac:dyDescent="0.25">
      <c r="A249" s="4" t="s">
        <v>2504</v>
      </c>
      <c r="B249" s="2" t="s">
        <v>964</v>
      </c>
      <c r="C249" s="5">
        <v>37.130000000000003</v>
      </c>
      <c r="D249" s="3">
        <v>100026210</v>
      </c>
      <c r="E249" s="2" t="s">
        <v>956</v>
      </c>
      <c r="F249" s="6" t="s">
        <v>181</v>
      </c>
      <c r="G249" s="2" t="s">
        <v>194</v>
      </c>
      <c r="H249" s="2" t="s">
        <v>195</v>
      </c>
      <c r="I249" s="2" t="s">
        <v>19</v>
      </c>
      <c r="J249" s="2" t="s">
        <v>965</v>
      </c>
      <c r="K249" s="7" t="str">
        <f>HYPERLINK("http://slimages.macys.com/is/image/MCY/9714233 ")</f>
        <v xml:space="preserve">http://slimages.macys.com/is/image/MCY/9714233 </v>
      </c>
    </row>
    <row r="250" spans="1:11" ht="24.75" x14ac:dyDescent="0.25">
      <c r="A250" s="4" t="s">
        <v>970</v>
      </c>
      <c r="B250" s="2" t="s">
        <v>641</v>
      </c>
      <c r="C250" s="5">
        <v>29.99</v>
      </c>
      <c r="D250" s="3" t="s">
        <v>971</v>
      </c>
      <c r="E250" s="2" t="s">
        <v>38</v>
      </c>
      <c r="F250" s="6"/>
      <c r="G250" s="2" t="s">
        <v>632</v>
      </c>
      <c r="H250" s="2" t="s">
        <v>408</v>
      </c>
      <c r="I250" s="2" t="s">
        <v>19</v>
      </c>
      <c r="J250" s="2" t="s">
        <v>409</v>
      </c>
      <c r="K250" s="7" t="str">
        <f>HYPERLINK("http://slimages.macys.com/is/image/MCY/8140828 ")</f>
        <v xml:space="preserve">http://slimages.macys.com/is/image/MCY/8140828 </v>
      </c>
    </row>
    <row r="251" spans="1:11" ht="24.75" x14ac:dyDescent="0.25">
      <c r="A251" s="4" t="s">
        <v>2505</v>
      </c>
      <c r="B251" s="2" t="s">
        <v>641</v>
      </c>
      <c r="C251" s="5">
        <v>29.99</v>
      </c>
      <c r="D251" s="3" t="s">
        <v>2506</v>
      </c>
      <c r="E251" s="2" t="s">
        <v>26</v>
      </c>
      <c r="F251" s="6" t="s">
        <v>154</v>
      </c>
      <c r="G251" s="2" t="s">
        <v>284</v>
      </c>
      <c r="H251" s="2" t="s">
        <v>408</v>
      </c>
      <c r="I251" s="2" t="s">
        <v>19</v>
      </c>
      <c r="J251" s="2" t="s">
        <v>409</v>
      </c>
      <c r="K251" s="7" t="str">
        <f>HYPERLINK("http://slimages.macys.com/is/image/MCY/9387631 ")</f>
        <v xml:space="preserve">http://slimages.macys.com/is/image/MCY/9387631 </v>
      </c>
    </row>
    <row r="252" spans="1:11" ht="24.75" x14ac:dyDescent="0.25">
      <c r="A252" s="4" t="s">
        <v>2507</v>
      </c>
      <c r="B252" s="2" t="s">
        <v>641</v>
      </c>
      <c r="C252" s="5">
        <v>29.99</v>
      </c>
      <c r="D252" s="3" t="s">
        <v>977</v>
      </c>
      <c r="E252" s="2" t="s">
        <v>74</v>
      </c>
      <c r="F252" s="6" t="s">
        <v>156</v>
      </c>
      <c r="G252" s="2" t="s">
        <v>284</v>
      </c>
      <c r="H252" s="2" t="s">
        <v>408</v>
      </c>
      <c r="I252" s="2" t="s">
        <v>19</v>
      </c>
      <c r="J252" s="2" t="s">
        <v>409</v>
      </c>
      <c r="K252" s="7" t="str">
        <f>HYPERLINK("http://slimages.macys.com/is/image/MCY/9387631 ")</f>
        <v xml:space="preserve">http://slimages.macys.com/is/image/MCY/9387631 </v>
      </c>
    </row>
    <row r="253" spans="1:11" ht="24.75" x14ac:dyDescent="0.25">
      <c r="A253" s="4" t="s">
        <v>2508</v>
      </c>
      <c r="B253" s="2" t="s">
        <v>2509</v>
      </c>
      <c r="C253" s="5">
        <v>40.5</v>
      </c>
      <c r="D253" s="3">
        <v>100063117</v>
      </c>
      <c r="E253" s="2" t="s">
        <v>64</v>
      </c>
      <c r="F253" s="6" t="s">
        <v>65</v>
      </c>
      <c r="G253" s="2" t="s">
        <v>228</v>
      </c>
      <c r="H253" s="2" t="s">
        <v>229</v>
      </c>
      <c r="I253" s="2" t="s">
        <v>19</v>
      </c>
      <c r="J253" s="2" t="s">
        <v>338</v>
      </c>
      <c r="K253" s="7" t="str">
        <f>HYPERLINK("http://slimages.macys.com/is/image/MCY/12849918 ")</f>
        <v xml:space="preserve">http://slimages.macys.com/is/image/MCY/12849918 </v>
      </c>
    </row>
    <row r="254" spans="1:11" ht="24.75" x14ac:dyDescent="0.25">
      <c r="A254" s="4" t="s">
        <v>2510</v>
      </c>
      <c r="B254" s="2" t="s">
        <v>2511</v>
      </c>
      <c r="C254" s="5">
        <v>27.99</v>
      </c>
      <c r="D254" s="3" t="s">
        <v>2512</v>
      </c>
      <c r="E254" s="2" t="s">
        <v>15</v>
      </c>
      <c r="F254" s="6" t="s">
        <v>200</v>
      </c>
      <c r="G254" s="2" t="s">
        <v>1522</v>
      </c>
      <c r="H254" s="2" t="s">
        <v>1469</v>
      </c>
      <c r="I254" s="2" t="s">
        <v>19</v>
      </c>
      <c r="J254" s="2" t="s">
        <v>495</v>
      </c>
      <c r="K254" s="7" t="str">
        <f>HYPERLINK("http://slimages.macys.com/is/image/MCY/11882106 ")</f>
        <v xml:space="preserve">http://slimages.macys.com/is/image/MCY/11882106 </v>
      </c>
    </row>
    <row r="255" spans="1:11" ht="24.75" x14ac:dyDescent="0.25">
      <c r="A255" s="4" t="s">
        <v>999</v>
      </c>
      <c r="B255" s="2" t="s">
        <v>992</v>
      </c>
      <c r="C255" s="5">
        <v>34.5</v>
      </c>
      <c r="D255" s="3" t="s">
        <v>993</v>
      </c>
      <c r="E255" s="2" t="s">
        <v>74</v>
      </c>
      <c r="F255" s="6" t="s">
        <v>794</v>
      </c>
      <c r="G255" s="2" t="s">
        <v>426</v>
      </c>
      <c r="H255" s="2" t="s">
        <v>229</v>
      </c>
      <c r="I255" s="2" t="s">
        <v>19</v>
      </c>
      <c r="J255" s="2" t="s">
        <v>353</v>
      </c>
      <c r="K255" s="7" t="str">
        <f>HYPERLINK("http://slimages.macys.com/is/image/MCY/11934830 ")</f>
        <v xml:space="preserve">http://slimages.macys.com/is/image/MCY/11934830 </v>
      </c>
    </row>
    <row r="256" spans="1:11" ht="24.75" x14ac:dyDescent="0.25">
      <c r="A256" s="4" t="s">
        <v>2513</v>
      </c>
      <c r="B256" s="2" t="s">
        <v>1002</v>
      </c>
      <c r="C256" s="5">
        <v>44.63</v>
      </c>
      <c r="D256" s="3" t="s">
        <v>1003</v>
      </c>
      <c r="E256" s="2" t="s">
        <v>15</v>
      </c>
      <c r="F256" s="6"/>
      <c r="G256" s="2" t="s">
        <v>312</v>
      </c>
      <c r="H256" s="2" t="s">
        <v>195</v>
      </c>
      <c r="I256" s="2" t="s">
        <v>19</v>
      </c>
      <c r="J256" s="2" t="s">
        <v>247</v>
      </c>
      <c r="K256" s="7" t="str">
        <f>HYPERLINK("http://slimages.macys.com/is/image/MCY/9653304 ")</f>
        <v xml:space="preserve">http://slimages.macys.com/is/image/MCY/9653304 </v>
      </c>
    </row>
    <row r="257" spans="1:11" ht="24.75" x14ac:dyDescent="0.25">
      <c r="A257" s="4" t="s">
        <v>1001</v>
      </c>
      <c r="B257" s="2" t="s">
        <v>1002</v>
      </c>
      <c r="C257" s="5">
        <v>44.63</v>
      </c>
      <c r="D257" s="3" t="s">
        <v>1003</v>
      </c>
      <c r="E257" s="2" t="s">
        <v>15</v>
      </c>
      <c r="F257" s="6"/>
      <c r="G257" s="2" t="s">
        <v>312</v>
      </c>
      <c r="H257" s="2" t="s">
        <v>195</v>
      </c>
      <c r="I257" s="2" t="s">
        <v>19</v>
      </c>
      <c r="J257" s="2" t="s">
        <v>247</v>
      </c>
      <c r="K257" s="7" t="str">
        <f>HYPERLINK("http://slimages.macys.com/is/image/MCY/9653304 ")</f>
        <v xml:space="preserve">http://slimages.macys.com/is/image/MCY/9653304 </v>
      </c>
    </row>
    <row r="258" spans="1:11" ht="24.75" x14ac:dyDescent="0.25">
      <c r="A258" s="4" t="s">
        <v>2514</v>
      </c>
      <c r="B258" s="2" t="s">
        <v>2515</v>
      </c>
      <c r="C258" s="5">
        <v>37.130000000000003</v>
      </c>
      <c r="D258" s="3" t="s">
        <v>2516</v>
      </c>
      <c r="E258" s="2" t="s">
        <v>26</v>
      </c>
      <c r="F258" s="6" t="s">
        <v>802</v>
      </c>
      <c r="G258" s="2" t="s">
        <v>188</v>
      </c>
      <c r="H258" s="2" t="s">
        <v>214</v>
      </c>
      <c r="I258" s="2" t="s">
        <v>19</v>
      </c>
      <c r="J258" s="2" t="s">
        <v>353</v>
      </c>
      <c r="K258" s="7" t="str">
        <f>HYPERLINK("http://slimages.macys.com/is/image/MCY/10679372 ")</f>
        <v xml:space="preserve">http://slimages.macys.com/is/image/MCY/10679372 </v>
      </c>
    </row>
    <row r="259" spans="1:11" ht="24.75" x14ac:dyDescent="0.25">
      <c r="A259" s="4" t="s">
        <v>2517</v>
      </c>
      <c r="B259" s="2" t="s">
        <v>2518</v>
      </c>
      <c r="C259" s="5">
        <v>37.119999999999997</v>
      </c>
      <c r="D259" s="3" t="s">
        <v>2519</v>
      </c>
      <c r="E259" s="2" t="s">
        <v>53</v>
      </c>
      <c r="F259" s="6" t="s">
        <v>65</v>
      </c>
      <c r="G259" s="2" t="s">
        <v>213</v>
      </c>
      <c r="H259" s="2" t="s">
        <v>214</v>
      </c>
      <c r="I259" s="2" t="s">
        <v>19</v>
      </c>
      <c r="J259" s="2" t="s">
        <v>952</v>
      </c>
      <c r="K259" s="7" t="str">
        <f>HYPERLINK("http://slimages.macys.com/is/image/MCY/12722592 ")</f>
        <v xml:space="preserve">http://slimages.macys.com/is/image/MCY/12722592 </v>
      </c>
    </row>
    <row r="260" spans="1:11" ht="24.75" x14ac:dyDescent="0.25">
      <c r="A260" s="4" t="s">
        <v>2520</v>
      </c>
      <c r="B260" s="2" t="s">
        <v>2521</v>
      </c>
      <c r="C260" s="5">
        <v>34.5</v>
      </c>
      <c r="D260" s="3">
        <v>100045823</v>
      </c>
      <c r="E260" s="2" t="s">
        <v>26</v>
      </c>
      <c r="F260" s="6" t="s">
        <v>154</v>
      </c>
      <c r="G260" s="2" t="s">
        <v>228</v>
      </c>
      <c r="H260" s="2" t="s">
        <v>229</v>
      </c>
      <c r="I260" s="2" t="s">
        <v>19</v>
      </c>
      <c r="J260" s="2" t="s">
        <v>215</v>
      </c>
      <c r="K260" s="7" t="str">
        <f>HYPERLINK("http://slimages.macys.com/is/image/MCY/11804428 ")</f>
        <v xml:space="preserve">http://slimages.macys.com/is/image/MCY/11804428 </v>
      </c>
    </row>
    <row r="261" spans="1:11" ht="24.75" x14ac:dyDescent="0.25">
      <c r="A261" s="4" t="s">
        <v>1020</v>
      </c>
      <c r="B261" s="2" t="s">
        <v>1012</v>
      </c>
      <c r="C261" s="5">
        <v>37.130000000000003</v>
      </c>
      <c r="D261" s="3" t="s">
        <v>1013</v>
      </c>
      <c r="E261" s="2" t="s">
        <v>494</v>
      </c>
      <c r="F261" s="6" t="s">
        <v>22</v>
      </c>
      <c r="G261" s="2" t="s">
        <v>246</v>
      </c>
      <c r="H261" s="2" t="s">
        <v>214</v>
      </c>
      <c r="I261" s="2" t="s">
        <v>19</v>
      </c>
      <c r="J261" s="2" t="s">
        <v>253</v>
      </c>
      <c r="K261" s="7" t="str">
        <f>HYPERLINK("http://slimages.macys.com/is/image/MCY/10679372 ")</f>
        <v xml:space="preserve">http://slimages.macys.com/is/image/MCY/10679372 </v>
      </c>
    </row>
    <row r="262" spans="1:11" ht="24.75" x14ac:dyDescent="0.25">
      <c r="A262" s="4" t="s">
        <v>1017</v>
      </c>
      <c r="B262" s="2" t="s">
        <v>1012</v>
      </c>
      <c r="C262" s="5">
        <v>37.130000000000003</v>
      </c>
      <c r="D262" s="3" t="s">
        <v>1013</v>
      </c>
      <c r="E262" s="2" t="s">
        <v>494</v>
      </c>
      <c r="F262" s="6" t="s">
        <v>106</v>
      </c>
      <c r="G262" s="2" t="s">
        <v>246</v>
      </c>
      <c r="H262" s="2" t="s">
        <v>214</v>
      </c>
      <c r="I262" s="2" t="s">
        <v>19</v>
      </c>
      <c r="J262" s="2" t="s">
        <v>253</v>
      </c>
      <c r="K262" s="7" t="str">
        <f>HYPERLINK("http://slimages.macys.com/is/image/MCY/10679372 ")</f>
        <v xml:space="preserve">http://slimages.macys.com/is/image/MCY/10679372 </v>
      </c>
    </row>
    <row r="263" spans="1:11" ht="24.75" x14ac:dyDescent="0.25">
      <c r="A263" s="4" t="s">
        <v>2522</v>
      </c>
      <c r="B263" s="2" t="s">
        <v>1012</v>
      </c>
      <c r="C263" s="5">
        <v>37.130000000000003</v>
      </c>
      <c r="D263" s="3" t="s">
        <v>1013</v>
      </c>
      <c r="E263" s="2" t="s">
        <v>26</v>
      </c>
      <c r="F263" s="6" t="s">
        <v>16</v>
      </c>
      <c r="G263" s="2" t="s">
        <v>246</v>
      </c>
      <c r="H263" s="2" t="s">
        <v>214</v>
      </c>
      <c r="I263" s="2" t="s">
        <v>19</v>
      </c>
      <c r="J263" s="2" t="s">
        <v>253</v>
      </c>
      <c r="K263" s="7" t="str">
        <f>HYPERLINK("http://slimages.macys.com/is/image/MCY/10679372 ")</f>
        <v xml:space="preserve">http://slimages.macys.com/is/image/MCY/10679372 </v>
      </c>
    </row>
    <row r="264" spans="1:11" ht="24.75" x14ac:dyDescent="0.25">
      <c r="A264" s="4" t="s">
        <v>2523</v>
      </c>
      <c r="B264" s="2" t="s">
        <v>2524</v>
      </c>
      <c r="C264" s="5">
        <v>33.380000000000003</v>
      </c>
      <c r="D264" s="3" t="s">
        <v>2525</v>
      </c>
      <c r="E264" s="2" t="s">
        <v>26</v>
      </c>
      <c r="F264" s="6"/>
      <c r="G264" s="2" t="s">
        <v>312</v>
      </c>
      <c r="H264" s="2" t="s">
        <v>1398</v>
      </c>
      <c r="I264" s="2" t="s">
        <v>19</v>
      </c>
      <c r="J264" s="2" t="s">
        <v>247</v>
      </c>
      <c r="K264" s="7" t="str">
        <f>HYPERLINK("http://slimages.macys.com/is/image/MCY/13368039 ")</f>
        <v xml:space="preserve">http://slimages.macys.com/is/image/MCY/13368039 </v>
      </c>
    </row>
    <row r="265" spans="1:11" ht="24.75" x14ac:dyDescent="0.25">
      <c r="A265" s="4" t="s">
        <v>2526</v>
      </c>
      <c r="B265" s="2" t="s">
        <v>1012</v>
      </c>
      <c r="C265" s="5">
        <v>37.130000000000003</v>
      </c>
      <c r="D265" s="3" t="s">
        <v>1013</v>
      </c>
      <c r="E265" s="2" t="s">
        <v>64</v>
      </c>
      <c r="F265" s="6" t="s">
        <v>65</v>
      </c>
      <c r="G265" s="2" t="s">
        <v>246</v>
      </c>
      <c r="H265" s="2" t="s">
        <v>214</v>
      </c>
      <c r="I265" s="2" t="s">
        <v>19</v>
      </c>
      <c r="J265" s="2" t="s">
        <v>253</v>
      </c>
      <c r="K265" s="7" t="str">
        <f>HYPERLINK("http://slimages.macys.com/is/image/MCY/10679372 ")</f>
        <v xml:space="preserve">http://slimages.macys.com/is/image/MCY/10679372 </v>
      </c>
    </row>
    <row r="266" spans="1:11" ht="24.75" x14ac:dyDescent="0.25">
      <c r="A266" s="4" t="s">
        <v>2527</v>
      </c>
      <c r="B266" s="2" t="s">
        <v>1012</v>
      </c>
      <c r="C266" s="5">
        <v>37.130000000000003</v>
      </c>
      <c r="D266" s="3" t="s">
        <v>1013</v>
      </c>
      <c r="E266" s="2" t="s">
        <v>64</v>
      </c>
      <c r="F266" s="6" t="s">
        <v>22</v>
      </c>
      <c r="G266" s="2" t="s">
        <v>246</v>
      </c>
      <c r="H266" s="2" t="s">
        <v>214</v>
      </c>
      <c r="I266" s="2" t="s">
        <v>19</v>
      </c>
      <c r="J266" s="2" t="s">
        <v>253</v>
      </c>
      <c r="K266" s="7" t="str">
        <f>HYPERLINK("http://slimages.macys.com/is/image/MCY/10679372 ")</f>
        <v xml:space="preserve">http://slimages.macys.com/is/image/MCY/10679372 </v>
      </c>
    </row>
    <row r="267" spans="1:11" ht="24.75" x14ac:dyDescent="0.25">
      <c r="A267" s="4" t="s">
        <v>2528</v>
      </c>
      <c r="B267" s="2" t="s">
        <v>1012</v>
      </c>
      <c r="C267" s="5">
        <v>37.130000000000003</v>
      </c>
      <c r="D267" s="3" t="s">
        <v>1013</v>
      </c>
      <c r="E267" s="2" t="s">
        <v>64</v>
      </c>
      <c r="F267" s="6" t="s">
        <v>16</v>
      </c>
      <c r="G267" s="2" t="s">
        <v>246</v>
      </c>
      <c r="H267" s="2" t="s">
        <v>214</v>
      </c>
      <c r="I267" s="2" t="s">
        <v>19</v>
      </c>
      <c r="J267" s="2" t="s">
        <v>253</v>
      </c>
      <c r="K267" s="7" t="str">
        <f>HYPERLINK("http://slimages.macys.com/is/image/MCY/10679372 ")</f>
        <v xml:space="preserve">http://slimages.macys.com/is/image/MCY/10679372 </v>
      </c>
    </row>
    <row r="268" spans="1:11" ht="24.75" x14ac:dyDescent="0.25">
      <c r="A268" s="4" t="s">
        <v>2529</v>
      </c>
      <c r="B268" s="2" t="s">
        <v>2530</v>
      </c>
      <c r="C268" s="5">
        <v>34.5</v>
      </c>
      <c r="D268" s="3">
        <v>100054339</v>
      </c>
      <c r="E268" s="2" t="s">
        <v>26</v>
      </c>
      <c r="F268" s="6" t="s">
        <v>154</v>
      </c>
      <c r="G268" s="2" t="s">
        <v>228</v>
      </c>
      <c r="H268" s="2" t="s">
        <v>857</v>
      </c>
      <c r="I268" s="2" t="s">
        <v>19</v>
      </c>
      <c r="J268" s="2" t="s">
        <v>338</v>
      </c>
      <c r="K268" s="7" t="str">
        <f>HYPERLINK("http://slimages.macys.com/is/image/MCY/12144139 ")</f>
        <v xml:space="preserve">http://slimages.macys.com/is/image/MCY/12144139 </v>
      </c>
    </row>
    <row r="269" spans="1:11" ht="24.75" x14ac:dyDescent="0.25">
      <c r="A269" s="4" t="s">
        <v>2531</v>
      </c>
      <c r="B269" s="2" t="s">
        <v>1028</v>
      </c>
      <c r="C269" s="5">
        <v>37.130000000000003</v>
      </c>
      <c r="D269" s="3" t="s">
        <v>2532</v>
      </c>
      <c r="E269" s="2" t="s">
        <v>26</v>
      </c>
      <c r="F269" s="6"/>
      <c r="G269" s="2" t="s">
        <v>632</v>
      </c>
      <c r="H269" s="2" t="s">
        <v>408</v>
      </c>
      <c r="I269" s="2" t="s">
        <v>19</v>
      </c>
      <c r="J269" s="2" t="s">
        <v>409</v>
      </c>
      <c r="K269" s="7" t="str">
        <f>HYPERLINK("http://slimages.macys.com/is/image/MCY/8191312 ")</f>
        <v xml:space="preserve">http://slimages.macys.com/is/image/MCY/8191312 </v>
      </c>
    </row>
    <row r="270" spans="1:11" ht="24.75" x14ac:dyDescent="0.25">
      <c r="A270" s="4" t="s">
        <v>2533</v>
      </c>
      <c r="B270" s="2" t="s">
        <v>1028</v>
      </c>
      <c r="C270" s="5">
        <v>37.130000000000003</v>
      </c>
      <c r="D270" s="3" t="s">
        <v>2532</v>
      </c>
      <c r="E270" s="2" t="s">
        <v>26</v>
      </c>
      <c r="F270" s="6"/>
      <c r="G270" s="2" t="s">
        <v>632</v>
      </c>
      <c r="H270" s="2" t="s">
        <v>408</v>
      </c>
      <c r="I270" s="2" t="s">
        <v>19</v>
      </c>
      <c r="J270" s="2" t="s">
        <v>409</v>
      </c>
      <c r="K270" s="7" t="str">
        <f>HYPERLINK("http://slimages.macys.com/is/image/MCY/8191312 ")</f>
        <v xml:space="preserve">http://slimages.macys.com/is/image/MCY/8191312 </v>
      </c>
    </row>
    <row r="271" spans="1:11" ht="24.75" x14ac:dyDescent="0.25">
      <c r="A271" s="4" t="s">
        <v>2534</v>
      </c>
      <c r="B271" s="2" t="s">
        <v>1033</v>
      </c>
      <c r="C271" s="5">
        <v>37.130000000000003</v>
      </c>
      <c r="D271" s="3" t="s">
        <v>1034</v>
      </c>
      <c r="E271" s="2" t="s">
        <v>331</v>
      </c>
      <c r="F271" s="6" t="s">
        <v>126</v>
      </c>
      <c r="G271" s="2" t="s">
        <v>188</v>
      </c>
      <c r="H271" s="2" t="s">
        <v>189</v>
      </c>
      <c r="I271" s="2" t="s">
        <v>19</v>
      </c>
      <c r="J271" s="2" t="s">
        <v>107</v>
      </c>
      <c r="K271" s="7" t="str">
        <f>HYPERLINK("http://slimages.macys.com/is/image/MCY/12649654 ")</f>
        <v xml:space="preserve">http://slimages.macys.com/is/image/MCY/12649654 </v>
      </c>
    </row>
    <row r="272" spans="1:11" ht="24.75" x14ac:dyDescent="0.25">
      <c r="A272" s="4" t="s">
        <v>2535</v>
      </c>
      <c r="B272" s="2" t="s">
        <v>1033</v>
      </c>
      <c r="C272" s="5">
        <v>37.130000000000003</v>
      </c>
      <c r="D272" s="3" t="s">
        <v>2536</v>
      </c>
      <c r="E272" s="2" t="s">
        <v>1584</v>
      </c>
      <c r="F272" s="6" t="s">
        <v>112</v>
      </c>
      <c r="G272" s="2" t="s">
        <v>246</v>
      </c>
      <c r="H272" s="2" t="s">
        <v>189</v>
      </c>
      <c r="I272" s="2" t="s">
        <v>19</v>
      </c>
      <c r="J272" s="2" t="s">
        <v>648</v>
      </c>
      <c r="K272" s="7" t="str">
        <f>HYPERLINK("http://slimages.macys.com/is/image/MCY/12649645 ")</f>
        <v xml:space="preserve">http://slimages.macys.com/is/image/MCY/12649645 </v>
      </c>
    </row>
    <row r="273" spans="1:11" ht="24.75" x14ac:dyDescent="0.25">
      <c r="A273" s="4" t="s">
        <v>2537</v>
      </c>
      <c r="B273" s="2" t="s">
        <v>1036</v>
      </c>
      <c r="C273" s="5">
        <v>36.5</v>
      </c>
      <c r="D273" s="3" t="s">
        <v>1037</v>
      </c>
      <c r="E273" s="2" t="s">
        <v>998</v>
      </c>
      <c r="F273" s="6" t="s">
        <v>234</v>
      </c>
      <c r="G273" s="2" t="s">
        <v>194</v>
      </c>
      <c r="H273" s="2" t="s">
        <v>195</v>
      </c>
      <c r="I273" s="2" t="s">
        <v>19</v>
      </c>
      <c r="J273" s="2" t="s">
        <v>137</v>
      </c>
      <c r="K273" s="7" t="str">
        <f>HYPERLINK("http://slimages.macys.com/is/image/MCY/11526970 ")</f>
        <v xml:space="preserve">http://slimages.macys.com/is/image/MCY/11526970 </v>
      </c>
    </row>
    <row r="274" spans="1:11" ht="36.75" x14ac:dyDescent="0.25">
      <c r="A274" s="4" t="s">
        <v>2538</v>
      </c>
      <c r="B274" s="2" t="s">
        <v>1040</v>
      </c>
      <c r="C274" s="5">
        <v>44.63</v>
      </c>
      <c r="D274" s="3" t="s">
        <v>1041</v>
      </c>
      <c r="E274" s="2" t="s">
        <v>94</v>
      </c>
      <c r="F274" s="6" t="s">
        <v>65</v>
      </c>
      <c r="G274" s="2" t="s">
        <v>246</v>
      </c>
      <c r="H274" s="2" t="s">
        <v>487</v>
      </c>
      <c r="I274" s="2" t="s">
        <v>19</v>
      </c>
      <c r="J274" s="2" t="s">
        <v>500</v>
      </c>
      <c r="K274" s="7" t="str">
        <f>HYPERLINK("http://slimages.macys.com/is/image/MCY/11231757 ")</f>
        <v xml:space="preserve">http://slimages.macys.com/is/image/MCY/11231757 </v>
      </c>
    </row>
    <row r="275" spans="1:11" ht="24.75" x14ac:dyDescent="0.25">
      <c r="A275" s="4" t="s">
        <v>2539</v>
      </c>
      <c r="B275" s="2" t="s">
        <v>1047</v>
      </c>
      <c r="C275" s="5">
        <v>34.880000000000003</v>
      </c>
      <c r="D275" s="3">
        <v>100009312</v>
      </c>
      <c r="E275" s="2" t="s">
        <v>74</v>
      </c>
      <c r="F275" s="6" t="s">
        <v>154</v>
      </c>
      <c r="G275" s="2" t="s">
        <v>194</v>
      </c>
      <c r="H275" s="2" t="s">
        <v>195</v>
      </c>
      <c r="I275" s="2" t="s">
        <v>19</v>
      </c>
      <c r="J275" s="2" t="s">
        <v>353</v>
      </c>
      <c r="K275" s="7" t="str">
        <f>HYPERLINK("http://slimages.macys.com/is/image/MCY/9603701 ")</f>
        <v xml:space="preserve">http://slimages.macys.com/is/image/MCY/9603701 </v>
      </c>
    </row>
    <row r="276" spans="1:11" ht="24.75" x14ac:dyDescent="0.25">
      <c r="A276" s="4" t="s">
        <v>2540</v>
      </c>
      <c r="B276" s="2" t="s">
        <v>1047</v>
      </c>
      <c r="C276" s="5">
        <v>34.880000000000003</v>
      </c>
      <c r="D276" s="3">
        <v>100009312</v>
      </c>
      <c r="E276" s="2" t="s">
        <v>26</v>
      </c>
      <c r="F276" s="6" t="s">
        <v>154</v>
      </c>
      <c r="G276" s="2" t="s">
        <v>194</v>
      </c>
      <c r="H276" s="2" t="s">
        <v>195</v>
      </c>
      <c r="I276" s="2" t="s">
        <v>19</v>
      </c>
      <c r="J276" s="2" t="s">
        <v>353</v>
      </c>
      <c r="K276" s="7" t="str">
        <f>HYPERLINK("http://slimages.macys.com/is/image/MCY/9603701 ")</f>
        <v xml:space="preserve">http://slimages.macys.com/is/image/MCY/9603701 </v>
      </c>
    </row>
    <row r="277" spans="1:11" ht="24.75" x14ac:dyDescent="0.25">
      <c r="A277" s="4" t="s">
        <v>2541</v>
      </c>
      <c r="B277" s="2" t="s">
        <v>2542</v>
      </c>
      <c r="C277" s="5">
        <v>59.5</v>
      </c>
      <c r="D277" s="3">
        <v>100061925</v>
      </c>
      <c r="E277" s="2" t="s">
        <v>74</v>
      </c>
      <c r="F277" s="6" t="s">
        <v>39</v>
      </c>
      <c r="G277" s="2" t="s">
        <v>386</v>
      </c>
      <c r="H277" s="2" t="s">
        <v>207</v>
      </c>
      <c r="I277" s="2" t="s">
        <v>19</v>
      </c>
      <c r="J277" s="2" t="s">
        <v>1251</v>
      </c>
      <c r="K277" s="7" t="str">
        <f>HYPERLINK("http://slimages.macys.com/is/image/MCY/11963036 ")</f>
        <v xml:space="preserve">http://slimages.macys.com/is/image/MCY/11963036 </v>
      </c>
    </row>
    <row r="278" spans="1:11" ht="24.75" x14ac:dyDescent="0.25">
      <c r="A278" s="4" t="s">
        <v>1057</v>
      </c>
      <c r="B278" s="2" t="s">
        <v>1058</v>
      </c>
      <c r="C278" s="5">
        <v>39.5</v>
      </c>
      <c r="D278" s="3" t="s">
        <v>1059</v>
      </c>
      <c r="E278" s="2" t="s">
        <v>15</v>
      </c>
      <c r="F278" s="6"/>
      <c r="G278" s="2" t="s">
        <v>312</v>
      </c>
      <c r="H278" s="2" t="s">
        <v>195</v>
      </c>
      <c r="I278" s="2" t="s">
        <v>19</v>
      </c>
      <c r="J278" s="2" t="s">
        <v>438</v>
      </c>
      <c r="K278" s="7" t="str">
        <f>HYPERLINK("http://slimages.macys.com/is/image/MCY/11935984 ")</f>
        <v xml:space="preserve">http://slimages.macys.com/is/image/MCY/11935984 </v>
      </c>
    </row>
    <row r="279" spans="1:11" ht="24.75" x14ac:dyDescent="0.25">
      <c r="A279" s="4" t="s">
        <v>1060</v>
      </c>
      <c r="B279" s="2" t="s">
        <v>1058</v>
      </c>
      <c r="C279" s="5">
        <v>39.5</v>
      </c>
      <c r="D279" s="3" t="s">
        <v>1059</v>
      </c>
      <c r="E279" s="2" t="s">
        <v>15</v>
      </c>
      <c r="F279" s="6"/>
      <c r="G279" s="2" t="s">
        <v>312</v>
      </c>
      <c r="H279" s="2" t="s">
        <v>195</v>
      </c>
      <c r="I279" s="2" t="s">
        <v>19</v>
      </c>
      <c r="J279" s="2" t="s">
        <v>438</v>
      </c>
      <c r="K279" s="7" t="str">
        <f>HYPERLINK("http://slimages.macys.com/is/image/MCY/11935984 ")</f>
        <v xml:space="preserve">http://slimages.macys.com/is/image/MCY/11935984 </v>
      </c>
    </row>
    <row r="280" spans="1:11" ht="24.75" x14ac:dyDescent="0.25">
      <c r="A280" s="4" t="s">
        <v>2543</v>
      </c>
      <c r="B280" s="2" t="s">
        <v>2116</v>
      </c>
      <c r="C280" s="5">
        <v>37.130000000000003</v>
      </c>
      <c r="D280" s="3" t="s">
        <v>2117</v>
      </c>
      <c r="E280" s="2" t="s">
        <v>74</v>
      </c>
      <c r="F280" s="6" t="s">
        <v>58</v>
      </c>
      <c r="G280" s="2" t="s">
        <v>246</v>
      </c>
      <c r="H280" s="2" t="s">
        <v>487</v>
      </c>
      <c r="I280" s="2"/>
      <c r="J280" s="2"/>
      <c r="K280" s="7" t="str">
        <f>HYPERLINK("http://slimages.macys.com/is/image/MCY/12401697 ")</f>
        <v xml:space="preserve">http://slimages.macys.com/is/image/MCY/12401697 </v>
      </c>
    </row>
    <row r="281" spans="1:11" ht="24.75" x14ac:dyDescent="0.25">
      <c r="A281" s="4" t="s">
        <v>2544</v>
      </c>
      <c r="B281" s="2" t="s">
        <v>1058</v>
      </c>
      <c r="C281" s="5">
        <v>39.5</v>
      </c>
      <c r="D281" s="3" t="s">
        <v>1059</v>
      </c>
      <c r="E281" s="2" t="s">
        <v>15</v>
      </c>
      <c r="F281" s="6"/>
      <c r="G281" s="2" t="s">
        <v>312</v>
      </c>
      <c r="H281" s="2" t="s">
        <v>195</v>
      </c>
      <c r="I281" s="2" t="s">
        <v>19</v>
      </c>
      <c r="J281" s="2" t="s">
        <v>438</v>
      </c>
      <c r="K281" s="7" t="str">
        <f>HYPERLINK("http://slimages.macys.com/is/image/MCY/11935984 ")</f>
        <v xml:space="preserve">http://slimages.macys.com/is/image/MCY/11935984 </v>
      </c>
    </row>
    <row r="282" spans="1:11" ht="24.75" x14ac:dyDescent="0.25">
      <c r="A282" s="4" t="s">
        <v>2545</v>
      </c>
      <c r="B282" s="2" t="s">
        <v>2546</v>
      </c>
      <c r="C282" s="5">
        <v>34.880000000000003</v>
      </c>
      <c r="D282" s="3" t="s">
        <v>2547</v>
      </c>
      <c r="E282" s="2" t="s">
        <v>70</v>
      </c>
      <c r="F282" s="6" t="s">
        <v>154</v>
      </c>
      <c r="G282" s="2" t="s">
        <v>284</v>
      </c>
      <c r="H282" s="2" t="s">
        <v>2548</v>
      </c>
      <c r="I282" s="2" t="s">
        <v>19</v>
      </c>
      <c r="J282" s="2" t="s">
        <v>2549</v>
      </c>
      <c r="K282" s="7" t="str">
        <f>HYPERLINK("http://slimages.macys.com/is/image/MCY/11470470 ")</f>
        <v xml:space="preserve">http://slimages.macys.com/is/image/MCY/11470470 </v>
      </c>
    </row>
    <row r="283" spans="1:11" ht="24.75" x14ac:dyDescent="0.25">
      <c r="A283" s="4" t="s">
        <v>2550</v>
      </c>
      <c r="B283" s="2" t="s">
        <v>1062</v>
      </c>
      <c r="C283" s="5">
        <v>36.5</v>
      </c>
      <c r="D283" s="3" t="s">
        <v>1063</v>
      </c>
      <c r="E283" s="2" t="s">
        <v>26</v>
      </c>
      <c r="F283" s="6" t="s">
        <v>156</v>
      </c>
      <c r="G283" s="2" t="s">
        <v>194</v>
      </c>
      <c r="H283" s="2" t="s">
        <v>195</v>
      </c>
      <c r="I283" s="2" t="s">
        <v>19</v>
      </c>
      <c r="J283" s="2" t="s">
        <v>247</v>
      </c>
      <c r="K283" s="7" t="str">
        <f>HYPERLINK("http://slimages.macys.com/is/image/MCY/11515386 ")</f>
        <v xml:space="preserve">http://slimages.macys.com/is/image/MCY/11515386 </v>
      </c>
    </row>
    <row r="284" spans="1:11" ht="24.75" x14ac:dyDescent="0.25">
      <c r="A284" s="4" t="s">
        <v>1061</v>
      </c>
      <c r="B284" s="2" t="s">
        <v>1062</v>
      </c>
      <c r="C284" s="5">
        <v>36.5</v>
      </c>
      <c r="D284" s="3" t="s">
        <v>1063</v>
      </c>
      <c r="E284" s="2" t="s">
        <v>26</v>
      </c>
      <c r="F284" s="6" t="s">
        <v>154</v>
      </c>
      <c r="G284" s="2" t="s">
        <v>194</v>
      </c>
      <c r="H284" s="2" t="s">
        <v>195</v>
      </c>
      <c r="I284" s="2" t="s">
        <v>19</v>
      </c>
      <c r="J284" s="2" t="s">
        <v>247</v>
      </c>
      <c r="K284" s="7" t="str">
        <f>HYPERLINK("http://slimages.macys.com/is/image/MCY/11515386 ")</f>
        <v xml:space="preserve">http://slimages.macys.com/is/image/MCY/11515386 </v>
      </c>
    </row>
    <row r="285" spans="1:11" ht="24.75" x14ac:dyDescent="0.25">
      <c r="A285" s="4" t="s">
        <v>2551</v>
      </c>
      <c r="B285" s="2" t="s">
        <v>1062</v>
      </c>
      <c r="C285" s="5">
        <v>36.5</v>
      </c>
      <c r="D285" s="3" t="s">
        <v>1063</v>
      </c>
      <c r="E285" s="2" t="s">
        <v>26</v>
      </c>
      <c r="F285" s="6" t="s">
        <v>181</v>
      </c>
      <c r="G285" s="2" t="s">
        <v>194</v>
      </c>
      <c r="H285" s="2" t="s">
        <v>195</v>
      </c>
      <c r="I285" s="2" t="s">
        <v>19</v>
      </c>
      <c r="J285" s="2" t="s">
        <v>247</v>
      </c>
      <c r="K285" s="7" t="str">
        <f>HYPERLINK("http://slimages.macys.com/is/image/MCY/11515386 ")</f>
        <v xml:space="preserve">http://slimages.macys.com/is/image/MCY/11515386 </v>
      </c>
    </row>
    <row r="286" spans="1:11" ht="24.75" x14ac:dyDescent="0.25">
      <c r="A286" s="4" t="s">
        <v>2552</v>
      </c>
      <c r="B286" s="2" t="s">
        <v>2553</v>
      </c>
      <c r="C286" s="5">
        <v>34.880000000000003</v>
      </c>
      <c r="D286" s="3">
        <v>100054401</v>
      </c>
      <c r="E286" s="2" t="s">
        <v>579</v>
      </c>
      <c r="F286" s="6" t="s">
        <v>16</v>
      </c>
      <c r="G286" s="2" t="s">
        <v>194</v>
      </c>
      <c r="H286" s="2" t="s">
        <v>195</v>
      </c>
      <c r="I286" s="2" t="s">
        <v>19</v>
      </c>
      <c r="J286" s="2" t="s">
        <v>353</v>
      </c>
      <c r="K286" s="7" t="str">
        <f>HYPERLINK("http://slimages.macys.com/is/image/MCY/12279828 ")</f>
        <v xml:space="preserve">http://slimages.macys.com/is/image/MCY/12279828 </v>
      </c>
    </row>
    <row r="287" spans="1:11" ht="24.75" x14ac:dyDescent="0.25">
      <c r="A287" s="4" t="s">
        <v>2554</v>
      </c>
      <c r="B287" s="2" t="s">
        <v>1069</v>
      </c>
      <c r="C287" s="5">
        <v>34.5</v>
      </c>
      <c r="D287" s="3">
        <v>100050028</v>
      </c>
      <c r="E287" s="2" t="s">
        <v>180</v>
      </c>
      <c r="F287" s="6" t="s">
        <v>22</v>
      </c>
      <c r="G287" s="2" t="s">
        <v>228</v>
      </c>
      <c r="H287" s="2" t="s">
        <v>229</v>
      </c>
      <c r="I287" s="2" t="s">
        <v>19</v>
      </c>
      <c r="J287" s="2" t="s">
        <v>353</v>
      </c>
      <c r="K287" s="7" t="str">
        <f>HYPERLINK("http://slimages.macys.com/is/image/MCY/11527150 ")</f>
        <v xml:space="preserve">http://slimages.macys.com/is/image/MCY/11527150 </v>
      </c>
    </row>
    <row r="288" spans="1:11" ht="24.75" x14ac:dyDescent="0.25">
      <c r="A288" s="4" t="s">
        <v>2555</v>
      </c>
      <c r="B288" s="2" t="s">
        <v>1069</v>
      </c>
      <c r="C288" s="5">
        <v>34.5</v>
      </c>
      <c r="D288" s="3">
        <v>100050028</v>
      </c>
      <c r="E288" s="2" t="s">
        <v>180</v>
      </c>
      <c r="F288" s="6" t="s">
        <v>106</v>
      </c>
      <c r="G288" s="2" t="s">
        <v>228</v>
      </c>
      <c r="H288" s="2" t="s">
        <v>229</v>
      </c>
      <c r="I288" s="2" t="s">
        <v>19</v>
      </c>
      <c r="J288" s="2" t="s">
        <v>353</v>
      </c>
      <c r="K288" s="7" t="str">
        <f>HYPERLINK("http://slimages.macys.com/is/image/MCY/11527150 ")</f>
        <v xml:space="preserve">http://slimages.macys.com/is/image/MCY/11527150 </v>
      </c>
    </row>
    <row r="289" spans="1:11" ht="24.75" x14ac:dyDescent="0.25">
      <c r="A289" s="4" t="s">
        <v>2556</v>
      </c>
      <c r="B289" s="2" t="s">
        <v>898</v>
      </c>
      <c r="C289" s="5">
        <v>37.130000000000003</v>
      </c>
      <c r="D289" s="3">
        <v>100009193</v>
      </c>
      <c r="E289" s="2" t="s">
        <v>506</v>
      </c>
      <c r="F289" s="6" t="s">
        <v>106</v>
      </c>
      <c r="G289" s="2" t="s">
        <v>194</v>
      </c>
      <c r="H289" s="2" t="s">
        <v>503</v>
      </c>
      <c r="I289" s="2" t="s">
        <v>19</v>
      </c>
      <c r="J289" s="2" t="s">
        <v>353</v>
      </c>
      <c r="K289" s="7" t="str">
        <f t="shared" ref="K289:K295" si="1">HYPERLINK("http://slimages.macys.com/is/image/MCY/11804644 ")</f>
        <v xml:space="preserve">http://slimages.macys.com/is/image/MCY/11804644 </v>
      </c>
    </row>
    <row r="290" spans="1:11" ht="24.75" x14ac:dyDescent="0.25">
      <c r="A290" s="4" t="s">
        <v>1072</v>
      </c>
      <c r="B290" s="2" t="s">
        <v>898</v>
      </c>
      <c r="C290" s="5">
        <v>37.130000000000003</v>
      </c>
      <c r="D290" s="3">
        <v>100009193</v>
      </c>
      <c r="E290" s="2" t="s">
        <v>15</v>
      </c>
      <c r="F290" s="6" t="s">
        <v>141</v>
      </c>
      <c r="G290" s="2" t="s">
        <v>194</v>
      </c>
      <c r="H290" s="2" t="s">
        <v>503</v>
      </c>
      <c r="I290" s="2" t="s">
        <v>19</v>
      </c>
      <c r="J290" s="2" t="s">
        <v>353</v>
      </c>
      <c r="K290" s="7" t="str">
        <f t="shared" si="1"/>
        <v xml:space="preserve">http://slimages.macys.com/is/image/MCY/11804644 </v>
      </c>
    </row>
    <row r="291" spans="1:11" ht="24.75" x14ac:dyDescent="0.25">
      <c r="A291" s="4" t="s">
        <v>2557</v>
      </c>
      <c r="B291" s="2" t="s">
        <v>898</v>
      </c>
      <c r="C291" s="5">
        <v>37.130000000000003</v>
      </c>
      <c r="D291" s="3">
        <v>100009193</v>
      </c>
      <c r="E291" s="2" t="s">
        <v>15</v>
      </c>
      <c r="F291" s="6" t="s">
        <v>106</v>
      </c>
      <c r="G291" s="2" t="s">
        <v>194</v>
      </c>
      <c r="H291" s="2" t="s">
        <v>503</v>
      </c>
      <c r="I291" s="2" t="s">
        <v>19</v>
      </c>
      <c r="J291" s="2" t="s">
        <v>353</v>
      </c>
      <c r="K291" s="7" t="str">
        <f t="shared" si="1"/>
        <v xml:space="preserve">http://slimages.macys.com/is/image/MCY/11804644 </v>
      </c>
    </row>
    <row r="292" spans="1:11" ht="24.75" x14ac:dyDescent="0.25">
      <c r="A292" s="4" t="s">
        <v>2558</v>
      </c>
      <c r="B292" s="2" t="s">
        <v>898</v>
      </c>
      <c r="C292" s="5">
        <v>37.130000000000003</v>
      </c>
      <c r="D292" s="3">
        <v>100009193</v>
      </c>
      <c r="E292" s="2" t="s">
        <v>15</v>
      </c>
      <c r="F292" s="6" t="s">
        <v>27</v>
      </c>
      <c r="G292" s="2" t="s">
        <v>194</v>
      </c>
      <c r="H292" s="2" t="s">
        <v>503</v>
      </c>
      <c r="I292" s="2" t="s">
        <v>19</v>
      </c>
      <c r="J292" s="2" t="s">
        <v>353</v>
      </c>
      <c r="K292" s="7" t="str">
        <f t="shared" si="1"/>
        <v xml:space="preserve">http://slimages.macys.com/is/image/MCY/11804644 </v>
      </c>
    </row>
    <row r="293" spans="1:11" ht="24.75" x14ac:dyDescent="0.25">
      <c r="A293" s="4" t="s">
        <v>2559</v>
      </c>
      <c r="B293" s="2" t="s">
        <v>898</v>
      </c>
      <c r="C293" s="5">
        <v>37.130000000000003</v>
      </c>
      <c r="D293" s="3">
        <v>100009193</v>
      </c>
      <c r="E293" s="2" t="s">
        <v>15</v>
      </c>
      <c r="F293" s="6" t="s">
        <v>39</v>
      </c>
      <c r="G293" s="2" t="s">
        <v>194</v>
      </c>
      <c r="H293" s="2" t="s">
        <v>503</v>
      </c>
      <c r="I293" s="2" t="s">
        <v>19</v>
      </c>
      <c r="J293" s="2" t="s">
        <v>353</v>
      </c>
      <c r="K293" s="7" t="str">
        <f t="shared" si="1"/>
        <v xml:space="preserve">http://slimages.macys.com/is/image/MCY/11804644 </v>
      </c>
    </row>
    <row r="294" spans="1:11" ht="24.75" x14ac:dyDescent="0.25">
      <c r="A294" s="4" t="s">
        <v>2560</v>
      </c>
      <c r="B294" s="2" t="s">
        <v>898</v>
      </c>
      <c r="C294" s="5">
        <v>37.130000000000003</v>
      </c>
      <c r="D294" s="3">
        <v>100009193</v>
      </c>
      <c r="E294" s="2" t="s">
        <v>506</v>
      </c>
      <c r="F294" s="6" t="s">
        <v>27</v>
      </c>
      <c r="G294" s="2" t="s">
        <v>194</v>
      </c>
      <c r="H294" s="2" t="s">
        <v>503</v>
      </c>
      <c r="I294" s="2" t="s">
        <v>19</v>
      </c>
      <c r="J294" s="2" t="s">
        <v>353</v>
      </c>
      <c r="K294" s="7" t="str">
        <f t="shared" si="1"/>
        <v xml:space="preserve">http://slimages.macys.com/is/image/MCY/11804644 </v>
      </c>
    </row>
    <row r="295" spans="1:11" ht="24.75" x14ac:dyDescent="0.25">
      <c r="A295" s="4" t="s">
        <v>2561</v>
      </c>
      <c r="B295" s="2" t="s">
        <v>898</v>
      </c>
      <c r="C295" s="5">
        <v>37.130000000000003</v>
      </c>
      <c r="D295" s="3">
        <v>100009193</v>
      </c>
      <c r="E295" s="2" t="s">
        <v>566</v>
      </c>
      <c r="F295" s="6" t="s">
        <v>106</v>
      </c>
      <c r="G295" s="2" t="s">
        <v>194</v>
      </c>
      <c r="H295" s="2" t="s">
        <v>503</v>
      </c>
      <c r="I295" s="2" t="s">
        <v>19</v>
      </c>
      <c r="J295" s="2" t="s">
        <v>353</v>
      </c>
      <c r="K295" s="7" t="str">
        <f t="shared" si="1"/>
        <v xml:space="preserve">http://slimages.macys.com/is/image/MCY/11804644 </v>
      </c>
    </row>
    <row r="296" spans="1:11" ht="24.75" x14ac:dyDescent="0.25">
      <c r="A296" s="4" t="s">
        <v>2562</v>
      </c>
      <c r="B296" s="2" t="s">
        <v>2563</v>
      </c>
      <c r="C296" s="5">
        <v>37.130000000000003</v>
      </c>
      <c r="D296" s="3" t="s">
        <v>2564</v>
      </c>
      <c r="E296" s="2" t="s">
        <v>680</v>
      </c>
      <c r="F296" s="6" t="s">
        <v>245</v>
      </c>
      <c r="G296" s="2" t="s">
        <v>246</v>
      </c>
      <c r="H296" s="2" t="s">
        <v>189</v>
      </c>
      <c r="I296" s="2" t="s">
        <v>19</v>
      </c>
      <c r="J296" s="2" t="s">
        <v>1108</v>
      </c>
      <c r="K296" s="7" t="str">
        <f>HYPERLINK("http://slimages.macys.com/is/image/MCY/11807944 ")</f>
        <v xml:space="preserve">http://slimages.macys.com/is/image/MCY/11807944 </v>
      </c>
    </row>
    <row r="297" spans="1:11" ht="24.75" x14ac:dyDescent="0.25">
      <c r="A297" s="4" t="s">
        <v>2565</v>
      </c>
      <c r="B297" s="2" t="s">
        <v>2566</v>
      </c>
      <c r="C297" s="5">
        <v>34.880000000000003</v>
      </c>
      <c r="D297" s="3" t="s">
        <v>2567</v>
      </c>
      <c r="E297" s="2" t="s">
        <v>15</v>
      </c>
      <c r="F297" s="6"/>
      <c r="G297" s="2" t="s">
        <v>632</v>
      </c>
      <c r="H297" s="2" t="s">
        <v>2548</v>
      </c>
      <c r="I297" s="2" t="s">
        <v>19</v>
      </c>
      <c r="J297" s="2" t="s">
        <v>34</v>
      </c>
      <c r="K297" s="7" t="str">
        <f>HYPERLINK("http://slimages.macys.com/is/image/MCY/12716939 ")</f>
        <v xml:space="preserve">http://slimages.macys.com/is/image/MCY/12716939 </v>
      </c>
    </row>
    <row r="298" spans="1:11" ht="24.75" x14ac:dyDescent="0.25">
      <c r="A298" s="4" t="s">
        <v>2568</v>
      </c>
      <c r="B298" s="2" t="s">
        <v>2566</v>
      </c>
      <c r="C298" s="5">
        <v>34.880000000000003</v>
      </c>
      <c r="D298" s="3" t="s">
        <v>2567</v>
      </c>
      <c r="E298" s="2" t="s">
        <v>15</v>
      </c>
      <c r="F298" s="6"/>
      <c r="G298" s="2" t="s">
        <v>632</v>
      </c>
      <c r="H298" s="2" t="s">
        <v>2548</v>
      </c>
      <c r="I298" s="2" t="s">
        <v>19</v>
      </c>
      <c r="J298" s="2" t="s">
        <v>34</v>
      </c>
      <c r="K298" s="7" t="str">
        <f>HYPERLINK("http://slimages.macys.com/is/image/MCY/12716939 ")</f>
        <v xml:space="preserve">http://slimages.macys.com/is/image/MCY/12716939 </v>
      </c>
    </row>
    <row r="299" spans="1:11" ht="24.75" x14ac:dyDescent="0.25">
      <c r="A299" s="4" t="s">
        <v>2569</v>
      </c>
      <c r="B299" s="2" t="s">
        <v>2566</v>
      </c>
      <c r="C299" s="5">
        <v>34.880000000000003</v>
      </c>
      <c r="D299" s="3" t="s">
        <v>2567</v>
      </c>
      <c r="E299" s="2" t="s">
        <v>15</v>
      </c>
      <c r="F299" s="6" t="s">
        <v>794</v>
      </c>
      <c r="G299" s="2" t="s">
        <v>632</v>
      </c>
      <c r="H299" s="2" t="s">
        <v>2548</v>
      </c>
      <c r="I299" s="2" t="s">
        <v>19</v>
      </c>
      <c r="J299" s="2" t="s">
        <v>34</v>
      </c>
      <c r="K299" s="7" t="str">
        <f>HYPERLINK("http://slimages.macys.com/is/image/MCY/12716939 ")</f>
        <v xml:space="preserve">http://slimages.macys.com/is/image/MCY/12716939 </v>
      </c>
    </row>
    <row r="300" spans="1:11" ht="24.75" x14ac:dyDescent="0.25">
      <c r="A300" s="4" t="s">
        <v>2570</v>
      </c>
      <c r="B300" s="2" t="s">
        <v>2571</v>
      </c>
      <c r="C300" s="5">
        <v>37.130000000000003</v>
      </c>
      <c r="D300" s="3" t="s">
        <v>2572</v>
      </c>
      <c r="E300" s="2" t="s">
        <v>26</v>
      </c>
      <c r="F300" s="6" t="s">
        <v>234</v>
      </c>
      <c r="G300" s="2" t="s">
        <v>246</v>
      </c>
      <c r="H300" s="2" t="s">
        <v>189</v>
      </c>
      <c r="I300" s="2" t="s">
        <v>19</v>
      </c>
      <c r="J300" s="2" t="s">
        <v>1230</v>
      </c>
      <c r="K300" s="7" t="str">
        <f>HYPERLINK("http://slimages.macys.com/is/image/MCY/9818614 ")</f>
        <v xml:space="preserve">http://slimages.macys.com/is/image/MCY/9818614 </v>
      </c>
    </row>
    <row r="301" spans="1:11" ht="24.75" x14ac:dyDescent="0.25">
      <c r="A301" s="4" t="s">
        <v>1105</v>
      </c>
      <c r="B301" s="2" t="s">
        <v>1106</v>
      </c>
      <c r="C301" s="5">
        <v>32.5</v>
      </c>
      <c r="D301" s="3" t="s">
        <v>1107</v>
      </c>
      <c r="E301" s="2" t="s">
        <v>15</v>
      </c>
      <c r="F301" s="6" t="s">
        <v>181</v>
      </c>
      <c r="G301" s="2" t="s">
        <v>194</v>
      </c>
      <c r="H301" s="2" t="s">
        <v>195</v>
      </c>
      <c r="I301" s="2" t="s">
        <v>19</v>
      </c>
      <c r="J301" s="2" t="s">
        <v>1108</v>
      </c>
      <c r="K301" s="7" t="str">
        <f>HYPERLINK("http://slimages.macys.com/is/image/MCY/11764459 ")</f>
        <v xml:space="preserve">http://slimages.macys.com/is/image/MCY/11764459 </v>
      </c>
    </row>
    <row r="302" spans="1:11" ht="24.75" x14ac:dyDescent="0.25">
      <c r="A302" s="4" t="s">
        <v>2573</v>
      </c>
      <c r="B302" s="2" t="s">
        <v>1106</v>
      </c>
      <c r="C302" s="5">
        <v>32.5</v>
      </c>
      <c r="D302" s="3" t="s">
        <v>1107</v>
      </c>
      <c r="E302" s="2" t="s">
        <v>15</v>
      </c>
      <c r="F302" s="6" t="s">
        <v>234</v>
      </c>
      <c r="G302" s="2" t="s">
        <v>194</v>
      </c>
      <c r="H302" s="2" t="s">
        <v>195</v>
      </c>
      <c r="I302" s="2" t="s">
        <v>19</v>
      </c>
      <c r="J302" s="2" t="s">
        <v>1108</v>
      </c>
      <c r="K302" s="7" t="str">
        <f>HYPERLINK("http://slimages.macys.com/is/image/MCY/11764459 ")</f>
        <v xml:space="preserve">http://slimages.macys.com/is/image/MCY/11764459 </v>
      </c>
    </row>
    <row r="303" spans="1:11" ht="24.75" x14ac:dyDescent="0.25">
      <c r="A303" s="4" t="s">
        <v>2574</v>
      </c>
      <c r="B303" s="2" t="s">
        <v>2575</v>
      </c>
      <c r="C303" s="5">
        <v>40.880000000000003</v>
      </c>
      <c r="D303" s="3" t="s">
        <v>2576</v>
      </c>
      <c r="E303" s="2" t="s">
        <v>170</v>
      </c>
      <c r="F303" s="6" t="s">
        <v>200</v>
      </c>
      <c r="G303" s="2" t="s">
        <v>284</v>
      </c>
      <c r="H303" s="2" t="s">
        <v>285</v>
      </c>
      <c r="I303" s="2" t="s">
        <v>19</v>
      </c>
      <c r="J303" s="2" t="s">
        <v>160</v>
      </c>
      <c r="K303" s="7" t="str">
        <f>HYPERLINK("http://slimages.macys.com/is/image/MCY/12035382 ")</f>
        <v xml:space="preserve">http://slimages.macys.com/is/image/MCY/12035382 </v>
      </c>
    </row>
    <row r="304" spans="1:11" ht="24.75" x14ac:dyDescent="0.25">
      <c r="A304" s="4" t="s">
        <v>2577</v>
      </c>
      <c r="B304" s="2" t="s">
        <v>1114</v>
      </c>
      <c r="C304" s="5">
        <v>37.130000000000003</v>
      </c>
      <c r="D304" s="3">
        <v>100042369</v>
      </c>
      <c r="E304" s="2" t="s">
        <v>79</v>
      </c>
      <c r="F304" s="6" t="s">
        <v>112</v>
      </c>
      <c r="G304" s="2" t="s">
        <v>194</v>
      </c>
      <c r="H304" s="2" t="s">
        <v>195</v>
      </c>
      <c r="I304" s="2" t="s">
        <v>19</v>
      </c>
      <c r="J304" s="2" t="s">
        <v>353</v>
      </c>
      <c r="K304" s="7" t="str">
        <f>HYPERLINK("http://slimages.macys.com/is/image/MCY/11934953 ")</f>
        <v xml:space="preserve">http://slimages.macys.com/is/image/MCY/11934953 </v>
      </c>
    </row>
    <row r="305" spans="1:11" ht="24.75" x14ac:dyDescent="0.25">
      <c r="A305" s="4" t="s">
        <v>1115</v>
      </c>
      <c r="B305" s="2" t="s">
        <v>1114</v>
      </c>
      <c r="C305" s="5">
        <v>37.130000000000003</v>
      </c>
      <c r="D305" s="3">
        <v>100042369</v>
      </c>
      <c r="E305" s="2" t="s">
        <v>94</v>
      </c>
      <c r="F305" s="6" t="s">
        <v>22</v>
      </c>
      <c r="G305" s="2" t="s">
        <v>194</v>
      </c>
      <c r="H305" s="2" t="s">
        <v>195</v>
      </c>
      <c r="I305" s="2" t="s">
        <v>19</v>
      </c>
      <c r="J305" s="2" t="s">
        <v>353</v>
      </c>
      <c r="K305" s="7" t="str">
        <f>HYPERLINK("http://slimages.macys.com/is/image/MCY/11934953 ")</f>
        <v xml:space="preserve">http://slimages.macys.com/is/image/MCY/11934953 </v>
      </c>
    </row>
    <row r="306" spans="1:11" ht="24.75" x14ac:dyDescent="0.25">
      <c r="A306" s="4" t="s">
        <v>2578</v>
      </c>
      <c r="B306" s="2" t="s">
        <v>1114</v>
      </c>
      <c r="C306" s="5">
        <v>37.130000000000003</v>
      </c>
      <c r="D306" s="3">
        <v>100042369</v>
      </c>
      <c r="E306" s="2" t="s">
        <v>64</v>
      </c>
      <c r="F306" s="6" t="s">
        <v>58</v>
      </c>
      <c r="G306" s="2" t="s">
        <v>194</v>
      </c>
      <c r="H306" s="2" t="s">
        <v>195</v>
      </c>
      <c r="I306" s="2"/>
      <c r="J306" s="2"/>
      <c r="K306" s="7" t="str">
        <f>HYPERLINK("http://slimages.macys.com/is/image/MCY/11934939 ")</f>
        <v xml:space="preserve">http://slimages.macys.com/is/image/MCY/11934939 </v>
      </c>
    </row>
    <row r="307" spans="1:11" ht="24.75" x14ac:dyDescent="0.25">
      <c r="A307" s="4" t="s">
        <v>2579</v>
      </c>
      <c r="B307" s="2" t="s">
        <v>1114</v>
      </c>
      <c r="C307" s="5">
        <v>37.130000000000003</v>
      </c>
      <c r="D307" s="3">
        <v>100042369</v>
      </c>
      <c r="E307" s="2" t="s">
        <v>64</v>
      </c>
      <c r="F307" s="6" t="s">
        <v>27</v>
      </c>
      <c r="G307" s="2" t="s">
        <v>194</v>
      </c>
      <c r="H307" s="2" t="s">
        <v>195</v>
      </c>
      <c r="I307" s="2"/>
      <c r="J307" s="2"/>
      <c r="K307" s="7" t="str">
        <f>HYPERLINK("http://slimages.macys.com/is/image/MCY/11934939 ")</f>
        <v xml:space="preserve">http://slimages.macys.com/is/image/MCY/11934939 </v>
      </c>
    </row>
    <row r="308" spans="1:11" ht="24.75" x14ac:dyDescent="0.25">
      <c r="A308" s="4" t="s">
        <v>2580</v>
      </c>
      <c r="B308" s="2" t="s">
        <v>1114</v>
      </c>
      <c r="C308" s="5">
        <v>37.130000000000003</v>
      </c>
      <c r="D308" s="3">
        <v>100042369</v>
      </c>
      <c r="E308" s="2" t="s">
        <v>94</v>
      </c>
      <c r="F308" s="6" t="s">
        <v>16</v>
      </c>
      <c r="G308" s="2" t="s">
        <v>194</v>
      </c>
      <c r="H308" s="2" t="s">
        <v>195</v>
      </c>
      <c r="I308" s="2" t="s">
        <v>19</v>
      </c>
      <c r="J308" s="2" t="s">
        <v>353</v>
      </c>
      <c r="K308" s="7" t="str">
        <f>HYPERLINK("http://slimages.macys.com/is/image/MCY/11934953 ")</f>
        <v xml:space="preserve">http://slimages.macys.com/is/image/MCY/11934953 </v>
      </c>
    </row>
    <row r="309" spans="1:11" ht="24.75" x14ac:dyDescent="0.25">
      <c r="A309" s="4" t="s">
        <v>2581</v>
      </c>
      <c r="B309" s="2" t="s">
        <v>1118</v>
      </c>
      <c r="C309" s="5">
        <v>37.130000000000003</v>
      </c>
      <c r="D309" s="3">
        <v>100070736</v>
      </c>
      <c r="E309" s="2" t="s">
        <v>376</v>
      </c>
      <c r="F309" s="6" t="s">
        <v>245</v>
      </c>
      <c r="G309" s="2" t="s">
        <v>194</v>
      </c>
      <c r="H309" s="2" t="s">
        <v>195</v>
      </c>
      <c r="I309" s="2" t="s">
        <v>19</v>
      </c>
      <c r="J309" s="2" t="s">
        <v>353</v>
      </c>
      <c r="K309" s="7" t="str">
        <f>HYPERLINK("http://slimages.macys.com/is/image/MCY/13120823 ")</f>
        <v xml:space="preserve">http://slimages.macys.com/is/image/MCY/13120823 </v>
      </c>
    </row>
    <row r="310" spans="1:11" ht="24.75" x14ac:dyDescent="0.25">
      <c r="A310" s="4" t="s">
        <v>1117</v>
      </c>
      <c r="B310" s="2" t="s">
        <v>1118</v>
      </c>
      <c r="C310" s="5">
        <v>37.130000000000003</v>
      </c>
      <c r="D310" s="3">
        <v>100070736</v>
      </c>
      <c r="E310" s="2" t="s">
        <v>376</v>
      </c>
      <c r="F310" s="6" t="s">
        <v>156</v>
      </c>
      <c r="G310" s="2" t="s">
        <v>194</v>
      </c>
      <c r="H310" s="2" t="s">
        <v>195</v>
      </c>
      <c r="I310" s="2" t="s">
        <v>19</v>
      </c>
      <c r="J310" s="2" t="s">
        <v>353</v>
      </c>
      <c r="K310" s="7" t="str">
        <f>HYPERLINK("http://slimages.macys.com/is/image/MCY/13120823 ")</f>
        <v xml:space="preserve">http://slimages.macys.com/is/image/MCY/13120823 </v>
      </c>
    </row>
    <row r="311" spans="1:11" ht="24.75" x14ac:dyDescent="0.25">
      <c r="A311" s="4" t="s">
        <v>1124</v>
      </c>
      <c r="B311" s="2" t="s">
        <v>1118</v>
      </c>
      <c r="C311" s="5">
        <v>37.130000000000003</v>
      </c>
      <c r="D311" s="3">
        <v>100070736</v>
      </c>
      <c r="E311" s="2" t="s">
        <v>74</v>
      </c>
      <c r="F311" s="6" t="s">
        <v>234</v>
      </c>
      <c r="G311" s="2" t="s">
        <v>194</v>
      </c>
      <c r="H311" s="2" t="s">
        <v>195</v>
      </c>
      <c r="I311" s="2" t="s">
        <v>19</v>
      </c>
      <c r="J311" s="2" t="s">
        <v>353</v>
      </c>
      <c r="K311" s="7" t="str">
        <f>HYPERLINK("http://slimages.macys.com/is/image/MCY/13120823 ")</f>
        <v xml:space="preserve">http://slimages.macys.com/is/image/MCY/13120823 </v>
      </c>
    </row>
    <row r="312" spans="1:11" ht="24.75" x14ac:dyDescent="0.25">
      <c r="A312" s="4" t="s">
        <v>1122</v>
      </c>
      <c r="B312" s="2" t="s">
        <v>1118</v>
      </c>
      <c r="C312" s="5">
        <v>37.130000000000003</v>
      </c>
      <c r="D312" s="3">
        <v>100070736</v>
      </c>
      <c r="E312" s="2" t="s">
        <v>376</v>
      </c>
      <c r="F312" s="6" t="s">
        <v>181</v>
      </c>
      <c r="G312" s="2" t="s">
        <v>194</v>
      </c>
      <c r="H312" s="2" t="s">
        <v>195</v>
      </c>
      <c r="I312" s="2" t="s">
        <v>19</v>
      </c>
      <c r="J312" s="2" t="s">
        <v>353</v>
      </c>
      <c r="K312" s="7" t="str">
        <f>HYPERLINK("http://slimages.macys.com/is/image/MCY/13120823 ")</f>
        <v xml:space="preserve">http://slimages.macys.com/is/image/MCY/13120823 </v>
      </c>
    </row>
    <row r="313" spans="1:11" ht="24.75" x14ac:dyDescent="0.25">
      <c r="A313" s="4" t="s">
        <v>1121</v>
      </c>
      <c r="B313" s="2" t="s">
        <v>1118</v>
      </c>
      <c r="C313" s="5">
        <v>37.130000000000003</v>
      </c>
      <c r="D313" s="3">
        <v>100070736</v>
      </c>
      <c r="E313" s="2" t="s">
        <v>376</v>
      </c>
      <c r="F313" s="6" t="s">
        <v>234</v>
      </c>
      <c r="G313" s="2" t="s">
        <v>194</v>
      </c>
      <c r="H313" s="2" t="s">
        <v>195</v>
      </c>
      <c r="I313" s="2" t="s">
        <v>19</v>
      </c>
      <c r="J313" s="2" t="s">
        <v>353</v>
      </c>
      <c r="K313" s="7" t="str">
        <f>HYPERLINK("http://slimages.macys.com/is/image/MCY/13120823 ")</f>
        <v xml:space="preserve">http://slimages.macys.com/is/image/MCY/13120823 </v>
      </c>
    </row>
    <row r="314" spans="1:11" ht="24.75" x14ac:dyDescent="0.25">
      <c r="A314" s="4" t="s">
        <v>2582</v>
      </c>
      <c r="B314" s="2" t="s">
        <v>1128</v>
      </c>
      <c r="C314" s="5">
        <v>32.5</v>
      </c>
      <c r="D314" s="3" t="s">
        <v>1129</v>
      </c>
      <c r="E314" s="2" t="s">
        <v>252</v>
      </c>
      <c r="F314" s="6" t="s">
        <v>156</v>
      </c>
      <c r="G314" s="2" t="s">
        <v>194</v>
      </c>
      <c r="H314" s="2" t="s">
        <v>195</v>
      </c>
      <c r="I314" s="2" t="s">
        <v>19</v>
      </c>
      <c r="J314" s="2" t="s">
        <v>1108</v>
      </c>
      <c r="K314" s="7" t="str">
        <f>HYPERLINK("http://slimages.macys.com/is/image/MCY/12850781 ")</f>
        <v xml:space="preserve">http://slimages.macys.com/is/image/MCY/12850781 </v>
      </c>
    </row>
    <row r="315" spans="1:11" ht="24.75" x14ac:dyDescent="0.25">
      <c r="A315" s="4" t="s">
        <v>2583</v>
      </c>
      <c r="B315" s="2" t="s">
        <v>890</v>
      </c>
      <c r="C315" s="5">
        <v>34.5</v>
      </c>
      <c r="D315" s="3" t="s">
        <v>1136</v>
      </c>
      <c r="E315" s="2" t="s">
        <v>252</v>
      </c>
      <c r="F315" s="6" t="s">
        <v>27</v>
      </c>
      <c r="G315" s="2" t="s">
        <v>228</v>
      </c>
      <c r="H315" s="2" t="s">
        <v>863</v>
      </c>
      <c r="I315" s="2" t="s">
        <v>19</v>
      </c>
      <c r="J315" s="2" t="s">
        <v>253</v>
      </c>
      <c r="K315" s="7" t="str">
        <f>HYPERLINK("http://slimages.macys.com/is/image/MCY/11804239 ")</f>
        <v xml:space="preserve">http://slimages.macys.com/is/image/MCY/11804239 </v>
      </c>
    </row>
    <row r="316" spans="1:11" ht="24.75" x14ac:dyDescent="0.25">
      <c r="A316" s="4" t="s">
        <v>2584</v>
      </c>
      <c r="B316" s="2" t="s">
        <v>1132</v>
      </c>
      <c r="C316" s="5">
        <v>34.5</v>
      </c>
      <c r="D316" s="3" t="s">
        <v>2585</v>
      </c>
      <c r="E316" s="2"/>
      <c r="F316" s="6" t="s">
        <v>58</v>
      </c>
      <c r="G316" s="2" t="s">
        <v>228</v>
      </c>
      <c r="H316" s="2" t="s">
        <v>863</v>
      </c>
      <c r="I316" s="2" t="s">
        <v>19</v>
      </c>
      <c r="J316" s="2" t="s">
        <v>253</v>
      </c>
      <c r="K316" s="7" t="str">
        <f>HYPERLINK("http://slimages.macys.com/is/image/MCY/2879497 ")</f>
        <v xml:space="preserve">http://slimages.macys.com/is/image/MCY/2879497 </v>
      </c>
    </row>
    <row r="317" spans="1:11" ht="24.75" x14ac:dyDescent="0.25">
      <c r="A317" s="4" t="s">
        <v>1144</v>
      </c>
      <c r="B317" s="2" t="s">
        <v>1132</v>
      </c>
      <c r="C317" s="5">
        <v>34.5</v>
      </c>
      <c r="D317" s="3" t="s">
        <v>1143</v>
      </c>
      <c r="E317" s="2" t="s">
        <v>506</v>
      </c>
      <c r="F317" s="6" t="s">
        <v>22</v>
      </c>
      <c r="G317" s="2" t="s">
        <v>228</v>
      </c>
      <c r="H317" s="2" t="s">
        <v>863</v>
      </c>
      <c r="I317" s="2" t="s">
        <v>19</v>
      </c>
      <c r="J317" s="2" t="s">
        <v>253</v>
      </c>
      <c r="K317" s="7" t="str">
        <f>HYPERLINK("http://slimages.macys.com/is/image/MCY/11804272 ")</f>
        <v xml:space="preserve">http://slimages.macys.com/is/image/MCY/11804272 </v>
      </c>
    </row>
    <row r="318" spans="1:11" ht="24.75" x14ac:dyDescent="0.25">
      <c r="A318" s="4" t="s">
        <v>2586</v>
      </c>
      <c r="B318" s="2" t="s">
        <v>2587</v>
      </c>
      <c r="C318" s="5">
        <v>44.63</v>
      </c>
      <c r="D318" s="3" t="s">
        <v>2588</v>
      </c>
      <c r="E318" s="2" t="s">
        <v>170</v>
      </c>
      <c r="F318" s="6"/>
      <c r="G318" s="2" t="s">
        <v>188</v>
      </c>
      <c r="H318" s="2" t="s">
        <v>189</v>
      </c>
      <c r="I318" s="2" t="s">
        <v>19</v>
      </c>
      <c r="J318" s="2" t="s">
        <v>648</v>
      </c>
      <c r="K318" s="7" t="str">
        <f>HYPERLINK("http://slimages.macys.com/is/image/MCY/11755842 ")</f>
        <v xml:space="preserve">http://slimages.macys.com/is/image/MCY/11755842 </v>
      </c>
    </row>
    <row r="319" spans="1:11" ht="24.75" x14ac:dyDescent="0.25">
      <c r="A319" s="4" t="s">
        <v>2589</v>
      </c>
      <c r="B319" s="2" t="s">
        <v>1147</v>
      </c>
      <c r="C319" s="5">
        <v>34.880000000000003</v>
      </c>
      <c r="D319" s="3">
        <v>100055540</v>
      </c>
      <c r="E319" s="2" t="s">
        <v>15</v>
      </c>
      <c r="F319" s="6" t="s">
        <v>112</v>
      </c>
      <c r="G319" s="2" t="s">
        <v>194</v>
      </c>
      <c r="H319" s="2" t="s">
        <v>195</v>
      </c>
      <c r="I319" s="2" t="s">
        <v>19</v>
      </c>
      <c r="J319" s="2" t="s">
        <v>353</v>
      </c>
      <c r="K319" s="7" t="str">
        <f>HYPERLINK("http://slimages.macys.com/is/image/MCY/12035336 ")</f>
        <v xml:space="preserve">http://slimages.macys.com/is/image/MCY/12035336 </v>
      </c>
    </row>
    <row r="320" spans="1:11" ht="24.75" x14ac:dyDescent="0.25">
      <c r="A320" s="4" t="s">
        <v>2590</v>
      </c>
      <c r="B320" s="2" t="s">
        <v>1106</v>
      </c>
      <c r="C320" s="5">
        <v>32.5</v>
      </c>
      <c r="D320" s="3" t="s">
        <v>1149</v>
      </c>
      <c r="E320" s="2" t="s">
        <v>26</v>
      </c>
      <c r="F320" s="6"/>
      <c r="G320" s="2" t="s">
        <v>312</v>
      </c>
      <c r="H320" s="2" t="s">
        <v>195</v>
      </c>
      <c r="I320" s="2" t="s">
        <v>19</v>
      </c>
      <c r="J320" s="2" t="s">
        <v>1150</v>
      </c>
      <c r="K320" s="7" t="str">
        <f>HYPERLINK("http://slimages.macys.com/is/image/MCY/11764459 ")</f>
        <v xml:space="preserve">http://slimages.macys.com/is/image/MCY/11764459 </v>
      </c>
    </row>
    <row r="321" spans="1:11" ht="24.75" x14ac:dyDescent="0.25">
      <c r="A321" s="4" t="s">
        <v>2591</v>
      </c>
      <c r="B321" s="2" t="s">
        <v>1106</v>
      </c>
      <c r="C321" s="5">
        <v>32.5</v>
      </c>
      <c r="D321" s="3" t="s">
        <v>1149</v>
      </c>
      <c r="E321" s="2" t="s">
        <v>26</v>
      </c>
      <c r="F321" s="6"/>
      <c r="G321" s="2" t="s">
        <v>312</v>
      </c>
      <c r="H321" s="2" t="s">
        <v>195</v>
      </c>
      <c r="I321" s="2" t="s">
        <v>19</v>
      </c>
      <c r="J321" s="2" t="s">
        <v>1150</v>
      </c>
      <c r="K321" s="7" t="str">
        <f>HYPERLINK("http://slimages.macys.com/is/image/MCY/11764459 ")</f>
        <v xml:space="preserve">http://slimages.macys.com/is/image/MCY/11764459 </v>
      </c>
    </row>
    <row r="322" spans="1:11" ht="24.75" x14ac:dyDescent="0.25">
      <c r="A322" s="4" t="s">
        <v>2592</v>
      </c>
      <c r="B322" s="2" t="s">
        <v>1147</v>
      </c>
      <c r="C322" s="5">
        <v>34.880000000000003</v>
      </c>
      <c r="D322" s="3">
        <v>100055540</v>
      </c>
      <c r="E322" s="2" t="s">
        <v>70</v>
      </c>
      <c r="F322" s="6" t="s">
        <v>112</v>
      </c>
      <c r="G322" s="2" t="s">
        <v>194</v>
      </c>
      <c r="H322" s="2" t="s">
        <v>195</v>
      </c>
      <c r="I322" s="2" t="s">
        <v>19</v>
      </c>
      <c r="J322" s="2" t="s">
        <v>353</v>
      </c>
      <c r="K322" s="7" t="str">
        <f>HYPERLINK("http://slimages.macys.com/is/image/MCY/12035336 ")</f>
        <v xml:space="preserve">http://slimages.macys.com/is/image/MCY/12035336 </v>
      </c>
    </row>
    <row r="323" spans="1:11" ht="24.75" x14ac:dyDescent="0.25">
      <c r="A323" s="4" t="s">
        <v>2593</v>
      </c>
      <c r="B323" s="2" t="s">
        <v>1155</v>
      </c>
      <c r="C323" s="5">
        <v>37.130000000000003</v>
      </c>
      <c r="D323" s="3" t="s">
        <v>1156</v>
      </c>
      <c r="E323" s="2" t="s">
        <v>417</v>
      </c>
      <c r="F323" s="6" t="s">
        <v>156</v>
      </c>
      <c r="G323" s="2" t="s">
        <v>194</v>
      </c>
      <c r="H323" s="2" t="s">
        <v>195</v>
      </c>
      <c r="I323" s="2" t="s">
        <v>19</v>
      </c>
      <c r="J323" s="2" t="s">
        <v>648</v>
      </c>
      <c r="K323" s="7" t="str">
        <f>HYPERLINK("http://slimages.macys.com/is/image/MCY/13120794 ")</f>
        <v xml:space="preserve">http://slimages.macys.com/is/image/MCY/13120794 </v>
      </c>
    </row>
    <row r="324" spans="1:11" ht="24.75" x14ac:dyDescent="0.25">
      <c r="A324" s="4" t="s">
        <v>2594</v>
      </c>
      <c r="B324" s="2" t="s">
        <v>1155</v>
      </c>
      <c r="C324" s="5">
        <v>37.130000000000003</v>
      </c>
      <c r="D324" s="3" t="s">
        <v>1156</v>
      </c>
      <c r="E324" s="2" t="s">
        <v>417</v>
      </c>
      <c r="F324" s="6" t="s">
        <v>234</v>
      </c>
      <c r="G324" s="2" t="s">
        <v>194</v>
      </c>
      <c r="H324" s="2" t="s">
        <v>195</v>
      </c>
      <c r="I324" s="2" t="s">
        <v>19</v>
      </c>
      <c r="J324" s="2" t="s">
        <v>648</v>
      </c>
      <c r="K324" s="7" t="str">
        <f>HYPERLINK("http://slimages.macys.com/is/image/MCY/13120794 ")</f>
        <v xml:space="preserve">http://slimages.macys.com/is/image/MCY/13120794 </v>
      </c>
    </row>
    <row r="325" spans="1:11" ht="24.75" x14ac:dyDescent="0.25">
      <c r="A325" s="4" t="s">
        <v>2595</v>
      </c>
      <c r="B325" s="2" t="s">
        <v>1160</v>
      </c>
      <c r="C325" s="5">
        <v>69.5</v>
      </c>
      <c r="D325" s="3">
        <v>100055239</v>
      </c>
      <c r="E325" s="2" t="s">
        <v>74</v>
      </c>
      <c r="F325" s="6" t="s">
        <v>2208</v>
      </c>
      <c r="G325" s="2" t="s">
        <v>386</v>
      </c>
      <c r="H325" s="2" t="s">
        <v>207</v>
      </c>
      <c r="I325" s="2" t="s">
        <v>19</v>
      </c>
      <c r="J325" s="2" t="s">
        <v>387</v>
      </c>
      <c r="K325" s="7" t="str">
        <f>HYPERLINK("http://slimages.macys.com/is/image/MCY/11535562 ")</f>
        <v xml:space="preserve">http://slimages.macys.com/is/image/MCY/11535562 </v>
      </c>
    </row>
    <row r="326" spans="1:11" ht="24.75" x14ac:dyDescent="0.25">
      <c r="A326" s="4" t="s">
        <v>1159</v>
      </c>
      <c r="B326" s="2" t="s">
        <v>1160</v>
      </c>
      <c r="C326" s="5">
        <v>69.5</v>
      </c>
      <c r="D326" s="3">
        <v>100055239</v>
      </c>
      <c r="E326" s="2" t="s">
        <v>74</v>
      </c>
      <c r="F326" s="6" t="s">
        <v>141</v>
      </c>
      <c r="G326" s="2" t="s">
        <v>386</v>
      </c>
      <c r="H326" s="2" t="s">
        <v>207</v>
      </c>
      <c r="I326" s="2" t="s">
        <v>19</v>
      </c>
      <c r="J326" s="2" t="s">
        <v>387</v>
      </c>
      <c r="K326" s="7" t="str">
        <f>HYPERLINK("http://slimages.macys.com/is/image/MCY/11535562 ")</f>
        <v xml:space="preserve">http://slimages.macys.com/is/image/MCY/11535562 </v>
      </c>
    </row>
    <row r="327" spans="1:11" ht="24.75" x14ac:dyDescent="0.25">
      <c r="A327" s="4" t="s">
        <v>2596</v>
      </c>
      <c r="B327" s="2" t="s">
        <v>1199</v>
      </c>
      <c r="C327" s="5">
        <v>37.130000000000003</v>
      </c>
      <c r="D327" s="3">
        <v>100009324</v>
      </c>
      <c r="E327" s="2" t="s">
        <v>33</v>
      </c>
      <c r="F327" s="6" t="s">
        <v>27</v>
      </c>
      <c r="G327" s="2" t="s">
        <v>194</v>
      </c>
      <c r="H327" s="2" t="s">
        <v>195</v>
      </c>
      <c r="I327" s="2" t="s">
        <v>19</v>
      </c>
      <c r="J327" s="2" t="s">
        <v>353</v>
      </c>
      <c r="K327" s="7" t="str">
        <f>HYPERLINK("http://slimages.macys.com/is/image/MCY/12316457 ")</f>
        <v xml:space="preserve">http://slimages.macys.com/is/image/MCY/12316457 </v>
      </c>
    </row>
    <row r="328" spans="1:11" ht="24.75" x14ac:dyDescent="0.25">
      <c r="A328" s="4" t="s">
        <v>2597</v>
      </c>
      <c r="B328" s="2" t="s">
        <v>1199</v>
      </c>
      <c r="C328" s="5">
        <v>37.130000000000003</v>
      </c>
      <c r="D328" s="3">
        <v>100009324</v>
      </c>
      <c r="E328" s="2" t="s">
        <v>70</v>
      </c>
      <c r="F328" s="6" t="s">
        <v>27</v>
      </c>
      <c r="G328" s="2" t="s">
        <v>194</v>
      </c>
      <c r="H328" s="2" t="s">
        <v>195</v>
      </c>
      <c r="I328" s="2" t="s">
        <v>19</v>
      </c>
      <c r="J328" s="2" t="s">
        <v>353</v>
      </c>
      <c r="K328" s="7" t="str">
        <f>HYPERLINK("http://slimages.macys.com/is/image/MCY/9404224 ")</f>
        <v xml:space="preserve">http://slimages.macys.com/is/image/MCY/9404224 </v>
      </c>
    </row>
    <row r="329" spans="1:11" ht="24.75" x14ac:dyDescent="0.25">
      <c r="A329" s="4" t="s">
        <v>2598</v>
      </c>
      <c r="B329" s="2" t="s">
        <v>1199</v>
      </c>
      <c r="C329" s="5">
        <v>37.130000000000003</v>
      </c>
      <c r="D329" s="3">
        <v>100009324</v>
      </c>
      <c r="E329" s="2" t="s">
        <v>70</v>
      </c>
      <c r="F329" s="6" t="s">
        <v>106</v>
      </c>
      <c r="G329" s="2" t="s">
        <v>194</v>
      </c>
      <c r="H329" s="2" t="s">
        <v>195</v>
      </c>
      <c r="I329" s="2" t="s">
        <v>19</v>
      </c>
      <c r="J329" s="2" t="s">
        <v>353</v>
      </c>
      <c r="K329" s="7" t="str">
        <f>HYPERLINK("http://slimages.macys.com/is/image/MCY/9404224 ")</f>
        <v xml:space="preserve">http://slimages.macys.com/is/image/MCY/9404224 </v>
      </c>
    </row>
    <row r="330" spans="1:11" ht="24.75" x14ac:dyDescent="0.25">
      <c r="A330" s="4" t="s">
        <v>1180</v>
      </c>
      <c r="B330" s="2" t="s">
        <v>1181</v>
      </c>
      <c r="C330" s="5">
        <v>37.130000000000003</v>
      </c>
      <c r="D330" s="3">
        <v>100064797</v>
      </c>
      <c r="E330" s="2" t="s">
        <v>15</v>
      </c>
      <c r="F330" s="6" t="s">
        <v>154</v>
      </c>
      <c r="G330" s="2" t="s">
        <v>194</v>
      </c>
      <c r="H330" s="2" t="s">
        <v>195</v>
      </c>
      <c r="I330" s="2" t="s">
        <v>19</v>
      </c>
      <c r="J330" s="2" t="s">
        <v>247</v>
      </c>
      <c r="K330" s="7" t="str">
        <f>HYPERLINK("http://slimages.macys.com/is/image/MCY/12950007 ")</f>
        <v xml:space="preserve">http://slimages.macys.com/is/image/MCY/12950007 </v>
      </c>
    </row>
    <row r="331" spans="1:11" ht="24.75" x14ac:dyDescent="0.25">
      <c r="A331" s="4" t="s">
        <v>2599</v>
      </c>
      <c r="B331" s="2" t="s">
        <v>1106</v>
      </c>
      <c r="C331" s="5">
        <v>32.5</v>
      </c>
      <c r="D331" s="3" t="s">
        <v>2600</v>
      </c>
      <c r="E331" s="2" t="s">
        <v>15</v>
      </c>
      <c r="F331" s="6" t="s">
        <v>181</v>
      </c>
      <c r="G331" s="2" t="s">
        <v>194</v>
      </c>
      <c r="H331" s="2" t="s">
        <v>195</v>
      </c>
      <c r="I331" s="2" t="s">
        <v>19</v>
      </c>
      <c r="J331" s="2" t="s">
        <v>1108</v>
      </c>
      <c r="K331" s="7" t="str">
        <f>HYPERLINK("http://slimages.macys.com/is/image/MCY/11776301 ")</f>
        <v xml:space="preserve">http://slimages.macys.com/is/image/MCY/11776301 </v>
      </c>
    </row>
    <row r="332" spans="1:11" ht="24.75" x14ac:dyDescent="0.25">
      <c r="A332" s="4" t="s">
        <v>2601</v>
      </c>
      <c r="B332" s="2" t="s">
        <v>1183</v>
      </c>
      <c r="C332" s="5">
        <v>34.5</v>
      </c>
      <c r="D332" s="3" t="s">
        <v>2602</v>
      </c>
      <c r="E332" s="2" t="s">
        <v>26</v>
      </c>
      <c r="F332" s="6" t="s">
        <v>200</v>
      </c>
      <c r="G332" s="2" t="s">
        <v>228</v>
      </c>
      <c r="H332" s="2" t="s">
        <v>229</v>
      </c>
      <c r="I332" s="2" t="s">
        <v>19</v>
      </c>
      <c r="J332" s="2" t="s">
        <v>253</v>
      </c>
      <c r="K332" s="7" t="str">
        <f>HYPERLINK("http://slimages.macys.com/is/image/MCY/11269044 ")</f>
        <v xml:space="preserve">http://slimages.macys.com/is/image/MCY/11269044 </v>
      </c>
    </row>
    <row r="333" spans="1:11" ht="24.75" x14ac:dyDescent="0.25">
      <c r="A333" s="4" t="s">
        <v>2603</v>
      </c>
      <c r="B333" s="2" t="s">
        <v>1183</v>
      </c>
      <c r="C333" s="5">
        <v>34.5</v>
      </c>
      <c r="D333" s="3" t="s">
        <v>2602</v>
      </c>
      <c r="E333" s="2" t="s">
        <v>26</v>
      </c>
      <c r="F333" s="6" t="s">
        <v>154</v>
      </c>
      <c r="G333" s="2" t="s">
        <v>228</v>
      </c>
      <c r="H333" s="2" t="s">
        <v>229</v>
      </c>
      <c r="I333" s="2" t="s">
        <v>19</v>
      </c>
      <c r="J333" s="2" t="s">
        <v>253</v>
      </c>
      <c r="K333" s="7" t="str">
        <f>HYPERLINK("http://slimages.macys.com/is/image/MCY/11269044 ")</f>
        <v xml:space="preserve">http://slimages.macys.com/is/image/MCY/11269044 </v>
      </c>
    </row>
    <row r="334" spans="1:11" ht="24.75" x14ac:dyDescent="0.25">
      <c r="A334" s="4" t="s">
        <v>2604</v>
      </c>
      <c r="B334" s="2" t="s">
        <v>1183</v>
      </c>
      <c r="C334" s="5">
        <v>34.5</v>
      </c>
      <c r="D334" s="3">
        <v>100010006</v>
      </c>
      <c r="E334" s="2" t="s">
        <v>417</v>
      </c>
      <c r="F334" s="6" t="s">
        <v>181</v>
      </c>
      <c r="G334" s="2" t="s">
        <v>228</v>
      </c>
      <c r="H334" s="2" t="s">
        <v>229</v>
      </c>
      <c r="I334" s="2" t="s">
        <v>19</v>
      </c>
      <c r="J334" s="2" t="s">
        <v>253</v>
      </c>
      <c r="K334" s="7" t="str">
        <f>HYPERLINK("http://slimages.macys.com/is/image/MCY/11269044 ")</f>
        <v xml:space="preserve">http://slimages.macys.com/is/image/MCY/11269044 </v>
      </c>
    </row>
    <row r="335" spans="1:11" ht="24.75" x14ac:dyDescent="0.25">
      <c r="A335" s="4" t="s">
        <v>2605</v>
      </c>
      <c r="B335" s="2" t="s">
        <v>1185</v>
      </c>
      <c r="C335" s="5">
        <v>34.5</v>
      </c>
      <c r="D335" s="3" t="s">
        <v>1186</v>
      </c>
      <c r="E335" s="2" t="s">
        <v>376</v>
      </c>
      <c r="F335" s="6" t="s">
        <v>200</v>
      </c>
      <c r="G335" s="2" t="s">
        <v>228</v>
      </c>
      <c r="H335" s="2" t="s">
        <v>229</v>
      </c>
      <c r="I335" s="2" t="s">
        <v>19</v>
      </c>
      <c r="J335" s="2" t="s">
        <v>253</v>
      </c>
      <c r="K335" s="7" t="str">
        <f>HYPERLINK("http://slimages.macys.com/is/image/MCY/11269044 ")</f>
        <v xml:space="preserve">http://slimages.macys.com/is/image/MCY/11269044 </v>
      </c>
    </row>
    <row r="336" spans="1:11" ht="24.75" x14ac:dyDescent="0.25">
      <c r="A336" s="4" t="s">
        <v>1190</v>
      </c>
      <c r="B336" s="2" t="s">
        <v>1188</v>
      </c>
      <c r="C336" s="5">
        <v>44.63</v>
      </c>
      <c r="D336" s="3" t="s">
        <v>1189</v>
      </c>
      <c r="E336" s="2" t="s">
        <v>38</v>
      </c>
      <c r="F336" s="6" t="s">
        <v>154</v>
      </c>
      <c r="G336" s="2" t="s">
        <v>194</v>
      </c>
      <c r="H336" s="2" t="s">
        <v>195</v>
      </c>
      <c r="I336" s="2" t="s">
        <v>19</v>
      </c>
      <c r="J336" s="2" t="s">
        <v>803</v>
      </c>
      <c r="K336" s="7" t="str">
        <f>HYPERLINK("http://slimages.macys.com/is/image/MCY/13683354 ")</f>
        <v xml:space="preserve">http://slimages.macys.com/is/image/MCY/13683354 </v>
      </c>
    </row>
    <row r="337" spans="1:11" ht="24.75" x14ac:dyDescent="0.25">
      <c r="A337" s="4" t="s">
        <v>2606</v>
      </c>
      <c r="B337" s="2" t="s">
        <v>1196</v>
      </c>
      <c r="C337" s="5">
        <v>37.130000000000003</v>
      </c>
      <c r="D337" s="3">
        <v>100020406</v>
      </c>
      <c r="E337" s="2" t="s">
        <v>887</v>
      </c>
      <c r="F337" s="6" t="s">
        <v>234</v>
      </c>
      <c r="G337" s="2" t="s">
        <v>194</v>
      </c>
      <c r="H337" s="2" t="s">
        <v>195</v>
      </c>
      <c r="I337" s="2" t="s">
        <v>19</v>
      </c>
      <c r="J337" s="2" t="s">
        <v>648</v>
      </c>
      <c r="K337" s="7" t="str">
        <f>HYPERLINK("http://slimages.macys.com/is/image/MCY/9577038 ")</f>
        <v xml:space="preserve">http://slimages.macys.com/is/image/MCY/9577038 </v>
      </c>
    </row>
    <row r="338" spans="1:11" ht="24.75" x14ac:dyDescent="0.25">
      <c r="A338" s="4" t="s">
        <v>1197</v>
      </c>
      <c r="B338" s="2" t="s">
        <v>1188</v>
      </c>
      <c r="C338" s="5">
        <v>44.63</v>
      </c>
      <c r="D338" s="3" t="s">
        <v>1189</v>
      </c>
      <c r="E338" s="2" t="s">
        <v>125</v>
      </c>
      <c r="F338" s="6" t="s">
        <v>234</v>
      </c>
      <c r="G338" s="2" t="s">
        <v>194</v>
      </c>
      <c r="H338" s="2" t="s">
        <v>195</v>
      </c>
      <c r="I338" s="2" t="s">
        <v>19</v>
      </c>
      <c r="J338" s="2" t="s">
        <v>803</v>
      </c>
      <c r="K338" s="7" t="str">
        <f>HYPERLINK("http://slimages.macys.com/is/image/MCY/13683354 ")</f>
        <v xml:space="preserve">http://slimages.macys.com/is/image/MCY/13683354 </v>
      </c>
    </row>
    <row r="339" spans="1:11" ht="24.75" x14ac:dyDescent="0.25">
      <c r="A339" s="4" t="s">
        <v>2607</v>
      </c>
      <c r="B339" s="2" t="s">
        <v>1188</v>
      </c>
      <c r="C339" s="5">
        <v>44.63</v>
      </c>
      <c r="D339" s="3" t="s">
        <v>1189</v>
      </c>
      <c r="E339" s="2" t="s">
        <v>125</v>
      </c>
      <c r="F339" s="6" t="s">
        <v>154</v>
      </c>
      <c r="G339" s="2" t="s">
        <v>194</v>
      </c>
      <c r="H339" s="2" t="s">
        <v>195</v>
      </c>
      <c r="I339" s="2" t="s">
        <v>19</v>
      </c>
      <c r="J339" s="2" t="s">
        <v>803</v>
      </c>
      <c r="K339" s="7" t="str">
        <f>HYPERLINK("http://slimages.macys.com/is/image/MCY/13683354 ")</f>
        <v xml:space="preserve">http://slimages.macys.com/is/image/MCY/13683354 </v>
      </c>
    </row>
    <row r="340" spans="1:11" ht="24.75" x14ac:dyDescent="0.25">
      <c r="A340" s="4" t="s">
        <v>2608</v>
      </c>
      <c r="B340" s="2" t="s">
        <v>1262</v>
      </c>
      <c r="C340" s="5">
        <v>37.130000000000003</v>
      </c>
      <c r="D340" s="3" t="s">
        <v>2609</v>
      </c>
      <c r="E340" s="2" t="s">
        <v>94</v>
      </c>
      <c r="F340" s="6"/>
      <c r="G340" s="2" t="s">
        <v>312</v>
      </c>
      <c r="H340" s="2" t="s">
        <v>195</v>
      </c>
      <c r="I340" s="2" t="s">
        <v>19</v>
      </c>
      <c r="J340" s="2" t="s">
        <v>34</v>
      </c>
      <c r="K340" s="7" t="str">
        <f>HYPERLINK("http://slimages.macys.com/is/image/MCY/12793856 ")</f>
        <v xml:space="preserve">http://slimages.macys.com/is/image/MCY/12793856 </v>
      </c>
    </row>
    <row r="341" spans="1:11" ht="24.75" x14ac:dyDescent="0.25">
      <c r="A341" s="4" t="s">
        <v>2610</v>
      </c>
      <c r="B341" s="2" t="s">
        <v>2611</v>
      </c>
      <c r="C341" s="5">
        <v>37.130000000000003</v>
      </c>
      <c r="D341" s="3" t="s">
        <v>2612</v>
      </c>
      <c r="E341" s="2" t="s">
        <v>494</v>
      </c>
      <c r="F341" s="6" t="s">
        <v>234</v>
      </c>
      <c r="G341" s="2" t="s">
        <v>194</v>
      </c>
      <c r="H341" s="2" t="s">
        <v>195</v>
      </c>
      <c r="I341" s="2" t="s">
        <v>19</v>
      </c>
      <c r="J341" s="2" t="s">
        <v>648</v>
      </c>
      <c r="K341" s="7" t="str">
        <f>HYPERLINK("http://slimages.macys.com/is/image/MCY/12316757 ")</f>
        <v xml:space="preserve">http://slimages.macys.com/is/image/MCY/12316757 </v>
      </c>
    </row>
    <row r="342" spans="1:11" ht="24.75" x14ac:dyDescent="0.25">
      <c r="A342" s="4" t="s">
        <v>2613</v>
      </c>
      <c r="B342" s="2" t="s">
        <v>2614</v>
      </c>
      <c r="C342" s="5">
        <v>34.880000000000003</v>
      </c>
      <c r="D342" s="3" t="s">
        <v>2615</v>
      </c>
      <c r="E342" s="2" t="s">
        <v>15</v>
      </c>
      <c r="F342" s="6" t="s">
        <v>238</v>
      </c>
      <c r="G342" s="2" t="s">
        <v>312</v>
      </c>
      <c r="H342" s="2" t="s">
        <v>195</v>
      </c>
      <c r="I342" s="2" t="s">
        <v>19</v>
      </c>
      <c r="J342" s="2" t="s">
        <v>353</v>
      </c>
      <c r="K342" s="7" t="str">
        <f>HYPERLINK("http://slimages.macys.com/is/image/MCY/8256708 ")</f>
        <v xml:space="preserve">http://slimages.macys.com/is/image/MCY/8256708 </v>
      </c>
    </row>
    <row r="343" spans="1:11" ht="24.75" x14ac:dyDescent="0.25">
      <c r="A343" s="4" t="s">
        <v>2616</v>
      </c>
      <c r="B343" s="2" t="s">
        <v>2617</v>
      </c>
      <c r="C343" s="5">
        <v>34.65</v>
      </c>
      <c r="D343" s="3" t="s">
        <v>2618</v>
      </c>
      <c r="E343" s="2" t="s">
        <v>2619</v>
      </c>
      <c r="F343" s="6" t="s">
        <v>156</v>
      </c>
      <c r="G343" s="2" t="s">
        <v>182</v>
      </c>
      <c r="H343" s="2" t="s">
        <v>183</v>
      </c>
      <c r="I343" s="2" t="s">
        <v>19</v>
      </c>
      <c r="J343" s="2" t="s">
        <v>2620</v>
      </c>
      <c r="K343" s="7" t="str">
        <f>HYPERLINK("http://slimages.macys.com/is/image/MCY/12938400 ")</f>
        <v xml:space="preserve">http://slimages.macys.com/is/image/MCY/12938400 </v>
      </c>
    </row>
    <row r="344" spans="1:11" ht="24.75" x14ac:dyDescent="0.25">
      <c r="A344" s="4" t="s">
        <v>2621</v>
      </c>
      <c r="B344" s="2" t="s">
        <v>1208</v>
      </c>
      <c r="C344" s="5">
        <v>37.130000000000003</v>
      </c>
      <c r="D344" s="3">
        <v>100013470</v>
      </c>
      <c r="E344" s="2" t="s">
        <v>15</v>
      </c>
      <c r="F344" s="6" t="s">
        <v>58</v>
      </c>
      <c r="G344" s="2" t="s">
        <v>194</v>
      </c>
      <c r="H344" s="2" t="s">
        <v>195</v>
      </c>
      <c r="I344" s="2" t="s">
        <v>19</v>
      </c>
      <c r="J344" s="2" t="s">
        <v>353</v>
      </c>
      <c r="K344" s="7" t="str">
        <f>HYPERLINK("http://slimages.macys.com/is/image/MCY/9426968 ")</f>
        <v xml:space="preserve">http://slimages.macys.com/is/image/MCY/9426968 </v>
      </c>
    </row>
    <row r="345" spans="1:11" ht="24.75" x14ac:dyDescent="0.25">
      <c r="A345" s="4" t="s">
        <v>2622</v>
      </c>
      <c r="B345" s="2" t="s">
        <v>1199</v>
      </c>
      <c r="C345" s="5">
        <v>37.130000000000003</v>
      </c>
      <c r="D345" s="3">
        <v>100009324</v>
      </c>
      <c r="E345" s="2" t="s">
        <v>376</v>
      </c>
      <c r="F345" s="6" t="s">
        <v>16</v>
      </c>
      <c r="G345" s="2" t="s">
        <v>194</v>
      </c>
      <c r="H345" s="2" t="s">
        <v>195</v>
      </c>
      <c r="I345" s="2" t="s">
        <v>19</v>
      </c>
      <c r="J345" s="2" t="s">
        <v>353</v>
      </c>
      <c r="K345" s="7" t="str">
        <f t="shared" ref="K345:K350" si="2">HYPERLINK("http://slimages.macys.com/is/image/MCY/9404224 ")</f>
        <v xml:space="preserve">http://slimages.macys.com/is/image/MCY/9404224 </v>
      </c>
    </row>
    <row r="346" spans="1:11" ht="24.75" x14ac:dyDescent="0.25">
      <c r="A346" s="4" t="s">
        <v>2623</v>
      </c>
      <c r="B346" s="2" t="s">
        <v>1199</v>
      </c>
      <c r="C346" s="5">
        <v>37.130000000000003</v>
      </c>
      <c r="D346" s="3">
        <v>100009324</v>
      </c>
      <c r="E346" s="2" t="s">
        <v>1234</v>
      </c>
      <c r="F346" s="6" t="s">
        <v>112</v>
      </c>
      <c r="G346" s="2" t="s">
        <v>194</v>
      </c>
      <c r="H346" s="2" t="s">
        <v>195</v>
      </c>
      <c r="I346" s="2" t="s">
        <v>19</v>
      </c>
      <c r="J346" s="2" t="s">
        <v>353</v>
      </c>
      <c r="K346" s="7" t="str">
        <f t="shared" si="2"/>
        <v xml:space="preserve">http://slimages.macys.com/is/image/MCY/9404224 </v>
      </c>
    </row>
    <row r="347" spans="1:11" ht="24.75" x14ac:dyDescent="0.25">
      <c r="A347" s="4" t="s">
        <v>2624</v>
      </c>
      <c r="B347" s="2" t="s">
        <v>1199</v>
      </c>
      <c r="C347" s="5">
        <v>37.130000000000003</v>
      </c>
      <c r="D347" s="3">
        <v>100009324</v>
      </c>
      <c r="E347" s="2" t="s">
        <v>376</v>
      </c>
      <c r="F347" s="6" t="s">
        <v>106</v>
      </c>
      <c r="G347" s="2" t="s">
        <v>194</v>
      </c>
      <c r="H347" s="2" t="s">
        <v>195</v>
      </c>
      <c r="I347" s="2" t="s">
        <v>19</v>
      </c>
      <c r="J347" s="2" t="s">
        <v>353</v>
      </c>
      <c r="K347" s="7" t="str">
        <f t="shared" si="2"/>
        <v xml:space="preserve">http://slimages.macys.com/is/image/MCY/9404224 </v>
      </c>
    </row>
    <row r="348" spans="1:11" ht="24.75" x14ac:dyDescent="0.25">
      <c r="A348" s="4" t="s">
        <v>2625</v>
      </c>
      <c r="B348" s="2" t="s">
        <v>1199</v>
      </c>
      <c r="C348" s="5">
        <v>37.130000000000003</v>
      </c>
      <c r="D348" s="3">
        <v>100009324</v>
      </c>
      <c r="E348" s="2" t="s">
        <v>74</v>
      </c>
      <c r="F348" s="6" t="s">
        <v>58</v>
      </c>
      <c r="G348" s="2" t="s">
        <v>194</v>
      </c>
      <c r="H348" s="2" t="s">
        <v>195</v>
      </c>
      <c r="I348" s="2" t="s">
        <v>19</v>
      </c>
      <c r="J348" s="2" t="s">
        <v>353</v>
      </c>
      <c r="K348" s="7" t="str">
        <f t="shared" si="2"/>
        <v xml:space="preserve">http://slimages.macys.com/is/image/MCY/9404224 </v>
      </c>
    </row>
    <row r="349" spans="1:11" ht="24.75" x14ac:dyDescent="0.25">
      <c r="A349" s="4" t="s">
        <v>2626</v>
      </c>
      <c r="B349" s="2" t="s">
        <v>1199</v>
      </c>
      <c r="C349" s="5">
        <v>37.130000000000003</v>
      </c>
      <c r="D349" s="3">
        <v>100009324</v>
      </c>
      <c r="E349" s="2" t="s">
        <v>74</v>
      </c>
      <c r="F349" s="6" t="s">
        <v>16</v>
      </c>
      <c r="G349" s="2" t="s">
        <v>194</v>
      </c>
      <c r="H349" s="2" t="s">
        <v>195</v>
      </c>
      <c r="I349" s="2" t="s">
        <v>19</v>
      </c>
      <c r="J349" s="2" t="s">
        <v>353</v>
      </c>
      <c r="K349" s="7" t="str">
        <f t="shared" si="2"/>
        <v xml:space="preserve">http://slimages.macys.com/is/image/MCY/9404224 </v>
      </c>
    </row>
    <row r="350" spans="1:11" ht="24.75" x14ac:dyDescent="0.25">
      <c r="A350" s="4" t="s">
        <v>2627</v>
      </c>
      <c r="B350" s="2" t="s">
        <v>1199</v>
      </c>
      <c r="C350" s="5">
        <v>37.130000000000003</v>
      </c>
      <c r="D350" s="3">
        <v>100009324</v>
      </c>
      <c r="E350" s="2" t="s">
        <v>1234</v>
      </c>
      <c r="F350" s="6" t="s">
        <v>58</v>
      </c>
      <c r="G350" s="2" t="s">
        <v>194</v>
      </c>
      <c r="H350" s="2" t="s">
        <v>195</v>
      </c>
      <c r="I350" s="2" t="s">
        <v>19</v>
      </c>
      <c r="J350" s="2" t="s">
        <v>353</v>
      </c>
      <c r="K350" s="7" t="str">
        <f t="shared" si="2"/>
        <v xml:space="preserve">http://slimages.macys.com/is/image/MCY/9404224 </v>
      </c>
    </row>
    <row r="351" spans="1:11" ht="24.75" x14ac:dyDescent="0.25">
      <c r="A351" s="4" t="s">
        <v>2628</v>
      </c>
      <c r="B351" s="2" t="s">
        <v>2629</v>
      </c>
      <c r="C351" s="5">
        <v>37.130000000000003</v>
      </c>
      <c r="D351" s="3" t="s">
        <v>2630</v>
      </c>
      <c r="E351" s="2" t="s">
        <v>417</v>
      </c>
      <c r="F351" s="6"/>
      <c r="G351" s="2" t="s">
        <v>312</v>
      </c>
      <c r="H351" s="2" t="s">
        <v>195</v>
      </c>
      <c r="I351" s="2" t="s">
        <v>19</v>
      </c>
      <c r="J351" s="2" t="s">
        <v>2631</v>
      </c>
      <c r="K351" s="7" t="str">
        <f>HYPERLINK("http://slimages.macys.com/is/image/MCY/12279933 ")</f>
        <v xml:space="preserve">http://slimages.macys.com/is/image/MCY/12279933 </v>
      </c>
    </row>
    <row r="352" spans="1:11" ht="24.75" x14ac:dyDescent="0.25">
      <c r="A352" s="4" t="s">
        <v>2632</v>
      </c>
      <c r="B352" s="2" t="s">
        <v>1222</v>
      </c>
      <c r="C352" s="5">
        <v>37.130000000000003</v>
      </c>
      <c r="D352" s="3" t="s">
        <v>1223</v>
      </c>
      <c r="E352" s="2" t="s">
        <v>26</v>
      </c>
      <c r="F352" s="6" t="s">
        <v>181</v>
      </c>
      <c r="G352" s="2" t="s">
        <v>194</v>
      </c>
      <c r="H352" s="2" t="s">
        <v>580</v>
      </c>
      <c r="I352" s="2" t="s">
        <v>19</v>
      </c>
      <c r="J352" s="2" t="s">
        <v>247</v>
      </c>
      <c r="K352" s="7" t="str">
        <f>HYPERLINK("http://slimages.macys.com/is/image/MCY/12950179 ")</f>
        <v xml:space="preserve">http://slimages.macys.com/is/image/MCY/12950179 </v>
      </c>
    </row>
    <row r="353" spans="1:11" ht="24.75" x14ac:dyDescent="0.25">
      <c r="A353" s="4" t="s">
        <v>1239</v>
      </c>
      <c r="B353" s="2" t="s">
        <v>1232</v>
      </c>
      <c r="C353" s="5">
        <v>34.5</v>
      </c>
      <c r="D353" s="3" t="s">
        <v>1236</v>
      </c>
      <c r="E353" s="2" t="s">
        <v>506</v>
      </c>
      <c r="F353" s="6" t="s">
        <v>22</v>
      </c>
      <c r="G353" s="2" t="s">
        <v>194</v>
      </c>
      <c r="H353" s="2" t="s">
        <v>195</v>
      </c>
      <c r="I353" s="2" t="s">
        <v>19</v>
      </c>
      <c r="J353" s="2" t="s">
        <v>353</v>
      </c>
      <c r="K353" s="7" t="str">
        <f>HYPERLINK("http://slimages.macys.com/is/image/MCY/8312314 ")</f>
        <v xml:space="preserve">http://slimages.macys.com/is/image/MCY/8312314 </v>
      </c>
    </row>
    <row r="354" spans="1:11" ht="24.75" x14ac:dyDescent="0.25">
      <c r="A354" s="4" t="s">
        <v>2633</v>
      </c>
      <c r="B354" s="2" t="s">
        <v>1232</v>
      </c>
      <c r="C354" s="5">
        <v>34.880000000000003</v>
      </c>
      <c r="D354" s="3" t="s">
        <v>1233</v>
      </c>
      <c r="E354" s="2" t="s">
        <v>1234</v>
      </c>
      <c r="F354" s="6" t="s">
        <v>27</v>
      </c>
      <c r="G354" s="2" t="s">
        <v>194</v>
      </c>
      <c r="H354" s="2" t="s">
        <v>195</v>
      </c>
      <c r="I354" s="2" t="s">
        <v>19</v>
      </c>
      <c r="J354" s="2" t="s">
        <v>353</v>
      </c>
      <c r="K354" s="7" t="str">
        <f>HYPERLINK("http://slimages.macys.com/is/image/MCY/8312314 ")</f>
        <v xml:space="preserve">http://slimages.macys.com/is/image/MCY/8312314 </v>
      </c>
    </row>
    <row r="355" spans="1:11" ht="24.75" x14ac:dyDescent="0.25">
      <c r="A355" s="4" t="s">
        <v>2634</v>
      </c>
      <c r="B355" s="2" t="s">
        <v>1232</v>
      </c>
      <c r="C355" s="5">
        <v>34.5</v>
      </c>
      <c r="D355" s="3" t="s">
        <v>1236</v>
      </c>
      <c r="E355" s="2" t="s">
        <v>506</v>
      </c>
      <c r="F355" s="6" t="s">
        <v>112</v>
      </c>
      <c r="G355" s="2" t="s">
        <v>194</v>
      </c>
      <c r="H355" s="2" t="s">
        <v>195</v>
      </c>
      <c r="I355" s="2" t="s">
        <v>19</v>
      </c>
      <c r="J355" s="2" t="s">
        <v>353</v>
      </c>
      <c r="K355" s="7" t="str">
        <f>HYPERLINK("http://slimages.macys.com/is/image/MCY/8312314 ")</f>
        <v xml:space="preserve">http://slimages.macys.com/is/image/MCY/8312314 </v>
      </c>
    </row>
    <row r="356" spans="1:11" ht="24.75" x14ac:dyDescent="0.25">
      <c r="A356" s="4" t="s">
        <v>2635</v>
      </c>
      <c r="B356" s="2" t="s">
        <v>1259</v>
      </c>
      <c r="C356" s="5">
        <v>34.5</v>
      </c>
      <c r="D356" s="3">
        <v>100046281</v>
      </c>
      <c r="E356" s="2" t="s">
        <v>417</v>
      </c>
      <c r="F356" s="6" t="s">
        <v>112</v>
      </c>
      <c r="G356" s="2" t="s">
        <v>228</v>
      </c>
      <c r="H356" s="2" t="s">
        <v>229</v>
      </c>
      <c r="I356" s="2" t="s">
        <v>19</v>
      </c>
      <c r="J356" s="2" t="s">
        <v>648</v>
      </c>
      <c r="K356" s="7" t="str">
        <f>HYPERLINK("http://slimages.macys.com/is/image/MCY/10340786 ")</f>
        <v xml:space="preserve">http://slimages.macys.com/is/image/MCY/10340786 </v>
      </c>
    </row>
    <row r="357" spans="1:11" ht="24.75" x14ac:dyDescent="0.25">
      <c r="A357" s="4" t="s">
        <v>2636</v>
      </c>
      <c r="B357" s="2" t="s">
        <v>1241</v>
      </c>
      <c r="C357" s="5">
        <v>37.130000000000003</v>
      </c>
      <c r="D357" s="3" t="s">
        <v>1242</v>
      </c>
      <c r="E357" s="2" t="s">
        <v>566</v>
      </c>
      <c r="F357" s="6" t="s">
        <v>363</v>
      </c>
      <c r="G357" s="2" t="s">
        <v>312</v>
      </c>
      <c r="H357" s="2" t="s">
        <v>195</v>
      </c>
      <c r="I357" s="2" t="s">
        <v>19</v>
      </c>
      <c r="J357" s="2" t="s">
        <v>353</v>
      </c>
      <c r="K357" s="7" t="str">
        <f>HYPERLINK("http://slimages.macys.com/is/image/MCY/11934909 ")</f>
        <v xml:space="preserve">http://slimages.macys.com/is/image/MCY/11934909 </v>
      </c>
    </row>
    <row r="358" spans="1:11" x14ac:dyDescent="0.25">
      <c r="A358" s="4" t="s">
        <v>2637</v>
      </c>
      <c r="B358" s="2" t="s">
        <v>2638</v>
      </c>
      <c r="C358" s="5">
        <v>69.5</v>
      </c>
      <c r="D358" s="3" t="s">
        <v>2639</v>
      </c>
      <c r="E358" s="2" t="s">
        <v>464</v>
      </c>
      <c r="F358" s="6" t="s">
        <v>187</v>
      </c>
      <c r="G358" s="2" t="s">
        <v>206</v>
      </c>
      <c r="H358" s="2" t="s">
        <v>207</v>
      </c>
      <c r="I358" s="2" t="s">
        <v>19</v>
      </c>
      <c r="J358" s="2" t="s">
        <v>34</v>
      </c>
      <c r="K358" s="7" t="str">
        <f>HYPERLINK("http://slimages.macys.com/is/image/MCY/12853104 ")</f>
        <v xml:space="preserve">http://slimages.macys.com/is/image/MCY/12853104 </v>
      </c>
    </row>
    <row r="359" spans="1:11" ht="24.75" x14ac:dyDescent="0.25">
      <c r="A359" s="4" t="s">
        <v>2640</v>
      </c>
      <c r="B359" s="2" t="s">
        <v>1244</v>
      </c>
      <c r="C359" s="5">
        <v>37.130000000000003</v>
      </c>
      <c r="D359" s="3">
        <v>100058183</v>
      </c>
      <c r="E359" s="2" t="s">
        <v>15</v>
      </c>
      <c r="F359" s="6" t="s">
        <v>16</v>
      </c>
      <c r="G359" s="2" t="s">
        <v>194</v>
      </c>
      <c r="H359" s="2" t="s">
        <v>195</v>
      </c>
      <c r="I359" s="2" t="s">
        <v>19</v>
      </c>
      <c r="J359" s="2" t="s">
        <v>353</v>
      </c>
      <c r="K359" s="7" t="str">
        <f>HYPERLINK("http://slimages.macys.com/is/image/MCY/12793647 ")</f>
        <v xml:space="preserve">http://slimages.macys.com/is/image/MCY/12793647 </v>
      </c>
    </row>
    <row r="360" spans="1:11" ht="24.75" x14ac:dyDescent="0.25">
      <c r="A360" s="4" t="s">
        <v>2641</v>
      </c>
      <c r="B360" s="2" t="s">
        <v>1244</v>
      </c>
      <c r="C360" s="5">
        <v>37.130000000000003</v>
      </c>
      <c r="D360" s="3">
        <v>100058183</v>
      </c>
      <c r="E360" s="2" t="s">
        <v>15</v>
      </c>
      <c r="F360" s="6" t="s">
        <v>58</v>
      </c>
      <c r="G360" s="2" t="s">
        <v>194</v>
      </c>
      <c r="H360" s="2" t="s">
        <v>195</v>
      </c>
      <c r="I360" s="2" t="s">
        <v>19</v>
      </c>
      <c r="J360" s="2" t="s">
        <v>353</v>
      </c>
      <c r="K360" s="7" t="str">
        <f>HYPERLINK("http://slimages.macys.com/is/image/MCY/12793647 ")</f>
        <v xml:space="preserve">http://slimages.macys.com/is/image/MCY/12793647 </v>
      </c>
    </row>
    <row r="361" spans="1:11" ht="24.75" x14ac:dyDescent="0.25">
      <c r="A361" s="4" t="s">
        <v>2642</v>
      </c>
      <c r="B361" s="2" t="s">
        <v>1244</v>
      </c>
      <c r="C361" s="5">
        <v>37.130000000000003</v>
      </c>
      <c r="D361" s="3">
        <v>100058183</v>
      </c>
      <c r="E361" s="2" t="s">
        <v>26</v>
      </c>
      <c r="F361" s="6" t="s">
        <v>112</v>
      </c>
      <c r="G361" s="2" t="s">
        <v>194</v>
      </c>
      <c r="H361" s="2" t="s">
        <v>195</v>
      </c>
      <c r="I361" s="2" t="s">
        <v>19</v>
      </c>
      <c r="J361" s="2" t="s">
        <v>353</v>
      </c>
      <c r="K361" s="7" t="str">
        <f>HYPERLINK("http://slimages.macys.com/is/image/MCY/12793647 ")</f>
        <v xml:space="preserve">http://slimages.macys.com/is/image/MCY/12793647 </v>
      </c>
    </row>
    <row r="362" spans="1:11" ht="24.75" x14ac:dyDescent="0.25">
      <c r="A362" s="4" t="s">
        <v>2643</v>
      </c>
      <c r="B362" s="2" t="s">
        <v>1244</v>
      </c>
      <c r="C362" s="5">
        <v>37.130000000000003</v>
      </c>
      <c r="D362" s="3">
        <v>100058183</v>
      </c>
      <c r="E362" s="2" t="s">
        <v>26</v>
      </c>
      <c r="F362" s="6" t="s">
        <v>16</v>
      </c>
      <c r="G362" s="2" t="s">
        <v>194</v>
      </c>
      <c r="H362" s="2" t="s">
        <v>195</v>
      </c>
      <c r="I362" s="2" t="s">
        <v>19</v>
      </c>
      <c r="J362" s="2" t="s">
        <v>353</v>
      </c>
      <c r="K362" s="7" t="str">
        <f>HYPERLINK("http://slimages.macys.com/is/image/MCY/12793647 ")</f>
        <v xml:space="preserve">http://slimages.macys.com/is/image/MCY/12793647 </v>
      </c>
    </row>
    <row r="363" spans="1:11" ht="24.75" x14ac:dyDescent="0.25">
      <c r="A363" s="4" t="s">
        <v>2644</v>
      </c>
      <c r="B363" s="2" t="s">
        <v>1244</v>
      </c>
      <c r="C363" s="5">
        <v>37.130000000000003</v>
      </c>
      <c r="D363" s="3">
        <v>100058183</v>
      </c>
      <c r="E363" s="2" t="s">
        <v>15</v>
      </c>
      <c r="F363" s="6" t="s">
        <v>27</v>
      </c>
      <c r="G363" s="2" t="s">
        <v>194</v>
      </c>
      <c r="H363" s="2" t="s">
        <v>195</v>
      </c>
      <c r="I363" s="2" t="s">
        <v>19</v>
      </c>
      <c r="J363" s="2" t="s">
        <v>353</v>
      </c>
      <c r="K363" s="7" t="str">
        <f>HYPERLINK("http://slimages.macys.com/is/image/MCY/12793647 ")</f>
        <v xml:space="preserve">http://slimages.macys.com/is/image/MCY/12793647 </v>
      </c>
    </row>
    <row r="364" spans="1:11" ht="24.75" x14ac:dyDescent="0.25">
      <c r="A364" s="4" t="s">
        <v>2645</v>
      </c>
      <c r="B364" s="2" t="s">
        <v>1327</v>
      </c>
      <c r="C364" s="5">
        <v>34.880000000000003</v>
      </c>
      <c r="D364" s="3" t="s">
        <v>2646</v>
      </c>
      <c r="E364" s="2" t="s">
        <v>64</v>
      </c>
      <c r="F364" s="6" t="s">
        <v>336</v>
      </c>
      <c r="G364" s="2" t="s">
        <v>312</v>
      </c>
      <c r="H364" s="2" t="s">
        <v>195</v>
      </c>
      <c r="I364" s="2" t="s">
        <v>19</v>
      </c>
      <c r="J364" s="2" t="s">
        <v>353</v>
      </c>
      <c r="K364" s="7" t="str">
        <f>HYPERLINK("http://slimages.macys.com/is/image/MCY/8256708 ")</f>
        <v xml:space="preserve">http://slimages.macys.com/is/image/MCY/8256708 </v>
      </c>
    </row>
    <row r="365" spans="1:11" ht="24.75" x14ac:dyDescent="0.25">
      <c r="A365" s="4" t="s">
        <v>2647</v>
      </c>
      <c r="B365" s="2" t="s">
        <v>1232</v>
      </c>
      <c r="C365" s="5">
        <v>34.880000000000003</v>
      </c>
      <c r="D365" s="3" t="s">
        <v>1246</v>
      </c>
      <c r="E365" s="2" t="s">
        <v>74</v>
      </c>
      <c r="F365" s="6" t="s">
        <v>934</v>
      </c>
      <c r="G365" s="2" t="s">
        <v>312</v>
      </c>
      <c r="H365" s="2" t="s">
        <v>195</v>
      </c>
      <c r="I365" s="2" t="s">
        <v>19</v>
      </c>
      <c r="J365" s="2" t="s">
        <v>353</v>
      </c>
      <c r="K365" s="7" t="str">
        <f>HYPERLINK("http://slimages.macys.com/is/image/MCY/8256708 ")</f>
        <v xml:space="preserve">http://slimages.macys.com/is/image/MCY/8256708 </v>
      </c>
    </row>
    <row r="366" spans="1:11" ht="24.75" x14ac:dyDescent="0.25">
      <c r="A366" s="4" t="s">
        <v>2648</v>
      </c>
      <c r="B366" s="2" t="s">
        <v>1232</v>
      </c>
      <c r="C366" s="5">
        <v>34.880000000000003</v>
      </c>
      <c r="D366" s="3" t="s">
        <v>2649</v>
      </c>
      <c r="E366" s="2" t="s">
        <v>26</v>
      </c>
      <c r="F366" s="6" t="s">
        <v>336</v>
      </c>
      <c r="G366" s="2" t="s">
        <v>312</v>
      </c>
      <c r="H366" s="2" t="s">
        <v>195</v>
      </c>
      <c r="I366" s="2" t="s">
        <v>19</v>
      </c>
      <c r="J366" s="2" t="s">
        <v>353</v>
      </c>
      <c r="K366" s="7" t="str">
        <f>HYPERLINK("http://slimages.macys.com/is/image/MCY/8256708 ")</f>
        <v xml:space="preserve">http://slimages.macys.com/is/image/MCY/8256708 </v>
      </c>
    </row>
    <row r="367" spans="1:11" ht="24.75" x14ac:dyDescent="0.25">
      <c r="A367" s="4" t="s">
        <v>1245</v>
      </c>
      <c r="B367" s="2" t="s">
        <v>1232</v>
      </c>
      <c r="C367" s="5">
        <v>34.880000000000003</v>
      </c>
      <c r="D367" s="3" t="s">
        <v>1246</v>
      </c>
      <c r="E367" s="2" t="s">
        <v>74</v>
      </c>
      <c r="F367" s="6" t="s">
        <v>802</v>
      </c>
      <c r="G367" s="2" t="s">
        <v>312</v>
      </c>
      <c r="H367" s="2" t="s">
        <v>195</v>
      </c>
      <c r="I367" s="2" t="s">
        <v>19</v>
      </c>
      <c r="J367" s="2" t="s">
        <v>353</v>
      </c>
      <c r="K367" s="7" t="str">
        <f>HYPERLINK("http://slimages.macys.com/is/image/MCY/8256708 ")</f>
        <v xml:space="preserve">http://slimages.macys.com/is/image/MCY/8256708 </v>
      </c>
    </row>
    <row r="368" spans="1:11" ht="24.75" x14ac:dyDescent="0.25">
      <c r="A368" s="4" t="s">
        <v>2650</v>
      </c>
      <c r="B368" s="2" t="s">
        <v>1232</v>
      </c>
      <c r="C368" s="5">
        <v>34.880000000000003</v>
      </c>
      <c r="D368" s="3" t="s">
        <v>1246</v>
      </c>
      <c r="E368" s="2" t="s">
        <v>74</v>
      </c>
      <c r="F368" s="6" t="s">
        <v>126</v>
      </c>
      <c r="G368" s="2" t="s">
        <v>312</v>
      </c>
      <c r="H368" s="2" t="s">
        <v>195</v>
      </c>
      <c r="I368" s="2" t="s">
        <v>19</v>
      </c>
      <c r="J368" s="2" t="s">
        <v>353</v>
      </c>
      <c r="K368" s="7" t="str">
        <f>HYPERLINK("http://slimages.macys.com/is/image/MCY/8256708 ")</f>
        <v xml:space="preserve">http://slimages.macys.com/is/image/MCY/8256708 </v>
      </c>
    </row>
    <row r="369" spans="1:11" x14ac:dyDescent="0.25">
      <c r="A369" s="4" t="s">
        <v>2651</v>
      </c>
      <c r="B369" s="2" t="s">
        <v>2652</v>
      </c>
      <c r="C369" s="5">
        <v>69.5</v>
      </c>
      <c r="D369" s="3" t="s">
        <v>2653</v>
      </c>
      <c r="E369" s="2" t="s">
        <v>74</v>
      </c>
      <c r="F369" s="6"/>
      <c r="G369" s="2" t="s">
        <v>206</v>
      </c>
      <c r="H369" s="2" t="s">
        <v>207</v>
      </c>
      <c r="I369" s="2" t="s">
        <v>19</v>
      </c>
      <c r="J369" s="2" t="s">
        <v>201</v>
      </c>
      <c r="K369" s="7" t="str">
        <f>HYPERLINK("http://slimages.macys.com/is/image/MCY/13786384 ")</f>
        <v xml:space="preserve">http://slimages.macys.com/is/image/MCY/13786384 </v>
      </c>
    </row>
    <row r="370" spans="1:11" ht="36.75" x14ac:dyDescent="0.25">
      <c r="A370" s="4" t="s">
        <v>2654</v>
      </c>
      <c r="B370" s="2" t="s">
        <v>2655</v>
      </c>
      <c r="C370" s="5">
        <v>27.99</v>
      </c>
      <c r="D370" s="3" t="s">
        <v>2656</v>
      </c>
      <c r="E370" s="2" t="s">
        <v>225</v>
      </c>
      <c r="F370" s="6" t="s">
        <v>126</v>
      </c>
      <c r="G370" s="2" t="s">
        <v>312</v>
      </c>
      <c r="H370" s="2" t="s">
        <v>928</v>
      </c>
      <c r="I370" s="2" t="s">
        <v>19</v>
      </c>
      <c r="J370" s="2" t="s">
        <v>2657</v>
      </c>
      <c r="K370" s="7" t="str">
        <f>HYPERLINK("http://slimages.macys.com/is/image/MCY/2910492 ")</f>
        <v xml:space="preserve">http://slimages.macys.com/is/image/MCY/2910492 </v>
      </c>
    </row>
    <row r="371" spans="1:11" ht="36.75" x14ac:dyDescent="0.25">
      <c r="A371" s="4" t="s">
        <v>2658</v>
      </c>
      <c r="B371" s="2" t="s">
        <v>2655</v>
      </c>
      <c r="C371" s="5">
        <v>27.99</v>
      </c>
      <c r="D371" s="3" t="s">
        <v>2656</v>
      </c>
      <c r="E371" s="2" t="s">
        <v>225</v>
      </c>
      <c r="F371" s="6" t="s">
        <v>802</v>
      </c>
      <c r="G371" s="2" t="s">
        <v>312</v>
      </c>
      <c r="H371" s="2" t="s">
        <v>928</v>
      </c>
      <c r="I371" s="2" t="s">
        <v>19</v>
      </c>
      <c r="J371" s="2" t="s">
        <v>2657</v>
      </c>
      <c r="K371" s="7" t="str">
        <f>HYPERLINK("http://slimages.macys.com/is/image/MCY/2910492 ")</f>
        <v xml:space="preserve">http://slimages.macys.com/is/image/MCY/2910492 </v>
      </c>
    </row>
    <row r="372" spans="1:11" ht="36.75" x14ac:dyDescent="0.25">
      <c r="A372" s="4" t="s">
        <v>2659</v>
      </c>
      <c r="B372" s="2" t="s">
        <v>2655</v>
      </c>
      <c r="C372" s="5">
        <v>27.99</v>
      </c>
      <c r="D372" s="3" t="s">
        <v>2656</v>
      </c>
      <c r="E372" s="2" t="s">
        <v>225</v>
      </c>
      <c r="F372" s="6" t="s">
        <v>336</v>
      </c>
      <c r="G372" s="2" t="s">
        <v>312</v>
      </c>
      <c r="H372" s="2" t="s">
        <v>928</v>
      </c>
      <c r="I372" s="2" t="s">
        <v>19</v>
      </c>
      <c r="J372" s="2" t="s">
        <v>2657</v>
      </c>
      <c r="K372" s="7" t="str">
        <f>HYPERLINK("http://slimages.macys.com/is/image/MCY/2910492 ")</f>
        <v xml:space="preserve">http://slimages.macys.com/is/image/MCY/2910492 </v>
      </c>
    </row>
    <row r="373" spans="1:11" ht="24.75" x14ac:dyDescent="0.25">
      <c r="A373" s="4" t="s">
        <v>2660</v>
      </c>
      <c r="B373" s="2" t="s">
        <v>2661</v>
      </c>
      <c r="C373" s="5">
        <v>44.63</v>
      </c>
      <c r="D373" s="3" t="s">
        <v>2662</v>
      </c>
      <c r="E373" s="2" t="s">
        <v>1322</v>
      </c>
      <c r="F373" s="6" t="s">
        <v>181</v>
      </c>
      <c r="G373" s="2" t="s">
        <v>194</v>
      </c>
      <c r="H373" s="2" t="s">
        <v>195</v>
      </c>
      <c r="I373" s="2" t="s">
        <v>19</v>
      </c>
      <c r="J373" s="2" t="s">
        <v>247</v>
      </c>
      <c r="K373" s="7" t="str">
        <f>HYPERLINK("http://slimages.macys.com/is/image/MCY/12035015 ")</f>
        <v xml:space="preserve">http://slimages.macys.com/is/image/MCY/12035015 </v>
      </c>
    </row>
    <row r="374" spans="1:11" ht="24.75" x14ac:dyDescent="0.25">
      <c r="A374" s="4" t="s">
        <v>2663</v>
      </c>
      <c r="B374" s="2" t="s">
        <v>1250</v>
      </c>
      <c r="C374" s="5">
        <v>34.5</v>
      </c>
      <c r="D374" s="3">
        <v>100060489</v>
      </c>
      <c r="E374" s="2" t="s">
        <v>331</v>
      </c>
      <c r="F374" s="6" t="s">
        <v>16</v>
      </c>
      <c r="G374" s="2" t="s">
        <v>228</v>
      </c>
      <c r="H374" s="2" t="s">
        <v>229</v>
      </c>
      <c r="I374" s="2" t="s">
        <v>19</v>
      </c>
      <c r="J374" s="2" t="s">
        <v>1251</v>
      </c>
      <c r="K374" s="7" t="str">
        <f>HYPERLINK("http://slimages.macys.com/is/image/MCY/9100235 ")</f>
        <v xml:space="preserve">http://slimages.macys.com/is/image/MCY/9100235 </v>
      </c>
    </row>
    <row r="375" spans="1:11" ht="24.75" x14ac:dyDescent="0.25">
      <c r="A375" s="4" t="s">
        <v>2664</v>
      </c>
      <c r="B375" s="2" t="s">
        <v>1250</v>
      </c>
      <c r="C375" s="5">
        <v>34.5</v>
      </c>
      <c r="D375" s="3">
        <v>100060489</v>
      </c>
      <c r="E375" s="2" t="s">
        <v>331</v>
      </c>
      <c r="F375" s="6" t="s">
        <v>65</v>
      </c>
      <c r="G375" s="2" t="s">
        <v>228</v>
      </c>
      <c r="H375" s="2" t="s">
        <v>229</v>
      </c>
      <c r="I375" s="2" t="s">
        <v>19</v>
      </c>
      <c r="J375" s="2" t="s">
        <v>1251</v>
      </c>
      <c r="K375" s="7" t="str">
        <f>HYPERLINK("http://slimages.macys.com/is/image/MCY/9100235 ")</f>
        <v xml:space="preserve">http://slimages.macys.com/is/image/MCY/9100235 </v>
      </c>
    </row>
    <row r="376" spans="1:11" ht="24.75" x14ac:dyDescent="0.25">
      <c r="A376" s="4" t="s">
        <v>2665</v>
      </c>
      <c r="B376" s="2" t="s">
        <v>1268</v>
      </c>
      <c r="C376" s="5">
        <v>36.5</v>
      </c>
      <c r="D376" s="3" t="s">
        <v>1269</v>
      </c>
      <c r="E376" s="2" t="s">
        <v>111</v>
      </c>
      <c r="F376" s="6" t="s">
        <v>234</v>
      </c>
      <c r="G376" s="2" t="s">
        <v>194</v>
      </c>
      <c r="H376" s="2" t="s">
        <v>195</v>
      </c>
      <c r="I376" s="2" t="s">
        <v>19</v>
      </c>
      <c r="J376" s="2" t="s">
        <v>1108</v>
      </c>
      <c r="K376" s="7" t="str">
        <f>HYPERLINK("http://slimages.macys.com/is/image/MCY/11764670 ")</f>
        <v xml:space="preserve">http://slimages.macys.com/is/image/MCY/11764670 </v>
      </c>
    </row>
    <row r="377" spans="1:11" ht="24.75" x14ac:dyDescent="0.25">
      <c r="A377" s="4" t="s">
        <v>2666</v>
      </c>
      <c r="B377" s="2" t="s">
        <v>1268</v>
      </c>
      <c r="C377" s="5">
        <v>36.5</v>
      </c>
      <c r="D377" s="3" t="s">
        <v>1269</v>
      </c>
      <c r="E377" s="2" t="s">
        <v>111</v>
      </c>
      <c r="F377" s="6" t="s">
        <v>181</v>
      </c>
      <c r="G377" s="2" t="s">
        <v>194</v>
      </c>
      <c r="H377" s="2" t="s">
        <v>195</v>
      </c>
      <c r="I377" s="2" t="s">
        <v>19</v>
      </c>
      <c r="J377" s="2" t="s">
        <v>1108</v>
      </c>
      <c r="K377" s="7" t="str">
        <f>HYPERLINK("http://slimages.macys.com/is/image/MCY/11764670 ")</f>
        <v xml:space="preserve">http://slimages.macys.com/is/image/MCY/11764670 </v>
      </c>
    </row>
    <row r="378" spans="1:11" ht="24.75" x14ac:dyDescent="0.25">
      <c r="A378" s="4" t="s">
        <v>2667</v>
      </c>
      <c r="B378" s="2" t="s">
        <v>1279</v>
      </c>
      <c r="C378" s="5">
        <v>27.99</v>
      </c>
      <c r="D378" s="3" t="s">
        <v>1286</v>
      </c>
      <c r="E378" s="2" t="s">
        <v>506</v>
      </c>
      <c r="F378" s="6" t="s">
        <v>245</v>
      </c>
      <c r="G378" s="2" t="s">
        <v>194</v>
      </c>
      <c r="H378" s="2" t="s">
        <v>919</v>
      </c>
      <c r="I378" s="2" t="s">
        <v>19</v>
      </c>
      <c r="J378" s="2" t="s">
        <v>409</v>
      </c>
      <c r="K378" s="7" t="str">
        <f>HYPERLINK("http://slimages.macys.com/is/image/MCY/8185331 ")</f>
        <v xml:space="preserve">http://slimages.macys.com/is/image/MCY/8185331 </v>
      </c>
    </row>
    <row r="379" spans="1:11" ht="24.75" x14ac:dyDescent="0.25">
      <c r="A379" s="4" t="s">
        <v>1288</v>
      </c>
      <c r="B379" s="2" t="s">
        <v>1279</v>
      </c>
      <c r="C379" s="5">
        <v>27.99</v>
      </c>
      <c r="D379" s="3" t="s">
        <v>1280</v>
      </c>
      <c r="E379" s="2" t="s">
        <v>566</v>
      </c>
      <c r="F379" s="6"/>
      <c r="G379" s="2" t="s">
        <v>312</v>
      </c>
      <c r="H379" s="2" t="s">
        <v>1112</v>
      </c>
      <c r="I379" s="2" t="s">
        <v>19</v>
      </c>
      <c r="J379" s="2" t="s">
        <v>409</v>
      </c>
      <c r="K379" s="7" t="str">
        <f>HYPERLINK("http://slimages.macys.com/is/image/MCY/3832970 ")</f>
        <v xml:space="preserve">http://slimages.macys.com/is/image/MCY/3832970 </v>
      </c>
    </row>
    <row r="380" spans="1:11" ht="24.75" x14ac:dyDescent="0.25">
      <c r="A380" s="4" t="s">
        <v>1278</v>
      </c>
      <c r="B380" s="2" t="s">
        <v>1279</v>
      </c>
      <c r="C380" s="5">
        <v>27.99</v>
      </c>
      <c r="D380" s="3" t="s">
        <v>1280</v>
      </c>
      <c r="E380" s="2" t="s">
        <v>566</v>
      </c>
      <c r="F380" s="6"/>
      <c r="G380" s="2" t="s">
        <v>312</v>
      </c>
      <c r="H380" s="2" t="s">
        <v>1112</v>
      </c>
      <c r="I380" s="2" t="s">
        <v>19</v>
      </c>
      <c r="J380" s="2" t="s">
        <v>409</v>
      </c>
      <c r="K380" s="7" t="str">
        <f>HYPERLINK("http://slimages.macys.com/is/image/MCY/3832970 ")</f>
        <v xml:space="preserve">http://slimages.macys.com/is/image/MCY/3832970 </v>
      </c>
    </row>
    <row r="381" spans="1:11" ht="24.75" x14ac:dyDescent="0.25">
      <c r="A381" s="4" t="s">
        <v>2668</v>
      </c>
      <c r="B381" s="2" t="s">
        <v>1294</v>
      </c>
      <c r="C381" s="5">
        <v>37.130000000000003</v>
      </c>
      <c r="D381" s="3">
        <v>100002345</v>
      </c>
      <c r="E381" s="2" t="s">
        <v>74</v>
      </c>
      <c r="F381" s="6" t="s">
        <v>200</v>
      </c>
      <c r="G381" s="2" t="s">
        <v>284</v>
      </c>
      <c r="H381" s="2" t="s">
        <v>285</v>
      </c>
      <c r="I381" s="2" t="s">
        <v>19</v>
      </c>
      <c r="J381" s="2" t="s">
        <v>2669</v>
      </c>
      <c r="K381" s="7" t="str">
        <f>HYPERLINK("http://slimages.macys.com/is/image/MCY/8660800 ")</f>
        <v xml:space="preserve">http://slimages.macys.com/is/image/MCY/8660800 </v>
      </c>
    </row>
    <row r="382" spans="1:11" ht="24.75" x14ac:dyDescent="0.25">
      <c r="A382" s="4" t="s">
        <v>2670</v>
      </c>
      <c r="B382" s="2" t="s">
        <v>1279</v>
      </c>
      <c r="C382" s="5">
        <v>27.99</v>
      </c>
      <c r="D382" s="3" t="s">
        <v>1302</v>
      </c>
      <c r="E382" s="2" t="s">
        <v>566</v>
      </c>
      <c r="F382" s="6" t="s">
        <v>234</v>
      </c>
      <c r="G382" s="2" t="s">
        <v>194</v>
      </c>
      <c r="H382" s="2" t="s">
        <v>919</v>
      </c>
      <c r="I382" s="2" t="s">
        <v>19</v>
      </c>
      <c r="J382" s="2" t="s">
        <v>409</v>
      </c>
      <c r="K382" s="7" t="str">
        <f>HYPERLINK("http://slimages.macys.com/is/image/MCY/3244804 ")</f>
        <v xml:space="preserve">http://slimages.macys.com/is/image/MCY/3244804 </v>
      </c>
    </row>
    <row r="383" spans="1:11" ht="24.75" x14ac:dyDescent="0.25">
      <c r="A383" s="4" t="s">
        <v>1285</v>
      </c>
      <c r="B383" s="2" t="s">
        <v>1279</v>
      </c>
      <c r="C383" s="5">
        <v>27.99</v>
      </c>
      <c r="D383" s="3" t="s">
        <v>1286</v>
      </c>
      <c r="E383" s="2" t="s">
        <v>506</v>
      </c>
      <c r="F383" s="6" t="s">
        <v>154</v>
      </c>
      <c r="G383" s="2" t="s">
        <v>194</v>
      </c>
      <c r="H383" s="2" t="s">
        <v>919</v>
      </c>
      <c r="I383" s="2" t="s">
        <v>19</v>
      </c>
      <c r="J383" s="2" t="s">
        <v>409</v>
      </c>
      <c r="K383" s="7" t="str">
        <f>HYPERLINK("http://slimages.macys.com/is/image/MCY/8185331 ")</f>
        <v xml:space="preserve">http://slimages.macys.com/is/image/MCY/8185331 </v>
      </c>
    </row>
    <row r="384" spans="1:11" ht="24.75" x14ac:dyDescent="0.25">
      <c r="A384" s="4" t="s">
        <v>2671</v>
      </c>
      <c r="B384" s="2" t="s">
        <v>1307</v>
      </c>
      <c r="C384" s="5">
        <v>32.5</v>
      </c>
      <c r="D384" s="3" t="s">
        <v>1308</v>
      </c>
      <c r="E384" s="2" t="s">
        <v>193</v>
      </c>
      <c r="F384" s="6" t="s">
        <v>181</v>
      </c>
      <c r="G384" s="2" t="s">
        <v>194</v>
      </c>
      <c r="H384" s="2" t="s">
        <v>195</v>
      </c>
      <c r="I384" s="2" t="s">
        <v>19</v>
      </c>
      <c r="J384" s="2" t="s">
        <v>1108</v>
      </c>
      <c r="K384" s="7" t="str">
        <f>HYPERLINK("http://slimages.macys.com/is/image/MCY/12950211 ")</f>
        <v xml:space="preserve">http://slimages.macys.com/is/image/MCY/12950211 </v>
      </c>
    </row>
    <row r="385" spans="1:11" ht="24.75" x14ac:dyDescent="0.25">
      <c r="A385" s="4" t="s">
        <v>2672</v>
      </c>
      <c r="B385" s="2" t="s">
        <v>1343</v>
      </c>
      <c r="C385" s="5">
        <v>24.99</v>
      </c>
      <c r="D385" s="3" t="s">
        <v>2673</v>
      </c>
      <c r="E385" s="2" t="s">
        <v>506</v>
      </c>
      <c r="F385" s="6" t="s">
        <v>27</v>
      </c>
      <c r="G385" s="2" t="s">
        <v>228</v>
      </c>
      <c r="H385" s="2" t="s">
        <v>863</v>
      </c>
      <c r="I385" s="2" t="s">
        <v>19</v>
      </c>
      <c r="J385" s="2" t="s">
        <v>253</v>
      </c>
      <c r="K385" s="7" t="str">
        <f>HYPERLINK("http://slimages.macys.com/is/image/MCY/11804521 ")</f>
        <v xml:space="preserve">http://slimages.macys.com/is/image/MCY/11804521 </v>
      </c>
    </row>
    <row r="386" spans="1:11" ht="24.75" x14ac:dyDescent="0.25">
      <c r="A386" s="4" t="s">
        <v>2674</v>
      </c>
      <c r="B386" s="2" t="s">
        <v>1318</v>
      </c>
      <c r="C386" s="5">
        <v>24.99</v>
      </c>
      <c r="D386" s="3">
        <v>100006766</v>
      </c>
      <c r="E386" s="2" t="s">
        <v>417</v>
      </c>
      <c r="F386" s="6" t="s">
        <v>16</v>
      </c>
      <c r="G386" s="2" t="s">
        <v>228</v>
      </c>
      <c r="H386" s="2" t="s">
        <v>229</v>
      </c>
      <c r="I386" s="2" t="s">
        <v>19</v>
      </c>
      <c r="J386" s="2" t="s">
        <v>253</v>
      </c>
      <c r="K386" s="7" t="str">
        <f>HYPERLINK("http://slimages.macys.com/is/image/MCY/9029356 ")</f>
        <v xml:space="preserve">http://slimages.macys.com/is/image/MCY/9029356 </v>
      </c>
    </row>
    <row r="387" spans="1:11" ht="24.75" x14ac:dyDescent="0.25">
      <c r="A387" s="4" t="s">
        <v>2675</v>
      </c>
      <c r="B387" s="2" t="s">
        <v>1318</v>
      </c>
      <c r="C387" s="5">
        <v>24.99</v>
      </c>
      <c r="D387" s="3">
        <v>100006766</v>
      </c>
      <c r="E387" s="2" t="s">
        <v>417</v>
      </c>
      <c r="F387" s="6" t="s">
        <v>27</v>
      </c>
      <c r="G387" s="2" t="s">
        <v>228</v>
      </c>
      <c r="H387" s="2" t="s">
        <v>229</v>
      </c>
      <c r="I387" s="2" t="s">
        <v>19</v>
      </c>
      <c r="J387" s="2" t="s">
        <v>253</v>
      </c>
      <c r="K387" s="7" t="str">
        <f>HYPERLINK("http://slimages.macys.com/is/image/MCY/9029356 ")</f>
        <v xml:space="preserve">http://slimages.macys.com/is/image/MCY/9029356 </v>
      </c>
    </row>
    <row r="388" spans="1:11" ht="24.75" x14ac:dyDescent="0.25">
      <c r="A388" s="4" t="s">
        <v>2676</v>
      </c>
      <c r="B388" s="2" t="s">
        <v>1314</v>
      </c>
      <c r="C388" s="5">
        <v>24.99</v>
      </c>
      <c r="D388" s="3">
        <v>100010068</v>
      </c>
      <c r="E388" s="2" t="s">
        <v>998</v>
      </c>
      <c r="F388" s="6" t="s">
        <v>16</v>
      </c>
      <c r="G388" s="2" t="s">
        <v>228</v>
      </c>
      <c r="H388" s="2" t="s">
        <v>863</v>
      </c>
      <c r="I388" s="2" t="s">
        <v>19</v>
      </c>
      <c r="J388" s="2" t="s">
        <v>1315</v>
      </c>
      <c r="K388" s="7" t="str">
        <f>HYPERLINK("http://slimages.macys.com/is/image/MCY/9190991 ")</f>
        <v xml:space="preserve">http://slimages.macys.com/is/image/MCY/9190991 </v>
      </c>
    </row>
    <row r="389" spans="1:11" ht="24.75" x14ac:dyDescent="0.25">
      <c r="A389" s="4" t="s">
        <v>2677</v>
      </c>
      <c r="B389" s="2" t="s">
        <v>2678</v>
      </c>
      <c r="C389" s="5">
        <v>24.99</v>
      </c>
      <c r="D389" s="3" t="s">
        <v>2679</v>
      </c>
      <c r="E389" s="2" t="s">
        <v>2680</v>
      </c>
      <c r="F389" s="6" t="s">
        <v>27</v>
      </c>
      <c r="G389" s="2" t="s">
        <v>228</v>
      </c>
      <c r="H389" s="2" t="s">
        <v>863</v>
      </c>
      <c r="I389" s="2"/>
      <c r="J389" s="2"/>
      <c r="K389" s="7" t="str">
        <f>HYPERLINK("http://slimages.macys.com/is/image/MCY/9257806 ")</f>
        <v xml:space="preserve">http://slimages.macys.com/is/image/MCY/9257806 </v>
      </c>
    </row>
    <row r="390" spans="1:11" ht="24.75" x14ac:dyDescent="0.25">
      <c r="A390" s="4" t="s">
        <v>2681</v>
      </c>
      <c r="B390" s="2" t="s">
        <v>1330</v>
      </c>
      <c r="C390" s="5">
        <v>37.130000000000003</v>
      </c>
      <c r="D390" s="3" t="s">
        <v>1331</v>
      </c>
      <c r="E390" s="2" t="s">
        <v>417</v>
      </c>
      <c r="F390" s="6" t="s">
        <v>154</v>
      </c>
      <c r="G390" s="2" t="s">
        <v>194</v>
      </c>
      <c r="H390" s="2" t="s">
        <v>195</v>
      </c>
      <c r="I390" s="2" t="s">
        <v>19</v>
      </c>
      <c r="J390" s="2" t="s">
        <v>247</v>
      </c>
      <c r="K390" s="7" t="str">
        <f>HYPERLINK("http://slimages.macys.com/is/image/MCY/10889638 ")</f>
        <v xml:space="preserve">http://slimages.macys.com/is/image/MCY/10889638 </v>
      </c>
    </row>
    <row r="391" spans="1:11" ht="24.75" x14ac:dyDescent="0.25">
      <c r="A391" s="4" t="s">
        <v>1341</v>
      </c>
      <c r="B391" s="2" t="s">
        <v>1330</v>
      </c>
      <c r="C391" s="5">
        <v>37.130000000000003</v>
      </c>
      <c r="D391" s="3" t="s">
        <v>1331</v>
      </c>
      <c r="E391" s="2" t="s">
        <v>417</v>
      </c>
      <c r="F391" s="6" t="s">
        <v>181</v>
      </c>
      <c r="G391" s="2" t="s">
        <v>194</v>
      </c>
      <c r="H391" s="2" t="s">
        <v>195</v>
      </c>
      <c r="I391" s="2" t="s">
        <v>19</v>
      </c>
      <c r="J391" s="2" t="s">
        <v>247</v>
      </c>
      <c r="K391" s="7" t="str">
        <f>HYPERLINK("http://slimages.macys.com/is/image/MCY/10889638 ")</f>
        <v xml:space="preserve">http://slimages.macys.com/is/image/MCY/10889638 </v>
      </c>
    </row>
    <row r="392" spans="1:11" ht="24.75" x14ac:dyDescent="0.25">
      <c r="A392" s="4" t="s">
        <v>2682</v>
      </c>
      <c r="B392" s="2" t="s">
        <v>2683</v>
      </c>
      <c r="C392" s="5">
        <v>33.380000000000003</v>
      </c>
      <c r="D392" s="3" t="s">
        <v>2684</v>
      </c>
      <c r="E392" s="2" t="s">
        <v>752</v>
      </c>
      <c r="F392" s="6" t="s">
        <v>154</v>
      </c>
      <c r="G392" s="2" t="s">
        <v>194</v>
      </c>
      <c r="H392" s="2" t="s">
        <v>195</v>
      </c>
      <c r="I392" s="2" t="s">
        <v>19</v>
      </c>
      <c r="J392" s="2" t="s">
        <v>247</v>
      </c>
      <c r="K392" s="7" t="str">
        <f>HYPERLINK("http://slimages.macys.com/is/image/MCY/12404928 ")</f>
        <v xml:space="preserve">http://slimages.macys.com/is/image/MCY/12404928 </v>
      </c>
    </row>
    <row r="393" spans="1:11" ht="24.75" x14ac:dyDescent="0.25">
      <c r="A393" s="4" t="s">
        <v>2685</v>
      </c>
      <c r="B393" s="2" t="s">
        <v>2686</v>
      </c>
      <c r="C393" s="5">
        <v>34.5</v>
      </c>
      <c r="D393" s="3">
        <v>100062504</v>
      </c>
      <c r="E393" s="2" t="s">
        <v>26</v>
      </c>
      <c r="F393" s="6" t="s">
        <v>112</v>
      </c>
      <c r="G393" s="2" t="s">
        <v>228</v>
      </c>
      <c r="H393" s="2" t="s">
        <v>229</v>
      </c>
      <c r="I393" s="2" t="s">
        <v>19</v>
      </c>
      <c r="J393" s="2" t="s">
        <v>253</v>
      </c>
      <c r="K393" s="7" t="str">
        <f>HYPERLINK("http://slimages.macys.com/is/image/MCY/12849901 ")</f>
        <v xml:space="preserve">http://slimages.macys.com/is/image/MCY/12849901 </v>
      </c>
    </row>
    <row r="394" spans="1:11" ht="24.75" x14ac:dyDescent="0.25">
      <c r="A394" s="4" t="s">
        <v>2687</v>
      </c>
      <c r="B394" s="2" t="s">
        <v>1253</v>
      </c>
      <c r="C394" s="5">
        <v>24.99</v>
      </c>
      <c r="D394" s="3" t="s">
        <v>2688</v>
      </c>
      <c r="E394" s="2" t="s">
        <v>506</v>
      </c>
      <c r="F394" s="6" t="s">
        <v>165</v>
      </c>
      <c r="G394" s="2" t="s">
        <v>426</v>
      </c>
      <c r="H394" s="2" t="s">
        <v>863</v>
      </c>
      <c r="I394" s="2" t="s">
        <v>19</v>
      </c>
      <c r="J394" s="2" t="s">
        <v>253</v>
      </c>
      <c r="K394" s="7" t="str">
        <f>HYPERLINK("http://slimages.macys.com/is/image/MCY/9029356 ")</f>
        <v xml:space="preserve">http://slimages.macys.com/is/image/MCY/9029356 </v>
      </c>
    </row>
    <row r="395" spans="1:11" ht="24.75" x14ac:dyDescent="0.25">
      <c r="A395" s="4" t="s">
        <v>2689</v>
      </c>
      <c r="B395" s="2" t="s">
        <v>1318</v>
      </c>
      <c r="C395" s="5">
        <v>24.99</v>
      </c>
      <c r="D395" s="3" t="s">
        <v>1321</v>
      </c>
      <c r="E395" s="2" t="s">
        <v>64</v>
      </c>
      <c r="F395" s="6" t="s">
        <v>65</v>
      </c>
      <c r="G395" s="2" t="s">
        <v>228</v>
      </c>
      <c r="H395" s="2" t="s">
        <v>229</v>
      </c>
      <c r="I395" s="2" t="s">
        <v>19</v>
      </c>
      <c r="J395" s="2" t="s">
        <v>253</v>
      </c>
      <c r="K395" s="7" t="str">
        <f>HYPERLINK("http://slimages.macys.com/is/image/MCY/9029356 ")</f>
        <v xml:space="preserve">http://slimages.macys.com/is/image/MCY/9029356 </v>
      </c>
    </row>
    <row r="396" spans="1:11" ht="24.75" x14ac:dyDescent="0.25">
      <c r="A396" s="4" t="s">
        <v>2690</v>
      </c>
      <c r="B396" s="2" t="s">
        <v>1318</v>
      </c>
      <c r="C396" s="5">
        <v>24.99</v>
      </c>
      <c r="D396" s="3">
        <v>100003708</v>
      </c>
      <c r="E396" s="2" t="s">
        <v>417</v>
      </c>
      <c r="F396" s="6" t="s">
        <v>112</v>
      </c>
      <c r="G396" s="2" t="s">
        <v>228</v>
      </c>
      <c r="H396" s="2" t="s">
        <v>229</v>
      </c>
      <c r="I396" s="2" t="s">
        <v>19</v>
      </c>
      <c r="J396" s="2" t="s">
        <v>253</v>
      </c>
      <c r="K396" s="7" t="str">
        <f>HYPERLINK("http://slimages.macys.com/is/image/MCY/9029356 ")</f>
        <v xml:space="preserve">http://slimages.macys.com/is/image/MCY/9029356 </v>
      </c>
    </row>
    <row r="397" spans="1:11" ht="24.75" x14ac:dyDescent="0.25">
      <c r="A397" s="4" t="s">
        <v>2691</v>
      </c>
      <c r="B397" s="2" t="s">
        <v>1318</v>
      </c>
      <c r="C397" s="5">
        <v>24.99</v>
      </c>
      <c r="D397" s="3" t="s">
        <v>1321</v>
      </c>
      <c r="E397" s="2" t="s">
        <v>506</v>
      </c>
      <c r="F397" s="6" t="s">
        <v>16</v>
      </c>
      <c r="G397" s="2" t="s">
        <v>228</v>
      </c>
      <c r="H397" s="2" t="s">
        <v>229</v>
      </c>
      <c r="I397" s="2" t="s">
        <v>19</v>
      </c>
      <c r="J397" s="2" t="s">
        <v>253</v>
      </c>
      <c r="K397" s="7" t="str">
        <f>HYPERLINK("http://slimages.macys.com/is/image/MCY/8296032 ")</f>
        <v xml:space="preserve">http://slimages.macys.com/is/image/MCY/8296032 </v>
      </c>
    </row>
    <row r="398" spans="1:11" ht="24.75" x14ac:dyDescent="0.25">
      <c r="A398" s="4" t="s">
        <v>2692</v>
      </c>
      <c r="B398" s="2" t="s">
        <v>1318</v>
      </c>
      <c r="C398" s="5">
        <v>24.99</v>
      </c>
      <c r="D398" s="3" t="s">
        <v>1321</v>
      </c>
      <c r="E398" s="2" t="s">
        <v>506</v>
      </c>
      <c r="F398" s="6" t="s">
        <v>112</v>
      </c>
      <c r="G398" s="2" t="s">
        <v>228</v>
      </c>
      <c r="H398" s="2" t="s">
        <v>229</v>
      </c>
      <c r="I398" s="2" t="s">
        <v>19</v>
      </c>
      <c r="J398" s="2" t="s">
        <v>253</v>
      </c>
      <c r="K398" s="7" t="str">
        <f>HYPERLINK("http://slimages.macys.com/is/image/MCY/8296032 ")</f>
        <v xml:space="preserve">http://slimages.macys.com/is/image/MCY/8296032 </v>
      </c>
    </row>
    <row r="399" spans="1:11" ht="24.75" x14ac:dyDescent="0.25">
      <c r="A399" s="4" t="s">
        <v>2693</v>
      </c>
      <c r="B399" s="2" t="s">
        <v>1318</v>
      </c>
      <c r="C399" s="5">
        <v>24.99</v>
      </c>
      <c r="D399" s="3" t="s">
        <v>1321</v>
      </c>
      <c r="E399" s="2" t="s">
        <v>193</v>
      </c>
      <c r="F399" s="6" t="s">
        <v>65</v>
      </c>
      <c r="G399" s="2" t="s">
        <v>228</v>
      </c>
      <c r="H399" s="2" t="s">
        <v>229</v>
      </c>
      <c r="I399" s="2" t="s">
        <v>19</v>
      </c>
      <c r="J399" s="2" t="s">
        <v>253</v>
      </c>
      <c r="K399" s="7" t="str">
        <f>HYPERLINK("http://slimages.macys.com/is/image/MCY/9029356 ")</f>
        <v xml:space="preserve">http://slimages.macys.com/is/image/MCY/9029356 </v>
      </c>
    </row>
    <row r="400" spans="1:11" ht="24.75" x14ac:dyDescent="0.25">
      <c r="A400" s="4" t="s">
        <v>2694</v>
      </c>
      <c r="B400" s="2" t="s">
        <v>1356</v>
      </c>
      <c r="C400" s="5">
        <v>34.5</v>
      </c>
      <c r="D400" s="3">
        <v>100045815</v>
      </c>
      <c r="E400" s="2" t="s">
        <v>26</v>
      </c>
      <c r="F400" s="6" t="s">
        <v>106</v>
      </c>
      <c r="G400" s="2" t="s">
        <v>228</v>
      </c>
      <c r="H400" s="2" t="s">
        <v>229</v>
      </c>
      <c r="I400" s="2" t="s">
        <v>19</v>
      </c>
      <c r="J400" s="2" t="s">
        <v>353</v>
      </c>
      <c r="K400" s="7" t="str">
        <f>HYPERLINK("http://slimages.macys.com/is/image/MCY/11936020 ")</f>
        <v xml:space="preserve">http://slimages.macys.com/is/image/MCY/11936020 </v>
      </c>
    </row>
    <row r="401" spans="1:11" ht="24.75" x14ac:dyDescent="0.25">
      <c r="A401" s="4" t="s">
        <v>2695</v>
      </c>
      <c r="B401" s="2" t="s">
        <v>1356</v>
      </c>
      <c r="C401" s="5">
        <v>34.5</v>
      </c>
      <c r="D401" s="3">
        <v>100045815</v>
      </c>
      <c r="E401" s="2" t="s">
        <v>26</v>
      </c>
      <c r="F401" s="6" t="s">
        <v>16</v>
      </c>
      <c r="G401" s="2" t="s">
        <v>228</v>
      </c>
      <c r="H401" s="2" t="s">
        <v>229</v>
      </c>
      <c r="I401" s="2" t="s">
        <v>19</v>
      </c>
      <c r="J401" s="2" t="s">
        <v>353</v>
      </c>
      <c r="K401" s="7" t="str">
        <f>HYPERLINK("http://slimages.macys.com/is/image/MCY/11936020 ")</f>
        <v xml:space="preserve">http://slimages.macys.com/is/image/MCY/11936020 </v>
      </c>
    </row>
    <row r="402" spans="1:11" ht="24.75" x14ac:dyDescent="0.25">
      <c r="A402" s="4" t="s">
        <v>2696</v>
      </c>
      <c r="B402" s="2" t="s">
        <v>1356</v>
      </c>
      <c r="C402" s="5">
        <v>34.5</v>
      </c>
      <c r="D402" s="3">
        <v>100045815</v>
      </c>
      <c r="E402" s="2" t="s">
        <v>26</v>
      </c>
      <c r="F402" s="6" t="s">
        <v>58</v>
      </c>
      <c r="G402" s="2" t="s">
        <v>228</v>
      </c>
      <c r="H402" s="2" t="s">
        <v>229</v>
      </c>
      <c r="I402" s="2" t="s">
        <v>19</v>
      </c>
      <c r="J402" s="2" t="s">
        <v>353</v>
      </c>
      <c r="K402" s="7" t="str">
        <f>HYPERLINK("http://slimages.macys.com/is/image/MCY/11936020 ")</f>
        <v xml:space="preserve">http://slimages.macys.com/is/image/MCY/11936020 </v>
      </c>
    </row>
    <row r="403" spans="1:11" ht="24.75" x14ac:dyDescent="0.25">
      <c r="A403" s="4" t="s">
        <v>2697</v>
      </c>
      <c r="B403" s="2" t="s">
        <v>1356</v>
      </c>
      <c r="C403" s="5">
        <v>34.5</v>
      </c>
      <c r="D403" s="3">
        <v>100045815</v>
      </c>
      <c r="E403" s="2" t="s">
        <v>26</v>
      </c>
      <c r="F403" s="6" t="s">
        <v>22</v>
      </c>
      <c r="G403" s="2" t="s">
        <v>228</v>
      </c>
      <c r="H403" s="2" t="s">
        <v>229</v>
      </c>
      <c r="I403" s="2" t="s">
        <v>19</v>
      </c>
      <c r="J403" s="2" t="s">
        <v>353</v>
      </c>
      <c r="K403" s="7" t="str">
        <f>HYPERLINK("http://slimages.macys.com/is/image/MCY/11936020 ")</f>
        <v xml:space="preserve">http://slimages.macys.com/is/image/MCY/11936020 </v>
      </c>
    </row>
    <row r="404" spans="1:11" ht="24.75" x14ac:dyDescent="0.25">
      <c r="A404" s="4" t="s">
        <v>2698</v>
      </c>
      <c r="B404" s="2" t="s">
        <v>1318</v>
      </c>
      <c r="C404" s="5">
        <v>24.99</v>
      </c>
      <c r="D404" s="3" t="s">
        <v>1321</v>
      </c>
      <c r="E404" s="2" t="s">
        <v>376</v>
      </c>
      <c r="F404" s="6" t="s">
        <v>65</v>
      </c>
      <c r="G404" s="2" t="s">
        <v>228</v>
      </c>
      <c r="H404" s="2" t="s">
        <v>229</v>
      </c>
      <c r="I404" s="2" t="s">
        <v>19</v>
      </c>
      <c r="J404" s="2" t="s">
        <v>253</v>
      </c>
      <c r="K404" s="7" t="str">
        <f>HYPERLINK("http://slimages.macys.com/is/image/MCY/9029356 ")</f>
        <v xml:space="preserve">http://slimages.macys.com/is/image/MCY/9029356 </v>
      </c>
    </row>
    <row r="405" spans="1:11" ht="24.75" x14ac:dyDescent="0.25">
      <c r="A405" s="4" t="s">
        <v>2699</v>
      </c>
      <c r="B405" s="2" t="s">
        <v>1356</v>
      </c>
      <c r="C405" s="5">
        <v>34.5</v>
      </c>
      <c r="D405" s="3">
        <v>100045812</v>
      </c>
      <c r="E405" s="2" t="s">
        <v>111</v>
      </c>
      <c r="F405" s="6" t="s">
        <v>65</v>
      </c>
      <c r="G405" s="2" t="s">
        <v>228</v>
      </c>
      <c r="H405" s="2" t="s">
        <v>229</v>
      </c>
      <c r="I405" s="2" t="s">
        <v>19</v>
      </c>
      <c r="J405" s="2" t="s">
        <v>353</v>
      </c>
      <c r="K405" s="7" t="str">
        <f>HYPERLINK("http://slimages.macys.com/is/image/MCY/11936020 ")</f>
        <v xml:space="preserve">http://slimages.macys.com/is/image/MCY/11936020 </v>
      </c>
    </row>
    <row r="406" spans="1:11" ht="24.75" x14ac:dyDescent="0.25">
      <c r="A406" s="4" t="s">
        <v>2700</v>
      </c>
      <c r="B406" s="2" t="s">
        <v>1356</v>
      </c>
      <c r="C406" s="5">
        <v>34.5</v>
      </c>
      <c r="D406" s="3">
        <v>100045815</v>
      </c>
      <c r="E406" s="2" t="s">
        <v>26</v>
      </c>
      <c r="F406" s="6" t="s">
        <v>39</v>
      </c>
      <c r="G406" s="2" t="s">
        <v>228</v>
      </c>
      <c r="H406" s="2" t="s">
        <v>229</v>
      </c>
      <c r="I406" s="2" t="s">
        <v>19</v>
      </c>
      <c r="J406" s="2" t="s">
        <v>353</v>
      </c>
      <c r="K406" s="7" t="str">
        <f>HYPERLINK("http://slimages.macys.com/is/image/MCY/11936020 ")</f>
        <v xml:space="preserve">http://slimages.macys.com/is/image/MCY/11936020 </v>
      </c>
    </row>
    <row r="407" spans="1:11" ht="24.75" x14ac:dyDescent="0.25">
      <c r="A407" s="4" t="s">
        <v>2701</v>
      </c>
      <c r="B407" s="2" t="s">
        <v>1318</v>
      </c>
      <c r="C407" s="5">
        <v>24.99</v>
      </c>
      <c r="D407" s="3" t="s">
        <v>1321</v>
      </c>
      <c r="E407" s="2" t="s">
        <v>89</v>
      </c>
      <c r="F407" s="6" t="s">
        <v>58</v>
      </c>
      <c r="G407" s="2" t="s">
        <v>228</v>
      </c>
      <c r="H407" s="2" t="s">
        <v>229</v>
      </c>
      <c r="I407" s="2" t="s">
        <v>19</v>
      </c>
      <c r="J407" s="2" t="s">
        <v>253</v>
      </c>
      <c r="K407" s="7" t="str">
        <f>HYPERLINK("http://slimages.macys.com/is/image/MCY/9029356 ")</f>
        <v xml:space="preserve">http://slimages.macys.com/is/image/MCY/9029356 </v>
      </c>
    </row>
    <row r="408" spans="1:11" ht="24.75" x14ac:dyDescent="0.25">
      <c r="A408" s="4" t="s">
        <v>2702</v>
      </c>
      <c r="B408" s="2" t="s">
        <v>1318</v>
      </c>
      <c r="C408" s="5">
        <v>24.99</v>
      </c>
      <c r="D408" s="3">
        <v>100039649</v>
      </c>
      <c r="E408" s="2" t="s">
        <v>417</v>
      </c>
      <c r="F408" s="6" t="s">
        <v>106</v>
      </c>
      <c r="G408" s="2" t="s">
        <v>228</v>
      </c>
      <c r="H408" s="2" t="s">
        <v>863</v>
      </c>
      <c r="I408" s="2" t="s">
        <v>19</v>
      </c>
      <c r="J408" s="2" t="s">
        <v>2703</v>
      </c>
      <c r="K408" s="7" t="str">
        <f>HYPERLINK("http://slimages.macys.com/is/image/MCY/12667245 ")</f>
        <v xml:space="preserve">http://slimages.macys.com/is/image/MCY/12667245 </v>
      </c>
    </row>
    <row r="409" spans="1:11" ht="24.75" x14ac:dyDescent="0.25">
      <c r="A409" s="4" t="s">
        <v>2704</v>
      </c>
      <c r="B409" s="2" t="s">
        <v>1356</v>
      </c>
      <c r="C409" s="5">
        <v>34.5</v>
      </c>
      <c r="D409" s="3">
        <v>100045813</v>
      </c>
      <c r="E409" s="2" t="s">
        <v>111</v>
      </c>
      <c r="F409" s="6" t="s">
        <v>22</v>
      </c>
      <c r="G409" s="2" t="s">
        <v>228</v>
      </c>
      <c r="H409" s="2" t="s">
        <v>229</v>
      </c>
      <c r="I409" s="2" t="s">
        <v>19</v>
      </c>
      <c r="J409" s="2" t="s">
        <v>353</v>
      </c>
      <c r="K409" s="7" t="str">
        <f>HYPERLINK("http://slimages.macys.com/is/image/MCY/11936020 ")</f>
        <v xml:space="preserve">http://slimages.macys.com/is/image/MCY/11936020 </v>
      </c>
    </row>
    <row r="410" spans="1:11" ht="24.75" x14ac:dyDescent="0.25">
      <c r="A410" s="4" t="s">
        <v>2705</v>
      </c>
      <c r="B410" s="2" t="s">
        <v>1318</v>
      </c>
      <c r="C410" s="5">
        <v>24.99</v>
      </c>
      <c r="D410" s="3" t="s">
        <v>1321</v>
      </c>
      <c r="E410" s="2" t="s">
        <v>506</v>
      </c>
      <c r="F410" s="6" t="s">
        <v>106</v>
      </c>
      <c r="G410" s="2" t="s">
        <v>228</v>
      </c>
      <c r="H410" s="2" t="s">
        <v>229</v>
      </c>
      <c r="I410" s="2" t="s">
        <v>19</v>
      </c>
      <c r="J410" s="2" t="s">
        <v>253</v>
      </c>
      <c r="K410" s="7" t="str">
        <f>HYPERLINK("http://slimages.macys.com/is/image/MCY/8296032 ")</f>
        <v xml:space="preserve">http://slimages.macys.com/is/image/MCY/8296032 </v>
      </c>
    </row>
    <row r="411" spans="1:11" ht="24.75" x14ac:dyDescent="0.25">
      <c r="A411" s="4" t="s">
        <v>2706</v>
      </c>
      <c r="B411" s="2" t="s">
        <v>1365</v>
      </c>
      <c r="C411" s="5">
        <v>37.130000000000003</v>
      </c>
      <c r="D411" s="3">
        <v>100065803</v>
      </c>
      <c r="E411" s="2" t="s">
        <v>74</v>
      </c>
      <c r="F411" s="6" t="s">
        <v>245</v>
      </c>
      <c r="G411" s="2" t="s">
        <v>194</v>
      </c>
      <c r="H411" s="2" t="s">
        <v>195</v>
      </c>
      <c r="I411" s="2" t="s">
        <v>19</v>
      </c>
      <c r="J411" s="2" t="s">
        <v>353</v>
      </c>
      <c r="K411" s="7" t="str">
        <f>HYPERLINK("http://slimages.macys.com/is/image/MCY/12850008 ")</f>
        <v xml:space="preserve">http://slimages.macys.com/is/image/MCY/12850008 </v>
      </c>
    </row>
    <row r="412" spans="1:11" ht="24.75" x14ac:dyDescent="0.25">
      <c r="A412" s="4" t="s">
        <v>1368</v>
      </c>
      <c r="B412" s="2" t="s">
        <v>1365</v>
      </c>
      <c r="C412" s="5">
        <v>37.130000000000003</v>
      </c>
      <c r="D412" s="3">
        <v>100065803</v>
      </c>
      <c r="E412" s="2" t="s">
        <v>15</v>
      </c>
      <c r="F412" s="6" t="s">
        <v>156</v>
      </c>
      <c r="G412" s="2" t="s">
        <v>194</v>
      </c>
      <c r="H412" s="2" t="s">
        <v>195</v>
      </c>
      <c r="I412" s="2" t="s">
        <v>19</v>
      </c>
      <c r="J412" s="2" t="s">
        <v>353</v>
      </c>
      <c r="K412" s="7" t="str">
        <f>HYPERLINK("http://slimages.macys.com/is/image/MCY/12850008 ")</f>
        <v xml:space="preserve">http://slimages.macys.com/is/image/MCY/12850008 </v>
      </c>
    </row>
    <row r="413" spans="1:11" ht="24.75" x14ac:dyDescent="0.25">
      <c r="A413" s="4" t="s">
        <v>1364</v>
      </c>
      <c r="B413" s="2" t="s">
        <v>1365</v>
      </c>
      <c r="C413" s="5">
        <v>37.130000000000003</v>
      </c>
      <c r="D413" s="3">
        <v>100065803</v>
      </c>
      <c r="E413" s="2" t="s">
        <v>15</v>
      </c>
      <c r="F413" s="6" t="s">
        <v>181</v>
      </c>
      <c r="G413" s="2" t="s">
        <v>194</v>
      </c>
      <c r="H413" s="2" t="s">
        <v>195</v>
      </c>
      <c r="I413" s="2" t="s">
        <v>19</v>
      </c>
      <c r="J413" s="2" t="s">
        <v>353</v>
      </c>
      <c r="K413" s="7" t="str">
        <f>HYPERLINK("http://slimages.macys.com/is/image/MCY/12850008 ")</f>
        <v xml:space="preserve">http://slimages.macys.com/is/image/MCY/12850008 </v>
      </c>
    </row>
    <row r="414" spans="1:11" ht="24.75" x14ac:dyDescent="0.25">
      <c r="A414" s="4" t="s">
        <v>1369</v>
      </c>
      <c r="B414" s="2" t="s">
        <v>1365</v>
      </c>
      <c r="C414" s="5">
        <v>37.130000000000003</v>
      </c>
      <c r="D414" s="3">
        <v>100065803</v>
      </c>
      <c r="E414" s="2" t="s">
        <v>15</v>
      </c>
      <c r="F414" s="6" t="s">
        <v>234</v>
      </c>
      <c r="G414" s="2" t="s">
        <v>194</v>
      </c>
      <c r="H414" s="2" t="s">
        <v>195</v>
      </c>
      <c r="I414" s="2" t="s">
        <v>19</v>
      </c>
      <c r="J414" s="2" t="s">
        <v>353</v>
      </c>
      <c r="K414" s="7" t="str">
        <f>HYPERLINK("http://slimages.macys.com/is/image/MCY/12850008 ")</f>
        <v xml:space="preserve">http://slimages.macys.com/is/image/MCY/12850008 </v>
      </c>
    </row>
    <row r="415" spans="1:11" ht="24.75" x14ac:dyDescent="0.25">
      <c r="A415" s="4" t="s">
        <v>2707</v>
      </c>
      <c r="B415" s="2" t="s">
        <v>1381</v>
      </c>
      <c r="C415" s="5">
        <v>37.130000000000003</v>
      </c>
      <c r="D415" s="3" t="s">
        <v>1382</v>
      </c>
      <c r="E415" s="2" t="s">
        <v>170</v>
      </c>
      <c r="F415" s="6" t="s">
        <v>234</v>
      </c>
      <c r="G415" s="2" t="s">
        <v>194</v>
      </c>
      <c r="H415" s="2" t="s">
        <v>195</v>
      </c>
      <c r="I415" s="2" t="s">
        <v>19</v>
      </c>
      <c r="J415" s="2" t="s">
        <v>247</v>
      </c>
      <c r="K415" s="7" t="str">
        <f>HYPERLINK("http://slimages.macys.com/is/image/MCY/12668006 ")</f>
        <v xml:space="preserve">http://slimages.macys.com/is/image/MCY/12668006 </v>
      </c>
    </row>
    <row r="416" spans="1:11" ht="24.75" x14ac:dyDescent="0.25">
      <c r="A416" s="4" t="s">
        <v>2708</v>
      </c>
      <c r="B416" s="2" t="s">
        <v>1330</v>
      </c>
      <c r="C416" s="5">
        <v>37.130000000000003</v>
      </c>
      <c r="D416" s="3" t="s">
        <v>1331</v>
      </c>
      <c r="E416" s="2" t="s">
        <v>170</v>
      </c>
      <c r="F416" s="6" t="s">
        <v>234</v>
      </c>
      <c r="G416" s="2" t="s">
        <v>194</v>
      </c>
      <c r="H416" s="2" t="s">
        <v>195</v>
      </c>
      <c r="I416" s="2" t="s">
        <v>19</v>
      </c>
      <c r="J416" s="2" t="s">
        <v>247</v>
      </c>
      <c r="K416" s="7" t="str">
        <f>HYPERLINK("http://slimages.macys.com/is/image/MCY/10889638 ")</f>
        <v xml:space="preserve">http://slimages.macys.com/is/image/MCY/10889638 </v>
      </c>
    </row>
    <row r="417" spans="1:11" ht="24.75" x14ac:dyDescent="0.25">
      <c r="A417" s="4" t="s">
        <v>1377</v>
      </c>
      <c r="B417" s="2" t="s">
        <v>1330</v>
      </c>
      <c r="C417" s="5">
        <v>37.130000000000003</v>
      </c>
      <c r="D417" s="3" t="s">
        <v>1331</v>
      </c>
      <c r="E417" s="2" t="s">
        <v>125</v>
      </c>
      <c r="F417" s="6" t="s">
        <v>154</v>
      </c>
      <c r="G417" s="2" t="s">
        <v>194</v>
      </c>
      <c r="H417" s="2" t="s">
        <v>195</v>
      </c>
      <c r="I417" s="2" t="s">
        <v>19</v>
      </c>
      <c r="J417" s="2" t="s">
        <v>247</v>
      </c>
      <c r="K417" s="7" t="str">
        <f>HYPERLINK("http://slimages.macys.com/is/image/MCY/10889638 ")</f>
        <v xml:space="preserve">http://slimages.macys.com/is/image/MCY/10889638 </v>
      </c>
    </row>
    <row r="418" spans="1:11" ht="24.75" x14ac:dyDescent="0.25">
      <c r="A418" s="4" t="s">
        <v>1376</v>
      </c>
      <c r="B418" s="2" t="s">
        <v>1330</v>
      </c>
      <c r="C418" s="5">
        <v>37.130000000000003</v>
      </c>
      <c r="D418" s="3" t="s">
        <v>1331</v>
      </c>
      <c r="E418" s="2" t="s">
        <v>125</v>
      </c>
      <c r="F418" s="6" t="s">
        <v>181</v>
      </c>
      <c r="G418" s="2" t="s">
        <v>194</v>
      </c>
      <c r="H418" s="2" t="s">
        <v>195</v>
      </c>
      <c r="I418" s="2" t="s">
        <v>19</v>
      </c>
      <c r="J418" s="2" t="s">
        <v>247</v>
      </c>
      <c r="K418" s="7" t="str">
        <f>HYPERLINK("http://slimages.macys.com/is/image/MCY/10889638 ")</f>
        <v xml:space="preserve">http://slimages.macys.com/is/image/MCY/10889638 </v>
      </c>
    </row>
    <row r="419" spans="1:11" ht="24.75" x14ac:dyDescent="0.25">
      <c r="A419" s="4" t="s">
        <v>2709</v>
      </c>
      <c r="B419" s="2" t="s">
        <v>1330</v>
      </c>
      <c r="C419" s="5">
        <v>37.130000000000003</v>
      </c>
      <c r="D419" s="3" t="s">
        <v>1331</v>
      </c>
      <c r="E419" s="2" t="s">
        <v>125</v>
      </c>
      <c r="F419" s="6" t="s">
        <v>156</v>
      </c>
      <c r="G419" s="2" t="s">
        <v>194</v>
      </c>
      <c r="H419" s="2" t="s">
        <v>195</v>
      </c>
      <c r="I419" s="2" t="s">
        <v>19</v>
      </c>
      <c r="J419" s="2" t="s">
        <v>247</v>
      </c>
      <c r="K419" s="7" t="str">
        <f>HYPERLINK("http://slimages.macys.com/is/image/MCY/10889638 ")</f>
        <v xml:space="preserve">http://slimages.macys.com/is/image/MCY/10889638 </v>
      </c>
    </row>
    <row r="420" spans="1:11" ht="24.75" x14ac:dyDescent="0.25">
      <c r="A420" s="4" t="s">
        <v>2710</v>
      </c>
      <c r="B420" s="2" t="s">
        <v>1330</v>
      </c>
      <c r="C420" s="5">
        <v>37.130000000000003</v>
      </c>
      <c r="D420" s="3" t="s">
        <v>1331</v>
      </c>
      <c r="E420" s="2" t="s">
        <v>125</v>
      </c>
      <c r="F420" s="6" t="s">
        <v>234</v>
      </c>
      <c r="G420" s="2" t="s">
        <v>194</v>
      </c>
      <c r="H420" s="2" t="s">
        <v>195</v>
      </c>
      <c r="I420" s="2" t="s">
        <v>19</v>
      </c>
      <c r="J420" s="2" t="s">
        <v>247</v>
      </c>
      <c r="K420" s="7" t="str">
        <f>HYPERLINK("http://slimages.macys.com/is/image/MCY/10889638 ")</f>
        <v xml:space="preserve">http://slimages.macys.com/is/image/MCY/10889638 </v>
      </c>
    </row>
    <row r="421" spans="1:11" ht="24.75" x14ac:dyDescent="0.25">
      <c r="A421" s="4" t="s">
        <v>2711</v>
      </c>
      <c r="B421" s="2" t="s">
        <v>1381</v>
      </c>
      <c r="C421" s="5">
        <v>37.130000000000003</v>
      </c>
      <c r="D421" s="3" t="s">
        <v>1382</v>
      </c>
      <c r="E421" s="2" t="s">
        <v>170</v>
      </c>
      <c r="F421" s="6" t="s">
        <v>154</v>
      </c>
      <c r="G421" s="2" t="s">
        <v>194</v>
      </c>
      <c r="H421" s="2" t="s">
        <v>195</v>
      </c>
      <c r="I421" s="2" t="s">
        <v>19</v>
      </c>
      <c r="J421" s="2" t="s">
        <v>247</v>
      </c>
      <c r="K421" s="7" t="str">
        <f>HYPERLINK("http://slimages.macys.com/is/image/MCY/12668006 ")</f>
        <v xml:space="preserve">http://slimages.macys.com/is/image/MCY/12668006 </v>
      </c>
    </row>
    <row r="422" spans="1:11" ht="24.75" x14ac:dyDescent="0.25">
      <c r="A422" s="4" t="s">
        <v>2712</v>
      </c>
      <c r="B422" s="2" t="s">
        <v>1381</v>
      </c>
      <c r="C422" s="5">
        <v>37.130000000000003</v>
      </c>
      <c r="D422" s="3" t="s">
        <v>1382</v>
      </c>
      <c r="E422" s="2" t="s">
        <v>170</v>
      </c>
      <c r="F422" s="6" t="s">
        <v>245</v>
      </c>
      <c r="G422" s="2" t="s">
        <v>194</v>
      </c>
      <c r="H422" s="2" t="s">
        <v>195</v>
      </c>
      <c r="I422" s="2" t="s">
        <v>19</v>
      </c>
      <c r="J422" s="2" t="s">
        <v>247</v>
      </c>
      <c r="K422" s="7" t="str">
        <f>HYPERLINK("http://slimages.macys.com/is/image/MCY/12668006 ")</f>
        <v xml:space="preserve">http://slimages.macys.com/is/image/MCY/12668006 </v>
      </c>
    </row>
    <row r="423" spans="1:11" ht="36.75" x14ac:dyDescent="0.25">
      <c r="A423" s="4" t="s">
        <v>2713</v>
      </c>
      <c r="B423" s="2" t="s">
        <v>1388</v>
      </c>
      <c r="C423" s="5">
        <v>29.63</v>
      </c>
      <c r="D423" s="3" t="s">
        <v>1389</v>
      </c>
      <c r="E423" s="2" t="s">
        <v>111</v>
      </c>
      <c r="F423" s="6" t="s">
        <v>245</v>
      </c>
      <c r="G423" s="2" t="s">
        <v>194</v>
      </c>
      <c r="H423" s="2" t="s">
        <v>195</v>
      </c>
      <c r="I423" s="2" t="s">
        <v>19</v>
      </c>
      <c r="J423" s="2" t="s">
        <v>1390</v>
      </c>
      <c r="K423" s="7" t="str">
        <f>HYPERLINK("http://slimages.macys.com/is/image/MCY/12734335 ")</f>
        <v xml:space="preserve">http://slimages.macys.com/is/image/MCY/12734335 </v>
      </c>
    </row>
    <row r="424" spans="1:11" ht="24.75" x14ac:dyDescent="0.25">
      <c r="A424" s="4" t="s">
        <v>1393</v>
      </c>
      <c r="B424" s="2" t="s">
        <v>1394</v>
      </c>
      <c r="C424" s="5">
        <v>37.130000000000003</v>
      </c>
      <c r="D424" s="3" t="s">
        <v>1395</v>
      </c>
      <c r="E424" s="2" t="s">
        <v>33</v>
      </c>
      <c r="F424" s="6" t="s">
        <v>154</v>
      </c>
      <c r="G424" s="2" t="s">
        <v>194</v>
      </c>
      <c r="H424" s="2" t="s">
        <v>195</v>
      </c>
      <c r="I424" s="2" t="s">
        <v>19</v>
      </c>
      <c r="J424" s="2" t="s">
        <v>34</v>
      </c>
      <c r="K424" s="7" t="str">
        <f>HYPERLINK("http://slimages.macys.com/is/image/MCY/13367997 ")</f>
        <v xml:space="preserve">http://slimages.macys.com/is/image/MCY/13367997 </v>
      </c>
    </row>
    <row r="425" spans="1:11" ht="24.75" x14ac:dyDescent="0.25">
      <c r="A425" s="4" t="s">
        <v>2714</v>
      </c>
      <c r="B425" s="2" t="s">
        <v>2715</v>
      </c>
      <c r="C425" s="5">
        <v>24.99</v>
      </c>
      <c r="D425" s="3" t="s">
        <v>2716</v>
      </c>
      <c r="E425" s="2" t="s">
        <v>15</v>
      </c>
      <c r="F425" s="6" t="s">
        <v>187</v>
      </c>
      <c r="G425" s="2" t="s">
        <v>1425</v>
      </c>
      <c r="H425" s="2" t="s">
        <v>1469</v>
      </c>
      <c r="I425" s="2" t="s">
        <v>19</v>
      </c>
      <c r="J425" s="2" t="s">
        <v>495</v>
      </c>
      <c r="K425" s="7" t="str">
        <f>HYPERLINK("http://slimages.macys.com/is/image/MCY/12645325 ")</f>
        <v xml:space="preserve">http://slimages.macys.com/is/image/MCY/12645325 </v>
      </c>
    </row>
    <row r="426" spans="1:11" ht="24.75" x14ac:dyDescent="0.25">
      <c r="A426" s="4" t="s">
        <v>2717</v>
      </c>
      <c r="B426" s="2" t="s">
        <v>2718</v>
      </c>
      <c r="C426" s="5">
        <v>34.880000000000003</v>
      </c>
      <c r="D426" s="3">
        <v>100054890</v>
      </c>
      <c r="E426" s="2" t="s">
        <v>26</v>
      </c>
      <c r="F426" s="6" t="s">
        <v>141</v>
      </c>
      <c r="G426" s="2" t="s">
        <v>194</v>
      </c>
      <c r="H426" s="2" t="s">
        <v>195</v>
      </c>
      <c r="I426" s="2" t="s">
        <v>19</v>
      </c>
      <c r="J426" s="2" t="s">
        <v>353</v>
      </c>
      <c r="K426" s="7" t="str">
        <f>HYPERLINK("http://slimages.macys.com/is/image/MCY/12331068 ")</f>
        <v xml:space="preserve">http://slimages.macys.com/is/image/MCY/12331068 </v>
      </c>
    </row>
    <row r="427" spans="1:11" ht="24.75" x14ac:dyDescent="0.25">
      <c r="A427" s="4" t="s">
        <v>2719</v>
      </c>
      <c r="B427" s="2" t="s">
        <v>2720</v>
      </c>
      <c r="C427" s="5">
        <v>37.130000000000003</v>
      </c>
      <c r="D427" s="3" t="s">
        <v>2721</v>
      </c>
      <c r="E427" s="2" t="s">
        <v>64</v>
      </c>
      <c r="F427" s="6" t="s">
        <v>234</v>
      </c>
      <c r="G427" s="2" t="s">
        <v>246</v>
      </c>
      <c r="H427" s="2" t="s">
        <v>189</v>
      </c>
      <c r="I427" s="2" t="s">
        <v>19</v>
      </c>
      <c r="J427" s="2" t="s">
        <v>160</v>
      </c>
      <c r="K427" s="7" t="str">
        <f>HYPERLINK("http://slimages.macys.com/is/image/MCY/11883959 ")</f>
        <v xml:space="preserve">http://slimages.macys.com/is/image/MCY/11883959 </v>
      </c>
    </row>
    <row r="428" spans="1:11" ht="24.75" x14ac:dyDescent="0.25">
      <c r="A428" s="4" t="s">
        <v>1404</v>
      </c>
      <c r="B428" s="2" t="s">
        <v>1405</v>
      </c>
      <c r="C428" s="5">
        <v>34.880000000000003</v>
      </c>
      <c r="D428" s="3">
        <v>100042372</v>
      </c>
      <c r="E428" s="2" t="s">
        <v>676</v>
      </c>
      <c r="F428" s="6" t="s">
        <v>27</v>
      </c>
      <c r="G428" s="2" t="s">
        <v>194</v>
      </c>
      <c r="H428" s="2" t="s">
        <v>195</v>
      </c>
      <c r="I428" s="2" t="s">
        <v>19</v>
      </c>
      <c r="J428" s="2" t="s">
        <v>353</v>
      </c>
      <c r="K428" s="7" t="str">
        <f t="shared" ref="K428:K433" si="3">HYPERLINK("http://slimages.macys.com/is/image/MCY/11935225 ")</f>
        <v xml:space="preserve">http://slimages.macys.com/is/image/MCY/11935225 </v>
      </c>
    </row>
    <row r="429" spans="1:11" ht="24.75" x14ac:dyDescent="0.25">
      <c r="A429" s="4" t="s">
        <v>2722</v>
      </c>
      <c r="B429" s="2" t="s">
        <v>1405</v>
      </c>
      <c r="C429" s="5">
        <v>34.880000000000003</v>
      </c>
      <c r="D429" s="3">
        <v>100042372</v>
      </c>
      <c r="E429" s="2" t="s">
        <v>676</v>
      </c>
      <c r="F429" s="6" t="s">
        <v>58</v>
      </c>
      <c r="G429" s="2" t="s">
        <v>194</v>
      </c>
      <c r="H429" s="2" t="s">
        <v>195</v>
      </c>
      <c r="I429" s="2" t="s">
        <v>19</v>
      </c>
      <c r="J429" s="2" t="s">
        <v>353</v>
      </c>
      <c r="K429" s="7" t="str">
        <f t="shared" si="3"/>
        <v xml:space="preserve">http://slimages.macys.com/is/image/MCY/11935225 </v>
      </c>
    </row>
    <row r="430" spans="1:11" ht="24.75" x14ac:dyDescent="0.25">
      <c r="A430" s="4" t="s">
        <v>2723</v>
      </c>
      <c r="B430" s="2" t="s">
        <v>1405</v>
      </c>
      <c r="C430" s="5">
        <v>34.880000000000003</v>
      </c>
      <c r="D430" s="3">
        <v>100042372</v>
      </c>
      <c r="E430" s="2" t="s">
        <v>676</v>
      </c>
      <c r="F430" s="6" t="s">
        <v>22</v>
      </c>
      <c r="G430" s="2" t="s">
        <v>194</v>
      </c>
      <c r="H430" s="2" t="s">
        <v>195</v>
      </c>
      <c r="I430" s="2" t="s">
        <v>19</v>
      </c>
      <c r="J430" s="2" t="s">
        <v>353</v>
      </c>
      <c r="K430" s="7" t="str">
        <f t="shared" si="3"/>
        <v xml:space="preserve">http://slimages.macys.com/is/image/MCY/11935225 </v>
      </c>
    </row>
    <row r="431" spans="1:11" ht="24.75" x14ac:dyDescent="0.25">
      <c r="A431" s="4" t="s">
        <v>2724</v>
      </c>
      <c r="B431" s="2" t="s">
        <v>1405</v>
      </c>
      <c r="C431" s="5">
        <v>34.880000000000003</v>
      </c>
      <c r="D431" s="3">
        <v>100042372</v>
      </c>
      <c r="E431" s="2" t="s">
        <v>94</v>
      </c>
      <c r="F431" s="6" t="s">
        <v>22</v>
      </c>
      <c r="G431" s="2" t="s">
        <v>194</v>
      </c>
      <c r="H431" s="2" t="s">
        <v>195</v>
      </c>
      <c r="I431" s="2" t="s">
        <v>19</v>
      </c>
      <c r="J431" s="2" t="s">
        <v>353</v>
      </c>
      <c r="K431" s="7" t="str">
        <f t="shared" si="3"/>
        <v xml:space="preserve">http://slimages.macys.com/is/image/MCY/11935225 </v>
      </c>
    </row>
    <row r="432" spans="1:11" ht="24.75" x14ac:dyDescent="0.25">
      <c r="A432" s="4" t="s">
        <v>2725</v>
      </c>
      <c r="B432" s="2" t="s">
        <v>1405</v>
      </c>
      <c r="C432" s="5">
        <v>34.880000000000003</v>
      </c>
      <c r="D432" s="3">
        <v>100042372</v>
      </c>
      <c r="E432" s="2" t="s">
        <v>676</v>
      </c>
      <c r="F432" s="6" t="s">
        <v>16</v>
      </c>
      <c r="G432" s="2" t="s">
        <v>194</v>
      </c>
      <c r="H432" s="2" t="s">
        <v>195</v>
      </c>
      <c r="I432" s="2" t="s">
        <v>19</v>
      </c>
      <c r="J432" s="2" t="s">
        <v>353</v>
      </c>
      <c r="K432" s="7" t="str">
        <f t="shared" si="3"/>
        <v xml:space="preserve">http://slimages.macys.com/is/image/MCY/11935225 </v>
      </c>
    </row>
    <row r="433" spans="1:11" ht="24.75" x14ac:dyDescent="0.25">
      <c r="A433" s="4" t="s">
        <v>2726</v>
      </c>
      <c r="B433" s="2" t="s">
        <v>1405</v>
      </c>
      <c r="C433" s="5">
        <v>34.880000000000003</v>
      </c>
      <c r="D433" s="3">
        <v>100042372</v>
      </c>
      <c r="E433" s="2" t="s">
        <v>94</v>
      </c>
      <c r="F433" s="6" t="s">
        <v>16</v>
      </c>
      <c r="G433" s="2" t="s">
        <v>194</v>
      </c>
      <c r="H433" s="2" t="s">
        <v>195</v>
      </c>
      <c r="I433" s="2" t="s">
        <v>19</v>
      </c>
      <c r="J433" s="2" t="s">
        <v>353</v>
      </c>
      <c r="K433" s="7" t="str">
        <f t="shared" si="3"/>
        <v xml:space="preserve">http://slimages.macys.com/is/image/MCY/11935225 </v>
      </c>
    </row>
    <row r="434" spans="1:11" ht="36.75" x14ac:dyDescent="0.25">
      <c r="A434" s="4" t="s">
        <v>2727</v>
      </c>
      <c r="B434" s="2" t="s">
        <v>1409</v>
      </c>
      <c r="C434" s="5">
        <v>36.5</v>
      </c>
      <c r="D434" s="3" t="s">
        <v>1410</v>
      </c>
      <c r="E434" s="2" t="s">
        <v>170</v>
      </c>
      <c r="F434" s="6" t="s">
        <v>181</v>
      </c>
      <c r="G434" s="2" t="s">
        <v>194</v>
      </c>
      <c r="H434" s="2" t="s">
        <v>195</v>
      </c>
      <c r="I434" s="2" t="s">
        <v>19</v>
      </c>
      <c r="J434" s="2" t="s">
        <v>1411</v>
      </c>
      <c r="K434" s="7" t="str">
        <f>HYPERLINK("http://slimages.macys.com/is/image/MCY/11702017 ")</f>
        <v xml:space="preserve">http://slimages.macys.com/is/image/MCY/11702017 </v>
      </c>
    </row>
    <row r="435" spans="1:11" ht="24.75" x14ac:dyDescent="0.25">
      <c r="A435" s="4" t="s">
        <v>2728</v>
      </c>
      <c r="B435" s="2" t="s">
        <v>2729</v>
      </c>
      <c r="C435" s="5">
        <v>33.380000000000003</v>
      </c>
      <c r="D435" s="3" t="s">
        <v>2730</v>
      </c>
      <c r="E435" s="2" t="s">
        <v>26</v>
      </c>
      <c r="F435" s="6" t="s">
        <v>156</v>
      </c>
      <c r="G435" s="2" t="s">
        <v>194</v>
      </c>
      <c r="H435" s="2" t="s">
        <v>195</v>
      </c>
      <c r="I435" s="2" t="s">
        <v>19</v>
      </c>
      <c r="J435" s="2" t="s">
        <v>990</v>
      </c>
      <c r="K435" s="7" t="str">
        <f>HYPERLINK("http://slimages.macys.com/is/image/MCY/12734313 ")</f>
        <v xml:space="preserve">http://slimages.macys.com/is/image/MCY/12734313 </v>
      </c>
    </row>
    <row r="436" spans="1:11" ht="36.75" x14ac:dyDescent="0.25">
      <c r="A436" s="4" t="s">
        <v>1408</v>
      </c>
      <c r="B436" s="2" t="s">
        <v>1409</v>
      </c>
      <c r="C436" s="5">
        <v>36.5</v>
      </c>
      <c r="D436" s="3" t="s">
        <v>1410</v>
      </c>
      <c r="E436" s="2" t="s">
        <v>170</v>
      </c>
      <c r="F436" s="6" t="s">
        <v>154</v>
      </c>
      <c r="G436" s="2" t="s">
        <v>194</v>
      </c>
      <c r="H436" s="2" t="s">
        <v>195</v>
      </c>
      <c r="I436" s="2" t="s">
        <v>19</v>
      </c>
      <c r="J436" s="2" t="s">
        <v>1411</v>
      </c>
      <c r="K436" s="7" t="str">
        <f>HYPERLINK("http://slimages.macys.com/is/image/MCY/11702017 ")</f>
        <v xml:space="preserve">http://slimages.macys.com/is/image/MCY/11702017 </v>
      </c>
    </row>
    <row r="437" spans="1:11" ht="24.75" x14ac:dyDescent="0.25">
      <c r="A437" s="4" t="s">
        <v>2731</v>
      </c>
      <c r="B437" s="2" t="s">
        <v>1444</v>
      </c>
      <c r="C437" s="5">
        <v>34.880000000000003</v>
      </c>
      <c r="D437" s="3">
        <v>100042376</v>
      </c>
      <c r="E437" s="2" t="s">
        <v>136</v>
      </c>
      <c r="F437" s="6" t="s">
        <v>16</v>
      </c>
      <c r="G437" s="2" t="s">
        <v>194</v>
      </c>
      <c r="H437" s="2" t="s">
        <v>195</v>
      </c>
      <c r="I437" s="2" t="s">
        <v>19</v>
      </c>
      <c r="J437" s="2" t="s">
        <v>353</v>
      </c>
      <c r="K437" s="7" t="str">
        <f>HYPERLINK("http://slimages.macys.com/is/image/MCY/11764758 ")</f>
        <v xml:space="preserve">http://slimages.macys.com/is/image/MCY/11764758 </v>
      </c>
    </row>
    <row r="438" spans="1:11" ht="24.75" x14ac:dyDescent="0.25">
      <c r="A438" s="4" t="s">
        <v>2732</v>
      </c>
      <c r="B438" s="2" t="s">
        <v>1444</v>
      </c>
      <c r="C438" s="5">
        <v>34.880000000000003</v>
      </c>
      <c r="D438" s="3">
        <v>100042376</v>
      </c>
      <c r="E438" s="2" t="s">
        <v>64</v>
      </c>
      <c r="F438" s="6" t="s">
        <v>106</v>
      </c>
      <c r="G438" s="2" t="s">
        <v>194</v>
      </c>
      <c r="H438" s="2" t="s">
        <v>195</v>
      </c>
      <c r="I438" s="2" t="s">
        <v>19</v>
      </c>
      <c r="J438" s="2" t="s">
        <v>353</v>
      </c>
      <c r="K438" s="7" t="str">
        <f>HYPERLINK("http://slimages.macys.com/is/image/MCY/11764758 ")</f>
        <v xml:space="preserve">http://slimages.macys.com/is/image/MCY/11764758 </v>
      </c>
    </row>
    <row r="439" spans="1:11" ht="24.75" x14ac:dyDescent="0.25">
      <c r="A439" s="4" t="s">
        <v>1412</v>
      </c>
      <c r="B439" s="2" t="s">
        <v>1413</v>
      </c>
      <c r="C439" s="5">
        <v>29.5</v>
      </c>
      <c r="D439" s="3" t="s">
        <v>1414</v>
      </c>
      <c r="E439" s="2" t="s">
        <v>79</v>
      </c>
      <c r="F439" s="6" t="s">
        <v>154</v>
      </c>
      <c r="G439" s="2" t="s">
        <v>194</v>
      </c>
      <c r="H439" s="2" t="s">
        <v>195</v>
      </c>
      <c r="I439" s="2" t="s">
        <v>19</v>
      </c>
      <c r="J439" s="2" t="s">
        <v>247</v>
      </c>
      <c r="K439" s="7" t="str">
        <f>HYPERLINK("http://slimages.macys.com/is/image/MCY/12063860 ")</f>
        <v xml:space="preserve">http://slimages.macys.com/is/image/MCY/12063860 </v>
      </c>
    </row>
    <row r="440" spans="1:11" ht="24.75" x14ac:dyDescent="0.25">
      <c r="A440" s="4" t="s">
        <v>2733</v>
      </c>
      <c r="B440" s="2" t="s">
        <v>2734</v>
      </c>
      <c r="C440" s="5">
        <v>29.63</v>
      </c>
      <c r="D440" s="3" t="s">
        <v>2735</v>
      </c>
      <c r="E440" s="2" t="s">
        <v>252</v>
      </c>
      <c r="F440" s="6" t="s">
        <v>234</v>
      </c>
      <c r="G440" s="2" t="s">
        <v>194</v>
      </c>
      <c r="H440" s="2" t="s">
        <v>195</v>
      </c>
      <c r="I440" s="2" t="s">
        <v>19</v>
      </c>
      <c r="J440" s="2" t="s">
        <v>137</v>
      </c>
      <c r="K440" s="7" t="str">
        <f>HYPERLINK("http://slimages.macys.com/is/image/MCY/12279918 ")</f>
        <v xml:space="preserve">http://slimages.macys.com/is/image/MCY/12279918 </v>
      </c>
    </row>
    <row r="441" spans="1:11" ht="24.75" x14ac:dyDescent="0.25">
      <c r="A441" s="4" t="s">
        <v>2736</v>
      </c>
      <c r="B441" s="2" t="s">
        <v>2734</v>
      </c>
      <c r="C441" s="5">
        <v>29.63</v>
      </c>
      <c r="D441" s="3" t="s">
        <v>2735</v>
      </c>
      <c r="E441" s="2" t="s">
        <v>252</v>
      </c>
      <c r="F441" s="6" t="s">
        <v>154</v>
      </c>
      <c r="G441" s="2" t="s">
        <v>194</v>
      </c>
      <c r="H441" s="2" t="s">
        <v>195</v>
      </c>
      <c r="I441" s="2" t="s">
        <v>19</v>
      </c>
      <c r="J441" s="2" t="s">
        <v>137</v>
      </c>
      <c r="K441" s="7" t="str">
        <f>HYPERLINK("http://slimages.macys.com/is/image/MCY/12279918 ")</f>
        <v xml:space="preserve">http://slimages.macys.com/is/image/MCY/12279918 </v>
      </c>
    </row>
    <row r="442" spans="1:11" ht="24.75" x14ac:dyDescent="0.25">
      <c r="A442" s="4" t="s">
        <v>2737</v>
      </c>
      <c r="B442" s="2" t="s">
        <v>2734</v>
      </c>
      <c r="C442" s="5">
        <v>29.63</v>
      </c>
      <c r="D442" s="3" t="s">
        <v>2735</v>
      </c>
      <c r="E442" s="2" t="s">
        <v>252</v>
      </c>
      <c r="F442" s="6" t="s">
        <v>156</v>
      </c>
      <c r="G442" s="2" t="s">
        <v>194</v>
      </c>
      <c r="H442" s="2" t="s">
        <v>195</v>
      </c>
      <c r="I442" s="2" t="s">
        <v>19</v>
      </c>
      <c r="J442" s="2" t="s">
        <v>137</v>
      </c>
      <c r="K442" s="7" t="str">
        <f>HYPERLINK("http://slimages.macys.com/is/image/MCY/12279918 ")</f>
        <v xml:space="preserve">http://slimages.macys.com/is/image/MCY/12279918 </v>
      </c>
    </row>
    <row r="443" spans="1:11" ht="24.75" x14ac:dyDescent="0.25">
      <c r="A443" s="4" t="s">
        <v>2738</v>
      </c>
      <c r="B443" s="2" t="s">
        <v>2734</v>
      </c>
      <c r="C443" s="5">
        <v>29.63</v>
      </c>
      <c r="D443" s="3" t="s">
        <v>2735</v>
      </c>
      <c r="E443" s="2" t="s">
        <v>125</v>
      </c>
      <c r="F443" s="6" t="s">
        <v>154</v>
      </c>
      <c r="G443" s="2" t="s">
        <v>194</v>
      </c>
      <c r="H443" s="2" t="s">
        <v>195</v>
      </c>
      <c r="I443" s="2" t="s">
        <v>19</v>
      </c>
      <c r="J443" s="2" t="s">
        <v>137</v>
      </c>
      <c r="K443" s="7" t="str">
        <f>HYPERLINK("http://slimages.macys.com/is/image/MCY/12279918 ")</f>
        <v xml:space="preserve">http://slimages.macys.com/is/image/MCY/12279918 </v>
      </c>
    </row>
    <row r="444" spans="1:11" ht="24.75" x14ac:dyDescent="0.25">
      <c r="A444" s="4" t="s">
        <v>1438</v>
      </c>
      <c r="B444" s="2" t="s">
        <v>1433</v>
      </c>
      <c r="C444" s="5">
        <v>24.99</v>
      </c>
      <c r="D444" s="3" t="s">
        <v>1434</v>
      </c>
      <c r="E444" s="2" t="s">
        <v>331</v>
      </c>
      <c r="F444" s="6"/>
      <c r="G444" s="2" t="s">
        <v>1425</v>
      </c>
      <c r="H444" s="2" t="s">
        <v>1426</v>
      </c>
      <c r="I444" s="2" t="s">
        <v>19</v>
      </c>
      <c r="J444" s="2" t="s">
        <v>1431</v>
      </c>
      <c r="K444" s="7" t="str">
        <f>HYPERLINK("http://slimages.macys.com/is/image/MCY/11774707 ")</f>
        <v xml:space="preserve">http://slimages.macys.com/is/image/MCY/11774707 </v>
      </c>
    </row>
    <row r="445" spans="1:11" ht="24.75" x14ac:dyDescent="0.25">
      <c r="A445" s="4" t="s">
        <v>1428</v>
      </c>
      <c r="B445" s="2" t="s">
        <v>1429</v>
      </c>
      <c r="C445" s="5">
        <v>24.99</v>
      </c>
      <c r="D445" s="3" t="s">
        <v>1430</v>
      </c>
      <c r="E445" s="2" t="s">
        <v>26</v>
      </c>
      <c r="F445" s="6"/>
      <c r="G445" s="2" t="s">
        <v>1425</v>
      </c>
      <c r="H445" s="2" t="s">
        <v>1426</v>
      </c>
      <c r="I445" s="2" t="s">
        <v>19</v>
      </c>
      <c r="J445" s="2" t="s">
        <v>1431</v>
      </c>
      <c r="K445" s="7" t="str">
        <f>HYPERLINK("http://slimages.macys.com/is/image/MCY/10746131 ")</f>
        <v xml:space="preserve">http://slimages.macys.com/is/image/MCY/10746131 </v>
      </c>
    </row>
    <row r="446" spans="1:11" ht="36.75" x14ac:dyDescent="0.25">
      <c r="A446" s="4" t="s">
        <v>1439</v>
      </c>
      <c r="B446" s="2" t="s">
        <v>1440</v>
      </c>
      <c r="C446" s="5">
        <v>29.5</v>
      </c>
      <c r="D446" s="3" t="s">
        <v>1441</v>
      </c>
      <c r="E446" s="2" t="s">
        <v>15</v>
      </c>
      <c r="F446" s="6"/>
      <c r="G446" s="2" t="s">
        <v>206</v>
      </c>
      <c r="H446" s="2" t="s">
        <v>207</v>
      </c>
      <c r="I446" s="2" t="s">
        <v>19</v>
      </c>
      <c r="J446" s="2" t="s">
        <v>1442</v>
      </c>
      <c r="K446" s="7" t="str">
        <f>HYPERLINK("http://slimages.macys.com/is/image/MCY/9641918 ")</f>
        <v xml:space="preserve">http://slimages.macys.com/is/image/MCY/9641918 </v>
      </c>
    </row>
    <row r="447" spans="1:11" ht="24.75" x14ac:dyDescent="0.25">
      <c r="A447" s="4" t="s">
        <v>2739</v>
      </c>
      <c r="B447" s="2" t="s">
        <v>1444</v>
      </c>
      <c r="C447" s="5">
        <v>34.880000000000003</v>
      </c>
      <c r="D447" s="3">
        <v>100042376</v>
      </c>
      <c r="E447" s="2" t="s">
        <v>566</v>
      </c>
      <c r="F447" s="6" t="s">
        <v>22</v>
      </c>
      <c r="G447" s="2" t="s">
        <v>194</v>
      </c>
      <c r="H447" s="2" t="s">
        <v>195</v>
      </c>
      <c r="I447" s="2" t="s">
        <v>19</v>
      </c>
      <c r="J447" s="2" t="s">
        <v>353</v>
      </c>
      <c r="K447" s="7" t="str">
        <f>HYPERLINK("http://slimages.macys.com/is/image/MCY/11764758 ")</f>
        <v xml:space="preserve">http://slimages.macys.com/is/image/MCY/11764758 </v>
      </c>
    </row>
    <row r="448" spans="1:11" ht="24.75" x14ac:dyDescent="0.25">
      <c r="A448" s="4" t="s">
        <v>2740</v>
      </c>
      <c r="B448" s="2" t="s">
        <v>1444</v>
      </c>
      <c r="C448" s="5">
        <v>34.880000000000003</v>
      </c>
      <c r="D448" s="3">
        <v>100042376</v>
      </c>
      <c r="E448" s="2" t="s">
        <v>566</v>
      </c>
      <c r="F448" s="6" t="s">
        <v>141</v>
      </c>
      <c r="G448" s="2" t="s">
        <v>194</v>
      </c>
      <c r="H448" s="2" t="s">
        <v>195</v>
      </c>
      <c r="I448" s="2" t="s">
        <v>19</v>
      </c>
      <c r="J448" s="2" t="s">
        <v>353</v>
      </c>
      <c r="K448" s="7" t="str">
        <f>HYPERLINK("http://slimages.macys.com/is/image/MCY/11764758 ")</f>
        <v xml:space="preserve">http://slimages.macys.com/is/image/MCY/11764758 </v>
      </c>
    </row>
    <row r="449" spans="1:11" ht="24.75" x14ac:dyDescent="0.25">
      <c r="A449" s="4" t="s">
        <v>2741</v>
      </c>
      <c r="B449" s="2" t="s">
        <v>1444</v>
      </c>
      <c r="C449" s="5">
        <v>34.880000000000003</v>
      </c>
      <c r="D449" s="3">
        <v>100042376</v>
      </c>
      <c r="E449" s="2" t="s">
        <v>94</v>
      </c>
      <c r="F449" s="6" t="s">
        <v>27</v>
      </c>
      <c r="G449" s="2" t="s">
        <v>194</v>
      </c>
      <c r="H449" s="2" t="s">
        <v>195</v>
      </c>
      <c r="I449" s="2" t="s">
        <v>19</v>
      </c>
      <c r="J449" s="2" t="s">
        <v>353</v>
      </c>
      <c r="K449" s="7" t="str">
        <f>HYPERLINK("http://slimages.macys.com/is/image/MCY/11764758 ")</f>
        <v xml:space="preserve">http://slimages.macys.com/is/image/MCY/11764758 </v>
      </c>
    </row>
    <row r="450" spans="1:11" ht="24.75" x14ac:dyDescent="0.25">
      <c r="A450" s="4" t="s">
        <v>2742</v>
      </c>
      <c r="B450" s="2" t="s">
        <v>1444</v>
      </c>
      <c r="C450" s="5">
        <v>34.880000000000003</v>
      </c>
      <c r="D450" s="3">
        <v>100042376</v>
      </c>
      <c r="E450" s="2" t="s">
        <v>566</v>
      </c>
      <c r="F450" s="6" t="s">
        <v>27</v>
      </c>
      <c r="G450" s="2" t="s">
        <v>194</v>
      </c>
      <c r="H450" s="2" t="s">
        <v>195</v>
      </c>
      <c r="I450" s="2" t="s">
        <v>19</v>
      </c>
      <c r="J450" s="2" t="s">
        <v>353</v>
      </c>
      <c r="K450" s="7" t="str">
        <f>HYPERLINK("http://slimages.macys.com/is/image/MCY/11764758 ")</f>
        <v xml:space="preserve">http://slimages.macys.com/is/image/MCY/11764758 </v>
      </c>
    </row>
    <row r="451" spans="1:11" ht="24.75" x14ac:dyDescent="0.25">
      <c r="A451" s="4" t="s">
        <v>2743</v>
      </c>
      <c r="B451" s="2" t="s">
        <v>1416</v>
      </c>
      <c r="C451" s="5">
        <v>21.99</v>
      </c>
      <c r="D451" s="3" t="s">
        <v>1451</v>
      </c>
      <c r="E451" s="2" t="s">
        <v>79</v>
      </c>
      <c r="F451" s="6" t="s">
        <v>112</v>
      </c>
      <c r="G451" s="2" t="s">
        <v>194</v>
      </c>
      <c r="H451" s="2" t="s">
        <v>195</v>
      </c>
      <c r="I451" s="2" t="s">
        <v>19</v>
      </c>
      <c r="J451" s="2" t="s">
        <v>353</v>
      </c>
      <c r="K451" s="7" t="str">
        <f>HYPERLINK("http://slimages.macys.com/is/image/MCY/12033149 ")</f>
        <v xml:space="preserve">http://slimages.macys.com/is/image/MCY/12033149 </v>
      </c>
    </row>
    <row r="452" spans="1:11" ht="24.75" x14ac:dyDescent="0.25">
      <c r="A452" s="4" t="s">
        <v>2744</v>
      </c>
      <c r="B452" s="2" t="s">
        <v>1462</v>
      </c>
      <c r="C452" s="5">
        <v>37.130000000000003</v>
      </c>
      <c r="D452" s="3" t="s">
        <v>1463</v>
      </c>
      <c r="E452" s="2" t="s">
        <v>15</v>
      </c>
      <c r="F452" s="6" t="s">
        <v>154</v>
      </c>
      <c r="G452" s="2" t="s">
        <v>194</v>
      </c>
      <c r="H452" s="2" t="s">
        <v>1112</v>
      </c>
      <c r="I452" s="2" t="s">
        <v>19</v>
      </c>
      <c r="J452" s="2" t="s">
        <v>409</v>
      </c>
      <c r="K452" s="7" t="str">
        <f>HYPERLINK("http://slimages.macys.com/is/image/MCY/8106050 ")</f>
        <v xml:space="preserve">http://slimages.macys.com/is/image/MCY/8106050 </v>
      </c>
    </row>
    <row r="453" spans="1:11" ht="24.75" x14ac:dyDescent="0.25">
      <c r="A453" s="4" t="s">
        <v>2745</v>
      </c>
      <c r="B453" s="2" t="s">
        <v>2746</v>
      </c>
      <c r="C453" s="5">
        <v>29.5</v>
      </c>
      <c r="D453" s="3" t="s">
        <v>2747</v>
      </c>
      <c r="E453" s="2" t="s">
        <v>74</v>
      </c>
      <c r="F453" s="6"/>
      <c r="G453" s="2" t="s">
        <v>312</v>
      </c>
      <c r="H453" s="2" t="s">
        <v>195</v>
      </c>
      <c r="I453" s="2" t="s">
        <v>19</v>
      </c>
      <c r="J453" s="2" t="s">
        <v>1629</v>
      </c>
      <c r="K453" s="7" t="str">
        <f>HYPERLINK("http://slimages.macys.com/is/image/MCY/8604512 ")</f>
        <v xml:space="preserve">http://slimages.macys.com/is/image/MCY/8604512 </v>
      </c>
    </row>
    <row r="454" spans="1:11" ht="24.75" x14ac:dyDescent="0.25">
      <c r="A454" s="4" t="s">
        <v>2748</v>
      </c>
      <c r="B454" s="2" t="s">
        <v>1482</v>
      </c>
      <c r="C454" s="5">
        <v>29.63</v>
      </c>
      <c r="D454" s="3" t="s">
        <v>2749</v>
      </c>
      <c r="E454" s="2" t="s">
        <v>15</v>
      </c>
      <c r="F454" s="6" t="s">
        <v>154</v>
      </c>
      <c r="G454" s="2" t="s">
        <v>194</v>
      </c>
      <c r="H454" s="2" t="s">
        <v>195</v>
      </c>
      <c r="I454" s="2" t="s">
        <v>19</v>
      </c>
      <c r="J454" s="2" t="s">
        <v>1082</v>
      </c>
      <c r="K454" s="7" t="str">
        <f>HYPERLINK("http://slimages.macys.com/is/image/MCY/12404964 ")</f>
        <v xml:space="preserve">http://slimages.macys.com/is/image/MCY/12404964 </v>
      </c>
    </row>
    <row r="455" spans="1:11" ht="24.75" x14ac:dyDescent="0.25">
      <c r="A455" s="4" t="s">
        <v>2750</v>
      </c>
      <c r="B455" s="2" t="s">
        <v>1482</v>
      </c>
      <c r="C455" s="5">
        <v>29.63</v>
      </c>
      <c r="D455" s="3" t="s">
        <v>2749</v>
      </c>
      <c r="E455" s="2" t="s">
        <v>15</v>
      </c>
      <c r="F455" s="6" t="s">
        <v>181</v>
      </c>
      <c r="G455" s="2" t="s">
        <v>194</v>
      </c>
      <c r="H455" s="2" t="s">
        <v>195</v>
      </c>
      <c r="I455" s="2" t="s">
        <v>19</v>
      </c>
      <c r="J455" s="2" t="s">
        <v>1082</v>
      </c>
      <c r="K455" s="7" t="str">
        <f>HYPERLINK("http://slimages.macys.com/is/image/MCY/12404964 ")</f>
        <v xml:space="preserve">http://slimages.macys.com/is/image/MCY/12404964 </v>
      </c>
    </row>
    <row r="456" spans="1:11" ht="24.75" x14ac:dyDescent="0.25">
      <c r="A456" s="4" t="s">
        <v>2751</v>
      </c>
      <c r="B456" s="2" t="s">
        <v>1465</v>
      </c>
      <c r="C456" s="5">
        <v>34.880000000000003</v>
      </c>
      <c r="D456" s="3">
        <v>100054394</v>
      </c>
      <c r="E456" s="2" t="s">
        <v>566</v>
      </c>
      <c r="F456" s="6" t="s">
        <v>112</v>
      </c>
      <c r="G456" s="2" t="s">
        <v>194</v>
      </c>
      <c r="H456" s="2" t="s">
        <v>195</v>
      </c>
      <c r="I456" s="2" t="s">
        <v>19</v>
      </c>
      <c r="J456" s="2" t="s">
        <v>353</v>
      </c>
      <c r="K456" s="7" t="str">
        <f t="shared" ref="K456:K462" si="4">HYPERLINK("http://slimages.macys.com/is/image/MCY/12404668 ")</f>
        <v xml:space="preserve">http://slimages.macys.com/is/image/MCY/12404668 </v>
      </c>
    </row>
    <row r="457" spans="1:11" ht="24.75" x14ac:dyDescent="0.25">
      <c r="A457" s="4" t="s">
        <v>2752</v>
      </c>
      <c r="B457" s="2" t="s">
        <v>1465</v>
      </c>
      <c r="C457" s="5">
        <v>34.880000000000003</v>
      </c>
      <c r="D457" s="3">
        <v>100054394</v>
      </c>
      <c r="E457" s="2" t="s">
        <v>376</v>
      </c>
      <c r="F457" s="6" t="s">
        <v>16</v>
      </c>
      <c r="G457" s="2" t="s">
        <v>194</v>
      </c>
      <c r="H457" s="2" t="s">
        <v>195</v>
      </c>
      <c r="I457" s="2" t="s">
        <v>19</v>
      </c>
      <c r="J457" s="2" t="s">
        <v>353</v>
      </c>
      <c r="K457" s="7" t="str">
        <f t="shared" si="4"/>
        <v xml:space="preserve">http://slimages.macys.com/is/image/MCY/12404668 </v>
      </c>
    </row>
    <row r="458" spans="1:11" ht="24.75" x14ac:dyDescent="0.25">
      <c r="A458" s="4" t="s">
        <v>2753</v>
      </c>
      <c r="B458" s="2" t="s">
        <v>1465</v>
      </c>
      <c r="C458" s="5">
        <v>34.880000000000003</v>
      </c>
      <c r="D458" s="3">
        <v>100054394</v>
      </c>
      <c r="E458" s="2" t="s">
        <v>566</v>
      </c>
      <c r="F458" s="6" t="s">
        <v>22</v>
      </c>
      <c r="G458" s="2" t="s">
        <v>194</v>
      </c>
      <c r="H458" s="2" t="s">
        <v>195</v>
      </c>
      <c r="I458" s="2" t="s">
        <v>19</v>
      </c>
      <c r="J458" s="2" t="s">
        <v>353</v>
      </c>
      <c r="K458" s="7" t="str">
        <f t="shared" si="4"/>
        <v xml:space="preserve">http://slimages.macys.com/is/image/MCY/12404668 </v>
      </c>
    </row>
    <row r="459" spans="1:11" ht="24.75" x14ac:dyDescent="0.25">
      <c r="A459" s="4" t="s">
        <v>2754</v>
      </c>
      <c r="B459" s="2" t="s">
        <v>1465</v>
      </c>
      <c r="C459" s="5">
        <v>34.880000000000003</v>
      </c>
      <c r="D459" s="3">
        <v>100054394</v>
      </c>
      <c r="E459" s="2" t="s">
        <v>376</v>
      </c>
      <c r="F459" s="6" t="s">
        <v>112</v>
      </c>
      <c r="G459" s="2" t="s">
        <v>194</v>
      </c>
      <c r="H459" s="2" t="s">
        <v>195</v>
      </c>
      <c r="I459" s="2" t="s">
        <v>19</v>
      </c>
      <c r="J459" s="2" t="s">
        <v>353</v>
      </c>
      <c r="K459" s="7" t="str">
        <f t="shared" si="4"/>
        <v xml:space="preserve">http://slimages.macys.com/is/image/MCY/12404668 </v>
      </c>
    </row>
    <row r="460" spans="1:11" ht="24.75" x14ac:dyDescent="0.25">
      <c r="A460" s="4" t="s">
        <v>2755</v>
      </c>
      <c r="B460" s="2" t="s">
        <v>1465</v>
      </c>
      <c r="C460" s="5">
        <v>34.880000000000003</v>
      </c>
      <c r="D460" s="3">
        <v>100054394</v>
      </c>
      <c r="E460" s="2" t="s">
        <v>74</v>
      </c>
      <c r="F460" s="6" t="s">
        <v>16</v>
      </c>
      <c r="G460" s="2" t="s">
        <v>194</v>
      </c>
      <c r="H460" s="2" t="s">
        <v>195</v>
      </c>
      <c r="I460" s="2" t="s">
        <v>19</v>
      </c>
      <c r="J460" s="2" t="s">
        <v>353</v>
      </c>
      <c r="K460" s="7" t="str">
        <f t="shared" si="4"/>
        <v xml:space="preserve">http://slimages.macys.com/is/image/MCY/12404668 </v>
      </c>
    </row>
    <row r="461" spans="1:11" ht="24.75" x14ac:dyDescent="0.25">
      <c r="A461" s="4" t="s">
        <v>2756</v>
      </c>
      <c r="B461" s="2" t="s">
        <v>1465</v>
      </c>
      <c r="C461" s="5">
        <v>34.880000000000003</v>
      </c>
      <c r="D461" s="3">
        <v>100054394</v>
      </c>
      <c r="E461" s="2" t="s">
        <v>26</v>
      </c>
      <c r="F461" s="6" t="s">
        <v>22</v>
      </c>
      <c r="G461" s="2" t="s">
        <v>194</v>
      </c>
      <c r="H461" s="2" t="s">
        <v>195</v>
      </c>
      <c r="I461" s="2" t="s">
        <v>19</v>
      </c>
      <c r="J461" s="2" t="s">
        <v>353</v>
      </c>
      <c r="K461" s="7" t="str">
        <f t="shared" si="4"/>
        <v xml:space="preserve">http://slimages.macys.com/is/image/MCY/12404668 </v>
      </c>
    </row>
    <row r="462" spans="1:11" ht="24.75" x14ac:dyDescent="0.25">
      <c r="A462" s="4" t="s">
        <v>2757</v>
      </c>
      <c r="B462" s="2" t="s">
        <v>1465</v>
      </c>
      <c r="C462" s="5">
        <v>34.880000000000003</v>
      </c>
      <c r="D462" s="3">
        <v>100054394</v>
      </c>
      <c r="E462" s="2" t="s">
        <v>506</v>
      </c>
      <c r="F462" s="6" t="s">
        <v>27</v>
      </c>
      <c r="G462" s="2" t="s">
        <v>194</v>
      </c>
      <c r="H462" s="2" t="s">
        <v>195</v>
      </c>
      <c r="I462" s="2" t="s">
        <v>19</v>
      </c>
      <c r="J462" s="2" t="s">
        <v>353</v>
      </c>
      <c r="K462" s="7" t="str">
        <f t="shared" si="4"/>
        <v xml:space="preserve">http://slimages.macys.com/is/image/MCY/12404668 </v>
      </c>
    </row>
    <row r="463" spans="1:11" ht="24.75" x14ac:dyDescent="0.25">
      <c r="A463" s="4" t="s">
        <v>2758</v>
      </c>
      <c r="B463" s="2" t="s">
        <v>2759</v>
      </c>
      <c r="C463" s="5">
        <v>24.99</v>
      </c>
      <c r="D463" s="3" t="s">
        <v>2760</v>
      </c>
      <c r="E463" s="2" t="s">
        <v>15</v>
      </c>
      <c r="F463" s="6"/>
      <c r="G463" s="2" t="s">
        <v>1425</v>
      </c>
      <c r="H463" s="2" t="s">
        <v>1469</v>
      </c>
      <c r="I463" s="2" t="s">
        <v>19</v>
      </c>
      <c r="J463" s="2" t="s">
        <v>495</v>
      </c>
      <c r="K463" s="7" t="str">
        <f>HYPERLINK("http://slimages.macys.com/is/image/MCY/12650081 ")</f>
        <v xml:space="preserve">http://slimages.macys.com/is/image/MCY/12650081 </v>
      </c>
    </row>
    <row r="464" spans="1:11" ht="24.75" x14ac:dyDescent="0.25">
      <c r="A464" s="4" t="s">
        <v>2761</v>
      </c>
      <c r="B464" s="2" t="s">
        <v>1471</v>
      </c>
      <c r="C464" s="5">
        <v>26.99</v>
      </c>
      <c r="D464" s="3" t="s">
        <v>1472</v>
      </c>
      <c r="E464" s="2" t="s">
        <v>74</v>
      </c>
      <c r="F464" s="6" t="s">
        <v>22</v>
      </c>
      <c r="G464" s="2" t="s">
        <v>1473</v>
      </c>
      <c r="H464" s="2" t="s">
        <v>1426</v>
      </c>
      <c r="I464" s="2" t="s">
        <v>19</v>
      </c>
      <c r="J464" s="2" t="s">
        <v>353</v>
      </c>
      <c r="K464" s="7" t="str">
        <f>HYPERLINK("http://slimages.macys.com/is/image/MCY/11989623 ")</f>
        <v xml:space="preserve">http://slimages.macys.com/is/image/MCY/11989623 </v>
      </c>
    </row>
    <row r="465" spans="1:11" ht="24.75" x14ac:dyDescent="0.25">
      <c r="A465" s="4" t="s">
        <v>2762</v>
      </c>
      <c r="B465" s="2" t="s">
        <v>2763</v>
      </c>
      <c r="C465" s="5">
        <v>24.99</v>
      </c>
      <c r="D465" s="3" t="s">
        <v>2764</v>
      </c>
      <c r="E465" s="2" t="s">
        <v>74</v>
      </c>
      <c r="F465" s="6"/>
      <c r="G465" s="2" t="s">
        <v>1425</v>
      </c>
      <c r="H465" s="2" t="s">
        <v>1469</v>
      </c>
      <c r="I465" s="2" t="s">
        <v>19</v>
      </c>
      <c r="J465" s="2" t="s">
        <v>495</v>
      </c>
      <c r="K465" s="7" t="str">
        <f>HYPERLINK("http://slimages.macys.com/is/image/MCY/12144707 ")</f>
        <v xml:space="preserve">http://slimages.macys.com/is/image/MCY/12144707 </v>
      </c>
    </row>
    <row r="466" spans="1:11" ht="36.75" x14ac:dyDescent="0.25">
      <c r="A466" s="4" t="s">
        <v>2765</v>
      </c>
      <c r="B466" s="2" t="s">
        <v>1482</v>
      </c>
      <c r="C466" s="5">
        <v>29.63</v>
      </c>
      <c r="D466" s="3" t="s">
        <v>2766</v>
      </c>
      <c r="E466" s="2" t="s">
        <v>252</v>
      </c>
      <c r="F466" s="6"/>
      <c r="G466" s="2" t="s">
        <v>312</v>
      </c>
      <c r="H466" s="2" t="s">
        <v>195</v>
      </c>
      <c r="I466" s="2" t="s">
        <v>19</v>
      </c>
      <c r="J466" s="2" t="s">
        <v>2767</v>
      </c>
      <c r="K466" s="7" t="str">
        <f>HYPERLINK("http://slimages.macys.com/is/image/MCY/12734370 ")</f>
        <v xml:space="preserve">http://slimages.macys.com/is/image/MCY/12734370 </v>
      </c>
    </row>
    <row r="467" spans="1:11" ht="36.75" x14ac:dyDescent="0.25">
      <c r="A467" s="4" t="s">
        <v>2768</v>
      </c>
      <c r="B467" s="2" t="s">
        <v>1482</v>
      </c>
      <c r="C467" s="5">
        <v>29.63</v>
      </c>
      <c r="D467" s="3" t="s">
        <v>2766</v>
      </c>
      <c r="E467" s="2" t="s">
        <v>252</v>
      </c>
      <c r="F467" s="6"/>
      <c r="G467" s="2" t="s">
        <v>312</v>
      </c>
      <c r="H467" s="2" t="s">
        <v>195</v>
      </c>
      <c r="I467" s="2" t="s">
        <v>19</v>
      </c>
      <c r="J467" s="2" t="s">
        <v>2767</v>
      </c>
      <c r="K467" s="7" t="str">
        <f>HYPERLINK("http://slimages.macys.com/is/image/MCY/12734370 ")</f>
        <v xml:space="preserve">http://slimages.macys.com/is/image/MCY/12734370 </v>
      </c>
    </row>
    <row r="468" spans="1:11" ht="36.75" x14ac:dyDescent="0.25">
      <c r="A468" s="4" t="s">
        <v>2769</v>
      </c>
      <c r="B468" s="2" t="s">
        <v>1482</v>
      </c>
      <c r="C468" s="5">
        <v>29.63</v>
      </c>
      <c r="D468" s="3" t="s">
        <v>2766</v>
      </c>
      <c r="E468" s="2" t="s">
        <v>252</v>
      </c>
      <c r="F468" s="6"/>
      <c r="G468" s="2" t="s">
        <v>312</v>
      </c>
      <c r="H468" s="2" t="s">
        <v>195</v>
      </c>
      <c r="I468" s="2" t="s">
        <v>19</v>
      </c>
      <c r="J468" s="2" t="s">
        <v>2767</v>
      </c>
      <c r="K468" s="7" t="str">
        <f>HYPERLINK("http://slimages.macys.com/is/image/MCY/12734370 ")</f>
        <v xml:space="preserve">http://slimages.macys.com/is/image/MCY/12734370 </v>
      </c>
    </row>
    <row r="469" spans="1:11" x14ac:dyDescent="0.25">
      <c r="A469" s="4" t="s">
        <v>2770</v>
      </c>
      <c r="B469" s="2" t="s">
        <v>1486</v>
      </c>
      <c r="C469" s="5">
        <v>39.5</v>
      </c>
      <c r="D469" s="3" t="s">
        <v>1487</v>
      </c>
      <c r="E469" s="2" t="s">
        <v>752</v>
      </c>
      <c r="F469" s="6"/>
      <c r="G469" s="2" t="s">
        <v>206</v>
      </c>
      <c r="H469" s="2" t="s">
        <v>207</v>
      </c>
      <c r="I469" s="2" t="s">
        <v>19</v>
      </c>
      <c r="J469" s="2" t="s">
        <v>1488</v>
      </c>
      <c r="K469" s="7" t="str">
        <f>HYPERLINK("http://slimages.macys.com/is/image/MCY/12953073 ")</f>
        <v xml:space="preserve">http://slimages.macys.com/is/image/MCY/12953073 </v>
      </c>
    </row>
    <row r="470" spans="1:11" x14ac:dyDescent="0.25">
      <c r="A470" s="4" t="s">
        <v>2771</v>
      </c>
      <c r="B470" s="2" t="s">
        <v>1486</v>
      </c>
      <c r="C470" s="5">
        <v>39.5</v>
      </c>
      <c r="D470" s="3" t="s">
        <v>1487</v>
      </c>
      <c r="E470" s="2" t="s">
        <v>752</v>
      </c>
      <c r="F470" s="6" t="s">
        <v>219</v>
      </c>
      <c r="G470" s="2" t="s">
        <v>206</v>
      </c>
      <c r="H470" s="2" t="s">
        <v>207</v>
      </c>
      <c r="I470" s="2" t="s">
        <v>19</v>
      </c>
      <c r="J470" s="2" t="s">
        <v>1488</v>
      </c>
      <c r="K470" s="7" t="str">
        <f>HYPERLINK("http://slimages.macys.com/is/image/MCY/12953073 ")</f>
        <v xml:space="preserve">http://slimages.macys.com/is/image/MCY/12953073 </v>
      </c>
    </row>
    <row r="471" spans="1:11" ht="24.75" x14ac:dyDescent="0.25">
      <c r="A471" s="4" t="s">
        <v>2772</v>
      </c>
      <c r="B471" s="2" t="s">
        <v>2773</v>
      </c>
      <c r="C471" s="5">
        <v>34.5</v>
      </c>
      <c r="D471" s="3">
        <v>100053907</v>
      </c>
      <c r="E471" s="2" t="s">
        <v>89</v>
      </c>
      <c r="F471" s="6" t="s">
        <v>141</v>
      </c>
      <c r="G471" s="2" t="s">
        <v>228</v>
      </c>
      <c r="H471" s="2" t="s">
        <v>857</v>
      </c>
      <c r="I471" s="2" t="s">
        <v>19</v>
      </c>
      <c r="J471" s="2" t="s">
        <v>338</v>
      </c>
      <c r="K471" s="7" t="str">
        <f>HYPERLINK("http://slimages.macys.com/is/image/MCY/12143886 ")</f>
        <v xml:space="preserve">http://slimages.macys.com/is/image/MCY/12143886 </v>
      </c>
    </row>
    <row r="472" spans="1:11" ht="24.75" x14ac:dyDescent="0.25">
      <c r="A472" s="4" t="s">
        <v>2774</v>
      </c>
      <c r="B472" s="2" t="s">
        <v>2775</v>
      </c>
      <c r="C472" s="5">
        <v>34.5</v>
      </c>
      <c r="D472" s="3">
        <v>100053906</v>
      </c>
      <c r="E472" s="2" t="s">
        <v>89</v>
      </c>
      <c r="F472" s="6" t="s">
        <v>112</v>
      </c>
      <c r="G472" s="2" t="s">
        <v>228</v>
      </c>
      <c r="H472" s="2" t="s">
        <v>857</v>
      </c>
      <c r="I472" s="2" t="s">
        <v>19</v>
      </c>
      <c r="J472" s="2" t="s">
        <v>338</v>
      </c>
      <c r="K472" s="7" t="str">
        <f>HYPERLINK("http://slimages.macys.com/is/image/MCY/12143886 ")</f>
        <v xml:space="preserve">http://slimages.macys.com/is/image/MCY/12143886 </v>
      </c>
    </row>
    <row r="473" spans="1:11" ht="24.75" x14ac:dyDescent="0.25">
      <c r="A473" s="4" t="s">
        <v>2776</v>
      </c>
      <c r="B473" s="2" t="s">
        <v>2773</v>
      </c>
      <c r="C473" s="5">
        <v>34.5</v>
      </c>
      <c r="D473" s="3">
        <v>100053907</v>
      </c>
      <c r="E473" s="2" t="s">
        <v>89</v>
      </c>
      <c r="F473" s="6" t="s">
        <v>65</v>
      </c>
      <c r="G473" s="2" t="s">
        <v>228</v>
      </c>
      <c r="H473" s="2" t="s">
        <v>857</v>
      </c>
      <c r="I473" s="2" t="s">
        <v>19</v>
      </c>
      <c r="J473" s="2" t="s">
        <v>338</v>
      </c>
      <c r="K473" s="7" t="str">
        <f>HYPERLINK("http://slimages.macys.com/is/image/MCY/12143886 ")</f>
        <v xml:space="preserve">http://slimages.macys.com/is/image/MCY/12143886 </v>
      </c>
    </row>
    <row r="474" spans="1:11" ht="24.75" x14ac:dyDescent="0.25">
      <c r="A474" s="4" t="s">
        <v>2777</v>
      </c>
      <c r="B474" s="2" t="s">
        <v>948</v>
      </c>
      <c r="C474" s="5">
        <v>34.880000000000003</v>
      </c>
      <c r="D474" s="3">
        <v>100038962</v>
      </c>
      <c r="E474" s="2" t="s">
        <v>566</v>
      </c>
      <c r="F474" s="6" t="s">
        <v>112</v>
      </c>
      <c r="G474" s="2" t="s">
        <v>194</v>
      </c>
      <c r="H474" s="2" t="s">
        <v>195</v>
      </c>
      <c r="I474" s="2" t="s">
        <v>19</v>
      </c>
      <c r="J474" s="2" t="s">
        <v>353</v>
      </c>
      <c r="K474" s="7" t="str">
        <f>HYPERLINK("http://slimages.macys.com/is/image/MCY/10556587 ")</f>
        <v xml:space="preserve">http://slimages.macys.com/is/image/MCY/10556587 </v>
      </c>
    </row>
    <row r="475" spans="1:11" ht="24.75" x14ac:dyDescent="0.25">
      <c r="A475" s="4" t="s">
        <v>2778</v>
      </c>
      <c r="B475" s="2" t="s">
        <v>2779</v>
      </c>
      <c r="C475" s="5">
        <v>29.63</v>
      </c>
      <c r="D475" s="3" t="s">
        <v>2780</v>
      </c>
      <c r="E475" s="2" t="s">
        <v>125</v>
      </c>
      <c r="F475" s="6" t="s">
        <v>234</v>
      </c>
      <c r="G475" s="2" t="s">
        <v>194</v>
      </c>
      <c r="H475" s="2" t="s">
        <v>195</v>
      </c>
      <c r="I475" s="2" t="s">
        <v>19</v>
      </c>
      <c r="J475" s="2" t="s">
        <v>247</v>
      </c>
      <c r="K475" s="7" t="str">
        <f>HYPERLINK("http://slimages.macys.com/is/image/MCY/12279859 ")</f>
        <v xml:space="preserve">http://slimages.macys.com/is/image/MCY/12279859 </v>
      </c>
    </row>
    <row r="476" spans="1:11" ht="24.75" x14ac:dyDescent="0.25">
      <c r="A476" s="4" t="s">
        <v>2781</v>
      </c>
      <c r="B476" s="2" t="s">
        <v>948</v>
      </c>
      <c r="C476" s="5">
        <v>34.880000000000003</v>
      </c>
      <c r="D476" s="3">
        <v>100038962</v>
      </c>
      <c r="E476" s="2" t="s">
        <v>74</v>
      </c>
      <c r="F476" s="6" t="s">
        <v>65</v>
      </c>
      <c r="G476" s="2" t="s">
        <v>194</v>
      </c>
      <c r="H476" s="2" t="s">
        <v>195</v>
      </c>
      <c r="I476" s="2" t="s">
        <v>19</v>
      </c>
      <c r="J476" s="2" t="s">
        <v>353</v>
      </c>
      <c r="K476" s="7" t="str">
        <f>HYPERLINK("http://slimages.macys.com/is/image/MCY/11145019 ")</f>
        <v xml:space="preserve">http://slimages.macys.com/is/image/MCY/11145019 </v>
      </c>
    </row>
    <row r="477" spans="1:11" ht="24.75" x14ac:dyDescent="0.25">
      <c r="A477" s="4" t="s">
        <v>2782</v>
      </c>
      <c r="B477" s="2" t="s">
        <v>948</v>
      </c>
      <c r="C477" s="5">
        <v>34.880000000000003</v>
      </c>
      <c r="D477" s="3">
        <v>100038962</v>
      </c>
      <c r="E477" s="2" t="s">
        <v>74</v>
      </c>
      <c r="F477" s="6" t="s">
        <v>22</v>
      </c>
      <c r="G477" s="2" t="s">
        <v>194</v>
      </c>
      <c r="H477" s="2" t="s">
        <v>195</v>
      </c>
      <c r="I477" s="2" t="s">
        <v>19</v>
      </c>
      <c r="J477" s="2" t="s">
        <v>353</v>
      </c>
      <c r="K477" s="7" t="str">
        <f>HYPERLINK("http://slimages.macys.com/is/image/MCY/11145019 ")</f>
        <v xml:space="preserve">http://slimages.macys.com/is/image/MCY/11145019 </v>
      </c>
    </row>
    <row r="478" spans="1:11" ht="24.75" x14ac:dyDescent="0.25">
      <c r="A478" s="4" t="s">
        <v>2783</v>
      </c>
      <c r="B478" s="2" t="s">
        <v>948</v>
      </c>
      <c r="C478" s="5">
        <v>34.880000000000003</v>
      </c>
      <c r="D478" s="3">
        <v>100038962</v>
      </c>
      <c r="E478" s="2" t="s">
        <v>566</v>
      </c>
      <c r="F478" s="6" t="s">
        <v>16</v>
      </c>
      <c r="G478" s="2" t="s">
        <v>194</v>
      </c>
      <c r="H478" s="2" t="s">
        <v>195</v>
      </c>
      <c r="I478" s="2" t="s">
        <v>19</v>
      </c>
      <c r="J478" s="2" t="s">
        <v>353</v>
      </c>
      <c r="K478" s="7" t="str">
        <f>HYPERLINK("http://slimages.macys.com/is/image/MCY/10556587 ")</f>
        <v xml:space="preserve">http://slimages.macys.com/is/image/MCY/10556587 </v>
      </c>
    </row>
    <row r="479" spans="1:11" ht="24.75" x14ac:dyDescent="0.25">
      <c r="A479" s="4" t="s">
        <v>2784</v>
      </c>
      <c r="B479" s="2" t="s">
        <v>948</v>
      </c>
      <c r="C479" s="5">
        <v>34.880000000000003</v>
      </c>
      <c r="D479" s="3">
        <v>100038962</v>
      </c>
      <c r="E479" s="2" t="s">
        <v>566</v>
      </c>
      <c r="F479" s="6" t="s">
        <v>27</v>
      </c>
      <c r="G479" s="2" t="s">
        <v>194</v>
      </c>
      <c r="H479" s="2" t="s">
        <v>195</v>
      </c>
      <c r="I479" s="2" t="s">
        <v>19</v>
      </c>
      <c r="J479" s="2" t="s">
        <v>353</v>
      </c>
      <c r="K479" s="7" t="str">
        <f>HYPERLINK("http://slimages.macys.com/is/image/MCY/10556587 ")</f>
        <v xml:space="preserve">http://slimages.macys.com/is/image/MCY/10556587 </v>
      </c>
    </row>
    <row r="480" spans="1:11" ht="24.75" x14ac:dyDescent="0.25">
      <c r="A480" s="4" t="s">
        <v>1490</v>
      </c>
      <c r="B480" s="2" t="s">
        <v>1491</v>
      </c>
      <c r="C480" s="5">
        <v>37.130000000000003</v>
      </c>
      <c r="D480" s="3" t="s">
        <v>1492</v>
      </c>
      <c r="E480" s="2" t="s">
        <v>74</v>
      </c>
      <c r="F480" s="6"/>
      <c r="G480" s="2" t="s">
        <v>632</v>
      </c>
      <c r="H480" s="2" t="s">
        <v>285</v>
      </c>
      <c r="I480" s="2" t="s">
        <v>19</v>
      </c>
      <c r="J480" s="2" t="s">
        <v>160</v>
      </c>
      <c r="K480" s="7" t="str">
        <f>HYPERLINK("http://slimages.macys.com/is/image/MCY/12285258 ")</f>
        <v xml:space="preserve">http://slimages.macys.com/is/image/MCY/12285258 </v>
      </c>
    </row>
    <row r="481" spans="1:11" ht="24.75" x14ac:dyDescent="0.25">
      <c r="A481" s="4" t="s">
        <v>2785</v>
      </c>
      <c r="B481" s="2" t="s">
        <v>1491</v>
      </c>
      <c r="C481" s="5">
        <v>37.130000000000003</v>
      </c>
      <c r="D481" s="3" t="s">
        <v>1492</v>
      </c>
      <c r="E481" s="2" t="s">
        <v>74</v>
      </c>
      <c r="F481" s="6"/>
      <c r="G481" s="2" t="s">
        <v>632</v>
      </c>
      <c r="H481" s="2" t="s">
        <v>285</v>
      </c>
      <c r="I481" s="2" t="s">
        <v>19</v>
      </c>
      <c r="J481" s="2" t="s">
        <v>160</v>
      </c>
      <c r="K481" s="7" t="str">
        <f>HYPERLINK("http://slimages.macys.com/is/image/MCY/12285258 ")</f>
        <v xml:space="preserve">http://slimages.macys.com/is/image/MCY/12285258 </v>
      </c>
    </row>
    <row r="482" spans="1:11" ht="24.75" x14ac:dyDescent="0.25">
      <c r="A482" s="4" t="s">
        <v>2786</v>
      </c>
      <c r="B482" s="2" t="s">
        <v>1491</v>
      </c>
      <c r="C482" s="5">
        <v>37.130000000000003</v>
      </c>
      <c r="D482" s="3" t="s">
        <v>1492</v>
      </c>
      <c r="E482" s="2" t="s">
        <v>74</v>
      </c>
      <c r="F482" s="6" t="s">
        <v>187</v>
      </c>
      <c r="G482" s="2" t="s">
        <v>632</v>
      </c>
      <c r="H482" s="2" t="s">
        <v>285</v>
      </c>
      <c r="I482" s="2" t="s">
        <v>19</v>
      </c>
      <c r="J482" s="2" t="s">
        <v>160</v>
      </c>
      <c r="K482" s="7" t="str">
        <f>HYPERLINK("http://slimages.macys.com/is/image/MCY/12285258 ")</f>
        <v xml:space="preserve">http://slimages.macys.com/is/image/MCY/12285258 </v>
      </c>
    </row>
    <row r="483" spans="1:11" ht="24.75" x14ac:dyDescent="0.25">
      <c r="A483" s="4" t="s">
        <v>2787</v>
      </c>
      <c r="B483" s="2" t="s">
        <v>1529</v>
      </c>
      <c r="C483" s="5">
        <v>37.130000000000003</v>
      </c>
      <c r="D483" s="3">
        <v>100015461</v>
      </c>
      <c r="E483" s="2" t="s">
        <v>566</v>
      </c>
      <c r="F483" s="6" t="s">
        <v>58</v>
      </c>
      <c r="G483" s="2" t="s">
        <v>194</v>
      </c>
      <c r="H483" s="2" t="s">
        <v>195</v>
      </c>
      <c r="I483" s="2" t="s">
        <v>19</v>
      </c>
      <c r="J483" s="2" t="s">
        <v>353</v>
      </c>
      <c r="K483" s="7" t="str">
        <f>HYPERLINK("http://slimages.macys.com/is/image/MCY/9504674 ")</f>
        <v xml:space="preserve">http://slimages.macys.com/is/image/MCY/9504674 </v>
      </c>
    </row>
    <row r="484" spans="1:11" ht="24.75" x14ac:dyDescent="0.25">
      <c r="A484" s="4" t="s">
        <v>2788</v>
      </c>
      <c r="B484" s="2" t="s">
        <v>1508</v>
      </c>
      <c r="C484" s="5">
        <v>26.99</v>
      </c>
      <c r="D484" s="3" t="s">
        <v>2789</v>
      </c>
      <c r="E484" s="2" t="s">
        <v>417</v>
      </c>
      <c r="F484" s="6" t="s">
        <v>205</v>
      </c>
      <c r="G484" s="2" t="s">
        <v>1425</v>
      </c>
      <c r="H484" s="2" t="s">
        <v>1426</v>
      </c>
      <c r="I484" s="2" t="s">
        <v>19</v>
      </c>
      <c r="J484" s="2" t="s">
        <v>353</v>
      </c>
      <c r="K484" s="7" t="str">
        <f>HYPERLINK("http://slimages.macys.com/is/image/MCY/11029993 ")</f>
        <v xml:space="preserve">http://slimages.macys.com/is/image/MCY/11029993 </v>
      </c>
    </row>
    <row r="485" spans="1:11" ht="24.75" x14ac:dyDescent="0.25">
      <c r="A485" s="4" t="s">
        <v>2790</v>
      </c>
      <c r="B485" s="2" t="s">
        <v>1508</v>
      </c>
      <c r="C485" s="5">
        <v>26.99</v>
      </c>
      <c r="D485" s="3" t="s">
        <v>2789</v>
      </c>
      <c r="E485" s="2" t="s">
        <v>417</v>
      </c>
      <c r="F485" s="6" t="s">
        <v>238</v>
      </c>
      <c r="G485" s="2" t="s">
        <v>1425</v>
      </c>
      <c r="H485" s="2" t="s">
        <v>1426</v>
      </c>
      <c r="I485" s="2" t="s">
        <v>19</v>
      </c>
      <c r="J485" s="2" t="s">
        <v>353</v>
      </c>
      <c r="K485" s="7" t="str">
        <f>HYPERLINK("http://slimages.macys.com/is/image/MCY/11029993 ")</f>
        <v xml:space="preserve">http://slimages.macys.com/is/image/MCY/11029993 </v>
      </c>
    </row>
    <row r="486" spans="1:11" ht="24.75" x14ac:dyDescent="0.25">
      <c r="A486" s="4" t="s">
        <v>2791</v>
      </c>
      <c r="B486" s="2" t="s">
        <v>1508</v>
      </c>
      <c r="C486" s="5">
        <v>26.99</v>
      </c>
      <c r="D486" s="3" t="s">
        <v>2789</v>
      </c>
      <c r="E486" s="2" t="s">
        <v>417</v>
      </c>
      <c r="F486" s="6" t="s">
        <v>802</v>
      </c>
      <c r="G486" s="2" t="s">
        <v>1425</v>
      </c>
      <c r="H486" s="2" t="s">
        <v>1426</v>
      </c>
      <c r="I486" s="2" t="s">
        <v>19</v>
      </c>
      <c r="J486" s="2" t="s">
        <v>353</v>
      </c>
      <c r="K486" s="7" t="str">
        <f>HYPERLINK("http://slimages.macys.com/is/image/MCY/11029993 ")</f>
        <v xml:space="preserve">http://slimages.macys.com/is/image/MCY/11029993 </v>
      </c>
    </row>
    <row r="487" spans="1:11" ht="24.75" x14ac:dyDescent="0.25">
      <c r="A487" s="4" t="s">
        <v>2792</v>
      </c>
      <c r="B487" s="2" t="s">
        <v>1516</v>
      </c>
      <c r="C487" s="5">
        <v>24.99</v>
      </c>
      <c r="D487" s="3" t="s">
        <v>1517</v>
      </c>
      <c r="E487" s="2" t="s">
        <v>15</v>
      </c>
      <c r="F487" s="6" t="s">
        <v>22</v>
      </c>
      <c r="G487" s="2" t="s">
        <v>1473</v>
      </c>
      <c r="H487" s="2" t="s">
        <v>1426</v>
      </c>
      <c r="I487" s="2" t="s">
        <v>19</v>
      </c>
      <c r="J487" s="2" t="s">
        <v>353</v>
      </c>
      <c r="K487" s="7" t="str">
        <f>HYPERLINK("http://slimages.macys.com/is/image/MCY/11029826 ")</f>
        <v xml:space="preserve">http://slimages.macys.com/is/image/MCY/11029826 </v>
      </c>
    </row>
    <row r="488" spans="1:11" ht="24.75" x14ac:dyDescent="0.25">
      <c r="A488" s="4" t="s">
        <v>2793</v>
      </c>
      <c r="B488" s="2" t="s">
        <v>1516</v>
      </c>
      <c r="C488" s="5">
        <v>24.99</v>
      </c>
      <c r="D488" s="3" t="s">
        <v>1517</v>
      </c>
      <c r="E488" s="2" t="s">
        <v>998</v>
      </c>
      <c r="F488" s="6" t="s">
        <v>112</v>
      </c>
      <c r="G488" s="2" t="s">
        <v>1473</v>
      </c>
      <c r="H488" s="2" t="s">
        <v>1426</v>
      </c>
      <c r="I488" s="2" t="s">
        <v>19</v>
      </c>
      <c r="J488" s="2" t="s">
        <v>353</v>
      </c>
      <c r="K488" s="7" t="str">
        <f>HYPERLINK("http://slimages.macys.com/is/image/MCY/11029826 ")</f>
        <v xml:space="preserve">http://slimages.macys.com/is/image/MCY/11029826 </v>
      </c>
    </row>
    <row r="489" spans="1:11" ht="24.75" x14ac:dyDescent="0.25">
      <c r="A489" s="4" t="s">
        <v>1523</v>
      </c>
      <c r="B489" s="2" t="s">
        <v>1508</v>
      </c>
      <c r="C489" s="5">
        <v>26.99</v>
      </c>
      <c r="D489" s="3" t="s">
        <v>1509</v>
      </c>
      <c r="E489" s="2" t="s">
        <v>417</v>
      </c>
      <c r="F489" s="6" t="s">
        <v>112</v>
      </c>
      <c r="G489" s="2" t="s">
        <v>1473</v>
      </c>
      <c r="H489" s="2" t="s">
        <v>1426</v>
      </c>
      <c r="I489" s="2" t="s">
        <v>19</v>
      </c>
      <c r="J489" s="2" t="s">
        <v>353</v>
      </c>
      <c r="K489" s="7" t="str">
        <f>HYPERLINK("http://slimages.macys.com/is/image/MCY/11029993 ")</f>
        <v xml:space="preserve">http://slimages.macys.com/is/image/MCY/11029993 </v>
      </c>
    </row>
    <row r="490" spans="1:11" ht="24.75" x14ac:dyDescent="0.25">
      <c r="A490" s="4" t="s">
        <v>2794</v>
      </c>
      <c r="B490" s="2" t="s">
        <v>1508</v>
      </c>
      <c r="C490" s="5">
        <v>26.99</v>
      </c>
      <c r="D490" s="3" t="s">
        <v>1509</v>
      </c>
      <c r="E490" s="2" t="s">
        <v>417</v>
      </c>
      <c r="F490" s="6" t="s">
        <v>106</v>
      </c>
      <c r="G490" s="2" t="s">
        <v>1473</v>
      </c>
      <c r="H490" s="2" t="s">
        <v>1426</v>
      </c>
      <c r="I490" s="2" t="s">
        <v>19</v>
      </c>
      <c r="J490" s="2" t="s">
        <v>353</v>
      </c>
      <c r="K490" s="7" t="str">
        <f>HYPERLINK("http://slimages.macys.com/is/image/MCY/11029993 ")</f>
        <v xml:space="preserve">http://slimages.macys.com/is/image/MCY/11029993 </v>
      </c>
    </row>
    <row r="491" spans="1:11" ht="24.75" x14ac:dyDescent="0.25">
      <c r="A491" s="4" t="s">
        <v>2795</v>
      </c>
      <c r="B491" s="2" t="s">
        <v>1516</v>
      </c>
      <c r="C491" s="5">
        <v>24.99</v>
      </c>
      <c r="D491" s="3" t="s">
        <v>1517</v>
      </c>
      <c r="E491" s="2" t="s">
        <v>74</v>
      </c>
      <c r="F491" s="6" t="s">
        <v>112</v>
      </c>
      <c r="G491" s="2" t="s">
        <v>1473</v>
      </c>
      <c r="H491" s="2" t="s">
        <v>1426</v>
      </c>
      <c r="I491" s="2" t="s">
        <v>19</v>
      </c>
      <c r="J491" s="2" t="s">
        <v>353</v>
      </c>
      <c r="K491" s="7" t="str">
        <f>HYPERLINK("http://slimages.macys.com/is/image/MCY/11029826 ")</f>
        <v xml:space="preserve">http://slimages.macys.com/is/image/MCY/11029826 </v>
      </c>
    </row>
    <row r="492" spans="1:11" ht="24.75" x14ac:dyDescent="0.25">
      <c r="A492" s="4" t="s">
        <v>2796</v>
      </c>
      <c r="B492" s="2" t="s">
        <v>1508</v>
      </c>
      <c r="C492" s="5">
        <v>26.99</v>
      </c>
      <c r="D492" s="3" t="s">
        <v>1509</v>
      </c>
      <c r="E492" s="2" t="s">
        <v>417</v>
      </c>
      <c r="F492" s="6" t="s">
        <v>27</v>
      </c>
      <c r="G492" s="2" t="s">
        <v>1473</v>
      </c>
      <c r="H492" s="2" t="s">
        <v>1426</v>
      </c>
      <c r="I492" s="2" t="s">
        <v>19</v>
      </c>
      <c r="J492" s="2" t="s">
        <v>353</v>
      </c>
      <c r="K492" s="7" t="str">
        <f>HYPERLINK("http://slimages.macys.com/is/image/MCY/11029993 ")</f>
        <v xml:space="preserve">http://slimages.macys.com/is/image/MCY/11029993 </v>
      </c>
    </row>
    <row r="493" spans="1:11" ht="24.75" x14ac:dyDescent="0.25">
      <c r="A493" s="4" t="s">
        <v>2797</v>
      </c>
      <c r="B493" s="2" t="s">
        <v>1516</v>
      </c>
      <c r="C493" s="5">
        <v>24.99</v>
      </c>
      <c r="D493" s="3" t="s">
        <v>1517</v>
      </c>
      <c r="E493" s="2" t="s">
        <v>74</v>
      </c>
      <c r="F493" s="6" t="s">
        <v>22</v>
      </c>
      <c r="G493" s="2" t="s">
        <v>1473</v>
      </c>
      <c r="H493" s="2" t="s">
        <v>1426</v>
      </c>
      <c r="I493" s="2" t="s">
        <v>19</v>
      </c>
      <c r="J493" s="2" t="s">
        <v>353</v>
      </c>
      <c r="K493" s="7" t="str">
        <f>HYPERLINK("http://slimages.macys.com/is/image/MCY/11029826 ")</f>
        <v xml:space="preserve">http://slimages.macys.com/is/image/MCY/11029826 </v>
      </c>
    </row>
    <row r="494" spans="1:11" ht="24.75" x14ac:dyDescent="0.25">
      <c r="A494" s="4" t="s">
        <v>2798</v>
      </c>
      <c r="B494" s="2" t="s">
        <v>1516</v>
      </c>
      <c r="C494" s="5">
        <v>24.99</v>
      </c>
      <c r="D494" s="3" t="s">
        <v>1517</v>
      </c>
      <c r="E494" s="2" t="s">
        <v>998</v>
      </c>
      <c r="F494" s="6" t="s">
        <v>22</v>
      </c>
      <c r="G494" s="2" t="s">
        <v>1473</v>
      </c>
      <c r="H494" s="2" t="s">
        <v>1426</v>
      </c>
      <c r="I494" s="2" t="s">
        <v>19</v>
      </c>
      <c r="J494" s="2" t="s">
        <v>353</v>
      </c>
      <c r="K494" s="7" t="str">
        <f>HYPERLINK("http://slimages.macys.com/is/image/MCY/11029826 ")</f>
        <v xml:space="preserve">http://slimages.macys.com/is/image/MCY/11029826 </v>
      </c>
    </row>
    <row r="495" spans="1:11" ht="24.75" x14ac:dyDescent="0.25">
      <c r="A495" s="4" t="s">
        <v>2799</v>
      </c>
      <c r="B495" s="2" t="s">
        <v>1516</v>
      </c>
      <c r="C495" s="5">
        <v>24.99</v>
      </c>
      <c r="D495" s="3" t="s">
        <v>1517</v>
      </c>
      <c r="E495" s="2" t="s">
        <v>15</v>
      </c>
      <c r="F495" s="6" t="s">
        <v>141</v>
      </c>
      <c r="G495" s="2" t="s">
        <v>1473</v>
      </c>
      <c r="H495" s="2" t="s">
        <v>1426</v>
      </c>
      <c r="I495" s="2" t="s">
        <v>19</v>
      </c>
      <c r="J495" s="2" t="s">
        <v>353</v>
      </c>
      <c r="K495" s="7" t="str">
        <f>HYPERLINK("http://slimages.macys.com/is/image/MCY/11029826 ")</f>
        <v xml:space="preserve">http://slimages.macys.com/is/image/MCY/11029826 </v>
      </c>
    </row>
    <row r="496" spans="1:11" ht="24.75" x14ac:dyDescent="0.25">
      <c r="A496" s="4" t="s">
        <v>2800</v>
      </c>
      <c r="B496" s="2" t="s">
        <v>1516</v>
      </c>
      <c r="C496" s="5">
        <v>24.99</v>
      </c>
      <c r="D496" s="3" t="s">
        <v>1517</v>
      </c>
      <c r="E496" s="2" t="s">
        <v>998</v>
      </c>
      <c r="F496" s="6" t="s">
        <v>27</v>
      </c>
      <c r="G496" s="2" t="s">
        <v>1473</v>
      </c>
      <c r="H496" s="2" t="s">
        <v>1426</v>
      </c>
      <c r="I496" s="2" t="s">
        <v>19</v>
      </c>
      <c r="J496" s="2" t="s">
        <v>353</v>
      </c>
      <c r="K496" s="7" t="str">
        <f>HYPERLINK("http://slimages.macys.com/is/image/MCY/11029826 ")</f>
        <v xml:space="preserve">http://slimages.macys.com/is/image/MCY/11029826 </v>
      </c>
    </row>
    <row r="497" spans="1:11" ht="24.75" x14ac:dyDescent="0.25">
      <c r="A497" s="4" t="s">
        <v>2801</v>
      </c>
      <c r="B497" s="2" t="s">
        <v>1508</v>
      </c>
      <c r="C497" s="5">
        <v>26.99</v>
      </c>
      <c r="D497" s="3" t="s">
        <v>1509</v>
      </c>
      <c r="E497" s="2" t="s">
        <v>417</v>
      </c>
      <c r="F497" s="6" t="s">
        <v>22</v>
      </c>
      <c r="G497" s="2" t="s">
        <v>1473</v>
      </c>
      <c r="H497" s="2" t="s">
        <v>1426</v>
      </c>
      <c r="I497" s="2" t="s">
        <v>19</v>
      </c>
      <c r="J497" s="2" t="s">
        <v>353</v>
      </c>
      <c r="K497" s="7" t="str">
        <f>HYPERLINK("http://slimages.macys.com/is/image/MCY/11029993 ")</f>
        <v xml:space="preserve">http://slimages.macys.com/is/image/MCY/11029993 </v>
      </c>
    </row>
    <row r="498" spans="1:11" ht="24.75" x14ac:dyDescent="0.25">
      <c r="A498" s="4" t="s">
        <v>2802</v>
      </c>
      <c r="B498" s="2" t="s">
        <v>1508</v>
      </c>
      <c r="C498" s="5">
        <v>26.99</v>
      </c>
      <c r="D498" s="3" t="s">
        <v>2789</v>
      </c>
      <c r="E498" s="2" t="s">
        <v>417</v>
      </c>
      <c r="F498" s="6" t="s">
        <v>126</v>
      </c>
      <c r="G498" s="2" t="s">
        <v>1425</v>
      </c>
      <c r="H498" s="2" t="s">
        <v>1426</v>
      </c>
      <c r="I498" s="2" t="s">
        <v>19</v>
      </c>
      <c r="J498" s="2" t="s">
        <v>353</v>
      </c>
      <c r="K498" s="7" t="str">
        <f>HYPERLINK("http://slimages.macys.com/is/image/MCY/11029993 ")</f>
        <v xml:space="preserve">http://slimages.macys.com/is/image/MCY/11029993 </v>
      </c>
    </row>
    <row r="499" spans="1:11" ht="24.75" x14ac:dyDescent="0.25">
      <c r="A499" s="4" t="s">
        <v>2803</v>
      </c>
      <c r="B499" s="2" t="s">
        <v>2804</v>
      </c>
      <c r="C499" s="5">
        <v>24.99</v>
      </c>
      <c r="D499" s="3" t="s">
        <v>2805</v>
      </c>
      <c r="E499" s="2" t="s">
        <v>15</v>
      </c>
      <c r="F499" s="6" t="s">
        <v>205</v>
      </c>
      <c r="G499" s="2" t="s">
        <v>1425</v>
      </c>
      <c r="H499" s="2" t="s">
        <v>1426</v>
      </c>
      <c r="I499" s="2" t="s">
        <v>19</v>
      </c>
      <c r="J499" s="2" t="s">
        <v>353</v>
      </c>
      <c r="K499" s="7" t="str">
        <f>HYPERLINK("http://slimages.macys.com/is/image/MCY/11029945 ")</f>
        <v xml:space="preserve">http://slimages.macys.com/is/image/MCY/11029945 </v>
      </c>
    </row>
    <row r="500" spans="1:11" ht="24.75" x14ac:dyDescent="0.25">
      <c r="A500" s="4" t="s">
        <v>1504</v>
      </c>
      <c r="B500" s="2" t="s">
        <v>1505</v>
      </c>
      <c r="C500" s="5">
        <v>21.99</v>
      </c>
      <c r="D500" s="3" t="s">
        <v>1506</v>
      </c>
      <c r="E500" s="2" t="s">
        <v>15</v>
      </c>
      <c r="F500" s="6"/>
      <c r="G500" s="2" t="s">
        <v>1425</v>
      </c>
      <c r="H500" s="2" t="s">
        <v>1426</v>
      </c>
      <c r="I500" s="2" t="s">
        <v>19</v>
      </c>
      <c r="J500" s="2" t="s">
        <v>338</v>
      </c>
      <c r="K500" s="7" t="str">
        <f>HYPERLINK("http://slimages.macys.com/is/image/MCY/11456803 ")</f>
        <v xml:space="preserve">http://slimages.macys.com/is/image/MCY/11456803 </v>
      </c>
    </row>
    <row r="501" spans="1:11" ht="24.75" x14ac:dyDescent="0.25">
      <c r="A501" s="4" t="s">
        <v>2806</v>
      </c>
      <c r="B501" s="2" t="s">
        <v>1627</v>
      </c>
      <c r="C501" s="5">
        <v>25.88</v>
      </c>
      <c r="D501" s="3" t="s">
        <v>2807</v>
      </c>
      <c r="E501" s="2" t="s">
        <v>506</v>
      </c>
      <c r="F501" s="6" t="s">
        <v>181</v>
      </c>
      <c r="G501" s="2" t="s">
        <v>194</v>
      </c>
      <c r="H501" s="2" t="s">
        <v>195</v>
      </c>
      <c r="I501" s="2" t="s">
        <v>19</v>
      </c>
      <c r="J501" s="2" t="s">
        <v>1629</v>
      </c>
      <c r="K501" s="7" t="str">
        <f>HYPERLINK("http://slimages.macys.com/is/image/MCY/3276758 ")</f>
        <v xml:space="preserve">http://slimages.macys.com/is/image/MCY/3276758 </v>
      </c>
    </row>
    <row r="502" spans="1:11" ht="24.75" x14ac:dyDescent="0.25">
      <c r="A502" s="4" t="s">
        <v>2808</v>
      </c>
      <c r="B502" s="2" t="s">
        <v>1526</v>
      </c>
      <c r="C502" s="5">
        <v>27.65</v>
      </c>
      <c r="D502" s="3" t="s">
        <v>1527</v>
      </c>
      <c r="E502" s="2" t="s">
        <v>257</v>
      </c>
      <c r="F502" s="6" t="s">
        <v>154</v>
      </c>
      <c r="G502" s="2" t="s">
        <v>182</v>
      </c>
      <c r="H502" s="2" t="s">
        <v>183</v>
      </c>
      <c r="I502" s="2" t="s">
        <v>19</v>
      </c>
      <c r="J502" s="2" t="s">
        <v>247</v>
      </c>
      <c r="K502" s="7" t="str">
        <f>HYPERLINK("http://slimages.macys.com/is/image/MCY/12851875 ")</f>
        <v xml:space="preserve">http://slimages.macys.com/is/image/MCY/12851875 </v>
      </c>
    </row>
    <row r="503" spans="1:11" ht="24.75" x14ac:dyDescent="0.25">
      <c r="A503" s="4" t="s">
        <v>2809</v>
      </c>
      <c r="B503" s="2" t="s">
        <v>2779</v>
      </c>
      <c r="C503" s="5">
        <v>29.63</v>
      </c>
      <c r="D503" s="3" t="s">
        <v>2810</v>
      </c>
      <c r="E503" s="2" t="s">
        <v>15</v>
      </c>
      <c r="F503" s="6"/>
      <c r="G503" s="2" t="s">
        <v>312</v>
      </c>
      <c r="H503" s="2" t="s">
        <v>195</v>
      </c>
      <c r="I503" s="2" t="s">
        <v>19</v>
      </c>
      <c r="J503" s="2" t="s">
        <v>247</v>
      </c>
      <c r="K503" s="7" t="str">
        <f>HYPERLINK("http://slimages.macys.com/is/image/MCY/12279859 ")</f>
        <v xml:space="preserve">http://slimages.macys.com/is/image/MCY/12279859 </v>
      </c>
    </row>
    <row r="504" spans="1:11" ht="24.75" x14ac:dyDescent="0.25">
      <c r="A504" s="4" t="s">
        <v>1528</v>
      </c>
      <c r="B504" s="2" t="s">
        <v>1529</v>
      </c>
      <c r="C504" s="5">
        <v>37.130000000000003</v>
      </c>
      <c r="D504" s="3" t="s">
        <v>1530</v>
      </c>
      <c r="E504" s="2" t="s">
        <v>94</v>
      </c>
      <c r="F504" s="6" t="s">
        <v>934</v>
      </c>
      <c r="G504" s="2" t="s">
        <v>312</v>
      </c>
      <c r="H504" s="2" t="s">
        <v>195</v>
      </c>
      <c r="I504" s="2" t="s">
        <v>19</v>
      </c>
      <c r="J504" s="2" t="s">
        <v>353</v>
      </c>
      <c r="K504" s="7" t="str">
        <f>HYPERLINK("http://slimages.macys.com/is/image/MCY/11938040 ")</f>
        <v xml:space="preserve">http://slimages.macys.com/is/image/MCY/11938040 </v>
      </c>
    </row>
    <row r="505" spans="1:11" ht="24.75" x14ac:dyDescent="0.25">
      <c r="A505" s="4" t="s">
        <v>2811</v>
      </c>
      <c r="B505" s="2" t="s">
        <v>2812</v>
      </c>
      <c r="C505" s="5">
        <v>34.5</v>
      </c>
      <c r="D505" s="3">
        <v>100019421</v>
      </c>
      <c r="E505" s="2" t="s">
        <v>417</v>
      </c>
      <c r="F505" s="6" t="s">
        <v>65</v>
      </c>
      <c r="G505" s="2" t="s">
        <v>228</v>
      </c>
      <c r="H505" s="2" t="s">
        <v>229</v>
      </c>
      <c r="I505" s="2" t="s">
        <v>19</v>
      </c>
      <c r="J505" s="2" t="s">
        <v>353</v>
      </c>
      <c r="K505" s="7" t="str">
        <f>HYPERLINK("http://slimages.macys.com/is/image/MCY/11936020 ")</f>
        <v xml:space="preserve">http://slimages.macys.com/is/image/MCY/11936020 </v>
      </c>
    </row>
    <row r="506" spans="1:11" ht="24.75" x14ac:dyDescent="0.25">
      <c r="A506" s="4" t="s">
        <v>2813</v>
      </c>
      <c r="B506" s="2" t="s">
        <v>1539</v>
      </c>
      <c r="C506" s="5">
        <v>26.99</v>
      </c>
      <c r="D506" s="3" t="s">
        <v>1548</v>
      </c>
      <c r="E506" s="2" t="s">
        <v>252</v>
      </c>
      <c r="F506" s="6" t="s">
        <v>802</v>
      </c>
      <c r="G506" s="2" t="s">
        <v>1425</v>
      </c>
      <c r="H506" s="2" t="s">
        <v>1426</v>
      </c>
      <c r="I506" s="2" t="s">
        <v>19</v>
      </c>
      <c r="J506" s="2" t="s">
        <v>353</v>
      </c>
      <c r="K506" s="7" t="str">
        <f>HYPERLINK("http://slimages.macys.com/is/image/MCY/11092539 ")</f>
        <v xml:space="preserve">http://slimages.macys.com/is/image/MCY/11092539 </v>
      </c>
    </row>
    <row r="507" spans="1:11" ht="24.75" x14ac:dyDescent="0.25">
      <c r="A507" s="4" t="s">
        <v>2814</v>
      </c>
      <c r="B507" s="2" t="s">
        <v>1539</v>
      </c>
      <c r="C507" s="5">
        <v>26.99</v>
      </c>
      <c r="D507" s="3" t="s">
        <v>1548</v>
      </c>
      <c r="E507" s="2" t="s">
        <v>252</v>
      </c>
      <c r="F507" s="6" t="s">
        <v>205</v>
      </c>
      <c r="G507" s="2" t="s">
        <v>1425</v>
      </c>
      <c r="H507" s="2" t="s">
        <v>1426</v>
      </c>
      <c r="I507" s="2" t="s">
        <v>19</v>
      </c>
      <c r="J507" s="2" t="s">
        <v>353</v>
      </c>
      <c r="K507" s="7" t="str">
        <f>HYPERLINK("http://slimages.macys.com/is/image/MCY/11092539 ")</f>
        <v xml:space="preserve">http://slimages.macys.com/is/image/MCY/11092539 </v>
      </c>
    </row>
    <row r="508" spans="1:11" ht="24.75" x14ac:dyDescent="0.25">
      <c r="A508" s="4" t="s">
        <v>1547</v>
      </c>
      <c r="B508" s="2" t="s">
        <v>1539</v>
      </c>
      <c r="C508" s="5">
        <v>26.99</v>
      </c>
      <c r="D508" s="3" t="s">
        <v>1548</v>
      </c>
      <c r="E508" s="2" t="s">
        <v>998</v>
      </c>
      <c r="F508" s="6" t="s">
        <v>934</v>
      </c>
      <c r="G508" s="2" t="s">
        <v>1425</v>
      </c>
      <c r="H508" s="2" t="s">
        <v>1426</v>
      </c>
      <c r="I508" s="2" t="s">
        <v>19</v>
      </c>
      <c r="J508" s="2" t="s">
        <v>353</v>
      </c>
      <c r="K508" s="7" t="str">
        <f>HYPERLINK("http://slimages.macys.com/is/image/MCY/11092539 ")</f>
        <v xml:space="preserve">http://slimages.macys.com/is/image/MCY/11092539 </v>
      </c>
    </row>
    <row r="509" spans="1:11" ht="24.75" x14ac:dyDescent="0.25">
      <c r="A509" s="4" t="s">
        <v>1549</v>
      </c>
      <c r="B509" s="2" t="s">
        <v>1539</v>
      </c>
      <c r="C509" s="5">
        <v>26.99</v>
      </c>
      <c r="D509" s="3" t="s">
        <v>1548</v>
      </c>
      <c r="E509" s="2" t="s">
        <v>998</v>
      </c>
      <c r="F509" s="6" t="s">
        <v>205</v>
      </c>
      <c r="G509" s="2" t="s">
        <v>1425</v>
      </c>
      <c r="H509" s="2" t="s">
        <v>1426</v>
      </c>
      <c r="I509" s="2" t="s">
        <v>19</v>
      </c>
      <c r="J509" s="2" t="s">
        <v>353</v>
      </c>
      <c r="K509" s="7" t="str">
        <f>HYPERLINK("http://slimages.macys.com/is/image/MCY/11092539 ")</f>
        <v xml:space="preserve">http://slimages.macys.com/is/image/MCY/11092539 </v>
      </c>
    </row>
    <row r="510" spans="1:11" ht="24.75" x14ac:dyDescent="0.25">
      <c r="A510" s="4" t="s">
        <v>2815</v>
      </c>
      <c r="B510" s="2" t="s">
        <v>1539</v>
      </c>
      <c r="C510" s="5">
        <v>26.99</v>
      </c>
      <c r="D510" s="3" t="s">
        <v>1540</v>
      </c>
      <c r="E510" s="2" t="s">
        <v>1234</v>
      </c>
      <c r="F510" s="6" t="s">
        <v>58</v>
      </c>
      <c r="G510" s="2" t="s">
        <v>1473</v>
      </c>
      <c r="H510" s="2" t="s">
        <v>1426</v>
      </c>
      <c r="I510" s="2" t="s">
        <v>19</v>
      </c>
      <c r="J510" s="2" t="s">
        <v>353</v>
      </c>
      <c r="K510" s="7" t="str">
        <f t="shared" ref="K510:K532" si="5">HYPERLINK("http://slimages.macys.com/is/image/MCY/10786732 ")</f>
        <v xml:space="preserve">http://slimages.macys.com/is/image/MCY/10786732 </v>
      </c>
    </row>
    <row r="511" spans="1:11" ht="24.75" x14ac:dyDescent="0.25">
      <c r="A511" s="4" t="s">
        <v>2816</v>
      </c>
      <c r="B511" s="2" t="s">
        <v>1539</v>
      </c>
      <c r="C511" s="5">
        <v>26.99</v>
      </c>
      <c r="D511" s="3" t="s">
        <v>1540</v>
      </c>
      <c r="E511" s="2" t="s">
        <v>70</v>
      </c>
      <c r="F511" s="6" t="s">
        <v>106</v>
      </c>
      <c r="G511" s="2" t="s">
        <v>1473</v>
      </c>
      <c r="H511" s="2" t="s">
        <v>1426</v>
      </c>
      <c r="I511" s="2" t="s">
        <v>19</v>
      </c>
      <c r="J511" s="2" t="s">
        <v>353</v>
      </c>
      <c r="K511" s="7" t="str">
        <f t="shared" si="5"/>
        <v xml:space="preserve">http://slimages.macys.com/is/image/MCY/10786732 </v>
      </c>
    </row>
    <row r="512" spans="1:11" ht="24.75" x14ac:dyDescent="0.25">
      <c r="A512" s="4" t="s">
        <v>2817</v>
      </c>
      <c r="B512" s="2" t="s">
        <v>1539</v>
      </c>
      <c r="C512" s="5">
        <v>26.99</v>
      </c>
      <c r="D512" s="3" t="s">
        <v>1540</v>
      </c>
      <c r="E512" s="2" t="s">
        <v>1234</v>
      </c>
      <c r="F512" s="6" t="s">
        <v>112</v>
      </c>
      <c r="G512" s="2" t="s">
        <v>1473</v>
      </c>
      <c r="H512" s="2" t="s">
        <v>1426</v>
      </c>
      <c r="I512" s="2" t="s">
        <v>19</v>
      </c>
      <c r="J512" s="2" t="s">
        <v>353</v>
      </c>
      <c r="K512" s="7" t="str">
        <f t="shared" si="5"/>
        <v xml:space="preserve">http://slimages.macys.com/is/image/MCY/10786732 </v>
      </c>
    </row>
    <row r="513" spans="1:11" ht="24.75" x14ac:dyDescent="0.25">
      <c r="A513" s="4" t="s">
        <v>1554</v>
      </c>
      <c r="B513" s="2" t="s">
        <v>1539</v>
      </c>
      <c r="C513" s="5">
        <v>26.99</v>
      </c>
      <c r="D513" s="3" t="s">
        <v>1540</v>
      </c>
      <c r="E513" s="2" t="s">
        <v>70</v>
      </c>
      <c r="F513" s="6" t="s">
        <v>141</v>
      </c>
      <c r="G513" s="2" t="s">
        <v>1473</v>
      </c>
      <c r="H513" s="2" t="s">
        <v>1426</v>
      </c>
      <c r="I513" s="2" t="s">
        <v>19</v>
      </c>
      <c r="J513" s="2" t="s">
        <v>353</v>
      </c>
      <c r="K513" s="7" t="str">
        <f t="shared" si="5"/>
        <v xml:space="preserve">http://slimages.macys.com/is/image/MCY/10786732 </v>
      </c>
    </row>
    <row r="514" spans="1:11" ht="24.75" x14ac:dyDescent="0.25">
      <c r="A514" s="4" t="s">
        <v>1552</v>
      </c>
      <c r="B514" s="2" t="s">
        <v>1539</v>
      </c>
      <c r="C514" s="5">
        <v>26.99</v>
      </c>
      <c r="D514" s="3" t="s">
        <v>1540</v>
      </c>
      <c r="E514" s="2" t="s">
        <v>998</v>
      </c>
      <c r="F514" s="6" t="s">
        <v>22</v>
      </c>
      <c r="G514" s="2" t="s">
        <v>1473</v>
      </c>
      <c r="H514" s="2" t="s">
        <v>1426</v>
      </c>
      <c r="I514" s="2" t="s">
        <v>19</v>
      </c>
      <c r="J514" s="2" t="s">
        <v>353</v>
      </c>
      <c r="K514" s="7" t="str">
        <f t="shared" si="5"/>
        <v xml:space="preserve">http://slimages.macys.com/is/image/MCY/10786732 </v>
      </c>
    </row>
    <row r="515" spans="1:11" ht="24.75" x14ac:dyDescent="0.25">
      <c r="A515" s="4" t="s">
        <v>2818</v>
      </c>
      <c r="B515" s="2" t="s">
        <v>1539</v>
      </c>
      <c r="C515" s="5">
        <v>26.99</v>
      </c>
      <c r="D515" s="3" t="s">
        <v>1540</v>
      </c>
      <c r="E515" s="2" t="s">
        <v>70</v>
      </c>
      <c r="F515" s="6" t="s">
        <v>22</v>
      </c>
      <c r="G515" s="2" t="s">
        <v>1473</v>
      </c>
      <c r="H515" s="2" t="s">
        <v>1426</v>
      </c>
      <c r="I515" s="2" t="s">
        <v>19</v>
      </c>
      <c r="J515" s="2" t="s">
        <v>353</v>
      </c>
      <c r="K515" s="7" t="str">
        <f t="shared" si="5"/>
        <v xml:space="preserve">http://slimages.macys.com/is/image/MCY/10786732 </v>
      </c>
    </row>
    <row r="516" spans="1:11" ht="24.75" x14ac:dyDescent="0.25">
      <c r="A516" s="4" t="s">
        <v>2819</v>
      </c>
      <c r="B516" s="2" t="s">
        <v>1539</v>
      </c>
      <c r="C516" s="5">
        <v>26.99</v>
      </c>
      <c r="D516" s="3" t="s">
        <v>1540</v>
      </c>
      <c r="E516" s="2" t="s">
        <v>74</v>
      </c>
      <c r="F516" s="6" t="s">
        <v>22</v>
      </c>
      <c r="G516" s="2" t="s">
        <v>1473</v>
      </c>
      <c r="H516" s="2" t="s">
        <v>1426</v>
      </c>
      <c r="I516" s="2" t="s">
        <v>19</v>
      </c>
      <c r="J516" s="2" t="s">
        <v>353</v>
      </c>
      <c r="K516" s="7" t="str">
        <f t="shared" si="5"/>
        <v xml:space="preserve">http://slimages.macys.com/is/image/MCY/10786732 </v>
      </c>
    </row>
    <row r="517" spans="1:11" ht="24.75" x14ac:dyDescent="0.25">
      <c r="A517" s="4" t="s">
        <v>2820</v>
      </c>
      <c r="B517" s="2" t="s">
        <v>1539</v>
      </c>
      <c r="C517" s="5">
        <v>26.99</v>
      </c>
      <c r="D517" s="3" t="s">
        <v>1540</v>
      </c>
      <c r="E517" s="2" t="s">
        <v>998</v>
      </c>
      <c r="F517" s="6" t="s">
        <v>16</v>
      </c>
      <c r="G517" s="2" t="s">
        <v>1473</v>
      </c>
      <c r="H517" s="2" t="s">
        <v>1426</v>
      </c>
      <c r="I517" s="2" t="s">
        <v>19</v>
      </c>
      <c r="J517" s="2" t="s">
        <v>353</v>
      </c>
      <c r="K517" s="7" t="str">
        <f t="shared" si="5"/>
        <v xml:space="preserve">http://slimages.macys.com/is/image/MCY/10786732 </v>
      </c>
    </row>
    <row r="518" spans="1:11" ht="24.75" x14ac:dyDescent="0.25">
      <c r="A518" s="4" t="s">
        <v>2821</v>
      </c>
      <c r="B518" s="2" t="s">
        <v>1539</v>
      </c>
      <c r="C518" s="5">
        <v>26.99</v>
      </c>
      <c r="D518" s="3" t="s">
        <v>1540</v>
      </c>
      <c r="E518" s="2" t="s">
        <v>998</v>
      </c>
      <c r="F518" s="6" t="s">
        <v>112</v>
      </c>
      <c r="G518" s="2" t="s">
        <v>1473</v>
      </c>
      <c r="H518" s="2" t="s">
        <v>1426</v>
      </c>
      <c r="I518" s="2" t="s">
        <v>19</v>
      </c>
      <c r="J518" s="2" t="s">
        <v>353</v>
      </c>
      <c r="K518" s="7" t="str">
        <f t="shared" si="5"/>
        <v xml:space="preserve">http://slimages.macys.com/is/image/MCY/10786732 </v>
      </c>
    </row>
    <row r="519" spans="1:11" ht="24.75" x14ac:dyDescent="0.25">
      <c r="A519" s="4" t="s">
        <v>2822</v>
      </c>
      <c r="B519" s="2" t="s">
        <v>1539</v>
      </c>
      <c r="C519" s="5">
        <v>26.99</v>
      </c>
      <c r="D519" s="3" t="s">
        <v>1540</v>
      </c>
      <c r="E519" s="2" t="s">
        <v>252</v>
      </c>
      <c r="F519" s="6" t="s">
        <v>27</v>
      </c>
      <c r="G519" s="2" t="s">
        <v>1473</v>
      </c>
      <c r="H519" s="2" t="s">
        <v>1426</v>
      </c>
      <c r="I519" s="2" t="s">
        <v>19</v>
      </c>
      <c r="J519" s="2" t="s">
        <v>353</v>
      </c>
      <c r="K519" s="7" t="str">
        <f t="shared" si="5"/>
        <v xml:space="preserve">http://slimages.macys.com/is/image/MCY/10786732 </v>
      </c>
    </row>
    <row r="520" spans="1:11" ht="24.75" x14ac:dyDescent="0.25">
      <c r="A520" s="4" t="s">
        <v>2823</v>
      </c>
      <c r="B520" s="2" t="s">
        <v>1539</v>
      </c>
      <c r="C520" s="5">
        <v>26.99</v>
      </c>
      <c r="D520" s="3" t="s">
        <v>1540</v>
      </c>
      <c r="E520" s="2" t="s">
        <v>998</v>
      </c>
      <c r="F520" s="6" t="s">
        <v>106</v>
      </c>
      <c r="G520" s="2" t="s">
        <v>1473</v>
      </c>
      <c r="H520" s="2" t="s">
        <v>1426</v>
      </c>
      <c r="I520" s="2" t="s">
        <v>19</v>
      </c>
      <c r="J520" s="2" t="s">
        <v>353</v>
      </c>
      <c r="K520" s="7" t="str">
        <f t="shared" si="5"/>
        <v xml:space="preserve">http://slimages.macys.com/is/image/MCY/10786732 </v>
      </c>
    </row>
    <row r="521" spans="1:11" ht="24.75" x14ac:dyDescent="0.25">
      <c r="A521" s="4" t="s">
        <v>1553</v>
      </c>
      <c r="B521" s="2" t="s">
        <v>1539</v>
      </c>
      <c r="C521" s="5">
        <v>26.99</v>
      </c>
      <c r="D521" s="3" t="s">
        <v>1540</v>
      </c>
      <c r="E521" s="2" t="s">
        <v>15</v>
      </c>
      <c r="F521" s="6" t="s">
        <v>16</v>
      </c>
      <c r="G521" s="2" t="s">
        <v>1473</v>
      </c>
      <c r="H521" s="2" t="s">
        <v>1426</v>
      </c>
      <c r="I521" s="2" t="s">
        <v>19</v>
      </c>
      <c r="J521" s="2" t="s">
        <v>353</v>
      </c>
      <c r="K521" s="7" t="str">
        <f t="shared" si="5"/>
        <v xml:space="preserve">http://slimages.macys.com/is/image/MCY/10786732 </v>
      </c>
    </row>
    <row r="522" spans="1:11" ht="24.75" x14ac:dyDescent="0.25">
      <c r="A522" s="4" t="s">
        <v>2824</v>
      </c>
      <c r="B522" s="2" t="s">
        <v>1539</v>
      </c>
      <c r="C522" s="5">
        <v>26.99</v>
      </c>
      <c r="D522" s="3" t="s">
        <v>1540</v>
      </c>
      <c r="E522" s="2" t="s">
        <v>1234</v>
      </c>
      <c r="F522" s="6" t="s">
        <v>27</v>
      </c>
      <c r="G522" s="2" t="s">
        <v>1473</v>
      </c>
      <c r="H522" s="2" t="s">
        <v>1426</v>
      </c>
      <c r="I522" s="2" t="s">
        <v>19</v>
      </c>
      <c r="J522" s="2" t="s">
        <v>353</v>
      </c>
      <c r="K522" s="7" t="str">
        <f t="shared" si="5"/>
        <v xml:space="preserve">http://slimages.macys.com/is/image/MCY/10786732 </v>
      </c>
    </row>
    <row r="523" spans="1:11" ht="24.75" x14ac:dyDescent="0.25">
      <c r="A523" s="4" t="s">
        <v>2825</v>
      </c>
      <c r="B523" s="2" t="s">
        <v>1539</v>
      </c>
      <c r="C523" s="5">
        <v>26.99</v>
      </c>
      <c r="D523" s="3" t="s">
        <v>1540</v>
      </c>
      <c r="E523" s="2" t="s">
        <v>252</v>
      </c>
      <c r="F523" s="6" t="s">
        <v>22</v>
      </c>
      <c r="G523" s="2" t="s">
        <v>1473</v>
      </c>
      <c r="H523" s="2" t="s">
        <v>1426</v>
      </c>
      <c r="I523" s="2" t="s">
        <v>19</v>
      </c>
      <c r="J523" s="2" t="s">
        <v>353</v>
      </c>
      <c r="K523" s="7" t="str">
        <f t="shared" si="5"/>
        <v xml:space="preserve">http://slimages.macys.com/is/image/MCY/10786732 </v>
      </c>
    </row>
    <row r="524" spans="1:11" ht="24.75" x14ac:dyDescent="0.25">
      <c r="A524" s="4" t="s">
        <v>2826</v>
      </c>
      <c r="B524" s="2" t="s">
        <v>1539</v>
      </c>
      <c r="C524" s="5">
        <v>26.99</v>
      </c>
      <c r="D524" s="3" t="s">
        <v>1540</v>
      </c>
      <c r="E524" s="2" t="s">
        <v>998</v>
      </c>
      <c r="F524" s="6" t="s">
        <v>27</v>
      </c>
      <c r="G524" s="2" t="s">
        <v>1473</v>
      </c>
      <c r="H524" s="2" t="s">
        <v>1426</v>
      </c>
      <c r="I524" s="2" t="s">
        <v>19</v>
      </c>
      <c r="J524" s="2" t="s">
        <v>353</v>
      </c>
      <c r="K524" s="7" t="str">
        <f t="shared" si="5"/>
        <v xml:space="preserve">http://slimages.macys.com/is/image/MCY/10786732 </v>
      </c>
    </row>
    <row r="525" spans="1:11" ht="24.75" x14ac:dyDescent="0.25">
      <c r="A525" s="4" t="s">
        <v>1542</v>
      </c>
      <c r="B525" s="2" t="s">
        <v>1539</v>
      </c>
      <c r="C525" s="5">
        <v>26.99</v>
      </c>
      <c r="D525" s="3" t="s">
        <v>1540</v>
      </c>
      <c r="E525" s="2" t="s">
        <v>15</v>
      </c>
      <c r="F525" s="6" t="s">
        <v>141</v>
      </c>
      <c r="G525" s="2" t="s">
        <v>1473</v>
      </c>
      <c r="H525" s="2" t="s">
        <v>1426</v>
      </c>
      <c r="I525" s="2" t="s">
        <v>19</v>
      </c>
      <c r="J525" s="2" t="s">
        <v>353</v>
      </c>
      <c r="K525" s="7" t="str">
        <f t="shared" si="5"/>
        <v xml:space="preserve">http://slimages.macys.com/is/image/MCY/10786732 </v>
      </c>
    </row>
    <row r="526" spans="1:11" ht="24.75" x14ac:dyDescent="0.25">
      <c r="A526" s="4" t="s">
        <v>2827</v>
      </c>
      <c r="B526" s="2" t="s">
        <v>1539</v>
      </c>
      <c r="C526" s="5">
        <v>26.99</v>
      </c>
      <c r="D526" s="3" t="s">
        <v>1540</v>
      </c>
      <c r="E526" s="2" t="s">
        <v>74</v>
      </c>
      <c r="F526" s="6" t="s">
        <v>112</v>
      </c>
      <c r="G526" s="2" t="s">
        <v>1473</v>
      </c>
      <c r="H526" s="2" t="s">
        <v>1426</v>
      </c>
      <c r="I526" s="2" t="s">
        <v>19</v>
      </c>
      <c r="J526" s="2" t="s">
        <v>353</v>
      </c>
      <c r="K526" s="7" t="str">
        <f t="shared" si="5"/>
        <v xml:space="preserve">http://slimages.macys.com/is/image/MCY/10786732 </v>
      </c>
    </row>
    <row r="527" spans="1:11" ht="24.75" x14ac:dyDescent="0.25">
      <c r="A527" s="4" t="s">
        <v>1538</v>
      </c>
      <c r="B527" s="2" t="s">
        <v>1539</v>
      </c>
      <c r="C527" s="5">
        <v>26.99</v>
      </c>
      <c r="D527" s="3" t="s">
        <v>1540</v>
      </c>
      <c r="E527" s="2" t="s">
        <v>15</v>
      </c>
      <c r="F527" s="6" t="s">
        <v>22</v>
      </c>
      <c r="G527" s="2" t="s">
        <v>1473</v>
      </c>
      <c r="H527" s="2" t="s">
        <v>1426</v>
      </c>
      <c r="I527" s="2" t="s">
        <v>19</v>
      </c>
      <c r="J527" s="2" t="s">
        <v>353</v>
      </c>
      <c r="K527" s="7" t="str">
        <f t="shared" si="5"/>
        <v xml:space="preserve">http://slimages.macys.com/is/image/MCY/10786732 </v>
      </c>
    </row>
    <row r="528" spans="1:11" ht="24.75" x14ac:dyDescent="0.25">
      <c r="A528" s="4" t="s">
        <v>1551</v>
      </c>
      <c r="B528" s="2" t="s">
        <v>1539</v>
      </c>
      <c r="C528" s="5">
        <v>26.99</v>
      </c>
      <c r="D528" s="3" t="s">
        <v>1540</v>
      </c>
      <c r="E528" s="2" t="s">
        <v>74</v>
      </c>
      <c r="F528" s="6" t="s">
        <v>141</v>
      </c>
      <c r="G528" s="2" t="s">
        <v>1473</v>
      </c>
      <c r="H528" s="2" t="s">
        <v>1426</v>
      </c>
      <c r="I528" s="2" t="s">
        <v>19</v>
      </c>
      <c r="J528" s="2" t="s">
        <v>353</v>
      </c>
      <c r="K528" s="7" t="str">
        <f t="shared" si="5"/>
        <v xml:space="preserve">http://slimages.macys.com/is/image/MCY/10786732 </v>
      </c>
    </row>
    <row r="529" spans="1:11" ht="24.75" x14ac:dyDescent="0.25">
      <c r="A529" s="4" t="s">
        <v>1541</v>
      </c>
      <c r="B529" s="2" t="s">
        <v>1539</v>
      </c>
      <c r="C529" s="5">
        <v>26.99</v>
      </c>
      <c r="D529" s="3" t="s">
        <v>1540</v>
      </c>
      <c r="E529" s="2" t="s">
        <v>15</v>
      </c>
      <c r="F529" s="6" t="s">
        <v>106</v>
      </c>
      <c r="G529" s="2" t="s">
        <v>1473</v>
      </c>
      <c r="H529" s="2" t="s">
        <v>1426</v>
      </c>
      <c r="I529" s="2" t="s">
        <v>19</v>
      </c>
      <c r="J529" s="2" t="s">
        <v>353</v>
      </c>
      <c r="K529" s="7" t="str">
        <f t="shared" si="5"/>
        <v xml:space="preserve">http://slimages.macys.com/is/image/MCY/10786732 </v>
      </c>
    </row>
    <row r="530" spans="1:11" ht="24.75" x14ac:dyDescent="0.25">
      <c r="A530" s="4" t="s">
        <v>2828</v>
      </c>
      <c r="B530" s="2" t="s">
        <v>1539</v>
      </c>
      <c r="C530" s="5">
        <v>26.99</v>
      </c>
      <c r="D530" s="3" t="s">
        <v>1540</v>
      </c>
      <c r="E530" s="2" t="s">
        <v>74</v>
      </c>
      <c r="F530" s="6" t="s">
        <v>58</v>
      </c>
      <c r="G530" s="2" t="s">
        <v>1473</v>
      </c>
      <c r="H530" s="2" t="s">
        <v>1426</v>
      </c>
      <c r="I530" s="2" t="s">
        <v>19</v>
      </c>
      <c r="J530" s="2" t="s">
        <v>353</v>
      </c>
      <c r="K530" s="7" t="str">
        <f t="shared" si="5"/>
        <v xml:space="preserve">http://slimages.macys.com/is/image/MCY/10786732 </v>
      </c>
    </row>
    <row r="531" spans="1:11" ht="24.75" x14ac:dyDescent="0.25">
      <c r="A531" s="4" t="s">
        <v>2829</v>
      </c>
      <c r="B531" s="2" t="s">
        <v>1539</v>
      </c>
      <c r="C531" s="5">
        <v>26.99</v>
      </c>
      <c r="D531" s="3" t="s">
        <v>1540</v>
      </c>
      <c r="E531" s="2" t="s">
        <v>70</v>
      </c>
      <c r="F531" s="6" t="s">
        <v>112</v>
      </c>
      <c r="G531" s="2" t="s">
        <v>1473</v>
      </c>
      <c r="H531" s="2" t="s">
        <v>1426</v>
      </c>
      <c r="I531" s="2" t="s">
        <v>19</v>
      </c>
      <c r="J531" s="2" t="s">
        <v>353</v>
      </c>
      <c r="K531" s="7" t="str">
        <f t="shared" si="5"/>
        <v xml:space="preserve">http://slimages.macys.com/is/image/MCY/10786732 </v>
      </c>
    </row>
    <row r="532" spans="1:11" ht="24.75" x14ac:dyDescent="0.25">
      <c r="A532" s="4" t="s">
        <v>1544</v>
      </c>
      <c r="B532" s="2" t="s">
        <v>1539</v>
      </c>
      <c r="C532" s="5">
        <v>26.99</v>
      </c>
      <c r="D532" s="3" t="s">
        <v>1540</v>
      </c>
      <c r="E532" s="2" t="s">
        <v>252</v>
      </c>
      <c r="F532" s="6" t="s">
        <v>112</v>
      </c>
      <c r="G532" s="2" t="s">
        <v>1473</v>
      </c>
      <c r="H532" s="2" t="s">
        <v>1426</v>
      </c>
      <c r="I532" s="2" t="s">
        <v>19</v>
      </c>
      <c r="J532" s="2" t="s">
        <v>353</v>
      </c>
      <c r="K532" s="7" t="str">
        <f t="shared" si="5"/>
        <v xml:space="preserve">http://slimages.macys.com/is/image/MCY/10786732 </v>
      </c>
    </row>
    <row r="533" spans="1:11" ht="24.75" x14ac:dyDescent="0.25">
      <c r="A533" s="4" t="s">
        <v>2830</v>
      </c>
      <c r="B533" s="2" t="s">
        <v>1539</v>
      </c>
      <c r="C533" s="5">
        <v>26.99</v>
      </c>
      <c r="D533" s="3" t="s">
        <v>1548</v>
      </c>
      <c r="E533" s="2" t="s">
        <v>998</v>
      </c>
      <c r="F533" s="6" t="s">
        <v>126</v>
      </c>
      <c r="G533" s="2" t="s">
        <v>1425</v>
      </c>
      <c r="H533" s="2" t="s">
        <v>1426</v>
      </c>
      <c r="I533" s="2" t="s">
        <v>19</v>
      </c>
      <c r="J533" s="2" t="s">
        <v>353</v>
      </c>
      <c r="K533" s="7" t="str">
        <f>HYPERLINK("http://slimages.macys.com/is/image/MCY/11092539 ")</f>
        <v xml:space="preserve">http://slimages.macys.com/is/image/MCY/11092539 </v>
      </c>
    </row>
    <row r="534" spans="1:11" ht="24.75" x14ac:dyDescent="0.25">
      <c r="A534" s="4" t="s">
        <v>2831</v>
      </c>
      <c r="B534" s="2" t="s">
        <v>1539</v>
      </c>
      <c r="C534" s="5">
        <v>26.99</v>
      </c>
      <c r="D534" s="3" t="s">
        <v>1548</v>
      </c>
      <c r="E534" s="2" t="s">
        <v>998</v>
      </c>
      <c r="F534" s="6" t="s">
        <v>238</v>
      </c>
      <c r="G534" s="2" t="s">
        <v>1425</v>
      </c>
      <c r="H534" s="2" t="s">
        <v>1426</v>
      </c>
      <c r="I534" s="2" t="s">
        <v>19</v>
      </c>
      <c r="J534" s="2" t="s">
        <v>353</v>
      </c>
      <c r="K534" s="7" t="str">
        <f>HYPERLINK("http://slimages.macys.com/is/image/MCY/11092539 ")</f>
        <v xml:space="preserve">http://slimages.macys.com/is/image/MCY/11092539 </v>
      </c>
    </row>
    <row r="535" spans="1:11" ht="24.75" x14ac:dyDescent="0.25">
      <c r="A535" s="4" t="s">
        <v>2832</v>
      </c>
      <c r="B535" s="2" t="s">
        <v>1649</v>
      </c>
      <c r="C535" s="5">
        <v>19.989999999999998</v>
      </c>
      <c r="D535" s="3" t="s">
        <v>1650</v>
      </c>
      <c r="E535" s="2" t="s">
        <v>413</v>
      </c>
      <c r="F535" s="6" t="s">
        <v>181</v>
      </c>
      <c r="G535" s="2" t="s">
        <v>194</v>
      </c>
      <c r="H535" s="2" t="s">
        <v>195</v>
      </c>
      <c r="I535" s="2" t="s">
        <v>19</v>
      </c>
      <c r="J535" s="2" t="s">
        <v>247</v>
      </c>
      <c r="K535" s="7" t="str">
        <f>HYPERLINK("http://slimages.macys.com/is/image/MCY/11466486 ")</f>
        <v xml:space="preserve">http://slimages.macys.com/is/image/MCY/11466486 </v>
      </c>
    </row>
    <row r="536" spans="1:11" ht="24.75" x14ac:dyDescent="0.25">
      <c r="A536" s="4" t="s">
        <v>2833</v>
      </c>
      <c r="B536" s="2" t="s">
        <v>1556</v>
      </c>
      <c r="C536" s="5">
        <v>25.88</v>
      </c>
      <c r="D536" s="3">
        <v>100018059</v>
      </c>
      <c r="E536" s="2" t="s">
        <v>64</v>
      </c>
      <c r="F536" s="6" t="s">
        <v>234</v>
      </c>
      <c r="G536" s="2" t="s">
        <v>194</v>
      </c>
      <c r="H536" s="2" t="s">
        <v>195</v>
      </c>
      <c r="I536" s="2" t="s">
        <v>19</v>
      </c>
      <c r="J536" s="2" t="s">
        <v>648</v>
      </c>
      <c r="K536" s="7" t="str">
        <f>HYPERLINK("http://slimages.macys.com/is/image/MCY/9795496 ")</f>
        <v xml:space="preserve">http://slimages.macys.com/is/image/MCY/9795496 </v>
      </c>
    </row>
    <row r="537" spans="1:11" ht="24.75" x14ac:dyDescent="0.25">
      <c r="A537" s="4" t="s">
        <v>1558</v>
      </c>
      <c r="B537" s="2" t="s">
        <v>1559</v>
      </c>
      <c r="C537" s="5">
        <v>24.99</v>
      </c>
      <c r="D537" s="3" t="s">
        <v>1560</v>
      </c>
      <c r="E537" s="2" t="s">
        <v>33</v>
      </c>
      <c r="F537" s="6"/>
      <c r="G537" s="2" t="s">
        <v>1425</v>
      </c>
      <c r="H537" s="2" t="s">
        <v>1469</v>
      </c>
      <c r="I537" s="2" t="s">
        <v>19</v>
      </c>
      <c r="J537" s="2" t="s">
        <v>353</v>
      </c>
      <c r="K537" s="7" t="str">
        <f>HYPERLINK("http://slimages.macys.com/is/image/MCY/9406309 ")</f>
        <v xml:space="preserve">http://slimages.macys.com/is/image/MCY/9406309 </v>
      </c>
    </row>
    <row r="538" spans="1:11" ht="24.75" x14ac:dyDescent="0.25">
      <c r="A538" s="4" t="s">
        <v>2834</v>
      </c>
      <c r="B538" s="2" t="s">
        <v>1559</v>
      </c>
      <c r="C538" s="5">
        <v>24.99</v>
      </c>
      <c r="D538" s="3" t="s">
        <v>1564</v>
      </c>
      <c r="E538" s="2" t="s">
        <v>15</v>
      </c>
      <c r="F538" s="6" t="s">
        <v>219</v>
      </c>
      <c r="G538" s="2" t="s">
        <v>1425</v>
      </c>
      <c r="H538" s="2" t="s">
        <v>1469</v>
      </c>
      <c r="I538" s="2" t="s">
        <v>19</v>
      </c>
      <c r="J538" s="2" t="s">
        <v>353</v>
      </c>
      <c r="K538" s="7" t="str">
        <f>HYPERLINK("http://slimages.macys.com/is/image/MCY/11883694 ")</f>
        <v xml:space="preserve">http://slimages.macys.com/is/image/MCY/11883694 </v>
      </c>
    </row>
    <row r="539" spans="1:11" ht="24.75" x14ac:dyDescent="0.25">
      <c r="A539" s="4" t="s">
        <v>1561</v>
      </c>
      <c r="B539" s="2" t="s">
        <v>1559</v>
      </c>
      <c r="C539" s="5">
        <v>24.99</v>
      </c>
      <c r="D539" s="3" t="s">
        <v>1562</v>
      </c>
      <c r="E539" s="2" t="s">
        <v>33</v>
      </c>
      <c r="F539" s="6" t="s">
        <v>156</v>
      </c>
      <c r="G539" s="2" t="s">
        <v>1522</v>
      </c>
      <c r="H539" s="2" t="s">
        <v>1469</v>
      </c>
      <c r="I539" s="2" t="s">
        <v>19</v>
      </c>
      <c r="J539" s="2" t="s">
        <v>353</v>
      </c>
      <c r="K539" s="7" t="str">
        <f>HYPERLINK("http://slimages.macys.com/is/image/MCY/11883694 ")</f>
        <v xml:space="preserve">http://slimages.macys.com/is/image/MCY/11883694 </v>
      </c>
    </row>
    <row r="540" spans="1:11" ht="24.75" x14ac:dyDescent="0.25">
      <c r="A540" s="4" t="s">
        <v>2835</v>
      </c>
      <c r="B540" s="2" t="s">
        <v>2836</v>
      </c>
      <c r="C540" s="5">
        <v>36.5</v>
      </c>
      <c r="D540" s="3" t="s">
        <v>2837</v>
      </c>
      <c r="E540" s="2" t="s">
        <v>15</v>
      </c>
      <c r="F540" s="6" t="s">
        <v>154</v>
      </c>
      <c r="G540" s="2" t="s">
        <v>194</v>
      </c>
      <c r="H540" s="2" t="s">
        <v>195</v>
      </c>
      <c r="I540" s="2" t="s">
        <v>19</v>
      </c>
      <c r="J540" s="2" t="s">
        <v>247</v>
      </c>
      <c r="K540" s="7" t="str">
        <f>HYPERLINK("http://slimages.macys.com/is/image/MCY/12063852 ")</f>
        <v xml:space="preserve">http://slimages.macys.com/is/image/MCY/12063852 </v>
      </c>
    </row>
    <row r="541" spans="1:11" ht="24.75" x14ac:dyDescent="0.25">
      <c r="A541" s="4" t="s">
        <v>2838</v>
      </c>
      <c r="B541" s="2" t="s">
        <v>2836</v>
      </c>
      <c r="C541" s="5">
        <v>36.5</v>
      </c>
      <c r="D541" s="3" t="s">
        <v>2837</v>
      </c>
      <c r="E541" s="2" t="s">
        <v>15</v>
      </c>
      <c r="F541" s="6" t="s">
        <v>181</v>
      </c>
      <c r="G541" s="2" t="s">
        <v>194</v>
      </c>
      <c r="H541" s="2" t="s">
        <v>195</v>
      </c>
      <c r="I541" s="2" t="s">
        <v>19</v>
      </c>
      <c r="J541" s="2" t="s">
        <v>247</v>
      </c>
      <c r="K541" s="7" t="str">
        <f>HYPERLINK("http://slimages.macys.com/is/image/MCY/12063852 ")</f>
        <v xml:space="preserve">http://slimages.macys.com/is/image/MCY/12063852 </v>
      </c>
    </row>
    <row r="542" spans="1:11" ht="36.75" x14ac:dyDescent="0.25">
      <c r="A542" s="4" t="s">
        <v>2839</v>
      </c>
      <c r="B542" s="2" t="s">
        <v>2840</v>
      </c>
      <c r="C542" s="5">
        <v>33.380000000000003</v>
      </c>
      <c r="D542" s="3" t="s">
        <v>2841</v>
      </c>
      <c r="E542" s="2" t="s">
        <v>676</v>
      </c>
      <c r="F542" s="6" t="s">
        <v>245</v>
      </c>
      <c r="G542" s="2" t="s">
        <v>194</v>
      </c>
      <c r="H542" s="2" t="s">
        <v>195</v>
      </c>
      <c r="I542" s="2" t="s">
        <v>19</v>
      </c>
      <c r="J542" s="2" t="s">
        <v>2842</v>
      </c>
      <c r="K542" s="7" t="str">
        <f>HYPERLINK("http://slimages.macys.com/is/image/MCY/12143804 ")</f>
        <v xml:space="preserve">http://slimages.macys.com/is/image/MCY/12143804 </v>
      </c>
    </row>
    <row r="543" spans="1:11" ht="36.75" x14ac:dyDescent="0.25">
      <c r="A543" s="4" t="s">
        <v>2843</v>
      </c>
      <c r="B543" s="2" t="s">
        <v>1575</v>
      </c>
      <c r="C543" s="5">
        <v>33.380000000000003</v>
      </c>
      <c r="D543" s="3" t="s">
        <v>1576</v>
      </c>
      <c r="E543" s="2" t="s">
        <v>15</v>
      </c>
      <c r="F543" s="6" t="s">
        <v>154</v>
      </c>
      <c r="G543" s="2" t="s">
        <v>194</v>
      </c>
      <c r="H543" s="2" t="s">
        <v>195</v>
      </c>
      <c r="I543" s="2" t="s">
        <v>19</v>
      </c>
      <c r="J543" s="2" t="s">
        <v>1577</v>
      </c>
      <c r="K543" s="7" t="str">
        <f>HYPERLINK("http://slimages.macys.com/is/image/MCY/12734297 ")</f>
        <v xml:space="preserve">http://slimages.macys.com/is/image/MCY/12734297 </v>
      </c>
    </row>
    <row r="544" spans="1:11" ht="36.75" x14ac:dyDescent="0.25">
      <c r="A544" s="4" t="s">
        <v>2844</v>
      </c>
      <c r="B544" s="2" t="s">
        <v>2840</v>
      </c>
      <c r="C544" s="5">
        <v>33.380000000000003</v>
      </c>
      <c r="D544" s="3" t="s">
        <v>2841</v>
      </c>
      <c r="E544" s="2" t="s">
        <v>676</v>
      </c>
      <c r="F544" s="6" t="s">
        <v>181</v>
      </c>
      <c r="G544" s="2" t="s">
        <v>194</v>
      </c>
      <c r="H544" s="2" t="s">
        <v>195</v>
      </c>
      <c r="I544" s="2" t="s">
        <v>19</v>
      </c>
      <c r="J544" s="2" t="s">
        <v>2842</v>
      </c>
      <c r="K544" s="7" t="str">
        <f>HYPERLINK("http://slimages.macys.com/is/image/MCY/12143804 ")</f>
        <v xml:space="preserve">http://slimages.macys.com/is/image/MCY/12143804 </v>
      </c>
    </row>
    <row r="545" spans="1:11" ht="24.75" x14ac:dyDescent="0.25">
      <c r="A545" s="4" t="s">
        <v>2845</v>
      </c>
      <c r="B545" s="2" t="s">
        <v>1586</v>
      </c>
      <c r="C545" s="5">
        <v>21.99</v>
      </c>
      <c r="D545" s="3" t="s">
        <v>1587</v>
      </c>
      <c r="E545" s="2" t="s">
        <v>136</v>
      </c>
      <c r="F545" s="6"/>
      <c r="G545" s="2" t="s">
        <v>1425</v>
      </c>
      <c r="H545" s="2" t="s">
        <v>1426</v>
      </c>
      <c r="I545" s="2" t="s">
        <v>19</v>
      </c>
      <c r="J545" s="2" t="s">
        <v>34</v>
      </c>
      <c r="K545" s="7" t="str">
        <f>HYPERLINK("http://slimages.macys.com/is/image/MCY/11174709 ")</f>
        <v xml:space="preserve">http://slimages.macys.com/is/image/MCY/11174709 </v>
      </c>
    </row>
    <row r="546" spans="1:11" ht="24.75" x14ac:dyDescent="0.25">
      <c r="A546" s="4" t="s">
        <v>1604</v>
      </c>
      <c r="B546" s="2" t="s">
        <v>1600</v>
      </c>
      <c r="C546" s="5">
        <v>21.99</v>
      </c>
      <c r="D546" s="3" t="s">
        <v>1601</v>
      </c>
      <c r="E546" s="2" t="s">
        <v>136</v>
      </c>
      <c r="F546" s="6" t="s">
        <v>219</v>
      </c>
      <c r="G546" s="2" t="s">
        <v>1425</v>
      </c>
      <c r="H546" s="2" t="s">
        <v>1426</v>
      </c>
      <c r="I546" s="2"/>
      <c r="J546" s="2"/>
      <c r="K546" s="7" t="str">
        <f>HYPERLINK("http://slimages.macys.com/is/image/MCY/10205122 ")</f>
        <v xml:space="preserve">http://slimages.macys.com/is/image/MCY/10205122 </v>
      </c>
    </row>
    <row r="547" spans="1:11" ht="24.75" x14ac:dyDescent="0.25">
      <c r="A547" s="4" t="s">
        <v>2846</v>
      </c>
      <c r="B547" s="2" t="s">
        <v>1586</v>
      </c>
      <c r="C547" s="5">
        <v>21.99</v>
      </c>
      <c r="D547" s="3" t="s">
        <v>1587</v>
      </c>
      <c r="E547" s="2" t="s">
        <v>252</v>
      </c>
      <c r="F547" s="6"/>
      <c r="G547" s="2" t="s">
        <v>1425</v>
      </c>
      <c r="H547" s="2" t="s">
        <v>1426</v>
      </c>
      <c r="I547" s="2" t="s">
        <v>19</v>
      </c>
      <c r="J547" s="2" t="s">
        <v>34</v>
      </c>
      <c r="K547" s="7" t="str">
        <f>HYPERLINK("http://slimages.macys.com/is/image/MCY/11174709 ")</f>
        <v xml:space="preserve">http://slimages.macys.com/is/image/MCY/11174709 </v>
      </c>
    </row>
    <row r="548" spans="1:11" ht="24.75" x14ac:dyDescent="0.25">
      <c r="A548" s="4" t="s">
        <v>2847</v>
      </c>
      <c r="B548" s="2" t="s">
        <v>1586</v>
      </c>
      <c r="C548" s="5">
        <v>21.99</v>
      </c>
      <c r="D548" s="3" t="s">
        <v>1587</v>
      </c>
      <c r="E548" s="2" t="s">
        <v>136</v>
      </c>
      <c r="F548" s="6"/>
      <c r="G548" s="2" t="s">
        <v>1425</v>
      </c>
      <c r="H548" s="2" t="s">
        <v>1426</v>
      </c>
      <c r="I548" s="2" t="s">
        <v>19</v>
      </c>
      <c r="J548" s="2" t="s">
        <v>34</v>
      </c>
      <c r="K548" s="7" t="str">
        <f>HYPERLINK("http://slimages.macys.com/is/image/MCY/11174709 ")</f>
        <v xml:space="preserve">http://slimages.macys.com/is/image/MCY/11174709 </v>
      </c>
    </row>
    <row r="549" spans="1:11" ht="24.75" x14ac:dyDescent="0.25">
      <c r="A549" s="4" t="s">
        <v>2848</v>
      </c>
      <c r="B549" s="2" t="s">
        <v>1600</v>
      </c>
      <c r="C549" s="5">
        <v>21.99</v>
      </c>
      <c r="D549" s="3" t="s">
        <v>1601</v>
      </c>
      <c r="E549" s="2" t="s">
        <v>136</v>
      </c>
      <c r="F549" s="6" t="s">
        <v>187</v>
      </c>
      <c r="G549" s="2" t="s">
        <v>1425</v>
      </c>
      <c r="H549" s="2" t="s">
        <v>1426</v>
      </c>
      <c r="I549" s="2"/>
      <c r="J549" s="2"/>
      <c r="K549" s="7" t="str">
        <f>HYPERLINK("http://slimages.macys.com/is/image/MCY/10205122 ")</f>
        <v xml:space="preserve">http://slimages.macys.com/is/image/MCY/10205122 </v>
      </c>
    </row>
    <row r="550" spans="1:11" ht="24.75" x14ac:dyDescent="0.25">
      <c r="A550" s="4" t="s">
        <v>2849</v>
      </c>
      <c r="B550" s="2" t="s">
        <v>1600</v>
      </c>
      <c r="C550" s="5">
        <v>21.99</v>
      </c>
      <c r="D550" s="3" t="s">
        <v>1601</v>
      </c>
      <c r="E550" s="2" t="s">
        <v>136</v>
      </c>
      <c r="F550" s="6"/>
      <c r="G550" s="2" t="s">
        <v>1425</v>
      </c>
      <c r="H550" s="2" t="s">
        <v>1426</v>
      </c>
      <c r="I550" s="2"/>
      <c r="J550" s="2"/>
      <c r="K550" s="7" t="str">
        <f>HYPERLINK("http://slimages.macys.com/is/image/MCY/10205122 ")</f>
        <v xml:space="preserve">http://slimages.macys.com/is/image/MCY/10205122 </v>
      </c>
    </row>
    <row r="551" spans="1:11" ht="24.75" x14ac:dyDescent="0.25">
      <c r="A551" s="4" t="s">
        <v>2850</v>
      </c>
      <c r="B551" s="2" t="s">
        <v>1586</v>
      </c>
      <c r="C551" s="5">
        <v>21.99</v>
      </c>
      <c r="D551" s="3" t="s">
        <v>1587</v>
      </c>
      <c r="E551" s="2" t="s">
        <v>252</v>
      </c>
      <c r="F551" s="6"/>
      <c r="G551" s="2" t="s">
        <v>1425</v>
      </c>
      <c r="H551" s="2" t="s">
        <v>1426</v>
      </c>
      <c r="I551" s="2" t="s">
        <v>19</v>
      </c>
      <c r="J551" s="2" t="s">
        <v>34</v>
      </c>
      <c r="K551" s="7" t="str">
        <f>HYPERLINK("http://slimages.macys.com/is/image/MCY/11174709 ")</f>
        <v xml:space="preserve">http://slimages.macys.com/is/image/MCY/11174709 </v>
      </c>
    </row>
    <row r="552" spans="1:11" ht="24.75" x14ac:dyDescent="0.25">
      <c r="A552" s="4" t="s">
        <v>2851</v>
      </c>
      <c r="B552" s="2" t="s">
        <v>1600</v>
      </c>
      <c r="C552" s="5">
        <v>21.99</v>
      </c>
      <c r="D552" s="3" t="s">
        <v>1601</v>
      </c>
      <c r="E552" s="2" t="s">
        <v>74</v>
      </c>
      <c r="F552" s="6" t="s">
        <v>219</v>
      </c>
      <c r="G552" s="2" t="s">
        <v>1425</v>
      </c>
      <c r="H552" s="2" t="s">
        <v>1426</v>
      </c>
      <c r="I552" s="2"/>
      <c r="J552" s="2"/>
      <c r="K552" s="7" t="str">
        <f>HYPERLINK("http://slimages.macys.com/is/image/MCY/10205122 ")</f>
        <v xml:space="preserve">http://slimages.macys.com/is/image/MCY/10205122 </v>
      </c>
    </row>
    <row r="553" spans="1:11" ht="24.75" x14ac:dyDescent="0.25">
      <c r="A553" s="4" t="s">
        <v>2852</v>
      </c>
      <c r="B553" s="2" t="s">
        <v>1600</v>
      </c>
      <c r="C553" s="5">
        <v>21.99</v>
      </c>
      <c r="D553" s="3" t="s">
        <v>1601</v>
      </c>
      <c r="E553" s="2" t="s">
        <v>15</v>
      </c>
      <c r="F553" s="6"/>
      <c r="G553" s="2" t="s">
        <v>1425</v>
      </c>
      <c r="H553" s="2" t="s">
        <v>1426</v>
      </c>
      <c r="I553" s="2"/>
      <c r="J553" s="2"/>
      <c r="K553" s="7" t="str">
        <f>HYPERLINK("http://slimages.macys.com/is/image/MCY/10205122 ")</f>
        <v xml:space="preserve">http://slimages.macys.com/is/image/MCY/10205122 </v>
      </c>
    </row>
    <row r="554" spans="1:11" ht="24.75" x14ac:dyDescent="0.25">
      <c r="A554" s="4" t="s">
        <v>2853</v>
      </c>
      <c r="B554" s="2" t="s">
        <v>1586</v>
      </c>
      <c r="C554" s="5">
        <v>21.99</v>
      </c>
      <c r="D554" s="3" t="s">
        <v>1587</v>
      </c>
      <c r="E554" s="2" t="s">
        <v>252</v>
      </c>
      <c r="F554" s="6"/>
      <c r="G554" s="2" t="s">
        <v>1425</v>
      </c>
      <c r="H554" s="2" t="s">
        <v>1426</v>
      </c>
      <c r="I554" s="2" t="s">
        <v>19</v>
      </c>
      <c r="J554" s="2" t="s">
        <v>34</v>
      </c>
      <c r="K554" s="7" t="str">
        <f>HYPERLINK("http://slimages.macys.com/is/image/MCY/11174709 ")</f>
        <v xml:space="preserve">http://slimages.macys.com/is/image/MCY/11174709 </v>
      </c>
    </row>
    <row r="555" spans="1:11" ht="24.75" x14ac:dyDescent="0.25">
      <c r="A555" s="4" t="s">
        <v>2854</v>
      </c>
      <c r="B555" s="2" t="s">
        <v>1586</v>
      </c>
      <c r="C555" s="5">
        <v>21.99</v>
      </c>
      <c r="D555" s="3" t="s">
        <v>1587</v>
      </c>
      <c r="E555" s="2" t="s">
        <v>136</v>
      </c>
      <c r="F555" s="6"/>
      <c r="G555" s="2" t="s">
        <v>1425</v>
      </c>
      <c r="H555" s="2" t="s">
        <v>1426</v>
      </c>
      <c r="I555" s="2" t="s">
        <v>19</v>
      </c>
      <c r="J555" s="2" t="s">
        <v>34</v>
      </c>
      <c r="K555" s="7" t="str">
        <f>HYPERLINK("http://slimages.macys.com/is/image/MCY/11174709 ")</f>
        <v xml:space="preserve">http://slimages.macys.com/is/image/MCY/11174709 </v>
      </c>
    </row>
    <row r="556" spans="1:11" ht="24.75" x14ac:dyDescent="0.25">
      <c r="A556" s="4" t="s">
        <v>1622</v>
      </c>
      <c r="B556" s="2" t="s">
        <v>1529</v>
      </c>
      <c r="C556" s="5">
        <v>37.130000000000003</v>
      </c>
      <c r="D556" s="3" t="s">
        <v>1530</v>
      </c>
      <c r="E556" s="2" t="s">
        <v>998</v>
      </c>
      <c r="F556" s="6" t="s">
        <v>802</v>
      </c>
      <c r="G556" s="2" t="s">
        <v>312</v>
      </c>
      <c r="H556" s="2" t="s">
        <v>195</v>
      </c>
      <c r="I556" s="2" t="s">
        <v>19</v>
      </c>
      <c r="J556" s="2" t="s">
        <v>353</v>
      </c>
      <c r="K556" s="7" t="str">
        <f>HYPERLINK("http://slimages.macys.com/is/image/MCY/11938040 ")</f>
        <v xml:space="preserve">http://slimages.macys.com/is/image/MCY/11938040 </v>
      </c>
    </row>
    <row r="557" spans="1:11" ht="24.75" x14ac:dyDescent="0.25">
      <c r="A557" s="4" t="s">
        <v>1624</v>
      </c>
      <c r="B557" s="2" t="s">
        <v>1529</v>
      </c>
      <c r="C557" s="5">
        <v>37.130000000000003</v>
      </c>
      <c r="D557" s="3" t="s">
        <v>1530</v>
      </c>
      <c r="E557" s="2" t="s">
        <v>998</v>
      </c>
      <c r="F557" s="6" t="s">
        <v>165</v>
      </c>
      <c r="G557" s="2" t="s">
        <v>312</v>
      </c>
      <c r="H557" s="2" t="s">
        <v>195</v>
      </c>
      <c r="I557" s="2" t="s">
        <v>19</v>
      </c>
      <c r="J557" s="2" t="s">
        <v>353</v>
      </c>
      <c r="K557" s="7" t="str">
        <f>HYPERLINK("http://slimages.macys.com/is/image/MCY/11938040 ")</f>
        <v xml:space="preserve">http://slimages.macys.com/is/image/MCY/11938040 </v>
      </c>
    </row>
    <row r="558" spans="1:11" ht="24.75" x14ac:dyDescent="0.25">
      <c r="A558" s="4" t="s">
        <v>1623</v>
      </c>
      <c r="B558" s="2" t="s">
        <v>1529</v>
      </c>
      <c r="C558" s="5">
        <v>37.130000000000003</v>
      </c>
      <c r="D558" s="3" t="s">
        <v>1530</v>
      </c>
      <c r="E558" s="2" t="s">
        <v>998</v>
      </c>
      <c r="F558" s="6" t="s">
        <v>336</v>
      </c>
      <c r="G558" s="2" t="s">
        <v>312</v>
      </c>
      <c r="H558" s="2" t="s">
        <v>195</v>
      </c>
      <c r="I558" s="2" t="s">
        <v>19</v>
      </c>
      <c r="J558" s="2" t="s">
        <v>353</v>
      </c>
      <c r="K558" s="7" t="str">
        <f>HYPERLINK("http://slimages.macys.com/is/image/MCY/11938040 ")</f>
        <v xml:space="preserve">http://slimages.macys.com/is/image/MCY/11938040 </v>
      </c>
    </row>
    <row r="559" spans="1:11" ht="24.75" x14ac:dyDescent="0.25">
      <c r="A559" s="4" t="s">
        <v>2855</v>
      </c>
      <c r="B559" s="2" t="s">
        <v>2856</v>
      </c>
      <c r="C559" s="5">
        <v>24.99</v>
      </c>
      <c r="D559" s="3" t="s">
        <v>2857</v>
      </c>
      <c r="E559" s="2" t="s">
        <v>15</v>
      </c>
      <c r="F559" s="6"/>
      <c r="G559" s="2" t="s">
        <v>1425</v>
      </c>
      <c r="H559" s="2" t="s">
        <v>1426</v>
      </c>
      <c r="I559" s="2" t="s">
        <v>19</v>
      </c>
      <c r="J559" s="2" t="s">
        <v>495</v>
      </c>
      <c r="K559" s="7" t="str">
        <f>HYPERLINK("http://slimages.macys.com/is/image/MCY/11831271 ")</f>
        <v xml:space="preserve">http://slimages.macys.com/is/image/MCY/11831271 </v>
      </c>
    </row>
    <row r="560" spans="1:11" ht="24.75" x14ac:dyDescent="0.25">
      <c r="A560" s="4" t="s">
        <v>2858</v>
      </c>
      <c r="B560" s="2" t="s">
        <v>2859</v>
      </c>
      <c r="C560" s="5">
        <v>24.99</v>
      </c>
      <c r="D560" s="3" t="s">
        <v>2860</v>
      </c>
      <c r="E560" s="2" t="s">
        <v>252</v>
      </c>
      <c r="F560" s="6"/>
      <c r="G560" s="2" t="s">
        <v>1425</v>
      </c>
      <c r="H560" s="2" t="s">
        <v>1426</v>
      </c>
      <c r="I560" s="2" t="s">
        <v>19</v>
      </c>
      <c r="J560" s="2" t="s">
        <v>648</v>
      </c>
      <c r="K560" s="7" t="str">
        <f>HYPERLINK("http://slimages.macys.com/is/image/MCY/11915841 ")</f>
        <v xml:space="preserve">http://slimages.macys.com/is/image/MCY/11915841 </v>
      </c>
    </row>
    <row r="561" spans="1:11" ht="24.75" x14ac:dyDescent="0.25">
      <c r="A561" s="4" t="s">
        <v>2861</v>
      </c>
      <c r="B561" s="2" t="s">
        <v>2862</v>
      </c>
      <c r="C561" s="5">
        <v>24.99</v>
      </c>
      <c r="D561" s="3" t="s">
        <v>2863</v>
      </c>
      <c r="E561" s="2" t="s">
        <v>15</v>
      </c>
      <c r="F561" s="6" t="s">
        <v>187</v>
      </c>
      <c r="G561" s="2" t="s">
        <v>1425</v>
      </c>
      <c r="H561" s="2" t="s">
        <v>1426</v>
      </c>
      <c r="I561" s="2" t="s">
        <v>19</v>
      </c>
      <c r="J561" s="2" t="s">
        <v>648</v>
      </c>
      <c r="K561" s="7" t="str">
        <f>HYPERLINK("http://slimages.macys.com/is/image/MCY/12269110 ")</f>
        <v xml:space="preserve">http://slimages.macys.com/is/image/MCY/12269110 </v>
      </c>
    </row>
    <row r="562" spans="1:11" ht="24.75" x14ac:dyDescent="0.25">
      <c r="A562" s="4" t="s">
        <v>2864</v>
      </c>
      <c r="B562" s="2" t="s">
        <v>2859</v>
      </c>
      <c r="C562" s="5">
        <v>24.99</v>
      </c>
      <c r="D562" s="3" t="s">
        <v>2865</v>
      </c>
      <c r="E562" s="2" t="s">
        <v>252</v>
      </c>
      <c r="F562" s="6" t="s">
        <v>156</v>
      </c>
      <c r="G562" s="2" t="s">
        <v>1473</v>
      </c>
      <c r="H562" s="2" t="s">
        <v>1426</v>
      </c>
      <c r="I562" s="2" t="s">
        <v>19</v>
      </c>
      <c r="J562" s="2" t="s">
        <v>648</v>
      </c>
      <c r="K562" s="7" t="str">
        <f>HYPERLINK("http://slimages.macys.com/is/image/MCY/11915841 ")</f>
        <v xml:space="preserve">http://slimages.macys.com/is/image/MCY/11915841 </v>
      </c>
    </row>
    <row r="563" spans="1:11" ht="24.75" x14ac:dyDescent="0.25">
      <c r="A563" s="4" t="s">
        <v>2866</v>
      </c>
      <c r="B563" s="2" t="s">
        <v>2859</v>
      </c>
      <c r="C563" s="5">
        <v>24.99</v>
      </c>
      <c r="D563" s="3" t="s">
        <v>2860</v>
      </c>
      <c r="E563" s="2" t="s">
        <v>252</v>
      </c>
      <c r="F563" s="6" t="s">
        <v>187</v>
      </c>
      <c r="G563" s="2" t="s">
        <v>1425</v>
      </c>
      <c r="H563" s="2" t="s">
        <v>1426</v>
      </c>
      <c r="I563" s="2" t="s">
        <v>19</v>
      </c>
      <c r="J563" s="2" t="s">
        <v>648</v>
      </c>
      <c r="K563" s="7" t="str">
        <f>HYPERLINK("http://slimages.macys.com/is/image/MCY/11915841 ")</f>
        <v xml:space="preserve">http://slimages.macys.com/is/image/MCY/11915841 </v>
      </c>
    </row>
    <row r="564" spans="1:11" ht="24.75" x14ac:dyDescent="0.25">
      <c r="A564" s="4" t="s">
        <v>1626</v>
      </c>
      <c r="B564" s="2" t="s">
        <v>1627</v>
      </c>
      <c r="C564" s="5">
        <v>25.88</v>
      </c>
      <c r="D564" s="3" t="s">
        <v>1628</v>
      </c>
      <c r="E564" s="2" t="s">
        <v>70</v>
      </c>
      <c r="F564" s="6" t="s">
        <v>245</v>
      </c>
      <c r="G564" s="2" t="s">
        <v>194</v>
      </c>
      <c r="H564" s="2" t="s">
        <v>195</v>
      </c>
      <c r="I564" s="2" t="s">
        <v>19</v>
      </c>
      <c r="J564" s="2" t="s">
        <v>1629</v>
      </c>
      <c r="K564" s="7" t="str">
        <f>HYPERLINK("http://slimages.macys.com/is/image/MCY/11531058 ")</f>
        <v xml:space="preserve">http://slimages.macys.com/is/image/MCY/11531058 </v>
      </c>
    </row>
    <row r="565" spans="1:11" ht="24.75" x14ac:dyDescent="0.25">
      <c r="A565" s="4" t="s">
        <v>2867</v>
      </c>
      <c r="B565" s="2" t="s">
        <v>1627</v>
      </c>
      <c r="C565" s="5">
        <v>25.88</v>
      </c>
      <c r="D565" s="3" t="s">
        <v>1628</v>
      </c>
      <c r="E565" s="2" t="s">
        <v>70</v>
      </c>
      <c r="F565" s="6" t="s">
        <v>234</v>
      </c>
      <c r="G565" s="2" t="s">
        <v>194</v>
      </c>
      <c r="H565" s="2" t="s">
        <v>195</v>
      </c>
      <c r="I565" s="2" t="s">
        <v>19</v>
      </c>
      <c r="J565" s="2" t="s">
        <v>1629</v>
      </c>
      <c r="K565" s="7" t="str">
        <f>HYPERLINK("http://slimages.macys.com/is/image/MCY/11531058 ")</f>
        <v xml:space="preserve">http://slimages.macys.com/is/image/MCY/11531058 </v>
      </c>
    </row>
    <row r="566" spans="1:11" ht="24.75" x14ac:dyDescent="0.25">
      <c r="A566" s="4" t="s">
        <v>2868</v>
      </c>
      <c r="B566" s="2" t="s">
        <v>1627</v>
      </c>
      <c r="C566" s="5">
        <v>25.88</v>
      </c>
      <c r="D566" s="3" t="s">
        <v>1628</v>
      </c>
      <c r="E566" s="2" t="s">
        <v>70</v>
      </c>
      <c r="F566" s="6" t="s">
        <v>181</v>
      </c>
      <c r="G566" s="2" t="s">
        <v>194</v>
      </c>
      <c r="H566" s="2" t="s">
        <v>195</v>
      </c>
      <c r="I566" s="2" t="s">
        <v>19</v>
      </c>
      <c r="J566" s="2" t="s">
        <v>1629</v>
      </c>
      <c r="K566" s="7" t="str">
        <f>HYPERLINK("http://slimages.macys.com/is/image/MCY/11531058 ")</f>
        <v xml:space="preserve">http://slimages.macys.com/is/image/MCY/11531058 </v>
      </c>
    </row>
    <row r="567" spans="1:11" ht="24.75" x14ac:dyDescent="0.25">
      <c r="A567" s="4" t="s">
        <v>1636</v>
      </c>
      <c r="B567" s="2" t="s">
        <v>1635</v>
      </c>
      <c r="C567" s="5">
        <v>25.88</v>
      </c>
      <c r="D567" s="3">
        <v>100011992</v>
      </c>
      <c r="E567" s="2" t="s">
        <v>64</v>
      </c>
      <c r="F567" s="6" t="s">
        <v>154</v>
      </c>
      <c r="G567" s="2" t="s">
        <v>194</v>
      </c>
      <c r="H567" s="2" t="s">
        <v>195</v>
      </c>
      <c r="I567" s="2" t="s">
        <v>19</v>
      </c>
      <c r="J567" s="2" t="s">
        <v>1617</v>
      </c>
      <c r="K567" s="7" t="str">
        <f>HYPERLINK("http://slimages.macys.com/is/image/MCY/13314771 ")</f>
        <v xml:space="preserve">http://slimages.macys.com/is/image/MCY/13314771 </v>
      </c>
    </row>
    <row r="568" spans="1:11" ht="24.75" x14ac:dyDescent="0.25">
      <c r="A568" s="4" t="s">
        <v>2869</v>
      </c>
      <c r="B568" s="2" t="s">
        <v>1635</v>
      </c>
      <c r="C568" s="5">
        <v>25.88</v>
      </c>
      <c r="D568" s="3">
        <v>100011992</v>
      </c>
      <c r="E568" s="2" t="s">
        <v>57</v>
      </c>
      <c r="F568" s="6" t="s">
        <v>154</v>
      </c>
      <c r="G568" s="2" t="s">
        <v>194</v>
      </c>
      <c r="H568" s="2" t="s">
        <v>195</v>
      </c>
      <c r="I568" s="2" t="s">
        <v>19</v>
      </c>
      <c r="J568" s="2" t="s">
        <v>1617</v>
      </c>
      <c r="K568" s="7" t="str">
        <f>HYPERLINK("http://slimages.macys.com/is/image/MCY/13314771 ")</f>
        <v xml:space="preserve">http://slimages.macys.com/is/image/MCY/13314771 </v>
      </c>
    </row>
    <row r="569" spans="1:11" ht="24.75" x14ac:dyDescent="0.25">
      <c r="A569" s="4" t="s">
        <v>2870</v>
      </c>
      <c r="B569" s="2" t="s">
        <v>1635</v>
      </c>
      <c r="C569" s="5">
        <v>25.88</v>
      </c>
      <c r="D569" s="3">
        <v>100011992</v>
      </c>
      <c r="E569" s="2" t="s">
        <v>64</v>
      </c>
      <c r="F569" s="6" t="s">
        <v>181</v>
      </c>
      <c r="G569" s="2" t="s">
        <v>194</v>
      </c>
      <c r="H569" s="2" t="s">
        <v>195</v>
      </c>
      <c r="I569" s="2" t="s">
        <v>19</v>
      </c>
      <c r="J569" s="2" t="s">
        <v>1617</v>
      </c>
      <c r="K569" s="7" t="str">
        <f>HYPERLINK("http://slimages.macys.com/is/image/MCY/13314771 ")</f>
        <v xml:space="preserve">http://slimages.macys.com/is/image/MCY/13314771 </v>
      </c>
    </row>
    <row r="570" spans="1:11" ht="24.75" x14ac:dyDescent="0.25">
      <c r="A570" s="4" t="s">
        <v>2871</v>
      </c>
      <c r="B570" s="2" t="s">
        <v>1635</v>
      </c>
      <c r="C570" s="5">
        <v>25.88</v>
      </c>
      <c r="D570" s="3">
        <v>100011992</v>
      </c>
      <c r="E570" s="2" t="s">
        <v>33</v>
      </c>
      <c r="F570" s="6" t="s">
        <v>154</v>
      </c>
      <c r="G570" s="2" t="s">
        <v>194</v>
      </c>
      <c r="H570" s="2" t="s">
        <v>195</v>
      </c>
      <c r="I570" s="2" t="s">
        <v>19</v>
      </c>
      <c r="J570" s="2" t="s">
        <v>1617</v>
      </c>
      <c r="K570" s="7" t="str">
        <f>HYPERLINK("http://slimages.macys.com/is/image/MCY/13314771 ")</f>
        <v xml:space="preserve">http://slimages.macys.com/is/image/MCY/13314771 </v>
      </c>
    </row>
    <row r="571" spans="1:11" ht="24.75" x14ac:dyDescent="0.25">
      <c r="A571" s="4" t="s">
        <v>2872</v>
      </c>
      <c r="B571" s="2" t="s">
        <v>1635</v>
      </c>
      <c r="C571" s="5">
        <v>25.88</v>
      </c>
      <c r="D571" s="3">
        <v>100011992</v>
      </c>
      <c r="E571" s="2" t="s">
        <v>64</v>
      </c>
      <c r="F571" s="6" t="s">
        <v>245</v>
      </c>
      <c r="G571" s="2" t="s">
        <v>194</v>
      </c>
      <c r="H571" s="2" t="s">
        <v>195</v>
      </c>
      <c r="I571" s="2" t="s">
        <v>19</v>
      </c>
      <c r="J571" s="2" t="s">
        <v>1617</v>
      </c>
      <c r="K571" s="7" t="str">
        <f>HYPERLINK("http://slimages.macys.com/is/image/MCY/13314771 ")</f>
        <v xml:space="preserve">http://slimages.macys.com/is/image/MCY/13314771 </v>
      </c>
    </row>
    <row r="572" spans="1:11" ht="24.75" x14ac:dyDescent="0.25">
      <c r="A572" s="4" t="s">
        <v>2873</v>
      </c>
      <c r="B572" s="2" t="s">
        <v>2874</v>
      </c>
      <c r="C572" s="5">
        <v>24.99</v>
      </c>
      <c r="D572" s="3" t="s">
        <v>2875</v>
      </c>
      <c r="E572" s="2" t="s">
        <v>33</v>
      </c>
      <c r="F572" s="6"/>
      <c r="G572" s="2" t="s">
        <v>1425</v>
      </c>
      <c r="H572" s="2" t="s">
        <v>1469</v>
      </c>
      <c r="I572" s="2" t="s">
        <v>19</v>
      </c>
      <c r="J572" s="2" t="s">
        <v>648</v>
      </c>
      <c r="K572" s="7" t="str">
        <f>HYPERLINK("http://slimages.macys.com/is/image/MCY/11417681 ")</f>
        <v xml:space="preserve">http://slimages.macys.com/is/image/MCY/11417681 </v>
      </c>
    </row>
    <row r="573" spans="1:11" ht="24.75" x14ac:dyDescent="0.25">
      <c r="A573" s="4" t="s">
        <v>2876</v>
      </c>
      <c r="B573" s="2" t="s">
        <v>1635</v>
      </c>
      <c r="C573" s="5">
        <v>25.88</v>
      </c>
      <c r="D573" s="3">
        <v>100011992</v>
      </c>
      <c r="E573" s="2" t="s">
        <v>53</v>
      </c>
      <c r="F573" s="6" t="s">
        <v>154</v>
      </c>
      <c r="G573" s="2" t="s">
        <v>194</v>
      </c>
      <c r="H573" s="2" t="s">
        <v>195</v>
      </c>
      <c r="I573" s="2" t="s">
        <v>19</v>
      </c>
      <c r="J573" s="2" t="s">
        <v>1617</v>
      </c>
      <c r="K573" s="7" t="str">
        <f>HYPERLINK("http://slimages.macys.com/is/image/MCY/13314771 ")</f>
        <v xml:space="preserve">http://slimages.macys.com/is/image/MCY/13314771 </v>
      </c>
    </row>
    <row r="574" spans="1:11" ht="24.75" x14ac:dyDescent="0.25">
      <c r="A574" s="4" t="s">
        <v>2877</v>
      </c>
      <c r="B574" s="2" t="s">
        <v>2878</v>
      </c>
      <c r="C574" s="5">
        <v>29.63</v>
      </c>
      <c r="D574" s="3" t="s">
        <v>2879</v>
      </c>
      <c r="E574" s="2" t="s">
        <v>64</v>
      </c>
      <c r="F574" s="6" t="s">
        <v>156</v>
      </c>
      <c r="G574" s="2" t="s">
        <v>194</v>
      </c>
      <c r="H574" s="2" t="s">
        <v>195</v>
      </c>
      <c r="I574" s="2" t="s">
        <v>19</v>
      </c>
      <c r="J574" s="2" t="s">
        <v>1108</v>
      </c>
      <c r="K574" s="7" t="str">
        <f>HYPERLINK("http://slimages.macys.com/is/image/MCY/12144113 ")</f>
        <v xml:space="preserve">http://slimages.macys.com/is/image/MCY/12144113 </v>
      </c>
    </row>
    <row r="575" spans="1:11" ht="24.75" x14ac:dyDescent="0.25">
      <c r="A575" s="4" t="s">
        <v>2880</v>
      </c>
      <c r="B575" s="2" t="s">
        <v>2878</v>
      </c>
      <c r="C575" s="5">
        <v>29.63</v>
      </c>
      <c r="D575" s="3" t="s">
        <v>2879</v>
      </c>
      <c r="E575" s="2" t="s">
        <v>64</v>
      </c>
      <c r="F575" s="6" t="s">
        <v>181</v>
      </c>
      <c r="G575" s="2" t="s">
        <v>194</v>
      </c>
      <c r="H575" s="2" t="s">
        <v>195</v>
      </c>
      <c r="I575" s="2" t="s">
        <v>19</v>
      </c>
      <c r="J575" s="2" t="s">
        <v>1108</v>
      </c>
      <c r="K575" s="7" t="str">
        <f>HYPERLINK("http://slimages.macys.com/is/image/MCY/12144113 ")</f>
        <v xml:space="preserve">http://slimages.macys.com/is/image/MCY/12144113 </v>
      </c>
    </row>
    <row r="576" spans="1:11" x14ac:dyDescent="0.25">
      <c r="A576" s="4" t="s">
        <v>1641</v>
      </c>
      <c r="B576" s="2" t="s">
        <v>1642</v>
      </c>
      <c r="C576" s="5">
        <v>49.5</v>
      </c>
      <c r="D576" s="3" t="s">
        <v>1643</v>
      </c>
      <c r="E576" s="2" t="s">
        <v>566</v>
      </c>
      <c r="F576" s="6"/>
      <c r="G576" s="2" t="s">
        <v>206</v>
      </c>
      <c r="H576" s="2" t="s">
        <v>207</v>
      </c>
      <c r="I576" s="2" t="s">
        <v>19</v>
      </c>
      <c r="J576" s="2" t="s">
        <v>160</v>
      </c>
      <c r="K576" s="7" t="str">
        <f>HYPERLINK("http://slimages.macys.com/is/image/MCY/13936546 ")</f>
        <v xml:space="preserve">http://slimages.macys.com/is/image/MCY/13936546 </v>
      </c>
    </row>
    <row r="577" spans="1:11" ht="24.75" x14ac:dyDescent="0.25">
      <c r="A577" s="4" t="s">
        <v>1660</v>
      </c>
      <c r="B577" s="2" t="s">
        <v>1645</v>
      </c>
      <c r="C577" s="5">
        <v>19.989999999999998</v>
      </c>
      <c r="D577" s="3" t="s">
        <v>1646</v>
      </c>
      <c r="E577" s="2" t="s">
        <v>70</v>
      </c>
      <c r="F577" s="6" t="s">
        <v>154</v>
      </c>
      <c r="G577" s="2" t="s">
        <v>194</v>
      </c>
      <c r="H577" s="2" t="s">
        <v>195</v>
      </c>
      <c r="I577" s="2" t="s">
        <v>19</v>
      </c>
      <c r="J577" s="2" t="s">
        <v>1647</v>
      </c>
      <c r="K577" s="7" t="str">
        <f>HYPERLINK("http://slimages.macys.com/is/image/MCY/11701460 ")</f>
        <v xml:space="preserve">http://slimages.macys.com/is/image/MCY/11701460 </v>
      </c>
    </row>
    <row r="578" spans="1:11" ht="24.75" x14ac:dyDescent="0.25">
      <c r="A578" s="4" t="s">
        <v>2881</v>
      </c>
      <c r="B578" s="2" t="s">
        <v>1645</v>
      </c>
      <c r="C578" s="5">
        <v>19.989999999999998</v>
      </c>
      <c r="D578" s="3" t="s">
        <v>1646</v>
      </c>
      <c r="E578" s="2" t="s">
        <v>74</v>
      </c>
      <c r="F578" s="6" t="s">
        <v>181</v>
      </c>
      <c r="G578" s="2" t="s">
        <v>194</v>
      </c>
      <c r="H578" s="2" t="s">
        <v>195</v>
      </c>
      <c r="I578" s="2" t="s">
        <v>19</v>
      </c>
      <c r="J578" s="2" t="s">
        <v>1647</v>
      </c>
      <c r="K578" s="7" t="str">
        <f>HYPERLINK("http://slimages.macys.com/is/image/MCY/12405276 ")</f>
        <v xml:space="preserve">http://slimages.macys.com/is/image/MCY/12405276 </v>
      </c>
    </row>
    <row r="579" spans="1:11" ht="24.75" x14ac:dyDescent="0.25">
      <c r="A579" s="4" t="s">
        <v>1662</v>
      </c>
      <c r="B579" s="2" t="s">
        <v>1645</v>
      </c>
      <c r="C579" s="5">
        <v>19.989999999999998</v>
      </c>
      <c r="D579" s="3" t="s">
        <v>1646</v>
      </c>
      <c r="E579" s="2" t="s">
        <v>820</v>
      </c>
      <c r="F579" s="6" t="s">
        <v>234</v>
      </c>
      <c r="G579" s="2" t="s">
        <v>194</v>
      </c>
      <c r="H579" s="2" t="s">
        <v>195</v>
      </c>
      <c r="I579" s="2" t="s">
        <v>19</v>
      </c>
      <c r="J579" s="2" t="s">
        <v>1647</v>
      </c>
      <c r="K579" s="7" t="str">
        <f>HYPERLINK("http://slimages.macys.com/is/image/MCY/12405276 ")</f>
        <v xml:space="preserve">http://slimages.macys.com/is/image/MCY/12405276 </v>
      </c>
    </row>
    <row r="580" spans="1:11" ht="24.75" x14ac:dyDescent="0.25">
      <c r="A580" s="4" t="s">
        <v>2882</v>
      </c>
      <c r="B580" s="2" t="s">
        <v>1649</v>
      </c>
      <c r="C580" s="5">
        <v>19.989999999999998</v>
      </c>
      <c r="D580" s="3" t="s">
        <v>1650</v>
      </c>
      <c r="E580" s="2" t="s">
        <v>820</v>
      </c>
      <c r="F580" s="6" t="s">
        <v>156</v>
      </c>
      <c r="G580" s="2" t="s">
        <v>194</v>
      </c>
      <c r="H580" s="2" t="s">
        <v>195</v>
      </c>
      <c r="I580" s="2" t="s">
        <v>19</v>
      </c>
      <c r="J580" s="2" t="s">
        <v>247</v>
      </c>
      <c r="K580" s="7" t="str">
        <f>HYPERLINK("http://slimages.macys.com/is/image/MCY/11466486 ")</f>
        <v xml:space="preserve">http://slimages.macys.com/is/image/MCY/11466486 </v>
      </c>
    </row>
    <row r="581" spans="1:11" ht="24.75" x14ac:dyDescent="0.25">
      <c r="A581" s="4" t="s">
        <v>1644</v>
      </c>
      <c r="B581" s="2" t="s">
        <v>1645</v>
      </c>
      <c r="C581" s="5">
        <v>19.989999999999998</v>
      </c>
      <c r="D581" s="3" t="s">
        <v>1646</v>
      </c>
      <c r="E581" s="2" t="s">
        <v>70</v>
      </c>
      <c r="F581" s="6" t="s">
        <v>181</v>
      </c>
      <c r="G581" s="2" t="s">
        <v>194</v>
      </c>
      <c r="H581" s="2" t="s">
        <v>195</v>
      </c>
      <c r="I581" s="2" t="s">
        <v>19</v>
      </c>
      <c r="J581" s="2" t="s">
        <v>1647</v>
      </c>
      <c r="K581" s="7" t="str">
        <f>HYPERLINK("http://slimages.macys.com/is/image/MCY/11701460 ")</f>
        <v xml:space="preserve">http://slimages.macys.com/is/image/MCY/11701460 </v>
      </c>
    </row>
    <row r="582" spans="1:11" x14ac:dyDescent="0.25">
      <c r="A582" s="4" t="s">
        <v>2883</v>
      </c>
      <c r="B582" s="2" t="s">
        <v>2884</v>
      </c>
      <c r="C582" s="5">
        <v>27.65</v>
      </c>
      <c r="D582" s="3" t="s">
        <v>2885</v>
      </c>
      <c r="E582" s="2" t="s">
        <v>26</v>
      </c>
      <c r="F582" s="6" t="s">
        <v>181</v>
      </c>
      <c r="G582" s="2" t="s">
        <v>182</v>
      </c>
      <c r="H582" s="2" t="s">
        <v>183</v>
      </c>
      <c r="I582" s="2" t="s">
        <v>19</v>
      </c>
      <c r="J582" s="2" t="s">
        <v>247</v>
      </c>
      <c r="K582" s="7" t="str">
        <f>HYPERLINK("http://slimages.macys.com/is/image/MCY/12851695 ")</f>
        <v xml:space="preserve">http://slimages.macys.com/is/image/MCY/12851695 </v>
      </c>
    </row>
    <row r="583" spans="1:11" x14ac:dyDescent="0.25">
      <c r="A583" s="4" t="s">
        <v>2886</v>
      </c>
      <c r="B583" s="2" t="s">
        <v>2884</v>
      </c>
      <c r="C583" s="5">
        <v>27.65</v>
      </c>
      <c r="D583" s="3" t="s">
        <v>2885</v>
      </c>
      <c r="E583" s="2" t="s">
        <v>26</v>
      </c>
      <c r="F583" s="6" t="s">
        <v>245</v>
      </c>
      <c r="G583" s="2" t="s">
        <v>182</v>
      </c>
      <c r="H583" s="2" t="s">
        <v>183</v>
      </c>
      <c r="I583" s="2" t="s">
        <v>19</v>
      </c>
      <c r="J583" s="2" t="s">
        <v>247</v>
      </c>
      <c r="K583" s="7" t="str">
        <f>HYPERLINK("http://slimages.macys.com/is/image/MCY/12851695 ")</f>
        <v xml:space="preserve">http://slimages.macys.com/is/image/MCY/12851695 </v>
      </c>
    </row>
    <row r="584" spans="1:11" ht="24.75" x14ac:dyDescent="0.25">
      <c r="A584" s="4" t="s">
        <v>2887</v>
      </c>
      <c r="B584" s="2" t="s">
        <v>1689</v>
      </c>
      <c r="C584" s="5">
        <v>25.88</v>
      </c>
      <c r="D584" s="3" t="s">
        <v>1690</v>
      </c>
      <c r="E584" s="2" t="s">
        <v>820</v>
      </c>
      <c r="F584" s="6" t="s">
        <v>156</v>
      </c>
      <c r="G584" s="2" t="s">
        <v>194</v>
      </c>
      <c r="H584" s="2" t="s">
        <v>195</v>
      </c>
      <c r="I584" s="2" t="s">
        <v>19</v>
      </c>
      <c r="J584" s="2" t="s">
        <v>648</v>
      </c>
      <c r="K584" s="7" t="str">
        <f>HYPERLINK("http://slimages.macys.com/is/image/MCY/3650047 ")</f>
        <v xml:space="preserve">http://slimages.macys.com/is/image/MCY/3650047 </v>
      </c>
    </row>
    <row r="585" spans="1:11" ht="24.75" x14ac:dyDescent="0.25">
      <c r="A585" s="4" t="s">
        <v>1686</v>
      </c>
      <c r="B585" s="2" t="s">
        <v>1683</v>
      </c>
      <c r="C585" s="5">
        <v>37.130000000000003</v>
      </c>
      <c r="D585" s="3" t="s">
        <v>1684</v>
      </c>
      <c r="E585" s="2" t="s">
        <v>74</v>
      </c>
      <c r="F585" s="6" t="s">
        <v>154</v>
      </c>
      <c r="G585" s="2" t="s">
        <v>194</v>
      </c>
      <c r="H585" s="2" t="s">
        <v>195</v>
      </c>
      <c r="I585" s="2" t="s">
        <v>19</v>
      </c>
      <c r="J585" s="2" t="s">
        <v>247</v>
      </c>
      <c r="K585" s="7" t="str">
        <f>HYPERLINK("http://slimages.macys.com/is/image/MCY/13121030 ")</f>
        <v xml:space="preserve">http://slimages.macys.com/is/image/MCY/13121030 </v>
      </c>
    </row>
    <row r="586" spans="1:11" ht="24.75" x14ac:dyDescent="0.25">
      <c r="A586" s="4" t="s">
        <v>2888</v>
      </c>
      <c r="B586" s="2" t="s">
        <v>1689</v>
      </c>
      <c r="C586" s="5">
        <v>25.88</v>
      </c>
      <c r="D586" s="3" t="s">
        <v>1690</v>
      </c>
      <c r="E586" s="2" t="s">
        <v>1584</v>
      </c>
      <c r="F586" s="6" t="s">
        <v>154</v>
      </c>
      <c r="G586" s="2" t="s">
        <v>194</v>
      </c>
      <c r="H586" s="2" t="s">
        <v>195</v>
      </c>
      <c r="I586" s="2" t="s">
        <v>19</v>
      </c>
      <c r="J586" s="2" t="s">
        <v>648</v>
      </c>
      <c r="K586" s="7" t="str">
        <f>HYPERLINK("http://slimages.macys.com/is/image/MCY/3650047 ")</f>
        <v xml:space="preserve">http://slimages.macys.com/is/image/MCY/3650047 </v>
      </c>
    </row>
    <row r="587" spans="1:11" ht="24.75" x14ac:dyDescent="0.25">
      <c r="A587" s="4" t="s">
        <v>2889</v>
      </c>
      <c r="B587" s="2" t="s">
        <v>1689</v>
      </c>
      <c r="C587" s="5">
        <v>25.88</v>
      </c>
      <c r="D587" s="3" t="s">
        <v>1690</v>
      </c>
      <c r="E587" s="2" t="s">
        <v>1584</v>
      </c>
      <c r="F587" s="6" t="s">
        <v>181</v>
      </c>
      <c r="G587" s="2" t="s">
        <v>194</v>
      </c>
      <c r="H587" s="2" t="s">
        <v>195</v>
      </c>
      <c r="I587" s="2" t="s">
        <v>19</v>
      </c>
      <c r="J587" s="2" t="s">
        <v>648</v>
      </c>
      <c r="K587" s="7" t="str">
        <f>HYPERLINK("http://slimages.macys.com/is/image/MCY/3650047 ")</f>
        <v xml:space="preserve">http://slimages.macys.com/is/image/MCY/3650047 </v>
      </c>
    </row>
    <row r="588" spans="1:11" ht="24.75" x14ac:dyDescent="0.25">
      <c r="A588" s="4" t="s">
        <v>2890</v>
      </c>
      <c r="B588" s="2" t="s">
        <v>1689</v>
      </c>
      <c r="C588" s="5">
        <v>25.88</v>
      </c>
      <c r="D588" s="3" t="s">
        <v>1690</v>
      </c>
      <c r="E588" s="2" t="s">
        <v>820</v>
      </c>
      <c r="F588" s="6" t="s">
        <v>234</v>
      </c>
      <c r="G588" s="2" t="s">
        <v>194</v>
      </c>
      <c r="H588" s="2" t="s">
        <v>195</v>
      </c>
      <c r="I588" s="2" t="s">
        <v>19</v>
      </c>
      <c r="J588" s="2" t="s">
        <v>648</v>
      </c>
      <c r="K588" s="7" t="str">
        <f>HYPERLINK("http://slimages.macys.com/is/image/MCY/3650047 ")</f>
        <v xml:space="preserve">http://slimages.macys.com/is/image/MCY/3650047 </v>
      </c>
    </row>
    <row r="589" spans="1:11" ht="24.75" x14ac:dyDescent="0.25">
      <c r="A589" s="4" t="s">
        <v>2891</v>
      </c>
      <c r="B589" s="2" t="s">
        <v>2892</v>
      </c>
      <c r="C589" s="5">
        <v>19.989999999999998</v>
      </c>
      <c r="D589" s="3" t="s">
        <v>2893</v>
      </c>
      <c r="E589" s="2" t="s">
        <v>70</v>
      </c>
      <c r="F589" s="6" t="s">
        <v>245</v>
      </c>
      <c r="G589" s="2" t="s">
        <v>1473</v>
      </c>
      <c r="H589" s="2" t="s">
        <v>1426</v>
      </c>
      <c r="I589" s="2" t="s">
        <v>19</v>
      </c>
      <c r="J589" s="2" t="s">
        <v>495</v>
      </c>
      <c r="K589" s="7" t="str">
        <f>HYPERLINK("http://slimages.macys.com/is/image/MCY/12550012 ")</f>
        <v xml:space="preserve">http://slimages.macys.com/is/image/MCY/12550012 </v>
      </c>
    </row>
    <row r="590" spans="1:11" ht="24.75" x14ac:dyDescent="0.25">
      <c r="A590" s="4" t="s">
        <v>2894</v>
      </c>
      <c r="B590" s="2" t="s">
        <v>1699</v>
      </c>
      <c r="C590" s="5">
        <v>19.989999999999998</v>
      </c>
      <c r="D590" s="3" t="s">
        <v>1700</v>
      </c>
      <c r="E590" s="2" t="s">
        <v>26</v>
      </c>
      <c r="F590" s="6" t="s">
        <v>245</v>
      </c>
      <c r="G590" s="2" t="s">
        <v>1473</v>
      </c>
      <c r="H590" s="2" t="s">
        <v>1426</v>
      </c>
      <c r="I590" s="2" t="s">
        <v>19</v>
      </c>
      <c r="J590" s="2" t="s">
        <v>990</v>
      </c>
      <c r="K590" s="7" t="str">
        <f>HYPERLINK("http://slimages.macys.com/is/image/MCY/11831242 ")</f>
        <v xml:space="preserve">http://slimages.macys.com/is/image/MCY/11831242 </v>
      </c>
    </row>
    <row r="591" spans="1:11" ht="24.75" x14ac:dyDescent="0.25">
      <c r="A591" s="4" t="s">
        <v>1702</v>
      </c>
      <c r="B591" s="2" t="s">
        <v>1699</v>
      </c>
      <c r="C591" s="5">
        <v>19.989999999999998</v>
      </c>
      <c r="D591" s="3" t="s">
        <v>1700</v>
      </c>
      <c r="E591" s="2" t="s">
        <v>26</v>
      </c>
      <c r="F591" s="6" t="s">
        <v>181</v>
      </c>
      <c r="G591" s="2" t="s">
        <v>1473</v>
      </c>
      <c r="H591" s="2" t="s">
        <v>1426</v>
      </c>
      <c r="I591" s="2" t="s">
        <v>19</v>
      </c>
      <c r="J591" s="2" t="s">
        <v>990</v>
      </c>
      <c r="K591" s="7" t="str">
        <f>HYPERLINK("http://slimages.macys.com/is/image/MCY/11831242 ")</f>
        <v xml:space="preserve">http://slimages.macys.com/is/image/MCY/11831242 </v>
      </c>
    </row>
    <row r="592" spans="1:11" ht="24.75" x14ac:dyDescent="0.25">
      <c r="A592" s="4" t="s">
        <v>2895</v>
      </c>
      <c r="B592" s="2" t="s">
        <v>1699</v>
      </c>
      <c r="C592" s="5">
        <v>19.989999999999998</v>
      </c>
      <c r="D592" s="3" t="s">
        <v>1700</v>
      </c>
      <c r="E592" s="2" t="s">
        <v>26</v>
      </c>
      <c r="F592" s="6" t="s">
        <v>156</v>
      </c>
      <c r="G592" s="2" t="s">
        <v>1473</v>
      </c>
      <c r="H592" s="2" t="s">
        <v>1426</v>
      </c>
      <c r="I592" s="2" t="s">
        <v>19</v>
      </c>
      <c r="J592" s="2" t="s">
        <v>990</v>
      </c>
      <c r="K592" s="7" t="str">
        <f>HYPERLINK("http://slimages.macys.com/is/image/MCY/11831242 ")</f>
        <v xml:space="preserve">http://slimages.macys.com/is/image/MCY/11831242 </v>
      </c>
    </row>
    <row r="593" spans="1:11" ht="24.75" x14ac:dyDescent="0.25">
      <c r="A593" s="4" t="s">
        <v>2896</v>
      </c>
      <c r="B593" s="2" t="s">
        <v>1699</v>
      </c>
      <c r="C593" s="5">
        <v>19.989999999999998</v>
      </c>
      <c r="D593" s="3" t="s">
        <v>1700</v>
      </c>
      <c r="E593" s="2" t="s">
        <v>94</v>
      </c>
      <c r="F593" s="6" t="s">
        <v>181</v>
      </c>
      <c r="G593" s="2" t="s">
        <v>1473</v>
      </c>
      <c r="H593" s="2" t="s">
        <v>1426</v>
      </c>
      <c r="I593" s="2" t="s">
        <v>19</v>
      </c>
      <c r="J593" s="2" t="s">
        <v>990</v>
      </c>
      <c r="K593" s="7" t="str">
        <f>HYPERLINK("http://slimages.macys.com/is/image/MCY/11831242 ")</f>
        <v xml:space="preserve">http://slimages.macys.com/is/image/MCY/11831242 </v>
      </c>
    </row>
    <row r="594" spans="1:11" ht="24.75" x14ac:dyDescent="0.25">
      <c r="A594" s="4" t="s">
        <v>2897</v>
      </c>
      <c r="B594" s="2" t="s">
        <v>1253</v>
      </c>
      <c r="C594" s="5">
        <v>24.99</v>
      </c>
      <c r="D594" s="3" t="s">
        <v>2898</v>
      </c>
      <c r="E594" s="2" t="s">
        <v>417</v>
      </c>
      <c r="F594" s="6" t="s">
        <v>336</v>
      </c>
      <c r="G594" s="2" t="s">
        <v>426</v>
      </c>
      <c r="H594" s="2" t="s">
        <v>863</v>
      </c>
      <c r="I594" s="2" t="s">
        <v>19</v>
      </c>
      <c r="J594" s="2" t="s">
        <v>253</v>
      </c>
      <c r="K594" s="7" t="str">
        <f>HYPERLINK("http://slimages.macys.com/is/image/MCY/9029356 ")</f>
        <v xml:space="preserve">http://slimages.macys.com/is/image/MCY/9029356 </v>
      </c>
    </row>
    <row r="595" spans="1:11" ht="24.75" x14ac:dyDescent="0.25">
      <c r="A595" s="4" t="s">
        <v>2899</v>
      </c>
      <c r="B595" s="2" t="s">
        <v>1705</v>
      </c>
      <c r="C595" s="5">
        <v>24.99</v>
      </c>
      <c r="D595" s="3" t="s">
        <v>1706</v>
      </c>
      <c r="E595" s="2" t="s">
        <v>15</v>
      </c>
      <c r="F595" s="6" t="s">
        <v>219</v>
      </c>
      <c r="G595" s="2" t="s">
        <v>1425</v>
      </c>
      <c r="H595" s="2" t="s">
        <v>1469</v>
      </c>
      <c r="I595" s="2" t="s">
        <v>19</v>
      </c>
      <c r="J595" s="2" t="s">
        <v>990</v>
      </c>
      <c r="K595" s="7" t="str">
        <f>HYPERLINK("http://slimages.macys.com/is/image/MCY/9127920 ")</f>
        <v xml:space="preserve">http://slimages.macys.com/is/image/MCY/9127920 </v>
      </c>
    </row>
    <row r="596" spans="1:11" ht="24.75" x14ac:dyDescent="0.25">
      <c r="A596" s="4" t="s">
        <v>2900</v>
      </c>
      <c r="B596" s="2" t="s">
        <v>1705</v>
      </c>
      <c r="C596" s="5">
        <v>24.99</v>
      </c>
      <c r="D596" s="3" t="s">
        <v>1706</v>
      </c>
      <c r="E596" s="2" t="s">
        <v>64</v>
      </c>
      <c r="F596" s="6"/>
      <c r="G596" s="2" t="s">
        <v>1425</v>
      </c>
      <c r="H596" s="2" t="s">
        <v>1469</v>
      </c>
      <c r="I596" s="2" t="s">
        <v>19</v>
      </c>
      <c r="J596" s="2" t="s">
        <v>990</v>
      </c>
      <c r="K596" s="7" t="str">
        <f>HYPERLINK("http://slimages.macys.com/is/image/MCY/9127920 ")</f>
        <v xml:space="preserve">http://slimages.macys.com/is/image/MCY/9127920 </v>
      </c>
    </row>
    <row r="597" spans="1:11" ht="24.75" x14ac:dyDescent="0.25">
      <c r="A597" s="4" t="s">
        <v>2901</v>
      </c>
      <c r="B597" s="2" t="s">
        <v>1705</v>
      </c>
      <c r="C597" s="5">
        <v>24.99</v>
      </c>
      <c r="D597" s="3" t="s">
        <v>1706</v>
      </c>
      <c r="E597" s="2" t="s">
        <v>15</v>
      </c>
      <c r="F597" s="6" t="s">
        <v>187</v>
      </c>
      <c r="G597" s="2" t="s">
        <v>1425</v>
      </c>
      <c r="H597" s="2" t="s">
        <v>1469</v>
      </c>
      <c r="I597" s="2" t="s">
        <v>19</v>
      </c>
      <c r="J597" s="2" t="s">
        <v>990</v>
      </c>
      <c r="K597" s="7" t="str">
        <f>HYPERLINK("http://slimages.macys.com/is/image/MCY/9127920 ")</f>
        <v xml:space="preserve">http://slimages.macys.com/is/image/MCY/9127920 </v>
      </c>
    </row>
    <row r="598" spans="1:11" ht="24.75" x14ac:dyDescent="0.25">
      <c r="A598" s="4" t="s">
        <v>2902</v>
      </c>
      <c r="B598" s="2" t="s">
        <v>1712</v>
      </c>
      <c r="C598" s="5">
        <v>19.989999999999998</v>
      </c>
      <c r="D598" s="3" t="s">
        <v>2903</v>
      </c>
      <c r="E598" s="2" t="s">
        <v>417</v>
      </c>
      <c r="F598" s="6" t="s">
        <v>154</v>
      </c>
      <c r="G598" s="2" t="s">
        <v>194</v>
      </c>
      <c r="H598" s="2" t="s">
        <v>195</v>
      </c>
      <c r="I598" s="2" t="s">
        <v>19</v>
      </c>
      <c r="J598" s="2" t="s">
        <v>160</v>
      </c>
      <c r="K598" s="7" t="str">
        <f>HYPERLINK("http://slimages.macys.com/is/image/MCY/12405238 ")</f>
        <v xml:space="preserve">http://slimages.macys.com/is/image/MCY/12405238 </v>
      </c>
    </row>
    <row r="599" spans="1:11" ht="24.75" x14ac:dyDescent="0.25">
      <c r="A599" s="4" t="s">
        <v>2904</v>
      </c>
      <c r="B599" s="2" t="s">
        <v>1712</v>
      </c>
      <c r="C599" s="5">
        <v>19.989999999999998</v>
      </c>
      <c r="D599" s="3" t="s">
        <v>2905</v>
      </c>
      <c r="E599" s="2" t="s">
        <v>15</v>
      </c>
      <c r="F599" s="6" t="s">
        <v>200</v>
      </c>
      <c r="G599" s="2" t="s">
        <v>194</v>
      </c>
      <c r="H599" s="2" t="s">
        <v>195</v>
      </c>
      <c r="I599" s="2" t="s">
        <v>19</v>
      </c>
      <c r="J599" s="2" t="s">
        <v>160</v>
      </c>
      <c r="K599" s="7" t="str">
        <f>HYPERLINK("http://slimages.macys.com/is/image/MCY/13317759 ")</f>
        <v xml:space="preserve">http://slimages.macys.com/is/image/MCY/13317759 </v>
      </c>
    </row>
    <row r="600" spans="1:11" ht="24.75" x14ac:dyDescent="0.25">
      <c r="A600" s="4" t="s">
        <v>2906</v>
      </c>
      <c r="B600" s="2" t="s">
        <v>2907</v>
      </c>
      <c r="C600" s="5">
        <v>19.989999999999998</v>
      </c>
      <c r="D600" s="3" t="s">
        <v>2908</v>
      </c>
      <c r="E600" s="2" t="s">
        <v>74</v>
      </c>
      <c r="F600" s="6" t="s">
        <v>156</v>
      </c>
      <c r="G600" s="2" t="s">
        <v>194</v>
      </c>
      <c r="H600" s="2" t="s">
        <v>195</v>
      </c>
      <c r="I600" s="2" t="s">
        <v>19</v>
      </c>
      <c r="J600" s="2" t="s">
        <v>160</v>
      </c>
      <c r="K600" s="7" t="str">
        <f>HYPERLINK("http://slimages.macys.com/is/image/MCY/12405238 ")</f>
        <v xml:space="preserve">http://slimages.macys.com/is/image/MCY/12405238 </v>
      </c>
    </row>
    <row r="601" spans="1:11" ht="24.75" x14ac:dyDescent="0.25">
      <c r="A601" s="4" t="s">
        <v>2909</v>
      </c>
      <c r="B601" s="2" t="s">
        <v>1712</v>
      </c>
      <c r="C601" s="5">
        <v>19.989999999999998</v>
      </c>
      <c r="D601" s="3" t="s">
        <v>2903</v>
      </c>
      <c r="E601" s="2" t="s">
        <v>417</v>
      </c>
      <c r="F601" s="6" t="s">
        <v>181</v>
      </c>
      <c r="G601" s="2" t="s">
        <v>194</v>
      </c>
      <c r="H601" s="2" t="s">
        <v>195</v>
      </c>
      <c r="I601" s="2" t="s">
        <v>19</v>
      </c>
      <c r="J601" s="2" t="s">
        <v>160</v>
      </c>
      <c r="K601" s="7" t="str">
        <f>HYPERLINK("http://slimages.macys.com/is/image/MCY/12405238 ")</f>
        <v xml:space="preserve">http://slimages.macys.com/is/image/MCY/12405238 </v>
      </c>
    </row>
    <row r="602" spans="1:11" ht="36.75" x14ac:dyDescent="0.25">
      <c r="A602" s="4" t="s">
        <v>2910</v>
      </c>
      <c r="B602" s="2" t="s">
        <v>2911</v>
      </c>
      <c r="C602" s="5">
        <v>25.88</v>
      </c>
      <c r="D602" s="3">
        <v>100015718</v>
      </c>
      <c r="E602" s="2" t="s">
        <v>48</v>
      </c>
      <c r="F602" s="6" t="s">
        <v>154</v>
      </c>
      <c r="G602" s="2" t="s">
        <v>194</v>
      </c>
      <c r="H602" s="2" t="s">
        <v>195</v>
      </c>
      <c r="I602" s="2" t="s">
        <v>19</v>
      </c>
      <c r="J602" s="2" t="s">
        <v>1696</v>
      </c>
      <c r="K602" s="7" t="str">
        <f>HYPERLINK("http://slimages.macys.com/is/image/MCY/9504848 ")</f>
        <v xml:space="preserve">http://slimages.macys.com/is/image/MCY/9504848 </v>
      </c>
    </row>
    <row r="603" spans="1:11" ht="24.75" x14ac:dyDescent="0.25">
      <c r="A603" s="4" t="s">
        <v>2912</v>
      </c>
      <c r="B603" s="2" t="s">
        <v>2913</v>
      </c>
      <c r="C603" s="5">
        <v>34.880000000000003</v>
      </c>
      <c r="D603" s="3">
        <v>100054399</v>
      </c>
      <c r="E603" s="2" t="s">
        <v>199</v>
      </c>
      <c r="F603" s="6" t="s">
        <v>200</v>
      </c>
      <c r="G603" s="2" t="s">
        <v>194</v>
      </c>
      <c r="H603" s="2" t="s">
        <v>195</v>
      </c>
      <c r="I603" s="2" t="s">
        <v>19</v>
      </c>
      <c r="J603" s="2" t="s">
        <v>607</v>
      </c>
      <c r="K603" s="7" t="str">
        <f>HYPERLINK("http://slimages.macys.com/is/image/MCY/12850736 ")</f>
        <v xml:space="preserve">http://slimages.macys.com/is/image/MCY/12850736 </v>
      </c>
    </row>
    <row r="604" spans="1:11" ht="24.75" x14ac:dyDescent="0.25">
      <c r="A604" s="4" t="s">
        <v>2914</v>
      </c>
      <c r="B604" s="2" t="s">
        <v>1724</v>
      </c>
      <c r="C604" s="5">
        <v>34.880000000000003</v>
      </c>
      <c r="D604" s="3">
        <v>100018041</v>
      </c>
      <c r="E604" s="2" t="s">
        <v>566</v>
      </c>
      <c r="F604" s="6" t="s">
        <v>27</v>
      </c>
      <c r="G604" s="2" t="s">
        <v>194</v>
      </c>
      <c r="H604" s="2" t="s">
        <v>195</v>
      </c>
      <c r="I604" s="2" t="s">
        <v>19</v>
      </c>
      <c r="J604" s="2" t="s">
        <v>353</v>
      </c>
      <c r="K604" s="7" t="str">
        <f>HYPERLINK("http://slimages.macys.com/is/image/MCY/12950342 ")</f>
        <v xml:space="preserve">http://slimages.macys.com/is/image/MCY/12950342 </v>
      </c>
    </row>
    <row r="605" spans="1:11" ht="24.75" x14ac:dyDescent="0.25">
      <c r="A605" s="4" t="s">
        <v>2915</v>
      </c>
      <c r="B605" s="2" t="s">
        <v>1724</v>
      </c>
      <c r="C605" s="5">
        <v>34.880000000000003</v>
      </c>
      <c r="D605" s="3">
        <v>100018041</v>
      </c>
      <c r="E605" s="2" t="s">
        <v>566</v>
      </c>
      <c r="F605" s="6" t="s">
        <v>22</v>
      </c>
      <c r="G605" s="2" t="s">
        <v>194</v>
      </c>
      <c r="H605" s="2" t="s">
        <v>195</v>
      </c>
      <c r="I605" s="2" t="s">
        <v>19</v>
      </c>
      <c r="J605" s="2" t="s">
        <v>353</v>
      </c>
      <c r="K605" s="7" t="str">
        <f>HYPERLINK("http://slimages.macys.com/is/image/MCY/12950342 ")</f>
        <v xml:space="preserve">http://slimages.macys.com/is/image/MCY/12950342 </v>
      </c>
    </row>
    <row r="606" spans="1:11" ht="24.75" x14ac:dyDescent="0.25">
      <c r="A606" s="4" t="s">
        <v>2916</v>
      </c>
      <c r="B606" s="2" t="s">
        <v>1724</v>
      </c>
      <c r="C606" s="5">
        <v>34.880000000000003</v>
      </c>
      <c r="D606" s="3">
        <v>100018041</v>
      </c>
      <c r="E606" s="2" t="s">
        <v>566</v>
      </c>
      <c r="F606" s="6" t="s">
        <v>16</v>
      </c>
      <c r="G606" s="2" t="s">
        <v>194</v>
      </c>
      <c r="H606" s="2" t="s">
        <v>195</v>
      </c>
      <c r="I606" s="2" t="s">
        <v>19</v>
      </c>
      <c r="J606" s="2" t="s">
        <v>353</v>
      </c>
      <c r="K606" s="7" t="str">
        <f>HYPERLINK("http://slimages.macys.com/is/image/MCY/12950342 ")</f>
        <v xml:space="preserve">http://slimages.macys.com/is/image/MCY/12950342 </v>
      </c>
    </row>
    <row r="607" spans="1:11" ht="24.75" x14ac:dyDescent="0.25">
      <c r="A607" s="4" t="s">
        <v>2917</v>
      </c>
      <c r="B607" s="2" t="s">
        <v>2918</v>
      </c>
      <c r="C607" s="5">
        <v>19.989999999999998</v>
      </c>
      <c r="D607" s="3" t="s">
        <v>2919</v>
      </c>
      <c r="E607" s="2" t="s">
        <v>15</v>
      </c>
      <c r="F607" s="6" t="s">
        <v>187</v>
      </c>
      <c r="G607" s="2" t="s">
        <v>1425</v>
      </c>
      <c r="H607" s="2" t="s">
        <v>1426</v>
      </c>
      <c r="I607" s="2" t="s">
        <v>19</v>
      </c>
      <c r="J607" s="2" t="s">
        <v>495</v>
      </c>
      <c r="K607" s="7" t="str">
        <f>HYPERLINK("http://slimages.macys.com/is/image/MCY/12268445 ")</f>
        <v xml:space="preserve">http://slimages.macys.com/is/image/MCY/12268445 </v>
      </c>
    </row>
    <row r="608" spans="1:11" ht="24.75" x14ac:dyDescent="0.25">
      <c r="A608" s="4" t="s">
        <v>2920</v>
      </c>
      <c r="B608" s="2" t="s">
        <v>2921</v>
      </c>
      <c r="C608" s="5">
        <v>17.989999999999998</v>
      </c>
      <c r="D608" s="3" t="s">
        <v>2922</v>
      </c>
      <c r="E608" s="2" t="s">
        <v>64</v>
      </c>
      <c r="F608" s="6" t="s">
        <v>22</v>
      </c>
      <c r="G608" s="2" t="s">
        <v>1473</v>
      </c>
      <c r="H608" s="2" t="s">
        <v>1426</v>
      </c>
      <c r="I608" s="2" t="s">
        <v>19</v>
      </c>
      <c r="J608" s="2" t="s">
        <v>990</v>
      </c>
      <c r="K608" s="7" t="str">
        <f>HYPERLINK("http://slimages.macys.com/is/image/MCY/11882109 ")</f>
        <v xml:space="preserve">http://slimages.macys.com/is/image/MCY/11882109 </v>
      </c>
    </row>
    <row r="609" spans="1:11" ht="24.75" x14ac:dyDescent="0.25">
      <c r="A609" s="4" t="s">
        <v>2923</v>
      </c>
      <c r="B609" s="2" t="s">
        <v>2921</v>
      </c>
      <c r="C609" s="5">
        <v>17.989999999999998</v>
      </c>
      <c r="D609" s="3" t="s">
        <v>2922</v>
      </c>
      <c r="E609" s="2" t="s">
        <v>64</v>
      </c>
      <c r="F609" s="6" t="s">
        <v>27</v>
      </c>
      <c r="G609" s="2" t="s">
        <v>1473</v>
      </c>
      <c r="H609" s="2" t="s">
        <v>1426</v>
      </c>
      <c r="I609" s="2" t="s">
        <v>19</v>
      </c>
      <c r="J609" s="2" t="s">
        <v>990</v>
      </c>
      <c r="K609" s="7" t="str">
        <f>HYPERLINK("http://slimages.macys.com/is/image/MCY/11882109 ")</f>
        <v xml:space="preserve">http://slimages.macys.com/is/image/MCY/11882109 </v>
      </c>
    </row>
    <row r="610" spans="1:11" ht="24.75" x14ac:dyDescent="0.25">
      <c r="A610" s="4" t="s">
        <v>1731</v>
      </c>
      <c r="B610" s="2" t="s">
        <v>1732</v>
      </c>
      <c r="C610" s="5">
        <v>20.99</v>
      </c>
      <c r="D610" s="3" t="s">
        <v>1733</v>
      </c>
      <c r="E610" s="2" t="s">
        <v>15</v>
      </c>
      <c r="F610" s="6" t="s">
        <v>245</v>
      </c>
      <c r="G610" s="2" t="s">
        <v>1473</v>
      </c>
      <c r="H610" s="2" t="s">
        <v>1426</v>
      </c>
      <c r="I610" s="2" t="s">
        <v>19</v>
      </c>
      <c r="J610" s="2" t="s">
        <v>648</v>
      </c>
      <c r="K610" s="7" t="str">
        <f>HYPERLINK("http://slimages.macys.com/is/image/MCY/11995647 ")</f>
        <v xml:space="preserve">http://slimages.macys.com/is/image/MCY/11995647 </v>
      </c>
    </row>
    <row r="611" spans="1:11" ht="24.75" x14ac:dyDescent="0.25">
      <c r="A611" s="4" t="s">
        <v>2924</v>
      </c>
      <c r="B611" s="2" t="s">
        <v>1724</v>
      </c>
      <c r="C611" s="5">
        <v>34.880000000000003</v>
      </c>
      <c r="D611" s="3" t="s">
        <v>2925</v>
      </c>
      <c r="E611" s="2" t="s">
        <v>566</v>
      </c>
      <c r="F611" s="6" t="s">
        <v>934</v>
      </c>
      <c r="G611" s="2" t="s">
        <v>312</v>
      </c>
      <c r="H611" s="2" t="s">
        <v>195</v>
      </c>
      <c r="I611" s="2" t="s">
        <v>19</v>
      </c>
      <c r="J611" s="2" t="s">
        <v>353</v>
      </c>
      <c r="K611" s="7" t="str">
        <f>HYPERLINK("http://slimages.macys.com/is/image/MCY/9714189 ")</f>
        <v xml:space="preserve">http://slimages.macys.com/is/image/MCY/9714189 </v>
      </c>
    </row>
    <row r="612" spans="1:11" ht="24.75" x14ac:dyDescent="0.25">
      <c r="A612" s="4" t="s">
        <v>2926</v>
      </c>
      <c r="B612" s="2" t="s">
        <v>1724</v>
      </c>
      <c r="C612" s="5">
        <v>34.880000000000003</v>
      </c>
      <c r="D612" s="3" t="s">
        <v>2925</v>
      </c>
      <c r="E612" s="2" t="s">
        <v>566</v>
      </c>
      <c r="F612" s="6" t="s">
        <v>165</v>
      </c>
      <c r="G612" s="2" t="s">
        <v>312</v>
      </c>
      <c r="H612" s="2" t="s">
        <v>195</v>
      </c>
      <c r="I612" s="2" t="s">
        <v>19</v>
      </c>
      <c r="J612" s="2" t="s">
        <v>353</v>
      </c>
      <c r="K612" s="7" t="str">
        <f>HYPERLINK("http://slimages.macys.com/is/image/MCY/9714189 ")</f>
        <v xml:space="preserve">http://slimages.macys.com/is/image/MCY/9714189 </v>
      </c>
    </row>
    <row r="613" spans="1:11" ht="24.75" x14ac:dyDescent="0.25">
      <c r="A613" s="4" t="s">
        <v>2927</v>
      </c>
      <c r="B613" s="2" t="s">
        <v>1738</v>
      </c>
      <c r="C613" s="5">
        <v>29.63</v>
      </c>
      <c r="D613" s="3" t="s">
        <v>1739</v>
      </c>
      <c r="E613" s="2" t="s">
        <v>26</v>
      </c>
      <c r="F613" s="6" t="s">
        <v>154</v>
      </c>
      <c r="G613" s="2" t="s">
        <v>194</v>
      </c>
      <c r="H613" s="2" t="s">
        <v>195</v>
      </c>
      <c r="I613" s="2" t="s">
        <v>19</v>
      </c>
      <c r="J613" s="2" t="s">
        <v>1108</v>
      </c>
      <c r="K613" s="7" t="str">
        <f t="shared" ref="K613:K618" si="6">HYPERLINK("http://slimages.macys.com/is/image/MCY/12064042 ")</f>
        <v xml:space="preserve">http://slimages.macys.com/is/image/MCY/12064042 </v>
      </c>
    </row>
    <row r="614" spans="1:11" ht="24.75" x14ac:dyDescent="0.25">
      <c r="A614" s="4" t="s">
        <v>2928</v>
      </c>
      <c r="B614" s="2" t="s">
        <v>1738</v>
      </c>
      <c r="C614" s="5">
        <v>29.63</v>
      </c>
      <c r="D614" s="3" t="s">
        <v>1739</v>
      </c>
      <c r="E614" s="2" t="s">
        <v>26</v>
      </c>
      <c r="F614" s="6" t="s">
        <v>181</v>
      </c>
      <c r="G614" s="2" t="s">
        <v>194</v>
      </c>
      <c r="H614" s="2" t="s">
        <v>195</v>
      </c>
      <c r="I614" s="2" t="s">
        <v>19</v>
      </c>
      <c r="J614" s="2" t="s">
        <v>1108</v>
      </c>
      <c r="K614" s="7" t="str">
        <f t="shared" si="6"/>
        <v xml:space="preserve">http://slimages.macys.com/is/image/MCY/12064042 </v>
      </c>
    </row>
    <row r="615" spans="1:11" ht="24.75" x14ac:dyDescent="0.25">
      <c r="A615" s="4" t="s">
        <v>1740</v>
      </c>
      <c r="B615" s="2" t="s">
        <v>1738</v>
      </c>
      <c r="C615" s="5">
        <v>29.63</v>
      </c>
      <c r="D615" s="3" t="s">
        <v>1739</v>
      </c>
      <c r="E615" s="2" t="s">
        <v>15</v>
      </c>
      <c r="F615" s="6" t="s">
        <v>154</v>
      </c>
      <c r="G615" s="2" t="s">
        <v>194</v>
      </c>
      <c r="H615" s="2" t="s">
        <v>195</v>
      </c>
      <c r="I615" s="2" t="s">
        <v>19</v>
      </c>
      <c r="J615" s="2" t="s">
        <v>1108</v>
      </c>
      <c r="K615" s="7" t="str">
        <f t="shared" si="6"/>
        <v xml:space="preserve">http://slimages.macys.com/is/image/MCY/12064042 </v>
      </c>
    </row>
    <row r="616" spans="1:11" ht="24.75" x14ac:dyDescent="0.25">
      <c r="A616" s="4" t="s">
        <v>2929</v>
      </c>
      <c r="B616" s="2" t="s">
        <v>1738</v>
      </c>
      <c r="C616" s="5">
        <v>29.63</v>
      </c>
      <c r="D616" s="3" t="s">
        <v>1739</v>
      </c>
      <c r="E616" s="2" t="s">
        <v>26</v>
      </c>
      <c r="F616" s="6" t="s">
        <v>156</v>
      </c>
      <c r="G616" s="2" t="s">
        <v>194</v>
      </c>
      <c r="H616" s="2" t="s">
        <v>195</v>
      </c>
      <c r="I616" s="2" t="s">
        <v>19</v>
      </c>
      <c r="J616" s="2" t="s">
        <v>1108</v>
      </c>
      <c r="K616" s="7" t="str">
        <f t="shared" si="6"/>
        <v xml:space="preserve">http://slimages.macys.com/is/image/MCY/12064042 </v>
      </c>
    </row>
    <row r="617" spans="1:11" ht="24.75" x14ac:dyDescent="0.25">
      <c r="A617" s="4" t="s">
        <v>2930</v>
      </c>
      <c r="B617" s="2" t="s">
        <v>1738</v>
      </c>
      <c r="C617" s="5">
        <v>29.63</v>
      </c>
      <c r="D617" s="3" t="s">
        <v>1739</v>
      </c>
      <c r="E617" s="2" t="s">
        <v>15</v>
      </c>
      <c r="F617" s="6" t="s">
        <v>181</v>
      </c>
      <c r="G617" s="2" t="s">
        <v>194</v>
      </c>
      <c r="H617" s="2" t="s">
        <v>195</v>
      </c>
      <c r="I617" s="2" t="s">
        <v>19</v>
      </c>
      <c r="J617" s="2" t="s">
        <v>1108</v>
      </c>
      <c r="K617" s="7" t="str">
        <f t="shared" si="6"/>
        <v xml:space="preserve">http://slimages.macys.com/is/image/MCY/12064042 </v>
      </c>
    </row>
    <row r="618" spans="1:11" ht="24.75" x14ac:dyDescent="0.25">
      <c r="A618" s="4" t="s">
        <v>2931</v>
      </c>
      <c r="B618" s="2" t="s">
        <v>1738</v>
      </c>
      <c r="C618" s="5">
        <v>29.63</v>
      </c>
      <c r="D618" s="3" t="s">
        <v>1739</v>
      </c>
      <c r="E618" s="2" t="s">
        <v>15</v>
      </c>
      <c r="F618" s="6" t="s">
        <v>234</v>
      </c>
      <c r="G618" s="2" t="s">
        <v>194</v>
      </c>
      <c r="H618" s="2" t="s">
        <v>195</v>
      </c>
      <c r="I618" s="2" t="s">
        <v>19</v>
      </c>
      <c r="J618" s="2" t="s">
        <v>1108</v>
      </c>
      <c r="K618" s="7" t="str">
        <f t="shared" si="6"/>
        <v xml:space="preserve">http://slimages.macys.com/is/image/MCY/12064042 </v>
      </c>
    </row>
    <row r="619" spans="1:11" ht="24.75" x14ac:dyDescent="0.25">
      <c r="A619" s="4" t="s">
        <v>2932</v>
      </c>
      <c r="B619" s="2" t="s">
        <v>2933</v>
      </c>
      <c r="C619" s="5">
        <v>20.99</v>
      </c>
      <c r="D619" s="3" t="s">
        <v>2934</v>
      </c>
      <c r="E619" s="2" t="s">
        <v>64</v>
      </c>
      <c r="F619" s="6" t="s">
        <v>219</v>
      </c>
      <c r="G619" s="2" t="s">
        <v>1425</v>
      </c>
      <c r="H619" s="2" t="s">
        <v>1864</v>
      </c>
      <c r="I619" s="2" t="s">
        <v>19</v>
      </c>
      <c r="J619" s="2" t="s">
        <v>648</v>
      </c>
      <c r="K619" s="7" t="str">
        <f>HYPERLINK("http://slimages.macys.com/is/image/MCY/11515111 ")</f>
        <v xml:space="preserve">http://slimages.macys.com/is/image/MCY/11515111 </v>
      </c>
    </row>
    <row r="620" spans="1:11" ht="24.75" x14ac:dyDescent="0.25">
      <c r="A620" s="4" t="s">
        <v>2935</v>
      </c>
      <c r="B620" s="2" t="s">
        <v>2936</v>
      </c>
      <c r="C620" s="5">
        <v>20.99</v>
      </c>
      <c r="D620" s="3" t="s">
        <v>2937</v>
      </c>
      <c r="E620" s="2" t="s">
        <v>64</v>
      </c>
      <c r="F620" s="6" t="s">
        <v>181</v>
      </c>
      <c r="G620" s="2" t="s">
        <v>1473</v>
      </c>
      <c r="H620" s="2" t="s">
        <v>1864</v>
      </c>
      <c r="I620" s="2" t="s">
        <v>19</v>
      </c>
      <c r="J620" s="2" t="s">
        <v>107</v>
      </c>
      <c r="K620" s="7" t="str">
        <f>HYPERLINK("http://slimages.macys.com/is/image/MCY/12266786 ")</f>
        <v xml:space="preserve">http://slimages.macys.com/is/image/MCY/12266786 </v>
      </c>
    </row>
    <row r="621" spans="1:11" ht="24.75" x14ac:dyDescent="0.25">
      <c r="A621" s="4" t="s">
        <v>2938</v>
      </c>
      <c r="B621" s="2" t="s">
        <v>2933</v>
      </c>
      <c r="C621" s="5">
        <v>20.99</v>
      </c>
      <c r="D621" s="3" t="s">
        <v>2939</v>
      </c>
      <c r="E621" s="2" t="s">
        <v>64</v>
      </c>
      <c r="F621" s="6" t="s">
        <v>156</v>
      </c>
      <c r="G621" s="2" t="s">
        <v>1473</v>
      </c>
      <c r="H621" s="2" t="s">
        <v>1864</v>
      </c>
      <c r="I621" s="2" t="s">
        <v>19</v>
      </c>
      <c r="J621" s="2" t="s">
        <v>990</v>
      </c>
      <c r="K621" s="7" t="str">
        <f>HYPERLINK("http://slimages.macys.com/is/image/MCY/11515111 ")</f>
        <v xml:space="preserve">http://slimages.macys.com/is/image/MCY/11515111 </v>
      </c>
    </row>
    <row r="622" spans="1:11" ht="24.75" x14ac:dyDescent="0.25">
      <c r="A622" s="4" t="s">
        <v>2940</v>
      </c>
      <c r="B622" s="2" t="s">
        <v>2933</v>
      </c>
      <c r="C622" s="5">
        <v>20.99</v>
      </c>
      <c r="D622" s="3" t="s">
        <v>2939</v>
      </c>
      <c r="E622" s="2" t="s">
        <v>64</v>
      </c>
      <c r="F622" s="6" t="s">
        <v>181</v>
      </c>
      <c r="G622" s="2" t="s">
        <v>1473</v>
      </c>
      <c r="H622" s="2" t="s">
        <v>1864</v>
      </c>
      <c r="I622" s="2" t="s">
        <v>19</v>
      </c>
      <c r="J622" s="2" t="s">
        <v>990</v>
      </c>
      <c r="K622" s="7" t="str">
        <f>HYPERLINK("http://slimages.macys.com/is/image/MCY/11515111 ")</f>
        <v xml:space="preserve">http://slimages.macys.com/is/image/MCY/11515111 </v>
      </c>
    </row>
    <row r="623" spans="1:11" ht="24.75" x14ac:dyDescent="0.25">
      <c r="A623" s="4" t="s">
        <v>2941</v>
      </c>
      <c r="B623" s="2" t="s">
        <v>2933</v>
      </c>
      <c r="C623" s="5">
        <v>20.99</v>
      </c>
      <c r="D623" s="3" t="s">
        <v>2939</v>
      </c>
      <c r="E623" s="2" t="s">
        <v>64</v>
      </c>
      <c r="F623" s="6" t="s">
        <v>245</v>
      </c>
      <c r="G623" s="2" t="s">
        <v>1473</v>
      </c>
      <c r="H623" s="2" t="s">
        <v>1864</v>
      </c>
      <c r="I623" s="2" t="s">
        <v>19</v>
      </c>
      <c r="J623" s="2" t="s">
        <v>990</v>
      </c>
      <c r="K623" s="7" t="str">
        <f>HYPERLINK("http://slimages.macys.com/is/image/MCY/11515111 ")</f>
        <v xml:space="preserve">http://slimages.macys.com/is/image/MCY/11515111 </v>
      </c>
    </row>
    <row r="624" spans="1:11" ht="24.75" x14ac:dyDescent="0.25">
      <c r="A624" s="4" t="s">
        <v>2942</v>
      </c>
      <c r="B624" s="2" t="s">
        <v>1747</v>
      </c>
      <c r="C624" s="5">
        <v>17.989999999999998</v>
      </c>
      <c r="D624" s="3" t="s">
        <v>1748</v>
      </c>
      <c r="E624" s="2" t="s">
        <v>1914</v>
      </c>
      <c r="F624" s="6" t="s">
        <v>16</v>
      </c>
      <c r="G624" s="2" t="s">
        <v>1473</v>
      </c>
      <c r="H624" s="2" t="s">
        <v>1426</v>
      </c>
      <c r="I624" s="2" t="s">
        <v>19</v>
      </c>
      <c r="J624" s="2" t="s">
        <v>353</v>
      </c>
      <c r="K624" s="7" t="str">
        <f t="shared" ref="K624:K629" si="7">HYPERLINK("http://slimages.macys.com/is/image/MCY/12776597 ")</f>
        <v xml:space="preserve">http://slimages.macys.com/is/image/MCY/12776597 </v>
      </c>
    </row>
    <row r="625" spans="1:11" ht="24.75" x14ac:dyDescent="0.25">
      <c r="A625" s="4" t="s">
        <v>2943</v>
      </c>
      <c r="B625" s="2" t="s">
        <v>1747</v>
      </c>
      <c r="C625" s="5">
        <v>17.989999999999998</v>
      </c>
      <c r="D625" s="3" t="s">
        <v>1748</v>
      </c>
      <c r="E625" s="2" t="s">
        <v>70</v>
      </c>
      <c r="F625" s="6" t="s">
        <v>27</v>
      </c>
      <c r="G625" s="2" t="s">
        <v>1473</v>
      </c>
      <c r="H625" s="2" t="s">
        <v>1426</v>
      </c>
      <c r="I625" s="2" t="s">
        <v>19</v>
      </c>
      <c r="J625" s="2" t="s">
        <v>353</v>
      </c>
      <c r="K625" s="7" t="str">
        <f t="shared" si="7"/>
        <v xml:space="preserve">http://slimages.macys.com/is/image/MCY/12776597 </v>
      </c>
    </row>
    <row r="626" spans="1:11" ht="24.75" x14ac:dyDescent="0.25">
      <c r="A626" s="4" t="s">
        <v>2944</v>
      </c>
      <c r="B626" s="2" t="s">
        <v>1747</v>
      </c>
      <c r="C626" s="5">
        <v>17.989999999999998</v>
      </c>
      <c r="D626" s="3" t="s">
        <v>1748</v>
      </c>
      <c r="E626" s="2" t="s">
        <v>70</v>
      </c>
      <c r="F626" s="6" t="s">
        <v>16</v>
      </c>
      <c r="G626" s="2" t="s">
        <v>1473</v>
      </c>
      <c r="H626" s="2" t="s">
        <v>1426</v>
      </c>
      <c r="I626" s="2" t="s">
        <v>19</v>
      </c>
      <c r="J626" s="2" t="s">
        <v>353</v>
      </c>
      <c r="K626" s="7" t="str">
        <f t="shared" si="7"/>
        <v xml:space="preserve">http://slimages.macys.com/is/image/MCY/12776597 </v>
      </c>
    </row>
    <row r="627" spans="1:11" ht="24.75" x14ac:dyDescent="0.25">
      <c r="A627" s="4" t="s">
        <v>2945</v>
      </c>
      <c r="B627" s="2" t="s">
        <v>1747</v>
      </c>
      <c r="C627" s="5">
        <v>17.989999999999998</v>
      </c>
      <c r="D627" s="3" t="s">
        <v>1748</v>
      </c>
      <c r="E627" s="2" t="s">
        <v>70</v>
      </c>
      <c r="F627" s="6" t="s">
        <v>22</v>
      </c>
      <c r="G627" s="2" t="s">
        <v>1473</v>
      </c>
      <c r="H627" s="2" t="s">
        <v>1426</v>
      </c>
      <c r="I627" s="2" t="s">
        <v>19</v>
      </c>
      <c r="J627" s="2" t="s">
        <v>353</v>
      </c>
      <c r="K627" s="7" t="str">
        <f t="shared" si="7"/>
        <v xml:space="preserve">http://slimages.macys.com/is/image/MCY/12776597 </v>
      </c>
    </row>
    <row r="628" spans="1:11" ht="24.75" x14ac:dyDescent="0.25">
      <c r="A628" s="4" t="s">
        <v>2946</v>
      </c>
      <c r="B628" s="2" t="s">
        <v>1747</v>
      </c>
      <c r="C628" s="5">
        <v>17.989999999999998</v>
      </c>
      <c r="D628" s="3" t="s">
        <v>1748</v>
      </c>
      <c r="E628" s="2" t="s">
        <v>998</v>
      </c>
      <c r="F628" s="6" t="s">
        <v>22</v>
      </c>
      <c r="G628" s="2" t="s">
        <v>1473</v>
      </c>
      <c r="H628" s="2" t="s">
        <v>1426</v>
      </c>
      <c r="I628" s="2" t="s">
        <v>19</v>
      </c>
      <c r="J628" s="2" t="s">
        <v>353</v>
      </c>
      <c r="K628" s="7" t="str">
        <f t="shared" si="7"/>
        <v xml:space="preserve">http://slimages.macys.com/is/image/MCY/12776597 </v>
      </c>
    </row>
    <row r="629" spans="1:11" ht="24.75" x14ac:dyDescent="0.25">
      <c r="A629" s="4" t="s">
        <v>2947</v>
      </c>
      <c r="B629" s="2" t="s">
        <v>1747</v>
      </c>
      <c r="C629" s="5">
        <v>17.989999999999998</v>
      </c>
      <c r="D629" s="3" t="s">
        <v>1748</v>
      </c>
      <c r="E629" s="2" t="s">
        <v>1914</v>
      </c>
      <c r="F629" s="6" t="s">
        <v>112</v>
      </c>
      <c r="G629" s="2" t="s">
        <v>1473</v>
      </c>
      <c r="H629" s="2" t="s">
        <v>1426</v>
      </c>
      <c r="I629" s="2" t="s">
        <v>19</v>
      </c>
      <c r="J629" s="2" t="s">
        <v>353</v>
      </c>
      <c r="K629" s="7" t="str">
        <f t="shared" si="7"/>
        <v xml:space="preserve">http://slimages.macys.com/is/image/MCY/12776597 </v>
      </c>
    </row>
    <row r="630" spans="1:11" ht="24.75" x14ac:dyDescent="0.25">
      <c r="A630" s="4" t="s">
        <v>2948</v>
      </c>
      <c r="B630" s="2" t="s">
        <v>2949</v>
      </c>
      <c r="C630" s="5">
        <v>21.99</v>
      </c>
      <c r="D630" s="3" t="s">
        <v>2950</v>
      </c>
      <c r="E630" s="2" t="s">
        <v>15</v>
      </c>
      <c r="F630" s="6" t="s">
        <v>245</v>
      </c>
      <c r="G630" s="2" t="s">
        <v>1473</v>
      </c>
      <c r="H630" s="2" t="s">
        <v>1426</v>
      </c>
      <c r="I630" s="2" t="s">
        <v>19</v>
      </c>
      <c r="J630" s="2" t="s">
        <v>495</v>
      </c>
      <c r="K630" s="7" t="str">
        <f>HYPERLINK("http://slimages.macys.com/is/image/MCY/13511310 ")</f>
        <v xml:space="preserve">http://slimages.macys.com/is/image/MCY/13511310 </v>
      </c>
    </row>
    <row r="631" spans="1:11" ht="24.75" x14ac:dyDescent="0.25">
      <c r="A631" s="4" t="s">
        <v>2951</v>
      </c>
      <c r="B631" s="2" t="s">
        <v>2952</v>
      </c>
      <c r="C631" s="5">
        <v>19.989999999999998</v>
      </c>
      <c r="D631" s="3" t="s">
        <v>2953</v>
      </c>
      <c r="E631" s="2" t="s">
        <v>579</v>
      </c>
      <c r="F631" s="6" t="s">
        <v>181</v>
      </c>
      <c r="G631" s="2" t="s">
        <v>1473</v>
      </c>
      <c r="H631" s="2" t="s">
        <v>1426</v>
      </c>
      <c r="I631" s="2" t="s">
        <v>19</v>
      </c>
      <c r="J631" s="2" t="s">
        <v>648</v>
      </c>
      <c r="K631" s="7" t="str">
        <f>HYPERLINK("http://slimages.macys.com/is/image/MCY/11537489 ")</f>
        <v xml:space="preserve">http://slimages.macys.com/is/image/MCY/11537489 </v>
      </c>
    </row>
    <row r="632" spans="1:11" ht="24.75" x14ac:dyDescent="0.25">
      <c r="A632" s="4" t="s">
        <v>2954</v>
      </c>
      <c r="B632" s="2" t="s">
        <v>1747</v>
      </c>
      <c r="C632" s="5">
        <v>17.989999999999998</v>
      </c>
      <c r="D632" s="3" t="s">
        <v>1748</v>
      </c>
      <c r="E632" s="2" t="s">
        <v>70</v>
      </c>
      <c r="F632" s="6" t="s">
        <v>141</v>
      </c>
      <c r="G632" s="2" t="s">
        <v>1473</v>
      </c>
      <c r="H632" s="2" t="s">
        <v>1426</v>
      </c>
      <c r="I632" s="2" t="s">
        <v>19</v>
      </c>
      <c r="J632" s="2" t="s">
        <v>353</v>
      </c>
      <c r="K632" s="7" t="str">
        <f>HYPERLINK("http://slimages.macys.com/is/image/MCY/12776597 ")</f>
        <v xml:space="preserve">http://slimages.macys.com/is/image/MCY/12776597 </v>
      </c>
    </row>
    <row r="633" spans="1:11" ht="24.75" x14ac:dyDescent="0.25">
      <c r="A633" s="4" t="s">
        <v>2955</v>
      </c>
      <c r="B633" s="2" t="s">
        <v>2956</v>
      </c>
      <c r="C633" s="5">
        <v>19.989999999999998</v>
      </c>
      <c r="D633" s="3" t="s">
        <v>2957</v>
      </c>
      <c r="E633" s="2" t="s">
        <v>70</v>
      </c>
      <c r="F633" s="6" t="s">
        <v>154</v>
      </c>
      <c r="G633" s="2" t="s">
        <v>1473</v>
      </c>
      <c r="H633" s="2" t="s">
        <v>1426</v>
      </c>
      <c r="I633" s="2" t="s">
        <v>19</v>
      </c>
      <c r="J633" s="2" t="s">
        <v>495</v>
      </c>
      <c r="K633" s="7" t="str">
        <f>HYPERLINK("http://slimages.macys.com/is/image/MCY/12671837 ")</f>
        <v xml:space="preserve">http://slimages.macys.com/is/image/MCY/12671837 </v>
      </c>
    </row>
    <row r="634" spans="1:11" ht="24.75" x14ac:dyDescent="0.25">
      <c r="A634" s="4" t="s">
        <v>2958</v>
      </c>
      <c r="B634" s="2" t="s">
        <v>1764</v>
      </c>
      <c r="C634" s="5">
        <v>22.13</v>
      </c>
      <c r="D634" s="3" t="s">
        <v>2959</v>
      </c>
      <c r="E634" s="2" t="s">
        <v>64</v>
      </c>
      <c r="F634" s="6" t="s">
        <v>154</v>
      </c>
      <c r="G634" s="2" t="s">
        <v>194</v>
      </c>
      <c r="H634" s="2" t="s">
        <v>1766</v>
      </c>
      <c r="I634" s="2" t="s">
        <v>19</v>
      </c>
      <c r="J634" s="2" t="s">
        <v>1082</v>
      </c>
      <c r="K634" s="7" t="str">
        <f>HYPERLINK("http://slimages.macys.com/is/image/MCY/12143908 ")</f>
        <v xml:space="preserve">http://slimages.macys.com/is/image/MCY/12143908 </v>
      </c>
    </row>
    <row r="635" spans="1:11" ht="24.75" x14ac:dyDescent="0.25">
      <c r="A635" s="4" t="s">
        <v>2960</v>
      </c>
      <c r="B635" s="2" t="s">
        <v>2961</v>
      </c>
      <c r="C635" s="5">
        <v>22.13</v>
      </c>
      <c r="D635" s="3" t="s">
        <v>2962</v>
      </c>
      <c r="E635" s="2" t="s">
        <v>15</v>
      </c>
      <c r="F635" s="6" t="s">
        <v>234</v>
      </c>
      <c r="G635" s="2" t="s">
        <v>194</v>
      </c>
      <c r="H635" s="2" t="s">
        <v>580</v>
      </c>
      <c r="I635" s="2" t="s">
        <v>19</v>
      </c>
      <c r="J635" s="2" t="s">
        <v>1758</v>
      </c>
      <c r="K635" s="7" t="str">
        <f>HYPERLINK("http://slimages.macys.com/is/image/MCY/11937985 ")</f>
        <v xml:space="preserve">http://slimages.macys.com/is/image/MCY/11937985 </v>
      </c>
    </row>
    <row r="636" spans="1:11" ht="24.75" x14ac:dyDescent="0.25">
      <c r="A636" s="4" t="s">
        <v>1767</v>
      </c>
      <c r="B636" s="2" t="s">
        <v>1761</v>
      </c>
      <c r="C636" s="5">
        <v>22.13</v>
      </c>
      <c r="D636" s="3" t="s">
        <v>1768</v>
      </c>
      <c r="E636" s="2" t="s">
        <v>64</v>
      </c>
      <c r="F636" s="6" t="s">
        <v>154</v>
      </c>
      <c r="G636" s="2" t="s">
        <v>194</v>
      </c>
      <c r="H636" s="2" t="s">
        <v>580</v>
      </c>
      <c r="I636" s="2" t="s">
        <v>19</v>
      </c>
      <c r="J636" s="2" t="s">
        <v>1758</v>
      </c>
      <c r="K636" s="7" t="str">
        <f>HYPERLINK("http://slimages.macys.com/is/image/MCY/12799771 ")</f>
        <v xml:space="preserve">http://slimages.macys.com/is/image/MCY/12799771 </v>
      </c>
    </row>
    <row r="637" spans="1:11" ht="24.75" x14ac:dyDescent="0.25">
      <c r="A637" s="4" t="s">
        <v>2963</v>
      </c>
      <c r="B637" s="2" t="s">
        <v>1761</v>
      </c>
      <c r="C637" s="5">
        <v>22.13</v>
      </c>
      <c r="D637" s="3" t="s">
        <v>1768</v>
      </c>
      <c r="E637" s="2" t="s">
        <v>64</v>
      </c>
      <c r="F637" s="6" t="s">
        <v>234</v>
      </c>
      <c r="G637" s="2" t="s">
        <v>194</v>
      </c>
      <c r="H637" s="2" t="s">
        <v>580</v>
      </c>
      <c r="I637" s="2" t="s">
        <v>19</v>
      </c>
      <c r="J637" s="2" t="s">
        <v>1758</v>
      </c>
      <c r="K637" s="7" t="str">
        <f>HYPERLINK("http://slimages.macys.com/is/image/MCY/12799771 ")</f>
        <v xml:space="preserve">http://slimages.macys.com/is/image/MCY/12799771 </v>
      </c>
    </row>
    <row r="638" spans="1:11" ht="24.75" x14ac:dyDescent="0.25">
      <c r="A638" s="4" t="s">
        <v>2964</v>
      </c>
      <c r="B638" s="2" t="s">
        <v>1764</v>
      </c>
      <c r="C638" s="5">
        <v>22.13</v>
      </c>
      <c r="D638" s="3" t="s">
        <v>2965</v>
      </c>
      <c r="E638" s="2" t="s">
        <v>331</v>
      </c>
      <c r="F638" s="6" t="s">
        <v>156</v>
      </c>
      <c r="G638" s="2" t="s">
        <v>194</v>
      </c>
      <c r="H638" s="2" t="s">
        <v>1766</v>
      </c>
      <c r="I638" s="2" t="s">
        <v>1499</v>
      </c>
      <c r="J638" s="2" t="s">
        <v>1758</v>
      </c>
      <c r="K638" s="7" t="str">
        <f>HYPERLINK("http://slimages.macys.com/is/image/MCY/11804543 ")</f>
        <v xml:space="preserve">http://slimages.macys.com/is/image/MCY/11804543 </v>
      </c>
    </row>
    <row r="639" spans="1:11" ht="24.75" x14ac:dyDescent="0.25">
      <c r="A639" s="4" t="s">
        <v>2966</v>
      </c>
      <c r="B639" s="2" t="s">
        <v>2967</v>
      </c>
      <c r="C639" s="5">
        <v>22.13</v>
      </c>
      <c r="D639" s="3" t="s">
        <v>2968</v>
      </c>
      <c r="E639" s="2" t="s">
        <v>48</v>
      </c>
      <c r="F639" s="6" t="s">
        <v>154</v>
      </c>
      <c r="G639" s="2" t="s">
        <v>194</v>
      </c>
      <c r="H639" s="2" t="s">
        <v>580</v>
      </c>
      <c r="I639" s="2" t="s">
        <v>19</v>
      </c>
      <c r="J639" s="2" t="s">
        <v>1758</v>
      </c>
      <c r="K639" s="7" t="str">
        <f>HYPERLINK("http://slimages.macys.com/is/image/MCY/11937981 ")</f>
        <v xml:space="preserve">http://slimages.macys.com/is/image/MCY/11937981 </v>
      </c>
    </row>
    <row r="640" spans="1:11" ht="24.75" x14ac:dyDescent="0.25">
      <c r="A640" s="4" t="s">
        <v>2969</v>
      </c>
      <c r="B640" s="2" t="s">
        <v>1808</v>
      </c>
      <c r="C640" s="5">
        <v>22.13</v>
      </c>
      <c r="D640" s="3" t="s">
        <v>2970</v>
      </c>
      <c r="E640" s="2" t="s">
        <v>1322</v>
      </c>
      <c r="F640" s="6" t="s">
        <v>154</v>
      </c>
      <c r="G640" s="2" t="s">
        <v>194</v>
      </c>
      <c r="H640" s="2" t="s">
        <v>580</v>
      </c>
      <c r="I640" s="2" t="s">
        <v>19</v>
      </c>
      <c r="J640" s="2" t="s">
        <v>1082</v>
      </c>
      <c r="K640" s="7" t="str">
        <f>HYPERLINK("http://slimages.macys.com/is/image/MCY/12794107 ")</f>
        <v xml:space="preserve">http://slimages.macys.com/is/image/MCY/12794107 </v>
      </c>
    </row>
    <row r="641" spans="1:11" ht="24.75" x14ac:dyDescent="0.25">
      <c r="A641" s="4" t="s">
        <v>2971</v>
      </c>
      <c r="B641" s="2" t="s">
        <v>1808</v>
      </c>
      <c r="C641" s="5">
        <v>22.13</v>
      </c>
      <c r="D641" s="3" t="s">
        <v>2970</v>
      </c>
      <c r="E641" s="2" t="s">
        <v>1322</v>
      </c>
      <c r="F641" s="6" t="s">
        <v>234</v>
      </c>
      <c r="G641" s="2" t="s">
        <v>194</v>
      </c>
      <c r="H641" s="2" t="s">
        <v>580</v>
      </c>
      <c r="I641" s="2" t="s">
        <v>19</v>
      </c>
      <c r="J641" s="2" t="s">
        <v>1082</v>
      </c>
      <c r="K641" s="7" t="str">
        <f>HYPERLINK("http://slimages.macys.com/is/image/MCY/12794107 ")</f>
        <v xml:space="preserve">http://slimages.macys.com/is/image/MCY/12794107 </v>
      </c>
    </row>
    <row r="642" spans="1:11" ht="24.75" x14ac:dyDescent="0.25">
      <c r="A642" s="4" t="s">
        <v>2972</v>
      </c>
      <c r="B642" s="2" t="s">
        <v>1761</v>
      </c>
      <c r="C642" s="5">
        <v>22.13</v>
      </c>
      <c r="D642" s="3" t="s">
        <v>1762</v>
      </c>
      <c r="E642" s="2" t="s">
        <v>15</v>
      </c>
      <c r="F642" s="6" t="s">
        <v>234</v>
      </c>
      <c r="G642" s="2" t="s">
        <v>194</v>
      </c>
      <c r="H642" s="2" t="s">
        <v>580</v>
      </c>
      <c r="I642" s="2" t="s">
        <v>19</v>
      </c>
      <c r="J642" s="2" t="s">
        <v>1082</v>
      </c>
      <c r="K642" s="7" t="str">
        <f>HYPERLINK("http://slimages.macys.com/is/image/MCY/12794096 ")</f>
        <v xml:space="preserve">http://slimages.macys.com/is/image/MCY/12794096 </v>
      </c>
    </row>
    <row r="643" spans="1:11" ht="24.75" x14ac:dyDescent="0.25">
      <c r="A643" s="4" t="s">
        <v>2973</v>
      </c>
      <c r="B643" s="2" t="s">
        <v>2974</v>
      </c>
      <c r="C643" s="5">
        <v>22.13</v>
      </c>
      <c r="D643" s="3" t="s">
        <v>2975</v>
      </c>
      <c r="E643" s="2" t="s">
        <v>331</v>
      </c>
      <c r="F643" s="6" t="s">
        <v>154</v>
      </c>
      <c r="G643" s="2" t="s">
        <v>194</v>
      </c>
      <c r="H643" s="2" t="s">
        <v>580</v>
      </c>
      <c r="I643" s="2" t="s">
        <v>19</v>
      </c>
      <c r="J643" s="2" t="s">
        <v>1758</v>
      </c>
      <c r="K643" s="7" t="str">
        <f>HYPERLINK("http://slimages.macys.com/is/image/MCY/11937954 ")</f>
        <v xml:space="preserve">http://slimages.macys.com/is/image/MCY/11937954 </v>
      </c>
    </row>
    <row r="644" spans="1:11" ht="24.75" x14ac:dyDescent="0.25">
      <c r="A644" s="4" t="s">
        <v>1763</v>
      </c>
      <c r="B644" s="2" t="s">
        <v>1764</v>
      </c>
      <c r="C644" s="5">
        <v>22.13</v>
      </c>
      <c r="D644" s="3" t="s">
        <v>1765</v>
      </c>
      <c r="E644" s="2" t="s">
        <v>38</v>
      </c>
      <c r="F644" s="6" t="s">
        <v>154</v>
      </c>
      <c r="G644" s="2" t="s">
        <v>194</v>
      </c>
      <c r="H644" s="2" t="s">
        <v>1766</v>
      </c>
      <c r="I644" s="2" t="s">
        <v>19</v>
      </c>
      <c r="J644" s="2" t="s">
        <v>1082</v>
      </c>
      <c r="K644" s="7" t="str">
        <f>HYPERLINK("http://slimages.macys.com/is/image/MCY/12143911 ")</f>
        <v xml:space="preserve">http://slimages.macys.com/is/image/MCY/12143911 </v>
      </c>
    </row>
    <row r="645" spans="1:11" ht="24.75" x14ac:dyDescent="0.25">
      <c r="A645" s="4" t="s">
        <v>2976</v>
      </c>
      <c r="B645" s="2" t="s">
        <v>2967</v>
      </c>
      <c r="C645" s="5">
        <v>22.13</v>
      </c>
      <c r="D645" s="3" t="s">
        <v>2968</v>
      </c>
      <c r="E645" s="2" t="s">
        <v>48</v>
      </c>
      <c r="F645" s="6" t="s">
        <v>156</v>
      </c>
      <c r="G645" s="2" t="s">
        <v>194</v>
      </c>
      <c r="H645" s="2" t="s">
        <v>580</v>
      </c>
      <c r="I645" s="2" t="s">
        <v>19</v>
      </c>
      <c r="J645" s="2" t="s">
        <v>1758</v>
      </c>
      <c r="K645" s="7" t="str">
        <f>HYPERLINK("http://slimages.macys.com/is/image/MCY/11937981 ")</f>
        <v xml:space="preserve">http://slimages.macys.com/is/image/MCY/11937981 </v>
      </c>
    </row>
    <row r="646" spans="1:11" ht="24.75" x14ac:dyDescent="0.25">
      <c r="A646" s="4" t="s">
        <v>2977</v>
      </c>
      <c r="B646" s="2" t="s">
        <v>1724</v>
      </c>
      <c r="C646" s="5">
        <v>34.880000000000003</v>
      </c>
      <c r="D646" s="3">
        <v>100018041</v>
      </c>
      <c r="E646" s="2" t="s">
        <v>26</v>
      </c>
      <c r="F646" s="6" t="s">
        <v>16</v>
      </c>
      <c r="G646" s="2" t="s">
        <v>194</v>
      </c>
      <c r="H646" s="2" t="s">
        <v>195</v>
      </c>
      <c r="I646" s="2" t="s">
        <v>19</v>
      </c>
      <c r="J646" s="2" t="s">
        <v>353</v>
      </c>
      <c r="K646" s="7" t="str">
        <f>HYPERLINK("http://slimages.macys.com/is/image/MCY/12950342 ")</f>
        <v xml:space="preserve">http://slimages.macys.com/is/image/MCY/12950342 </v>
      </c>
    </row>
    <row r="647" spans="1:11" ht="24.75" x14ac:dyDescent="0.25">
      <c r="A647" s="4" t="s">
        <v>2978</v>
      </c>
      <c r="B647" s="2" t="s">
        <v>1724</v>
      </c>
      <c r="C647" s="5">
        <v>34.880000000000003</v>
      </c>
      <c r="D647" s="3">
        <v>100018041</v>
      </c>
      <c r="E647" s="2" t="s">
        <v>74</v>
      </c>
      <c r="F647" s="6" t="s">
        <v>16</v>
      </c>
      <c r="G647" s="2" t="s">
        <v>194</v>
      </c>
      <c r="H647" s="2" t="s">
        <v>195</v>
      </c>
      <c r="I647" s="2" t="s">
        <v>19</v>
      </c>
      <c r="J647" s="2" t="s">
        <v>353</v>
      </c>
      <c r="K647" s="7" t="str">
        <f>HYPERLINK("http://slimages.macys.com/is/image/MCY/12950342 ")</f>
        <v xml:space="preserve">http://slimages.macys.com/is/image/MCY/12950342 </v>
      </c>
    </row>
    <row r="648" spans="1:11" ht="24.75" x14ac:dyDescent="0.25">
      <c r="A648" s="4" t="s">
        <v>2979</v>
      </c>
      <c r="B648" s="2" t="s">
        <v>1724</v>
      </c>
      <c r="C648" s="5">
        <v>34.880000000000003</v>
      </c>
      <c r="D648" s="3">
        <v>100018041</v>
      </c>
      <c r="E648" s="2" t="s">
        <v>26</v>
      </c>
      <c r="F648" s="6" t="s">
        <v>22</v>
      </c>
      <c r="G648" s="2" t="s">
        <v>194</v>
      </c>
      <c r="H648" s="2" t="s">
        <v>195</v>
      </c>
      <c r="I648" s="2" t="s">
        <v>19</v>
      </c>
      <c r="J648" s="2" t="s">
        <v>353</v>
      </c>
      <c r="K648" s="7" t="str">
        <f>HYPERLINK("http://slimages.macys.com/is/image/MCY/12950342 ")</f>
        <v xml:space="preserve">http://slimages.macys.com/is/image/MCY/12950342 </v>
      </c>
    </row>
    <row r="649" spans="1:11" ht="24.75" x14ac:dyDescent="0.25">
      <c r="A649" s="4" t="s">
        <v>2980</v>
      </c>
      <c r="B649" s="2" t="s">
        <v>1724</v>
      </c>
      <c r="C649" s="5">
        <v>34.880000000000003</v>
      </c>
      <c r="D649" s="3">
        <v>100018041</v>
      </c>
      <c r="E649" s="2" t="s">
        <v>74</v>
      </c>
      <c r="F649" s="6" t="s">
        <v>22</v>
      </c>
      <c r="G649" s="2" t="s">
        <v>194</v>
      </c>
      <c r="H649" s="2" t="s">
        <v>195</v>
      </c>
      <c r="I649" s="2" t="s">
        <v>19</v>
      </c>
      <c r="J649" s="2" t="s">
        <v>353</v>
      </c>
      <c r="K649" s="7" t="str">
        <f>HYPERLINK("http://slimages.macys.com/is/image/MCY/12950342 ")</f>
        <v xml:space="preserve">http://slimages.macys.com/is/image/MCY/12950342 </v>
      </c>
    </row>
    <row r="650" spans="1:11" ht="24.75" x14ac:dyDescent="0.25">
      <c r="A650" s="4" t="s">
        <v>2981</v>
      </c>
      <c r="B650" s="2" t="s">
        <v>1724</v>
      </c>
      <c r="C650" s="5">
        <v>34.880000000000003</v>
      </c>
      <c r="D650" s="3">
        <v>100018041</v>
      </c>
      <c r="E650" s="2" t="s">
        <v>26</v>
      </c>
      <c r="F650" s="6" t="s">
        <v>27</v>
      </c>
      <c r="G650" s="2" t="s">
        <v>194</v>
      </c>
      <c r="H650" s="2" t="s">
        <v>195</v>
      </c>
      <c r="I650" s="2" t="s">
        <v>19</v>
      </c>
      <c r="J650" s="2" t="s">
        <v>353</v>
      </c>
      <c r="K650" s="7" t="str">
        <f>HYPERLINK("http://slimages.macys.com/is/image/MCY/12950342 ")</f>
        <v xml:space="preserve">http://slimages.macys.com/is/image/MCY/12950342 </v>
      </c>
    </row>
    <row r="651" spans="1:11" ht="24.75" x14ac:dyDescent="0.25">
      <c r="A651" s="4" t="s">
        <v>2982</v>
      </c>
      <c r="B651" s="2" t="s">
        <v>2983</v>
      </c>
      <c r="C651" s="5">
        <v>20.99</v>
      </c>
      <c r="D651" s="3" t="s">
        <v>2984</v>
      </c>
      <c r="E651" s="2" t="s">
        <v>64</v>
      </c>
      <c r="F651" s="6"/>
      <c r="G651" s="2" t="s">
        <v>1425</v>
      </c>
      <c r="H651" s="2" t="s">
        <v>1864</v>
      </c>
      <c r="I651" s="2" t="s">
        <v>19</v>
      </c>
      <c r="J651" s="2" t="s">
        <v>107</v>
      </c>
      <c r="K651" s="7" t="str">
        <f>HYPERLINK("http://slimages.macys.com/is/image/MCY/10787778 ")</f>
        <v xml:space="preserve">http://slimages.macys.com/is/image/MCY/10787778 </v>
      </c>
    </row>
    <row r="652" spans="1:11" ht="24.75" x14ac:dyDescent="0.25">
      <c r="A652" s="4" t="s">
        <v>2985</v>
      </c>
      <c r="B652" s="2" t="s">
        <v>1776</v>
      </c>
      <c r="C652" s="5">
        <v>22.13</v>
      </c>
      <c r="D652" s="3" t="s">
        <v>2986</v>
      </c>
      <c r="E652" s="2" t="s">
        <v>79</v>
      </c>
      <c r="F652" s="6"/>
      <c r="G652" s="2" t="s">
        <v>312</v>
      </c>
      <c r="H652" s="2" t="s">
        <v>1766</v>
      </c>
      <c r="I652" s="2" t="s">
        <v>19</v>
      </c>
      <c r="J652" s="2" t="s">
        <v>1758</v>
      </c>
      <c r="K652" s="7" t="str">
        <f>HYPERLINK("http://slimages.macys.com/is/image/MCY/12035171 ")</f>
        <v xml:space="preserve">http://slimages.macys.com/is/image/MCY/12035171 </v>
      </c>
    </row>
    <row r="653" spans="1:11" ht="24.75" x14ac:dyDescent="0.25">
      <c r="A653" s="4" t="s">
        <v>2987</v>
      </c>
      <c r="B653" s="2" t="s">
        <v>2988</v>
      </c>
      <c r="C653" s="5">
        <v>20.99</v>
      </c>
      <c r="D653" s="3" t="s">
        <v>2989</v>
      </c>
      <c r="E653" s="2" t="s">
        <v>64</v>
      </c>
      <c r="F653" s="6" t="s">
        <v>156</v>
      </c>
      <c r="G653" s="2" t="s">
        <v>1473</v>
      </c>
      <c r="H653" s="2" t="s">
        <v>1864</v>
      </c>
      <c r="I653" s="2" t="s">
        <v>19</v>
      </c>
      <c r="J653" s="2" t="s">
        <v>990</v>
      </c>
      <c r="K653" s="7" t="str">
        <f>HYPERLINK("http://slimages.macys.com/is/image/MCY/10787778 ")</f>
        <v xml:space="preserve">http://slimages.macys.com/is/image/MCY/10787778 </v>
      </c>
    </row>
    <row r="654" spans="1:11" ht="24.75" x14ac:dyDescent="0.25">
      <c r="A654" s="4" t="s">
        <v>2990</v>
      </c>
      <c r="B654" s="2" t="s">
        <v>2988</v>
      </c>
      <c r="C654" s="5">
        <v>20.99</v>
      </c>
      <c r="D654" s="3" t="s">
        <v>2989</v>
      </c>
      <c r="E654" s="2" t="s">
        <v>64</v>
      </c>
      <c r="F654" s="6" t="s">
        <v>154</v>
      </c>
      <c r="G654" s="2" t="s">
        <v>1473</v>
      </c>
      <c r="H654" s="2" t="s">
        <v>1864</v>
      </c>
      <c r="I654" s="2" t="s">
        <v>19</v>
      </c>
      <c r="J654" s="2" t="s">
        <v>990</v>
      </c>
      <c r="K654" s="7" t="str">
        <f>HYPERLINK("http://slimages.macys.com/is/image/MCY/10787778 ")</f>
        <v xml:space="preserve">http://slimages.macys.com/is/image/MCY/10787778 </v>
      </c>
    </row>
    <row r="655" spans="1:11" ht="24.75" x14ac:dyDescent="0.25">
      <c r="A655" s="4" t="s">
        <v>2991</v>
      </c>
      <c r="B655" s="2" t="s">
        <v>2992</v>
      </c>
      <c r="C655" s="5">
        <v>22.13</v>
      </c>
      <c r="D655" s="3">
        <v>100021693</v>
      </c>
      <c r="E655" s="2" t="s">
        <v>1788</v>
      </c>
      <c r="F655" s="6" t="s">
        <v>245</v>
      </c>
      <c r="G655" s="2" t="s">
        <v>194</v>
      </c>
      <c r="H655" s="2" t="s">
        <v>1766</v>
      </c>
      <c r="I655" s="2" t="s">
        <v>19</v>
      </c>
      <c r="J655" s="2" t="s">
        <v>495</v>
      </c>
      <c r="K655" s="7" t="str">
        <f>HYPERLINK("http://slimages.macys.com/is/image/MCY/9620471 ")</f>
        <v xml:space="preserve">http://slimages.macys.com/is/image/MCY/9620471 </v>
      </c>
    </row>
    <row r="656" spans="1:11" ht="24.75" x14ac:dyDescent="0.25">
      <c r="A656" s="4" t="s">
        <v>2993</v>
      </c>
      <c r="B656" s="2" t="s">
        <v>1817</v>
      </c>
      <c r="C656" s="5">
        <v>17.989999999999998</v>
      </c>
      <c r="D656" s="3" t="s">
        <v>1818</v>
      </c>
      <c r="E656" s="2" t="s">
        <v>15</v>
      </c>
      <c r="F656" s="6" t="s">
        <v>106</v>
      </c>
      <c r="G656" s="2" t="s">
        <v>1473</v>
      </c>
      <c r="H656" s="2" t="s">
        <v>1426</v>
      </c>
      <c r="I656" s="2" t="s">
        <v>19</v>
      </c>
      <c r="J656" s="2" t="s">
        <v>353</v>
      </c>
      <c r="K656" s="7" t="str">
        <f t="shared" ref="K656:K661" si="8">HYPERLINK("http://slimages.macys.com/is/image/MCY/12070597 ")</f>
        <v xml:space="preserve">http://slimages.macys.com/is/image/MCY/12070597 </v>
      </c>
    </row>
    <row r="657" spans="1:11" ht="24.75" x14ac:dyDescent="0.25">
      <c r="A657" s="4" t="s">
        <v>2994</v>
      </c>
      <c r="B657" s="2" t="s">
        <v>1817</v>
      </c>
      <c r="C657" s="5">
        <v>17.989999999999998</v>
      </c>
      <c r="D657" s="3" t="s">
        <v>1818</v>
      </c>
      <c r="E657" s="2" t="s">
        <v>70</v>
      </c>
      <c r="F657" s="6" t="s">
        <v>22</v>
      </c>
      <c r="G657" s="2" t="s">
        <v>1473</v>
      </c>
      <c r="H657" s="2" t="s">
        <v>1426</v>
      </c>
      <c r="I657" s="2" t="s">
        <v>19</v>
      </c>
      <c r="J657" s="2" t="s">
        <v>353</v>
      </c>
      <c r="K657" s="7" t="str">
        <f t="shared" si="8"/>
        <v xml:space="preserve">http://slimages.macys.com/is/image/MCY/12070597 </v>
      </c>
    </row>
    <row r="658" spans="1:11" ht="24.75" x14ac:dyDescent="0.25">
      <c r="A658" s="4" t="s">
        <v>2995</v>
      </c>
      <c r="B658" s="2" t="s">
        <v>1817</v>
      </c>
      <c r="C658" s="5">
        <v>17.989999999999998</v>
      </c>
      <c r="D658" s="3" t="s">
        <v>1818</v>
      </c>
      <c r="E658" s="2" t="s">
        <v>1234</v>
      </c>
      <c r="F658" s="6" t="s">
        <v>22</v>
      </c>
      <c r="G658" s="2" t="s">
        <v>1473</v>
      </c>
      <c r="H658" s="2" t="s">
        <v>1426</v>
      </c>
      <c r="I658" s="2" t="s">
        <v>19</v>
      </c>
      <c r="J658" s="2" t="s">
        <v>353</v>
      </c>
      <c r="K658" s="7" t="str">
        <f t="shared" si="8"/>
        <v xml:space="preserve">http://slimages.macys.com/is/image/MCY/12070597 </v>
      </c>
    </row>
    <row r="659" spans="1:11" ht="24.75" x14ac:dyDescent="0.25">
      <c r="A659" s="4" t="s">
        <v>2996</v>
      </c>
      <c r="B659" s="2" t="s">
        <v>1817</v>
      </c>
      <c r="C659" s="5">
        <v>17.989999999999998</v>
      </c>
      <c r="D659" s="3" t="s">
        <v>1818</v>
      </c>
      <c r="E659" s="2" t="s">
        <v>998</v>
      </c>
      <c r="F659" s="6" t="s">
        <v>22</v>
      </c>
      <c r="G659" s="2" t="s">
        <v>1473</v>
      </c>
      <c r="H659" s="2" t="s">
        <v>1426</v>
      </c>
      <c r="I659" s="2" t="s">
        <v>19</v>
      </c>
      <c r="J659" s="2" t="s">
        <v>353</v>
      </c>
      <c r="K659" s="7" t="str">
        <f t="shared" si="8"/>
        <v xml:space="preserve">http://slimages.macys.com/is/image/MCY/12070597 </v>
      </c>
    </row>
    <row r="660" spans="1:11" ht="24.75" x14ac:dyDescent="0.25">
      <c r="A660" s="4" t="s">
        <v>2997</v>
      </c>
      <c r="B660" s="2" t="s">
        <v>1817</v>
      </c>
      <c r="C660" s="5">
        <v>17.989999999999998</v>
      </c>
      <c r="D660" s="3" t="s">
        <v>1818</v>
      </c>
      <c r="E660" s="2" t="s">
        <v>15</v>
      </c>
      <c r="F660" s="6" t="s">
        <v>22</v>
      </c>
      <c r="G660" s="2" t="s">
        <v>1473</v>
      </c>
      <c r="H660" s="2" t="s">
        <v>1426</v>
      </c>
      <c r="I660" s="2" t="s">
        <v>19</v>
      </c>
      <c r="J660" s="2" t="s">
        <v>353</v>
      </c>
      <c r="K660" s="7" t="str">
        <f t="shared" si="8"/>
        <v xml:space="preserve">http://slimages.macys.com/is/image/MCY/12070597 </v>
      </c>
    </row>
    <row r="661" spans="1:11" ht="24.75" x14ac:dyDescent="0.25">
      <c r="A661" s="4" t="s">
        <v>2998</v>
      </c>
      <c r="B661" s="2" t="s">
        <v>1817</v>
      </c>
      <c r="C661" s="5">
        <v>17.989999999999998</v>
      </c>
      <c r="D661" s="3" t="s">
        <v>1818</v>
      </c>
      <c r="E661" s="2" t="s">
        <v>998</v>
      </c>
      <c r="F661" s="6" t="s">
        <v>58</v>
      </c>
      <c r="G661" s="2" t="s">
        <v>1473</v>
      </c>
      <c r="H661" s="2" t="s">
        <v>1426</v>
      </c>
      <c r="I661" s="2" t="s">
        <v>19</v>
      </c>
      <c r="J661" s="2" t="s">
        <v>353</v>
      </c>
      <c r="K661" s="7" t="str">
        <f t="shared" si="8"/>
        <v xml:space="preserve">http://slimages.macys.com/is/image/MCY/12070597 </v>
      </c>
    </row>
    <row r="662" spans="1:11" ht="24.75" x14ac:dyDescent="0.25">
      <c r="A662" s="4" t="s">
        <v>2999</v>
      </c>
      <c r="B662" s="2" t="s">
        <v>3000</v>
      </c>
      <c r="C662" s="5">
        <v>19.989999999999998</v>
      </c>
      <c r="D662" s="3" t="s">
        <v>3001</v>
      </c>
      <c r="E662" s="2" t="s">
        <v>74</v>
      </c>
      <c r="F662" s="6" t="s">
        <v>200</v>
      </c>
      <c r="G662" s="2" t="s">
        <v>1473</v>
      </c>
      <c r="H662" s="2" t="s">
        <v>1426</v>
      </c>
      <c r="I662" s="2" t="s">
        <v>19</v>
      </c>
      <c r="J662" s="2" t="s">
        <v>495</v>
      </c>
      <c r="K662" s="7" t="str">
        <f>HYPERLINK("http://slimages.macys.com/is/image/MCY/11635036 ")</f>
        <v xml:space="preserve">http://slimages.macys.com/is/image/MCY/11635036 </v>
      </c>
    </row>
    <row r="663" spans="1:11" ht="24.75" x14ac:dyDescent="0.25">
      <c r="A663" s="4" t="s">
        <v>3002</v>
      </c>
      <c r="B663" s="2" t="s">
        <v>1817</v>
      </c>
      <c r="C663" s="5">
        <v>17.989999999999998</v>
      </c>
      <c r="D663" s="3" t="s">
        <v>1818</v>
      </c>
      <c r="E663" s="2" t="s">
        <v>998</v>
      </c>
      <c r="F663" s="6" t="s">
        <v>16</v>
      </c>
      <c r="G663" s="2" t="s">
        <v>1473</v>
      </c>
      <c r="H663" s="2" t="s">
        <v>1426</v>
      </c>
      <c r="I663" s="2" t="s">
        <v>19</v>
      </c>
      <c r="J663" s="2" t="s">
        <v>353</v>
      </c>
      <c r="K663" s="7" t="str">
        <f>HYPERLINK("http://slimages.macys.com/is/image/MCY/12070597 ")</f>
        <v xml:space="preserve">http://slimages.macys.com/is/image/MCY/12070597 </v>
      </c>
    </row>
    <row r="664" spans="1:11" ht="24.75" x14ac:dyDescent="0.25">
      <c r="A664" s="4" t="s">
        <v>3003</v>
      </c>
      <c r="B664" s="2" t="s">
        <v>1823</v>
      </c>
      <c r="C664" s="5">
        <v>17.989999999999998</v>
      </c>
      <c r="D664" s="3" t="s">
        <v>1824</v>
      </c>
      <c r="E664" s="2" t="s">
        <v>1322</v>
      </c>
      <c r="F664" s="6" t="s">
        <v>187</v>
      </c>
      <c r="G664" s="2" t="s">
        <v>1425</v>
      </c>
      <c r="H664" s="2" t="s">
        <v>1426</v>
      </c>
      <c r="I664" s="2" t="s">
        <v>19</v>
      </c>
      <c r="J664" s="2" t="s">
        <v>495</v>
      </c>
      <c r="K664" s="7" t="str">
        <f>HYPERLINK("http://slimages.macys.com/is/image/MCY/11831305 ")</f>
        <v xml:space="preserve">http://slimages.macys.com/is/image/MCY/11831305 </v>
      </c>
    </row>
    <row r="665" spans="1:11" ht="24.75" x14ac:dyDescent="0.25">
      <c r="A665" s="4" t="s">
        <v>3004</v>
      </c>
      <c r="B665" s="2" t="s">
        <v>1823</v>
      </c>
      <c r="C665" s="5">
        <v>17.989999999999998</v>
      </c>
      <c r="D665" s="3" t="s">
        <v>3005</v>
      </c>
      <c r="E665" s="2" t="s">
        <v>1322</v>
      </c>
      <c r="F665" s="6" t="s">
        <v>181</v>
      </c>
      <c r="G665" s="2" t="s">
        <v>1473</v>
      </c>
      <c r="H665" s="2" t="s">
        <v>1426</v>
      </c>
      <c r="I665" s="2" t="s">
        <v>19</v>
      </c>
      <c r="J665" s="2" t="s">
        <v>495</v>
      </c>
      <c r="K665" s="7" t="str">
        <f>HYPERLINK("http://slimages.macys.com/is/image/MCY/11831305 ")</f>
        <v xml:space="preserve">http://slimages.macys.com/is/image/MCY/11831305 </v>
      </c>
    </row>
    <row r="666" spans="1:11" ht="24.75" x14ac:dyDescent="0.25">
      <c r="A666" s="4" t="s">
        <v>3006</v>
      </c>
      <c r="B666" s="2" t="s">
        <v>1823</v>
      </c>
      <c r="C666" s="5">
        <v>17.989999999999998</v>
      </c>
      <c r="D666" s="3" t="s">
        <v>3005</v>
      </c>
      <c r="E666" s="2" t="s">
        <v>1322</v>
      </c>
      <c r="F666" s="6" t="s">
        <v>245</v>
      </c>
      <c r="G666" s="2" t="s">
        <v>1473</v>
      </c>
      <c r="H666" s="2" t="s">
        <v>1426</v>
      </c>
      <c r="I666" s="2" t="s">
        <v>19</v>
      </c>
      <c r="J666" s="2" t="s">
        <v>495</v>
      </c>
      <c r="K666" s="7" t="str">
        <f>HYPERLINK("http://slimages.macys.com/is/image/MCY/11831305 ")</f>
        <v xml:space="preserve">http://slimages.macys.com/is/image/MCY/11831305 </v>
      </c>
    </row>
    <row r="667" spans="1:11" ht="24.75" x14ac:dyDescent="0.25">
      <c r="A667" s="4" t="s">
        <v>3007</v>
      </c>
      <c r="B667" s="2" t="s">
        <v>1823</v>
      </c>
      <c r="C667" s="5">
        <v>17.989999999999998</v>
      </c>
      <c r="D667" s="3" t="s">
        <v>1824</v>
      </c>
      <c r="E667" s="2" t="s">
        <v>1322</v>
      </c>
      <c r="F667" s="6" t="s">
        <v>219</v>
      </c>
      <c r="G667" s="2" t="s">
        <v>1425</v>
      </c>
      <c r="H667" s="2" t="s">
        <v>1426</v>
      </c>
      <c r="I667" s="2" t="s">
        <v>19</v>
      </c>
      <c r="J667" s="2" t="s">
        <v>495</v>
      </c>
      <c r="K667" s="7" t="str">
        <f>HYPERLINK("http://slimages.macys.com/is/image/MCY/11831305 ")</f>
        <v xml:space="preserve">http://slimages.macys.com/is/image/MCY/11831305 </v>
      </c>
    </row>
    <row r="668" spans="1:11" ht="24.75" x14ac:dyDescent="0.25">
      <c r="A668" s="4" t="s">
        <v>3008</v>
      </c>
      <c r="B668" s="2" t="s">
        <v>3009</v>
      </c>
      <c r="C668" s="5">
        <v>22.13</v>
      </c>
      <c r="D668" s="3" t="s">
        <v>3010</v>
      </c>
      <c r="E668" s="2" t="s">
        <v>566</v>
      </c>
      <c r="F668" s="6" t="s">
        <v>234</v>
      </c>
      <c r="G668" s="2" t="s">
        <v>194</v>
      </c>
      <c r="H668" s="2" t="s">
        <v>195</v>
      </c>
      <c r="I668" s="2" t="s">
        <v>19</v>
      </c>
      <c r="J668" s="2" t="s">
        <v>1082</v>
      </c>
      <c r="K668" s="7" t="str">
        <f>HYPERLINK("http://slimages.macys.com/is/image/MCY/11415452 ")</f>
        <v xml:space="preserve">http://slimages.macys.com/is/image/MCY/11415452 </v>
      </c>
    </row>
    <row r="669" spans="1:11" ht="24.75" x14ac:dyDescent="0.25">
      <c r="A669" s="4" t="s">
        <v>3011</v>
      </c>
      <c r="B669" s="2" t="s">
        <v>3012</v>
      </c>
      <c r="C669" s="5">
        <v>22.13</v>
      </c>
      <c r="D669" s="3" t="s">
        <v>3013</v>
      </c>
      <c r="E669" s="2" t="s">
        <v>752</v>
      </c>
      <c r="F669" s="6" t="s">
        <v>234</v>
      </c>
      <c r="G669" s="2" t="s">
        <v>194</v>
      </c>
      <c r="H669" s="2" t="s">
        <v>195</v>
      </c>
      <c r="I669" s="2" t="s">
        <v>19</v>
      </c>
      <c r="J669" s="2" t="s">
        <v>1082</v>
      </c>
      <c r="K669" s="7" t="str">
        <f>HYPERLINK("http://slimages.macys.com/is/image/MCY/12724768 ")</f>
        <v xml:space="preserve">http://slimages.macys.com/is/image/MCY/12724768 </v>
      </c>
    </row>
    <row r="670" spans="1:11" ht="24.75" x14ac:dyDescent="0.25">
      <c r="A670" s="4" t="s">
        <v>3014</v>
      </c>
      <c r="B670" s="2" t="s">
        <v>3012</v>
      </c>
      <c r="C670" s="5">
        <v>22.13</v>
      </c>
      <c r="D670" s="3" t="s">
        <v>3013</v>
      </c>
      <c r="E670" s="2" t="s">
        <v>752</v>
      </c>
      <c r="F670" s="6" t="s">
        <v>156</v>
      </c>
      <c r="G670" s="2" t="s">
        <v>194</v>
      </c>
      <c r="H670" s="2" t="s">
        <v>195</v>
      </c>
      <c r="I670" s="2" t="s">
        <v>19</v>
      </c>
      <c r="J670" s="2" t="s">
        <v>1082</v>
      </c>
      <c r="K670" s="7" t="str">
        <f>HYPERLINK("http://slimages.macys.com/is/image/MCY/12724768 ")</f>
        <v xml:space="preserve">http://slimages.macys.com/is/image/MCY/12724768 </v>
      </c>
    </row>
    <row r="671" spans="1:11" ht="24.75" x14ac:dyDescent="0.25">
      <c r="A671" s="4" t="s">
        <v>3015</v>
      </c>
      <c r="B671" s="2" t="s">
        <v>3016</v>
      </c>
      <c r="C671" s="5">
        <v>17.989999999999998</v>
      </c>
      <c r="D671" s="3" t="s">
        <v>3017</v>
      </c>
      <c r="E671" s="2" t="s">
        <v>33</v>
      </c>
      <c r="F671" s="6" t="s">
        <v>245</v>
      </c>
      <c r="G671" s="2" t="s">
        <v>1522</v>
      </c>
      <c r="H671" s="2" t="s">
        <v>1469</v>
      </c>
      <c r="I671" s="2" t="s">
        <v>19</v>
      </c>
      <c r="J671" s="2" t="s">
        <v>495</v>
      </c>
      <c r="K671" s="7" t="str">
        <f>HYPERLINK("http://slimages.macys.com/is/image/MCY/12671977 ")</f>
        <v xml:space="preserve">http://slimages.macys.com/is/image/MCY/12671977 </v>
      </c>
    </row>
    <row r="672" spans="1:11" ht="24.75" x14ac:dyDescent="0.25">
      <c r="A672" s="4" t="s">
        <v>3018</v>
      </c>
      <c r="B672" s="2" t="s">
        <v>3019</v>
      </c>
      <c r="C672" s="5">
        <v>17.989999999999998</v>
      </c>
      <c r="D672" s="3" t="s">
        <v>3020</v>
      </c>
      <c r="E672" s="2" t="s">
        <v>15</v>
      </c>
      <c r="F672" s="6" t="s">
        <v>219</v>
      </c>
      <c r="G672" s="2" t="s">
        <v>1425</v>
      </c>
      <c r="H672" s="2" t="s">
        <v>1426</v>
      </c>
      <c r="I672" s="2" t="s">
        <v>19</v>
      </c>
      <c r="J672" s="2" t="s">
        <v>107</v>
      </c>
      <c r="K672" s="7" t="str">
        <f>HYPERLINK("http://slimages.macys.com/is/image/MCY/11831225 ")</f>
        <v xml:space="preserve">http://slimages.macys.com/is/image/MCY/11831225 </v>
      </c>
    </row>
    <row r="673" spans="1:11" ht="24.75" x14ac:dyDescent="0.25">
      <c r="A673" s="4" t="s">
        <v>3021</v>
      </c>
      <c r="B673" s="2" t="s">
        <v>3019</v>
      </c>
      <c r="C673" s="5">
        <v>17.989999999999998</v>
      </c>
      <c r="D673" s="3" t="s">
        <v>3020</v>
      </c>
      <c r="E673" s="2" t="s">
        <v>15</v>
      </c>
      <c r="F673" s="6"/>
      <c r="G673" s="2" t="s">
        <v>1425</v>
      </c>
      <c r="H673" s="2" t="s">
        <v>1426</v>
      </c>
      <c r="I673" s="2" t="s">
        <v>19</v>
      </c>
      <c r="J673" s="2" t="s">
        <v>107</v>
      </c>
      <c r="K673" s="7" t="str">
        <f>HYPERLINK("http://slimages.macys.com/is/image/MCY/11831225 ")</f>
        <v xml:space="preserve">http://slimages.macys.com/is/image/MCY/11831225 </v>
      </c>
    </row>
    <row r="674" spans="1:11" ht="24.75" x14ac:dyDescent="0.25">
      <c r="A674" s="4" t="s">
        <v>3022</v>
      </c>
      <c r="B674" s="2" t="s">
        <v>3023</v>
      </c>
      <c r="C674" s="5">
        <v>17.989999999999998</v>
      </c>
      <c r="D674" s="3" t="s">
        <v>3024</v>
      </c>
      <c r="E674" s="2" t="s">
        <v>331</v>
      </c>
      <c r="F674" s="6" t="s">
        <v>187</v>
      </c>
      <c r="G674" s="2" t="s">
        <v>1425</v>
      </c>
      <c r="H674" s="2" t="s">
        <v>1426</v>
      </c>
      <c r="I674" s="2" t="s">
        <v>19</v>
      </c>
      <c r="J674" s="2" t="s">
        <v>495</v>
      </c>
      <c r="K674" s="7" t="str">
        <f>HYPERLINK("http://slimages.macys.com/is/image/MCY/11809174 ")</f>
        <v xml:space="preserve">http://slimages.macys.com/is/image/MCY/11809174 </v>
      </c>
    </row>
    <row r="675" spans="1:11" ht="24.75" x14ac:dyDescent="0.25">
      <c r="A675" s="4" t="s">
        <v>3025</v>
      </c>
      <c r="B675" s="2" t="s">
        <v>3026</v>
      </c>
      <c r="C675" s="5">
        <v>21.99</v>
      </c>
      <c r="D675" s="3" t="s">
        <v>3027</v>
      </c>
      <c r="E675" s="2" t="s">
        <v>79</v>
      </c>
      <c r="F675" s="6" t="s">
        <v>181</v>
      </c>
      <c r="G675" s="2" t="s">
        <v>284</v>
      </c>
      <c r="H675" s="2" t="s">
        <v>285</v>
      </c>
      <c r="I675" s="2" t="s">
        <v>19</v>
      </c>
      <c r="J675" s="2" t="s">
        <v>247</v>
      </c>
      <c r="K675" s="7" t="str">
        <f>HYPERLINK("http://slimages.macys.com/is/image/MCY/9972026 ")</f>
        <v xml:space="preserve">http://slimages.macys.com/is/image/MCY/9972026 </v>
      </c>
    </row>
    <row r="676" spans="1:11" ht="24.75" x14ac:dyDescent="0.25">
      <c r="A676" s="4" t="s">
        <v>3028</v>
      </c>
      <c r="B676" s="2" t="s">
        <v>3029</v>
      </c>
      <c r="C676" s="5">
        <v>19.989999999999998</v>
      </c>
      <c r="D676" s="3" t="s">
        <v>3030</v>
      </c>
      <c r="E676" s="2" t="s">
        <v>94</v>
      </c>
      <c r="F676" s="6" t="s">
        <v>245</v>
      </c>
      <c r="G676" s="2" t="s">
        <v>1473</v>
      </c>
      <c r="H676" s="2" t="s">
        <v>1426</v>
      </c>
      <c r="I676" s="2" t="s">
        <v>19</v>
      </c>
      <c r="J676" s="2" t="s">
        <v>495</v>
      </c>
      <c r="K676" s="7" t="str">
        <f>HYPERLINK("http://slimages.macys.com/is/image/MCY/12269162 ")</f>
        <v xml:space="preserve">http://slimages.macys.com/is/image/MCY/12269162 </v>
      </c>
    </row>
    <row r="677" spans="1:11" ht="24.75" x14ac:dyDescent="0.25">
      <c r="A677" s="4" t="s">
        <v>3031</v>
      </c>
      <c r="B677" s="2" t="s">
        <v>1829</v>
      </c>
      <c r="C677" s="5">
        <v>14.99</v>
      </c>
      <c r="D677" s="3" t="s">
        <v>3032</v>
      </c>
      <c r="E677" s="2" t="s">
        <v>1788</v>
      </c>
      <c r="F677" s="6" t="s">
        <v>156</v>
      </c>
      <c r="G677" s="2" t="s">
        <v>194</v>
      </c>
      <c r="H677" s="2" t="s">
        <v>307</v>
      </c>
      <c r="I677" s="2" t="s">
        <v>19</v>
      </c>
      <c r="J677" s="2" t="s">
        <v>34</v>
      </c>
      <c r="K677" s="7" t="str">
        <f>HYPERLINK("http://slimages.macys.com/is/image/MCY/11936089 ")</f>
        <v xml:space="preserve">http://slimages.macys.com/is/image/MCY/11936089 </v>
      </c>
    </row>
    <row r="678" spans="1:11" ht="24.75" x14ac:dyDescent="0.25">
      <c r="A678" s="4" t="s">
        <v>3033</v>
      </c>
      <c r="B678" s="2" t="s">
        <v>1833</v>
      </c>
      <c r="C678" s="5">
        <v>14.99</v>
      </c>
      <c r="D678" s="3" t="s">
        <v>3034</v>
      </c>
      <c r="E678" s="2" t="s">
        <v>26</v>
      </c>
      <c r="F678" s="6" t="s">
        <v>234</v>
      </c>
      <c r="G678" s="2" t="s">
        <v>194</v>
      </c>
      <c r="H678" s="2" t="s">
        <v>307</v>
      </c>
      <c r="I678" s="2" t="s">
        <v>19</v>
      </c>
      <c r="J678" s="2" t="s">
        <v>34</v>
      </c>
      <c r="K678" s="7" t="str">
        <f>HYPERLINK("http://slimages.macys.com/is/image/MCY/11936098 ")</f>
        <v xml:space="preserve">http://slimages.macys.com/is/image/MCY/11936098 </v>
      </c>
    </row>
    <row r="679" spans="1:11" ht="24.75" x14ac:dyDescent="0.25">
      <c r="A679" s="4" t="s">
        <v>3035</v>
      </c>
      <c r="B679" s="2" t="s">
        <v>1829</v>
      </c>
      <c r="C679" s="5">
        <v>14.99</v>
      </c>
      <c r="D679" s="3" t="s">
        <v>3032</v>
      </c>
      <c r="E679" s="2" t="s">
        <v>1788</v>
      </c>
      <c r="F679" s="6" t="s">
        <v>181</v>
      </c>
      <c r="G679" s="2" t="s">
        <v>194</v>
      </c>
      <c r="H679" s="2" t="s">
        <v>307</v>
      </c>
      <c r="I679" s="2" t="s">
        <v>19</v>
      </c>
      <c r="J679" s="2" t="s">
        <v>34</v>
      </c>
      <c r="K679" s="7" t="str">
        <f>HYPERLINK("http://slimages.macys.com/is/image/MCY/11936089 ")</f>
        <v xml:space="preserve">http://slimages.macys.com/is/image/MCY/11936089 </v>
      </c>
    </row>
    <row r="680" spans="1:11" ht="24.75" x14ac:dyDescent="0.25">
      <c r="A680" s="4" t="s">
        <v>3036</v>
      </c>
      <c r="B680" s="2" t="s">
        <v>1829</v>
      </c>
      <c r="C680" s="5">
        <v>14.99</v>
      </c>
      <c r="D680" s="3" t="s">
        <v>3037</v>
      </c>
      <c r="E680" s="2" t="s">
        <v>579</v>
      </c>
      <c r="F680" s="6" t="s">
        <v>154</v>
      </c>
      <c r="G680" s="2" t="s">
        <v>194</v>
      </c>
      <c r="H680" s="2" t="s">
        <v>307</v>
      </c>
      <c r="I680" s="2" t="s">
        <v>19</v>
      </c>
      <c r="J680" s="2" t="s">
        <v>34</v>
      </c>
      <c r="K680" s="7" t="str">
        <f>HYPERLINK("http://slimages.macys.com/is/image/MCY/11337529 ")</f>
        <v xml:space="preserve">http://slimages.macys.com/is/image/MCY/11337529 </v>
      </c>
    </row>
    <row r="681" spans="1:11" ht="24.75" x14ac:dyDescent="0.25">
      <c r="A681" s="4" t="s">
        <v>1849</v>
      </c>
      <c r="B681" s="2" t="s">
        <v>1850</v>
      </c>
      <c r="C681" s="5">
        <v>22.13</v>
      </c>
      <c r="D681" s="3" t="s">
        <v>1851</v>
      </c>
      <c r="E681" s="2" t="s">
        <v>1322</v>
      </c>
      <c r="F681" s="6" t="s">
        <v>154</v>
      </c>
      <c r="G681" s="2" t="s">
        <v>194</v>
      </c>
      <c r="H681" s="2" t="s">
        <v>195</v>
      </c>
      <c r="I681" s="2" t="s">
        <v>19</v>
      </c>
      <c r="J681" s="2" t="s">
        <v>1108</v>
      </c>
      <c r="K681" s="7" t="str">
        <f>HYPERLINK("http://slimages.macys.com/is/image/MCY/15709119 ")</f>
        <v xml:space="preserve">http://slimages.macys.com/is/image/MCY/15709119 </v>
      </c>
    </row>
    <row r="682" spans="1:11" ht="24.75" x14ac:dyDescent="0.25">
      <c r="A682" s="4" t="s">
        <v>3038</v>
      </c>
      <c r="B682" s="2" t="s">
        <v>3039</v>
      </c>
      <c r="C682" s="5">
        <v>17.989999999999998</v>
      </c>
      <c r="D682" s="3" t="s">
        <v>3040</v>
      </c>
      <c r="E682" s="2" t="s">
        <v>74</v>
      </c>
      <c r="F682" s="6" t="s">
        <v>200</v>
      </c>
      <c r="G682" s="2" t="s">
        <v>1473</v>
      </c>
      <c r="H682" s="2" t="s">
        <v>1426</v>
      </c>
      <c r="I682" s="2" t="s">
        <v>19</v>
      </c>
      <c r="J682" s="2" t="s">
        <v>648</v>
      </c>
      <c r="K682" s="7" t="str">
        <f>HYPERLINK("http://slimages.macys.com/is/image/MCY/11989579 ")</f>
        <v xml:space="preserve">http://slimages.macys.com/is/image/MCY/11989579 </v>
      </c>
    </row>
    <row r="683" spans="1:11" ht="24.75" x14ac:dyDescent="0.25">
      <c r="A683" s="4" t="s">
        <v>3041</v>
      </c>
      <c r="B683" s="2" t="s">
        <v>1859</v>
      </c>
      <c r="C683" s="5">
        <v>20.99</v>
      </c>
      <c r="D683" s="3" t="s">
        <v>1860</v>
      </c>
      <c r="E683" s="2" t="s">
        <v>74</v>
      </c>
      <c r="F683" s="6" t="s">
        <v>154</v>
      </c>
      <c r="G683" s="2" t="s">
        <v>1473</v>
      </c>
      <c r="H683" s="2" t="s">
        <v>1426</v>
      </c>
      <c r="I683" s="2" t="s">
        <v>19</v>
      </c>
      <c r="J683" s="2" t="s">
        <v>803</v>
      </c>
      <c r="K683" s="7" t="str">
        <f>HYPERLINK("http://slimages.macys.com/is/image/MCY/12144754 ")</f>
        <v xml:space="preserve">http://slimages.macys.com/is/image/MCY/12144754 </v>
      </c>
    </row>
    <row r="684" spans="1:11" ht="24.75" x14ac:dyDescent="0.25">
      <c r="A684" s="4" t="s">
        <v>3042</v>
      </c>
      <c r="B684" s="2" t="s">
        <v>1862</v>
      </c>
      <c r="C684" s="5">
        <v>20.99</v>
      </c>
      <c r="D684" s="3" t="s">
        <v>1868</v>
      </c>
      <c r="E684" s="2" t="s">
        <v>15</v>
      </c>
      <c r="F684" s="6" t="s">
        <v>245</v>
      </c>
      <c r="G684" s="2" t="s">
        <v>1473</v>
      </c>
      <c r="H684" s="2" t="s">
        <v>1864</v>
      </c>
      <c r="I684" s="2" t="s">
        <v>19</v>
      </c>
      <c r="J684" s="2" t="s">
        <v>648</v>
      </c>
      <c r="K684" s="7" t="str">
        <f t="shared" ref="K684:K693" si="9">HYPERLINK("http://slimages.macys.com/is/image/MCY/12267099 ")</f>
        <v xml:space="preserve">http://slimages.macys.com/is/image/MCY/12267099 </v>
      </c>
    </row>
    <row r="685" spans="1:11" ht="24.75" x14ac:dyDescent="0.25">
      <c r="A685" s="4" t="s">
        <v>1870</v>
      </c>
      <c r="B685" s="2" t="s">
        <v>1862</v>
      </c>
      <c r="C685" s="5">
        <v>20.99</v>
      </c>
      <c r="D685" s="3" t="s">
        <v>1868</v>
      </c>
      <c r="E685" s="2" t="s">
        <v>15</v>
      </c>
      <c r="F685" s="6" t="s">
        <v>156</v>
      </c>
      <c r="G685" s="2" t="s">
        <v>1473</v>
      </c>
      <c r="H685" s="2" t="s">
        <v>1864</v>
      </c>
      <c r="I685" s="2" t="s">
        <v>19</v>
      </c>
      <c r="J685" s="2" t="s">
        <v>648</v>
      </c>
      <c r="K685" s="7" t="str">
        <f t="shared" si="9"/>
        <v xml:space="preserve">http://slimages.macys.com/is/image/MCY/12267099 </v>
      </c>
    </row>
    <row r="686" spans="1:11" ht="24.75" x14ac:dyDescent="0.25">
      <c r="A686" s="4" t="s">
        <v>1869</v>
      </c>
      <c r="B686" s="2" t="s">
        <v>1862</v>
      </c>
      <c r="C686" s="5">
        <v>20.99</v>
      </c>
      <c r="D686" s="3" t="s">
        <v>1868</v>
      </c>
      <c r="E686" s="2" t="s">
        <v>15</v>
      </c>
      <c r="F686" s="6" t="s">
        <v>154</v>
      </c>
      <c r="G686" s="2" t="s">
        <v>1473</v>
      </c>
      <c r="H686" s="2" t="s">
        <v>1864</v>
      </c>
      <c r="I686" s="2" t="s">
        <v>19</v>
      </c>
      <c r="J686" s="2" t="s">
        <v>648</v>
      </c>
      <c r="K686" s="7" t="str">
        <f t="shared" si="9"/>
        <v xml:space="preserve">http://slimages.macys.com/is/image/MCY/12267099 </v>
      </c>
    </row>
    <row r="687" spans="1:11" ht="24.75" x14ac:dyDescent="0.25">
      <c r="A687" s="4" t="s">
        <v>3043</v>
      </c>
      <c r="B687" s="2" t="s">
        <v>1862</v>
      </c>
      <c r="C687" s="5">
        <v>20.99</v>
      </c>
      <c r="D687" s="3" t="s">
        <v>1868</v>
      </c>
      <c r="E687" s="2" t="s">
        <v>70</v>
      </c>
      <c r="F687" s="6" t="s">
        <v>181</v>
      </c>
      <c r="G687" s="2" t="s">
        <v>1473</v>
      </c>
      <c r="H687" s="2" t="s">
        <v>1864</v>
      </c>
      <c r="I687" s="2" t="s">
        <v>19</v>
      </c>
      <c r="J687" s="2" t="s">
        <v>648</v>
      </c>
      <c r="K687" s="7" t="str">
        <f t="shared" si="9"/>
        <v xml:space="preserve">http://slimages.macys.com/is/image/MCY/12267099 </v>
      </c>
    </row>
    <row r="688" spans="1:11" ht="24.75" x14ac:dyDescent="0.25">
      <c r="A688" s="4" t="s">
        <v>3044</v>
      </c>
      <c r="B688" s="2" t="s">
        <v>1862</v>
      </c>
      <c r="C688" s="5">
        <v>20.99</v>
      </c>
      <c r="D688" s="3" t="s">
        <v>1868</v>
      </c>
      <c r="E688" s="2" t="s">
        <v>15</v>
      </c>
      <c r="F688" s="6" t="s">
        <v>234</v>
      </c>
      <c r="G688" s="2" t="s">
        <v>1473</v>
      </c>
      <c r="H688" s="2" t="s">
        <v>1864</v>
      </c>
      <c r="I688" s="2" t="s">
        <v>19</v>
      </c>
      <c r="J688" s="2" t="s">
        <v>648</v>
      </c>
      <c r="K688" s="7" t="str">
        <f t="shared" si="9"/>
        <v xml:space="preserve">http://slimages.macys.com/is/image/MCY/12267099 </v>
      </c>
    </row>
    <row r="689" spans="1:11" ht="24.75" x14ac:dyDescent="0.25">
      <c r="A689" s="4" t="s">
        <v>3045</v>
      </c>
      <c r="B689" s="2" t="s">
        <v>1862</v>
      </c>
      <c r="C689" s="5">
        <v>20.99</v>
      </c>
      <c r="D689" s="3" t="s">
        <v>1868</v>
      </c>
      <c r="E689" s="2" t="s">
        <v>998</v>
      </c>
      <c r="F689" s="6" t="s">
        <v>181</v>
      </c>
      <c r="G689" s="2" t="s">
        <v>1473</v>
      </c>
      <c r="H689" s="2" t="s">
        <v>1864</v>
      </c>
      <c r="I689" s="2" t="s">
        <v>19</v>
      </c>
      <c r="J689" s="2" t="s">
        <v>648</v>
      </c>
      <c r="K689" s="7" t="str">
        <f t="shared" si="9"/>
        <v xml:space="preserve">http://slimages.macys.com/is/image/MCY/12267099 </v>
      </c>
    </row>
    <row r="690" spans="1:11" ht="24.75" x14ac:dyDescent="0.25">
      <c r="A690" s="4" t="s">
        <v>3046</v>
      </c>
      <c r="B690" s="2" t="s">
        <v>1862</v>
      </c>
      <c r="C690" s="5">
        <v>20.99</v>
      </c>
      <c r="D690" s="3" t="s">
        <v>1868</v>
      </c>
      <c r="E690" s="2" t="s">
        <v>998</v>
      </c>
      <c r="F690" s="6" t="s">
        <v>154</v>
      </c>
      <c r="G690" s="2" t="s">
        <v>1473</v>
      </c>
      <c r="H690" s="2" t="s">
        <v>1864</v>
      </c>
      <c r="I690" s="2" t="s">
        <v>19</v>
      </c>
      <c r="J690" s="2" t="s">
        <v>648</v>
      </c>
      <c r="K690" s="7" t="str">
        <f t="shared" si="9"/>
        <v xml:space="preserve">http://slimages.macys.com/is/image/MCY/12267099 </v>
      </c>
    </row>
    <row r="691" spans="1:11" ht="24.75" x14ac:dyDescent="0.25">
      <c r="A691" s="4" t="s">
        <v>3047</v>
      </c>
      <c r="B691" s="2" t="s">
        <v>1862</v>
      </c>
      <c r="C691" s="5">
        <v>20.99</v>
      </c>
      <c r="D691" s="3" t="s">
        <v>1868</v>
      </c>
      <c r="E691" s="2" t="s">
        <v>15</v>
      </c>
      <c r="F691" s="6" t="s">
        <v>181</v>
      </c>
      <c r="G691" s="2" t="s">
        <v>1473</v>
      </c>
      <c r="H691" s="2" t="s">
        <v>1864</v>
      </c>
      <c r="I691" s="2" t="s">
        <v>19</v>
      </c>
      <c r="J691" s="2" t="s">
        <v>648</v>
      </c>
      <c r="K691" s="7" t="str">
        <f t="shared" si="9"/>
        <v xml:space="preserve">http://slimages.macys.com/is/image/MCY/12267099 </v>
      </c>
    </row>
    <row r="692" spans="1:11" ht="24.75" x14ac:dyDescent="0.25">
      <c r="A692" s="4" t="s">
        <v>1867</v>
      </c>
      <c r="B692" s="2" t="s">
        <v>1862</v>
      </c>
      <c r="C692" s="5">
        <v>20.99</v>
      </c>
      <c r="D692" s="3" t="s">
        <v>1868</v>
      </c>
      <c r="E692" s="2" t="s">
        <v>998</v>
      </c>
      <c r="F692" s="6" t="s">
        <v>245</v>
      </c>
      <c r="G692" s="2" t="s">
        <v>1473</v>
      </c>
      <c r="H692" s="2" t="s">
        <v>1864</v>
      </c>
      <c r="I692" s="2" t="s">
        <v>19</v>
      </c>
      <c r="J692" s="2" t="s">
        <v>648</v>
      </c>
      <c r="K692" s="7" t="str">
        <f t="shared" si="9"/>
        <v xml:space="preserve">http://slimages.macys.com/is/image/MCY/12267099 </v>
      </c>
    </row>
    <row r="693" spans="1:11" ht="24.75" x14ac:dyDescent="0.25">
      <c r="A693" s="4" t="s">
        <v>1871</v>
      </c>
      <c r="B693" s="2" t="s">
        <v>1862</v>
      </c>
      <c r="C693" s="5">
        <v>20.99</v>
      </c>
      <c r="D693" s="3" t="s">
        <v>1868</v>
      </c>
      <c r="E693" s="2" t="s">
        <v>70</v>
      </c>
      <c r="F693" s="6" t="s">
        <v>156</v>
      </c>
      <c r="G693" s="2" t="s">
        <v>1473</v>
      </c>
      <c r="H693" s="2" t="s">
        <v>1864</v>
      </c>
      <c r="I693" s="2" t="s">
        <v>19</v>
      </c>
      <c r="J693" s="2" t="s">
        <v>648</v>
      </c>
      <c r="K693" s="7" t="str">
        <f t="shared" si="9"/>
        <v xml:space="preserve">http://slimages.macys.com/is/image/MCY/12267099 </v>
      </c>
    </row>
    <row r="694" spans="1:11" ht="24.75" x14ac:dyDescent="0.25">
      <c r="A694" s="4" t="s">
        <v>3048</v>
      </c>
      <c r="B694" s="2" t="s">
        <v>3049</v>
      </c>
      <c r="C694" s="5">
        <v>14.99</v>
      </c>
      <c r="D694" s="3" t="s">
        <v>3050</v>
      </c>
      <c r="E694" s="2" t="s">
        <v>74</v>
      </c>
      <c r="F694" s="6" t="s">
        <v>154</v>
      </c>
      <c r="G694" s="2" t="s">
        <v>1473</v>
      </c>
      <c r="H694" s="2" t="s">
        <v>1426</v>
      </c>
      <c r="I694" s="2" t="s">
        <v>19</v>
      </c>
      <c r="J694" s="2" t="s">
        <v>495</v>
      </c>
      <c r="K694" s="7" t="str">
        <f>HYPERLINK("http://slimages.macys.com/is/image/MCY/11029120 ")</f>
        <v xml:space="preserve">http://slimages.macys.com/is/image/MCY/11029120 </v>
      </c>
    </row>
    <row r="695" spans="1:11" ht="24.75" x14ac:dyDescent="0.25">
      <c r="A695" s="4" t="s">
        <v>1908</v>
      </c>
      <c r="B695" s="2" t="s">
        <v>1896</v>
      </c>
      <c r="C695" s="5">
        <v>20.99</v>
      </c>
      <c r="D695" s="3" t="s">
        <v>1899</v>
      </c>
      <c r="E695" s="2" t="s">
        <v>998</v>
      </c>
      <c r="F695" s="6" t="s">
        <v>245</v>
      </c>
      <c r="G695" s="2" t="s">
        <v>1473</v>
      </c>
      <c r="H695" s="2" t="s">
        <v>1864</v>
      </c>
      <c r="I695" s="2" t="s">
        <v>19</v>
      </c>
      <c r="J695" s="2" t="s">
        <v>648</v>
      </c>
      <c r="K695" s="7" t="str">
        <f>HYPERLINK("http://slimages.macys.com/is/image/MCY/10787705 ")</f>
        <v xml:space="preserve">http://slimages.macys.com/is/image/MCY/10787705 </v>
      </c>
    </row>
    <row r="696" spans="1:11" ht="24.75" x14ac:dyDescent="0.25">
      <c r="A696" s="4" t="s">
        <v>3051</v>
      </c>
      <c r="B696" s="2" t="s">
        <v>1892</v>
      </c>
      <c r="C696" s="5">
        <v>20.99</v>
      </c>
      <c r="D696" s="3" t="s">
        <v>1901</v>
      </c>
      <c r="E696" s="2" t="s">
        <v>998</v>
      </c>
      <c r="F696" s="6" t="s">
        <v>154</v>
      </c>
      <c r="G696" s="2" t="s">
        <v>1473</v>
      </c>
      <c r="H696" s="2" t="s">
        <v>1864</v>
      </c>
      <c r="I696" s="2" t="s">
        <v>19</v>
      </c>
      <c r="J696" s="2" t="s">
        <v>648</v>
      </c>
      <c r="K696" s="7" t="str">
        <f>HYPERLINK("http://slimages.macys.com/is/image/MCY/11689284 ")</f>
        <v xml:space="preserve">http://slimages.macys.com/is/image/MCY/11689284 </v>
      </c>
    </row>
    <row r="697" spans="1:11" ht="24.75" x14ac:dyDescent="0.25">
      <c r="A697" s="4" t="s">
        <v>3052</v>
      </c>
      <c r="B697" s="2" t="s">
        <v>1896</v>
      </c>
      <c r="C697" s="5">
        <v>20.99</v>
      </c>
      <c r="D697" s="3" t="s">
        <v>1899</v>
      </c>
      <c r="E697" s="2" t="s">
        <v>74</v>
      </c>
      <c r="F697" s="6" t="s">
        <v>156</v>
      </c>
      <c r="G697" s="2" t="s">
        <v>1473</v>
      </c>
      <c r="H697" s="2" t="s">
        <v>1864</v>
      </c>
      <c r="I697" s="2" t="s">
        <v>19</v>
      </c>
      <c r="J697" s="2" t="s">
        <v>648</v>
      </c>
      <c r="K697" s="7" t="str">
        <f>HYPERLINK("http://slimages.macys.com/is/image/MCY/10787705 ")</f>
        <v xml:space="preserve">http://slimages.macys.com/is/image/MCY/10787705 </v>
      </c>
    </row>
    <row r="698" spans="1:11" ht="24.75" x14ac:dyDescent="0.25">
      <c r="A698" s="4" t="s">
        <v>3053</v>
      </c>
      <c r="B698" s="2" t="s">
        <v>1896</v>
      </c>
      <c r="C698" s="5">
        <v>20.99</v>
      </c>
      <c r="D698" s="3" t="s">
        <v>1899</v>
      </c>
      <c r="E698" s="2" t="s">
        <v>15</v>
      </c>
      <c r="F698" s="6" t="s">
        <v>234</v>
      </c>
      <c r="G698" s="2" t="s">
        <v>1473</v>
      </c>
      <c r="H698" s="2" t="s">
        <v>1864</v>
      </c>
      <c r="I698" s="2" t="s">
        <v>19</v>
      </c>
      <c r="J698" s="2" t="s">
        <v>648</v>
      </c>
      <c r="K698" s="7" t="str">
        <f>HYPERLINK("http://slimages.macys.com/is/image/MCY/10787705 ")</f>
        <v xml:space="preserve">http://slimages.macys.com/is/image/MCY/10787705 </v>
      </c>
    </row>
    <row r="699" spans="1:11" ht="24.75" x14ac:dyDescent="0.25">
      <c r="A699" s="4" t="s">
        <v>1906</v>
      </c>
      <c r="B699" s="2" t="s">
        <v>1896</v>
      </c>
      <c r="C699" s="5">
        <v>20.99</v>
      </c>
      <c r="D699" s="3" t="s">
        <v>1899</v>
      </c>
      <c r="E699" s="2" t="s">
        <v>998</v>
      </c>
      <c r="F699" s="6" t="s">
        <v>156</v>
      </c>
      <c r="G699" s="2" t="s">
        <v>1473</v>
      </c>
      <c r="H699" s="2" t="s">
        <v>1864</v>
      </c>
      <c r="I699" s="2" t="s">
        <v>19</v>
      </c>
      <c r="J699" s="2" t="s">
        <v>648</v>
      </c>
      <c r="K699" s="7" t="str">
        <f>HYPERLINK("http://slimages.macys.com/is/image/MCY/10787705 ")</f>
        <v xml:space="preserve">http://slimages.macys.com/is/image/MCY/10787705 </v>
      </c>
    </row>
    <row r="700" spans="1:11" ht="24.75" x14ac:dyDescent="0.25">
      <c r="A700" s="4" t="s">
        <v>3054</v>
      </c>
      <c r="B700" s="2" t="s">
        <v>1892</v>
      </c>
      <c r="C700" s="5">
        <v>20.99</v>
      </c>
      <c r="D700" s="3" t="s">
        <v>1901</v>
      </c>
      <c r="E700" s="2" t="s">
        <v>252</v>
      </c>
      <c r="F700" s="6" t="s">
        <v>156</v>
      </c>
      <c r="G700" s="2" t="s">
        <v>1473</v>
      </c>
      <c r="H700" s="2" t="s">
        <v>1864</v>
      </c>
      <c r="I700" s="2" t="s">
        <v>19</v>
      </c>
      <c r="J700" s="2" t="s">
        <v>648</v>
      </c>
      <c r="K700" s="7" t="str">
        <f>HYPERLINK("http://slimages.macys.com/is/image/MCY/11689284 ")</f>
        <v xml:space="preserve">http://slimages.macys.com/is/image/MCY/11689284 </v>
      </c>
    </row>
    <row r="701" spans="1:11" ht="24.75" x14ac:dyDescent="0.25">
      <c r="A701" s="4" t="s">
        <v>1900</v>
      </c>
      <c r="B701" s="2" t="s">
        <v>1892</v>
      </c>
      <c r="C701" s="5">
        <v>20.99</v>
      </c>
      <c r="D701" s="3" t="s">
        <v>1901</v>
      </c>
      <c r="E701" s="2" t="s">
        <v>998</v>
      </c>
      <c r="F701" s="6" t="s">
        <v>156</v>
      </c>
      <c r="G701" s="2" t="s">
        <v>1473</v>
      </c>
      <c r="H701" s="2" t="s">
        <v>1864</v>
      </c>
      <c r="I701" s="2" t="s">
        <v>19</v>
      </c>
      <c r="J701" s="2" t="s">
        <v>648</v>
      </c>
      <c r="K701" s="7" t="str">
        <f>HYPERLINK("http://slimages.macys.com/is/image/MCY/11689284 ")</f>
        <v xml:space="preserve">http://slimages.macys.com/is/image/MCY/11689284 </v>
      </c>
    </row>
    <row r="702" spans="1:11" ht="24.75" x14ac:dyDescent="0.25">
      <c r="A702" s="4" t="s">
        <v>1916</v>
      </c>
      <c r="B702" s="2" t="s">
        <v>1896</v>
      </c>
      <c r="C702" s="5">
        <v>20.99</v>
      </c>
      <c r="D702" s="3" t="s">
        <v>1899</v>
      </c>
      <c r="E702" s="2" t="s">
        <v>15</v>
      </c>
      <c r="F702" s="6" t="s">
        <v>154</v>
      </c>
      <c r="G702" s="2" t="s">
        <v>1473</v>
      </c>
      <c r="H702" s="2" t="s">
        <v>1864</v>
      </c>
      <c r="I702" s="2" t="s">
        <v>19</v>
      </c>
      <c r="J702" s="2" t="s">
        <v>648</v>
      </c>
      <c r="K702" s="7" t="str">
        <f>HYPERLINK("http://slimages.macys.com/is/image/MCY/10787705 ")</f>
        <v xml:space="preserve">http://slimages.macys.com/is/image/MCY/10787705 </v>
      </c>
    </row>
    <row r="703" spans="1:11" ht="24.75" x14ac:dyDescent="0.25">
      <c r="A703" s="4" t="s">
        <v>3055</v>
      </c>
      <c r="B703" s="2" t="s">
        <v>1892</v>
      </c>
      <c r="C703" s="5">
        <v>20.99</v>
      </c>
      <c r="D703" s="3" t="s">
        <v>1901</v>
      </c>
      <c r="E703" s="2" t="s">
        <v>74</v>
      </c>
      <c r="F703" s="6" t="s">
        <v>156</v>
      </c>
      <c r="G703" s="2" t="s">
        <v>1473</v>
      </c>
      <c r="H703" s="2" t="s">
        <v>1864</v>
      </c>
      <c r="I703" s="2" t="s">
        <v>19</v>
      </c>
      <c r="J703" s="2" t="s">
        <v>648</v>
      </c>
      <c r="K703" s="7" t="str">
        <f>HYPERLINK("http://slimages.macys.com/is/image/MCY/11689284 ")</f>
        <v xml:space="preserve">http://slimages.macys.com/is/image/MCY/11689284 </v>
      </c>
    </row>
    <row r="704" spans="1:11" ht="24.75" x14ac:dyDescent="0.25">
      <c r="A704" s="4" t="s">
        <v>1905</v>
      </c>
      <c r="B704" s="2" t="s">
        <v>1892</v>
      </c>
      <c r="C704" s="5">
        <v>20.99</v>
      </c>
      <c r="D704" s="3" t="s">
        <v>1901</v>
      </c>
      <c r="E704" s="2" t="s">
        <v>1788</v>
      </c>
      <c r="F704" s="6" t="s">
        <v>156</v>
      </c>
      <c r="G704" s="2" t="s">
        <v>1473</v>
      </c>
      <c r="H704" s="2" t="s">
        <v>1864</v>
      </c>
      <c r="I704" s="2" t="s">
        <v>19</v>
      </c>
      <c r="J704" s="2" t="s">
        <v>648</v>
      </c>
      <c r="K704" s="7" t="str">
        <f>HYPERLINK("http://slimages.macys.com/is/image/MCY/11689284 ")</f>
        <v xml:space="preserve">http://slimages.macys.com/is/image/MCY/11689284 </v>
      </c>
    </row>
    <row r="705" spans="1:11" ht="24.75" x14ac:dyDescent="0.25">
      <c r="A705" s="4" t="s">
        <v>3056</v>
      </c>
      <c r="B705" s="2" t="s">
        <v>1892</v>
      </c>
      <c r="C705" s="5">
        <v>20.99</v>
      </c>
      <c r="D705" s="3" t="s">
        <v>1901</v>
      </c>
      <c r="E705" s="2" t="s">
        <v>998</v>
      </c>
      <c r="F705" s="6" t="s">
        <v>234</v>
      </c>
      <c r="G705" s="2" t="s">
        <v>1473</v>
      </c>
      <c r="H705" s="2" t="s">
        <v>1864</v>
      </c>
      <c r="I705" s="2" t="s">
        <v>19</v>
      </c>
      <c r="J705" s="2" t="s">
        <v>648</v>
      </c>
      <c r="K705" s="7" t="str">
        <f>HYPERLINK("http://slimages.macys.com/is/image/MCY/11689284 ")</f>
        <v xml:space="preserve">http://slimages.macys.com/is/image/MCY/11689284 </v>
      </c>
    </row>
    <row r="706" spans="1:11" ht="24.75" x14ac:dyDescent="0.25">
      <c r="A706" s="4" t="s">
        <v>3057</v>
      </c>
      <c r="B706" s="2" t="s">
        <v>1892</v>
      </c>
      <c r="C706" s="5">
        <v>20.99</v>
      </c>
      <c r="D706" s="3" t="s">
        <v>1901</v>
      </c>
      <c r="E706" s="2" t="s">
        <v>1788</v>
      </c>
      <c r="F706" s="6" t="s">
        <v>154</v>
      </c>
      <c r="G706" s="2" t="s">
        <v>1473</v>
      </c>
      <c r="H706" s="2" t="s">
        <v>1864</v>
      </c>
      <c r="I706" s="2" t="s">
        <v>19</v>
      </c>
      <c r="J706" s="2" t="s">
        <v>648</v>
      </c>
      <c r="K706" s="7" t="str">
        <f>HYPERLINK("http://slimages.macys.com/is/image/MCY/11689284 ")</f>
        <v xml:space="preserve">http://slimages.macys.com/is/image/MCY/11689284 </v>
      </c>
    </row>
    <row r="707" spans="1:11" ht="24.75" x14ac:dyDescent="0.25">
      <c r="A707" s="4" t="s">
        <v>3058</v>
      </c>
      <c r="B707" s="2" t="s">
        <v>1896</v>
      </c>
      <c r="C707" s="5">
        <v>20.99</v>
      </c>
      <c r="D707" s="3" t="s">
        <v>1897</v>
      </c>
      <c r="E707" s="2" t="s">
        <v>15</v>
      </c>
      <c r="F707" s="6"/>
      <c r="G707" s="2" t="s">
        <v>1425</v>
      </c>
      <c r="H707" s="2" t="s">
        <v>1864</v>
      </c>
      <c r="I707" s="2" t="s">
        <v>19</v>
      </c>
      <c r="J707" s="2" t="s">
        <v>648</v>
      </c>
      <c r="K707" s="7" t="str">
        <f>HYPERLINK("http://slimages.macys.com/is/image/MCY/10787699 ")</f>
        <v xml:space="preserve">http://slimages.macys.com/is/image/MCY/10787699 </v>
      </c>
    </row>
    <row r="708" spans="1:11" ht="24.75" x14ac:dyDescent="0.25">
      <c r="A708" s="4" t="s">
        <v>3059</v>
      </c>
      <c r="B708" s="2" t="s">
        <v>1896</v>
      </c>
      <c r="C708" s="5">
        <v>20.99</v>
      </c>
      <c r="D708" s="3" t="s">
        <v>1899</v>
      </c>
      <c r="E708" s="2" t="s">
        <v>74</v>
      </c>
      <c r="F708" s="6" t="s">
        <v>234</v>
      </c>
      <c r="G708" s="2" t="s">
        <v>1473</v>
      </c>
      <c r="H708" s="2" t="s">
        <v>1864</v>
      </c>
      <c r="I708" s="2" t="s">
        <v>19</v>
      </c>
      <c r="J708" s="2" t="s">
        <v>648</v>
      </c>
      <c r="K708" s="7" t="str">
        <f>HYPERLINK("http://slimages.macys.com/is/image/MCY/10787705 ")</f>
        <v xml:space="preserve">http://slimages.macys.com/is/image/MCY/10787705 </v>
      </c>
    </row>
    <row r="709" spans="1:11" ht="24.75" x14ac:dyDescent="0.25">
      <c r="A709" s="4" t="s">
        <v>3060</v>
      </c>
      <c r="B709" s="2" t="s">
        <v>1896</v>
      </c>
      <c r="C709" s="5">
        <v>20.99</v>
      </c>
      <c r="D709" s="3" t="s">
        <v>1899</v>
      </c>
      <c r="E709" s="2" t="s">
        <v>15</v>
      </c>
      <c r="F709" s="6" t="s">
        <v>156</v>
      </c>
      <c r="G709" s="2" t="s">
        <v>1473</v>
      </c>
      <c r="H709" s="2" t="s">
        <v>1864</v>
      </c>
      <c r="I709" s="2" t="s">
        <v>19</v>
      </c>
      <c r="J709" s="2" t="s">
        <v>648</v>
      </c>
      <c r="K709" s="7" t="str">
        <f>HYPERLINK("http://slimages.macys.com/is/image/MCY/10787705 ")</f>
        <v xml:space="preserve">http://slimages.macys.com/is/image/MCY/10787705 </v>
      </c>
    </row>
    <row r="710" spans="1:11" ht="24.75" x14ac:dyDescent="0.25">
      <c r="A710" s="4" t="s">
        <v>1904</v>
      </c>
      <c r="B710" s="2" t="s">
        <v>1892</v>
      </c>
      <c r="C710" s="5">
        <v>20.99</v>
      </c>
      <c r="D710" s="3" t="s">
        <v>1893</v>
      </c>
      <c r="E710" s="2" t="s">
        <v>15</v>
      </c>
      <c r="F710" s="6"/>
      <c r="G710" s="2" t="s">
        <v>1425</v>
      </c>
      <c r="H710" s="2" t="s">
        <v>1864</v>
      </c>
      <c r="I710" s="2" t="s">
        <v>19</v>
      </c>
      <c r="J710" s="2" t="s">
        <v>1894</v>
      </c>
      <c r="K710" s="7" t="str">
        <f>HYPERLINK("http://slimages.macys.com/is/image/MCY/11689288 ")</f>
        <v xml:space="preserve">http://slimages.macys.com/is/image/MCY/11689288 </v>
      </c>
    </row>
    <row r="711" spans="1:11" ht="24.75" x14ac:dyDescent="0.25">
      <c r="A711" s="4" t="s">
        <v>3061</v>
      </c>
      <c r="B711" s="2" t="s">
        <v>1892</v>
      </c>
      <c r="C711" s="5">
        <v>20.99</v>
      </c>
      <c r="D711" s="3" t="s">
        <v>1893</v>
      </c>
      <c r="E711" s="2" t="s">
        <v>998</v>
      </c>
      <c r="F711" s="6" t="s">
        <v>187</v>
      </c>
      <c r="G711" s="2" t="s">
        <v>1425</v>
      </c>
      <c r="H711" s="2" t="s">
        <v>1864</v>
      </c>
      <c r="I711" s="2" t="s">
        <v>19</v>
      </c>
      <c r="J711" s="2" t="s">
        <v>1894</v>
      </c>
      <c r="K711" s="7" t="str">
        <f>HYPERLINK("http://slimages.macys.com/is/image/MCY/11689288 ")</f>
        <v xml:space="preserve">http://slimages.macys.com/is/image/MCY/11689288 </v>
      </c>
    </row>
    <row r="712" spans="1:11" ht="24.75" x14ac:dyDescent="0.25">
      <c r="A712" s="4" t="s">
        <v>3062</v>
      </c>
      <c r="B712" s="2" t="s">
        <v>1892</v>
      </c>
      <c r="C712" s="5">
        <v>20.99</v>
      </c>
      <c r="D712" s="3" t="s">
        <v>1893</v>
      </c>
      <c r="E712" s="2" t="s">
        <v>15</v>
      </c>
      <c r="F712" s="6" t="s">
        <v>219</v>
      </c>
      <c r="G712" s="2" t="s">
        <v>1425</v>
      </c>
      <c r="H712" s="2" t="s">
        <v>1864</v>
      </c>
      <c r="I712" s="2" t="s">
        <v>19</v>
      </c>
      <c r="J712" s="2" t="s">
        <v>1894</v>
      </c>
      <c r="K712" s="7" t="str">
        <f>HYPERLINK("http://slimages.macys.com/is/image/MCY/11689288 ")</f>
        <v xml:space="preserve">http://slimages.macys.com/is/image/MCY/11689288 </v>
      </c>
    </row>
    <row r="713" spans="1:11" ht="24.75" x14ac:dyDescent="0.25">
      <c r="A713" s="4" t="s">
        <v>1909</v>
      </c>
      <c r="B713" s="2" t="s">
        <v>1892</v>
      </c>
      <c r="C713" s="5">
        <v>20.99</v>
      </c>
      <c r="D713" s="3" t="s">
        <v>1893</v>
      </c>
      <c r="E713" s="2" t="s">
        <v>15</v>
      </c>
      <c r="F713" s="6"/>
      <c r="G713" s="2" t="s">
        <v>1425</v>
      </c>
      <c r="H713" s="2" t="s">
        <v>1864</v>
      </c>
      <c r="I713" s="2" t="s">
        <v>19</v>
      </c>
      <c r="J713" s="2" t="s">
        <v>1894</v>
      </c>
      <c r="K713" s="7" t="str">
        <f>HYPERLINK("http://slimages.macys.com/is/image/MCY/11689288 ")</f>
        <v xml:space="preserve">http://slimages.macys.com/is/image/MCY/11689288 </v>
      </c>
    </row>
    <row r="714" spans="1:11" ht="24.75" x14ac:dyDescent="0.25">
      <c r="A714" s="4" t="s">
        <v>1898</v>
      </c>
      <c r="B714" s="2" t="s">
        <v>1896</v>
      </c>
      <c r="C714" s="5">
        <v>20.99</v>
      </c>
      <c r="D714" s="3" t="s">
        <v>1899</v>
      </c>
      <c r="E714" s="2" t="s">
        <v>74</v>
      </c>
      <c r="F714" s="6" t="s">
        <v>154</v>
      </c>
      <c r="G714" s="2" t="s">
        <v>1473</v>
      </c>
      <c r="H714" s="2" t="s">
        <v>1864</v>
      </c>
      <c r="I714" s="2" t="s">
        <v>19</v>
      </c>
      <c r="J714" s="2" t="s">
        <v>648</v>
      </c>
      <c r="K714" s="7" t="str">
        <f t="shared" ref="K714:K721" si="10">HYPERLINK("http://slimages.macys.com/is/image/MCY/10787705 ")</f>
        <v xml:space="preserve">http://slimages.macys.com/is/image/MCY/10787705 </v>
      </c>
    </row>
    <row r="715" spans="1:11" ht="24.75" x14ac:dyDescent="0.25">
      <c r="A715" s="4" t="s">
        <v>3063</v>
      </c>
      <c r="B715" s="2" t="s">
        <v>1896</v>
      </c>
      <c r="C715" s="5">
        <v>20.99</v>
      </c>
      <c r="D715" s="3" t="s">
        <v>1899</v>
      </c>
      <c r="E715" s="2" t="s">
        <v>15</v>
      </c>
      <c r="F715" s="6" t="s">
        <v>245</v>
      </c>
      <c r="G715" s="2" t="s">
        <v>1473</v>
      </c>
      <c r="H715" s="2" t="s">
        <v>1864</v>
      </c>
      <c r="I715" s="2" t="s">
        <v>19</v>
      </c>
      <c r="J715" s="2" t="s">
        <v>648</v>
      </c>
      <c r="K715" s="7" t="str">
        <f t="shared" si="10"/>
        <v xml:space="preserve">http://slimages.macys.com/is/image/MCY/10787705 </v>
      </c>
    </row>
    <row r="716" spans="1:11" ht="24.75" x14ac:dyDescent="0.25">
      <c r="A716" s="4" t="s">
        <v>3064</v>
      </c>
      <c r="B716" s="2" t="s">
        <v>1896</v>
      </c>
      <c r="C716" s="5">
        <v>20.99</v>
      </c>
      <c r="D716" s="3" t="s">
        <v>1899</v>
      </c>
      <c r="E716" s="2" t="s">
        <v>252</v>
      </c>
      <c r="F716" s="6" t="s">
        <v>156</v>
      </c>
      <c r="G716" s="2" t="s">
        <v>1473</v>
      </c>
      <c r="H716" s="2" t="s">
        <v>1864</v>
      </c>
      <c r="I716" s="2" t="s">
        <v>19</v>
      </c>
      <c r="J716" s="2" t="s">
        <v>648</v>
      </c>
      <c r="K716" s="7" t="str">
        <f t="shared" si="10"/>
        <v xml:space="preserve">http://slimages.macys.com/is/image/MCY/10787705 </v>
      </c>
    </row>
    <row r="717" spans="1:11" ht="24.75" x14ac:dyDescent="0.25">
      <c r="A717" s="4" t="s">
        <v>3065</v>
      </c>
      <c r="B717" s="2" t="s">
        <v>1896</v>
      </c>
      <c r="C717" s="5">
        <v>20.99</v>
      </c>
      <c r="D717" s="3" t="s">
        <v>1899</v>
      </c>
      <c r="E717" s="2" t="s">
        <v>70</v>
      </c>
      <c r="F717" s="6" t="s">
        <v>245</v>
      </c>
      <c r="G717" s="2" t="s">
        <v>1473</v>
      </c>
      <c r="H717" s="2" t="s">
        <v>1864</v>
      </c>
      <c r="I717" s="2" t="s">
        <v>19</v>
      </c>
      <c r="J717" s="2" t="s">
        <v>648</v>
      </c>
      <c r="K717" s="7" t="str">
        <f t="shared" si="10"/>
        <v xml:space="preserve">http://slimages.macys.com/is/image/MCY/10787705 </v>
      </c>
    </row>
    <row r="718" spans="1:11" ht="24.75" x14ac:dyDescent="0.25">
      <c r="A718" s="4" t="s">
        <v>3066</v>
      </c>
      <c r="B718" s="2" t="s">
        <v>1896</v>
      </c>
      <c r="C718" s="5">
        <v>20.99</v>
      </c>
      <c r="D718" s="3" t="s">
        <v>1899</v>
      </c>
      <c r="E718" s="2" t="s">
        <v>74</v>
      </c>
      <c r="F718" s="6" t="s">
        <v>245</v>
      </c>
      <c r="G718" s="2" t="s">
        <v>1473</v>
      </c>
      <c r="H718" s="2" t="s">
        <v>1864</v>
      </c>
      <c r="I718" s="2" t="s">
        <v>19</v>
      </c>
      <c r="J718" s="2" t="s">
        <v>648</v>
      </c>
      <c r="K718" s="7" t="str">
        <f t="shared" si="10"/>
        <v xml:space="preserve">http://slimages.macys.com/is/image/MCY/10787705 </v>
      </c>
    </row>
    <row r="719" spans="1:11" ht="24.75" x14ac:dyDescent="0.25">
      <c r="A719" s="4" t="s">
        <v>3067</v>
      </c>
      <c r="B719" s="2" t="s">
        <v>1896</v>
      </c>
      <c r="C719" s="5">
        <v>20.99</v>
      </c>
      <c r="D719" s="3" t="s">
        <v>1899</v>
      </c>
      <c r="E719" s="2" t="s">
        <v>70</v>
      </c>
      <c r="F719" s="6" t="s">
        <v>234</v>
      </c>
      <c r="G719" s="2" t="s">
        <v>1473</v>
      </c>
      <c r="H719" s="2" t="s">
        <v>1864</v>
      </c>
      <c r="I719" s="2" t="s">
        <v>19</v>
      </c>
      <c r="J719" s="2" t="s">
        <v>648</v>
      </c>
      <c r="K719" s="7" t="str">
        <f t="shared" si="10"/>
        <v xml:space="preserve">http://slimages.macys.com/is/image/MCY/10787705 </v>
      </c>
    </row>
    <row r="720" spans="1:11" ht="24.75" x14ac:dyDescent="0.25">
      <c r="A720" s="4" t="s">
        <v>3068</v>
      </c>
      <c r="B720" s="2" t="s">
        <v>1896</v>
      </c>
      <c r="C720" s="5">
        <v>20.99</v>
      </c>
      <c r="D720" s="3" t="s">
        <v>1899</v>
      </c>
      <c r="E720" s="2" t="s">
        <v>74</v>
      </c>
      <c r="F720" s="6" t="s">
        <v>181</v>
      </c>
      <c r="G720" s="2" t="s">
        <v>1473</v>
      </c>
      <c r="H720" s="2" t="s">
        <v>1864</v>
      </c>
      <c r="I720" s="2" t="s">
        <v>19</v>
      </c>
      <c r="J720" s="2" t="s">
        <v>648</v>
      </c>
      <c r="K720" s="7" t="str">
        <f t="shared" si="10"/>
        <v xml:space="preserve">http://slimages.macys.com/is/image/MCY/10787705 </v>
      </c>
    </row>
    <row r="721" spans="1:11" ht="24.75" x14ac:dyDescent="0.25">
      <c r="A721" s="4" t="s">
        <v>3069</v>
      </c>
      <c r="B721" s="2" t="s">
        <v>1896</v>
      </c>
      <c r="C721" s="5">
        <v>20.99</v>
      </c>
      <c r="D721" s="3" t="s">
        <v>1899</v>
      </c>
      <c r="E721" s="2" t="s">
        <v>998</v>
      </c>
      <c r="F721" s="6" t="s">
        <v>181</v>
      </c>
      <c r="G721" s="2" t="s">
        <v>1473</v>
      </c>
      <c r="H721" s="2" t="s">
        <v>1864</v>
      </c>
      <c r="I721" s="2" t="s">
        <v>19</v>
      </c>
      <c r="J721" s="2" t="s">
        <v>648</v>
      </c>
      <c r="K721" s="7" t="str">
        <f t="shared" si="10"/>
        <v xml:space="preserve">http://slimages.macys.com/is/image/MCY/10787705 </v>
      </c>
    </row>
    <row r="722" spans="1:11" ht="24.75" x14ac:dyDescent="0.25">
      <c r="A722" s="4" t="s">
        <v>3070</v>
      </c>
      <c r="B722" s="2" t="s">
        <v>1892</v>
      </c>
      <c r="C722" s="5">
        <v>20.99</v>
      </c>
      <c r="D722" s="3" t="s">
        <v>1901</v>
      </c>
      <c r="E722" s="2" t="s">
        <v>15</v>
      </c>
      <c r="F722" s="6" t="s">
        <v>156</v>
      </c>
      <c r="G722" s="2" t="s">
        <v>1473</v>
      </c>
      <c r="H722" s="2" t="s">
        <v>1864</v>
      </c>
      <c r="I722" s="2" t="s">
        <v>19</v>
      </c>
      <c r="J722" s="2" t="s">
        <v>648</v>
      </c>
      <c r="K722" s="7" t="str">
        <f>HYPERLINK("http://slimages.macys.com/is/image/MCY/11689284 ")</f>
        <v xml:space="preserve">http://slimages.macys.com/is/image/MCY/11689284 </v>
      </c>
    </row>
    <row r="723" spans="1:11" ht="24.75" x14ac:dyDescent="0.25">
      <c r="A723" s="4" t="s">
        <v>3071</v>
      </c>
      <c r="B723" s="2" t="s">
        <v>1892</v>
      </c>
      <c r="C723" s="5">
        <v>20.99</v>
      </c>
      <c r="D723" s="3" t="s">
        <v>1901</v>
      </c>
      <c r="E723" s="2" t="s">
        <v>74</v>
      </c>
      <c r="F723" s="6" t="s">
        <v>154</v>
      </c>
      <c r="G723" s="2" t="s">
        <v>1473</v>
      </c>
      <c r="H723" s="2" t="s">
        <v>1864</v>
      </c>
      <c r="I723" s="2" t="s">
        <v>19</v>
      </c>
      <c r="J723" s="2" t="s">
        <v>648</v>
      </c>
      <c r="K723" s="7" t="str">
        <f>HYPERLINK("http://slimages.macys.com/is/image/MCY/11689284 ")</f>
        <v xml:space="preserve">http://slimages.macys.com/is/image/MCY/11689284 </v>
      </c>
    </row>
    <row r="724" spans="1:11" ht="24.75" x14ac:dyDescent="0.25">
      <c r="A724" s="4" t="s">
        <v>3072</v>
      </c>
      <c r="B724" s="2" t="s">
        <v>1892</v>
      </c>
      <c r="C724" s="5">
        <v>20.99</v>
      </c>
      <c r="D724" s="3" t="s">
        <v>1901</v>
      </c>
      <c r="E724" s="2" t="s">
        <v>1788</v>
      </c>
      <c r="F724" s="6" t="s">
        <v>181</v>
      </c>
      <c r="G724" s="2" t="s">
        <v>1473</v>
      </c>
      <c r="H724" s="2" t="s">
        <v>1864</v>
      </c>
      <c r="I724" s="2" t="s">
        <v>19</v>
      </c>
      <c r="J724" s="2" t="s">
        <v>648</v>
      </c>
      <c r="K724" s="7" t="str">
        <f>HYPERLINK("http://slimages.macys.com/is/image/MCY/11689284 ")</f>
        <v xml:space="preserve">http://slimages.macys.com/is/image/MCY/11689284 </v>
      </c>
    </row>
    <row r="725" spans="1:11" ht="24.75" x14ac:dyDescent="0.25">
      <c r="A725" s="4" t="s">
        <v>3073</v>
      </c>
      <c r="B725" s="2" t="s">
        <v>1896</v>
      </c>
      <c r="C725" s="5">
        <v>20.99</v>
      </c>
      <c r="D725" s="3" t="s">
        <v>1899</v>
      </c>
      <c r="E725" s="2" t="s">
        <v>15</v>
      </c>
      <c r="F725" s="6" t="s">
        <v>181</v>
      </c>
      <c r="G725" s="2" t="s">
        <v>1473</v>
      </c>
      <c r="H725" s="2" t="s">
        <v>1864</v>
      </c>
      <c r="I725" s="2" t="s">
        <v>19</v>
      </c>
      <c r="J725" s="2" t="s">
        <v>648</v>
      </c>
      <c r="K725" s="7" t="str">
        <f>HYPERLINK("http://slimages.macys.com/is/image/MCY/10787705 ")</f>
        <v xml:space="preserve">http://slimages.macys.com/is/image/MCY/10787705 </v>
      </c>
    </row>
    <row r="726" spans="1:11" ht="24.75" x14ac:dyDescent="0.25">
      <c r="A726" s="4" t="s">
        <v>3074</v>
      </c>
      <c r="B726" s="2" t="s">
        <v>1892</v>
      </c>
      <c r="C726" s="5">
        <v>20.99</v>
      </c>
      <c r="D726" s="3" t="s">
        <v>1901</v>
      </c>
      <c r="E726" s="2" t="s">
        <v>15</v>
      </c>
      <c r="F726" s="6" t="s">
        <v>245</v>
      </c>
      <c r="G726" s="2" t="s">
        <v>1473</v>
      </c>
      <c r="H726" s="2" t="s">
        <v>1864</v>
      </c>
      <c r="I726" s="2" t="s">
        <v>19</v>
      </c>
      <c r="J726" s="2" t="s">
        <v>648</v>
      </c>
      <c r="K726" s="7" t="str">
        <f>HYPERLINK("http://slimages.macys.com/is/image/MCY/11689284 ")</f>
        <v xml:space="preserve">http://slimages.macys.com/is/image/MCY/11689284 </v>
      </c>
    </row>
    <row r="727" spans="1:11" ht="24.75" x14ac:dyDescent="0.25">
      <c r="A727" s="4" t="s">
        <v>3075</v>
      </c>
      <c r="B727" s="2" t="s">
        <v>1896</v>
      </c>
      <c r="C727" s="5">
        <v>20.99</v>
      </c>
      <c r="D727" s="3" t="s">
        <v>1899</v>
      </c>
      <c r="E727" s="2" t="s">
        <v>998</v>
      </c>
      <c r="F727" s="6" t="s">
        <v>154</v>
      </c>
      <c r="G727" s="2" t="s">
        <v>1473</v>
      </c>
      <c r="H727" s="2" t="s">
        <v>1864</v>
      </c>
      <c r="I727" s="2" t="s">
        <v>19</v>
      </c>
      <c r="J727" s="2" t="s">
        <v>648</v>
      </c>
      <c r="K727" s="7" t="str">
        <f>HYPERLINK("http://slimages.macys.com/is/image/MCY/10787705 ")</f>
        <v xml:space="preserve">http://slimages.macys.com/is/image/MCY/10787705 </v>
      </c>
    </row>
    <row r="728" spans="1:11" ht="24.75" x14ac:dyDescent="0.25">
      <c r="A728" s="4" t="s">
        <v>3076</v>
      </c>
      <c r="B728" s="2" t="s">
        <v>1896</v>
      </c>
      <c r="C728" s="5">
        <v>20.99</v>
      </c>
      <c r="D728" s="3" t="s">
        <v>1899</v>
      </c>
      <c r="E728" s="2" t="s">
        <v>70</v>
      </c>
      <c r="F728" s="6" t="s">
        <v>154</v>
      </c>
      <c r="G728" s="2" t="s">
        <v>1473</v>
      </c>
      <c r="H728" s="2" t="s">
        <v>1864</v>
      </c>
      <c r="I728" s="2" t="s">
        <v>19</v>
      </c>
      <c r="J728" s="2" t="s">
        <v>648</v>
      </c>
      <c r="K728" s="7" t="str">
        <f>HYPERLINK("http://slimages.macys.com/is/image/MCY/10787705 ")</f>
        <v xml:space="preserve">http://slimages.macys.com/is/image/MCY/10787705 </v>
      </c>
    </row>
    <row r="729" spans="1:11" x14ac:dyDescent="0.25">
      <c r="A729" s="4" t="s">
        <v>3077</v>
      </c>
      <c r="B729" s="2" t="s">
        <v>3078</v>
      </c>
      <c r="C729" s="5">
        <v>29.5</v>
      </c>
      <c r="D729" s="3" t="s">
        <v>3079</v>
      </c>
      <c r="E729" s="2" t="s">
        <v>132</v>
      </c>
      <c r="F729" s="6"/>
      <c r="G729" s="2" t="s">
        <v>206</v>
      </c>
      <c r="H729" s="2" t="s">
        <v>207</v>
      </c>
      <c r="I729" s="2" t="s">
        <v>19</v>
      </c>
      <c r="J729" s="2" t="s">
        <v>1082</v>
      </c>
      <c r="K729" s="7" t="str">
        <f>HYPERLINK("http://slimages.macys.com/is/image/MCY/11530458 ")</f>
        <v xml:space="preserve">http://slimages.macys.com/is/image/MCY/11530458 </v>
      </c>
    </row>
    <row r="730" spans="1:11" ht="24.75" x14ac:dyDescent="0.25">
      <c r="A730" s="4" t="s">
        <v>3080</v>
      </c>
      <c r="B730" s="2" t="s">
        <v>3081</v>
      </c>
      <c r="C730" s="5">
        <v>17.989999999999998</v>
      </c>
      <c r="D730" s="3" t="s">
        <v>3082</v>
      </c>
      <c r="E730" s="2" t="s">
        <v>26</v>
      </c>
      <c r="F730" s="6" t="s">
        <v>234</v>
      </c>
      <c r="G730" s="2" t="s">
        <v>1473</v>
      </c>
      <c r="H730" s="2" t="s">
        <v>1426</v>
      </c>
      <c r="I730" s="2" t="s">
        <v>19</v>
      </c>
      <c r="J730" s="2" t="s">
        <v>990</v>
      </c>
      <c r="K730" s="7" t="str">
        <f>HYPERLINK("http://slimages.macys.com/is/image/MCY/11882211 ")</f>
        <v xml:space="preserve">http://slimages.macys.com/is/image/MCY/11882211 </v>
      </c>
    </row>
    <row r="731" spans="1:11" ht="24.75" x14ac:dyDescent="0.25">
      <c r="A731" s="4" t="s">
        <v>3083</v>
      </c>
      <c r="B731" s="2" t="s">
        <v>3084</v>
      </c>
      <c r="C731" s="5">
        <v>17.989999999999998</v>
      </c>
      <c r="D731" s="3" t="s">
        <v>3085</v>
      </c>
      <c r="E731" s="2" t="s">
        <v>74</v>
      </c>
      <c r="F731" s="6"/>
      <c r="G731" s="2" t="s">
        <v>1425</v>
      </c>
      <c r="H731" s="2" t="s">
        <v>1426</v>
      </c>
      <c r="I731" s="2" t="s">
        <v>19</v>
      </c>
      <c r="J731" s="2" t="s">
        <v>990</v>
      </c>
      <c r="K731" s="7" t="str">
        <f>HYPERLINK("http://slimages.macys.com/is/image/MCY/11915483 ")</f>
        <v xml:space="preserve">http://slimages.macys.com/is/image/MCY/11915483 </v>
      </c>
    </row>
    <row r="732" spans="1:11" ht="24.75" x14ac:dyDescent="0.25">
      <c r="A732" s="4" t="s">
        <v>3086</v>
      </c>
      <c r="B732" s="2" t="s">
        <v>1918</v>
      </c>
      <c r="C732" s="5">
        <v>19.989999999999998</v>
      </c>
      <c r="D732" s="3" t="s">
        <v>3087</v>
      </c>
      <c r="E732" s="2" t="s">
        <v>331</v>
      </c>
      <c r="F732" s="6" t="s">
        <v>200</v>
      </c>
      <c r="G732" s="2" t="s">
        <v>246</v>
      </c>
      <c r="H732" s="2" t="s">
        <v>189</v>
      </c>
      <c r="I732" s="2" t="s">
        <v>19</v>
      </c>
      <c r="J732" s="2" t="s">
        <v>648</v>
      </c>
      <c r="K732" s="7" t="str">
        <f>HYPERLINK("http://slimages.macys.com/is/image/MCY/8123674 ")</f>
        <v xml:space="preserve">http://slimages.macys.com/is/image/MCY/8123674 </v>
      </c>
    </row>
    <row r="733" spans="1:11" ht="24.75" x14ac:dyDescent="0.25">
      <c r="A733" s="4" t="s">
        <v>3088</v>
      </c>
      <c r="B733" s="2" t="s">
        <v>3089</v>
      </c>
      <c r="C733" s="5">
        <v>14.99</v>
      </c>
      <c r="D733" s="3" t="s">
        <v>3090</v>
      </c>
      <c r="E733" s="2" t="s">
        <v>26</v>
      </c>
      <c r="F733" s="6" t="s">
        <v>219</v>
      </c>
      <c r="G733" s="2" t="s">
        <v>1425</v>
      </c>
      <c r="H733" s="2" t="s">
        <v>1426</v>
      </c>
      <c r="I733" s="2" t="s">
        <v>19</v>
      </c>
      <c r="J733" s="2" t="s">
        <v>495</v>
      </c>
      <c r="K733" s="7" t="str">
        <f>HYPERLINK("http://slimages.macys.com/is/image/MCY/12639162 ")</f>
        <v xml:space="preserve">http://slimages.macys.com/is/image/MCY/12639162 </v>
      </c>
    </row>
    <row r="734" spans="1:11" ht="36.75" x14ac:dyDescent="0.25">
      <c r="A734" s="4" t="s">
        <v>3091</v>
      </c>
      <c r="B734" s="2" t="s">
        <v>3084</v>
      </c>
      <c r="C734" s="5">
        <v>17.989999999999998</v>
      </c>
      <c r="D734" s="3" t="s">
        <v>3092</v>
      </c>
      <c r="E734" s="2" t="s">
        <v>26</v>
      </c>
      <c r="F734" s="6" t="s">
        <v>154</v>
      </c>
      <c r="G734" s="2" t="s">
        <v>1473</v>
      </c>
      <c r="H734" s="2" t="s">
        <v>1426</v>
      </c>
      <c r="I734" s="2" t="s">
        <v>19</v>
      </c>
      <c r="J734" s="2" t="s">
        <v>3093</v>
      </c>
      <c r="K734" s="7" t="str">
        <f>HYPERLINK("http://slimages.macys.com/is/image/MCY/11915483 ")</f>
        <v xml:space="preserve">http://slimages.macys.com/is/image/MCY/11915483 </v>
      </c>
    </row>
    <row r="735" spans="1:11" ht="24.75" x14ac:dyDescent="0.25">
      <c r="A735" s="4" t="s">
        <v>3094</v>
      </c>
      <c r="B735" s="2" t="s">
        <v>3095</v>
      </c>
      <c r="C735" s="5">
        <v>14.99</v>
      </c>
      <c r="D735" s="3" t="s">
        <v>3096</v>
      </c>
      <c r="E735" s="2" t="s">
        <v>413</v>
      </c>
      <c r="F735" s="6" t="s">
        <v>154</v>
      </c>
      <c r="G735" s="2" t="s">
        <v>1473</v>
      </c>
      <c r="H735" s="2" t="s">
        <v>1426</v>
      </c>
      <c r="I735" s="2" t="s">
        <v>19</v>
      </c>
      <c r="J735" s="2" t="s">
        <v>495</v>
      </c>
      <c r="K735" s="7" t="str">
        <f>HYPERLINK("http://slimages.macys.com/is/image/MCY/11884637 ")</f>
        <v xml:space="preserve">http://slimages.macys.com/is/image/MCY/11884637 </v>
      </c>
    </row>
    <row r="736" spans="1:11" ht="24.75" x14ac:dyDescent="0.25">
      <c r="A736" s="4" t="s">
        <v>3097</v>
      </c>
      <c r="B736" s="2" t="s">
        <v>3098</v>
      </c>
      <c r="C736" s="5">
        <v>14.99</v>
      </c>
      <c r="D736" s="3" t="s">
        <v>3099</v>
      </c>
      <c r="E736" s="2" t="s">
        <v>94</v>
      </c>
      <c r="F736" s="6" t="s">
        <v>156</v>
      </c>
      <c r="G736" s="2" t="s">
        <v>1473</v>
      </c>
      <c r="H736" s="2" t="s">
        <v>1426</v>
      </c>
      <c r="I736" s="2" t="s">
        <v>19</v>
      </c>
      <c r="J736" s="2" t="s">
        <v>495</v>
      </c>
      <c r="K736" s="7" t="str">
        <f>HYPERLINK("http://slimages.macys.com/is/image/MCY/11417660 ")</f>
        <v xml:space="preserve">http://slimages.macys.com/is/image/MCY/11417660 </v>
      </c>
    </row>
    <row r="737" spans="1:11" ht="24.75" x14ac:dyDescent="0.25">
      <c r="A737" s="4" t="s">
        <v>3100</v>
      </c>
      <c r="B737" s="2" t="s">
        <v>3101</v>
      </c>
      <c r="C737" s="5">
        <v>14.99</v>
      </c>
      <c r="D737" s="3" t="s">
        <v>3102</v>
      </c>
      <c r="E737" s="2" t="s">
        <v>15</v>
      </c>
      <c r="F737" s="6"/>
      <c r="G737" s="2" t="s">
        <v>1425</v>
      </c>
      <c r="H737" s="2" t="s">
        <v>1426</v>
      </c>
      <c r="I737" s="2"/>
      <c r="J737" s="2"/>
      <c r="K737" s="7" t="str">
        <f>HYPERLINK("http://slimages.macys.com/is/image/MCY/9931748 ")</f>
        <v xml:space="preserve">http://slimages.macys.com/is/image/MCY/9931748 </v>
      </c>
    </row>
    <row r="738" spans="1:11" ht="24.75" x14ac:dyDescent="0.25">
      <c r="A738" s="4" t="s">
        <v>3103</v>
      </c>
      <c r="B738" s="2" t="s">
        <v>1927</v>
      </c>
      <c r="C738" s="5">
        <v>17.989999999999998</v>
      </c>
      <c r="D738" s="3" t="s">
        <v>1928</v>
      </c>
      <c r="E738" s="2" t="s">
        <v>74</v>
      </c>
      <c r="F738" s="6" t="s">
        <v>181</v>
      </c>
      <c r="G738" s="2" t="s">
        <v>1473</v>
      </c>
      <c r="H738" s="2" t="s">
        <v>1426</v>
      </c>
      <c r="I738" s="2" t="s">
        <v>19</v>
      </c>
      <c r="J738" s="2" t="s">
        <v>803</v>
      </c>
      <c r="K738" s="7" t="str">
        <f>HYPERLINK("http://slimages.macys.com/is/image/MCY/11882200 ")</f>
        <v xml:space="preserve">http://slimages.macys.com/is/image/MCY/11882200 </v>
      </c>
    </row>
    <row r="739" spans="1:11" ht="24.75" x14ac:dyDescent="0.25">
      <c r="A739" s="4" t="s">
        <v>3104</v>
      </c>
      <c r="B739" s="2" t="s">
        <v>1927</v>
      </c>
      <c r="C739" s="5">
        <v>17.989999999999998</v>
      </c>
      <c r="D739" s="3" t="s">
        <v>3105</v>
      </c>
      <c r="E739" s="2" t="s">
        <v>15</v>
      </c>
      <c r="F739" s="6" t="s">
        <v>187</v>
      </c>
      <c r="G739" s="2" t="s">
        <v>1425</v>
      </c>
      <c r="H739" s="2" t="s">
        <v>1426</v>
      </c>
      <c r="I739" s="2" t="s">
        <v>19</v>
      </c>
      <c r="J739" s="2" t="s">
        <v>803</v>
      </c>
      <c r="K739" s="7" t="str">
        <f>HYPERLINK("http://slimages.macys.com/is/image/MCY/11882201 ")</f>
        <v xml:space="preserve">http://slimages.macys.com/is/image/MCY/11882201 </v>
      </c>
    </row>
    <row r="740" spans="1:11" ht="24.75" x14ac:dyDescent="0.25">
      <c r="A740" s="4" t="s">
        <v>3106</v>
      </c>
      <c r="B740" s="2" t="s">
        <v>1927</v>
      </c>
      <c r="C740" s="5">
        <v>17.989999999999998</v>
      </c>
      <c r="D740" s="3" t="s">
        <v>3105</v>
      </c>
      <c r="E740" s="2" t="s">
        <v>74</v>
      </c>
      <c r="F740" s="6"/>
      <c r="G740" s="2" t="s">
        <v>1425</v>
      </c>
      <c r="H740" s="2" t="s">
        <v>1426</v>
      </c>
      <c r="I740" s="2" t="s">
        <v>19</v>
      </c>
      <c r="J740" s="2" t="s">
        <v>803</v>
      </c>
      <c r="K740" s="7" t="str">
        <f>HYPERLINK("http://slimages.macys.com/is/image/MCY/11882201 ")</f>
        <v xml:space="preserve">http://slimages.macys.com/is/image/MCY/11882201 </v>
      </c>
    </row>
    <row r="741" spans="1:11" ht="24.75" x14ac:dyDescent="0.25">
      <c r="A741" s="4" t="s">
        <v>3107</v>
      </c>
      <c r="B741" s="2" t="s">
        <v>1927</v>
      </c>
      <c r="C741" s="5">
        <v>17.989999999999998</v>
      </c>
      <c r="D741" s="3" t="s">
        <v>3105</v>
      </c>
      <c r="E741" s="2" t="s">
        <v>15</v>
      </c>
      <c r="F741" s="6"/>
      <c r="G741" s="2" t="s">
        <v>1425</v>
      </c>
      <c r="H741" s="2" t="s">
        <v>1426</v>
      </c>
      <c r="I741" s="2" t="s">
        <v>19</v>
      </c>
      <c r="J741" s="2" t="s">
        <v>803</v>
      </c>
      <c r="K741" s="7" t="str">
        <f>HYPERLINK("http://slimages.macys.com/is/image/MCY/11882201 ")</f>
        <v xml:space="preserve">http://slimages.macys.com/is/image/MCY/11882201 </v>
      </c>
    </row>
    <row r="742" spans="1:11" ht="24.75" x14ac:dyDescent="0.25">
      <c r="A742" s="4" t="s">
        <v>3108</v>
      </c>
      <c r="B742" s="2" t="s">
        <v>1927</v>
      </c>
      <c r="C742" s="5">
        <v>17.989999999999998</v>
      </c>
      <c r="D742" s="3" t="s">
        <v>3105</v>
      </c>
      <c r="E742" s="2" t="s">
        <v>15</v>
      </c>
      <c r="F742" s="6"/>
      <c r="G742" s="2" t="s">
        <v>1425</v>
      </c>
      <c r="H742" s="2" t="s">
        <v>1426</v>
      </c>
      <c r="I742" s="2" t="s">
        <v>19</v>
      </c>
      <c r="J742" s="2" t="s">
        <v>803</v>
      </c>
      <c r="K742" s="7" t="str">
        <f>HYPERLINK("http://slimages.macys.com/is/image/MCY/11882201 ")</f>
        <v xml:space="preserve">http://slimages.macys.com/is/image/MCY/11882201 </v>
      </c>
    </row>
    <row r="743" spans="1:11" ht="24.75" x14ac:dyDescent="0.25">
      <c r="A743" s="4" t="s">
        <v>3109</v>
      </c>
      <c r="B743" s="2" t="s">
        <v>1927</v>
      </c>
      <c r="C743" s="5">
        <v>17.989999999999998</v>
      </c>
      <c r="D743" s="3" t="s">
        <v>1928</v>
      </c>
      <c r="E743" s="2" t="s">
        <v>74</v>
      </c>
      <c r="F743" s="6" t="s">
        <v>154</v>
      </c>
      <c r="G743" s="2" t="s">
        <v>1473</v>
      </c>
      <c r="H743" s="2" t="s">
        <v>1426</v>
      </c>
      <c r="I743" s="2" t="s">
        <v>19</v>
      </c>
      <c r="J743" s="2" t="s">
        <v>803</v>
      </c>
      <c r="K743" s="7" t="str">
        <f>HYPERLINK("http://slimages.macys.com/is/image/MCY/11882200 ")</f>
        <v xml:space="preserve">http://slimages.macys.com/is/image/MCY/11882200 </v>
      </c>
    </row>
    <row r="744" spans="1:11" ht="24.75" x14ac:dyDescent="0.25">
      <c r="A744" s="4" t="s">
        <v>1929</v>
      </c>
      <c r="B744" s="2" t="s">
        <v>1927</v>
      </c>
      <c r="C744" s="5">
        <v>17.989999999999998</v>
      </c>
      <c r="D744" s="3" t="s">
        <v>1928</v>
      </c>
      <c r="E744" s="2" t="s">
        <v>74</v>
      </c>
      <c r="F744" s="6" t="s">
        <v>156</v>
      </c>
      <c r="G744" s="2" t="s">
        <v>1473</v>
      </c>
      <c r="H744" s="2" t="s">
        <v>1426</v>
      </c>
      <c r="I744" s="2" t="s">
        <v>19</v>
      </c>
      <c r="J744" s="2" t="s">
        <v>803</v>
      </c>
      <c r="K744" s="7" t="str">
        <f>HYPERLINK("http://slimages.macys.com/is/image/MCY/11882200 ")</f>
        <v xml:space="preserve">http://slimages.macys.com/is/image/MCY/11882200 </v>
      </c>
    </row>
    <row r="745" spans="1:11" ht="24.75" x14ac:dyDescent="0.25">
      <c r="A745" s="4" t="s">
        <v>3110</v>
      </c>
      <c r="B745" s="2" t="s">
        <v>1927</v>
      </c>
      <c r="C745" s="5">
        <v>17.989999999999998</v>
      </c>
      <c r="D745" s="3" t="s">
        <v>1928</v>
      </c>
      <c r="E745" s="2" t="s">
        <v>15</v>
      </c>
      <c r="F745" s="6" t="s">
        <v>234</v>
      </c>
      <c r="G745" s="2" t="s">
        <v>1473</v>
      </c>
      <c r="H745" s="2" t="s">
        <v>1426</v>
      </c>
      <c r="I745" s="2" t="s">
        <v>19</v>
      </c>
      <c r="J745" s="2" t="s">
        <v>803</v>
      </c>
      <c r="K745" s="7" t="str">
        <f>HYPERLINK("http://slimages.macys.com/is/image/MCY/11882200 ")</f>
        <v xml:space="preserve">http://slimages.macys.com/is/image/MCY/11882200 </v>
      </c>
    </row>
    <row r="746" spans="1:11" ht="24.75" x14ac:dyDescent="0.25">
      <c r="A746" s="4" t="s">
        <v>3111</v>
      </c>
      <c r="B746" s="2" t="s">
        <v>1927</v>
      </c>
      <c r="C746" s="5">
        <v>17.989999999999998</v>
      </c>
      <c r="D746" s="3" t="s">
        <v>1928</v>
      </c>
      <c r="E746" s="2" t="s">
        <v>15</v>
      </c>
      <c r="F746" s="6" t="s">
        <v>154</v>
      </c>
      <c r="G746" s="2" t="s">
        <v>1473</v>
      </c>
      <c r="H746" s="2" t="s">
        <v>1426</v>
      </c>
      <c r="I746" s="2" t="s">
        <v>19</v>
      </c>
      <c r="J746" s="2" t="s">
        <v>803</v>
      </c>
      <c r="K746" s="7" t="str">
        <f>HYPERLINK("http://slimages.macys.com/is/image/MCY/11882200 ")</f>
        <v xml:space="preserve">http://slimages.macys.com/is/image/MCY/11882200 </v>
      </c>
    </row>
    <row r="747" spans="1:11" ht="24.75" x14ac:dyDescent="0.25">
      <c r="A747" s="4" t="s">
        <v>1934</v>
      </c>
      <c r="B747" s="2" t="s">
        <v>1932</v>
      </c>
      <c r="C747" s="5">
        <v>16.989999999999998</v>
      </c>
      <c r="D747" s="3" t="s">
        <v>1933</v>
      </c>
      <c r="E747" s="2" t="s">
        <v>15</v>
      </c>
      <c r="F747" s="6" t="s">
        <v>156</v>
      </c>
      <c r="G747" s="2" t="s">
        <v>1473</v>
      </c>
      <c r="H747" s="2" t="s">
        <v>1864</v>
      </c>
      <c r="I747" s="2" t="s">
        <v>19</v>
      </c>
      <c r="J747" s="2" t="s">
        <v>648</v>
      </c>
      <c r="K747" s="7" t="str">
        <f>HYPERLINK("http://slimages.macys.com/is/image/MCY/11634794 ")</f>
        <v xml:space="preserve">http://slimages.macys.com/is/image/MCY/11634794 </v>
      </c>
    </row>
    <row r="748" spans="1:11" ht="24.75" x14ac:dyDescent="0.25">
      <c r="A748" s="4" t="s">
        <v>3112</v>
      </c>
      <c r="B748" s="2" t="s">
        <v>1932</v>
      </c>
      <c r="C748" s="5">
        <v>16.989999999999998</v>
      </c>
      <c r="D748" s="3" t="s">
        <v>3113</v>
      </c>
      <c r="E748" s="2" t="s">
        <v>15</v>
      </c>
      <c r="F748" s="6" t="s">
        <v>219</v>
      </c>
      <c r="G748" s="2" t="s">
        <v>1425</v>
      </c>
      <c r="H748" s="2" t="s">
        <v>1864</v>
      </c>
      <c r="I748" s="2" t="s">
        <v>19</v>
      </c>
      <c r="J748" s="2" t="s">
        <v>648</v>
      </c>
      <c r="K748" s="7" t="str">
        <f>HYPERLINK("http://slimages.macys.com/is/image/MCY/11634785 ")</f>
        <v xml:space="preserve">http://slimages.macys.com/is/image/MCY/11634785 </v>
      </c>
    </row>
    <row r="749" spans="1:11" ht="24.75" x14ac:dyDescent="0.25">
      <c r="A749" s="4" t="s">
        <v>3114</v>
      </c>
      <c r="B749" s="2" t="s">
        <v>1932</v>
      </c>
      <c r="C749" s="5">
        <v>16.989999999999998</v>
      </c>
      <c r="D749" s="3" t="s">
        <v>1933</v>
      </c>
      <c r="E749" s="2" t="s">
        <v>15</v>
      </c>
      <c r="F749" s="6" t="s">
        <v>245</v>
      </c>
      <c r="G749" s="2" t="s">
        <v>1473</v>
      </c>
      <c r="H749" s="2" t="s">
        <v>1864</v>
      </c>
      <c r="I749" s="2" t="s">
        <v>19</v>
      </c>
      <c r="J749" s="2" t="s">
        <v>648</v>
      </c>
      <c r="K749" s="7" t="str">
        <f>HYPERLINK("http://slimages.macys.com/is/image/MCY/11634794 ")</f>
        <v xml:space="preserve">http://slimages.macys.com/is/image/MCY/11634794 </v>
      </c>
    </row>
    <row r="750" spans="1:11" ht="24.75" x14ac:dyDescent="0.25">
      <c r="A750" s="4" t="s">
        <v>3115</v>
      </c>
      <c r="B750" s="2" t="s">
        <v>1932</v>
      </c>
      <c r="C750" s="5">
        <v>16.989999999999998</v>
      </c>
      <c r="D750" s="3" t="s">
        <v>1933</v>
      </c>
      <c r="E750" s="2" t="s">
        <v>15</v>
      </c>
      <c r="F750" s="6" t="s">
        <v>181</v>
      </c>
      <c r="G750" s="2" t="s">
        <v>1473</v>
      </c>
      <c r="H750" s="2" t="s">
        <v>1864</v>
      </c>
      <c r="I750" s="2" t="s">
        <v>19</v>
      </c>
      <c r="J750" s="2" t="s">
        <v>648</v>
      </c>
      <c r="K750" s="7" t="str">
        <f>HYPERLINK("http://slimages.macys.com/is/image/MCY/11634794 ")</f>
        <v xml:space="preserve">http://slimages.macys.com/is/image/MCY/11634794 </v>
      </c>
    </row>
    <row r="751" spans="1:11" ht="24.75" x14ac:dyDescent="0.25">
      <c r="A751" s="4" t="s">
        <v>3116</v>
      </c>
      <c r="B751" s="2" t="s">
        <v>1932</v>
      </c>
      <c r="C751" s="5">
        <v>16.989999999999998</v>
      </c>
      <c r="D751" s="3" t="s">
        <v>1933</v>
      </c>
      <c r="E751" s="2" t="s">
        <v>15</v>
      </c>
      <c r="F751" s="6" t="s">
        <v>154</v>
      </c>
      <c r="G751" s="2" t="s">
        <v>1473</v>
      </c>
      <c r="H751" s="2" t="s">
        <v>1864</v>
      </c>
      <c r="I751" s="2" t="s">
        <v>19</v>
      </c>
      <c r="J751" s="2" t="s">
        <v>648</v>
      </c>
      <c r="K751" s="7" t="str">
        <f>HYPERLINK("http://slimages.macys.com/is/image/MCY/11634794 ")</f>
        <v xml:space="preserve">http://slimages.macys.com/is/image/MCY/11634794 </v>
      </c>
    </row>
    <row r="752" spans="1:11" ht="24.75" x14ac:dyDescent="0.25">
      <c r="A752" s="4" t="s">
        <v>3117</v>
      </c>
      <c r="B752" s="2" t="s">
        <v>1937</v>
      </c>
      <c r="C752" s="5">
        <v>19.989999999999998</v>
      </c>
      <c r="D752" s="3" t="s">
        <v>1938</v>
      </c>
      <c r="E752" s="2"/>
      <c r="F752" s="6" t="s">
        <v>181</v>
      </c>
      <c r="G752" s="2" t="s">
        <v>246</v>
      </c>
      <c r="H752" s="2" t="s">
        <v>1939</v>
      </c>
      <c r="I752" s="2" t="s">
        <v>19</v>
      </c>
      <c r="J752" s="2" t="s">
        <v>1940</v>
      </c>
      <c r="K752" s="7" t="str">
        <f>HYPERLINK("http://slimages.macys.com/is/image/MCY/11523112 ")</f>
        <v xml:space="preserve">http://slimages.macys.com/is/image/MCY/11523112 </v>
      </c>
    </row>
    <row r="753" spans="1:11" ht="24.75" x14ac:dyDescent="0.25">
      <c r="A753" s="4" t="s">
        <v>3118</v>
      </c>
      <c r="B753" s="2" t="s">
        <v>1937</v>
      </c>
      <c r="C753" s="5">
        <v>19.989999999999998</v>
      </c>
      <c r="D753" s="3" t="s">
        <v>1938</v>
      </c>
      <c r="E753" s="2"/>
      <c r="F753" s="6" t="s">
        <v>154</v>
      </c>
      <c r="G753" s="2" t="s">
        <v>246</v>
      </c>
      <c r="H753" s="2" t="s">
        <v>1939</v>
      </c>
      <c r="I753" s="2" t="s">
        <v>19</v>
      </c>
      <c r="J753" s="2" t="s">
        <v>1940</v>
      </c>
      <c r="K753" s="7" t="str">
        <f>HYPERLINK("http://slimages.macys.com/is/image/MCY/11523112 ")</f>
        <v xml:space="preserve">http://slimages.macys.com/is/image/MCY/11523112 </v>
      </c>
    </row>
    <row r="754" spans="1:11" ht="24.75" x14ac:dyDescent="0.25">
      <c r="A754" s="4" t="s">
        <v>1946</v>
      </c>
      <c r="B754" s="2" t="s">
        <v>1942</v>
      </c>
      <c r="C754" s="5">
        <v>17.989999999999998</v>
      </c>
      <c r="D754" s="3" t="s">
        <v>1943</v>
      </c>
      <c r="E754" s="2" t="s">
        <v>15</v>
      </c>
      <c r="F754" s="6" t="s">
        <v>156</v>
      </c>
      <c r="G754" s="2" t="s">
        <v>1522</v>
      </c>
      <c r="H754" s="2" t="s">
        <v>1469</v>
      </c>
      <c r="I754" s="2" t="s">
        <v>19</v>
      </c>
      <c r="J754" s="2" t="s">
        <v>353</v>
      </c>
      <c r="K754" s="7" t="str">
        <f>HYPERLINK("http://slimages.macys.com/is/image/MCY/10743541 ")</f>
        <v xml:space="preserve">http://slimages.macys.com/is/image/MCY/10743541 </v>
      </c>
    </row>
    <row r="755" spans="1:11" ht="24.75" x14ac:dyDescent="0.25">
      <c r="A755" s="4" t="s">
        <v>3119</v>
      </c>
      <c r="B755" s="2" t="s">
        <v>1942</v>
      </c>
      <c r="C755" s="5">
        <v>17.989999999999998</v>
      </c>
      <c r="D755" s="3" t="s">
        <v>1943</v>
      </c>
      <c r="E755" s="2" t="s">
        <v>1945</v>
      </c>
      <c r="F755" s="6" t="s">
        <v>200</v>
      </c>
      <c r="G755" s="2" t="s">
        <v>1522</v>
      </c>
      <c r="H755" s="2" t="s">
        <v>1469</v>
      </c>
      <c r="I755" s="2" t="s">
        <v>19</v>
      </c>
      <c r="J755" s="2" t="s">
        <v>353</v>
      </c>
      <c r="K755" s="7" t="str">
        <f>HYPERLINK("http://slimages.macys.com/is/image/MCY/10743541 ")</f>
        <v xml:space="preserve">http://slimages.macys.com/is/image/MCY/10743541 </v>
      </c>
    </row>
    <row r="756" spans="1:11" ht="24.75" x14ac:dyDescent="0.25">
      <c r="A756" s="4" t="s">
        <v>3120</v>
      </c>
      <c r="B756" s="2" t="s">
        <v>1942</v>
      </c>
      <c r="C756" s="5">
        <v>17.989999999999998</v>
      </c>
      <c r="D756" s="3" t="s">
        <v>1943</v>
      </c>
      <c r="E756" s="2" t="s">
        <v>1945</v>
      </c>
      <c r="F756" s="6" t="s">
        <v>181</v>
      </c>
      <c r="G756" s="2" t="s">
        <v>1522</v>
      </c>
      <c r="H756" s="2" t="s">
        <v>1469</v>
      </c>
      <c r="I756" s="2" t="s">
        <v>19</v>
      </c>
      <c r="J756" s="2" t="s">
        <v>353</v>
      </c>
      <c r="K756" s="7" t="str">
        <f>HYPERLINK("http://slimages.macys.com/is/image/MCY/10743541 ")</f>
        <v xml:space="preserve">http://slimages.macys.com/is/image/MCY/10743541 </v>
      </c>
    </row>
    <row r="757" spans="1:11" ht="24.75" x14ac:dyDescent="0.25">
      <c r="A757" s="4" t="s">
        <v>3121</v>
      </c>
      <c r="B757" s="2" t="s">
        <v>3122</v>
      </c>
      <c r="C757" s="5">
        <v>14.99</v>
      </c>
      <c r="D757" s="3" t="s">
        <v>3123</v>
      </c>
      <c r="E757" s="2" t="s">
        <v>57</v>
      </c>
      <c r="F757" s="6" t="s">
        <v>154</v>
      </c>
      <c r="G757" s="2" t="s">
        <v>1522</v>
      </c>
      <c r="H757" s="2" t="s">
        <v>1469</v>
      </c>
      <c r="I757" s="2" t="s">
        <v>19</v>
      </c>
      <c r="J757" s="2" t="s">
        <v>495</v>
      </c>
      <c r="K757" s="7" t="str">
        <f>HYPERLINK("http://slimages.macys.com/is/image/MCY/9957413 ")</f>
        <v xml:space="preserve">http://slimages.macys.com/is/image/MCY/9957413 </v>
      </c>
    </row>
    <row r="758" spans="1:11" ht="24.75" x14ac:dyDescent="0.25">
      <c r="A758" s="4" t="s">
        <v>3124</v>
      </c>
      <c r="B758" s="2" t="s">
        <v>3125</v>
      </c>
      <c r="C758" s="5">
        <v>14.99</v>
      </c>
      <c r="D758" s="3" t="s">
        <v>3126</v>
      </c>
      <c r="E758" s="2" t="s">
        <v>331</v>
      </c>
      <c r="F758" s="6" t="s">
        <v>181</v>
      </c>
      <c r="G758" s="2" t="s">
        <v>1522</v>
      </c>
      <c r="H758" s="2" t="s">
        <v>1469</v>
      </c>
      <c r="I758" s="2" t="s">
        <v>19</v>
      </c>
      <c r="J758" s="2" t="s">
        <v>495</v>
      </c>
      <c r="K758" s="7" t="str">
        <f>HYPERLINK("http://slimages.macys.com/is/image/MCY/11028879 ")</f>
        <v xml:space="preserve">http://slimages.macys.com/is/image/MCY/11028879 </v>
      </c>
    </row>
    <row r="759" spans="1:11" ht="24.75" x14ac:dyDescent="0.25">
      <c r="A759" s="4" t="s">
        <v>3127</v>
      </c>
      <c r="B759" s="2" t="s">
        <v>3128</v>
      </c>
      <c r="C759" s="5">
        <v>14.99</v>
      </c>
      <c r="D759" s="3" t="s">
        <v>3129</v>
      </c>
      <c r="E759" s="2" t="s">
        <v>26</v>
      </c>
      <c r="F759" s="6"/>
      <c r="G759" s="2" t="s">
        <v>1425</v>
      </c>
      <c r="H759" s="2" t="s">
        <v>1426</v>
      </c>
      <c r="I759" s="2" t="s">
        <v>19</v>
      </c>
      <c r="J759" s="2" t="s">
        <v>495</v>
      </c>
      <c r="K759" s="7" t="str">
        <f>HYPERLINK("http://slimages.macys.com/is/image/MCY/12064003 ")</f>
        <v xml:space="preserve">http://slimages.macys.com/is/image/MCY/12064003 </v>
      </c>
    </row>
    <row r="760" spans="1:11" ht="24.75" x14ac:dyDescent="0.25">
      <c r="A760" s="4" t="s">
        <v>3130</v>
      </c>
      <c r="B760" s="2" t="s">
        <v>3131</v>
      </c>
      <c r="C760" s="5">
        <v>14.99</v>
      </c>
      <c r="D760" s="3" t="s">
        <v>3132</v>
      </c>
      <c r="E760" s="2" t="s">
        <v>94</v>
      </c>
      <c r="F760" s="6"/>
      <c r="G760" s="2" t="s">
        <v>1425</v>
      </c>
      <c r="H760" s="2" t="s">
        <v>1426</v>
      </c>
      <c r="I760" s="2" t="s">
        <v>19</v>
      </c>
      <c r="J760" s="2" t="s">
        <v>495</v>
      </c>
      <c r="K760" s="7" t="str">
        <f>HYPERLINK("http://slimages.macys.com/is/image/MCY/12673003 ")</f>
        <v xml:space="preserve">http://slimages.macys.com/is/image/MCY/12673003 </v>
      </c>
    </row>
    <row r="761" spans="1:11" ht="24.75" x14ac:dyDescent="0.25">
      <c r="A761" s="4" t="s">
        <v>3133</v>
      </c>
      <c r="B761" s="2" t="s">
        <v>3134</v>
      </c>
      <c r="C761" s="5">
        <v>14.99</v>
      </c>
      <c r="D761" s="3" t="s">
        <v>3135</v>
      </c>
      <c r="E761" s="2" t="s">
        <v>331</v>
      </c>
      <c r="F761" s="6"/>
      <c r="G761" s="2" t="s">
        <v>1425</v>
      </c>
      <c r="H761" s="2" t="s">
        <v>1426</v>
      </c>
      <c r="I761" s="2" t="s">
        <v>19</v>
      </c>
      <c r="J761" s="2" t="s">
        <v>495</v>
      </c>
      <c r="K761" s="7" t="str">
        <f>HYPERLINK("http://slimages.macys.com/is/image/MCY/12144619 ")</f>
        <v xml:space="preserve">http://slimages.macys.com/is/image/MCY/12144619 </v>
      </c>
    </row>
    <row r="762" spans="1:11" ht="24.75" x14ac:dyDescent="0.25">
      <c r="A762" s="4" t="s">
        <v>3136</v>
      </c>
      <c r="B762" s="2" t="s">
        <v>3137</v>
      </c>
      <c r="C762" s="5">
        <v>14.99</v>
      </c>
      <c r="D762" s="3" t="s">
        <v>3138</v>
      </c>
      <c r="E762" s="2" t="s">
        <v>26</v>
      </c>
      <c r="F762" s="6"/>
      <c r="G762" s="2" t="s">
        <v>1425</v>
      </c>
      <c r="H762" s="2" t="s">
        <v>1426</v>
      </c>
      <c r="I762" s="2" t="s">
        <v>19</v>
      </c>
      <c r="J762" s="2" t="s">
        <v>495</v>
      </c>
      <c r="K762" s="7" t="str">
        <f>HYPERLINK("http://slimages.macys.com/is/image/MCY/11915563 ")</f>
        <v xml:space="preserve">http://slimages.macys.com/is/image/MCY/11915563 </v>
      </c>
    </row>
    <row r="763" spans="1:11" ht="24.75" x14ac:dyDescent="0.25">
      <c r="A763" s="4" t="s">
        <v>3139</v>
      </c>
      <c r="B763" s="2" t="s">
        <v>3140</v>
      </c>
      <c r="C763" s="5">
        <v>14.99</v>
      </c>
      <c r="D763" s="3" t="s">
        <v>3141</v>
      </c>
      <c r="E763" s="2" t="s">
        <v>15</v>
      </c>
      <c r="F763" s="6" t="s">
        <v>234</v>
      </c>
      <c r="G763" s="2" t="s">
        <v>1473</v>
      </c>
      <c r="H763" s="2" t="s">
        <v>1426</v>
      </c>
      <c r="I763" s="2" t="s">
        <v>19</v>
      </c>
      <c r="J763" s="2" t="s">
        <v>495</v>
      </c>
      <c r="K763" s="7" t="str">
        <f>HYPERLINK("http://slimages.macys.com/is/image/MCY/11774199 ")</f>
        <v xml:space="preserve">http://slimages.macys.com/is/image/MCY/11774199 </v>
      </c>
    </row>
    <row r="764" spans="1:11" ht="24.75" x14ac:dyDescent="0.25">
      <c r="A764" s="4" t="s">
        <v>3142</v>
      </c>
      <c r="B764" s="2" t="s">
        <v>3143</v>
      </c>
      <c r="C764" s="5">
        <v>14.99</v>
      </c>
      <c r="D764" s="3" t="s">
        <v>3144</v>
      </c>
      <c r="E764" s="2" t="s">
        <v>413</v>
      </c>
      <c r="F764" s="6" t="s">
        <v>156</v>
      </c>
      <c r="G764" s="2" t="s">
        <v>1473</v>
      </c>
      <c r="H764" s="2" t="s">
        <v>1426</v>
      </c>
      <c r="I764" s="2" t="s">
        <v>19</v>
      </c>
      <c r="J764" s="2" t="s">
        <v>495</v>
      </c>
      <c r="K764" s="7" t="str">
        <f>HYPERLINK("http://slimages.macys.com/is/image/MCY/12063984 ")</f>
        <v xml:space="preserve">http://slimages.macys.com/is/image/MCY/12063984 </v>
      </c>
    </row>
    <row r="765" spans="1:11" ht="24.75" x14ac:dyDescent="0.25">
      <c r="A765" s="4" t="s">
        <v>3145</v>
      </c>
      <c r="B765" s="2" t="s">
        <v>3134</v>
      </c>
      <c r="C765" s="5">
        <v>14.99</v>
      </c>
      <c r="D765" s="3" t="s">
        <v>3146</v>
      </c>
      <c r="E765" s="2" t="s">
        <v>331</v>
      </c>
      <c r="F765" s="6" t="s">
        <v>181</v>
      </c>
      <c r="G765" s="2" t="s">
        <v>1473</v>
      </c>
      <c r="H765" s="2" t="s">
        <v>1426</v>
      </c>
      <c r="I765" s="2" t="s">
        <v>19</v>
      </c>
      <c r="J765" s="2" t="s">
        <v>495</v>
      </c>
      <c r="K765" s="7" t="str">
        <f>HYPERLINK("http://slimages.macys.com/is/image/MCY/12144619 ")</f>
        <v xml:space="preserve">http://slimages.macys.com/is/image/MCY/12144619 </v>
      </c>
    </row>
    <row r="766" spans="1:11" ht="24.75" x14ac:dyDescent="0.25">
      <c r="A766" s="4" t="s">
        <v>3147</v>
      </c>
      <c r="B766" s="2" t="s">
        <v>3140</v>
      </c>
      <c r="C766" s="5">
        <v>14.99</v>
      </c>
      <c r="D766" s="3" t="s">
        <v>3141</v>
      </c>
      <c r="E766" s="2" t="s">
        <v>15</v>
      </c>
      <c r="F766" s="6" t="s">
        <v>181</v>
      </c>
      <c r="G766" s="2" t="s">
        <v>1473</v>
      </c>
      <c r="H766" s="2" t="s">
        <v>1426</v>
      </c>
      <c r="I766" s="2" t="s">
        <v>19</v>
      </c>
      <c r="J766" s="2" t="s">
        <v>495</v>
      </c>
      <c r="K766" s="7" t="str">
        <f>HYPERLINK("http://slimages.macys.com/is/image/MCY/11774199 ")</f>
        <v xml:space="preserve">http://slimages.macys.com/is/image/MCY/11774199 </v>
      </c>
    </row>
    <row r="767" spans="1:11" ht="24.75" x14ac:dyDescent="0.25">
      <c r="A767" s="4" t="s">
        <v>3148</v>
      </c>
      <c r="B767" s="2" t="s">
        <v>3128</v>
      </c>
      <c r="C767" s="5">
        <v>14.99</v>
      </c>
      <c r="D767" s="3" t="s">
        <v>3149</v>
      </c>
      <c r="E767" s="2" t="s">
        <v>26</v>
      </c>
      <c r="F767" s="6" t="s">
        <v>154</v>
      </c>
      <c r="G767" s="2" t="s">
        <v>1473</v>
      </c>
      <c r="H767" s="2" t="s">
        <v>1426</v>
      </c>
      <c r="I767" s="2" t="s">
        <v>19</v>
      </c>
      <c r="J767" s="2" t="s">
        <v>495</v>
      </c>
      <c r="K767" s="7" t="str">
        <f>HYPERLINK("http://slimages.macys.com/is/image/MCY/12064003 ")</f>
        <v xml:space="preserve">http://slimages.macys.com/is/image/MCY/12064003 </v>
      </c>
    </row>
    <row r="768" spans="1:11" ht="24.75" x14ac:dyDescent="0.25">
      <c r="A768" s="4" t="s">
        <v>3150</v>
      </c>
      <c r="B768" s="2" t="s">
        <v>3140</v>
      </c>
      <c r="C768" s="5">
        <v>14.99</v>
      </c>
      <c r="D768" s="3" t="s">
        <v>3141</v>
      </c>
      <c r="E768" s="2" t="s">
        <v>15</v>
      </c>
      <c r="F768" s="6" t="s">
        <v>156</v>
      </c>
      <c r="G768" s="2" t="s">
        <v>1473</v>
      </c>
      <c r="H768" s="2" t="s">
        <v>1426</v>
      </c>
      <c r="I768" s="2" t="s">
        <v>19</v>
      </c>
      <c r="J768" s="2" t="s">
        <v>495</v>
      </c>
      <c r="K768" s="7" t="str">
        <f>HYPERLINK("http://slimages.macys.com/is/image/MCY/11774199 ")</f>
        <v xml:space="preserve">http://slimages.macys.com/is/image/MCY/11774199 </v>
      </c>
    </row>
    <row r="769" spans="1:11" ht="24.75" x14ac:dyDescent="0.25">
      <c r="A769" s="4" t="s">
        <v>3151</v>
      </c>
      <c r="B769" s="2" t="s">
        <v>3131</v>
      </c>
      <c r="C769" s="5">
        <v>14.99</v>
      </c>
      <c r="D769" s="3" t="s">
        <v>3132</v>
      </c>
      <c r="E769" s="2" t="s">
        <v>94</v>
      </c>
      <c r="F769" s="6"/>
      <c r="G769" s="2" t="s">
        <v>1425</v>
      </c>
      <c r="H769" s="2" t="s">
        <v>1426</v>
      </c>
      <c r="I769" s="2" t="s">
        <v>19</v>
      </c>
      <c r="J769" s="2" t="s">
        <v>495</v>
      </c>
      <c r="K769" s="7" t="str">
        <f>HYPERLINK("http://slimages.macys.com/is/image/MCY/12673003 ")</f>
        <v xml:space="preserve">http://slimages.macys.com/is/image/MCY/12673003 </v>
      </c>
    </row>
    <row r="770" spans="1:11" ht="24.75" x14ac:dyDescent="0.25">
      <c r="A770" s="4" t="s">
        <v>3152</v>
      </c>
      <c r="B770" s="2" t="s">
        <v>3137</v>
      </c>
      <c r="C770" s="5">
        <v>14.99</v>
      </c>
      <c r="D770" s="3" t="s">
        <v>3153</v>
      </c>
      <c r="E770" s="2" t="s">
        <v>26</v>
      </c>
      <c r="F770" s="6" t="s">
        <v>181</v>
      </c>
      <c r="G770" s="2" t="s">
        <v>1473</v>
      </c>
      <c r="H770" s="2" t="s">
        <v>1426</v>
      </c>
      <c r="I770" s="2" t="s">
        <v>19</v>
      </c>
      <c r="J770" s="2" t="s">
        <v>495</v>
      </c>
      <c r="K770" s="7" t="str">
        <f>HYPERLINK("http://slimages.macys.com/is/image/MCY/11915563 ")</f>
        <v xml:space="preserve">http://slimages.macys.com/is/image/MCY/11915563 </v>
      </c>
    </row>
    <row r="771" spans="1:11" ht="24.75" x14ac:dyDescent="0.25">
      <c r="A771" s="4" t="s">
        <v>3154</v>
      </c>
      <c r="B771" s="2" t="s">
        <v>3155</v>
      </c>
      <c r="C771" s="5">
        <v>14.99</v>
      </c>
      <c r="D771" s="3" t="s">
        <v>3156</v>
      </c>
      <c r="E771" s="2" t="s">
        <v>413</v>
      </c>
      <c r="F771" s="6" t="s">
        <v>154</v>
      </c>
      <c r="G771" s="2" t="s">
        <v>1473</v>
      </c>
      <c r="H771" s="2" t="s">
        <v>1426</v>
      </c>
      <c r="I771" s="2" t="s">
        <v>19</v>
      </c>
      <c r="J771" s="2" t="s">
        <v>495</v>
      </c>
      <c r="K771" s="7" t="str">
        <f>HYPERLINK("http://slimages.macys.com/is/image/MCY/11832049 ")</f>
        <v xml:space="preserve">http://slimages.macys.com/is/image/MCY/11832049 </v>
      </c>
    </row>
    <row r="772" spans="1:11" ht="24.75" x14ac:dyDescent="0.25">
      <c r="A772" s="4" t="s">
        <v>3157</v>
      </c>
      <c r="B772" s="2" t="s">
        <v>3140</v>
      </c>
      <c r="C772" s="5">
        <v>14.99</v>
      </c>
      <c r="D772" s="3" t="s">
        <v>3141</v>
      </c>
      <c r="E772" s="2" t="s">
        <v>15</v>
      </c>
      <c r="F772" s="6" t="s">
        <v>154</v>
      </c>
      <c r="G772" s="2" t="s">
        <v>1473</v>
      </c>
      <c r="H772" s="2" t="s">
        <v>1426</v>
      </c>
      <c r="I772" s="2" t="s">
        <v>19</v>
      </c>
      <c r="J772" s="2" t="s">
        <v>495</v>
      </c>
      <c r="K772" s="7" t="str">
        <f>HYPERLINK("http://slimages.macys.com/is/image/MCY/11774199 ")</f>
        <v xml:space="preserve">http://slimages.macys.com/is/image/MCY/11774199 </v>
      </c>
    </row>
    <row r="773" spans="1:11" ht="24.75" x14ac:dyDescent="0.25">
      <c r="A773" s="4" t="s">
        <v>3158</v>
      </c>
      <c r="B773" s="2" t="s">
        <v>3131</v>
      </c>
      <c r="C773" s="5">
        <v>14.99</v>
      </c>
      <c r="D773" s="3" t="s">
        <v>3132</v>
      </c>
      <c r="E773" s="2" t="s">
        <v>94</v>
      </c>
      <c r="F773" s="6"/>
      <c r="G773" s="2" t="s">
        <v>1425</v>
      </c>
      <c r="H773" s="2" t="s">
        <v>1426</v>
      </c>
      <c r="I773" s="2" t="s">
        <v>19</v>
      </c>
      <c r="J773" s="2" t="s">
        <v>495</v>
      </c>
      <c r="K773" s="7" t="str">
        <f>HYPERLINK("http://slimages.macys.com/is/image/MCY/12673003 ")</f>
        <v xml:space="preserve">http://slimages.macys.com/is/image/MCY/12673003 </v>
      </c>
    </row>
    <row r="774" spans="1:11" ht="24.75" x14ac:dyDescent="0.25">
      <c r="A774" s="4" t="s">
        <v>3159</v>
      </c>
      <c r="B774" s="2" t="s">
        <v>3131</v>
      </c>
      <c r="C774" s="5">
        <v>14.99</v>
      </c>
      <c r="D774" s="3" t="s">
        <v>3132</v>
      </c>
      <c r="E774" s="2" t="s">
        <v>94</v>
      </c>
      <c r="F774" s="6" t="s">
        <v>187</v>
      </c>
      <c r="G774" s="2" t="s">
        <v>1425</v>
      </c>
      <c r="H774" s="2" t="s">
        <v>1426</v>
      </c>
      <c r="I774" s="2" t="s">
        <v>19</v>
      </c>
      <c r="J774" s="2" t="s">
        <v>495</v>
      </c>
      <c r="K774" s="7" t="str">
        <f>HYPERLINK("http://slimages.macys.com/is/image/MCY/12673003 ")</f>
        <v xml:space="preserve">http://slimages.macys.com/is/image/MCY/12673003 </v>
      </c>
    </row>
    <row r="775" spans="1:11" ht="24.75" x14ac:dyDescent="0.25">
      <c r="A775" s="4" t="s">
        <v>3160</v>
      </c>
      <c r="B775" s="2" t="s">
        <v>3137</v>
      </c>
      <c r="C775" s="5">
        <v>14.99</v>
      </c>
      <c r="D775" s="3" t="s">
        <v>3138</v>
      </c>
      <c r="E775" s="2" t="s">
        <v>26</v>
      </c>
      <c r="F775" s="6"/>
      <c r="G775" s="2" t="s">
        <v>1425</v>
      </c>
      <c r="H775" s="2" t="s">
        <v>1426</v>
      </c>
      <c r="I775" s="2" t="s">
        <v>19</v>
      </c>
      <c r="J775" s="2" t="s">
        <v>495</v>
      </c>
      <c r="K775" s="7" t="str">
        <f>HYPERLINK("http://slimages.macys.com/is/image/MCY/11915563 ")</f>
        <v xml:space="preserve">http://slimages.macys.com/is/image/MCY/11915563 </v>
      </c>
    </row>
    <row r="776" spans="1:11" ht="24.75" x14ac:dyDescent="0.25">
      <c r="A776" s="4" t="s">
        <v>3161</v>
      </c>
      <c r="B776" s="2" t="s">
        <v>3128</v>
      </c>
      <c r="C776" s="5">
        <v>14.99</v>
      </c>
      <c r="D776" s="3" t="s">
        <v>3129</v>
      </c>
      <c r="E776" s="2" t="s">
        <v>26</v>
      </c>
      <c r="F776" s="6" t="s">
        <v>187</v>
      </c>
      <c r="G776" s="2" t="s">
        <v>1425</v>
      </c>
      <c r="H776" s="2" t="s">
        <v>1426</v>
      </c>
      <c r="I776" s="2" t="s">
        <v>19</v>
      </c>
      <c r="J776" s="2" t="s">
        <v>495</v>
      </c>
      <c r="K776" s="7" t="str">
        <f>HYPERLINK("http://slimages.macys.com/is/image/MCY/12064003 ")</f>
        <v xml:space="preserve">http://slimages.macys.com/is/image/MCY/12064003 </v>
      </c>
    </row>
    <row r="777" spans="1:11" ht="24.75" x14ac:dyDescent="0.25">
      <c r="A777" s="4" t="s">
        <v>3162</v>
      </c>
      <c r="B777" s="2" t="s">
        <v>3137</v>
      </c>
      <c r="C777" s="5">
        <v>14.99</v>
      </c>
      <c r="D777" s="3" t="s">
        <v>3138</v>
      </c>
      <c r="E777" s="2" t="s">
        <v>26</v>
      </c>
      <c r="F777" s="6" t="s">
        <v>219</v>
      </c>
      <c r="G777" s="2" t="s">
        <v>1425</v>
      </c>
      <c r="H777" s="2" t="s">
        <v>1426</v>
      </c>
      <c r="I777" s="2" t="s">
        <v>19</v>
      </c>
      <c r="J777" s="2" t="s">
        <v>495</v>
      </c>
      <c r="K777" s="7" t="str">
        <f>HYPERLINK("http://slimages.macys.com/is/image/MCY/11915563 ")</f>
        <v xml:space="preserve">http://slimages.macys.com/is/image/MCY/11915563 </v>
      </c>
    </row>
    <row r="778" spans="1:11" ht="24.75" x14ac:dyDescent="0.25">
      <c r="A778" s="4" t="s">
        <v>3163</v>
      </c>
      <c r="B778" s="2" t="s">
        <v>3137</v>
      </c>
      <c r="C778" s="5">
        <v>14.99</v>
      </c>
      <c r="D778" s="3" t="s">
        <v>3138</v>
      </c>
      <c r="E778" s="2" t="s">
        <v>26</v>
      </c>
      <c r="F778" s="6"/>
      <c r="G778" s="2" t="s">
        <v>1425</v>
      </c>
      <c r="H778" s="2" t="s">
        <v>1426</v>
      </c>
      <c r="I778" s="2" t="s">
        <v>19</v>
      </c>
      <c r="J778" s="2" t="s">
        <v>495</v>
      </c>
      <c r="K778" s="7" t="str">
        <f>HYPERLINK("http://slimages.macys.com/is/image/MCY/11915563 ")</f>
        <v xml:space="preserve">http://slimages.macys.com/is/image/MCY/11915563 </v>
      </c>
    </row>
    <row r="779" spans="1:11" ht="24.75" x14ac:dyDescent="0.25">
      <c r="A779" s="4" t="s">
        <v>3164</v>
      </c>
      <c r="B779" s="2" t="s">
        <v>3165</v>
      </c>
      <c r="C779" s="5">
        <v>14.99</v>
      </c>
      <c r="D779" s="3" t="s">
        <v>3166</v>
      </c>
      <c r="E779" s="2" t="s">
        <v>64</v>
      </c>
      <c r="F779" s="6" t="s">
        <v>187</v>
      </c>
      <c r="G779" s="2" t="s">
        <v>1425</v>
      </c>
      <c r="H779" s="2" t="s">
        <v>1426</v>
      </c>
      <c r="I779" s="2" t="s">
        <v>19</v>
      </c>
      <c r="J779" s="2" t="s">
        <v>495</v>
      </c>
      <c r="K779" s="7" t="str">
        <f>HYPERLINK("http://slimages.macys.com/is/image/MCY/12672753 ")</f>
        <v xml:space="preserve">http://slimages.macys.com/is/image/MCY/12672753 </v>
      </c>
    </row>
    <row r="780" spans="1:11" ht="24.75" x14ac:dyDescent="0.25">
      <c r="A780" s="4" t="s">
        <v>3167</v>
      </c>
      <c r="B780" s="2" t="s">
        <v>3128</v>
      </c>
      <c r="C780" s="5">
        <v>14.99</v>
      </c>
      <c r="D780" s="3" t="s">
        <v>3129</v>
      </c>
      <c r="E780" s="2" t="s">
        <v>26</v>
      </c>
      <c r="F780" s="6" t="s">
        <v>219</v>
      </c>
      <c r="G780" s="2" t="s">
        <v>1425</v>
      </c>
      <c r="H780" s="2" t="s">
        <v>1426</v>
      </c>
      <c r="I780" s="2" t="s">
        <v>19</v>
      </c>
      <c r="J780" s="2" t="s">
        <v>495</v>
      </c>
      <c r="K780" s="7" t="str">
        <f>HYPERLINK("http://slimages.macys.com/is/image/MCY/12064003 ")</f>
        <v xml:space="preserve">http://slimages.macys.com/is/image/MCY/12064003 </v>
      </c>
    </row>
    <row r="781" spans="1:11" ht="24.75" x14ac:dyDescent="0.25">
      <c r="A781" s="4" t="s">
        <v>3168</v>
      </c>
      <c r="B781" s="2" t="s">
        <v>3169</v>
      </c>
      <c r="C781" s="5">
        <v>14.99</v>
      </c>
      <c r="D781" s="3" t="s">
        <v>3170</v>
      </c>
      <c r="E781" s="2" t="s">
        <v>15</v>
      </c>
      <c r="F781" s="6" t="s">
        <v>156</v>
      </c>
      <c r="G781" s="2" t="s">
        <v>1473</v>
      </c>
      <c r="H781" s="2" t="s">
        <v>1426</v>
      </c>
      <c r="I781" s="2" t="s">
        <v>19</v>
      </c>
      <c r="J781" s="2" t="s">
        <v>495</v>
      </c>
      <c r="K781" s="7" t="str">
        <f>HYPERLINK("http://slimages.macys.com/is/image/MCY/11634132 ")</f>
        <v xml:space="preserve">http://slimages.macys.com/is/image/MCY/11634132 </v>
      </c>
    </row>
    <row r="782" spans="1:11" ht="24.75" x14ac:dyDescent="0.25">
      <c r="A782" s="4" t="s">
        <v>3171</v>
      </c>
      <c r="B782" s="2" t="s">
        <v>1954</v>
      </c>
      <c r="C782" s="5">
        <v>18.38</v>
      </c>
      <c r="D782" s="3" t="s">
        <v>1957</v>
      </c>
      <c r="E782" s="2" t="s">
        <v>15</v>
      </c>
      <c r="F782" s="6" t="s">
        <v>234</v>
      </c>
      <c r="G782" s="2" t="s">
        <v>194</v>
      </c>
      <c r="H782" s="2" t="s">
        <v>195</v>
      </c>
      <c r="I782" s="2" t="s">
        <v>19</v>
      </c>
      <c r="J782" s="2" t="s">
        <v>1108</v>
      </c>
      <c r="K782" s="7" t="str">
        <f>HYPERLINK("http://slimages.macys.com/is/image/MCY/13120664 ")</f>
        <v xml:space="preserve">http://slimages.macys.com/is/image/MCY/13120664 </v>
      </c>
    </row>
    <row r="783" spans="1:11" ht="24.75" x14ac:dyDescent="0.25">
      <c r="A783" s="4" t="s">
        <v>3172</v>
      </c>
      <c r="B783" s="2" t="s">
        <v>1954</v>
      </c>
      <c r="C783" s="5">
        <v>18.38</v>
      </c>
      <c r="D783" s="3" t="s">
        <v>3173</v>
      </c>
      <c r="E783" s="2" t="s">
        <v>26</v>
      </c>
      <c r="F783" s="6" t="s">
        <v>234</v>
      </c>
      <c r="G783" s="2" t="s">
        <v>194</v>
      </c>
      <c r="H783" s="2" t="s">
        <v>195</v>
      </c>
      <c r="I783" s="2" t="s">
        <v>19</v>
      </c>
      <c r="J783" s="2" t="s">
        <v>1108</v>
      </c>
      <c r="K783" s="7" t="str">
        <f>HYPERLINK("http://slimages.macys.com/is/image/MCY/13036261 ")</f>
        <v xml:space="preserve">http://slimages.macys.com/is/image/MCY/13036261 </v>
      </c>
    </row>
    <row r="784" spans="1:11" ht="24.75" x14ac:dyDescent="0.25">
      <c r="A784" s="4" t="s">
        <v>3174</v>
      </c>
      <c r="B784" s="2" t="s">
        <v>3175</v>
      </c>
      <c r="C784" s="5">
        <v>14.99</v>
      </c>
      <c r="D784" s="3" t="s">
        <v>3176</v>
      </c>
      <c r="E784" s="2" t="s">
        <v>33</v>
      </c>
      <c r="F784" s="6" t="s">
        <v>234</v>
      </c>
      <c r="G784" s="2" t="s">
        <v>194</v>
      </c>
      <c r="H784" s="2" t="s">
        <v>195</v>
      </c>
      <c r="I784" s="2" t="s">
        <v>19</v>
      </c>
      <c r="J784" s="2" t="s">
        <v>1108</v>
      </c>
      <c r="K784" s="7" t="str">
        <f>HYPERLINK("http://slimages.macys.com/is/image/MCY/11700947 ")</f>
        <v xml:space="preserve">http://slimages.macys.com/is/image/MCY/11700947 </v>
      </c>
    </row>
    <row r="785" spans="1:11" ht="24.75" x14ac:dyDescent="0.25">
      <c r="A785" s="4" t="s">
        <v>3177</v>
      </c>
      <c r="B785" s="2" t="s">
        <v>1970</v>
      </c>
      <c r="C785" s="5">
        <v>14.99</v>
      </c>
      <c r="D785" s="3" t="s">
        <v>1971</v>
      </c>
      <c r="E785" s="2" t="s">
        <v>64</v>
      </c>
      <c r="F785" s="6" t="s">
        <v>156</v>
      </c>
      <c r="G785" s="2" t="s">
        <v>1522</v>
      </c>
      <c r="H785" s="2" t="s">
        <v>1469</v>
      </c>
      <c r="I785" s="2" t="s">
        <v>19</v>
      </c>
      <c r="J785" s="2" t="s">
        <v>353</v>
      </c>
      <c r="K785" s="7" t="str">
        <f>HYPERLINK("http://slimages.macys.com/is/image/MCY/13741861 ")</f>
        <v xml:space="preserve">http://slimages.macys.com/is/image/MCY/13741861 </v>
      </c>
    </row>
    <row r="786" spans="1:11" ht="24.75" x14ac:dyDescent="0.25">
      <c r="A786" s="4" t="s">
        <v>3178</v>
      </c>
      <c r="B786" s="2" t="s">
        <v>1970</v>
      </c>
      <c r="C786" s="5">
        <v>14.99</v>
      </c>
      <c r="D786" s="3" t="s">
        <v>1971</v>
      </c>
      <c r="E786" s="2" t="s">
        <v>1945</v>
      </c>
      <c r="F786" s="6" t="s">
        <v>154</v>
      </c>
      <c r="G786" s="2" t="s">
        <v>1522</v>
      </c>
      <c r="H786" s="2" t="s">
        <v>1469</v>
      </c>
      <c r="I786" s="2" t="s">
        <v>19</v>
      </c>
      <c r="J786" s="2" t="s">
        <v>353</v>
      </c>
      <c r="K786" s="7" t="str">
        <f>HYPERLINK("http://slimages.macys.com/is/image/MCY/13741861 ")</f>
        <v xml:space="preserve">http://slimages.macys.com/is/image/MCY/13741861 </v>
      </c>
    </row>
    <row r="787" spans="1:11" ht="24.75" x14ac:dyDescent="0.25">
      <c r="A787" s="4" t="s">
        <v>3179</v>
      </c>
      <c r="B787" s="2" t="s">
        <v>1970</v>
      </c>
      <c r="C787" s="5">
        <v>14.99</v>
      </c>
      <c r="D787" s="3" t="s">
        <v>1971</v>
      </c>
      <c r="E787" s="2" t="s">
        <v>64</v>
      </c>
      <c r="F787" s="6" t="s">
        <v>200</v>
      </c>
      <c r="G787" s="2" t="s">
        <v>1522</v>
      </c>
      <c r="H787" s="2" t="s">
        <v>1469</v>
      </c>
      <c r="I787" s="2" t="s">
        <v>19</v>
      </c>
      <c r="J787" s="2" t="s">
        <v>353</v>
      </c>
      <c r="K787" s="7" t="str">
        <f>HYPERLINK("http://slimages.macys.com/is/image/MCY/13741861 ")</f>
        <v xml:space="preserve">http://slimages.macys.com/is/image/MCY/13741861 </v>
      </c>
    </row>
    <row r="788" spans="1:11" ht="24.75" x14ac:dyDescent="0.25">
      <c r="A788" s="4" t="s">
        <v>3180</v>
      </c>
      <c r="B788" s="2" t="s">
        <v>3181</v>
      </c>
      <c r="C788" s="5">
        <v>14.99</v>
      </c>
      <c r="D788" s="3" t="s">
        <v>3182</v>
      </c>
      <c r="E788" s="2" t="s">
        <v>64</v>
      </c>
      <c r="F788" s="6" t="s">
        <v>187</v>
      </c>
      <c r="G788" s="2" t="s">
        <v>1425</v>
      </c>
      <c r="H788" s="2" t="s">
        <v>1469</v>
      </c>
      <c r="I788" s="2" t="s">
        <v>19</v>
      </c>
      <c r="J788" s="2" t="s">
        <v>353</v>
      </c>
      <c r="K788" s="7" t="str">
        <f>HYPERLINK("http://slimages.macys.com/is/image/MCY/10743852 ")</f>
        <v xml:space="preserve">http://slimages.macys.com/is/image/MCY/10743852 </v>
      </c>
    </row>
    <row r="789" spans="1:11" ht="24.75" x14ac:dyDescent="0.25">
      <c r="A789" s="4" t="s">
        <v>3183</v>
      </c>
      <c r="B789" s="2" t="s">
        <v>1970</v>
      </c>
      <c r="C789" s="5">
        <v>14.99</v>
      </c>
      <c r="D789" s="3" t="s">
        <v>1971</v>
      </c>
      <c r="E789" s="2" t="s">
        <v>26</v>
      </c>
      <c r="F789" s="6" t="s">
        <v>181</v>
      </c>
      <c r="G789" s="2" t="s">
        <v>1522</v>
      </c>
      <c r="H789" s="2" t="s">
        <v>1469</v>
      </c>
      <c r="I789" s="2" t="s">
        <v>19</v>
      </c>
      <c r="J789" s="2" t="s">
        <v>353</v>
      </c>
      <c r="K789" s="7" t="str">
        <f>HYPERLINK("http://slimages.macys.com/is/image/MCY/13741861 ")</f>
        <v xml:space="preserve">http://slimages.macys.com/is/image/MCY/13741861 </v>
      </c>
    </row>
    <row r="790" spans="1:11" ht="24.75" x14ac:dyDescent="0.25">
      <c r="A790" s="4" t="s">
        <v>3184</v>
      </c>
      <c r="B790" s="2" t="s">
        <v>1973</v>
      </c>
      <c r="C790" s="5">
        <v>16.989999999999998</v>
      </c>
      <c r="D790" s="3" t="s">
        <v>1974</v>
      </c>
      <c r="E790" s="2" t="s">
        <v>417</v>
      </c>
      <c r="F790" s="6" t="s">
        <v>154</v>
      </c>
      <c r="G790" s="2" t="s">
        <v>1473</v>
      </c>
      <c r="H790" s="2" t="s">
        <v>1864</v>
      </c>
      <c r="I790" s="2" t="s">
        <v>19</v>
      </c>
      <c r="J790" s="2" t="s">
        <v>648</v>
      </c>
      <c r="K790" s="7" t="str">
        <f>HYPERLINK("http://slimages.macys.com/is/image/MCY/11634794 ")</f>
        <v xml:space="preserve">http://slimages.macys.com/is/image/MCY/11634794 </v>
      </c>
    </row>
    <row r="791" spans="1:11" ht="24.75" x14ac:dyDescent="0.25">
      <c r="A791" s="4" t="s">
        <v>3185</v>
      </c>
      <c r="B791" s="2" t="s">
        <v>1973</v>
      </c>
      <c r="C791" s="5">
        <v>16.989999999999998</v>
      </c>
      <c r="D791" s="3" t="s">
        <v>1974</v>
      </c>
      <c r="E791" s="2" t="s">
        <v>998</v>
      </c>
      <c r="F791" s="6" t="s">
        <v>154</v>
      </c>
      <c r="G791" s="2" t="s">
        <v>1473</v>
      </c>
      <c r="H791" s="2" t="s">
        <v>1864</v>
      </c>
      <c r="I791" s="2" t="s">
        <v>19</v>
      </c>
      <c r="J791" s="2" t="s">
        <v>648</v>
      </c>
      <c r="K791" s="7" t="str">
        <f>HYPERLINK("http://slimages.macys.com/is/image/MCY/11634794 ")</f>
        <v xml:space="preserve">http://slimages.macys.com/is/image/MCY/11634794 </v>
      </c>
    </row>
    <row r="792" spans="1:11" ht="24.75" x14ac:dyDescent="0.25">
      <c r="A792" s="4" t="s">
        <v>3186</v>
      </c>
      <c r="B792" s="2" t="s">
        <v>1973</v>
      </c>
      <c r="C792" s="5">
        <v>16.989999999999998</v>
      </c>
      <c r="D792" s="3" t="s">
        <v>1976</v>
      </c>
      <c r="E792" s="2" t="s">
        <v>15</v>
      </c>
      <c r="F792" s="6"/>
      <c r="G792" s="2" t="s">
        <v>1425</v>
      </c>
      <c r="H792" s="2" t="s">
        <v>1864</v>
      </c>
      <c r="I792" s="2" t="s">
        <v>19</v>
      </c>
      <c r="J792" s="2" t="s">
        <v>648</v>
      </c>
      <c r="K792" s="7" t="str">
        <f>HYPERLINK("http://slimages.macys.com/is/image/MCY/11634785 ")</f>
        <v xml:space="preserve">http://slimages.macys.com/is/image/MCY/11634785 </v>
      </c>
    </row>
    <row r="793" spans="1:11" ht="24.75" x14ac:dyDescent="0.25">
      <c r="A793" s="4" t="s">
        <v>3187</v>
      </c>
      <c r="B793" s="2" t="s">
        <v>1973</v>
      </c>
      <c r="C793" s="5">
        <v>16.989999999999998</v>
      </c>
      <c r="D793" s="3" t="s">
        <v>1976</v>
      </c>
      <c r="E793" s="2" t="s">
        <v>998</v>
      </c>
      <c r="F793" s="6" t="s">
        <v>219</v>
      </c>
      <c r="G793" s="2" t="s">
        <v>1425</v>
      </c>
      <c r="H793" s="2" t="s">
        <v>1864</v>
      </c>
      <c r="I793" s="2" t="s">
        <v>19</v>
      </c>
      <c r="J793" s="2" t="s">
        <v>648</v>
      </c>
      <c r="K793" s="7" t="str">
        <f>HYPERLINK("http://slimages.macys.com/is/image/MCY/11634785 ")</f>
        <v xml:space="preserve">http://slimages.macys.com/is/image/MCY/11634785 </v>
      </c>
    </row>
    <row r="794" spans="1:11" ht="24.75" x14ac:dyDescent="0.25">
      <c r="A794" s="4" t="s">
        <v>3188</v>
      </c>
      <c r="B794" s="2" t="s">
        <v>1973</v>
      </c>
      <c r="C794" s="5">
        <v>16.989999999999998</v>
      </c>
      <c r="D794" s="3" t="s">
        <v>1976</v>
      </c>
      <c r="E794" s="2" t="s">
        <v>70</v>
      </c>
      <c r="F794" s="6"/>
      <c r="G794" s="2" t="s">
        <v>1425</v>
      </c>
      <c r="H794" s="2" t="s">
        <v>1864</v>
      </c>
      <c r="I794" s="2" t="s">
        <v>19</v>
      </c>
      <c r="J794" s="2" t="s">
        <v>648</v>
      </c>
      <c r="K794" s="7" t="str">
        <f>HYPERLINK("http://slimages.macys.com/is/image/MCY/11634785 ")</f>
        <v xml:space="preserve">http://slimages.macys.com/is/image/MCY/11634785 </v>
      </c>
    </row>
    <row r="795" spans="1:11" ht="24.75" x14ac:dyDescent="0.25">
      <c r="A795" s="4" t="s">
        <v>1980</v>
      </c>
      <c r="B795" s="2" t="s">
        <v>1973</v>
      </c>
      <c r="C795" s="5">
        <v>16.989999999999998</v>
      </c>
      <c r="D795" s="3" t="s">
        <v>1976</v>
      </c>
      <c r="E795" s="2" t="s">
        <v>15</v>
      </c>
      <c r="F795" s="6"/>
      <c r="G795" s="2" t="s">
        <v>1425</v>
      </c>
      <c r="H795" s="2" t="s">
        <v>1864</v>
      </c>
      <c r="I795" s="2" t="s">
        <v>19</v>
      </c>
      <c r="J795" s="2" t="s">
        <v>648</v>
      </c>
      <c r="K795" s="7" t="str">
        <f>HYPERLINK("http://slimages.macys.com/is/image/MCY/11634785 ")</f>
        <v xml:space="preserve">http://slimages.macys.com/is/image/MCY/11634785 </v>
      </c>
    </row>
    <row r="796" spans="1:11" ht="24.75" x14ac:dyDescent="0.25">
      <c r="A796" s="4" t="s">
        <v>3189</v>
      </c>
      <c r="B796" s="2" t="s">
        <v>1973</v>
      </c>
      <c r="C796" s="5">
        <v>16.989999999999998</v>
      </c>
      <c r="D796" s="3" t="s">
        <v>1974</v>
      </c>
      <c r="E796" s="2" t="s">
        <v>74</v>
      </c>
      <c r="F796" s="6" t="s">
        <v>245</v>
      </c>
      <c r="G796" s="2" t="s">
        <v>1473</v>
      </c>
      <c r="H796" s="2" t="s">
        <v>1864</v>
      </c>
      <c r="I796" s="2" t="s">
        <v>19</v>
      </c>
      <c r="J796" s="2" t="s">
        <v>648</v>
      </c>
      <c r="K796" s="7" t="str">
        <f>HYPERLINK("http://slimages.macys.com/is/image/MCY/11634794 ")</f>
        <v xml:space="preserve">http://slimages.macys.com/is/image/MCY/11634794 </v>
      </c>
    </row>
    <row r="797" spans="1:11" ht="24.75" x14ac:dyDescent="0.25">
      <c r="A797" s="4" t="s">
        <v>1985</v>
      </c>
      <c r="B797" s="2" t="s">
        <v>1973</v>
      </c>
      <c r="C797" s="5">
        <v>16.989999999999998</v>
      </c>
      <c r="D797" s="3" t="s">
        <v>1976</v>
      </c>
      <c r="E797" s="2" t="s">
        <v>15</v>
      </c>
      <c r="F797" s="6" t="s">
        <v>219</v>
      </c>
      <c r="G797" s="2" t="s">
        <v>1425</v>
      </c>
      <c r="H797" s="2" t="s">
        <v>1864</v>
      </c>
      <c r="I797" s="2" t="s">
        <v>19</v>
      </c>
      <c r="J797" s="2" t="s">
        <v>648</v>
      </c>
      <c r="K797" s="7" t="str">
        <f>HYPERLINK("http://slimages.macys.com/is/image/MCY/11634785 ")</f>
        <v xml:space="preserve">http://slimages.macys.com/is/image/MCY/11634785 </v>
      </c>
    </row>
    <row r="798" spans="1:11" ht="24.75" x14ac:dyDescent="0.25">
      <c r="A798" s="4" t="s">
        <v>3190</v>
      </c>
      <c r="B798" s="2" t="s">
        <v>1973</v>
      </c>
      <c r="C798" s="5">
        <v>16.989999999999998</v>
      </c>
      <c r="D798" s="3" t="s">
        <v>1976</v>
      </c>
      <c r="E798" s="2" t="s">
        <v>998</v>
      </c>
      <c r="F798" s="6"/>
      <c r="G798" s="2" t="s">
        <v>1425</v>
      </c>
      <c r="H798" s="2" t="s">
        <v>1864</v>
      </c>
      <c r="I798" s="2" t="s">
        <v>19</v>
      </c>
      <c r="J798" s="2" t="s">
        <v>648</v>
      </c>
      <c r="K798" s="7" t="str">
        <f>HYPERLINK("http://slimages.macys.com/is/image/MCY/11634785 ")</f>
        <v xml:space="preserve">http://slimages.macys.com/is/image/MCY/11634785 </v>
      </c>
    </row>
    <row r="799" spans="1:11" ht="24.75" x14ac:dyDescent="0.25">
      <c r="A799" s="4" t="s">
        <v>3191</v>
      </c>
      <c r="B799" s="2" t="s">
        <v>1973</v>
      </c>
      <c r="C799" s="5">
        <v>16.989999999999998</v>
      </c>
      <c r="D799" s="3" t="s">
        <v>1976</v>
      </c>
      <c r="E799" s="2" t="s">
        <v>1234</v>
      </c>
      <c r="F799" s="6"/>
      <c r="G799" s="2" t="s">
        <v>1425</v>
      </c>
      <c r="H799" s="2" t="s">
        <v>1864</v>
      </c>
      <c r="I799" s="2" t="s">
        <v>19</v>
      </c>
      <c r="J799" s="2" t="s">
        <v>648</v>
      </c>
      <c r="K799" s="7" t="str">
        <f>HYPERLINK("http://slimages.macys.com/is/image/MCY/11634785 ")</f>
        <v xml:space="preserve">http://slimages.macys.com/is/image/MCY/11634785 </v>
      </c>
    </row>
    <row r="800" spans="1:11" ht="24.75" x14ac:dyDescent="0.25">
      <c r="A800" s="4" t="s">
        <v>3192</v>
      </c>
      <c r="B800" s="2" t="s">
        <v>1973</v>
      </c>
      <c r="C800" s="5">
        <v>16.989999999999998</v>
      </c>
      <c r="D800" s="3" t="s">
        <v>1976</v>
      </c>
      <c r="E800" s="2" t="s">
        <v>70</v>
      </c>
      <c r="F800" s="6"/>
      <c r="G800" s="2" t="s">
        <v>1425</v>
      </c>
      <c r="H800" s="2" t="s">
        <v>1864</v>
      </c>
      <c r="I800" s="2" t="s">
        <v>19</v>
      </c>
      <c r="J800" s="2" t="s">
        <v>648</v>
      </c>
      <c r="K800" s="7" t="str">
        <f>HYPERLINK("http://slimages.macys.com/is/image/MCY/11634785 ")</f>
        <v xml:space="preserve">http://slimages.macys.com/is/image/MCY/11634785 </v>
      </c>
    </row>
    <row r="801" spans="1:11" ht="24.75" x14ac:dyDescent="0.25">
      <c r="A801" s="4" t="s">
        <v>1972</v>
      </c>
      <c r="B801" s="2" t="s">
        <v>1973</v>
      </c>
      <c r="C801" s="5">
        <v>16.989999999999998</v>
      </c>
      <c r="D801" s="3" t="s">
        <v>1974</v>
      </c>
      <c r="E801" s="2" t="s">
        <v>15</v>
      </c>
      <c r="F801" s="6" t="s">
        <v>156</v>
      </c>
      <c r="G801" s="2" t="s">
        <v>1473</v>
      </c>
      <c r="H801" s="2" t="s">
        <v>1864</v>
      </c>
      <c r="I801" s="2" t="s">
        <v>19</v>
      </c>
      <c r="J801" s="2" t="s">
        <v>648</v>
      </c>
      <c r="K801" s="7" t="str">
        <f t="shared" ref="K801:K809" si="11">HYPERLINK("http://slimages.macys.com/is/image/MCY/11634794 ")</f>
        <v xml:space="preserve">http://slimages.macys.com/is/image/MCY/11634794 </v>
      </c>
    </row>
    <row r="802" spans="1:11" ht="24.75" x14ac:dyDescent="0.25">
      <c r="A802" s="4" t="s">
        <v>1986</v>
      </c>
      <c r="B802" s="2" t="s">
        <v>1973</v>
      </c>
      <c r="C802" s="5">
        <v>16.989999999999998</v>
      </c>
      <c r="D802" s="3" t="s">
        <v>1974</v>
      </c>
      <c r="E802" s="2" t="s">
        <v>74</v>
      </c>
      <c r="F802" s="6" t="s">
        <v>234</v>
      </c>
      <c r="G802" s="2" t="s">
        <v>1473</v>
      </c>
      <c r="H802" s="2" t="s">
        <v>1864</v>
      </c>
      <c r="I802" s="2" t="s">
        <v>19</v>
      </c>
      <c r="J802" s="2" t="s">
        <v>648</v>
      </c>
      <c r="K802" s="7" t="str">
        <f t="shared" si="11"/>
        <v xml:space="preserve">http://slimages.macys.com/is/image/MCY/11634794 </v>
      </c>
    </row>
    <row r="803" spans="1:11" ht="24.75" x14ac:dyDescent="0.25">
      <c r="A803" s="4" t="s">
        <v>1984</v>
      </c>
      <c r="B803" s="2" t="s">
        <v>1973</v>
      </c>
      <c r="C803" s="5">
        <v>16.989999999999998</v>
      </c>
      <c r="D803" s="3" t="s">
        <v>1974</v>
      </c>
      <c r="E803" s="2" t="s">
        <v>15</v>
      </c>
      <c r="F803" s="6" t="s">
        <v>245</v>
      </c>
      <c r="G803" s="2" t="s">
        <v>1473</v>
      </c>
      <c r="H803" s="2" t="s">
        <v>1864</v>
      </c>
      <c r="I803" s="2" t="s">
        <v>19</v>
      </c>
      <c r="J803" s="2" t="s">
        <v>648</v>
      </c>
      <c r="K803" s="7" t="str">
        <f t="shared" si="11"/>
        <v xml:space="preserve">http://slimages.macys.com/is/image/MCY/11634794 </v>
      </c>
    </row>
    <row r="804" spans="1:11" ht="24.75" x14ac:dyDescent="0.25">
      <c r="A804" s="4" t="s">
        <v>3193</v>
      </c>
      <c r="B804" s="2" t="s">
        <v>1973</v>
      </c>
      <c r="C804" s="5">
        <v>16.989999999999998</v>
      </c>
      <c r="D804" s="3" t="s">
        <v>1974</v>
      </c>
      <c r="E804" s="2" t="s">
        <v>252</v>
      </c>
      <c r="F804" s="6" t="s">
        <v>181</v>
      </c>
      <c r="G804" s="2" t="s">
        <v>1473</v>
      </c>
      <c r="H804" s="2" t="s">
        <v>1864</v>
      </c>
      <c r="I804" s="2" t="s">
        <v>19</v>
      </c>
      <c r="J804" s="2" t="s">
        <v>648</v>
      </c>
      <c r="K804" s="7" t="str">
        <f t="shared" si="11"/>
        <v xml:space="preserve">http://slimages.macys.com/is/image/MCY/11634794 </v>
      </c>
    </row>
    <row r="805" spans="1:11" ht="24.75" x14ac:dyDescent="0.25">
      <c r="A805" s="4" t="s">
        <v>1978</v>
      </c>
      <c r="B805" s="2" t="s">
        <v>1973</v>
      </c>
      <c r="C805" s="5">
        <v>16.989999999999998</v>
      </c>
      <c r="D805" s="3" t="s">
        <v>1974</v>
      </c>
      <c r="E805" s="2" t="s">
        <v>1296</v>
      </c>
      <c r="F805" s="6" t="s">
        <v>154</v>
      </c>
      <c r="G805" s="2" t="s">
        <v>1473</v>
      </c>
      <c r="H805" s="2" t="s">
        <v>1864</v>
      </c>
      <c r="I805" s="2" t="s">
        <v>19</v>
      </c>
      <c r="J805" s="2" t="s">
        <v>648</v>
      </c>
      <c r="K805" s="7" t="str">
        <f t="shared" si="11"/>
        <v xml:space="preserve">http://slimages.macys.com/is/image/MCY/11634794 </v>
      </c>
    </row>
    <row r="806" spans="1:11" ht="24.75" x14ac:dyDescent="0.25">
      <c r="A806" s="4" t="s">
        <v>3194</v>
      </c>
      <c r="B806" s="2" t="s">
        <v>1973</v>
      </c>
      <c r="C806" s="5">
        <v>16.989999999999998</v>
      </c>
      <c r="D806" s="3" t="s">
        <v>1974</v>
      </c>
      <c r="E806" s="2" t="s">
        <v>74</v>
      </c>
      <c r="F806" s="6" t="s">
        <v>154</v>
      </c>
      <c r="G806" s="2" t="s">
        <v>1473</v>
      </c>
      <c r="H806" s="2" t="s">
        <v>1864</v>
      </c>
      <c r="I806" s="2" t="s">
        <v>19</v>
      </c>
      <c r="J806" s="2" t="s">
        <v>648</v>
      </c>
      <c r="K806" s="7" t="str">
        <f t="shared" si="11"/>
        <v xml:space="preserve">http://slimages.macys.com/is/image/MCY/11634794 </v>
      </c>
    </row>
    <row r="807" spans="1:11" ht="24.75" x14ac:dyDescent="0.25">
      <c r="A807" s="4" t="s">
        <v>3195</v>
      </c>
      <c r="B807" s="2" t="s">
        <v>1973</v>
      </c>
      <c r="C807" s="5">
        <v>16.989999999999998</v>
      </c>
      <c r="D807" s="3" t="s">
        <v>1974</v>
      </c>
      <c r="E807" s="2" t="s">
        <v>74</v>
      </c>
      <c r="F807" s="6" t="s">
        <v>181</v>
      </c>
      <c r="G807" s="2" t="s">
        <v>1473</v>
      </c>
      <c r="H807" s="2" t="s">
        <v>1864</v>
      </c>
      <c r="I807" s="2" t="s">
        <v>19</v>
      </c>
      <c r="J807" s="2" t="s">
        <v>648</v>
      </c>
      <c r="K807" s="7" t="str">
        <f t="shared" si="11"/>
        <v xml:space="preserve">http://slimages.macys.com/is/image/MCY/11634794 </v>
      </c>
    </row>
    <row r="808" spans="1:11" ht="24.75" x14ac:dyDescent="0.25">
      <c r="A808" s="4" t="s">
        <v>3196</v>
      </c>
      <c r="B808" s="2" t="s">
        <v>1973</v>
      </c>
      <c r="C808" s="5">
        <v>16.989999999999998</v>
      </c>
      <c r="D808" s="3" t="s">
        <v>1974</v>
      </c>
      <c r="E808" s="2" t="s">
        <v>15</v>
      </c>
      <c r="F808" s="6" t="s">
        <v>181</v>
      </c>
      <c r="G808" s="2" t="s">
        <v>1473</v>
      </c>
      <c r="H808" s="2" t="s">
        <v>1864</v>
      </c>
      <c r="I808" s="2" t="s">
        <v>19</v>
      </c>
      <c r="J808" s="2" t="s">
        <v>648</v>
      </c>
      <c r="K808" s="7" t="str">
        <f t="shared" si="11"/>
        <v xml:space="preserve">http://slimages.macys.com/is/image/MCY/11634794 </v>
      </c>
    </row>
    <row r="809" spans="1:11" ht="24.75" x14ac:dyDescent="0.25">
      <c r="A809" s="4" t="s">
        <v>3197</v>
      </c>
      <c r="B809" s="2" t="s">
        <v>1973</v>
      </c>
      <c r="C809" s="5">
        <v>16.989999999999998</v>
      </c>
      <c r="D809" s="3" t="s">
        <v>1974</v>
      </c>
      <c r="E809" s="2" t="s">
        <v>998</v>
      </c>
      <c r="F809" s="6" t="s">
        <v>181</v>
      </c>
      <c r="G809" s="2" t="s">
        <v>1473</v>
      </c>
      <c r="H809" s="2" t="s">
        <v>1864</v>
      </c>
      <c r="I809" s="2" t="s">
        <v>19</v>
      </c>
      <c r="J809" s="2" t="s">
        <v>648</v>
      </c>
      <c r="K809" s="7" t="str">
        <f t="shared" si="11"/>
        <v xml:space="preserve">http://slimages.macys.com/is/image/MCY/11634794 </v>
      </c>
    </row>
    <row r="810" spans="1:11" ht="24.75" x14ac:dyDescent="0.25">
      <c r="A810" s="4" t="s">
        <v>1996</v>
      </c>
      <c r="B810" s="2" t="s">
        <v>1988</v>
      </c>
      <c r="C810" s="5">
        <v>14.99</v>
      </c>
      <c r="D810" s="3" t="s">
        <v>1991</v>
      </c>
      <c r="E810" s="2" t="s">
        <v>413</v>
      </c>
      <c r="F810" s="6" t="s">
        <v>200</v>
      </c>
      <c r="G810" s="2" t="s">
        <v>1473</v>
      </c>
      <c r="H810" s="2" t="s">
        <v>1426</v>
      </c>
      <c r="I810" s="2" t="s">
        <v>19</v>
      </c>
      <c r="J810" s="2" t="s">
        <v>648</v>
      </c>
      <c r="K810" s="7" t="str">
        <f t="shared" ref="K810:K815" si="12">HYPERLINK("http://slimages.macys.com/is/image/MCY/12767912 ")</f>
        <v xml:space="preserve">http://slimages.macys.com/is/image/MCY/12767912 </v>
      </c>
    </row>
    <row r="811" spans="1:11" ht="24.75" x14ac:dyDescent="0.25">
      <c r="A811" s="4" t="s">
        <v>3198</v>
      </c>
      <c r="B811" s="2" t="s">
        <v>1988</v>
      </c>
      <c r="C811" s="5">
        <v>14.99</v>
      </c>
      <c r="D811" s="3" t="s">
        <v>1991</v>
      </c>
      <c r="E811" s="2" t="s">
        <v>331</v>
      </c>
      <c r="F811" s="6" t="s">
        <v>200</v>
      </c>
      <c r="G811" s="2" t="s">
        <v>1473</v>
      </c>
      <c r="H811" s="2" t="s">
        <v>1426</v>
      </c>
      <c r="I811" s="2" t="s">
        <v>19</v>
      </c>
      <c r="J811" s="2" t="s">
        <v>648</v>
      </c>
      <c r="K811" s="7" t="str">
        <f t="shared" si="12"/>
        <v xml:space="preserve">http://slimages.macys.com/is/image/MCY/12767912 </v>
      </c>
    </row>
    <row r="812" spans="1:11" ht="24.75" x14ac:dyDescent="0.25">
      <c r="A812" s="4" t="s">
        <v>3199</v>
      </c>
      <c r="B812" s="2" t="s">
        <v>1988</v>
      </c>
      <c r="C812" s="5">
        <v>14.99</v>
      </c>
      <c r="D812" s="3" t="s">
        <v>1991</v>
      </c>
      <c r="E812" s="2"/>
      <c r="F812" s="6" t="s">
        <v>156</v>
      </c>
      <c r="G812" s="2" t="s">
        <v>1473</v>
      </c>
      <c r="H812" s="2" t="s">
        <v>1426</v>
      </c>
      <c r="I812" s="2" t="s">
        <v>19</v>
      </c>
      <c r="J812" s="2" t="s">
        <v>648</v>
      </c>
      <c r="K812" s="7" t="str">
        <f t="shared" si="12"/>
        <v xml:space="preserve">http://slimages.macys.com/is/image/MCY/12767912 </v>
      </c>
    </row>
    <row r="813" spans="1:11" ht="24.75" x14ac:dyDescent="0.25">
      <c r="A813" s="4" t="s">
        <v>3200</v>
      </c>
      <c r="B813" s="2" t="s">
        <v>1988</v>
      </c>
      <c r="C813" s="5">
        <v>14.99</v>
      </c>
      <c r="D813" s="3" t="s">
        <v>1991</v>
      </c>
      <c r="E813" s="2" t="s">
        <v>26</v>
      </c>
      <c r="F813" s="6" t="s">
        <v>181</v>
      </c>
      <c r="G813" s="2" t="s">
        <v>1473</v>
      </c>
      <c r="H813" s="2" t="s">
        <v>1426</v>
      </c>
      <c r="I813" s="2" t="s">
        <v>19</v>
      </c>
      <c r="J813" s="2" t="s">
        <v>648</v>
      </c>
      <c r="K813" s="7" t="str">
        <f t="shared" si="12"/>
        <v xml:space="preserve">http://slimages.macys.com/is/image/MCY/12767912 </v>
      </c>
    </row>
    <row r="814" spans="1:11" ht="24.75" x14ac:dyDescent="0.25">
      <c r="A814" s="4" t="s">
        <v>3201</v>
      </c>
      <c r="B814" s="2" t="s">
        <v>1988</v>
      </c>
      <c r="C814" s="5">
        <v>14.99</v>
      </c>
      <c r="D814" s="3" t="s">
        <v>1991</v>
      </c>
      <c r="E814" s="2" t="s">
        <v>15</v>
      </c>
      <c r="F814" s="6" t="s">
        <v>234</v>
      </c>
      <c r="G814" s="2" t="s">
        <v>1473</v>
      </c>
      <c r="H814" s="2" t="s">
        <v>1426</v>
      </c>
      <c r="I814" s="2" t="s">
        <v>19</v>
      </c>
      <c r="J814" s="2" t="s">
        <v>648</v>
      </c>
      <c r="K814" s="7" t="str">
        <f t="shared" si="12"/>
        <v xml:space="preserve">http://slimages.macys.com/is/image/MCY/12767912 </v>
      </c>
    </row>
    <row r="815" spans="1:11" ht="24.75" x14ac:dyDescent="0.25">
      <c r="A815" s="4" t="s">
        <v>3202</v>
      </c>
      <c r="B815" s="2" t="s">
        <v>1988</v>
      </c>
      <c r="C815" s="5">
        <v>14.99</v>
      </c>
      <c r="D815" s="3" t="s">
        <v>1991</v>
      </c>
      <c r="E815" s="2" t="s">
        <v>70</v>
      </c>
      <c r="F815" s="6" t="s">
        <v>154</v>
      </c>
      <c r="G815" s="2" t="s">
        <v>1473</v>
      </c>
      <c r="H815" s="2" t="s">
        <v>1426</v>
      </c>
      <c r="I815" s="2" t="s">
        <v>19</v>
      </c>
      <c r="J815" s="2" t="s">
        <v>648</v>
      </c>
      <c r="K815" s="7" t="str">
        <f t="shared" si="12"/>
        <v xml:space="preserve">http://slimages.macys.com/is/image/MCY/12767912 </v>
      </c>
    </row>
    <row r="816" spans="1:11" ht="24.75" x14ac:dyDescent="0.25">
      <c r="A816" s="4" t="s">
        <v>3203</v>
      </c>
      <c r="B816" s="2" t="s">
        <v>1988</v>
      </c>
      <c r="C816" s="5">
        <v>14.99</v>
      </c>
      <c r="D816" s="3" t="s">
        <v>1989</v>
      </c>
      <c r="E816" s="2" t="s">
        <v>70</v>
      </c>
      <c r="F816" s="6"/>
      <c r="G816" s="2" t="s">
        <v>1425</v>
      </c>
      <c r="H816" s="2" t="s">
        <v>1426</v>
      </c>
      <c r="I816" s="2" t="s">
        <v>19</v>
      </c>
      <c r="J816" s="2" t="s">
        <v>648</v>
      </c>
      <c r="K816" s="7" t="str">
        <f>HYPERLINK("http://slimages.macys.com/is/image/MCY/11678994 ")</f>
        <v xml:space="preserve">http://slimages.macys.com/is/image/MCY/11678994 </v>
      </c>
    </row>
    <row r="817" spans="1:11" ht="24.75" x14ac:dyDescent="0.25">
      <c r="A817" s="4" t="s">
        <v>3204</v>
      </c>
      <c r="B817" s="2" t="s">
        <v>1988</v>
      </c>
      <c r="C817" s="5">
        <v>14.99</v>
      </c>
      <c r="D817" s="3" t="s">
        <v>1991</v>
      </c>
      <c r="E817" s="2" t="s">
        <v>15</v>
      </c>
      <c r="F817" s="6" t="s">
        <v>156</v>
      </c>
      <c r="G817" s="2" t="s">
        <v>1473</v>
      </c>
      <c r="H817" s="2" t="s">
        <v>1426</v>
      </c>
      <c r="I817" s="2" t="s">
        <v>19</v>
      </c>
      <c r="J817" s="2" t="s">
        <v>648</v>
      </c>
      <c r="K817" s="7" t="str">
        <f>HYPERLINK("http://slimages.macys.com/is/image/MCY/12767912 ")</f>
        <v xml:space="preserve">http://slimages.macys.com/is/image/MCY/12767912 </v>
      </c>
    </row>
    <row r="818" spans="1:11" ht="24.75" x14ac:dyDescent="0.25">
      <c r="A818" s="4" t="s">
        <v>3205</v>
      </c>
      <c r="B818" s="2" t="s">
        <v>1988</v>
      </c>
      <c r="C818" s="5">
        <v>14.99</v>
      </c>
      <c r="D818" s="3" t="s">
        <v>1991</v>
      </c>
      <c r="E818" s="2" t="s">
        <v>70</v>
      </c>
      <c r="F818" s="6" t="s">
        <v>181</v>
      </c>
      <c r="G818" s="2" t="s">
        <v>1473</v>
      </c>
      <c r="H818" s="2" t="s">
        <v>1426</v>
      </c>
      <c r="I818" s="2" t="s">
        <v>19</v>
      </c>
      <c r="J818" s="2" t="s">
        <v>648</v>
      </c>
      <c r="K818" s="7" t="str">
        <f>HYPERLINK("http://slimages.macys.com/is/image/MCY/12767912 ")</f>
        <v xml:space="preserve">http://slimages.macys.com/is/image/MCY/12767912 </v>
      </c>
    </row>
    <row r="819" spans="1:11" ht="24.75" x14ac:dyDescent="0.25">
      <c r="A819" s="4" t="s">
        <v>3206</v>
      </c>
      <c r="B819" s="2" t="s">
        <v>1988</v>
      </c>
      <c r="C819" s="5">
        <v>14.99</v>
      </c>
      <c r="D819" s="3" t="s">
        <v>1991</v>
      </c>
      <c r="E819" s="2" t="s">
        <v>33</v>
      </c>
      <c r="F819" s="6" t="s">
        <v>181</v>
      </c>
      <c r="G819" s="2" t="s">
        <v>1473</v>
      </c>
      <c r="H819" s="2" t="s">
        <v>1426</v>
      </c>
      <c r="I819" s="2" t="s">
        <v>19</v>
      </c>
      <c r="J819" s="2" t="s">
        <v>648</v>
      </c>
      <c r="K819" s="7" t="str">
        <f>HYPERLINK("http://slimages.macys.com/is/image/MCY/12767912 ")</f>
        <v xml:space="preserve">http://slimages.macys.com/is/image/MCY/12767912 </v>
      </c>
    </row>
    <row r="820" spans="1:11" ht="24.75" x14ac:dyDescent="0.25">
      <c r="A820" s="4" t="s">
        <v>1994</v>
      </c>
      <c r="B820" s="2" t="s">
        <v>1988</v>
      </c>
      <c r="C820" s="5">
        <v>14.99</v>
      </c>
      <c r="D820" s="3" t="s">
        <v>1991</v>
      </c>
      <c r="E820" s="2" t="s">
        <v>26</v>
      </c>
      <c r="F820" s="6" t="s">
        <v>156</v>
      </c>
      <c r="G820" s="2" t="s">
        <v>1473</v>
      </c>
      <c r="H820" s="2" t="s">
        <v>1426</v>
      </c>
      <c r="I820" s="2" t="s">
        <v>19</v>
      </c>
      <c r="J820" s="2" t="s">
        <v>648</v>
      </c>
      <c r="K820" s="7" t="str">
        <f>HYPERLINK("http://slimages.macys.com/is/image/MCY/12767912 ")</f>
        <v xml:space="preserve">http://slimages.macys.com/is/image/MCY/12767912 </v>
      </c>
    </row>
    <row r="821" spans="1:11" ht="24.75" x14ac:dyDescent="0.25">
      <c r="A821" s="4" t="s">
        <v>3207</v>
      </c>
      <c r="B821" s="2" t="s">
        <v>1988</v>
      </c>
      <c r="C821" s="5">
        <v>14.99</v>
      </c>
      <c r="D821" s="3" t="s">
        <v>1991</v>
      </c>
      <c r="E821" s="2" t="s">
        <v>413</v>
      </c>
      <c r="F821" s="6" t="s">
        <v>156</v>
      </c>
      <c r="G821" s="2" t="s">
        <v>1473</v>
      </c>
      <c r="H821" s="2" t="s">
        <v>1426</v>
      </c>
      <c r="I821" s="2" t="s">
        <v>19</v>
      </c>
      <c r="J821" s="2" t="s">
        <v>648</v>
      </c>
      <c r="K821" s="7" t="str">
        <f>HYPERLINK("http://slimages.macys.com/is/image/MCY/12767912 ")</f>
        <v xml:space="preserve">http://slimages.macys.com/is/image/MCY/12767912 </v>
      </c>
    </row>
    <row r="822" spans="1:11" ht="24.75" x14ac:dyDescent="0.25">
      <c r="A822" s="4" t="s">
        <v>3208</v>
      </c>
      <c r="B822" s="2" t="s">
        <v>1988</v>
      </c>
      <c r="C822" s="5">
        <v>14.99</v>
      </c>
      <c r="D822" s="3" t="s">
        <v>1989</v>
      </c>
      <c r="E822" s="2" t="s">
        <v>15</v>
      </c>
      <c r="F822" s="6"/>
      <c r="G822" s="2" t="s">
        <v>1425</v>
      </c>
      <c r="H822" s="2" t="s">
        <v>1426</v>
      </c>
      <c r="I822" s="2" t="s">
        <v>19</v>
      </c>
      <c r="J822" s="2" t="s">
        <v>648</v>
      </c>
      <c r="K822" s="7" t="str">
        <f>HYPERLINK("http://slimages.macys.com/is/image/MCY/11678994 ")</f>
        <v xml:space="preserve">http://slimages.macys.com/is/image/MCY/11678994 </v>
      </c>
    </row>
    <row r="823" spans="1:11" ht="24.75" x14ac:dyDescent="0.25">
      <c r="A823" s="4" t="s">
        <v>3209</v>
      </c>
      <c r="B823" s="2" t="s">
        <v>1988</v>
      </c>
      <c r="C823" s="5">
        <v>14.99</v>
      </c>
      <c r="D823" s="3" t="s">
        <v>1989</v>
      </c>
      <c r="E823" s="2" t="s">
        <v>26</v>
      </c>
      <c r="F823" s="6"/>
      <c r="G823" s="2" t="s">
        <v>1425</v>
      </c>
      <c r="H823" s="2" t="s">
        <v>1426</v>
      </c>
      <c r="I823" s="2" t="s">
        <v>19</v>
      </c>
      <c r="J823" s="2" t="s">
        <v>648</v>
      </c>
      <c r="K823" s="7" t="str">
        <f>HYPERLINK("http://slimages.macys.com/is/image/MCY/11678994 ")</f>
        <v xml:space="preserve">http://slimages.macys.com/is/image/MCY/11678994 </v>
      </c>
    </row>
    <row r="824" spans="1:11" ht="24.75" x14ac:dyDescent="0.25">
      <c r="A824" s="4" t="s">
        <v>3210</v>
      </c>
      <c r="B824" s="2" t="s">
        <v>1988</v>
      </c>
      <c r="C824" s="5">
        <v>14.99</v>
      </c>
      <c r="D824" s="3" t="s">
        <v>1989</v>
      </c>
      <c r="E824" s="2" t="s">
        <v>413</v>
      </c>
      <c r="F824" s="6"/>
      <c r="G824" s="2" t="s">
        <v>1425</v>
      </c>
      <c r="H824" s="2" t="s">
        <v>1426</v>
      </c>
      <c r="I824" s="2" t="s">
        <v>19</v>
      </c>
      <c r="J824" s="2" t="s">
        <v>648</v>
      </c>
      <c r="K824" s="7" t="str">
        <f>HYPERLINK("http://slimages.macys.com/is/image/MCY/11678994 ")</f>
        <v xml:space="preserve">http://slimages.macys.com/is/image/MCY/11678994 </v>
      </c>
    </row>
    <row r="825" spans="1:11" ht="24.75" x14ac:dyDescent="0.25">
      <c r="A825" s="4" t="s">
        <v>3211</v>
      </c>
      <c r="B825" s="2" t="s">
        <v>1988</v>
      </c>
      <c r="C825" s="5">
        <v>14.99</v>
      </c>
      <c r="D825" s="3" t="s">
        <v>1991</v>
      </c>
      <c r="E825" s="2" t="s">
        <v>1322</v>
      </c>
      <c r="F825" s="6" t="s">
        <v>181</v>
      </c>
      <c r="G825" s="2" t="s">
        <v>1473</v>
      </c>
      <c r="H825" s="2" t="s">
        <v>1426</v>
      </c>
      <c r="I825" s="2" t="s">
        <v>19</v>
      </c>
      <c r="J825" s="2" t="s">
        <v>648</v>
      </c>
      <c r="K825" s="7" t="str">
        <f>HYPERLINK("http://slimages.macys.com/is/image/MCY/12767912 ")</f>
        <v xml:space="preserve">http://slimages.macys.com/is/image/MCY/12767912 </v>
      </c>
    </row>
    <row r="826" spans="1:11" ht="24.75" x14ac:dyDescent="0.25">
      <c r="A826" s="4" t="s">
        <v>3212</v>
      </c>
      <c r="B826" s="2" t="s">
        <v>1988</v>
      </c>
      <c r="C826" s="5">
        <v>14.99</v>
      </c>
      <c r="D826" s="3" t="s">
        <v>1991</v>
      </c>
      <c r="E826" s="2" t="s">
        <v>70</v>
      </c>
      <c r="F826" s="6" t="s">
        <v>156</v>
      </c>
      <c r="G826" s="2" t="s">
        <v>1473</v>
      </c>
      <c r="H826" s="2" t="s">
        <v>1426</v>
      </c>
      <c r="I826" s="2" t="s">
        <v>19</v>
      </c>
      <c r="J826" s="2" t="s">
        <v>648</v>
      </c>
      <c r="K826" s="7" t="str">
        <f>HYPERLINK("http://slimages.macys.com/is/image/MCY/12767912 ")</f>
        <v xml:space="preserve">http://slimages.macys.com/is/image/MCY/12767912 </v>
      </c>
    </row>
    <row r="827" spans="1:11" ht="24.75" x14ac:dyDescent="0.25">
      <c r="A827" s="4" t="s">
        <v>3213</v>
      </c>
      <c r="B827" s="2" t="s">
        <v>1988</v>
      </c>
      <c r="C827" s="5">
        <v>14.99</v>
      </c>
      <c r="D827" s="3" t="s">
        <v>1991</v>
      </c>
      <c r="E827" s="2" t="s">
        <v>26</v>
      </c>
      <c r="F827" s="6" t="s">
        <v>154</v>
      </c>
      <c r="G827" s="2" t="s">
        <v>1473</v>
      </c>
      <c r="H827" s="2" t="s">
        <v>1426</v>
      </c>
      <c r="I827" s="2" t="s">
        <v>19</v>
      </c>
      <c r="J827" s="2" t="s">
        <v>648</v>
      </c>
      <c r="K827" s="7" t="str">
        <f>HYPERLINK("http://slimages.macys.com/is/image/MCY/12767912 ")</f>
        <v xml:space="preserve">http://slimages.macys.com/is/image/MCY/12767912 </v>
      </c>
    </row>
    <row r="828" spans="1:11" ht="24.75" x14ac:dyDescent="0.25">
      <c r="A828" s="4" t="s">
        <v>3214</v>
      </c>
      <c r="B828" s="2" t="s">
        <v>1988</v>
      </c>
      <c r="C828" s="5">
        <v>14.99</v>
      </c>
      <c r="D828" s="3" t="s">
        <v>1991</v>
      </c>
      <c r="E828" s="2" t="s">
        <v>1322</v>
      </c>
      <c r="F828" s="6" t="s">
        <v>154</v>
      </c>
      <c r="G828" s="2" t="s">
        <v>1473</v>
      </c>
      <c r="H828" s="2" t="s">
        <v>1426</v>
      </c>
      <c r="I828" s="2" t="s">
        <v>19</v>
      </c>
      <c r="J828" s="2" t="s">
        <v>648</v>
      </c>
      <c r="K828" s="7" t="str">
        <f>HYPERLINK("http://slimages.macys.com/is/image/MCY/12767912 ")</f>
        <v xml:space="preserve">http://slimages.macys.com/is/image/MCY/12767912 </v>
      </c>
    </row>
    <row r="829" spans="1:11" ht="24.75" x14ac:dyDescent="0.25">
      <c r="A829" s="4" t="s">
        <v>3215</v>
      </c>
      <c r="B829" s="2" t="s">
        <v>3216</v>
      </c>
      <c r="C829" s="5">
        <v>21.99</v>
      </c>
      <c r="D829" s="3" t="s">
        <v>3217</v>
      </c>
      <c r="E829" s="2" t="s">
        <v>413</v>
      </c>
      <c r="F829" s="6" t="s">
        <v>154</v>
      </c>
      <c r="G829" s="2" t="s">
        <v>284</v>
      </c>
      <c r="H829" s="2" t="s">
        <v>285</v>
      </c>
      <c r="I829" s="2"/>
      <c r="J829" s="2"/>
      <c r="K829" s="7" t="str">
        <f>HYPERLINK("http://slimages.macys.com/is/image/MCY/8549196 ")</f>
        <v xml:space="preserve">http://slimages.macys.com/is/image/MCY/8549196 </v>
      </c>
    </row>
    <row r="830" spans="1:11" ht="24.75" x14ac:dyDescent="0.25">
      <c r="A830" s="4" t="s">
        <v>3218</v>
      </c>
      <c r="B830" s="2" t="s">
        <v>3216</v>
      </c>
      <c r="C830" s="5">
        <v>21.99</v>
      </c>
      <c r="D830" s="3" t="s">
        <v>3219</v>
      </c>
      <c r="E830" s="2" t="s">
        <v>566</v>
      </c>
      <c r="F830" s="6" t="s">
        <v>234</v>
      </c>
      <c r="G830" s="2" t="s">
        <v>284</v>
      </c>
      <c r="H830" s="2" t="s">
        <v>285</v>
      </c>
      <c r="I830" s="2" t="s">
        <v>19</v>
      </c>
      <c r="J830" s="2" t="s">
        <v>247</v>
      </c>
      <c r="K830" s="7" t="str">
        <f>HYPERLINK("http://slimages.macys.com/is/image/MCY/9462994 ")</f>
        <v xml:space="preserve">http://slimages.macys.com/is/image/MCY/9462994 </v>
      </c>
    </row>
    <row r="831" spans="1:11" ht="24.75" x14ac:dyDescent="0.25">
      <c r="A831" s="4" t="s">
        <v>3220</v>
      </c>
      <c r="B831" s="2" t="s">
        <v>3216</v>
      </c>
      <c r="C831" s="5">
        <v>21.99</v>
      </c>
      <c r="D831" s="3" t="s">
        <v>3219</v>
      </c>
      <c r="E831" s="2" t="s">
        <v>566</v>
      </c>
      <c r="F831" s="6" t="s">
        <v>200</v>
      </c>
      <c r="G831" s="2" t="s">
        <v>284</v>
      </c>
      <c r="H831" s="2" t="s">
        <v>285</v>
      </c>
      <c r="I831" s="2" t="s">
        <v>19</v>
      </c>
      <c r="J831" s="2" t="s">
        <v>247</v>
      </c>
      <c r="K831" s="7" t="str">
        <f>HYPERLINK("http://slimages.macys.com/is/image/MCY/9462994 ")</f>
        <v xml:space="preserve">http://slimages.macys.com/is/image/MCY/9462994 </v>
      </c>
    </row>
    <row r="832" spans="1:11" ht="24.75" x14ac:dyDescent="0.25">
      <c r="A832" s="4" t="s">
        <v>3221</v>
      </c>
      <c r="B832" s="2" t="s">
        <v>3216</v>
      </c>
      <c r="C832" s="5">
        <v>21.99</v>
      </c>
      <c r="D832" s="3" t="s">
        <v>3219</v>
      </c>
      <c r="E832" s="2" t="s">
        <v>566</v>
      </c>
      <c r="F832" s="6" t="s">
        <v>181</v>
      </c>
      <c r="G832" s="2" t="s">
        <v>284</v>
      </c>
      <c r="H832" s="2" t="s">
        <v>285</v>
      </c>
      <c r="I832" s="2" t="s">
        <v>19</v>
      </c>
      <c r="J832" s="2" t="s">
        <v>247</v>
      </c>
      <c r="K832" s="7" t="str">
        <f>HYPERLINK("http://slimages.macys.com/is/image/MCY/9462994 ")</f>
        <v xml:space="preserve">http://slimages.macys.com/is/image/MCY/9462994 </v>
      </c>
    </row>
    <row r="833" spans="1:11" ht="24.75" x14ac:dyDescent="0.25">
      <c r="A833" s="4" t="s">
        <v>2001</v>
      </c>
      <c r="B833" s="2" t="s">
        <v>2002</v>
      </c>
      <c r="C833" s="5">
        <v>12.99</v>
      </c>
      <c r="D833" s="3" t="s">
        <v>2003</v>
      </c>
      <c r="E833" s="2" t="s">
        <v>33</v>
      </c>
      <c r="F833" s="6" t="s">
        <v>156</v>
      </c>
      <c r="G833" s="2" t="s">
        <v>194</v>
      </c>
      <c r="H833" s="2" t="s">
        <v>195</v>
      </c>
      <c r="I833" s="2" t="s">
        <v>19</v>
      </c>
      <c r="J833" s="2" t="s">
        <v>107</v>
      </c>
      <c r="K833" s="7" t="str">
        <f>HYPERLINK("http://slimages.macys.com/is/image/MCY/12063874 ")</f>
        <v xml:space="preserve">http://slimages.macys.com/is/image/MCY/12063874 </v>
      </c>
    </row>
    <row r="834" spans="1:11" ht="24.75" x14ac:dyDescent="0.25">
      <c r="A834" s="4" t="s">
        <v>3222</v>
      </c>
      <c r="B834" s="2" t="s">
        <v>2005</v>
      </c>
      <c r="C834" s="5">
        <v>14.99</v>
      </c>
      <c r="D834" s="3" t="s">
        <v>2006</v>
      </c>
      <c r="E834" s="2" t="s">
        <v>15</v>
      </c>
      <c r="F834" s="6" t="s">
        <v>154</v>
      </c>
      <c r="G834" s="2" t="s">
        <v>1522</v>
      </c>
      <c r="H834" s="2" t="s">
        <v>1469</v>
      </c>
      <c r="I834" s="2" t="s">
        <v>19</v>
      </c>
      <c r="J834" s="2" t="s">
        <v>353</v>
      </c>
      <c r="K834" s="7" t="str">
        <f t="shared" ref="K834:K840" si="13">HYPERLINK("http://slimages.macys.com/is/image/MCY/10743611 ")</f>
        <v xml:space="preserve">http://slimages.macys.com/is/image/MCY/10743611 </v>
      </c>
    </row>
    <row r="835" spans="1:11" ht="24.75" x14ac:dyDescent="0.25">
      <c r="A835" s="4" t="s">
        <v>3223</v>
      </c>
      <c r="B835" s="2" t="s">
        <v>2005</v>
      </c>
      <c r="C835" s="5">
        <v>14.99</v>
      </c>
      <c r="D835" s="3" t="s">
        <v>2006</v>
      </c>
      <c r="E835" s="2" t="s">
        <v>74</v>
      </c>
      <c r="F835" s="6" t="s">
        <v>234</v>
      </c>
      <c r="G835" s="2" t="s">
        <v>1522</v>
      </c>
      <c r="H835" s="2" t="s">
        <v>1469</v>
      </c>
      <c r="I835" s="2" t="s">
        <v>19</v>
      </c>
      <c r="J835" s="2" t="s">
        <v>353</v>
      </c>
      <c r="K835" s="7" t="str">
        <f t="shared" si="13"/>
        <v xml:space="preserve">http://slimages.macys.com/is/image/MCY/10743611 </v>
      </c>
    </row>
    <row r="836" spans="1:11" ht="24.75" x14ac:dyDescent="0.25">
      <c r="A836" s="4" t="s">
        <v>3224</v>
      </c>
      <c r="B836" s="2" t="s">
        <v>2005</v>
      </c>
      <c r="C836" s="5">
        <v>14.99</v>
      </c>
      <c r="D836" s="3" t="s">
        <v>2006</v>
      </c>
      <c r="E836" s="2" t="s">
        <v>64</v>
      </c>
      <c r="F836" s="6" t="s">
        <v>154</v>
      </c>
      <c r="G836" s="2" t="s">
        <v>1522</v>
      </c>
      <c r="H836" s="2" t="s">
        <v>1469</v>
      </c>
      <c r="I836" s="2" t="s">
        <v>19</v>
      </c>
      <c r="J836" s="2" t="s">
        <v>353</v>
      </c>
      <c r="K836" s="7" t="str">
        <f t="shared" si="13"/>
        <v xml:space="preserve">http://slimages.macys.com/is/image/MCY/10743611 </v>
      </c>
    </row>
    <row r="837" spans="1:11" ht="24.75" x14ac:dyDescent="0.25">
      <c r="A837" s="4" t="s">
        <v>2011</v>
      </c>
      <c r="B837" s="2" t="s">
        <v>2005</v>
      </c>
      <c r="C837" s="5">
        <v>14.99</v>
      </c>
      <c r="D837" s="3" t="s">
        <v>2006</v>
      </c>
      <c r="E837" s="2" t="s">
        <v>15</v>
      </c>
      <c r="F837" s="6" t="s">
        <v>245</v>
      </c>
      <c r="G837" s="2" t="s">
        <v>1522</v>
      </c>
      <c r="H837" s="2" t="s">
        <v>1469</v>
      </c>
      <c r="I837" s="2" t="s">
        <v>19</v>
      </c>
      <c r="J837" s="2" t="s">
        <v>353</v>
      </c>
      <c r="K837" s="7" t="str">
        <f t="shared" si="13"/>
        <v xml:space="preserve">http://slimages.macys.com/is/image/MCY/10743611 </v>
      </c>
    </row>
    <row r="838" spans="1:11" ht="24.75" x14ac:dyDescent="0.25">
      <c r="A838" s="4" t="s">
        <v>2012</v>
      </c>
      <c r="B838" s="2" t="s">
        <v>2005</v>
      </c>
      <c r="C838" s="5">
        <v>14.99</v>
      </c>
      <c r="D838" s="3" t="s">
        <v>2006</v>
      </c>
      <c r="E838" s="2" t="s">
        <v>15</v>
      </c>
      <c r="F838" s="6" t="s">
        <v>156</v>
      </c>
      <c r="G838" s="2" t="s">
        <v>1522</v>
      </c>
      <c r="H838" s="2" t="s">
        <v>1469</v>
      </c>
      <c r="I838" s="2" t="s">
        <v>19</v>
      </c>
      <c r="J838" s="2" t="s">
        <v>353</v>
      </c>
      <c r="K838" s="7" t="str">
        <f t="shared" si="13"/>
        <v xml:space="preserve">http://slimages.macys.com/is/image/MCY/10743611 </v>
      </c>
    </row>
    <row r="839" spans="1:11" ht="24.75" x14ac:dyDescent="0.25">
      <c r="A839" s="4" t="s">
        <v>2007</v>
      </c>
      <c r="B839" s="2" t="s">
        <v>2005</v>
      </c>
      <c r="C839" s="5">
        <v>14.99</v>
      </c>
      <c r="D839" s="3" t="s">
        <v>2006</v>
      </c>
      <c r="E839" s="2" t="s">
        <v>64</v>
      </c>
      <c r="F839" s="6" t="s">
        <v>245</v>
      </c>
      <c r="G839" s="2" t="s">
        <v>1522</v>
      </c>
      <c r="H839" s="2" t="s">
        <v>1469</v>
      </c>
      <c r="I839" s="2" t="s">
        <v>19</v>
      </c>
      <c r="J839" s="2" t="s">
        <v>353</v>
      </c>
      <c r="K839" s="7" t="str">
        <f t="shared" si="13"/>
        <v xml:space="preserve">http://slimages.macys.com/is/image/MCY/10743611 </v>
      </c>
    </row>
    <row r="840" spans="1:11" ht="24.75" x14ac:dyDescent="0.25">
      <c r="A840" s="4" t="s">
        <v>2010</v>
      </c>
      <c r="B840" s="2" t="s">
        <v>2005</v>
      </c>
      <c r="C840" s="5">
        <v>14.99</v>
      </c>
      <c r="D840" s="3" t="s">
        <v>2006</v>
      </c>
      <c r="E840" s="2" t="s">
        <v>38</v>
      </c>
      <c r="F840" s="6" t="s">
        <v>156</v>
      </c>
      <c r="G840" s="2" t="s">
        <v>1522</v>
      </c>
      <c r="H840" s="2" t="s">
        <v>1469</v>
      </c>
      <c r="I840" s="2" t="s">
        <v>19</v>
      </c>
      <c r="J840" s="2" t="s">
        <v>353</v>
      </c>
      <c r="K840" s="7" t="str">
        <f t="shared" si="13"/>
        <v xml:space="preserve">http://slimages.macys.com/is/image/MCY/10743611 </v>
      </c>
    </row>
    <row r="841" spans="1:11" ht="24.75" x14ac:dyDescent="0.25">
      <c r="A841" s="4" t="s">
        <v>3225</v>
      </c>
      <c r="B841" s="2" t="s">
        <v>3226</v>
      </c>
      <c r="C841" s="5">
        <v>12.99</v>
      </c>
      <c r="D841" s="3" t="s">
        <v>3227</v>
      </c>
      <c r="E841" s="2" t="s">
        <v>33</v>
      </c>
      <c r="F841" s="6"/>
      <c r="G841" s="2" t="s">
        <v>312</v>
      </c>
      <c r="H841" s="2" t="s">
        <v>195</v>
      </c>
      <c r="I841" s="2" t="s">
        <v>19</v>
      </c>
      <c r="J841" s="2" t="s">
        <v>648</v>
      </c>
      <c r="K841" s="7" t="str">
        <f>HYPERLINK("http://slimages.macys.com/is/image/MCY/12063878 ")</f>
        <v xml:space="preserve">http://slimages.macys.com/is/image/MCY/12063878 </v>
      </c>
    </row>
    <row r="842" spans="1:11" ht="24.75" x14ac:dyDescent="0.25">
      <c r="A842" s="4" t="s">
        <v>3228</v>
      </c>
      <c r="B842" s="2" t="s">
        <v>3229</v>
      </c>
      <c r="C842" s="5">
        <v>12.99</v>
      </c>
      <c r="D842" s="3" t="s">
        <v>3230</v>
      </c>
      <c r="E842" s="2" t="s">
        <v>752</v>
      </c>
      <c r="F842" s="6"/>
      <c r="G842" s="2" t="s">
        <v>312</v>
      </c>
      <c r="H842" s="2" t="s">
        <v>195</v>
      </c>
      <c r="I842" s="2" t="s">
        <v>19</v>
      </c>
      <c r="J842" s="2" t="s">
        <v>648</v>
      </c>
      <c r="K842" s="7" t="str">
        <f>HYPERLINK("http://slimages.macys.com/is/image/MCY/12850773 ")</f>
        <v xml:space="preserve">http://slimages.macys.com/is/image/MCY/12850773 </v>
      </c>
    </row>
    <row r="843" spans="1:11" ht="24.75" x14ac:dyDescent="0.25">
      <c r="A843" s="4" t="s">
        <v>3231</v>
      </c>
      <c r="B843" s="2" t="s">
        <v>2016</v>
      </c>
      <c r="C843" s="5">
        <v>12.99</v>
      </c>
      <c r="D843" s="3" t="s">
        <v>2017</v>
      </c>
      <c r="E843" s="2" t="s">
        <v>125</v>
      </c>
      <c r="F843" s="6" t="s">
        <v>154</v>
      </c>
      <c r="G843" s="2" t="s">
        <v>194</v>
      </c>
      <c r="H843" s="2" t="s">
        <v>195</v>
      </c>
      <c r="I843" s="2" t="s">
        <v>19</v>
      </c>
      <c r="J843" s="2" t="s">
        <v>648</v>
      </c>
      <c r="K843" s="7" t="str">
        <f>HYPERLINK("http://slimages.macys.com/is/image/MCY/14887463 ")</f>
        <v xml:space="preserve">http://slimages.macys.com/is/image/MCY/14887463 </v>
      </c>
    </row>
    <row r="844" spans="1:11" ht="24.75" x14ac:dyDescent="0.25">
      <c r="A844" s="4" t="s">
        <v>3232</v>
      </c>
      <c r="B844" s="2" t="s">
        <v>3233</v>
      </c>
      <c r="C844" s="5">
        <v>9.99</v>
      </c>
      <c r="D844" s="3" t="s">
        <v>3234</v>
      </c>
      <c r="E844" s="2" t="s">
        <v>132</v>
      </c>
      <c r="F844" s="6" t="s">
        <v>234</v>
      </c>
      <c r="G844" s="2" t="s">
        <v>1473</v>
      </c>
      <c r="H844" s="2" t="s">
        <v>1426</v>
      </c>
      <c r="I844" s="2" t="s">
        <v>19</v>
      </c>
      <c r="J844" s="2" t="s">
        <v>495</v>
      </c>
      <c r="K844" s="7" t="str">
        <f>HYPERLINK("http://slimages.macys.com/is/image/MCY/13530778 ")</f>
        <v xml:space="preserve">http://slimages.macys.com/is/image/MCY/13530778 </v>
      </c>
    </row>
    <row r="845" spans="1:11" ht="24.75" x14ac:dyDescent="0.25">
      <c r="A845" s="4" t="s">
        <v>2019</v>
      </c>
      <c r="B845" s="2" t="s">
        <v>2016</v>
      </c>
      <c r="C845" s="5">
        <v>12.99</v>
      </c>
      <c r="D845" s="3" t="s">
        <v>2017</v>
      </c>
      <c r="E845" s="2" t="s">
        <v>566</v>
      </c>
      <c r="F845" s="6" t="s">
        <v>234</v>
      </c>
      <c r="G845" s="2" t="s">
        <v>194</v>
      </c>
      <c r="H845" s="2" t="s">
        <v>195</v>
      </c>
      <c r="I845" s="2" t="s">
        <v>19</v>
      </c>
      <c r="J845" s="2" t="s">
        <v>648</v>
      </c>
      <c r="K845" s="7" t="str">
        <f>HYPERLINK("http://slimages.macys.com/is/image/MCY/14887463 ")</f>
        <v xml:space="preserve">http://slimages.macys.com/is/image/MCY/14887463 </v>
      </c>
    </row>
    <row r="846" spans="1:11" ht="24.75" x14ac:dyDescent="0.25">
      <c r="A846" s="4" t="s">
        <v>3235</v>
      </c>
      <c r="B846" s="2" t="s">
        <v>2021</v>
      </c>
      <c r="C846" s="5">
        <v>18.38</v>
      </c>
      <c r="D846" s="3">
        <v>100018061</v>
      </c>
      <c r="E846" s="2" t="s">
        <v>64</v>
      </c>
      <c r="F846" s="6" t="s">
        <v>181</v>
      </c>
      <c r="G846" s="2" t="s">
        <v>194</v>
      </c>
      <c r="H846" s="2" t="s">
        <v>195</v>
      </c>
      <c r="I846" s="2" t="s">
        <v>19</v>
      </c>
      <c r="J846" s="2" t="s">
        <v>495</v>
      </c>
      <c r="K846" s="7" t="str">
        <f>HYPERLINK("http://slimages.macys.com/is/image/MCY/12950402 ")</f>
        <v xml:space="preserve">http://slimages.macys.com/is/image/MCY/12950402 </v>
      </c>
    </row>
    <row r="847" spans="1:11" ht="24.75" x14ac:dyDescent="0.25">
      <c r="A847" s="4" t="s">
        <v>3236</v>
      </c>
      <c r="B847" s="2" t="s">
        <v>3237</v>
      </c>
      <c r="C847" s="5">
        <v>9.99</v>
      </c>
      <c r="D847" s="3" t="s">
        <v>3238</v>
      </c>
      <c r="E847" s="2" t="s">
        <v>64</v>
      </c>
      <c r="F847" s="6" t="s">
        <v>181</v>
      </c>
      <c r="G847" s="2" t="s">
        <v>194</v>
      </c>
      <c r="H847" s="2" t="s">
        <v>195</v>
      </c>
      <c r="I847" s="2" t="s">
        <v>19</v>
      </c>
      <c r="J847" s="2" t="s">
        <v>247</v>
      </c>
      <c r="K847" s="7" t="str">
        <f>HYPERLINK("http://slimages.macys.com/is/image/MCY/15522855 ")</f>
        <v xml:space="preserve">http://slimages.macys.com/is/image/MCY/15522855 </v>
      </c>
    </row>
    <row r="848" spans="1:11" ht="24.75" x14ac:dyDescent="0.25">
      <c r="A848" s="4" t="s">
        <v>3239</v>
      </c>
      <c r="B848" s="2" t="s">
        <v>3237</v>
      </c>
      <c r="C848" s="5">
        <v>9.99</v>
      </c>
      <c r="D848" s="3" t="s">
        <v>3238</v>
      </c>
      <c r="E848" s="2" t="s">
        <v>170</v>
      </c>
      <c r="F848" s="6" t="s">
        <v>154</v>
      </c>
      <c r="G848" s="2" t="s">
        <v>194</v>
      </c>
      <c r="H848" s="2" t="s">
        <v>195</v>
      </c>
      <c r="I848" s="2" t="s">
        <v>19</v>
      </c>
      <c r="J848" s="2" t="s">
        <v>247</v>
      </c>
      <c r="K848" s="7" t="str">
        <f>HYPERLINK("http://slimages.macys.com/is/image/MCY/15522855 ")</f>
        <v xml:space="preserve">http://slimages.macys.com/is/image/MCY/15522855 </v>
      </c>
    </row>
    <row r="849" spans="1:11" ht="24.75" x14ac:dyDescent="0.25">
      <c r="A849" s="4" t="s">
        <v>3240</v>
      </c>
      <c r="B849" s="2" t="s">
        <v>3237</v>
      </c>
      <c r="C849" s="5">
        <v>9.99</v>
      </c>
      <c r="D849" s="3" t="s">
        <v>3238</v>
      </c>
      <c r="E849" s="2" t="s">
        <v>170</v>
      </c>
      <c r="F849" s="6" t="s">
        <v>200</v>
      </c>
      <c r="G849" s="2" t="s">
        <v>194</v>
      </c>
      <c r="H849" s="2" t="s">
        <v>195</v>
      </c>
      <c r="I849" s="2" t="s">
        <v>19</v>
      </c>
      <c r="J849" s="2" t="s">
        <v>247</v>
      </c>
      <c r="K849" s="7" t="str">
        <f>HYPERLINK("http://slimages.macys.com/is/image/MCY/15522855 ")</f>
        <v xml:space="preserve">http://slimages.macys.com/is/image/MCY/15522855 </v>
      </c>
    </row>
    <row r="850" spans="1:11" ht="24.75" x14ac:dyDescent="0.25">
      <c r="A850" s="4" t="s">
        <v>3241</v>
      </c>
      <c r="B850" s="2" t="s">
        <v>2036</v>
      </c>
      <c r="C850" s="5">
        <v>12.99</v>
      </c>
      <c r="D850" s="3" t="s">
        <v>2037</v>
      </c>
      <c r="E850" s="2" t="s">
        <v>170</v>
      </c>
      <c r="F850" s="6" t="s">
        <v>234</v>
      </c>
      <c r="G850" s="2" t="s">
        <v>194</v>
      </c>
      <c r="H850" s="2" t="s">
        <v>195</v>
      </c>
      <c r="I850" s="2" t="s">
        <v>19</v>
      </c>
      <c r="J850" s="2" t="s">
        <v>495</v>
      </c>
      <c r="K850" s="7" t="str">
        <f>HYPERLINK("http://slimages.macys.com/is/image/MCY/10191342 ")</f>
        <v xml:space="preserve">http://slimages.macys.com/is/image/MCY/10191342 </v>
      </c>
    </row>
    <row r="851" spans="1:11" ht="24.75" x14ac:dyDescent="0.25">
      <c r="A851" s="4" t="s">
        <v>3242</v>
      </c>
      <c r="B851" s="2" t="s">
        <v>2064</v>
      </c>
      <c r="C851" s="5">
        <v>9.99</v>
      </c>
      <c r="D851" s="3" t="s">
        <v>2065</v>
      </c>
      <c r="E851" s="2" t="s">
        <v>15</v>
      </c>
      <c r="F851" s="6"/>
      <c r="G851" s="2" t="s">
        <v>1425</v>
      </c>
      <c r="H851" s="2" t="s">
        <v>1426</v>
      </c>
      <c r="I851" s="2" t="s">
        <v>19</v>
      </c>
      <c r="J851" s="2" t="s">
        <v>990</v>
      </c>
      <c r="K851" s="7" t="str">
        <f>HYPERLINK("http://slimages.macys.com/is/image/MCY/10464932 ")</f>
        <v xml:space="preserve">http://slimages.macys.com/is/image/MCY/10464932 </v>
      </c>
    </row>
    <row r="852" spans="1:11" ht="24.75" x14ac:dyDescent="0.25">
      <c r="A852" s="4" t="s">
        <v>3243</v>
      </c>
      <c r="B852" s="2" t="s">
        <v>2068</v>
      </c>
      <c r="C852" s="5">
        <v>12.99</v>
      </c>
      <c r="D852" s="3" t="s">
        <v>2069</v>
      </c>
      <c r="E852" s="2" t="s">
        <v>64</v>
      </c>
      <c r="F852" s="6" t="s">
        <v>156</v>
      </c>
      <c r="G852" s="2" t="s">
        <v>194</v>
      </c>
      <c r="H852" s="2" t="s">
        <v>195</v>
      </c>
      <c r="I852" s="2" t="s">
        <v>19</v>
      </c>
      <c r="J852" s="2" t="s">
        <v>648</v>
      </c>
      <c r="K852" s="7" t="str">
        <f>HYPERLINK("http://slimages.macys.com/is/image/MCY/12316464 ")</f>
        <v xml:space="preserve">http://slimages.macys.com/is/image/MCY/12316464 </v>
      </c>
    </row>
    <row r="853" spans="1:11" ht="24.75" x14ac:dyDescent="0.25">
      <c r="A853" s="4" t="s">
        <v>3244</v>
      </c>
      <c r="B853" s="2" t="s">
        <v>2068</v>
      </c>
      <c r="C853" s="5">
        <v>12.99</v>
      </c>
      <c r="D853" s="3" t="s">
        <v>2069</v>
      </c>
      <c r="E853" s="2" t="s">
        <v>64</v>
      </c>
      <c r="F853" s="6" t="s">
        <v>154</v>
      </c>
      <c r="G853" s="2" t="s">
        <v>194</v>
      </c>
      <c r="H853" s="2" t="s">
        <v>195</v>
      </c>
      <c r="I853" s="2" t="s">
        <v>19</v>
      </c>
      <c r="J853" s="2" t="s">
        <v>648</v>
      </c>
      <c r="K853" s="7" t="str">
        <f>HYPERLINK("http://slimages.macys.com/is/image/MCY/12316464 ")</f>
        <v xml:space="preserve">http://slimages.macys.com/is/image/MCY/12316464 </v>
      </c>
    </row>
    <row r="854" spans="1:11" ht="24.75" x14ac:dyDescent="0.25">
      <c r="A854" s="4" t="s">
        <v>3245</v>
      </c>
      <c r="B854" s="2" t="s">
        <v>2075</v>
      </c>
      <c r="C854" s="5">
        <v>9.99</v>
      </c>
      <c r="D854" s="3" t="s">
        <v>2076</v>
      </c>
      <c r="E854" s="2" t="s">
        <v>26</v>
      </c>
      <c r="F854" s="6" t="s">
        <v>234</v>
      </c>
      <c r="G854" s="2" t="s">
        <v>1473</v>
      </c>
      <c r="H854" s="2" t="s">
        <v>1426</v>
      </c>
      <c r="I854" s="2" t="s">
        <v>19</v>
      </c>
      <c r="J854" s="2" t="s">
        <v>990</v>
      </c>
      <c r="K854" s="7" t="str">
        <f>HYPERLINK("http://slimages.macys.com/is/image/MCY/15161436 ")</f>
        <v xml:space="preserve">http://slimages.macys.com/is/image/MCY/15161436 </v>
      </c>
    </row>
    <row r="855" spans="1:11" ht="24.75" x14ac:dyDescent="0.25">
      <c r="A855" s="4" t="s">
        <v>3246</v>
      </c>
      <c r="B855" s="2" t="s">
        <v>2075</v>
      </c>
      <c r="C855" s="5">
        <v>9.99</v>
      </c>
      <c r="D855" s="3" t="s">
        <v>2076</v>
      </c>
      <c r="E855" s="2" t="s">
        <v>26</v>
      </c>
      <c r="F855" s="6" t="s">
        <v>181</v>
      </c>
      <c r="G855" s="2" t="s">
        <v>1473</v>
      </c>
      <c r="H855" s="2" t="s">
        <v>1426</v>
      </c>
      <c r="I855" s="2" t="s">
        <v>19</v>
      </c>
      <c r="J855" s="2" t="s">
        <v>990</v>
      </c>
      <c r="K855" s="7" t="str">
        <f>HYPERLINK("http://slimages.macys.com/is/image/MCY/15161436 ")</f>
        <v xml:space="preserve">http://slimages.macys.com/is/image/MCY/15161436 </v>
      </c>
    </row>
    <row r="856" spans="1:11" ht="24.75" x14ac:dyDescent="0.25">
      <c r="A856" s="4" t="s">
        <v>3247</v>
      </c>
      <c r="B856" s="2" t="s">
        <v>2075</v>
      </c>
      <c r="C856" s="5">
        <v>9.99</v>
      </c>
      <c r="D856" s="3" t="s">
        <v>2076</v>
      </c>
      <c r="E856" s="2" t="s">
        <v>417</v>
      </c>
      <c r="F856" s="6" t="s">
        <v>154</v>
      </c>
      <c r="G856" s="2" t="s">
        <v>1473</v>
      </c>
      <c r="H856" s="2" t="s">
        <v>1426</v>
      </c>
      <c r="I856" s="2" t="s">
        <v>19</v>
      </c>
      <c r="J856" s="2" t="s">
        <v>990</v>
      </c>
      <c r="K856" s="7" t="str">
        <f>HYPERLINK("http://slimages.macys.com/is/image/MCY/15161436 ")</f>
        <v xml:space="preserve">http://slimages.macys.com/is/image/MCY/15161436 </v>
      </c>
    </row>
    <row r="857" spans="1:11" ht="24.75" x14ac:dyDescent="0.25">
      <c r="A857" s="4" t="s">
        <v>3248</v>
      </c>
      <c r="B857" s="2" t="s">
        <v>2075</v>
      </c>
      <c r="C857" s="5">
        <v>9.99</v>
      </c>
      <c r="D857" s="3" t="s">
        <v>2076</v>
      </c>
      <c r="E857" s="2" t="s">
        <v>1788</v>
      </c>
      <c r="F857" s="6" t="s">
        <v>234</v>
      </c>
      <c r="G857" s="2" t="s">
        <v>1473</v>
      </c>
      <c r="H857" s="2" t="s">
        <v>1426</v>
      </c>
      <c r="I857" s="2" t="s">
        <v>19</v>
      </c>
      <c r="J857" s="2" t="s">
        <v>990</v>
      </c>
      <c r="K857" s="7" t="str">
        <f>HYPERLINK("http://slimages.macys.com/is/image/MCY/15161436 ")</f>
        <v xml:space="preserve">http://slimages.macys.com/is/image/MCY/15161436 </v>
      </c>
    </row>
    <row r="858" spans="1:11" ht="24.75" x14ac:dyDescent="0.25">
      <c r="A858" s="4" t="s">
        <v>2079</v>
      </c>
      <c r="B858" s="2" t="s">
        <v>2075</v>
      </c>
      <c r="C858" s="5">
        <v>9.99</v>
      </c>
      <c r="D858" s="3" t="s">
        <v>2076</v>
      </c>
      <c r="E858" s="2" t="s">
        <v>26</v>
      </c>
      <c r="F858" s="6" t="s">
        <v>154</v>
      </c>
      <c r="G858" s="2" t="s">
        <v>1473</v>
      </c>
      <c r="H858" s="2" t="s">
        <v>1426</v>
      </c>
      <c r="I858" s="2" t="s">
        <v>19</v>
      </c>
      <c r="J858" s="2" t="s">
        <v>990</v>
      </c>
      <c r="K858" s="7" t="str">
        <f>HYPERLINK("http://slimages.macys.com/is/image/MCY/15161436 ")</f>
        <v xml:space="preserve">http://slimages.macys.com/is/image/MCY/15161436 </v>
      </c>
    </row>
    <row r="859" spans="1:11" ht="24.75" x14ac:dyDescent="0.25">
      <c r="A859" s="4" t="s">
        <v>3249</v>
      </c>
      <c r="B859" s="2" t="s">
        <v>2083</v>
      </c>
      <c r="C859" s="5">
        <v>9.99</v>
      </c>
      <c r="D859" s="3" t="s">
        <v>2084</v>
      </c>
      <c r="E859" s="2" t="s">
        <v>417</v>
      </c>
      <c r="F859" s="6" t="s">
        <v>154</v>
      </c>
      <c r="G859" s="2" t="s">
        <v>1473</v>
      </c>
      <c r="H859" s="2" t="s">
        <v>1426</v>
      </c>
      <c r="I859" s="2" t="s">
        <v>19</v>
      </c>
      <c r="J859" s="2" t="s">
        <v>648</v>
      </c>
      <c r="K859" s="7" t="str">
        <f>HYPERLINK("http://slimages.macys.com/is/image/MCY/10703349 ")</f>
        <v xml:space="preserve">http://slimages.macys.com/is/image/MCY/10703349 </v>
      </c>
    </row>
    <row r="860" spans="1:11" ht="24.75" x14ac:dyDescent="0.25">
      <c r="A860" s="4" t="s">
        <v>3250</v>
      </c>
      <c r="B860" s="2" t="s">
        <v>2083</v>
      </c>
      <c r="C860" s="5">
        <v>9.99</v>
      </c>
      <c r="D860" s="3" t="s">
        <v>3251</v>
      </c>
      <c r="E860" s="2" t="s">
        <v>33</v>
      </c>
      <c r="F860" s="6"/>
      <c r="G860" s="2" t="s">
        <v>1425</v>
      </c>
      <c r="H860" s="2" t="s">
        <v>1426</v>
      </c>
      <c r="I860" s="2" t="s">
        <v>19</v>
      </c>
      <c r="J860" s="2" t="s">
        <v>648</v>
      </c>
      <c r="K860" s="7" t="str">
        <f>HYPERLINK("http://slimages.macys.com/is/image/MCY/12315459 ")</f>
        <v xml:space="preserve">http://slimages.macys.com/is/image/MCY/12315459 </v>
      </c>
    </row>
    <row r="861" spans="1:11" ht="24.75" x14ac:dyDescent="0.25">
      <c r="A861" s="4" t="s">
        <v>3252</v>
      </c>
      <c r="B861" s="2" t="s">
        <v>2083</v>
      </c>
      <c r="C861" s="5">
        <v>9.99</v>
      </c>
      <c r="D861" s="3" t="s">
        <v>2084</v>
      </c>
      <c r="E861" s="2" t="s">
        <v>74</v>
      </c>
      <c r="F861" s="6" t="s">
        <v>234</v>
      </c>
      <c r="G861" s="2" t="s">
        <v>1473</v>
      </c>
      <c r="H861" s="2" t="s">
        <v>1426</v>
      </c>
      <c r="I861" s="2" t="s">
        <v>19</v>
      </c>
      <c r="J861" s="2" t="s">
        <v>648</v>
      </c>
      <c r="K861" s="7" t="str">
        <f>HYPERLINK("http://slimages.macys.com/is/image/MCY/10703349 ")</f>
        <v xml:space="preserve">http://slimages.macys.com/is/image/MCY/10703349 </v>
      </c>
    </row>
    <row r="862" spans="1:11" ht="24.75" x14ac:dyDescent="0.25">
      <c r="A862" s="4" t="s">
        <v>3253</v>
      </c>
      <c r="B862" s="2" t="s">
        <v>2083</v>
      </c>
      <c r="C862" s="5">
        <v>9.99</v>
      </c>
      <c r="D862" s="3" t="s">
        <v>2084</v>
      </c>
      <c r="E862" s="2" t="s">
        <v>417</v>
      </c>
      <c r="F862" s="6" t="s">
        <v>181</v>
      </c>
      <c r="G862" s="2" t="s">
        <v>1473</v>
      </c>
      <c r="H862" s="2" t="s">
        <v>1426</v>
      </c>
      <c r="I862" s="2" t="s">
        <v>19</v>
      </c>
      <c r="J862" s="2" t="s">
        <v>648</v>
      </c>
      <c r="K862" s="7" t="str">
        <f>HYPERLINK("http://slimages.macys.com/is/image/MCY/10703349 ")</f>
        <v xml:space="preserve">http://slimages.macys.com/is/image/MCY/10703349 </v>
      </c>
    </row>
    <row r="863" spans="1:11" ht="24.75" x14ac:dyDescent="0.25">
      <c r="A863" s="4" t="s">
        <v>3254</v>
      </c>
      <c r="B863" s="2" t="s">
        <v>2083</v>
      </c>
      <c r="C863" s="5">
        <v>9.99</v>
      </c>
      <c r="D863" s="3" t="s">
        <v>2084</v>
      </c>
      <c r="E863" s="2" t="s">
        <v>1788</v>
      </c>
      <c r="F863" s="6" t="s">
        <v>245</v>
      </c>
      <c r="G863" s="2" t="s">
        <v>1473</v>
      </c>
      <c r="H863" s="2" t="s">
        <v>1426</v>
      </c>
      <c r="I863" s="2" t="s">
        <v>19</v>
      </c>
      <c r="J863" s="2" t="s">
        <v>648</v>
      </c>
      <c r="K863" s="7" t="str">
        <f>HYPERLINK("http://slimages.macys.com/is/image/MCY/10703349 ")</f>
        <v xml:space="preserve">http://slimages.macys.com/is/image/MCY/10703349 </v>
      </c>
    </row>
    <row r="864" spans="1:11" ht="24.75" x14ac:dyDescent="0.25">
      <c r="A864" s="4" t="s">
        <v>3255</v>
      </c>
      <c r="B864" s="2" t="s">
        <v>2083</v>
      </c>
      <c r="C864" s="5">
        <v>9.99</v>
      </c>
      <c r="D864" s="3" t="s">
        <v>2084</v>
      </c>
      <c r="E864" s="2" t="s">
        <v>136</v>
      </c>
      <c r="F864" s="6" t="s">
        <v>200</v>
      </c>
      <c r="G864" s="2" t="s">
        <v>1473</v>
      </c>
      <c r="H864" s="2" t="s">
        <v>1426</v>
      </c>
      <c r="I864" s="2" t="s">
        <v>19</v>
      </c>
      <c r="J864" s="2" t="s">
        <v>648</v>
      </c>
      <c r="K864" s="7" t="str">
        <f>HYPERLINK("http://slimages.macys.com/is/image/MCY/10703349 ")</f>
        <v xml:space="preserve">http://slimages.macys.com/is/image/MCY/10703349 </v>
      </c>
    </row>
    <row r="865" spans="1:11" ht="24.75" x14ac:dyDescent="0.25">
      <c r="A865" s="4" t="s">
        <v>3256</v>
      </c>
      <c r="B865" s="2" t="s">
        <v>2083</v>
      </c>
      <c r="C865" s="5">
        <v>9.99</v>
      </c>
      <c r="D865" s="3" t="s">
        <v>2084</v>
      </c>
      <c r="E865" s="2" t="s">
        <v>74</v>
      </c>
      <c r="F865" s="6" t="s">
        <v>156</v>
      </c>
      <c r="G865" s="2" t="s">
        <v>1473</v>
      </c>
      <c r="H865" s="2" t="s">
        <v>1426</v>
      </c>
      <c r="I865" s="2" t="s">
        <v>19</v>
      </c>
      <c r="J865" s="2" t="s">
        <v>648</v>
      </c>
      <c r="K865" s="7" t="str">
        <f>HYPERLINK("http://slimages.macys.com/is/image/MCY/10703349 ")</f>
        <v xml:space="preserve">http://slimages.macys.com/is/image/MCY/10703349 </v>
      </c>
    </row>
    <row r="866" spans="1:11" ht="24.75" x14ac:dyDescent="0.25">
      <c r="A866" s="4" t="s">
        <v>3257</v>
      </c>
      <c r="B866" s="2" t="s">
        <v>2090</v>
      </c>
      <c r="C866" s="5">
        <v>9.99</v>
      </c>
      <c r="D866" s="3" t="s">
        <v>2091</v>
      </c>
      <c r="E866" s="2" t="s">
        <v>94</v>
      </c>
      <c r="F866" s="6" t="s">
        <v>234</v>
      </c>
      <c r="G866" s="2" t="s">
        <v>1473</v>
      </c>
      <c r="H866" s="2" t="s">
        <v>1426</v>
      </c>
      <c r="I866" s="2" t="s">
        <v>19</v>
      </c>
      <c r="J866" s="2" t="s">
        <v>495</v>
      </c>
      <c r="K866" s="7" t="str">
        <f>HYPERLINK("http://slimages.macys.com/is/image/MCY/11531541 ")</f>
        <v xml:space="preserve">http://slimages.macys.com/is/image/MCY/11531541 </v>
      </c>
    </row>
    <row r="867" spans="1:11" ht="24.75" x14ac:dyDescent="0.25">
      <c r="A867" s="4" t="s">
        <v>2089</v>
      </c>
      <c r="B867" s="2" t="s">
        <v>2090</v>
      </c>
      <c r="C867" s="5">
        <v>9.99</v>
      </c>
      <c r="D867" s="3" t="s">
        <v>2091</v>
      </c>
      <c r="E867" s="2" t="s">
        <v>94</v>
      </c>
      <c r="F867" s="6" t="s">
        <v>154</v>
      </c>
      <c r="G867" s="2" t="s">
        <v>1473</v>
      </c>
      <c r="H867" s="2" t="s">
        <v>1426</v>
      </c>
      <c r="I867" s="2" t="s">
        <v>19</v>
      </c>
      <c r="J867" s="2" t="s">
        <v>495</v>
      </c>
      <c r="K867" s="7" t="str">
        <f>HYPERLINK("http://slimages.macys.com/is/image/MCY/11531541 ")</f>
        <v xml:space="preserve">http://slimages.macys.com/is/image/MCY/11531541 </v>
      </c>
    </row>
    <row r="868" spans="1:11" ht="24.75" x14ac:dyDescent="0.25">
      <c r="A868" s="4" t="s">
        <v>3258</v>
      </c>
      <c r="B868" s="2" t="s">
        <v>3259</v>
      </c>
      <c r="C868" s="5">
        <v>9.99</v>
      </c>
      <c r="D868" s="3" t="s">
        <v>3260</v>
      </c>
      <c r="E868" s="2" t="s">
        <v>33</v>
      </c>
      <c r="F868" s="6" t="s">
        <v>245</v>
      </c>
      <c r="G868" s="2" t="s">
        <v>1473</v>
      </c>
      <c r="H868" s="2" t="s">
        <v>1426</v>
      </c>
      <c r="I868" s="2" t="s">
        <v>19</v>
      </c>
      <c r="J868" s="2" t="s">
        <v>495</v>
      </c>
      <c r="K868" s="7" t="str">
        <f>HYPERLINK("http://slimages.macys.com/is/image/MCY/11532821 ")</f>
        <v xml:space="preserve">http://slimages.macys.com/is/image/MCY/11532821 </v>
      </c>
    </row>
    <row r="869" spans="1:11" ht="24.75" x14ac:dyDescent="0.25">
      <c r="A869" s="4" t="s">
        <v>3261</v>
      </c>
      <c r="B869" s="2" t="s">
        <v>3259</v>
      </c>
      <c r="C869" s="5">
        <v>9.99</v>
      </c>
      <c r="D869" s="3" t="s">
        <v>3262</v>
      </c>
      <c r="E869" s="2" t="s">
        <v>94</v>
      </c>
      <c r="F869" s="6"/>
      <c r="G869" s="2" t="s">
        <v>1425</v>
      </c>
      <c r="H869" s="2" t="s">
        <v>1426</v>
      </c>
      <c r="I869" s="2" t="s">
        <v>19</v>
      </c>
      <c r="J869" s="2" t="s">
        <v>495</v>
      </c>
      <c r="K869" s="7" t="str">
        <f>HYPERLINK("http://slimages.macys.com/is/image/MCY/11532821 ")</f>
        <v xml:space="preserve">http://slimages.macys.com/is/image/MCY/11532821 </v>
      </c>
    </row>
    <row r="870" spans="1:11" ht="24.75" x14ac:dyDescent="0.25">
      <c r="A870" s="4" t="s">
        <v>3263</v>
      </c>
      <c r="B870" s="2" t="s">
        <v>2093</v>
      </c>
      <c r="C870" s="5">
        <v>9.99</v>
      </c>
      <c r="D870" s="3" t="s">
        <v>2094</v>
      </c>
      <c r="E870" s="2" t="s">
        <v>33</v>
      </c>
      <c r="F870" s="6" t="s">
        <v>181</v>
      </c>
      <c r="G870" s="2" t="s">
        <v>1473</v>
      </c>
      <c r="H870" s="2" t="s">
        <v>1426</v>
      </c>
      <c r="I870" s="2" t="s">
        <v>19</v>
      </c>
      <c r="J870" s="2" t="s">
        <v>495</v>
      </c>
      <c r="K870" s="7" t="str">
        <f>HYPERLINK("http://slimages.macys.com/is/image/MCY/10464865 ")</f>
        <v xml:space="preserve">http://slimages.macys.com/is/image/MCY/10464865 </v>
      </c>
    </row>
    <row r="871" spans="1:11" ht="24.75" x14ac:dyDescent="0.25">
      <c r="A871" s="4" t="s">
        <v>3264</v>
      </c>
      <c r="B871" s="2" t="s">
        <v>3265</v>
      </c>
      <c r="C871" s="5">
        <v>9.99</v>
      </c>
      <c r="D871" s="3" t="s">
        <v>3266</v>
      </c>
      <c r="E871" s="2" t="s">
        <v>3267</v>
      </c>
      <c r="F871" s="6" t="s">
        <v>234</v>
      </c>
      <c r="G871" s="2" t="s">
        <v>1473</v>
      </c>
      <c r="H871" s="2" t="s">
        <v>1426</v>
      </c>
      <c r="I871" s="2" t="s">
        <v>19</v>
      </c>
      <c r="J871" s="2" t="s">
        <v>495</v>
      </c>
      <c r="K871" s="7" t="str">
        <f>HYPERLINK("http://slimages.macys.com/is/image/MCY/11532809 ")</f>
        <v xml:space="preserve">http://slimages.macys.com/is/image/MCY/11532809 </v>
      </c>
    </row>
    <row r="872" spans="1:11" ht="24.75" x14ac:dyDescent="0.25">
      <c r="A872" s="4" t="s">
        <v>3268</v>
      </c>
      <c r="B872" s="2" t="s">
        <v>3265</v>
      </c>
      <c r="C872" s="5">
        <v>9.99</v>
      </c>
      <c r="D872" s="3" t="s">
        <v>3266</v>
      </c>
      <c r="E872" s="2" t="s">
        <v>3267</v>
      </c>
      <c r="F872" s="6" t="s">
        <v>156</v>
      </c>
      <c r="G872" s="2" t="s">
        <v>1473</v>
      </c>
      <c r="H872" s="2" t="s">
        <v>1426</v>
      </c>
      <c r="I872" s="2" t="s">
        <v>19</v>
      </c>
      <c r="J872" s="2" t="s">
        <v>495</v>
      </c>
      <c r="K872" s="7" t="str">
        <f>HYPERLINK("http://slimages.macys.com/is/image/MCY/11532809 ")</f>
        <v xml:space="preserve">http://slimages.macys.com/is/image/MCY/11532809 </v>
      </c>
    </row>
    <row r="873" spans="1:11" ht="24.75" x14ac:dyDescent="0.25">
      <c r="A873" s="4" t="s">
        <v>3269</v>
      </c>
      <c r="B873" s="2" t="s">
        <v>3270</v>
      </c>
      <c r="C873" s="5">
        <v>9.99</v>
      </c>
      <c r="D873" s="3" t="s">
        <v>3271</v>
      </c>
      <c r="E873" s="2" t="s">
        <v>79</v>
      </c>
      <c r="F873" s="6" t="s">
        <v>234</v>
      </c>
      <c r="G873" s="2" t="s">
        <v>1473</v>
      </c>
      <c r="H873" s="2" t="s">
        <v>1426</v>
      </c>
      <c r="I873" s="2" t="s">
        <v>19</v>
      </c>
      <c r="J873" s="2" t="s">
        <v>495</v>
      </c>
      <c r="K873" s="7" t="str">
        <f>HYPERLINK("http://slimages.macys.com/is/image/MCY/11774711 ")</f>
        <v xml:space="preserve">http://slimages.macys.com/is/image/MCY/11774711 </v>
      </c>
    </row>
    <row r="874" spans="1:11" ht="24.75" x14ac:dyDescent="0.25">
      <c r="A874" s="4" t="s">
        <v>3272</v>
      </c>
      <c r="B874" s="2" t="s">
        <v>3259</v>
      </c>
      <c r="C874" s="5">
        <v>9.99</v>
      </c>
      <c r="D874" s="3" t="s">
        <v>3260</v>
      </c>
      <c r="E874" s="2" t="s">
        <v>94</v>
      </c>
      <c r="F874" s="6" t="s">
        <v>156</v>
      </c>
      <c r="G874" s="2" t="s">
        <v>1473</v>
      </c>
      <c r="H874" s="2" t="s">
        <v>1426</v>
      </c>
      <c r="I874" s="2" t="s">
        <v>19</v>
      </c>
      <c r="J874" s="2" t="s">
        <v>495</v>
      </c>
      <c r="K874" s="7" t="str">
        <f>HYPERLINK("http://slimages.macys.com/is/image/MCY/11532821 ")</f>
        <v xml:space="preserve">http://slimages.macys.com/is/image/MCY/11532821 </v>
      </c>
    </row>
    <row r="875" spans="1:11" ht="24.75" x14ac:dyDescent="0.25">
      <c r="A875" s="4" t="s">
        <v>3273</v>
      </c>
      <c r="B875" s="2" t="s">
        <v>3265</v>
      </c>
      <c r="C875" s="5">
        <v>9.99</v>
      </c>
      <c r="D875" s="3" t="s">
        <v>3266</v>
      </c>
      <c r="E875" s="2" t="s">
        <v>3267</v>
      </c>
      <c r="F875" s="6" t="s">
        <v>154</v>
      </c>
      <c r="G875" s="2" t="s">
        <v>1473</v>
      </c>
      <c r="H875" s="2" t="s">
        <v>1426</v>
      </c>
      <c r="I875" s="2" t="s">
        <v>19</v>
      </c>
      <c r="J875" s="2" t="s">
        <v>495</v>
      </c>
      <c r="K875" s="7" t="str">
        <f>HYPERLINK("http://slimages.macys.com/is/image/MCY/11532809 ")</f>
        <v xml:space="preserve">http://slimages.macys.com/is/image/MCY/11532809 </v>
      </c>
    </row>
    <row r="876" spans="1:11" ht="24.75" x14ac:dyDescent="0.25">
      <c r="A876" s="4" t="s">
        <v>3274</v>
      </c>
      <c r="B876" s="2" t="s">
        <v>2113</v>
      </c>
      <c r="C876" s="5">
        <v>9.99</v>
      </c>
      <c r="D876" s="3" t="s">
        <v>2114</v>
      </c>
      <c r="E876" s="2" t="s">
        <v>413</v>
      </c>
      <c r="F876" s="6"/>
      <c r="G876" s="2" t="s">
        <v>1425</v>
      </c>
      <c r="H876" s="2" t="s">
        <v>1426</v>
      </c>
      <c r="I876" s="2" t="s">
        <v>19</v>
      </c>
      <c r="J876" s="2" t="s">
        <v>648</v>
      </c>
      <c r="K876" s="7" t="str">
        <f>HYPERLINK("http://slimages.macys.com/is/image/MCY/10703601 ")</f>
        <v xml:space="preserve">http://slimages.macys.com/is/image/MCY/10703601 </v>
      </c>
    </row>
    <row r="877" spans="1:11" ht="24.75" x14ac:dyDescent="0.25">
      <c r="A877" s="4" t="s">
        <v>3275</v>
      </c>
      <c r="B877" s="2" t="s">
        <v>2113</v>
      </c>
      <c r="C877" s="5">
        <v>9.99</v>
      </c>
      <c r="D877" s="3" t="s">
        <v>2114</v>
      </c>
      <c r="E877" s="2" t="s">
        <v>413</v>
      </c>
      <c r="F877" s="6" t="s">
        <v>219</v>
      </c>
      <c r="G877" s="2" t="s">
        <v>1425</v>
      </c>
      <c r="H877" s="2" t="s">
        <v>1426</v>
      </c>
      <c r="I877" s="2" t="s">
        <v>19</v>
      </c>
      <c r="J877" s="2" t="s">
        <v>648</v>
      </c>
      <c r="K877" s="7" t="str">
        <f>HYPERLINK("http://slimages.macys.com/is/image/MCY/10703601 ")</f>
        <v xml:space="preserve">http://slimages.macys.com/is/image/MCY/10703601 </v>
      </c>
    </row>
    <row r="878" spans="1:11" ht="24.75" x14ac:dyDescent="0.25">
      <c r="A878" s="4" t="s">
        <v>3276</v>
      </c>
      <c r="B878" s="2" t="s">
        <v>2113</v>
      </c>
      <c r="C878" s="5">
        <v>9.99</v>
      </c>
      <c r="D878" s="3" t="s">
        <v>2114</v>
      </c>
      <c r="E878" s="2" t="s">
        <v>15</v>
      </c>
      <c r="F878" s="6"/>
      <c r="G878" s="2" t="s">
        <v>1425</v>
      </c>
      <c r="H878" s="2" t="s">
        <v>1426</v>
      </c>
      <c r="I878" s="2" t="s">
        <v>19</v>
      </c>
      <c r="J878" s="2" t="s">
        <v>648</v>
      </c>
      <c r="K878" s="7" t="str">
        <f>HYPERLINK("http://slimages.macys.com/is/image/MCY/10703601 ")</f>
        <v xml:space="preserve">http://slimages.macys.com/is/image/MCY/10703601 </v>
      </c>
    </row>
    <row r="879" spans="1:11" ht="24.75" x14ac:dyDescent="0.25">
      <c r="A879" s="4" t="s">
        <v>3277</v>
      </c>
      <c r="B879" s="2" t="s">
        <v>2116</v>
      </c>
      <c r="C879" s="5">
        <v>37.130000000000003</v>
      </c>
      <c r="D879" s="3" t="s">
        <v>2117</v>
      </c>
      <c r="E879" s="2" t="s">
        <v>572</v>
      </c>
      <c r="F879" s="6" t="s">
        <v>141</v>
      </c>
      <c r="G879" s="2" t="s">
        <v>246</v>
      </c>
      <c r="H879" s="2" t="s">
        <v>487</v>
      </c>
      <c r="I879" s="2"/>
      <c r="J879" s="2"/>
      <c r="K879" s="7"/>
    </row>
    <row r="880" spans="1:11" ht="24.75" x14ac:dyDescent="0.25">
      <c r="A880" s="4" t="s">
        <v>3278</v>
      </c>
      <c r="B880" s="2" t="s">
        <v>2064</v>
      </c>
      <c r="C880" s="5">
        <v>9.99</v>
      </c>
      <c r="D880" s="3" t="s">
        <v>3279</v>
      </c>
      <c r="E880" s="2" t="s">
        <v>136</v>
      </c>
      <c r="F880" s="6" t="s">
        <v>234</v>
      </c>
      <c r="G880" s="2" t="s">
        <v>1473</v>
      </c>
      <c r="H880" s="2" t="s">
        <v>1426</v>
      </c>
      <c r="I880" s="2"/>
      <c r="J880" s="2"/>
      <c r="K880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43"/>
  <sheetViews>
    <sheetView workbookViewId="0">
      <selection activeCell="M8" sqref="M8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12" ht="24.75" x14ac:dyDescent="0.25">
      <c r="A2" s="4" t="s">
        <v>3280</v>
      </c>
      <c r="B2" s="2" t="s">
        <v>3281</v>
      </c>
      <c r="C2" s="3">
        <v>1</v>
      </c>
      <c r="D2" s="5">
        <v>129</v>
      </c>
      <c r="E2" s="3" t="s">
        <v>3282</v>
      </c>
      <c r="F2" s="2" t="s">
        <v>33</v>
      </c>
      <c r="G2" s="6" t="s">
        <v>141</v>
      </c>
      <c r="H2" s="2" t="s">
        <v>17</v>
      </c>
    </row>
    <row r="3" spans="1:12" ht="24.75" x14ac:dyDescent="0.25">
      <c r="A3" s="4" t="s">
        <v>3283</v>
      </c>
      <c r="B3" s="2" t="s">
        <v>3284</v>
      </c>
      <c r="C3" s="3">
        <v>1</v>
      </c>
      <c r="D3" s="5">
        <v>138</v>
      </c>
      <c r="E3" s="3" t="s">
        <v>3285</v>
      </c>
      <c r="F3" s="2" t="s">
        <v>572</v>
      </c>
      <c r="G3" s="6" t="s">
        <v>16</v>
      </c>
      <c r="H3" s="2" t="s">
        <v>17</v>
      </c>
    </row>
    <row r="4" spans="1:12" ht="24.75" x14ac:dyDescent="0.25">
      <c r="A4" s="4" t="s">
        <v>3286</v>
      </c>
      <c r="B4" s="2" t="s">
        <v>3287</v>
      </c>
      <c r="C4" s="3">
        <v>1</v>
      </c>
      <c r="D4" s="5">
        <v>139</v>
      </c>
      <c r="E4" s="3" t="s">
        <v>3288</v>
      </c>
      <c r="F4" s="2" t="s">
        <v>136</v>
      </c>
      <c r="G4" s="6" t="s">
        <v>16</v>
      </c>
      <c r="H4" s="2" t="s">
        <v>95</v>
      </c>
    </row>
    <row r="5" spans="1:12" ht="24.75" x14ac:dyDescent="0.25">
      <c r="A5" s="4" t="s">
        <v>3289</v>
      </c>
      <c r="B5" s="2" t="s">
        <v>2129</v>
      </c>
      <c r="C5" s="3">
        <v>1</v>
      </c>
      <c r="D5" s="5">
        <v>148</v>
      </c>
      <c r="E5" s="3" t="s">
        <v>2130</v>
      </c>
      <c r="F5" s="2" t="s">
        <v>413</v>
      </c>
      <c r="G5" s="6" t="s">
        <v>16</v>
      </c>
      <c r="H5" s="2" t="s">
        <v>17</v>
      </c>
      <c r="I5" s="1" t="s">
        <v>8</v>
      </c>
      <c r="J5" s="1" t="s">
        <v>9</v>
      </c>
      <c r="K5" s="1" t="s">
        <v>10</v>
      </c>
      <c r="L5" s="1" t="s">
        <v>11</v>
      </c>
    </row>
    <row r="6" spans="1:12" ht="36.75" x14ac:dyDescent="0.25">
      <c r="A6" s="4" t="s">
        <v>3290</v>
      </c>
      <c r="B6" s="2" t="s">
        <v>3291</v>
      </c>
      <c r="C6" s="3">
        <v>1</v>
      </c>
      <c r="D6" s="5">
        <v>148</v>
      </c>
      <c r="E6" s="3" t="s">
        <v>3292</v>
      </c>
      <c r="F6" s="2" t="s">
        <v>3293</v>
      </c>
      <c r="G6" s="6" t="s">
        <v>16</v>
      </c>
      <c r="H6" s="2" t="s">
        <v>17</v>
      </c>
      <c r="I6" s="2" t="s">
        <v>28</v>
      </c>
      <c r="J6" s="2" t="s">
        <v>19</v>
      </c>
      <c r="K6" s="2" t="s">
        <v>49</v>
      </c>
      <c r="L6" s="7" t="str">
        <f>HYPERLINK("http://slimages.macys.com/is/image/MCY/11682546 ")</f>
        <v xml:space="preserve">http://slimages.macys.com/is/image/MCY/11682546 </v>
      </c>
    </row>
    <row r="7" spans="1:12" ht="24.75" x14ac:dyDescent="0.25">
      <c r="A7" s="4" t="s">
        <v>76</v>
      </c>
      <c r="B7" s="2" t="s">
        <v>77</v>
      </c>
      <c r="C7" s="3">
        <v>1</v>
      </c>
      <c r="D7" s="5">
        <v>128</v>
      </c>
      <c r="E7" s="3" t="s">
        <v>78</v>
      </c>
      <c r="F7" s="2" t="s">
        <v>79</v>
      </c>
      <c r="G7" s="6" t="s">
        <v>16</v>
      </c>
      <c r="H7" s="2" t="s">
        <v>17</v>
      </c>
      <c r="I7" s="2" t="s">
        <v>18</v>
      </c>
      <c r="J7" s="2" t="s">
        <v>19</v>
      </c>
      <c r="K7" s="2" t="s">
        <v>459</v>
      </c>
      <c r="L7" s="7" t="str">
        <f>HYPERLINK("http://slimages.macys.com/is/image/MCY/11702084 ")</f>
        <v xml:space="preserve">http://slimages.macys.com/is/image/MCY/11702084 </v>
      </c>
    </row>
    <row r="8" spans="1:12" ht="36.75" x14ac:dyDescent="0.25">
      <c r="A8" s="4" t="s">
        <v>3294</v>
      </c>
      <c r="B8" s="2" t="s">
        <v>3295</v>
      </c>
      <c r="C8" s="3">
        <v>1</v>
      </c>
      <c r="D8" s="5">
        <v>119</v>
      </c>
      <c r="E8" s="3">
        <v>60519194</v>
      </c>
      <c r="F8" s="2" t="s">
        <v>956</v>
      </c>
      <c r="G8" s="6" t="s">
        <v>181</v>
      </c>
      <c r="H8" s="2" t="s">
        <v>2154</v>
      </c>
      <c r="I8" s="2" t="s">
        <v>96</v>
      </c>
      <c r="J8" s="2" t="s">
        <v>19</v>
      </c>
      <c r="K8" s="2" t="s">
        <v>3296</v>
      </c>
      <c r="L8" s="7" t="str">
        <f>HYPERLINK("http://slimages.macys.com/is/image/MCY/12746908 ")</f>
        <v xml:space="preserve">http://slimages.macys.com/is/image/MCY/12746908 </v>
      </c>
    </row>
    <row r="9" spans="1:12" ht="48.75" x14ac:dyDescent="0.25">
      <c r="A9" s="4" t="s">
        <v>2138</v>
      </c>
      <c r="B9" s="2" t="s">
        <v>104</v>
      </c>
      <c r="C9" s="3">
        <v>1</v>
      </c>
      <c r="D9" s="5">
        <v>119</v>
      </c>
      <c r="E9" s="3" t="s">
        <v>105</v>
      </c>
      <c r="F9" s="2" t="s">
        <v>26</v>
      </c>
      <c r="G9" s="6" t="s">
        <v>58</v>
      </c>
      <c r="H9" s="2" t="s">
        <v>17</v>
      </c>
      <c r="I9" s="2" t="s">
        <v>40</v>
      </c>
      <c r="J9" s="2" t="s">
        <v>19</v>
      </c>
      <c r="K9" s="2" t="s">
        <v>2131</v>
      </c>
      <c r="L9" s="7" t="str">
        <f>HYPERLINK("http://slimages.macys.com/is/image/MCY/13313400 ")</f>
        <v xml:space="preserve">http://slimages.macys.com/is/image/MCY/13313400 </v>
      </c>
    </row>
    <row r="10" spans="1:12" ht="24.75" x14ac:dyDescent="0.25">
      <c r="A10" s="4" t="s">
        <v>3297</v>
      </c>
      <c r="B10" s="2" t="s">
        <v>104</v>
      </c>
      <c r="C10" s="3">
        <v>2</v>
      </c>
      <c r="D10" s="5">
        <v>119</v>
      </c>
      <c r="E10" s="3" t="s">
        <v>105</v>
      </c>
      <c r="F10" s="2" t="s">
        <v>26</v>
      </c>
      <c r="G10" s="6" t="s">
        <v>27</v>
      </c>
      <c r="H10" s="2" t="s">
        <v>17</v>
      </c>
      <c r="I10" s="2" t="s">
        <v>40</v>
      </c>
      <c r="J10" s="2" t="s">
        <v>19</v>
      </c>
      <c r="K10" s="2" t="s">
        <v>66</v>
      </c>
      <c r="L10" s="7" t="str">
        <f>HYPERLINK("http://slimages.macys.com/is/image/MCY/12645894 ")</f>
        <v xml:space="preserve">http://slimages.macys.com/is/image/MCY/12645894 </v>
      </c>
    </row>
    <row r="11" spans="1:12" ht="24.75" x14ac:dyDescent="0.25">
      <c r="A11" s="4" t="s">
        <v>3298</v>
      </c>
      <c r="B11" s="2" t="s">
        <v>104</v>
      </c>
      <c r="C11" s="3">
        <v>1</v>
      </c>
      <c r="D11" s="5">
        <v>119</v>
      </c>
      <c r="E11" s="3" t="s">
        <v>105</v>
      </c>
      <c r="F11" s="2" t="s">
        <v>26</v>
      </c>
      <c r="G11" s="6" t="s">
        <v>141</v>
      </c>
      <c r="H11" s="2" t="s">
        <v>17</v>
      </c>
      <c r="I11" s="2" t="s">
        <v>18</v>
      </c>
      <c r="J11" s="2" t="s">
        <v>19</v>
      </c>
      <c r="K11" s="2" t="s">
        <v>75</v>
      </c>
      <c r="L11" s="7" t="str">
        <f>HYPERLINK("http://slimages.macys.com/is/image/MCY/13061199 ")</f>
        <v xml:space="preserve">http://slimages.macys.com/is/image/MCY/13061199 </v>
      </c>
    </row>
    <row r="12" spans="1:12" ht="24.75" x14ac:dyDescent="0.25">
      <c r="A12" s="4" t="s">
        <v>3299</v>
      </c>
      <c r="B12" s="2" t="s">
        <v>3300</v>
      </c>
      <c r="C12" s="3">
        <v>1</v>
      </c>
      <c r="D12" s="5">
        <v>108</v>
      </c>
      <c r="E12" s="3" t="s">
        <v>3301</v>
      </c>
      <c r="F12" s="2" t="s">
        <v>26</v>
      </c>
      <c r="G12" s="6" t="s">
        <v>106</v>
      </c>
      <c r="H12" s="2" t="s">
        <v>17</v>
      </c>
      <c r="I12" s="2" t="s">
        <v>2155</v>
      </c>
      <c r="J12" s="2" t="s">
        <v>19</v>
      </c>
      <c r="K12" s="2" t="s">
        <v>3302</v>
      </c>
      <c r="L12" s="7" t="str">
        <f>HYPERLINK("http://slimages.macys.com/is/image/MCY/12281559 ")</f>
        <v xml:space="preserve">http://slimages.macys.com/is/image/MCY/12281559 </v>
      </c>
    </row>
    <row r="13" spans="1:12" ht="24.75" x14ac:dyDescent="0.25">
      <c r="A13" s="4" t="s">
        <v>3303</v>
      </c>
      <c r="B13" s="2" t="s">
        <v>114</v>
      </c>
      <c r="C13" s="3">
        <v>1</v>
      </c>
      <c r="D13" s="5">
        <v>99</v>
      </c>
      <c r="E13" s="3" t="s">
        <v>115</v>
      </c>
      <c r="F13" s="2" t="s">
        <v>26</v>
      </c>
      <c r="G13" s="6" t="s">
        <v>147</v>
      </c>
      <c r="H13" s="2" t="s">
        <v>17</v>
      </c>
      <c r="I13" s="2" t="s">
        <v>18</v>
      </c>
      <c r="J13" s="2" t="s">
        <v>19</v>
      </c>
      <c r="K13" s="2" t="s">
        <v>107</v>
      </c>
      <c r="L13" s="7" t="str">
        <f>HYPERLINK("http://slimages.macys.com/is/image/MCY/12326948 ")</f>
        <v xml:space="preserve">http://slimages.macys.com/is/image/MCY/12326948 </v>
      </c>
    </row>
    <row r="14" spans="1:12" ht="24.75" x14ac:dyDescent="0.25">
      <c r="A14" s="4" t="s">
        <v>3304</v>
      </c>
      <c r="B14" s="2" t="s">
        <v>3305</v>
      </c>
      <c r="C14" s="3">
        <v>1</v>
      </c>
      <c r="D14" s="5">
        <v>99</v>
      </c>
      <c r="E14" s="3" t="s">
        <v>3306</v>
      </c>
      <c r="F14" s="2" t="s">
        <v>64</v>
      </c>
      <c r="G14" s="6" t="s">
        <v>27</v>
      </c>
      <c r="H14" s="2" t="s">
        <v>95</v>
      </c>
      <c r="I14" s="2" t="s">
        <v>18</v>
      </c>
      <c r="J14" s="2" t="s">
        <v>19</v>
      </c>
      <c r="K14" s="2" t="s">
        <v>107</v>
      </c>
      <c r="L14" s="7" t="str">
        <f>HYPERLINK("http://slimages.macys.com/is/image/MCY/12326948 ")</f>
        <v xml:space="preserve">http://slimages.macys.com/is/image/MCY/12326948 </v>
      </c>
    </row>
    <row r="15" spans="1:12" ht="24.75" x14ac:dyDescent="0.25">
      <c r="A15" s="4" t="s">
        <v>138</v>
      </c>
      <c r="B15" s="2" t="s">
        <v>139</v>
      </c>
      <c r="C15" s="3">
        <v>1</v>
      </c>
      <c r="D15" s="5">
        <v>99</v>
      </c>
      <c r="E15" s="3" t="s">
        <v>140</v>
      </c>
      <c r="F15" s="2" t="s">
        <v>64</v>
      </c>
      <c r="G15" s="6" t="s">
        <v>141</v>
      </c>
      <c r="H15" s="2" t="s">
        <v>95</v>
      </c>
      <c r="I15" s="2" t="s">
        <v>18</v>
      </c>
      <c r="J15" s="2" t="s">
        <v>19</v>
      </c>
      <c r="K15" s="2" t="s">
        <v>107</v>
      </c>
      <c r="L15" s="7" t="str">
        <f>HYPERLINK("http://slimages.macys.com/is/image/MCY/12326948 ")</f>
        <v xml:space="preserve">http://slimages.macys.com/is/image/MCY/12326948 </v>
      </c>
    </row>
    <row r="16" spans="1:12" ht="24.75" x14ac:dyDescent="0.25">
      <c r="A16" s="4" t="s">
        <v>3307</v>
      </c>
      <c r="B16" s="2" t="s">
        <v>143</v>
      </c>
      <c r="C16" s="3">
        <v>1</v>
      </c>
      <c r="D16" s="5">
        <v>99</v>
      </c>
      <c r="E16" s="3" t="s">
        <v>144</v>
      </c>
      <c r="F16" s="2" t="s">
        <v>26</v>
      </c>
      <c r="G16" s="6" t="s">
        <v>1085</v>
      </c>
      <c r="H16" s="2" t="s">
        <v>17</v>
      </c>
      <c r="I16" s="2" t="s">
        <v>18</v>
      </c>
      <c r="J16" s="2" t="s">
        <v>19</v>
      </c>
      <c r="K16" s="2" t="s">
        <v>75</v>
      </c>
      <c r="L16" s="7" t="str">
        <f>HYPERLINK("http://slimages.macys.com/is/image/MCY/13288538 ")</f>
        <v xml:space="preserve">http://slimages.macys.com/is/image/MCY/13288538 </v>
      </c>
    </row>
    <row r="17" spans="1:12" ht="24.75" x14ac:dyDescent="0.25">
      <c r="A17" s="4" t="s">
        <v>146</v>
      </c>
      <c r="B17" s="2" t="s">
        <v>143</v>
      </c>
      <c r="C17" s="3">
        <v>1</v>
      </c>
      <c r="D17" s="5">
        <v>99</v>
      </c>
      <c r="E17" s="3" t="s">
        <v>144</v>
      </c>
      <c r="F17" s="2" t="s">
        <v>26</v>
      </c>
      <c r="G17" s="6" t="s">
        <v>147</v>
      </c>
      <c r="H17" s="2" t="s">
        <v>17</v>
      </c>
      <c r="I17" s="2" t="s">
        <v>117</v>
      </c>
      <c r="J17" s="2" t="s">
        <v>19</v>
      </c>
      <c r="K17" s="2" t="s">
        <v>118</v>
      </c>
      <c r="L17" s="7" t="str">
        <f>HYPERLINK("http://slimages.macys.com/is/image/MCY/12669592 ")</f>
        <v xml:space="preserve">http://slimages.macys.com/is/image/MCY/12669592 </v>
      </c>
    </row>
    <row r="18" spans="1:12" ht="24.75" x14ac:dyDescent="0.25">
      <c r="A18" s="4" t="s">
        <v>3308</v>
      </c>
      <c r="B18" s="2" t="s">
        <v>143</v>
      </c>
      <c r="C18" s="3">
        <v>1</v>
      </c>
      <c r="D18" s="5">
        <v>99</v>
      </c>
      <c r="E18" s="3" t="s">
        <v>144</v>
      </c>
      <c r="F18" s="2" t="s">
        <v>26</v>
      </c>
      <c r="G18" s="6" t="s">
        <v>3309</v>
      </c>
      <c r="H18" s="2" t="s">
        <v>17</v>
      </c>
      <c r="I18" s="2" t="s">
        <v>96</v>
      </c>
      <c r="J18" s="2" t="s">
        <v>19</v>
      </c>
      <c r="K18" s="2" t="s">
        <v>75</v>
      </c>
      <c r="L18" s="7" t="str">
        <f>HYPERLINK("http://slimages.macys.com/is/image/MCY/11714803 ")</f>
        <v xml:space="preserve">http://slimages.macys.com/is/image/MCY/11714803 </v>
      </c>
    </row>
    <row r="19" spans="1:12" ht="24.75" x14ac:dyDescent="0.25">
      <c r="A19" s="4" t="s">
        <v>3310</v>
      </c>
      <c r="B19" s="2" t="s">
        <v>149</v>
      </c>
      <c r="C19" s="3">
        <v>2</v>
      </c>
      <c r="D19" s="5">
        <v>89</v>
      </c>
      <c r="E19" s="3" t="s">
        <v>150</v>
      </c>
      <c r="F19" s="2" t="s">
        <v>74</v>
      </c>
      <c r="G19" s="6" t="s">
        <v>27</v>
      </c>
      <c r="H19" s="2" t="s">
        <v>95</v>
      </c>
      <c r="I19" s="2" t="s">
        <v>96</v>
      </c>
      <c r="J19" s="2" t="s">
        <v>19</v>
      </c>
      <c r="K19" s="2" t="s">
        <v>137</v>
      </c>
      <c r="L19" s="7" t="str">
        <f>HYPERLINK("http://slimages.macys.com/is/image/MCY/12794480 ")</f>
        <v xml:space="preserve">http://slimages.macys.com/is/image/MCY/12794480 </v>
      </c>
    </row>
    <row r="20" spans="1:12" ht="24.75" x14ac:dyDescent="0.25">
      <c r="A20" s="4" t="s">
        <v>3311</v>
      </c>
      <c r="B20" s="2" t="s">
        <v>3312</v>
      </c>
      <c r="C20" s="3">
        <v>1</v>
      </c>
      <c r="D20" s="5">
        <v>89</v>
      </c>
      <c r="E20" s="3" t="s">
        <v>3313</v>
      </c>
      <c r="F20" s="2" t="s">
        <v>26</v>
      </c>
      <c r="G20" s="6" t="s">
        <v>141</v>
      </c>
      <c r="H20" s="2" t="s">
        <v>95</v>
      </c>
      <c r="I20" s="2" t="s">
        <v>145</v>
      </c>
      <c r="J20" s="2" t="s">
        <v>19</v>
      </c>
      <c r="K20" s="2" t="s">
        <v>75</v>
      </c>
      <c r="L20" s="7" t="str">
        <f>HYPERLINK("http://slimages.macys.com/is/image/MCY/12671553 ")</f>
        <v xml:space="preserve">http://slimages.macys.com/is/image/MCY/12671553 </v>
      </c>
    </row>
    <row r="21" spans="1:12" ht="24.75" x14ac:dyDescent="0.25">
      <c r="A21" s="4" t="s">
        <v>3314</v>
      </c>
      <c r="B21" s="2" t="s">
        <v>2153</v>
      </c>
      <c r="C21" s="3">
        <v>1</v>
      </c>
      <c r="D21" s="5">
        <v>79</v>
      </c>
      <c r="E21" s="3">
        <v>10717696</v>
      </c>
      <c r="F21" s="2" t="s">
        <v>15</v>
      </c>
      <c r="G21" s="6" t="s">
        <v>141</v>
      </c>
      <c r="H21" s="2" t="s">
        <v>2154</v>
      </c>
      <c r="I21" s="2" t="s">
        <v>145</v>
      </c>
      <c r="J21" s="2" t="s">
        <v>19</v>
      </c>
      <c r="K21" s="2" t="s">
        <v>75</v>
      </c>
      <c r="L21" s="7" t="str">
        <f>HYPERLINK("http://slimages.macys.com/is/image/MCY/12671553 ")</f>
        <v xml:space="preserve">http://slimages.macys.com/is/image/MCY/12671553 </v>
      </c>
    </row>
    <row r="22" spans="1:12" ht="24.75" x14ac:dyDescent="0.25">
      <c r="A22" s="4" t="s">
        <v>3315</v>
      </c>
      <c r="B22" s="2" t="s">
        <v>3316</v>
      </c>
      <c r="C22" s="3">
        <v>1</v>
      </c>
      <c r="D22" s="5">
        <v>79</v>
      </c>
      <c r="E22" s="3">
        <v>10716840</v>
      </c>
      <c r="F22" s="2" t="s">
        <v>956</v>
      </c>
      <c r="G22" s="6" t="s">
        <v>58</v>
      </c>
      <c r="H22" s="2" t="s">
        <v>2154</v>
      </c>
      <c r="I22" s="2" t="s">
        <v>145</v>
      </c>
      <c r="J22" s="2" t="s">
        <v>19</v>
      </c>
      <c r="K22" s="2" t="s">
        <v>75</v>
      </c>
      <c r="L22" s="7" t="str">
        <f>HYPERLINK("http://slimages.macys.com/is/image/MCY/12671553 ")</f>
        <v xml:space="preserve">http://slimages.macys.com/is/image/MCY/12671553 </v>
      </c>
    </row>
    <row r="23" spans="1:12" ht="24.75" x14ac:dyDescent="0.25">
      <c r="A23" s="4" t="s">
        <v>3317</v>
      </c>
      <c r="B23" s="2" t="s">
        <v>153</v>
      </c>
      <c r="C23" s="3">
        <v>1</v>
      </c>
      <c r="D23" s="5">
        <v>79.5</v>
      </c>
      <c r="E23" s="3">
        <v>10719732</v>
      </c>
      <c r="F23" s="2" t="s">
        <v>33</v>
      </c>
      <c r="G23" s="6" t="s">
        <v>181</v>
      </c>
      <c r="H23" s="2" t="s">
        <v>17</v>
      </c>
      <c r="I23" s="2" t="s">
        <v>96</v>
      </c>
      <c r="J23" s="2" t="s">
        <v>19</v>
      </c>
      <c r="K23" s="2" t="s">
        <v>151</v>
      </c>
      <c r="L23" s="7" t="str">
        <f>HYPERLINK("http://slimages.macys.com/is/image/MCY/12794413 ")</f>
        <v xml:space="preserve">http://slimages.macys.com/is/image/MCY/12794413 </v>
      </c>
    </row>
    <row r="24" spans="1:12" ht="24.75" x14ac:dyDescent="0.25">
      <c r="A24" s="4" t="s">
        <v>3318</v>
      </c>
      <c r="B24" s="2" t="s">
        <v>2159</v>
      </c>
      <c r="C24" s="3">
        <v>1</v>
      </c>
      <c r="D24" s="5">
        <v>79.5</v>
      </c>
      <c r="E24" s="3">
        <v>10723364</v>
      </c>
      <c r="F24" s="2" t="s">
        <v>15</v>
      </c>
      <c r="G24" s="6" t="s">
        <v>22</v>
      </c>
      <c r="H24" s="2" t="s">
        <v>17</v>
      </c>
      <c r="I24" s="2" t="s">
        <v>96</v>
      </c>
      <c r="J24" s="2" t="s">
        <v>19</v>
      </c>
      <c r="K24" s="2" t="s">
        <v>338</v>
      </c>
      <c r="L24" s="7" t="str">
        <f>HYPERLINK("http://slimages.macys.com/is/image/MCY/11784614 ")</f>
        <v xml:space="preserve">http://slimages.macys.com/is/image/MCY/11784614 </v>
      </c>
    </row>
    <row r="25" spans="1:12" ht="24.75" x14ac:dyDescent="0.25">
      <c r="A25" s="4" t="s">
        <v>3319</v>
      </c>
      <c r="B25" s="2" t="s">
        <v>3320</v>
      </c>
      <c r="C25" s="3">
        <v>1</v>
      </c>
      <c r="D25" s="5">
        <v>74.63</v>
      </c>
      <c r="E25" s="3" t="s">
        <v>3321</v>
      </c>
      <c r="F25" s="2" t="s">
        <v>15</v>
      </c>
      <c r="G25" s="6" t="s">
        <v>154</v>
      </c>
      <c r="H25" s="2" t="s">
        <v>246</v>
      </c>
      <c r="I25" s="2" t="s">
        <v>2155</v>
      </c>
      <c r="J25" s="2" t="s">
        <v>19</v>
      </c>
      <c r="K25" s="2" t="s">
        <v>2156</v>
      </c>
      <c r="L25" s="7" t="str">
        <f>HYPERLINK("http://slimages.macys.com/is/image/MCY/12147560 ")</f>
        <v xml:space="preserve">http://slimages.macys.com/is/image/MCY/12147560 </v>
      </c>
    </row>
    <row r="26" spans="1:12" ht="24.75" x14ac:dyDescent="0.25">
      <c r="A26" s="4" t="s">
        <v>3322</v>
      </c>
      <c r="B26" s="2" t="s">
        <v>2162</v>
      </c>
      <c r="C26" s="3">
        <v>1</v>
      </c>
      <c r="D26" s="5">
        <v>79</v>
      </c>
      <c r="E26" s="3" t="s">
        <v>2163</v>
      </c>
      <c r="F26" s="2" t="s">
        <v>887</v>
      </c>
      <c r="G26" s="6" t="s">
        <v>65</v>
      </c>
      <c r="H26" s="2" t="s">
        <v>95</v>
      </c>
      <c r="I26" s="2" t="s">
        <v>2155</v>
      </c>
      <c r="J26" s="2" t="s">
        <v>19</v>
      </c>
      <c r="K26" s="2" t="s">
        <v>3323</v>
      </c>
      <c r="L26" s="7" t="str">
        <f>HYPERLINK("http://slimages.macys.com/is/image/MCY/11853430 ")</f>
        <v xml:space="preserve">http://slimages.macys.com/is/image/MCY/11853430 </v>
      </c>
    </row>
    <row r="27" spans="1:12" ht="24.75" x14ac:dyDescent="0.25">
      <c r="A27" s="4" t="s">
        <v>3324</v>
      </c>
      <c r="B27" s="2" t="s">
        <v>2162</v>
      </c>
      <c r="C27" s="3">
        <v>2</v>
      </c>
      <c r="D27" s="5">
        <v>79</v>
      </c>
      <c r="E27" s="3" t="s">
        <v>2163</v>
      </c>
      <c r="F27" s="2" t="s">
        <v>887</v>
      </c>
      <c r="G27" s="6" t="s">
        <v>141</v>
      </c>
      <c r="H27" s="2" t="s">
        <v>95</v>
      </c>
      <c r="I27" s="2" t="s">
        <v>121</v>
      </c>
      <c r="J27" s="2" t="s">
        <v>19</v>
      </c>
      <c r="K27" s="2" t="s">
        <v>34</v>
      </c>
      <c r="L27" s="7" t="str">
        <f>HYPERLINK("http://slimages.macys.com/is/image/MCY/10534487 ")</f>
        <v xml:space="preserve">http://slimages.macys.com/is/image/MCY/10534487 </v>
      </c>
    </row>
    <row r="28" spans="1:12" ht="24.75" x14ac:dyDescent="0.25">
      <c r="A28" s="4" t="s">
        <v>3325</v>
      </c>
      <c r="B28" s="2" t="s">
        <v>2162</v>
      </c>
      <c r="C28" s="3">
        <v>1</v>
      </c>
      <c r="D28" s="5">
        <v>79</v>
      </c>
      <c r="E28" s="3" t="s">
        <v>2163</v>
      </c>
      <c r="F28" s="2" t="s">
        <v>887</v>
      </c>
      <c r="G28" s="6" t="s">
        <v>22</v>
      </c>
      <c r="H28" s="2" t="s">
        <v>95</v>
      </c>
      <c r="I28" s="2" t="s">
        <v>121</v>
      </c>
      <c r="J28" s="2" t="s">
        <v>19</v>
      </c>
      <c r="K28" s="2" t="s">
        <v>34</v>
      </c>
      <c r="L28" s="7" t="str">
        <f>HYPERLINK("http://slimages.macys.com/is/image/MCY/12340424 ")</f>
        <v xml:space="preserve">http://slimages.macys.com/is/image/MCY/12340424 </v>
      </c>
    </row>
    <row r="29" spans="1:12" ht="24.75" x14ac:dyDescent="0.25">
      <c r="A29" s="4" t="s">
        <v>3326</v>
      </c>
      <c r="B29" s="2" t="s">
        <v>2162</v>
      </c>
      <c r="C29" s="3">
        <v>1</v>
      </c>
      <c r="D29" s="5">
        <v>79</v>
      </c>
      <c r="E29" s="3" t="s">
        <v>2163</v>
      </c>
      <c r="F29" s="2" t="s">
        <v>887</v>
      </c>
      <c r="G29" s="6" t="s">
        <v>106</v>
      </c>
      <c r="H29" s="2" t="s">
        <v>95</v>
      </c>
      <c r="I29" s="2" t="s">
        <v>189</v>
      </c>
      <c r="J29" s="2" t="s">
        <v>19</v>
      </c>
      <c r="K29" s="2" t="s">
        <v>263</v>
      </c>
      <c r="L29" s="7" t="str">
        <f>HYPERLINK("http://slimages.macys.com/is/image/MCY/15299282 ")</f>
        <v xml:space="preserve">http://slimages.macys.com/is/image/MCY/15299282 </v>
      </c>
    </row>
    <row r="30" spans="1:12" ht="24.75" x14ac:dyDescent="0.25">
      <c r="A30" s="4" t="s">
        <v>3327</v>
      </c>
      <c r="B30" s="2" t="s">
        <v>3328</v>
      </c>
      <c r="C30" s="3">
        <v>1</v>
      </c>
      <c r="D30" s="5">
        <v>69</v>
      </c>
      <c r="E30" s="3">
        <v>10717648</v>
      </c>
      <c r="F30" s="2" t="s">
        <v>15</v>
      </c>
      <c r="G30" s="6" t="s">
        <v>22</v>
      </c>
      <c r="H30" s="2" t="s">
        <v>2154</v>
      </c>
      <c r="I30" s="2" t="s">
        <v>96</v>
      </c>
      <c r="J30" s="2" t="s">
        <v>19</v>
      </c>
      <c r="K30" s="2" t="s">
        <v>97</v>
      </c>
      <c r="L30" s="7" t="str">
        <f>HYPERLINK("http://slimages.macys.com/is/image/MCY/11784599 ")</f>
        <v xml:space="preserve">http://slimages.macys.com/is/image/MCY/11784599 </v>
      </c>
    </row>
    <row r="31" spans="1:12" ht="24.75" x14ac:dyDescent="0.25">
      <c r="A31" s="4" t="s">
        <v>3329</v>
      </c>
      <c r="B31" s="2" t="s">
        <v>3330</v>
      </c>
      <c r="C31" s="3">
        <v>1</v>
      </c>
      <c r="D31" s="5">
        <v>99.5</v>
      </c>
      <c r="E31" s="3">
        <v>100062362</v>
      </c>
      <c r="F31" s="2" t="s">
        <v>64</v>
      </c>
      <c r="G31" s="6" t="s">
        <v>106</v>
      </c>
      <c r="H31" s="2" t="s">
        <v>386</v>
      </c>
      <c r="I31" s="2" t="s">
        <v>96</v>
      </c>
      <c r="J31" s="2" t="s">
        <v>19</v>
      </c>
      <c r="K31" s="2" t="s">
        <v>97</v>
      </c>
      <c r="L31" s="7" t="str">
        <f>HYPERLINK("http://slimages.macys.com/is/image/MCY/11784599 ")</f>
        <v xml:space="preserve">http://slimages.macys.com/is/image/MCY/11784599 </v>
      </c>
    </row>
    <row r="32" spans="1:12" ht="24.75" x14ac:dyDescent="0.25">
      <c r="A32" s="4" t="s">
        <v>3331</v>
      </c>
      <c r="B32" s="2" t="s">
        <v>3332</v>
      </c>
      <c r="C32" s="3">
        <v>1</v>
      </c>
      <c r="D32" s="5">
        <v>59.63</v>
      </c>
      <c r="E32" s="3">
        <v>100041774</v>
      </c>
      <c r="F32" s="2" t="s">
        <v>170</v>
      </c>
      <c r="G32" s="6" t="s">
        <v>181</v>
      </c>
      <c r="H32" s="2" t="s">
        <v>194</v>
      </c>
      <c r="I32" s="2" t="s">
        <v>96</v>
      </c>
      <c r="J32" s="2" t="s">
        <v>19</v>
      </c>
      <c r="K32" s="2" t="s">
        <v>97</v>
      </c>
      <c r="L32" s="7" t="str">
        <f>HYPERLINK("http://slimages.macys.com/is/image/MCY/11784599 ")</f>
        <v xml:space="preserve">http://slimages.macys.com/is/image/MCY/11784599 </v>
      </c>
    </row>
    <row r="33" spans="1:12" ht="24.75" x14ac:dyDescent="0.25">
      <c r="A33" s="4" t="s">
        <v>3333</v>
      </c>
      <c r="B33" s="2" t="s">
        <v>3334</v>
      </c>
      <c r="C33" s="3">
        <v>1</v>
      </c>
      <c r="D33" s="5">
        <v>67.5</v>
      </c>
      <c r="E33" s="3" t="s">
        <v>3335</v>
      </c>
      <c r="F33" s="2" t="s">
        <v>74</v>
      </c>
      <c r="G33" s="6"/>
      <c r="H33" s="2" t="s">
        <v>127</v>
      </c>
      <c r="I33" s="2" t="s">
        <v>96</v>
      </c>
      <c r="J33" s="2" t="s">
        <v>19</v>
      </c>
      <c r="K33" s="2" t="s">
        <v>97</v>
      </c>
      <c r="L33" s="7" t="str">
        <f>HYPERLINK("http://slimages.macys.com/is/image/MCY/11784599 ")</f>
        <v xml:space="preserve">http://slimages.macys.com/is/image/MCY/11784599 </v>
      </c>
    </row>
    <row r="34" spans="1:12" ht="36.75" x14ac:dyDescent="0.25">
      <c r="A34" s="4" t="s">
        <v>3336</v>
      </c>
      <c r="B34" s="2" t="s">
        <v>3334</v>
      </c>
      <c r="C34" s="3">
        <v>1</v>
      </c>
      <c r="D34" s="5">
        <v>67.5</v>
      </c>
      <c r="E34" s="3" t="s">
        <v>3335</v>
      </c>
      <c r="F34" s="2" t="s">
        <v>74</v>
      </c>
      <c r="G34" s="6" t="s">
        <v>187</v>
      </c>
      <c r="H34" s="2" t="s">
        <v>127</v>
      </c>
      <c r="I34" s="2" t="s">
        <v>2155</v>
      </c>
      <c r="J34" s="2" t="s">
        <v>19</v>
      </c>
      <c r="K34" s="2" t="s">
        <v>3337</v>
      </c>
      <c r="L34" s="7" t="str">
        <f>HYPERLINK("http://slimages.macys.com/is/image/MCY/11853587 ")</f>
        <v xml:space="preserve">http://slimages.macys.com/is/image/MCY/11853587 </v>
      </c>
    </row>
    <row r="35" spans="1:12" ht="24.75" x14ac:dyDescent="0.25">
      <c r="A35" s="4" t="s">
        <v>3338</v>
      </c>
      <c r="B35" s="2" t="s">
        <v>3334</v>
      </c>
      <c r="C35" s="3">
        <v>1</v>
      </c>
      <c r="D35" s="5">
        <v>67.5</v>
      </c>
      <c r="E35" s="3" t="s">
        <v>3335</v>
      </c>
      <c r="F35" s="2" t="s">
        <v>74</v>
      </c>
      <c r="G35" s="6"/>
      <c r="H35" s="2" t="s">
        <v>127</v>
      </c>
      <c r="I35" s="2" t="s">
        <v>207</v>
      </c>
      <c r="J35" s="2" t="s">
        <v>19</v>
      </c>
      <c r="K35" s="2" t="s">
        <v>338</v>
      </c>
      <c r="L35" s="7" t="str">
        <f>HYPERLINK("http://slimages.macys.com/is/image/MCY/12282881 ")</f>
        <v xml:space="preserve">http://slimages.macys.com/is/image/MCY/12282881 </v>
      </c>
    </row>
    <row r="36" spans="1:12" ht="24.75" x14ac:dyDescent="0.25">
      <c r="A36" s="4" t="s">
        <v>3339</v>
      </c>
      <c r="B36" s="2" t="s">
        <v>3334</v>
      </c>
      <c r="C36" s="3">
        <v>1</v>
      </c>
      <c r="D36" s="5">
        <v>67.5</v>
      </c>
      <c r="E36" s="3" t="s">
        <v>3335</v>
      </c>
      <c r="F36" s="2" t="s">
        <v>74</v>
      </c>
      <c r="G36" s="6"/>
      <c r="H36" s="2" t="s">
        <v>127</v>
      </c>
      <c r="I36" s="2" t="s">
        <v>195</v>
      </c>
      <c r="J36" s="2" t="s">
        <v>19</v>
      </c>
      <c r="K36" s="2" t="s">
        <v>3340</v>
      </c>
      <c r="L36" s="7" t="str">
        <f>HYPERLINK("http://slimages.macys.com/is/image/MCY/11028891 ")</f>
        <v xml:space="preserve">http://slimages.macys.com/is/image/MCY/11028891 </v>
      </c>
    </row>
    <row r="37" spans="1:12" ht="24.75" x14ac:dyDescent="0.25">
      <c r="A37" s="4" t="s">
        <v>3341</v>
      </c>
      <c r="B37" s="2" t="s">
        <v>2168</v>
      </c>
      <c r="C37" s="3">
        <v>1</v>
      </c>
      <c r="D37" s="5">
        <v>79.5</v>
      </c>
      <c r="E37" s="3" t="s">
        <v>2169</v>
      </c>
      <c r="F37" s="2" t="s">
        <v>752</v>
      </c>
      <c r="G37" s="6" t="s">
        <v>336</v>
      </c>
      <c r="H37" s="2" t="s">
        <v>127</v>
      </c>
      <c r="I37" s="2" t="s">
        <v>128</v>
      </c>
      <c r="J37" s="2" t="s">
        <v>19</v>
      </c>
      <c r="K37" s="2" t="s">
        <v>1480</v>
      </c>
      <c r="L37" s="7" t="str">
        <f>HYPERLINK("http://slimages.macys.com/is/image/MCY/11832694 ")</f>
        <v xml:space="preserve">http://slimages.macys.com/is/image/MCY/11832694 </v>
      </c>
    </row>
    <row r="38" spans="1:12" ht="24.75" x14ac:dyDescent="0.25">
      <c r="A38" s="4" t="s">
        <v>197</v>
      </c>
      <c r="B38" s="2" t="s">
        <v>198</v>
      </c>
      <c r="C38" s="3">
        <v>1</v>
      </c>
      <c r="D38" s="5">
        <v>52.13</v>
      </c>
      <c r="E38" s="3">
        <v>100054438</v>
      </c>
      <c r="F38" s="2" t="s">
        <v>199</v>
      </c>
      <c r="G38" s="6" t="s">
        <v>200</v>
      </c>
      <c r="H38" s="2" t="s">
        <v>194</v>
      </c>
      <c r="I38" s="2" t="s">
        <v>128</v>
      </c>
      <c r="J38" s="2" t="s">
        <v>19</v>
      </c>
      <c r="K38" s="2" t="s">
        <v>1480</v>
      </c>
      <c r="L38" s="7" t="str">
        <f>HYPERLINK("http://slimages.macys.com/is/image/MCY/11832694 ")</f>
        <v xml:space="preserve">http://slimages.macys.com/is/image/MCY/11832694 </v>
      </c>
    </row>
    <row r="39" spans="1:12" ht="24.75" x14ac:dyDescent="0.25">
      <c r="A39" s="4" t="s">
        <v>3342</v>
      </c>
      <c r="B39" s="2" t="s">
        <v>198</v>
      </c>
      <c r="C39" s="3">
        <v>1</v>
      </c>
      <c r="D39" s="5">
        <v>52.13</v>
      </c>
      <c r="E39" s="3">
        <v>100054438</v>
      </c>
      <c r="F39" s="2" t="s">
        <v>199</v>
      </c>
      <c r="G39" s="6" t="s">
        <v>181</v>
      </c>
      <c r="H39" s="2" t="s">
        <v>194</v>
      </c>
      <c r="I39" s="2" t="s">
        <v>128</v>
      </c>
      <c r="J39" s="2" t="s">
        <v>19</v>
      </c>
      <c r="K39" s="2" t="s">
        <v>1480</v>
      </c>
      <c r="L39" s="7" t="str">
        <f>HYPERLINK("http://slimages.macys.com/is/image/MCY/11832694 ")</f>
        <v xml:space="preserve">http://slimages.macys.com/is/image/MCY/11832694 </v>
      </c>
    </row>
    <row r="40" spans="1:12" ht="24.75" x14ac:dyDescent="0.25">
      <c r="A40" s="4" t="s">
        <v>3343</v>
      </c>
      <c r="B40" s="2" t="s">
        <v>198</v>
      </c>
      <c r="C40" s="3">
        <v>2</v>
      </c>
      <c r="D40" s="5">
        <v>52.13</v>
      </c>
      <c r="E40" s="3">
        <v>100054438</v>
      </c>
      <c r="F40" s="2" t="s">
        <v>199</v>
      </c>
      <c r="G40" s="6" t="s">
        <v>154</v>
      </c>
      <c r="H40" s="2" t="s">
        <v>194</v>
      </c>
      <c r="I40" s="2" t="s">
        <v>128</v>
      </c>
      <c r="J40" s="2" t="s">
        <v>19</v>
      </c>
      <c r="K40" s="2" t="s">
        <v>1480</v>
      </c>
      <c r="L40" s="7" t="str">
        <f>HYPERLINK("http://slimages.macys.com/is/image/MCY/11832694 ")</f>
        <v xml:space="preserve">http://slimages.macys.com/is/image/MCY/11832694 </v>
      </c>
    </row>
    <row r="41" spans="1:12" ht="24.75" x14ac:dyDescent="0.25">
      <c r="A41" s="4" t="s">
        <v>3344</v>
      </c>
      <c r="B41" s="2" t="s">
        <v>222</v>
      </c>
      <c r="C41" s="3">
        <v>1</v>
      </c>
      <c r="D41" s="5">
        <v>79.5</v>
      </c>
      <c r="E41" s="3" t="s">
        <v>223</v>
      </c>
      <c r="F41" s="2" t="s">
        <v>74</v>
      </c>
      <c r="G41" s="6" t="s">
        <v>165</v>
      </c>
      <c r="H41" s="2" t="s">
        <v>127</v>
      </c>
      <c r="I41" s="2" t="s">
        <v>128</v>
      </c>
      <c r="J41" s="2" t="s">
        <v>19</v>
      </c>
      <c r="K41" s="2" t="s">
        <v>160</v>
      </c>
      <c r="L41" s="7" t="str">
        <f>HYPERLINK("http://slimages.macys.com/is/image/MCY/14542718 ")</f>
        <v xml:space="preserve">http://slimages.macys.com/is/image/MCY/14542718 </v>
      </c>
    </row>
    <row r="42" spans="1:12" ht="24.75" x14ac:dyDescent="0.25">
      <c r="A42" s="4" t="s">
        <v>3345</v>
      </c>
      <c r="B42" s="2" t="s">
        <v>3346</v>
      </c>
      <c r="C42" s="3">
        <v>1</v>
      </c>
      <c r="D42" s="5">
        <v>52.13</v>
      </c>
      <c r="E42" s="3" t="s">
        <v>3347</v>
      </c>
      <c r="F42" s="2" t="s">
        <v>887</v>
      </c>
      <c r="G42" s="6" t="s">
        <v>154</v>
      </c>
      <c r="H42" s="2" t="s">
        <v>194</v>
      </c>
      <c r="I42" s="2" t="s">
        <v>195</v>
      </c>
      <c r="J42" s="2" t="s">
        <v>19</v>
      </c>
      <c r="K42" s="2" t="s">
        <v>201</v>
      </c>
      <c r="L42" s="7" t="str">
        <f>HYPERLINK("http://slimages.macys.com/is/image/MCY/12316594 ")</f>
        <v xml:space="preserve">http://slimages.macys.com/is/image/MCY/12316594 </v>
      </c>
    </row>
    <row r="43" spans="1:12" x14ac:dyDescent="0.25">
      <c r="A43" s="4" t="s">
        <v>2171</v>
      </c>
      <c r="B43" s="2" t="s">
        <v>178</v>
      </c>
      <c r="C43" s="3">
        <v>2</v>
      </c>
      <c r="D43" s="5">
        <v>55.65</v>
      </c>
      <c r="E43" s="3" t="s">
        <v>179</v>
      </c>
      <c r="F43" s="2" t="s">
        <v>74</v>
      </c>
      <c r="G43" s="6" t="s">
        <v>156</v>
      </c>
      <c r="H43" s="2" t="s">
        <v>182</v>
      </c>
      <c r="I43" s="2" t="s">
        <v>195</v>
      </c>
      <c r="J43" s="2" t="s">
        <v>19</v>
      </c>
      <c r="K43" s="2" t="s">
        <v>201</v>
      </c>
      <c r="L43" s="7" t="str">
        <f>HYPERLINK("http://slimages.macys.com/is/image/MCY/12316594 ")</f>
        <v xml:space="preserve">http://slimages.macys.com/is/image/MCY/12316594 </v>
      </c>
    </row>
    <row r="44" spans="1:12" x14ac:dyDescent="0.25">
      <c r="A44" s="4" t="s">
        <v>2170</v>
      </c>
      <c r="B44" s="2" t="s">
        <v>178</v>
      </c>
      <c r="C44" s="3">
        <v>1</v>
      </c>
      <c r="D44" s="5">
        <v>55.65</v>
      </c>
      <c r="E44" s="3" t="s">
        <v>179</v>
      </c>
      <c r="F44" s="2" t="s">
        <v>74</v>
      </c>
      <c r="G44" s="6" t="s">
        <v>154</v>
      </c>
      <c r="H44" s="2" t="s">
        <v>182</v>
      </c>
      <c r="I44" s="2" t="s">
        <v>195</v>
      </c>
      <c r="J44" s="2" t="s">
        <v>19</v>
      </c>
      <c r="K44" s="2" t="s">
        <v>201</v>
      </c>
      <c r="L44" s="7" t="str">
        <f>HYPERLINK("http://slimages.macys.com/is/image/MCY/12316594 ")</f>
        <v xml:space="preserve">http://slimages.macys.com/is/image/MCY/12316594 </v>
      </c>
    </row>
    <row r="45" spans="1:12" x14ac:dyDescent="0.25">
      <c r="A45" s="4" t="s">
        <v>233</v>
      </c>
      <c r="B45" s="2" t="s">
        <v>178</v>
      </c>
      <c r="C45" s="3">
        <v>2</v>
      </c>
      <c r="D45" s="5">
        <v>55.65</v>
      </c>
      <c r="E45" s="3" t="s">
        <v>179</v>
      </c>
      <c r="F45" s="2" t="s">
        <v>74</v>
      </c>
      <c r="G45" s="6" t="s">
        <v>234</v>
      </c>
      <c r="H45" s="2" t="s">
        <v>182</v>
      </c>
      <c r="I45" s="2" t="s">
        <v>128</v>
      </c>
      <c r="J45" s="2" t="s">
        <v>19</v>
      </c>
      <c r="K45" s="2" t="s">
        <v>34</v>
      </c>
      <c r="L45" s="7" t="str">
        <f>HYPERLINK("http://slimages.macys.com/is/image/MCY/13838292 ")</f>
        <v xml:space="preserve">http://slimages.macys.com/is/image/MCY/13838292 </v>
      </c>
    </row>
    <row r="46" spans="1:12" ht="24.75" x14ac:dyDescent="0.25">
      <c r="A46" s="4" t="s">
        <v>3348</v>
      </c>
      <c r="B46" s="2" t="s">
        <v>3349</v>
      </c>
      <c r="C46" s="3">
        <v>1</v>
      </c>
      <c r="D46" s="5">
        <v>51.75</v>
      </c>
      <c r="E46" s="3">
        <v>100049981</v>
      </c>
      <c r="F46" s="2" t="s">
        <v>111</v>
      </c>
      <c r="G46" s="6" t="s">
        <v>234</v>
      </c>
      <c r="H46" s="2" t="s">
        <v>228</v>
      </c>
      <c r="I46" s="2" t="s">
        <v>195</v>
      </c>
      <c r="J46" s="2" t="s">
        <v>19</v>
      </c>
      <c r="K46" s="2" t="s">
        <v>3350</v>
      </c>
      <c r="L46" s="7" t="str">
        <f>HYPERLINK("http://slimages.macys.com/is/image/MCY/12034735 ")</f>
        <v xml:space="preserve">http://slimages.macys.com/is/image/MCY/12034735 </v>
      </c>
    </row>
    <row r="47" spans="1:12" ht="24.75" x14ac:dyDescent="0.25">
      <c r="A47" s="4" t="s">
        <v>3351</v>
      </c>
      <c r="B47" s="2" t="s">
        <v>3349</v>
      </c>
      <c r="C47" s="3">
        <v>1</v>
      </c>
      <c r="D47" s="5">
        <v>51.75</v>
      </c>
      <c r="E47" s="3">
        <v>100049981</v>
      </c>
      <c r="F47" s="2" t="s">
        <v>111</v>
      </c>
      <c r="G47" s="6" t="s">
        <v>154</v>
      </c>
      <c r="H47" s="2" t="s">
        <v>228</v>
      </c>
      <c r="I47" s="2" t="s">
        <v>183</v>
      </c>
      <c r="J47" s="2" t="s">
        <v>19</v>
      </c>
      <c r="K47" s="2" t="s">
        <v>34</v>
      </c>
      <c r="L47" s="7" t="str">
        <f>HYPERLINK("http://slimages.macys.com/is/image/MCY/12935648 ")</f>
        <v xml:space="preserve">http://slimages.macys.com/is/image/MCY/12935648 </v>
      </c>
    </row>
    <row r="48" spans="1:12" ht="24.75" x14ac:dyDescent="0.25">
      <c r="A48" s="4" t="s">
        <v>254</v>
      </c>
      <c r="B48" s="2" t="s">
        <v>255</v>
      </c>
      <c r="C48" s="3">
        <v>1</v>
      </c>
      <c r="D48" s="5">
        <v>62.15</v>
      </c>
      <c r="E48" s="3" t="s">
        <v>256</v>
      </c>
      <c r="F48" s="2" t="s">
        <v>257</v>
      </c>
      <c r="G48" s="6" t="s">
        <v>234</v>
      </c>
      <c r="H48" s="2" t="s">
        <v>182</v>
      </c>
      <c r="I48" s="2" t="s">
        <v>183</v>
      </c>
      <c r="J48" s="2" t="s">
        <v>19</v>
      </c>
      <c r="K48" s="2" t="s">
        <v>34</v>
      </c>
      <c r="L48" s="7" t="str">
        <f>HYPERLINK("http://slimages.macys.com/is/image/MCY/12935648 ")</f>
        <v xml:space="preserve">http://slimages.macys.com/is/image/MCY/12935648 </v>
      </c>
    </row>
    <row r="49" spans="1:12" ht="24.75" x14ac:dyDescent="0.25">
      <c r="A49" s="4" t="s">
        <v>2183</v>
      </c>
      <c r="B49" s="2" t="s">
        <v>255</v>
      </c>
      <c r="C49" s="3">
        <v>2</v>
      </c>
      <c r="D49" s="5">
        <v>62.15</v>
      </c>
      <c r="E49" s="3" t="s">
        <v>256</v>
      </c>
      <c r="F49" s="2" t="s">
        <v>257</v>
      </c>
      <c r="G49" s="6" t="s">
        <v>156</v>
      </c>
      <c r="H49" s="2" t="s">
        <v>182</v>
      </c>
      <c r="I49" s="2" t="s">
        <v>183</v>
      </c>
      <c r="J49" s="2" t="s">
        <v>19</v>
      </c>
      <c r="K49" s="2" t="s">
        <v>34</v>
      </c>
      <c r="L49" s="7" t="str">
        <f>HYPERLINK("http://slimages.macys.com/is/image/MCY/12935648 ")</f>
        <v xml:space="preserve">http://slimages.macys.com/is/image/MCY/12935648 </v>
      </c>
    </row>
    <row r="50" spans="1:12" ht="84.75" x14ac:dyDescent="0.25">
      <c r="A50" s="4" t="s">
        <v>3352</v>
      </c>
      <c r="B50" s="2" t="s">
        <v>255</v>
      </c>
      <c r="C50" s="3">
        <v>1</v>
      </c>
      <c r="D50" s="5">
        <v>62.15</v>
      </c>
      <c r="E50" s="3" t="s">
        <v>256</v>
      </c>
      <c r="F50" s="2" t="s">
        <v>257</v>
      </c>
      <c r="G50" s="6" t="s">
        <v>200</v>
      </c>
      <c r="H50" s="2" t="s">
        <v>182</v>
      </c>
      <c r="I50" s="2" t="s">
        <v>229</v>
      </c>
      <c r="J50" s="2" t="s">
        <v>19</v>
      </c>
      <c r="K50" s="2" t="s">
        <v>3353</v>
      </c>
      <c r="L50" s="7" t="str">
        <f>HYPERLINK("http://slimages.macys.com/is/image/MCY/11937887 ")</f>
        <v xml:space="preserve">http://slimages.macys.com/is/image/MCY/11937887 </v>
      </c>
    </row>
    <row r="51" spans="1:12" ht="84.75" x14ac:dyDescent="0.25">
      <c r="A51" s="4" t="s">
        <v>3354</v>
      </c>
      <c r="B51" s="2" t="s">
        <v>3355</v>
      </c>
      <c r="C51" s="3">
        <v>1</v>
      </c>
      <c r="D51" s="5">
        <v>58.5</v>
      </c>
      <c r="E51" s="3" t="s">
        <v>3356</v>
      </c>
      <c r="F51" s="2" t="s">
        <v>64</v>
      </c>
      <c r="G51" s="6" t="s">
        <v>156</v>
      </c>
      <c r="H51" s="2" t="s">
        <v>246</v>
      </c>
      <c r="I51" s="2" t="s">
        <v>229</v>
      </c>
      <c r="J51" s="2" t="s">
        <v>19</v>
      </c>
      <c r="K51" s="2" t="s">
        <v>3353</v>
      </c>
      <c r="L51" s="7" t="str">
        <f>HYPERLINK("http://slimages.macys.com/is/image/MCY/11937887 ")</f>
        <v xml:space="preserve">http://slimages.macys.com/is/image/MCY/11937887 </v>
      </c>
    </row>
    <row r="52" spans="1:12" ht="24.75" x14ac:dyDescent="0.25">
      <c r="A52" s="4" t="s">
        <v>3357</v>
      </c>
      <c r="B52" s="2" t="s">
        <v>3358</v>
      </c>
      <c r="C52" s="3">
        <v>1</v>
      </c>
      <c r="D52" s="5">
        <v>52.13</v>
      </c>
      <c r="E52" s="3" t="s">
        <v>3359</v>
      </c>
      <c r="F52" s="2" t="s">
        <v>26</v>
      </c>
      <c r="G52" s="6" t="s">
        <v>154</v>
      </c>
      <c r="H52" s="2" t="s">
        <v>246</v>
      </c>
      <c r="I52" s="2" t="s">
        <v>183</v>
      </c>
      <c r="J52" s="2" t="s">
        <v>19</v>
      </c>
      <c r="K52" s="2" t="s">
        <v>258</v>
      </c>
      <c r="L52" s="7" t="str">
        <f>HYPERLINK("http://slimages.macys.com/is/image/MCY/12851794 ")</f>
        <v xml:space="preserve">http://slimages.macys.com/is/image/MCY/12851794 </v>
      </c>
    </row>
    <row r="53" spans="1:12" ht="24.75" x14ac:dyDescent="0.25">
      <c r="A53" s="4" t="s">
        <v>3360</v>
      </c>
      <c r="B53" s="2" t="s">
        <v>276</v>
      </c>
      <c r="C53" s="3">
        <v>1</v>
      </c>
      <c r="D53" s="5">
        <v>62.65</v>
      </c>
      <c r="E53" s="3" t="s">
        <v>277</v>
      </c>
      <c r="F53" s="2" t="s">
        <v>257</v>
      </c>
      <c r="G53" s="6" t="s">
        <v>200</v>
      </c>
      <c r="H53" s="2" t="s">
        <v>182</v>
      </c>
      <c r="I53" s="2" t="s">
        <v>183</v>
      </c>
      <c r="J53" s="2" t="s">
        <v>19</v>
      </c>
      <c r="K53" s="2" t="s">
        <v>258</v>
      </c>
      <c r="L53" s="7" t="str">
        <f>HYPERLINK("http://slimages.macys.com/is/image/MCY/12851794 ")</f>
        <v xml:space="preserve">http://slimages.macys.com/is/image/MCY/12851794 </v>
      </c>
    </row>
    <row r="54" spans="1:12" ht="24.75" x14ac:dyDescent="0.25">
      <c r="A54" s="4" t="s">
        <v>3361</v>
      </c>
      <c r="B54" s="2" t="s">
        <v>3362</v>
      </c>
      <c r="C54" s="3">
        <v>2</v>
      </c>
      <c r="D54" s="5">
        <v>62.65</v>
      </c>
      <c r="E54" s="3" t="s">
        <v>277</v>
      </c>
      <c r="F54" s="2" t="s">
        <v>57</v>
      </c>
      <c r="G54" s="6" t="s">
        <v>234</v>
      </c>
      <c r="H54" s="2" t="s">
        <v>182</v>
      </c>
      <c r="I54" s="2" t="s">
        <v>183</v>
      </c>
      <c r="J54" s="2" t="s">
        <v>19</v>
      </c>
      <c r="K54" s="2" t="s">
        <v>258</v>
      </c>
      <c r="L54" s="7" t="str">
        <f>HYPERLINK("http://slimages.macys.com/is/image/MCY/12851794 ")</f>
        <v xml:space="preserve">http://slimages.macys.com/is/image/MCY/12851794 </v>
      </c>
    </row>
    <row r="55" spans="1:12" ht="24.75" x14ac:dyDescent="0.25">
      <c r="A55" s="4" t="s">
        <v>2193</v>
      </c>
      <c r="B55" s="2" t="s">
        <v>276</v>
      </c>
      <c r="C55" s="3">
        <v>2</v>
      </c>
      <c r="D55" s="5">
        <v>62.65</v>
      </c>
      <c r="E55" s="3" t="s">
        <v>277</v>
      </c>
      <c r="F55" s="2" t="s">
        <v>257</v>
      </c>
      <c r="G55" s="6" t="s">
        <v>156</v>
      </c>
      <c r="H55" s="2" t="s">
        <v>182</v>
      </c>
      <c r="I55" s="2" t="s">
        <v>189</v>
      </c>
      <c r="J55" s="2" t="s">
        <v>19</v>
      </c>
      <c r="K55" s="2" t="s">
        <v>34</v>
      </c>
      <c r="L55" s="7" t="str">
        <f>HYPERLINK("http://slimages.macys.com/is/image/MCY/11420502 ")</f>
        <v xml:space="preserve">http://slimages.macys.com/is/image/MCY/11420502 </v>
      </c>
    </row>
    <row r="56" spans="1:12" ht="24.75" x14ac:dyDescent="0.25">
      <c r="A56" s="4" t="s">
        <v>3363</v>
      </c>
      <c r="B56" s="2" t="s">
        <v>279</v>
      </c>
      <c r="C56" s="3">
        <v>1</v>
      </c>
      <c r="D56" s="5">
        <v>69.5</v>
      </c>
      <c r="E56" s="3" t="s">
        <v>280</v>
      </c>
      <c r="F56" s="2" t="s">
        <v>70</v>
      </c>
      <c r="G56" s="6" t="s">
        <v>219</v>
      </c>
      <c r="H56" s="2" t="s">
        <v>127</v>
      </c>
      <c r="I56" s="2" t="s">
        <v>189</v>
      </c>
      <c r="J56" s="2" t="s">
        <v>19</v>
      </c>
      <c r="K56" s="2" t="s">
        <v>705</v>
      </c>
      <c r="L56" s="7" t="str">
        <f>HYPERLINK("http://slimages.macys.com/is/image/MCY/13300525 ")</f>
        <v xml:space="preserve">http://slimages.macys.com/is/image/MCY/13300525 </v>
      </c>
    </row>
    <row r="57" spans="1:12" ht="24.75" x14ac:dyDescent="0.25">
      <c r="A57" s="4" t="s">
        <v>3364</v>
      </c>
      <c r="B57" s="2" t="s">
        <v>3365</v>
      </c>
      <c r="C57" s="3">
        <v>1</v>
      </c>
      <c r="D57" s="5">
        <v>52.13</v>
      </c>
      <c r="E57" s="3" t="s">
        <v>3366</v>
      </c>
      <c r="F57" s="2" t="s">
        <v>64</v>
      </c>
      <c r="G57" s="6" t="s">
        <v>16</v>
      </c>
      <c r="H57" s="2" t="s">
        <v>246</v>
      </c>
      <c r="I57" s="2" t="s">
        <v>183</v>
      </c>
      <c r="J57" s="2" t="s">
        <v>19</v>
      </c>
      <c r="K57" s="2" t="s">
        <v>208</v>
      </c>
      <c r="L57" s="7" t="str">
        <f>HYPERLINK("http://slimages.macys.com/is/image/MCY/12670890 ")</f>
        <v xml:space="preserve">http://slimages.macys.com/is/image/MCY/12670890 </v>
      </c>
    </row>
    <row r="58" spans="1:12" ht="24.75" x14ac:dyDescent="0.25">
      <c r="A58" s="4" t="s">
        <v>3367</v>
      </c>
      <c r="B58" s="2" t="s">
        <v>282</v>
      </c>
      <c r="C58" s="3">
        <v>1</v>
      </c>
      <c r="D58" s="5">
        <v>44.63</v>
      </c>
      <c r="E58" s="3" t="s">
        <v>283</v>
      </c>
      <c r="F58" s="2" t="s">
        <v>111</v>
      </c>
      <c r="G58" s="6" t="s">
        <v>234</v>
      </c>
      <c r="H58" s="2" t="s">
        <v>284</v>
      </c>
      <c r="I58" s="2" t="s">
        <v>183</v>
      </c>
      <c r="J58" s="2" t="s">
        <v>19</v>
      </c>
      <c r="K58" s="2" t="s">
        <v>208</v>
      </c>
      <c r="L58" s="7" t="str">
        <f>HYPERLINK("http://slimages.macys.com/is/image/MCY/12343023 ")</f>
        <v xml:space="preserve">http://slimages.macys.com/is/image/MCY/12343023 </v>
      </c>
    </row>
    <row r="59" spans="1:12" ht="24.75" x14ac:dyDescent="0.25">
      <c r="A59" s="4" t="s">
        <v>292</v>
      </c>
      <c r="B59" s="2" t="s">
        <v>293</v>
      </c>
      <c r="C59" s="3">
        <v>2</v>
      </c>
      <c r="D59" s="5">
        <v>52.13</v>
      </c>
      <c r="E59" s="3" t="s">
        <v>294</v>
      </c>
      <c r="F59" s="2" t="s">
        <v>26</v>
      </c>
      <c r="G59" s="6" t="s">
        <v>154</v>
      </c>
      <c r="H59" s="2" t="s">
        <v>194</v>
      </c>
      <c r="I59" s="2" t="s">
        <v>183</v>
      </c>
      <c r="J59" s="2" t="s">
        <v>19</v>
      </c>
      <c r="K59" s="2" t="s">
        <v>208</v>
      </c>
      <c r="L59" s="7" t="str">
        <f>HYPERLINK("http://slimages.macys.com/is/image/MCY/12670890 ")</f>
        <v xml:space="preserve">http://slimages.macys.com/is/image/MCY/12670890 </v>
      </c>
    </row>
    <row r="60" spans="1:12" ht="24.75" x14ac:dyDescent="0.25">
      <c r="A60" s="4" t="s">
        <v>287</v>
      </c>
      <c r="B60" s="2" t="s">
        <v>288</v>
      </c>
      <c r="C60" s="3">
        <v>1</v>
      </c>
      <c r="D60" s="5">
        <v>52.13</v>
      </c>
      <c r="E60" s="3" t="s">
        <v>289</v>
      </c>
      <c r="F60" s="2" t="s">
        <v>74</v>
      </c>
      <c r="G60" s="6" t="s">
        <v>234</v>
      </c>
      <c r="H60" s="2" t="s">
        <v>194</v>
      </c>
      <c r="I60" s="2" t="s">
        <v>128</v>
      </c>
      <c r="J60" s="2" t="s">
        <v>19</v>
      </c>
      <c r="K60" s="2" t="s">
        <v>34</v>
      </c>
      <c r="L60" s="7" t="str">
        <f>HYPERLINK("http://slimages.macys.com/is/image/MCY/12549690 ")</f>
        <v xml:space="preserve">http://slimages.macys.com/is/image/MCY/12549690 </v>
      </c>
    </row>
    <row r="61" spans="1:12" ht="24.75" x14ac:dyDescent="0.25">
      <c r="A61" s="4" t="s">
        <v>290</v>
      </c>
      <c r="B61" s="2" t="s">
        <v>288</v>
      </c>
      <c r="C61" s="3">
        <v>2</v>
      </c>
      <c r="D61" s="5">
        <v>52.13</v>
      </c>
      <c r="E61" s="3" t="s">
        <v>289</v>
      </c>
      <c r="F61" s="2" t="s">
        <v>74</v>
      </c>
      <c r="G61" s="6" t="s">
        <v>181</v>
      </c>
      <c r="H61" s="2" t="s">
        <v>194</v>
      </c>
      <c r="I61" s="2" t="s">
        <v>189</v>
      </c>
      <c r="J61" s="2" t="s">
        <v>19</v>
      </c>
      <c r="K61" s="2" t="s">
        <v>361</v>
      </c>
      <c r="L61" s="7" t="str">
        <f>HYPERLINK("http://slimages.macys.com/is/image/MCY/12928947 ")</f>
        <v xml:space="preserve">http://slimages.macys.com/is/image/MCY/12928947 </v>
      </c>
    </row>
    <row r="62" spans="1:12" ht="24.75" x14ac:dyDescent="0.25">
      <c r="A62" s="4" t="s">
        <v>3368</v>
      </c>
      <c r="B62" s="2" t="s">
        <v>297</v>
      </c>
      <c r="C62" s="3">
        <v>1</v>
      </c>
      <c r="D62" s="5">
        <v>59.63</v>
      </c>
      <c r="E62" s="3" t="s">
        <v>3369</v>
      </c>
      <c r="F62" s="2" t="s">
        <v>74</v>
      </c>
      <c r="G62" s="6" t="s">
        <v>205</v>
      </c>
      <c r="H62" s="2" t="s">
        <v>188</v>
      </c>
      <c r="I62" s="2" t="s">
        <v>285</v>
      </c>
      <c r="J62" s="2" t="s">
        <v>19</v>
      </c>
      <c r="K62" s="2" t="s">
        <v>286</v>
      </c>
      <c r="L62" s="7" t="str">
        <f>HYPERLINK("http://slimages.macys.com/is/image/MCY/11859243 ")</f>
        <v xml:space="preserve">http://slimages.macys.com/is/image/MCY/11859243 </v>
      </c>
    </row>
    <row r="63" spans="1:12" ht="24.75" x14ac:dyDescent="0.25">
      <c r="A63" s="4" t="s">
        <v>3370</v>
      </c>
      <c r="B63" s="2" t="s">
        <v>2202</v>
      </c>
      <c r="C63" s="3">
        <v>1</v>
      </c>
      <c r="D63" s="5">
        <v>48.38</v>
      </c>
      <c r="E63" s="3" t="s">
        <v>2203</v>
      </c>
      <c r="F63" s="2" t="s">
        <v>26</v>
      </c>
      <c r="G63" s="6"/>
      <c r="H63" s="2" t="s">
        <v>349</v>
      </c>
      <c r="I63" s="2" t="s">
        <v>195</v>
      </c>
      <c r="J63" s="2" t="s">
        <v>19</v>
      </c>
      <c r="K63" s="2" t="s">
        <v>160</v>
      </c>
      <c r="L63" s="7" t="str">
        <f>HYPERLINK("http://slimages.macys.com/is/image/MCY/12143831 ")</f>
        <v xml:space="preserve">http://slimages.macys.com/is/image/MCY/12143831 </v>
      </c>
    </row>
    <row r="64" spans="1:12" ht="24.75" x14ac:dyDescent="0.25">
      <c r="A64" s="4" t="s">
        <v>304</v>
      </c>
      <c r="B64" s="2" t="s">
        <v>305</v>
      </c>
      <c r="C64" s="3">
        <v>1</v>
      </c>
      <c r="D64" s="5">
        <v>52.13</v>
      </c>
      <c r="E64" s="3" t="s">
        <v>306</v>
      </c>
      <c r="F64" s="2" t="s">
        <v>74</v>
      </c>
      <c r="G64" s="6" t="s">
        <v>200</v>
      </c>
      <c r="H64" s="2" t="s">
        <v>194</v>
      </c>
      <c r="I64" s="2" t="s">
        <v>195</v>
      </c>
      <c r="J64" s="2" t="s">
        <v>19</v>
      </c>
      <c r="K64" s="2" t="s">
        <v>247</v>
      </c>
      <c r="L64" s="7" t="str">
        <f>HYPERLINK("http://slimages.macys.com/is/image/MCY/12849982 ")</f>
        <v xml:space="preserve">http://slimages.macys.com/is/image/MCY/12849982 </v>
      </c>
    </row>
    <row r="65" spans="1:12" ht="24.75" x14ac:dyDescent="0.25">
      <c r="A65" s="4" t="s">
        <v>3371</v>
      </c>
      <c r="B65" s="2" t="s">
        <v>2211</v>
      </c>
      <c r="C65" s="3">
        <v>1</v>
      </c>
      <c r="D65" s="5">
        <v>59.5</v>
      </c>
      <c r="E65" s="3" t="s">
        <v>2212</v>
      </c>
      <c r="F65" s="2" t="s">
        <v>136</v>
      </c>
      <c r="G65" s="6" t="s">
        <v>205</v>
      </c>
      <c r="H65" s="2" t="s">
        <v>127</v>
      </c>
      <c r="I65" s="2" t="s">
        <v>195</v>
      </c>
      <c r="J65" s="2" t="s">
        <v>19</v>
      </c>
      <c r="K65" s="2" t="s">
        <v>247</v>
      </c>
      <c r="L65" s="7" t="str">
        <f>HYPERLINK("http://slimages.macys.com/is/image/MCY/12849982 ")</f>
        <v xml:space="preserve">http://slimages.macys.com/is/image/MCY/12849982 </v>
      </c>
    </row>
    <row r="66" spans="1:12" ht="24.75" x14ac:dyDescent="0.25">
      <c r="A66" s="4" t="s">
        <v>3372</v>
      </c>
      <c r="B66" s="2" t="s">
        <v>314</v>
      </c>
      <c r="C66" s="3">
        <v>1</v>
      </c>
      <c r="D66" s="5">
        <v>52.13</v>
      </c>
      <c r="E66" s="3" t="s">
        <v>315</v>
      </c>
      <c r="F66" s="2" t="s">
        <v>26</v>
      </c>
      <c r="G66" s="6" t="s">
        <v>16</v>
      </c>
      <c r="H66" s="2" t="s">
        <v>213</v>
      </c>
      <c r="I66" s="2" t="s">
        <v>189</v>
      </c>
      <c r="J66" s="2" t="s">
        <v>19</v>
      </c>
      <c r="K66" s="2" t="s">
        <v>34</v>
      </c>
      <c r="L66" s="7" t="str">
        <f>HYPERLINK("http://slimages.macys.com/is/image/MCY/11884459 ")</f>
        <v xml:space="preserve">http://slimages.macys.com/is/image/MCY/11884459 </v>
      </c>
    </row>
    <row r="67" spans="1:12" ht="24.75" x14ac:dyDescent="0.25">
      <c r="A67" s="4" t="s">
        <v>3373</v>
      </c>
      <c r="B67" s="2" t="s">
        <v>319</v>
      </c>
      <c r="C67" s="3">
        <v>1</v>
      </c>
      <c r="D67" s="5">
        <v>44.63</v>
      </c>
      <c r="E67" s="3" t="s">
        <v>320</v>
      </c>
      <c r="F67" s="2" t="s">
        <v>26</v>
      </c>
      <c r="G67" s="6" t="s">
        <v>234</v>
      </c>
      <c r="H67" s="2" t="s">
        <v>194</v>
      </c>
      <c r="I67" s="2" t="s">
        <v>285</v>
      </c>
      <c r="J67" s="2" t="s">
        <v>19</v>
      </c>
      <c r="K67" s="2" t="s">
        <v>2204</v>
      </c>
      <c r="L67" s="7" t="str">
        <f>HYPERLINK("http://slimages.macys.com/is/image/MCY/11859318 ")</f>
        <v xml:space="preserve">http://slimages.macys.com/is/image/MCY/11859318 </v>
      </c>
    </row>
    <row r="68" spans="1:12" ht="24.75" x14ac:dyDescent="0.25">
      <c r="A68" s="4" t="s">
        <v>2214</v>
      </c>
      <c r="B68" s="2" t="s">
        <v>319</v>
      </c>
      <c r="C68" s="3">
        <v>3</v>
      </c>
      <c r="D68" s="5">
        <v>44.63</v>
      </c>
      <c r="E68" s="3" t="s">
        <v>320</v>
      </c>
      <c r="F68" s="2" t="s">
        <v>26</v>
      </c>
      <c r="G68" s="6" t="s">
        <v>154</v>
      </c>
      <c r="H68" s="2" t="s">
        <v>194</v>
      </c>
      <c r="I68" s="2" t="s">
        <v>307</v>
      </c>
      <c r="J68" s="2" t="s">
        <v>19</v>
      </c>
      <c r="K68" s="2" t="s">
        <v>247</v>
      </c>
      <c r="L68" s="7" t="str">
        <f>HYPERLINK("http://slimages.macys.com/is/image/MCY/11937882 ")</f>
        <v xml:space="preserve">http://slimages.macys.com/is/image/MCY/11937882 </v>
      </c>
    </row>
    <row r="69" spans="1:12" ht="36.75" x14ac:dyDescent="0.25">
      <c r="A69" s="4" t="s">
        <v>3374</v>
      </c>
      <c r="B69" s="2" t="s">
        <v>3375</v>
      </c>
      <c r="C69" s="3">
        <v>1</v>
      </c>
      <c r="D69" s="5">
        <v>48.38</v>
      </c>
      <c r="E69" s="3" t="s">
        <v>3376</v>
      </c>
      <c r="F69" s="2" t="s">
        <v>15</v>
      </c>
      <c r="G69" s="6"/>
      <c r="H69" s="2" t="s">
        <v>349</v>
      </c>
      <c r="I69" s="2" t="s">
        <v>128</v>
      </c>
      <c r="J69" s="2" t="s">
        <v>19</v>
      </c>
      <c r="K69" s="2" t="s">
        <v>2213</v>
      </c>
      <c r="L69" s="7" t="str">
        <f>HYPERLINK("http://slimages.macys.com/is/image/MCY/11074772 ")</f>
        <v xml:space="preserve">http://slimages.macys.com/is/image/MCY/11074772 </v>
      </c>
    </row>
    <row r="70" spans="1:12" ht="24.75" x14ac:dyDescent="0.25">
      <c r="A70" s="4" t="s">
        <v>3377</v>
      </c>
      <c r="B70" s="2" t="s">
        <v>3375</v>
      </c>
      <c r="C70" s="3">
        <v>2</v>
      </c>
      <c r="D70" s="5">
        <v>48.38</v>
      </c>
      <c r="E70" s="3" t="s">
        <v>3376</v>
      </c>
      <c r="F70" s="2" t="s">
        <v>15</v>
      </c>
      <c r="G70" s="6" t="s">
        <v>2276</v>
      </c>
      <c r="H70" s="2" t="s">
        <v>349</v>
      </c>
      <c r="I70" s="2" t="s">
        <v>214</v>
      </c>
      <c r="J70" s="2" t="s">
        <v>19</v>
      </c>
      <c r="K70" s="2" t="s">
        <v>316</v>
      </c>
      <c r="L70" s="7" t="str">
        <f>HYPERLINK("http://slimages.macys.com/is/image/MCY/12402103 ")</f>
        <v xml:space="preserve">http://slimages.macys.com/is/image/MCY/12402103 </v>
      </c>
    </row>
    <row r="71" spans="1:12" ht="24.75" x14ac:dyDescent="0.25">
      <c r="A71" s="4" t="s">
        <v>3378</v>
      </c>
      <c r="B71" s="2" t="s">
        <v>3375</v>
      </c>
      <c r="C71" s="3">
        <v>1</v>
      </c>
      <c r="D71" s="5">
        <v>48.38</v>
      </c>
      <c r="E71" s="3" t="s">
        <v>3376</v>
      </c>
      <c r="F71" s="2" t="s">
        <v>15</v>
      </c>
      <c r="G71" s="6" t="s">
        <v>746</v>
      </c>
      <c r="H71" s="2" t="s">
        <v>349</v>
      </c>
      <c r="I71" s="2" t="s">
        <v>195</v>
      </c>
      <c r="J71" s="2" t="s">
        <v>19</v>
      </c>
      <c r="K71" s="2" t="s">
        <v>107</v>
      </c>
      <c r="L71" s="7" t="str">
        <f>HYPERLINK("http://slimages.macys.com/is/image/MCY/12794080 ")</f>
        <v xml:space="preserve">http://slimages.macys.com/is/image/MCY/12794080 </v>
      </c>
    </row>
    <row r="72" spans="1:12" ht="24.75" x14ac:dyDescent="0.25">
      <c r="A72" s="4" t="s">
        <v>3379</v>
      </c>
      <c r="B72" s="2" t="s">
        <v>325</v>
      </c>
      <c r="C72" s="3">
        <v>2</v>
      </c>
      <c r="D72" s="5">
        <v>52.13</v>
      </c>
      <c r="E72" s="3" t="s">
        <v>326</v>
      </c>
      <c r="F72" s="2" t="s">
        <v>74</v>
      </c>
      <c r="G72" s="6"/>
      <c r="H72" s="2" t="s">
        <v>312</v>
      </c>
      <c r="I72" s="2" t="s">
        <v>195</v>
      </c>
      <c r="J72" s="2" t="s">
        <v>19</v>
      </c>
      <c r="K72" s="2" t="s">
        <v>107</v>
      </c>
      <c r="L72" s="7" t="str">
        <f>HYPERLINK("http://slimages.macys.com/is/image/MCY/12794080 ")</f>
        <v xml:space="preserve">http://slimages.macys.com/is/image/MCY/12794080 </v>
      </c>
    </row>
    <row r="73" spans="1:12" ht="36.75" x14ac:dyDescent="0.25">
      <c r="A73" s="4" t="s">
        <v>3380</v>
      </c>
      <c r="B73" s="2" t="s">
        <v>340</v>
      </c>
      <c r="C73" s="3">
        <v>1</v>
      </c>
      <c r="D73" s="5">
        <v>44.63</v>
      </c>
      <c r="E73" s="3" t="s">
        <v>341</v>
      </c>
      <c r="F73" s="2" t="s">
        <v>15</v>
      </c>
      <c r="G73" s="6" t="s">
        <v>234</v>
      </c>
      <c r="H73" s="2" t="s">
        <v>194</v>
      </c>
      <c r="I73" s="2" t="s">
        <v>285</v>
      </c>
      <c r="J73" s="2" t="s">
        <v>19</v>
      </c>
      <c r="K73" s="2" t="s">
        <v>274</v>
      </c>
      <c r="L73" s="7" t="str">
        <f>HYPERLINK("http://slimages.macys.com/is/image/MCY/11644713 ")</f>
        <v xml:space="preserve">http://slimages.macys.com/is/image/MCY/11644713 </v>
      </c>
    </row>
    <row r="74" spans="1:12" ht="36.75" x14ac:dyDescent="0.25">
      <c r="A74" s="4" t="s">
        <v>3381</v>
      </c>
      <c r="B74" s="2" t="s">
        <v>340</v>
      </c>
      <c r="C74" s="3">
        <v>1</v>
      </c>
      <c r="D74" s="5">
        <v>44.63</v>
      </c>
      <c r="E74" s="3" t="s">
        <v>341</v>
      </c>
      <c r="F74" s="2" t="s">
        <v>15</v>
      </c>
      <c r="G74" s="6" t="s">
        <v>181</v>
      </c>
      <c r="H74" s="2" t="s">
        <v>194</v>
      </c>
      <c r="I74" s="2" t="s">
        <v>285</v>
      </c>
      <c r="J74" s="2" t="s">
        <v>19</v>
      </c>
      <c r="K74" s="2" t="s">
        <v>274</v>
      </c>
      <c r="L74" s="7" t="str">
        <f>HYPERLINK("http://slimages.macys.com/is/image/MCY/11644713 ")</f>
        <v xml:space="preserve">http://slimages.macys.com/is/image/MCY/11644713 </v>
      </c>
    </row>
    <row r="75" spans="1:12" ht="36.75" x14ac:dyDescent="0.25">
      <c r="A75" s="4" t="s">
        <v>354</v>
      </c>
      <c r="B75" s="2" t="s">
        <v>355</v>
      </c>
      <c r="C75" s="3">
        <v>2</v>
      </c>
      <c r="D75" s="5">
        <v>48</v>
      </c>
      <c r="E75" s="3">
        <v>100053387</v>
      </c>
      <c r="F75" s="2" t="s">
        <v>111</v>
      </c>
      <c r="G75" s="6" t="s">
        <v>27</v>
      </c>
      <c r="H75" s="2" t="s">
        <v>228</v>
      </c>
      <c r="I75" s="2" t="s">
        <v>285</v>
      </c>
      <c r="J75" s="2" t="s">
        <v>19</v>
      </c>
      <c r="K75" s="2" t="s">
        <v>274</v>
      </c>
      <c r="L75" s="7" t="str">
        <f>HYPERLINK("http://slimages.macys.com/is/image/MCY/11644713 ")</f>
        <v xml:space="preserve">http://slimages.macys.com/is/image/MCY/11644713 </v>
      </c>
    </row>
    <row r="76" spans="1:12" ht="24.75" x14ac:dyDescent="0.25">
      <c r="A76" s="4" t="s">
        <v>3382</v>
      </c>
      <c r="B76" s="2" t="s">
        <v>359</v>
      </c>
      <c r="C76" s="3">
        <v>1</v>
      </c>
      <c r="D76" s="5">
        <v>59.5</v>
      </c>
      <c r="E76" s="3" t="s">
        <v>360</v>
      </c>
      <c r="F76" s="2" t="s">
        <v>26</v>
      </c>
      <c r="G76" s="6" t="s">
        <v>126</v>
      </c>
      <c r="H76" s="2" t="s">
        <v>127</v>
      </c>
      <c r="I76" s="2" t="s">
        <v>307</v>
      </c>
      <c r="J76" s="2" t="s">
        <v>19</v>
      </c>
      <c r="K76" s="2" t="s">
        <v>327</v>
      </c>
      <c r="L76" s="7" t="str">
        <f>HYPERLINK("http://slimages.macys.com/is/image/MCY/9484121 ")</f>
        <v xml:space="preserve">http://slimages.macys.com/is/image/MCY/9484121 </v>
      </c>
    </row>
    <row r="77" spans="1:12" x14ac:dyDescent="0.25">
      <c r="A77" s="4" t="s">
        <v>3383</v>
      </c>
      <c r="B77" s="2" t="s">
        <v>2248</v>
      </c>
      <c r="C77" s="3">
        <v>1</v>
      </c>
      <c r="D77" s="5">
        <v>43.5</v>
      </c>
      <c r="E77" s="3" t="s">
        <v>3384</v>
      </c>
      <c r="F77" s="2" t="s">
        <v>64</v>
      </c>
      <c r="G77" s="6" t="s">
        <v>3385</v>
      </c>
      <c r="H77" s="2" t="s">
        <v>349</v>
      </c>
      <c r="I77" s="2" t="s">
        <v>195</v>
      </c>
      <c r="J77" s="2" t="s">
        <v>19</v>
      </c>
      <c r="K77" s="2" t="s">
        <v>201</v>
      </c>
      <c r="L77" s="7" t="str">
        <f>HYPERLINK("http://slimages.macys.com/is/image/MCY/12794062 ")</f>
        <v xml:space="preserve">http://slimages.macys.com/is/image/MCY/12794062 </v>
      </c>
    </row>
    <row r="78" spans="1:12" x14ac:dyDescent="0.25">
      <c r="A78" s="4" t="s">
        <v>3386</v>
      </c>
      <c r="B78" s="2" t="s">
        <v>2248</v>
      </c>
      <c r="C78" s="3">
        <v>1</v>
      </c>
      <c r="D78" s="5">
        <v>44.63</v>
      </c>
      <c r="E78" s="3" t="s">
        <v>2249</v>
      </c>
      <c r="F78" s="2" t="s">
        <v>38</v>
      </c>
      <c r="G78" s="6" t="s">
        <v>3385</v>
      </c>
      <c r="H78" s="2" t="s">
        <v>349</v>
      </c>
      <c r="I78" s="2" t="s">
        <v>195</v>
      </c>
      <c r="J78" s="2" t="s">
        <v>19</v>
      </c>
      <c r="K78" s="2" t="s">
        <v>201</v>
      </c>
      <c r="L78" s="7" t="str">
        <f>HYPERLINK("http://slimages.macys.com/is/image/MCY/12794062 ")</f>
        <v xml:space="preserve">http://slimages.macys.com/is/image/MCY/12794062 </v>
      </c>
    </row>
    <row r="79" spans="1:12" ht="24.75" x14ac:dyDescent="0.25">
      <c r="A79" s="4" t="s">
        <v>370</v>
      </c>
      <c r="B79" s="2" t="s">
        <v>371</v>
      </c>
      <c r="C79" s="3">
        <v>1</v>
      </c>
      <c r="D79" s="5">
        <v>44.5</v>
      </c>
      <c r="E79" s="3" t="s">
        <v>372</v>
      </c>
      <c r="F79" s="2" t="s">
        <v>111</v>
      </c>
      <c r="G79" s="6" t="s">
        <v>181</v>
      </c>
      <c r="H79" s="2" t="s">
        <v>194</v>
      </c>
      <c r="I79" s="2" t="s">
        <v>229</v>
      </c>
      <c r="J79" s="2" t="s">
        <v>19</v>
      </c>
      <c r="K79" s="2" t="s">
        <v>338</v>
      </c>
      <c r="L79" s="7" t="str">
        <f>HYPERLINK("http://slimages.macys.com/is/image/MCY/13829477 ")</f>
        <v xml:space="preserve">http://slimages.macys.com/is/image/MCY/13829477 </v>
      </c>
    </row>
    <row r="80" spans="1:12" ht="24.75" x14ac:dyDescent="0.25">
      <c r="A80" s="4" t="s">
        <v>2251</v>
      </c>
      <c r="B80" s="2" t="s">
        <v>2252</v>
      </c>
      <c r="C80" s="3">
        <v>1</v>
      </c>
      <c r="D80" s="5">
        <v>48</v>
      </c>
      <c r="E80" s="3">
        <v>100050014</v>
      </c>
      <c r="F80" s="2" t="s">
        <v>111</v>
      </c>
      <c r="G80" s="6" t="s">
        <v>22</v>
      </c>
      <c r="H80" s="2" t="s">
        <v>228</v>
      </c>
      <c r="I80" s="2" t="s">
        <v>128</v>
      </c>
      <c r="J80" s="2" t="s">
        <v>19</v>
      </c>
      <c r="K80" s="2" t="s">
        <v>361</v>
      </c>
      <c r="L80" s="7" t="str">
        <f>HYPERLINK("http://slimages.macys.com/is/image/MCY/10890960 ")</f>
        <v xml:space="preserve">http://slimages.macys.com/is/image/MCY/10890960 </v>
      </c>
    </row>
    <row r="81" spans="1:12" ht="36.75" x14ac:dyDescent="0.25">
      <c r="A81" s="4" t="s">
        <v>3387</v>
      </c>
      <c r="B81" s="2" t="s">
        <v>2252</v>
      </c>
      <c r="C81" s="3">
        <v>1</v>
      </c>
      <c r="D81" s="5">
        <v>48</v>
      </c>
      <c r="E81" s="3">
        <v>100050014</v>
      </c>
      <c r="F81" s="2" t="s">
        <v>111</v>
      </c>
      <c r="G81" s="6" t="s">
        <v>65</v>
      </c>
      <c r="H81" s="2" t="s">
        <v>228</v>
      </c>
      <c r="I81" s="2" t="s">
        <v>408</v>
      </c>
      <c r="J81" s="2" t="s">
        <v>19</v>
      </c>
      <c r="K81" s="2" t="s">
        <v>500</v>
      </c>
      <c r="L81" s="7" t="str">
        <f>HYPERLINK("http://slimages.macys.com/is/image/MCY/9468308 ")</f>
        <v xml:space="preserve">http://slimages.macys.com/is/image/MCY/9468308 </v>
      </c>
    </row>
    <row r="82" spans="1:12" ht="36.75" x14ac:dyDescent="0.25">
      <c r="A82" s="4" t="s">
        <v>3388</v>
      </c>
      <c r="B82" s="2" t="s">
        <v>2252</v>
      </c>
      <c r="C82" s="3">
        <v>1</v>
      </c>
      <c r="D82" s="5">
        <v>48</v>
      </c>
      <c r="E82" s="3">
        <v>100050014</v>
      </c>
      <c r="F82" s="2" t="s">
        <v>111</v>
      </c>
      <c r="G82" s="6" t="s">
        <v>141</v>
      </c>
      <c r="H82" s="2" t="s">
        <v>228</v>
      </c>
      <c r="I82" s="2" t="s">
        <v>408</v>
      </c>
      <c r="J82" s="2" t="s">
        <v>19</v>
      </c>
      <c r="K82" s="2" t="s">
        <v>500</v>
      </c>
      <c r="L82" s="7" t="str">
        <f>HYPERLINK("http://slimages.macys.com/is/image/MCY/9468308 ")</f>
        <v xml:space="preserve">http://slimages.macys.com/is/image/MCY/9468308 </v>
      </c>
    </row>
    <row r="83" spans="1:12" ht="24.75" x14ac:dyDescent="0.25">
      <c r="A83" s="4" t="s">
        <v>3389</v>
      </c>
      <c r="B83" s="2" t="s">
        <v>3390</v>
      </c>
      <c r="C83" s="3">
        <v>1</v>
      </c>
      <c r="D83" s="5">
        <v>52.13</v>
      </c>
      <c r="E83" s="3" t="s">
        <v>3391</v>
      </c>
      <c r="F83" s="2" t="s">
        <v>15</v>
      </c>
      <c r="G83" s="6" t="s">
        <v>200</v>
      </c>
      <c r="H83" s="2" t="s">
        <v>246</v>
      </c>
      <c r="I83" s="2" t="s">
        <v>195</v>
      </c>
      <c r="J83" s="2" t="s">
        <v>19</v>
      </c>
      <c r="K83" s="2" t="s">
        <v>107</v>
      </c>
      <c r="L83" s="7" t="str">
        <f>HYPERLINK("http://slimages.macys.com/is/image/MCY/12279939 ")</f>
        <v xml:space="preserve">http://slimages.macys.com/is/image/MCY/12279939 </v>
      </c>
    </row>
    <row r="84" spans="1:12" ht="24.75" x14ac:dyDescent="0.25">
      <c r="A84" s="4" t="s">
        <v>3392</v>
      </c>
      <c r="B84" s="2" t="s">
        <v>3393</v>
      </c>
      <c r="C84" s="3">
        <v>1</v>
      </c>
      <c r="D84" s="5">
        <v>48.38</v>
      </c>
      <c r="E84" s="3" t="s">
        <v>3394</v>
      </c>
      <c r="F84" s="2" t="s">
        <v>252</v>
      </c>
      <c r="G84" s="6" t="s">
        <v>58</v>
      </c>
      <c r="H84" s="2" t="s">
        <v>213</v>
      </c>
      <c r="I84" s="2" t="s">
        <v>229</v>
      </c>
      <c r="J84" s="2" t="s">
        <v>19</v>
      </c>
      <c r="K84" s="2" t="s">
        <v>387</v>
      </c>
      <c r="L84" s="7" t="str">
        <f>HYPERLINK("http://slimages.macys.com/is/image/MCY/11804490 ")</f>
        <v xml:space="preserve">http://slimages.macys.com/is/image/MCY/11804490 </v>
      </c>
    </row>
    <row r="85" spans="1:12" ht="24.75" x14ac:dyDescent="0.25">
      <c r="A85" s="4" t="s">
        <v>3395</v>
      </c>
      <c r="B85" s="2" t="s">
        <v>390</v>
      </c>
      <c r="C85" s="3">
        <v>1</v>
      </c>
      <c r="D85" s="5">
        <v>69.5</v>
      </c>
      <c r="E85" s="3">
        <v>100055524</v>
      </c>
      <c r="F85" s="2" t="s">
        <v>64</v>
      </c>
      <c r="G85" s="6" t="s">
        <v>16</v>
      </c>
      <c r="H85" s="2" t="s">
        <v>386</v>
      </c>
      <c r="I85" s="2" t="s">
        <v>229</v>
      </c>
      <c r="J85" s="2" t="s">
        <v>19</v>
      </c>
      <c r="K85" s="2" t="s">
        <v>387</v>
      </c>
      <c r="L85" s="7" t="str">
        <f>HYPERLINK("http://slimages.macys.com/is/image/MCY/11804490 ")</f>
        <v xml:space="preserve">http://slimages.macys.com/is/image/MCY/11804490 </v>
      </c>
    </row>
    <row r="86" spans="1:12" ht="24.75" x14ac:dyDescent="0.25">
      <c r="A86" s="4" t="s">
        <v>3396</v>
      </c>
      <c r="B86" s="2" t="s">
        <v>3397</v>
      </c>
      <c r="C86" s="3">
        <v>1</v>
      </c>
      <c r="D86" s="5">
        <v>48.65</v>
      </c>
      <c r="E86" s="3" t="s">
        <v>3398</v>
      </c>
      <c r="F86" s="2" t="s">
        <v>676</v>
      </c>
      <c r="G86" s="6" t="s">
        <v>245</v>
      </c>
      <c r="H86" s="2" t="s">
        <v>182</v>
      </c>
      <c r="I86" s="2" t="s">
        <v>229</v>
      </c>
      <c r="J86" s="2" t="s">
        <v>19</v>
      </c>
      <c r="K86" s="2" t="s">
        <v>387</v>
      </c>
      <c r="L86" s="7" t="str">
        <f>HYPERLINK("http://slimages.macys.com/is/image/MCY/11804490 ")</f>
        <v xml:space="preserve">http://slimages.macys.com/is/image/MCY/11804490 </v>
      </c>
    </row>
    <row r="87" spans="1:12" ht="24.75" x14ac:dyDescent="0.25">
      <c r="A87" s="4" t="s">
        <v>3399</v>
      </c>
      <c r="B87" s="2" t="s">
        <v>3400</v>
      </c>
      <c r="C87" s="3">
        <v>1</v>
      </c>
      <c r="D87" s="5">
        <v>48</v>
      </c>
      <c r="E87" s="3">
        <v>1516</v>
      </c>
      <c r="F87" s="2" t="s">
        <v>15</v>
      </c>
      <c r="G87" s="6" t="s">
        <v>3401</v>
      </c>
      <c r="H87" s="2" t="s">
        <v>3402</v>
      </c>
      <c r="I87" s="2" t="s">
        <v>189</v>
      </c>
      <c r="J87" s="2" t="s">
        <v>19</v>
      </c>
      <c r="K87" s="2" t="s">
        <v>353</v>
      </c>
      <c r="L87" s="7" t="str">
        <f>HYPERLINK("http://slimages.macys.com/is/image/MCY/11380568 ")</f>
        <v xml:space="preserve">http://slimages.macys.com/is/image/MCY/11380568 </v>
      </c>
    </row>
    <row r="88" spans="1:12" ht="24.75" x14ac:dyDescent="0.25">
      <c r="A88" s="4" t="s">
        <v>3403</v>
      </c>
      <c r="B88" s="2" t="s">
        <v>2268</v>
      </c>
      <c r="C88" s="3">
        <v>1</v>
      </c>
      <c r="D88" s="5">
        <v>44.63</v>
      </c>
      <c r="E88" s="3" t="s">
        <v>2269</v>
      </c>
      <c r="F88" s="2" t="s">
        <v>94</v>
      </c>
      <c r="G88" s="6"/>
      <c r="H88" s="2" t="s">
        <v>349</v>
      </c>
      <c r="I88" s="2" t="s">
        <v>214</v>
      </c>
      <c r="J88" s="2" t="s">
        <v>19</v>
      </c>
      <c r="K88" s="2" t="s">
        <v>353</v>
      </c>
      <c r="L88" s="7" t="str">
        <f>HYPERLINK("http://slimages.macys.com/is/image/MCY/11503421 ")</f>
        <v xml:space="preserve">http://slimages.macys.com/is/image/MCY/11503421 </v>
      </c>
    </row>
    <row r="89" spans="1:12" ht="24.75" x14ac:dyDescent="0.25">
      <c r="A89" s="4" t="s">
        <v>3404</v>
      </c>
      <c r="B89" s="2" t="s">
        <v>3405</v>
      </c>
      <c r="C89" s="3">
        <v>2</v>
      </c>
      <c r="D89" s="5">
        <v>44.5</v>
      </c>
      <c r="E89" s="3" t="s">
        <v>3406</v>
      </c>
      <c r="F89" s="2" t="s">
        <v>252</v>
      </c>
      <c r="G89" s="6" t="s">
        <v>181</v>
      </c>
      <c r="H89" s="2" t="s">
        <v>194</v>
      </c>
      <c r="I89" s="2" t="s">
        <v>391</v>
      </c>
      <c r="J89" s="2" t="s">
        <v>19</v>
      </c>
      <c r="K89" s="2" t="s">
        <v>392</v>
      </c>
      <c r="L89" s="7" t="str">
        <f>HYPERLINK("http://slimages.macys.com/is/image/MCY/11535527 ")</f>
        <v xml:space="preserve">http://slimages.macys.com/is/image/MCY/11535527 </v>
      </c>
    </row>
    <row r="90" spans="1:12" ht="24.75" x14ac:dyDescent="0.25">
      <c r="A90" s="4" t="s">
        <v>3407</v>
      </c>
      <c r="B90" s="2" t="s">
        <v>420</v>
      </c>
      <c r="C90" s="3">
        <v>1</v>
      </c>
      <c r="D90" s="5">
        <v>47.5</v>
      </c>
      <c r="E90" s="3" t="s">
        <v>451</v>
      </c>
      <c r="F90" s="2" t="s">
        <v>170</v>
      </c>
      <c r="G90" s="6" t="s">
        <v>181</v>
      </c>
      <c r="H90" s="2" t="s">
        <v>246</v>
      </c>
      <c r="I90" s="2" t="s">
        <v>183</v>
      </c>
      <c r="J90" s="2" t="s">
        <v>19</v>
      </c>
      <c r="K90" s="2" t="s">
        <v>3408</v>
      </c>
      <c r="L90" s="7" t="str">
        <f>HYPERLINK("http://slimages.macys.com/is/image/MCY/15692463 ")</f>
        <v xml:space="preserve">http://slimages.macys.com/is/image/MCY/15692463 </v>
      </c>
    </row>
    <row r="91" spans="1:12" ht="24.75" x14ac:dyDescent="0.25">
      <c r="A91" s="4" t="s">
        <v>2273</v>
      </c>
      <c r="B91" s="2" t="s">
        <v>453</v>
      </c>
      <c r="C91" s="3">
        <v>1</v>
      </c>
      <c r="D91" s="5">
        <v>44.63</v>
      </c>
      <c r="E91" s="3" t="s">
        <v>454</v>
      </c>
      <c r="F91" s="2" t="s">
        <v>74</v>
      </c>
      <c r="G91" s="6" t="s">
        <v>746</v>
      </c>
      <c r="H91" s="2" t="s">
        <v>349</v>
      </c>
      <c r="I91" s="2" t="s">
        <v>3409</v>
      </c>
      <c r="J91" s="2" t="s">
        <v>19</v>
      </c>
      <c r="K91" s="2" t="s">
        <v>409</v>
      </c>
      <c r="L91" s="7" t="str">
        <f>HYPERLINK("http://slimages.macys.com/is/image/MCY/8078280 ")</f>
        <v xml:space="preserve">http://slimages.macys.com/is/image/MCY/8078280 </v>
      </c>
    </row>
    <row r="92" spans="1:12" ht="24.75" x14ac:dyDescent="0.25">
      <c r="A92" s="4" t="s">
        <v>3410</v>
      </c>
      <c r="B92" s="2" t="s">
        <v>461</v>
      </c>
      <c r="C92" s="3">
        <v>2</v>
      </c>
      <c r="D92" s="5">
        <v>59.5</v>
      </c>
      <c r="E92" s="3" t="s">
        <v>462</v>
      </c>
      <c r="F92" s="2" t="s">
        <v>464</v>
      </c>
      <c r="G92" s="6"/>
      <c r="H92" s="2" t="s">
        <v>127</v>
      </c>
      <c r="I92" s="2" t="s">
        <v>285</v>
      </c>
      <c r="J92" s="2" t="s">
        <v>19</v>
      </c>
      <c r="K92" s="2" t="s">
        <v>160</v>
      </c>
      <c r="L92" s="7" t="str">
        <f>HYPERLINK("http://slimages.macys.com/is/image/MCY/13039993 ")</f>
        <v xml:space="preserve">http://slimages.macys.com/is/image/MCY/13039993 </v>
      </c>
    </row>
    <row r="93" spans="1:12" ht="24.75" x14ac:dyDescent="0.25">
      <c r="A93" s="4" t="s">
        <v>455</v>
      </c>
      <c r="B93" s="2" t="s">
        <v>456</v>
      </c>
      <c r="C93" s="3">
        <v>2</v>
      </c>
      <c r="D93" s="5">
        <v>44.63</v>
      </c>
      <c r="E93" s="3" t="s">
        <v>457</v>
      </c>
      <c r="F93" s="2" t="s">
        <v>26</v>
      </c>
      <c r="G93" s="6" t="s">
        <v>348</v>
      </c>
      <c r="H93" s="2" t="s">
        <v>349</v>
      </c>
      <c r="I93" s="2" t="s">
        <v>195</v>
      </c>
      <c r="J93" s="2" t="s">
        <v>19</v>
      </c>
      <c r="K93" s="2" t="s">
        <v>3411</v>
      </c>
      <c r="L93" s="7" t="str">
        <f>HYPERLINK("http://slimages.macys.com/is/image/MCY/11937854 ")</f>
        <v xml:space="preserve">http://slimages.macys.com/is/image/MCY/11937854 </v>
      </c>
    </row>
    <row r="94" spans="1:12" ht="24.75" x14ac:dyDescent="0.25">
      <c r="A94" s="4" t="s">
        <v>3412</v>
      </c>
      <c r="B94" s="2" t="s">
        <v>3413</v>
      </c>
      <c r="C94" s="3">
        <v>1</v>
      </c>
      <c r="D94" s="5">
        <v>51.5</v>
      </c>
      <c r="E94" s="3" t="s">
        <v>3414</v>
      </c>
      <c r="F94" s="2" t="s">
        <v>26</v>
      </c>
      <c r="G94" s="6" t="s">
        <v>154</v>
      </c>
      <c r="H94" s="2" t="s">
        <v>246</v>
      </c>
      <c r="I94" s="2" t="s">
        <v>189</v>
      </c>
      <c r="J94" s="2" t="s">
        <v>19</v>
      </c>
      <c r="K94" s="2" t="s">
        <v>422</v>
      </c>
      <c r="L94" s="7" t="str">
        <f>HYPERLINK("http://slimages.macys.com/is/image/MCY/11621982 ")</f>
        <v xml:space="preserve">http://slimages.macys.com/is/image/MCY/11621982 </v>
      </c>
    </row>
    <row r="95" spans="1:12" ht="24.75" x14ac:dyDescent="0.25">
      <c r="A95" s="4" t="s">
        <v>3415</v>
      </c>
      <c r="B95" s="2" t="s">
        <v>2278</v>
      </c>
      <c r="C95" s="3">
        <v>1</v>
      </c>
      <c r="D95" s="5">
        <v>44.5</v>
      </c>
      <c r="E95" s="3" t="s">
        <v>2279</v>
      </c>
      <c r="F95" s="2" t="s">
        <v>956</v>
      </c>
      <c r="G95" s="6" t="s">
        <v>200</v>
      </c>
      <c r="H95" s="2" t="s">
        <v>194</v>
      </c>
      <c r="I95" s="2" t="s">
        <v>285</v>
      </c>
      <c r="J95" s="2" t="s">
        <v>19</v>
      </c>
      <c r="K95" s="2" t="s">
        <v>323</v>
      </c>
      <c r="L95" s="7" t="str">
        <f>HYPERLINK("http://slimages.macys.com/is/image/MCY/12343071 ")</f>
        <v xml:space="preserve">http://slimages.macys.com/is/image/MCY/12343071 </v>
      </c>
    </row>
    <row r="96" spans="1:12" ht="24.75" x14ac:dyDescent="0.25">
      <c r="A96" s="4" t="s">
        <v>3416</v>
      </c>
      <c r="B96" s="2" t="s">
        <v>2278</v>
      </c>
      <c r="C96" s="3">
        <v>1</v>
      </c>
      <c r="D96" s="5">
        <v>44.5</v>
      </c>
      <c r="E96" s="3" t="s">
        <v>2279</v>
      </c>
      <c r="F96" s="2" t="s">
        <v>956</v>
      </c>
      <c r="G96" s="6" t="s">
        <v>245</v>
      </c>
      <c r="H96" s="2" t="s">
        <v>194</v>
      </c>
      <c r="I96" s="2" t="s">
        <v>128</v>
      </c>
      <c r="J96" s="2" t="s">
        <v>19</v>
      </c>
      <c r="K96" s="2" t="s">
        <v>160</v>
      </c>
      <c r="L96" s="7" t="str">
        <f>HYPERLINK("http://slimages.macys.com/is/image/MCY/13758855 ")</f>
        <v xml:space="preserve">http://slimages.macys.com/is/image/MCY/13758855 </v>
      </c>
    </row>
    <row r="97" spans="1:12" ht="24.75" x14ac:dyDescent="0.25">
      <c r="A97" s="4" t="s">
        <v>3417</v>
      </c>
      <c r="B97" s="2" t="s">
        <v>3418</v>
      </c>
      <c r="C97" s="3">
        <v>1</v>
      </c>
      <c r="D97" s="5">
        <v>59.5</v>
      </c>
      <c r="E97" s="3" t="s">
        <v>3419</v>
      </c>
      <c r="F97" s="2" t="s">
        <v>74</v>
      </c>
      <c r="G97" s="6"/>
      <c r="H97" s="2" t="s">
        <v>127</v>
      </c>
      <c r="I97" s="2" t="s">
        <v>458</v>
      </c>
      <c r="J97" s="2" t="s">
        <v>19</v>
      </c>
      <c r="K97" s="2" t="s">
        <v>459</v>
      </c>
      <c r="L97" s="7" t="str">
        <f>HYPERLINK("http://slimages.macys.com/is/image/MCY/11030035 ")</f>
        <v xml:space="preserve">http://slimages.macys.com/is/image/MCY/11030035 </v>
      </c>
    </row>
    <row r="98" spans="1:12" ht="24.75" x14ac:dyDescent="0.25">
      <c r="A98" s="4" t="s">
        <v>3420</v>
      </c>
      <c r="B98" s="2" t="s">
        <v>3421</v>
      </c>
      <c r="C98" s="3">
        <v>1</v>
      </c>
      <c r="D98" s="5">
        <v>52.13</v>
      </c>
      <c r="E98" s="3" t="s">
        <v>3422</v>
      </c>
      <c r="F98" s="2" t="s">
        <v>680</v>
      </c>
      <c r="G98" s="6" t="s">
        <v>154</v>
      </c>
      <c r="H98" s="2" t="s">
        <v>246</v>
      </c>
      <c r="I98" s="2" t="s">
        <v>189</v>
      </c>
      <c r="J98" s="2" t="s">
        <v>19</v>
      </c>
      <c r="K98" s="2" t="s">
        <v>3423</v>
      </c>
      <c r="L98" s="7" t="str">
        <f>HYPERLINK("http://slimages.macys.com/is/image/MCY/11746817 ")</f>
        <v xml:space="preserve">http://slimages.macys.com/is/image/MCY/11746817 </v>
      </c>
    </row>
    <row r="99" spans="1:12" ht="36.75" x14ac:dyDescent="0.25">
      <c r="A99" s="4" t="s">
        <v>3424</v>
      </c>
      <c r="B99" s="2" t="s">
        <v>485</v>
      </c>
      <c r="C99" s="3">
        <v>1</v>
      </c>
      <c r="D99" s="5">
        <v>44.63</v>
      </c>
      <c r="E99" s="3" t="s">
        <v>486</v>
      </c>
      <c r="F99" s="2" t="s">
        <v>26</v>
      </c>
      <c r="G99" s="6" t="s">
        <v>141</v>
      </c>
      <c r="H99" s="2" t="s">
        <v>246</v>
      </c>
      <c r="I99" s="2" t="s">
        <v>195</v>
      </c>
      <c r="J99" s="2" t="s">
        <v>19</v>
      </c>
      <c r="K99" s="2" t="s">
        <v>2280</v>
      </c>
      <c r="L99" s="7" t="str">
        <f>HYPERLINK("http://slimages.macys.com/is/image/MCY/11804478 ")</f>
        <v xml:space="preserve">http://slimages.macys.com/is/image/MCY/11804478 </v>
      </c>
    </row>
    <row r="100" spans="1:12" ht="36.75" x14ac:dyDescent="0.25">
      <c r="A100" s="4" t="s">
        <v>3425</v>
      </c>
      <c r="B100" s="2" t="s">
        <v>2287</v>
      </c>
      <c r="C100" s="3">
        <v>1</v>
      </c>
      <c r="D100" s="5">
        <v>44.63</v>
      </c>
      <c r="E100" s="3" t="s">
        <v>2288</v>
      </c>
      <c r="F100" s="2" t="s">
        <v>376</v>
      </c>
      <c r="G100" s="6"/>
      <c r="H100" s="2" t="s">
        <v>312</v>
      </c>
      <c r="I100" s="2" t="s">
        <v>195</v>
      </c>
      <c r="J100" s="2" t="s">
        <v>19</v>
      </c>
      <c r="K100" s="2" t="s">
        <v>2280</v>
      </c>
      <c r="L100" s="7" t="str">
        <f>HYPERLINK("http://slimages.macys.com/is/image/MCY/11804478 ")</f>
        <v xml:space="preserve">http://slimages.macys.com/is/image/MCY/11804478 </v>
      </c>
    </row>
    <row r="101" spans="1:12" ht="24.75" x14ac:dyDescent="0.25">
      <c r="A101" s="4" t="s">
        <v>2286</v>
      </c>
      <c r="B101" s="2" t="s">
        <v>2287</v>
      </c>
      <c r="C101" s="3">
        <v>1</v>
      </c>
      <c r="D101" s="5">
        <v>44.63</v>
      </c>
      <c r="E101" s="3" t="s">
        <v>2288</v>
      </c>
      <c r="F101" s="2" t="s">
        <v>376</v>
      </c>
      <c r="G101" s="6"/>
      <c r="H101" s="2" t="s">
        <v>312</v>
      </c>
      <c r="I101" s="2" t="s">
        <v>128</v>
      </c>
      <c r="J101" s="2" t="s">
        <v>19</v>
      </c>
      <c r="K101" s="2" t="s">
        <v>160</v>
      </c>
      <c r="L101" s="7" t="str">
        <f>HYPERLINK("http://slimages.macys.com/is/image/MCY/13786793 ")</f>
        <v xml:space="preserve">http://slimages.macys.com/is/image/MCY/13786793 </v>
      </c>
    </row>
    <row r="102" spans="1:12" ht="24.75" x14ac:dyDescent="0.25">
      <c r="A102" s="4" t="s">
        <v>3426</v>
      </c>
      <c r="B102" s="2" t="s">
        <v>497</v>
      </c>
      <c r="C102" s="3">
        <v>1</v>
      </c>
      <c r="D102" s="5">
        <v>43.5</v>
      </c>
      <c r="E102" s="3" t="s">
        <v>498</v>
      </c>
      <c r="F102" s="2" t="s">
        <v>64</v>
      </c>
      <c r="G102" s="6" t="s">
        <v>2456</v>
      </c>
      <c r="H102" s="2" t="s">
        <v>349</v>
      </c>
      <c r="I102" s="2" t="s">
        <v>3427</v>
      </c>
      <c r="J102" s="2" t="s">
        <v>19</v>
      </c>
      <c r="K102" s="2" t="s">
        <v>3428</v>
      </c>
      <c r="L102" s="7" t="str">
        <f>HYPERLINK("http://slimages.macys.com/is/image/MCY/12032084 ")</f>
        <v xml:space="preserve">http://slimages.macys.com/is/image/MCY/12032084 </v>
      </c>
    </row>
    <row r="103" spans="1:12" ht="24.75" x14ac:dyDescent="0.25">
      <c r="A103" s="4" t="s">
        <v>3429</v>
      </c>
      <c r="B103" s="2" t="s">
        <v>3430</v>
      </c>
      <c r="C103" s="3">
        <v>1</v>
      </c>
      <c r="D103" s="5">
        <v>44.63</v>
      </c>
      <c r="E103" s="3" t="s">
        <v>3431</v>
      </c>
      <c r="F103" s="2" t="s">
        <v>413</v>
      </c>
      <c r="G103" s="6"/>
      <c r="H103" s="2" t="s">
        <v>188</v>
      </c>
      <c r="I103" s="2" t="s">
        <v>487</v>
      </c>
      <c r="J103" s="2" t="s">
        <v>19</v>
      </c>
      <c r="K103" s="2" t="s">
        <v>409</v>
      </c>
      <c r="L103" s="7" t="str">
        <f>HYPERLINK("http://slimages.macys.com/is/image/MCY/11806851 ")</f>
        <v xml:space="preserve">http://slimages.macys.com/is/image/MCY/11806851 </v>
      </c>
    </row>
    <row r="104" spans="1:12" ht="24.75" x14ac:dyDescent="0.25">
      <c r="A104" s="4" t="s">
        <v>3432</v>
      </c>
      <c r="B104" s="2" t="s">
        <v>2300</v>
      </c>
      <c r="C104" s="3">
        <v>1</v>
      </c>
      <c r="D104" s="5">
        <v>44.63</v>
      </c>
      <c r="E104" s="3" t="s">
        <v>2301</v>
      </c>
      <c r="F104" s="2" t="s">
        <v>15</v>
      </c>
      <c r="G104" s="6" t="s">
        <v>245</v>
      </c>
      <c r="H104" s="2" t="s">
        <v>194</v>
      </c>
      <c r="I104" s="2" t="s">
        <v>195</v>
      </c>
      <c r="J104" s="2" t="s">
        <v>19</v>
      </c>
      <c r="K104" s="2" t="s">
        <v>201</v>
      </c>
      <c r="L104" s="7" t="str">
        <f>HYPERLINK("http://slimages.macys.com/is/image/MCY/9837149 ")</f>
        <v xml:space="preserve">http://slimages.macys.com/is/image/MCY/9837149 </v>
      </c>
    </row>
    <row r="105" spans="1:12" ht="24.75" x14ac:dyDescent="0.25">
      <c r="A105" s="4" t="s">
        <v>3433</v>
      </c>
      <c r="B105" s="2" t="s">
        <v>551</v>
      </c>
      <c r="C105" s="3">
        <v>1</v>
      </c>
      <c r="D105" s="5">
        <v>48</v>
      </c>
      <c r="E105" s="3" t="s">
        <v>3434</v>
      </c>
      <c r="F105" s="2" t="s">
        <v>26</v>
      </c>
      <c r="G105" s="6"/>
      <c r="H105" s="2" t="s">
        <v>426</v>
      </c>
      <c r="I105" s="2" t="s">
        <v>195</v>
      </c>
      <c r="J105" s="2" t="s">
        <v>19</v>
      </c>
      <c r="K105" s="2" t="s">
        <v>201</v>
      </c>
      <c r="L105" s="7" t="str">
        <f>HYPERLINK("http://slimages.macys.com/is/image/MCY/9837149 ")</f>
        <v xml:space="preserve">http://slimages.macys.com/is/image/MCY/9837149 </v>
      </c>
    </row>
    <row r="106" spans="1:12" ht="36.75" x14ac:dyDescent="0.25">
      <c r="A106" s="4" t="s">
        <v>3435</v>
      </c>
      <c r="B106" s="2" t="s">
        <v>3436</v>
      </c>
      <c r="C106" s="3">
        <v>1</v>
      </c>
      <c r="D106" s="5">
        <v>37.130000000000003</v>
      </c>
      <c r="E106" s="3" t="s">
        <v>3437</v>
      </c>
      <c r="F106" s="2" t="s">
        <v>70</v>
      </c>
      <c r="G106" s="6" t="s">
        <v>794</v>
      </c>
      <c r="H106" s="2" t="s">
        <v>632</v>
      </c>
      <c r="I106" s="2" t="s">
        <v>408</v>
      </c>
      <c r="J106" s="2" t="s">
        <v>19</v>
      </c>
      <c r="K106" s="2" t="s">
        <v>500</v>
      </c>
      <c r="L106" s="7" t="str">
        <f>HYPERLINK("http://slimages.macys.com/is/image/MCY/9468308 ")</f>
        <v xml:space="preserve">http://slimages.macys.com/is/image/MCY/9468308 </v>
      </c>
    </row>
    <row r="107" spans="1:12" ht="24.75" x14ac:dyDescent="0.25">
      <c r="A107" s="4" t="s">
        <v>3438</v>
      </c>
      <c r="B107" s="2" t="s">
        <v>3439</v>
      </c>
      <c r="C107" s="3">
        <v>1</v>
      </c>
      <c r="D107" s="5">
        <v>52.13</v>
      </c>
      <c r="E107" s="3" t="s">
        <v>3440</v>
      </c>
      <c r="F107" s="2" t="s">
        <v>74</v>
      </c>
      <c r="G107" s="6" t="s">
        <v>58</v>
      </c>
      <c r="H107" s="2" t="s">
        <v>246</v>
      </c>
      <c r="I107" s="2" t="s">
        <v>189</v>
      </c>
      <c r="J107" s="2" t="s">
        <v>19</v>
      </c>
      <c r="K107" s="2" t="s">
        <v>107</v>
      </c>
      <c r="L107" s="7" t="str">
        <f>HYPERLINK("http://slimages.macys.com/is/image/MCY/12048442 ")</f>
        <v xml:space="preserve">http://slimages.macys.com/is/image/MCY/12048442 </v>
      </c>
    </row>
    <row r="108" spans="1:12" ht="24.75" x14ac:dyDescent="0.25">
      <c r="A108" s="4" t="s">
        <v>2304</v>
      </c>
      <c r="B108" s="2" t="s">
        <v>502</v>
      </c>
      <c r="C108" s="3">
        <v>1</v>
      </c>
      <c r="D108" s="5">
        <v>39.5</v>
      </c>
      <c r="E108" s="3" t="s">
        <v>516</v>
      </c>
      <c r="F108" s="2" t="s">
        <v>79</v>
      </c>
      <c r="G108" s="6" t="s">
        <v>802</v>
      </c>
      <c r="H108" s="2" t="s">
        <v>312</v>
      </c>
      <c r="I108" s="2" t="s">
        <v>195</v>
      </c>
      <c r="J108" s="2" t="s">
        <v>19</v>
      </c>
      <c r="K108" s="2" t="s">
        <v>2302</v>
      </c>
      <c r="L108" s="7" t="str">
        <f>HYPERLINK("http://slimages.macys.com/is/image/MCY/12668044 ")</f>
        <v xml:space="preserve">http://slimages.macys.com/is/image/MCY/12668044 </v>
      </c>
    </row>
    <row r="109" spans="1:12" ht="24.75" x14ac:dyDescent="0.25">
      <c r="A109" s="4" t="s">
        <v>3441</v>
      </c>
      <c r="B109" s="2" t="s">
        <v>502</v>
      </c>
      <c r="C109" s="3">
        <v>1</v>
      </c>
      <c r="D109" s="5">
        <v>39.5</v>
      </c>
      <c r="E109" s="3" t="s">
        <v>516</v>
      </c>
      <c r="F109" s="2" t="s">
        <v>506</v>
      </c>
      <c r="G109" s="6" t="s">
        <v>126</v>
      </c>
      <c r="H109" s="2" t="s">
        <v>312</v>
      </c>
      <c r="I109" s="2" t="s">
        <v>229</v>
      </c>
      <c r="J109" s="2" t="s">
        <v>19</v>
      </c>
      <c r="K109" s="2" t="s">
        <v>353</v>
      </c>
      <c r="L109" s="7" t="str">
        <f>HYPERLINK("http://slimages.macys.com/is/image/MCY/11935431 ")</f>
        <v xml:space="preserve">http://slimages.macys.com/is/image/MCY/11935431 </v>
      </c>
    </row>
    <row r="110" spans="1:12" ht="24.75" x14ac:dyDescent="0.25">
      <c r="A110" s="4" t="s">
        <v>3442</v>
      </c>
      <c r="B110" s="2" t="s">
        <v>519</v>
      </c>
      <c r="C110" s="3">
        <v>1</v>
      </c>
      <c r="D110" s="5">
        <v>44.63</v>
      </c>
      <c r="E110" s="3" t="s">
        <v>520</v>
      </c>
      <c r="F110" s="2" t="s">
        <v>74</v>
      </c>
      <c r="G110" s="6" t="s">
        <v>234</v>
      </c>
      <c r="H110" s="2" t="s">
        <v>194</v>
      </c>
      <c r="I110" s="2" t="s">
        <v>285</v>
      </c>
      <c r="J110" s="2" t="s">
        <v>19</v>
      </c>
      <c r="K110" s="2" t="s">
        <v>75</v>
      </c>
      <c r="L110" s="7" t="str">
        <f>HYPERLINK("http://slimages.macys.com/is/image/MCY/11525769 ")</f>
        <v xml:space="preserve">http://slimages.macys.com/is/image/MCY/11525769 </v>
      </c>
    </row>
    <row r="111" spans="1:12" ht="24.75" x14ac:dyDescent="0.25">
      <c r="A111" s="4" t="s">
        <v>2310</v>
      </c>
      <c r="B111" s="2" t="s">
        <v>519</v>
      </c>
      <c r="C111" s="3">
        <v>1</v>
      </c>
      <c r="D111" s="5">
        <v>44.63</v>
      </c>
      <c r="E111" s="3" t="s">
        <v>520</v>
      </c>
      <c r="F111" s="2" t="s">
        <v>15</v>
      </c>
      <c r="G111" s="6" t="s">
        <v>154</v>
      </c>
      <c r="H111" s="2" t="s">
        <v>194</v>
      </c>
      <c r="I111" s="2" t="s">
        <v>189</v>
      </c>
      <c r="J111" s="2" t="s">
        <v>19</v>
      </c>
      <c r="K111" s="2" t="s">
        <v>3443</v>
      </c>
      <c r="L111" s="7" t="str">
        <f>HYPERLINK("http://slimages.macys.com/is/image/MCY/11620883 ")</f>
        <v xml:space="preserve">http://slimages.macys.com/is/image/MCY/11620883 </v>
      </c>
    </row>
    <row r="112" spans="1:12" ht="24.75" x14ac:dyDescent="0.25">
      <c r="A112" s="4" t="s">
        <v>3444</v>
      </c>
      <c r="B112" s="2" t="s">
        <v>519</v>
      </c>
      <c r="C112" s="3">
        <v>1</v>
      </c>
      <c r="D112" s="5">
        <v>44.63</v>
      </c>
      <c r="E112" s="3" t="s">
        <v>520</v>
      </c>
      <c r="F112" s="2" t="s">
        <v>74</v>
      </c>
      <c r="G112" s="6" t="s">
        <v>156</v>
      </c>
      <c r="H112" s="2" t="s">
        <v>194</v>
      </c>
      <c r="I112" s="2" t="s">
        <v>195</v>
      </c>
      <c r="J112" s="2" t="s">
        <v>19</v>
      </c>
      <c r="K112" s="2" t="s">
        <v>517</v>
      </c>
      <c r="L112" s="7" t="str">
        <f>HYPERLINK("http://slimages.macys.com/is/image/MCY/12272685 ")</f>
        <v xml:space="preserve">http://slimages.macys.com/is/image/MCY/12272685 </v>
      </c>
    </row>
    <row r="113" spans="1:12" ht="24.75" x14ac:dyDescent="0.25">
      <c r="A113" s="4" t="s">
        <v>2309</v>
      </c>
      <c r="B113" s="2" t="s">
        <v>519</v>
      </c>
      <c r="C113" s="3">
        <v>2</v>
      </c>
      <c r="D113" s="5">
        <v>44.63</v>
      </c>
      <c r="E113" s="3" t="s">
        <v>520</v>
      </c>
      <c r="F113" s="2" t="s">
        <v>15</v>
      </c>
      <c r="G113" s="6" t="s">
        <v>181</v>
      </c>
      <c r="H113" s="2" t="s">
        <v>194</v>
      </c>
      <c r="I113" s="2" t="s">
        <v>195</v>
      </c>
      <c r="J113" s="2" t="s">
        <v>19</v>
      </c>
      <c r="K113" s="2" t="s">
        <v>517</v>
      </c>
      <c r="L113" s="7" t="str">
        <f>HYPERLINK("http://slimages.macys.com/is/image/MCY/12272685 ")</f>
        <v xml:space="preserve">http://slimages.macys.com/is/image/MCY/12272685 </v>
      </c>
    </row>
    <row r="114" spans="1:12" ht="36.75" x14ac:dyDescent="0.25">
      <c r="A114" s="4" t="s">
        <v>3445</v>
      </c>
      <c r="B114" s="2" t="s">
        <v>519</v>
      </c>
      <c r="C114" s="3">
        <v>1</v>
      </c>
      <c r="D114" s="5">
        <v>44.63</v>
      </c>
      <c r="E114" s="3" t="s">
        <v>520</v>
      </c>
      <c r="F114" s="2" t="s">
        <v>15</v>
      </c>
      <c r="G114" s="6" t="s">
        <v>156</v>
      </c>
      <c r="H114" s="2" t="s">
        <v>194</v>
      </c>
      <c r="I114" s="2" t="s">
        <v>195</v>
      </c>
      <c r="J114" s="2" t="s">
        <v>19</v>
      </c>
      <c r="K114" s="2" t="s">
        <v>521</v>
      </c>
      <c r="L114" s="7" t="str">
        <f>HYPERLINK("http://slimages.macys.com/is/image/MCY/12279325 ")</f>
        <v xml:space="preserve">http://slimages.macys.com/is/image/MCY/12279325 </v>
      </c>
    </row>
    <row r="115" spans="1:12" ht="36.75" x14ac:dyDescent="0.25">
      <c r="A115" s="4" t="s">
        <v>3446</v>
      </c>
      <c r="B115" s="2" t="s">
        <v>519</v>
      </c>
      <c r="C115" s="3">
        <v>2</v>
      </c>
      <c r="D115" s="5">
        <v>44.63</v>
      </c>
      <c r="E115" s="3" t="s">
        <v>520</v>
      </c>
      <c r="F115" s="2" t="s">
        <v>15</v>
      </c>
      <c r="G115" s="6" t="s">
        <v>234</v>
      </c>
      <c r="H115" s="2" t="s">
        <v>194</v>
      </c>
      <c r="I115" s="2" t="s">
        <v>195</v>
      </c>
      <c r="J115" s="2" t="s">
        <v>19</v>
      </c>
      <c r="K115" s="2" t="s">
        <v>521</v>
      </c>
      <c r="L115" s="7" t="str">
        <f>HYPERLINK("http://slimages.macys.com/is/image/MCY/12279320 ")</f>
        <v xml:space="preserve">http://slimages.macys.com/is/image/MCY/12279320 </v>
      </c>
    </row>
    <row r="116" spans="1:12" ht="36.75" x14ac:dyDescent="0.25">
      <c r="A116" s="4" t="s">
        <v>3447</v>
      </c>
      <c r="B116" s="2" t="s">
        <v>2313</v>
      </c>
      <c r="C116" s="3">
        <v>1</v>
      </c>
      <c r="D116" s="5">
        <v>52.13</v>
      </c>
      <c r="E116" s="3" t="s">
        <v>2314</v>
      </c>
      <c r="F116" s="2" t="s">
        <v>572</v>
      </c>
      <c r="G116" s="6" t="s">
        <v>22</v>
      </c>
      <c r="H116" s="2" t="s">
        <v>246</v>
      </c>
      <c r="I116" s="2" t="s">
        <v>195</v>
      </c>
      <c r="J116" s="2" t="s">
        <v>19</v>
      </c>
      <c r="K116" s="2" t="s">
        <v>521</v>
      </c>
      <c r="L116" s="7" t="str">
        <f>HYPERLINK("http://slimages.macys.com/is/image/MCY/12279325 ")</f>
        <v xml:space="preserve">http://slimages.macys.com/is/image/MCY/12279325 </v>
      </c>
    </row>
    <row r="117" spans="1:12" ht="36.75" x14ac:dyDescent="0.25">
      <c r="A117" s="4" t="s">
        <v>3448</v>
      </c>
      <c r="B117" s="2" t="s">
        <v>3436</v>
      </c>
      <c r="C117" s="3">
        <v>1</v>
      </c>
      <c r="D117" s="5">
        <v>37.130000000000003</v>
      </c>
      <c r="E117" s="3" t="s">
        <v>3449</v>
      </c>
      <c r="F117" s="2" t="s">
        <v>26</v>
      </c>
      <c r="G117" s="6" t="s">
        <v>154</v>
      </c>
      <c r="H117" s="2" t="s">
        <v>284</v>
      </c>
      <c r="I117" s="2" t="s">
        <v>195</v>
      </c>
      <c r="J117" s="2" t="s">
        <v>19</v>
      </c>
      <c r="K117" s="2" t="s">
        <v>521</v>
      </c>
      <c r="L117" s="7" t="str">
        <f>HYPERLINK("http://slimages.macys.com/is/image/MCY/12279320 ")</f>
        <v xml:space="preserve">http://slimages.macys.com/is/image/MCY/12279320 </v>
      </c>
    </row>
    <row r="118" spans="1:12" ht="36.75" x14ac:dyDescent="0.25">
      <c r="A118" s="4" t="s">
        <v>3450</v>
      </c>
      <c r="B118" s="2" t="s">
        <v>527</v>
      </c>
      <c r="C118" s="3">
        <v>1</v>
      </c>
      <c r="D118" s="5">
        <v>48.38</v>
      </c>
      <c r="E118" s="3" t="s">
        <v>528</v>
      </c>
      <c r="F118" s="2" t="s">
        <v>417</v>
      </c>
      <c r="G118" s="6" t="s">
        <v>348</v>
      </c>
      <c r="H118" s="2" t="s">
        <v>349</v>
      </c>
      <c r="I118" s="2" t="s">
        <v>195</v>
      </c>
      <c r="J118" s="2" t="s">
        <v>19</v>
      </c>
      <c r="K118" s="2" t="s">
        <v>521</v>
      </c>
      <c r="L118" s="7" t="str">
        <f>HYPERLINK("http://slimages.macys.com/is/image/MCY/12279320 ")</f>
        <v xml:space="preserve">http://slimages.macys.com/is/image/MCY/12279320 </v>
      </c>
    </row>
    <row r="119" spans="1:12" ht="36.75" x14ac:dyDescent="0.25">
      <c r="A119" s="4" t="s">
        <v>3451</v>
      </c>
      <c r="B119" s="2" t="s">
        <v>527</v>
      </c>
      <c r="C119" s="3">
        <v>1</v>
      </c>
      <c r="D119" s="5">
        <v>48.38</v>
      </c>
      <c r="E119" s="3" t="s">
        <v>528</v>
      </c>
      <c r="F119" s="2" t="s">
        <v>417</v>
      </c>
      <c r="G119" s="6" t="s">
        <v>2276</v>
      </c>
      <c r="H119" s="2" t="s">
        <v>349</v>
      </c>
      <c r="I119" s="2" t="s">
        <v>195</v>
      </c>
      <c r="J119" s="2" t="s">
        <v>19</v>
      </c>
      <c r="K119" s="2" t="s">
        <v>521</v>
      </c>
      <c r="L119" s="7" t="str">
        <f>HYPERLINK("http://slimages.macys.com/is/image/MCY/12279320 ")</f>
        <v xml:space="preserve">http://slimages.macys.com/is/image/MCY/12279320 </v>
      </c>
    </row>
    <row r="120" spans="1:12" ht="24.75" x14ac:dyDescent="0.25">
      <c r="A120" s="4" t="s">
        <v>3452</v>
      </c>
      <c r="B120" s="2" t="s">
        <v>530</v>
      </c>
      <c r="C120" s="3">
        <v>1</v>
      </c>
      <c r="D120" s="5">
        <v>44.63</v>
      </c>
      <c r="E120" s="3" t="s">
        <v>531</v>
      </c>
      <c r="F120" s="2" t="s">
        <v>532</v>
      </c>
      <c r="G120" s="6" t="s">
        <v>156</v>
      </c>
      <c r="H120" s="2" t="s">
        <v>194</v>
      </c>
      <c r="I120" s="2" t="s">
        <v>487</v>
      </c>
      <c r="J120" s="2" t="s">
        <v>19</v>
      </c>
      <c r="K120" s="2" t="s">
        <v>409</v>
      </c>
      <c r="L120" s="7" t="str">
        <f>HYPERLINK("http://slimages.macys.com/is/image/MCY/11806897 ")</f>
        <v xml:space="preserve">http://slimages.macys.com/is/image/MCY/11806897 </v>
      </c>
    </row>
    <row r="121" spans="1:12" ht="36.75" x14ac:dyDescent="0.25">
      <c r="A121" s="4" t="s">
        <v>2320</v>
      </c>
      <c r="B121" s="2" t="s">
        <v>530</v>
      </c>
      <c r="C121" s="3">
        <v>1</v>
      </c>
      <c r="D121" s="5">
        <v>44.63</v>
      </c>
      <c r="E121" s="3" t="s">
        <v>531</v>
      </c>
      <c r="F121" s="2" t="s">
        <v>532</v>
      </c>
      <c r="G121" s="6" t="s">
        <v>154</v>
      </c>
      <c r="H121" s="2" t="s">
        <v>194</v>
      </c>
      <c r="I121" s="2" t="s">
        <v>285</v>
      </c>
      <c r="J121" s="2" t="s">
        <v>19</v>
      </c>
      <c r="K121" s="2" t="s">
        <v>2419</v>
      </c>
      <c r="L121" s="7" t="str">
        <f>HYPERLINK("http://slimages.macys.com/is/image/MCY/13041127 ")</f>
        <v xml:space="preserve">http://slimages.macys.com/is/image/MCY/13041127 </v>
      </c>
    </row>
    <row r="122" spans="1:12" ht="24.75" x14ac:dyDescent="0.25">
      <c r="A122" s="4" t="s">
        <v>3453</v>
      </c>
      <c r="B122" s="2" t="s">
        <v>2322</v>
      </c>
      <c r="C122" s="3">
        <v>2</v>
      </c>
      <c r="D122" s="5">
        <v>44.63</v>
      </c>
      <c r="E122" s="3">
        <v>100062919</v>
      </c>
      <c r="F122" s="2" t="s">
        <v>74</v>
      </c>
      <c r="G122" s="6" t="s">
        <v>154</v>
      </c>
      <c r="H122" s="2" t="s">
        <v>194</v>
      </c>
      <c r="I122" s="2" t="s">
        <v>285</v>
      </c>
      <c r="J122" s="2" t="s">
        <v>19</v>
      </c>
      <c r="K122" s="2" t="s">
        <v>160</v>
      </c>
      <c r="L122" s="7" t="str">
        <f>HYPERLINK("http://slimages.macys.com/is/image/MCY/12715708 ")</f>
        <v xml:space="preserve">http://slimages.macys.com/is/image/MCY/12715708 </v>
      </c>
    </row>
    <row r="123" spans="1:12" ht="24.75" x14ac:dyDescent="0.25">
      <c r="A123" s="4" t="s">
        <v>3454</v>
      </c>
      <c r="B123" s="2" t="s">
        <v>2322</v>
      </c>
      <c r="C123" s="3">
        <v>1</v>
      </c>
      <c r="D123" s="5">
        <v>44.63</v>
      </c>
      <c r="E123" s="3">
        <v>100062919</v>
      </c>
      <c r="F123" s="2" t="s">
        <v>74</v>
      </c>
      <c r="G123" s="6" t="s">
        <v>200</v>
      </c>
      <c r="H123" s="2" t="s">
        <v>194</v>
      </c>
      <c r="I123" s="2" t="s">
        <v>285</v>
      </c>
      <c r="J123" s="2" t="s">
        <v>19</v>
      </c>
      <c r="K123" s="2" t="s">
        <v>160</v>
      </c>
      <c r="L123" s="7" t="str">
        <f>HYPERLINK("http://slimages.macys.com/is/image/MCY/12715708 ")</f>
        <v xml:space="preserve">http://slimages.macys.com/is/image/MCY/12715708 </v>
      </c>
    </row>
    <row r="124" spans="1:12" ht="24.75" x14ac:dyDescent="0.25">
      <c r="A124" s="4" t="s">
        <v>3455</v>
      </c>
      <c r="B124" s="2" t="s">
        <v>2331</v>
      </c>
      <c r="C124" s="3">
        <v>1</v>
      </c>
      <c r="D124" s="5">
        <v>51.5</v>
      </c>
      <c r="E124" s="3" t="s">
        <v>3456</v>
      </c>
      <c r="F124" s="2" t="s">
        <v>331</v>
      </c>
      <c r="G124" s="6" t="s">
        <v>154</v>
      </c>
      <c r="H124" s="2" t="s">
        <v>246</v>
      </c>
      <c r="I124" s="2" t="s">
        <v>195</v>
      </c>
      <c r="J124" s="2" t="s">
        <v>19</v>
      </c>
      <c r="K124" s="2" t="s">
        <v>533</v>
      </c>
      <c r="L124" s="7" t="str">
        <f>HYPERLINK("http://slimages.macys.com/is/image/MCY/12316730 ")</f>
        <v xml:space="preserve">http://slimages.macys.com/is/image/MCY/12316730 </v>
      </c>
    </row>
    <row r="125" spans="1:12" ht="24.75" x14ac:dyDescent="0.25">
      <c r="A125" s="4" t="s">
        <v>547</v>
      </c>
      <c r="B125" s="2" t="s">
        <v>548</v>
      </c>
      <c r="C125" s="3">
        <v>1</v>
      </c>
      <c r="D125" s="5">
        <v>44.5</v>
      </c>
      <c r="E125" s="3" t="s">
        <v>549</v>
      </c>
      <c r="F125" s="2" t="s">
        <v>252</v>
      </c>
      <c r="G125" s="6" t="s">
        <v>181</v>
      </c>
      <c r="H125" s="2" t="s">
        <v>194</v>
      </c>
      <c r="I125" s="2" t="s">
        <v>195</v>
      </c>
      <c r="J125" s="2" t="s">
        <v>19</v>
      </c>
      <c r="K125" s="2" t="s">
        <v>533</v>
      </c>
      <c r="L125" s="7" t="str">
        <f>HYPERLINK("http://slimages.macys.com/is/image/MCY/12316730 ")</f>
        <v xml:space="preserve">http://slimages.macys.com/is/image/MCY/12316730 </v>
      </c>
    </row>
    <row r="126" spans="1:12" ht="24.75" x14ac:dyDescent="0.25">
      <c r="A126" s="4" t="s">
        <v>2324</v>
      </c>
      <c r="B126" s="2" t="s">
        <v>548</v>
      </c>
      <c r="C126" s="3">
        <v>2</v>
      </c>
      <c r="D126" s="5">
        <v>44.5</v>
      </c>
      <c r="E126" s="3" t="s">
        <v>549</v>
      </c>
      <c r="F126" s="2" t="s">
        <v>252</v>
      </c>
      <c r="G126" s="6" t="s">
        <v>154</v>
      </c>
      <c r="H126" s="2" t="s">
        <v>194</v>
      </c>
      <c r="I126" s="2" t="s">
        <v>195</v>
      </c>
      <c r="J126" s="2" t="s">
        <v>19</v>
      </c>
      <c r="K126" s="2" t="s">
        <v>610</v>
      </c>
      <c r="L126" s="7" t="str">
        <f>HYPERLINK("http://slimages.macys.com/is/image/MCY/11937752 ")</f>
        <v xml:space="preserve">http://slimages.macys.com/is/image/MCY/11937752 </v>
      </c>
    </row>
    <row r="127" spans="1:12" ht="24.75" x14ac:dyDescent="0.25">
      <c r="A127" s="4" t="s">
        <v>3457</v>
      </c>
      <c r="B127" s="2" t="s">
        <v>554</v>
      </c>
      <c r="C127" s="3">
        <v>1</v>
      </c>
      <c r="D127" s="5">
        <v>59.63</v>
      </c>
      <c r="E127" s="3" t="s">
        <v>3458</v>
      </c>
      <c r="F127" s="2" t="s">
        <v>417</v>
      </c>
      <c r="G127" s="6"/>
      <c r="H127" s="2" t="s">
        <v>188</v>
      </c>
      <c r="I127" s="2" t="s">
        <v>195</v>
      </c>
      <c r="J127" s="2" t="s">
        <v>19</v>
      </c>
      <c r="K127" s="2" t="s">
        <v>610</v>
      </c>
      <c r="L127" s="7" t="str">
        <f>HYPERLINK("http://slimages.macys.com/is/image/MCY/11937752 ")</f>
        <v xml:space="preserve">http://slimages.macys.com/is/image/MCY/11937752 </v>
      </c>
    </row>
    <row r="128" spans="1:12" ht="24.75" x14ac:dyDescent="0.25">
      <c r="A128" s="4" t="s">
        <v>583</v>
      </c>
      <c r="B128" s="2" t="s">
        <v>577</v>
      </c>
      <c r="C128" s="3">
        <v>1</v>
      </c>
      <c r="D128" s="5">
        <v>44.63</v>
      </c>
      <c r="E128" s="3" t="s">
        <v>578</v>
      </c>
      <c r="F128" s="2" t="s">
        <v>15</v>
      </c>
      <c r="G128" s="6" t="s">
        <v>154</v>
      </c>
      <c r="H128" s="2" t="s">
        <v>194</v>
      </c>
      <c r="I128" s="2" t="s">
        <v>189</v>
      </c>
      <c r="J128" s="2" t="s">
        <v>19</v>
      </c>
      <c r="K128" s="2" t="s">
        <v>1480</v>
      </c>
      <c r="L128" s="7" t="str">
        <f>HYPERLINK("http://slimages.macys.com/is/image/MCY/9910820 ")</f>
        <v xml:space="preserve">http://slimages.macys.com/is/image/MCY/9910820 </v>
      </c>
    </row>
    <row r="129" spans="1:12" ht="24.75" x14ac:dyDescent="0.25">
      <c r="A129" s="4" t="s">
        <v>3459</v>
      </c>
      <c r="B129" s="2" t="s">
        <v>577</v>
      </c>
      <c r="C129" s="3">
        <v>1</v>
      </c>
      <c r="D129" s="5">
        <v>44.63</v>
      </c>
      <c r="E129" s="3" t="s">
        <v>578</v>
      </c>
      <c r="F129" s="2" t="s">
        <v>579</v>
      </c>
      <c r="G129" s="6" t="s">
        <v>245</v>
      </c>
      <c r="H129" s="2" t="s">
        <v>194</v>
      </c>
      <c r="I129" s="2" t="s">
        <v>195</v>
      </c>
      <c r="J129" s="2" t="s">
        <v>19</v>
      </c>
      <c r="K129" s="2" t="s">
        <v>34</v>
      </c>
      <c r="L129" s="7" t="str">
        <f>HYPERLINK("http://slimages.macys.com/is/image/MCY/11527016 ")</f>
        <v xml:space="preserve">http://slimages.macys.com/is/image/MCY/11527016 </v>
      </c>
    </row>
    <row r="130" spans="1:12" ht="24.75" x14ac:dyDescent="0.25">
      <c r="A130" s="4" t="s">
        <v>3460</v>
      </c>
      <c r="B130" s="2" t="s">
        <v>3461</v>
      </c>
      <c r="C130" s="3">
        <v>1</v>
      </c>
      <c r="D130" s="5">
        <v>40.880000000000003</v>
      </c>
      <c r="E130" s="3" t="s">
        <v>3462</v>
      </c>
      <c r="F130" s="2" t="s">
        <v>26</v>
      </c>
      <c r="G130" s="6" t="s">
        <v>156</v>
      </c>
      <c r="H130" s="2" t="s">
        <v>284</v>
      </c>
      <c r="I130" s="2" t="s">
        <v>195</v>
      </c>
      <c r="J130" s="2" t="s">
        <v>19</v>
      </c>
      <c r="K130" s="2" t="s">
        <v>34</v>
      </c>
      <c r="L130" s="7" t="str">
        <f>HYPERLINK("http://slimages.macys.com/is/image/MCY/11527016 ")</f>
        <v xml:space="preserve">http://slimages.macys.com/is/image/MCY/11527016 </v>
      </c>
    </row>
    <row r="131" spans="1:12" ht="60.75" x14ac:dyDescent="0.25">
      <c r="A131" s="4" t="s">
        <v>2337</v>
      </c>
      <c r="B131" s="2" t="s">
        <v>614</v>
      </c>
      <c r="C131" s="3">
        <v>1</v>
      </c>
      <c r="D131" s="5">
        <v>40.880000000000003</v>
      </c>
      <c r="E131" s="3" t="s">
        <v>615</v>
      </c>
      <c r="F131" s="2" t="s">
        <v>26</v>
      </c>
      <c r="G131" s="6" t="s">
        <v>200</v>
      </c>
      <c r="H131" s="2" t="s">
        <v>284</v>
      </c>
      <c r="I131" s="2" t="s">
        <v>189</v>
      </c>
      <c r="J131" s="2" t="s">
        <v>19</v>
      </c>
      <c r="K131" s="2" t="s">
        <v>3463</v>
      </c>
      <c r="L131" s="7" t="str">
        <f>HYPERLINK("http://slimages.macys.com/is/image/MCY/14658994 ")</f>
        <v xml:space="preserve">http://slimages.macys.com/is/image/MCY/14658994 </v>
      </c>
    </row>
    <row r="132" spans="1:12" ht="24.75" x14ac:dyDescent="0.25">
      <c r="A132" s="4" t="s">
        <v>2338</v>
      </c>
      <c r="B132" s="2" t="s">
        <v>614</v>
      </c>
      <c r="C132" s="3">
        <v>1</v>
      </c>
      <c r="D132" s="5">
        <v>40.880000000000003</v>
      </c>
      <c r="E132" s="3" t="s">
        <v>615</v>
      </c>
      <c r="F132" s="2" t="s">
        <v>26</v>
      </c>
      <c r="G132" s="6" t="s">
        <v>154</v>
      </c>
      <c r="H132" s="2" t="s">
        <v>284</v>
      </c>
      <c r="I132" s="2" t="s">
        <v>580</v>
      </c>
      <c r="J132" s="2" t="s">
        <v>19</v>
      </c>
      <c r="K132" s="2" t="s">
        <v>247</v>
      </c>
      <c r="L132" s="7" t="str">
        <f>HYPERLINK("http://slimages.macys.com/is/image/MCY/12743841 ")</f>
        <v xml:space="preserve">http://slimages.macys.com/is/image/MCY/12743841 </v>
      </c>
    </row>
    <row r="133" spans="1:12" ht="24.75" x14ac:dyDescent="0.25">
      <c r="A133" s="4" t="s">
        <v>3464</v>
      </c>
      <c r="B133" s="2" t="s">
        <v>614</v>
      </c>
      <c r="C133" s="3">
        <v>1</v>
      </c>
      <c r="D133" s="5">
        <v>40.880000000000003</v>
      </c>
      <c r="E133" s="3" t="s">
        <v>615</v>
      </c>
      <c r="F133" s="2" t="s">
        <v>26</v>
      </c>
      <c r="G133" s="6" t="s">
        <v>181</v>
      </c>
      <c r="H133" s="2" t="s">
        <v>284</v>
      </c>
      <c r="I133" s="2" t="s">
        <v>580</v>
      </c>
      <c r="J133" s="2" t="s">
        <v>19</v>
      </c>
      <c r="K133" s="2" t="s">
        <v>247</v>
      </c>
      <c r="L133" s="7" t="str">
        <f>HYPERLINK("http://slimages.macys.com/is/image/MCY/12743841 ")</f>
        <v xml:space="preserve">http://slimages.macys.com/is/image/MCY/12743841 </v>
      </c>
    </row>
    <row r="134" spans="1:12" ht="24.75" x14ac:dyDescent="0.25">
      <c r="A134" s="4" t="s">
        <v>3465</v>
      </c>
      <c r="B134" s="2" t="s">
        <v>614</v>
      </c>
      <c r="C134" s="3">
        <v>1</v>
      </c>
      <c r="D134" s="5">
        <v>40.880000000000003</v>
      </c>
      <c r="E134" s="3" t="s">
        <v>615</v>
      </c>
      <c r="F134" s="2" t="s">
        <v>26</v>
      </c>
      <c r="G134" s="6" t="s">
        <v>156</v>
      </c>
      <c r="H134" s="2" t="s">
        <v>284</v>
      </c>
      <c r="I134" s="2" t="s">
        <v>285</v>
      </c>
      <c r="J134" s="2" t="s">
        <v>19</v>
      </c>
      <c r="K134" s="2" t="s">
        <v>2204</v>
      </c>
      <c r="L134" s="7" t="str">
        <f>HYPERLINK("http://slimages.macys.com/is/image/MCY/12035057 ")</f>
        <v xml:space="preserve">http://slimages.macys.com/is/image/MCY/12035057 </v>
      </c>
    </row>
    <row r="135" spans="1:12" ht="36.75" x14ac:dyDescent="0.25">
      <c r="A135" s="4" t="s">
        <v>3466</v>
      </c>
      <c r="B135" s="2" t="s">
        <v>2340</v>
      </c>
      <c r="C135" s="3">
        <v>1</v>
      </c>
      <c r="D135" s="5">
        <v>37.130000000000003</v>
      </c>
      <c r="E135" s="3" t="s">
        <v>2341</v>
      </c>
      <c r="F135" s="2" t="s">
        <v>111</v>
      </c>
      <c r="G135" s="6" t="s">
        <v>156</v>
      </c>
      <c r="H135" s="2" t="s">
        <v>194</v>
      </c>
      <c r="I135" s="2" t="s">
        <v>408</v>
      </c>
      <c r="J135" s="2" t="s">
        <v>19</v>
      </c>
      <c r="K135" s="2" t="s">
        <v>500</v>
      </c>
      <c r="L135" s="7" t="str">
        <f>HYPERLINK("http://slimages.macys.com/is/image/MCY/12672193 ")</f>
        <v xml:space="preserve">http://slimages.macys.com/is/image/MCY/12672193 </v>
      </c>
    </row>
    <row r="136" spans="1:12" ht="36.75" x14ac:dyDescent="0.25">
      <c r="A136" s="4" t="s">
        <v>3467</v>
      </c>
      <c r="B136" s="2" t="s">
        <v>3468</v>
      </c>
      <c r="C136" s="3">
        <v>1</v>
      </c>
      <c r="D136" s="5">
        <v>51.5</v>
      </c>
      <c r="E136" s="3" t="s">
        <v>3469</v>
      </c>
      <c r="F136" s="2" t="s">
        <v>417</v>
      </c>
      <c r="G136" s="6" t="s">
        <v>106</v>
      </c>
      <c r="H136" s="2" t="s">
        <v>246</v>
      </c>
      <c r="I136" s="2" t="s">
        <v>408</v>
      </c>
      <c r="J136" s="2" t="s">
        <v>19</v>
      </c>
      <c r="K136" s="2" t="s">
        <v>500</v>
      </c>
      <c r="L136" s="7" t="str">
        <f>HYPERLINK("http://slimages.macys.com/is/image/MCY/12672193 ")</f>
        <v xml:space="preserve">http://slimages.macys.com/is/image/MCY/12672193 </v>
      </c>
    </row>
    <row r="137" spans="1:12" ht="36.75" x14ac:dyDescent="0.25">
      <c r="A137" s="4" t="s">
        <v>3470</v>
      </c>
      <c r="B137" s="2" t="s">
        <v>606</v>
      </c>
      <c r="C137" s="3">
        <v>1</v>
      </c>
      <c r="D137" s="5">
        <v>37.130000000000003</v>
      </c>
      <c r="E137" s="3">
        <v>100054430</v>
      </c>
      <c r="F137" s="2" t="s">
        <v>579</v>
      </c>
      <c r="G137" s="6" t="s">
        <v>16</v>
      </c>
      <c r="H137" s="2" t="s">
        <v>194</v>
      </c>
      <c r="I137" s="2" t="s">
        <v>408</v>
      </c>
      <c r="J137" s="2" t="s">
        <v>19</v>
      </c>
      <c r="K137" s="2" t="s">
        <v>500</v>
      </c>
      <c r="L137" s="7" t="str">
        <f>HYPERLINK("http://slimages.macys.com/is/image/MCY/12672193 ")</f>
        <v xml:space="preserve">http://slimages.macys.com/is/image/MCY/12672193 </v>
      </c>
    </row>
    <row r="138" spans="1:12" ht="36.75" x14ac:dyDescent="0.25">
      <c r="A138" s="4" t="s">
        <v>3471</v>
      </c>
      <c r="B138" s="2" t="s">
        <v>606</v>
      </c>
      <c r="C138" s="3">
        <v>1</v>
      </c>
      <c r="D138" s="5">
        <v>37.130000000000003</v>
      </c>
      <c r="E138" s="3">
        <v>100054430</v>
      </c>
      <c r="F138" s="2" t="s">
        <v>579</v>
      </c>
      <c r="G138" s="6" t="s">
        <v>58</v>
      </c>
      <c r="H138" s="2" t="s">
        <v>194</v>
      </c>
      <c r="I138" s="2" t="s">
        <v>408</v>
      </c>
      <c r="J138" s="2" t="s">
        <v>19</v>
      </c>
      <c r="K138" s="2" t="s">
        <v>500</v>
      </c>
      <c r="L138" s="7" t="str">
        <f>HYPERLINK("http://slimages.macys.com/is/image/MCY/12672193 ")</f>
        <v xml:space="preserve">http://slimages.macys.com/is/image/MCY/12672193 </v>
      </c>
    </row>
    <row r="139" spans="1:12" ht="24.75" x14ac:dyDescent="0.25">
      <c r="A139" s="4" t="s">
        <v>3472</v>
      </c>
      <c r="B139" s="2" t="s">
        <v>3473</v>
      </c>
      <c r="C139" s="3">
        <v>2</v>
      </c>
      <c r="D139" s="5">
        <v>40.880000000000003</v>
      </c>
      <c r="E139" s="3" t="s">
        <v>3474</v>
      </c>
      <c r="F139" s="2" t="s">
        <v>15</v>
      </c>
      <c r="G139" s="6" t="s">
        <v>234</v>
      </c>
      <c r="H139" s="2" t="s">
        <v>284</v>
      </c>
      <c r="I139" s="2" t="s">
        <v>195</v>
      </c>
      <c r="J139" s="2" t="s">
        <v>19</v>
      </c>
      <c r="K139" s="2" t="s">
        <v>201</v>
      </c>
      <c r="L139" s="7" t="str">
        <f>HYPERLINK("http://slimages.macys.com/is/image/MCY/11804343 ")</f>
        <v xml:space="preserve">http://slimages.macys.com/is/image/MCY/11804343 </v>
      </c>
    </row>
    <row r="140" spans="1:12" ht="24.75" x14ac:dyDescent="0.25">
      <c r="A140" s="4" t="s">
        <v>3475</v>
      </c>
      <c r="B140" s="2" t="s">
        <v>3473</v>
      </c>
      <c r="C140" s="3">
        <v>1</v>
      </c>
      <c r="D140" s="5">
        <v>40.880000000000003</v>
      </c>
      <c r="E140" s="3" t="s">
        <v>3474</v>
      </c>
      <c r="F140" s="2" t="s">
        <v>15</v>
      </c>
      <c r="G140" s="6" t="s">
        <v>181</v>
      </c>
      <c r="H140" s="2" t="s">
        <v>284</v>
      </c>
      <c r="I140" s="2" t="s">
        <v>487</v>
      </c>
      <c r="J140" s="2" t="s">
        <v>19</v>
      </c>
      <c r="K140" s="2" t="s">
        <v>3476</v>
      </c>
      <c r="L140" s="7" t="str">
        <f>HYPERLINK("http://slimages.macys.com/is/image/MCY/11251513 ")</f>
        <v xml:space="preserve">http://slimages.macys.com/is/image/MCY/11251513 </v>
      </c>
    </row>
    <row r="141" spans="1:12" ht="24.75" x14ac:dyDescent="0.25">
      <c r="A141" s="4" t="s">
        <v>2348</v>
      </c>
      <c r="B141" s="2" t="s">
        <v>612</v>
      </c>
      <c r="C141" s="3">
        <v>2</v>
      </c>
      <c r="D141" s="5">
        <v>37.130000000000003</v>
      </c>
      <c r="E141" s="3">
        <v>100042366</v>
      </c>
      <c r="F141" s="2" t="s">
        <v>111</v>
      </c>
      <c r="G141" s="6" t="s">
        <v>181</v>
      </c>
      <c r="H141" s="2" t="s">
        <v>194</v>
      </c>
      <c r="I141" s="2" t="s">
        <v>503</v>
      </c>
      <c r="J141" s="2" t="s">
        <v>19</v>
      </c>
      <c r="K141" s="2" t="s">
        <v>607</v>
      </c>
      <c r="L141" s="7" t="str">
        <f>HYPERLINK("http://slimages.macys.com/is/image/MCY/12063680 ")</f>
        <v xml:space="preserve">http://slimages.macys.com/is/image/MCY/12063680 </v>
      </c>
    </row>
    <row r="142" spans="1:12" x14ac:dyDescent="0.25">
      <c r="A142" s="4" t="s">
        <v>3477</v>
      </c>
      <c r="B142" s="2" t="s">
        <v>3478</v>
      </c>
      <c r="C142" s="3">
        <v>1</v>
      </c>
      <c r="D142" s="5">
        <v>79.5</v>
      </c>
      <c r="E142" s="3" t="s">
        <v>3479</v>
      </c>
      <c r="F142" s="2" t="s">
        <v>74</v>
      </c>
      <c r="G142" s="6"/>
      <c r="H142" s="2" t="s">
        <v>206</v>
      </c>
      <c r="I142" s="2" t="s">
        <v>503</v>
      </c>
      <c r="J142" s="2" t="s">
        <v>19</v>
      </c>
      <c r="K142" s="2" t="s">
        <v>607</v>
      </c>
      <c r="L142" s="7" t="str">
        <f>HYPERLINK("http://slimages.macys.com/is/image/MCY/12063680 ")</f>
        <v xml:space="preserve">http://slimages.macys.com/is/image/MCY/12063680 </v>
      </c>
    </row>
    <row r="143" spans="1:12" ht="24.75" x14ac:dyDescent="0.25">
      <c r="A143" s="4" t="s">
        <v>3480</v>
      </c>
      <c r="B143" s="2" t="s">
        <v>630</v>
      </c>
      <c r="C143" s="3">
        <v>1</v>
      </c>
      <c r="D143" s="5">
        <v>44.63</v>
      </c>
      <c r="E143" s="3" t="s">
        <v>631</v>
      </c>
      <c r="F143" s="2" t="s">
        <v>26</v>
      </c>
      <c r="G143" s="6"/>
      <c r="H143" s="2" t="s">
        <v>632</v>
      </c>
      <c r="I143" s="2" t="s">
        <v>285</v>
      </c>
      <c r="J143" s="2" t="s">
        <v>19</v>
      </c>
      <c r="K143" s="2" t="s">
        <v>160</v>
      </c>
      <c r="L143" s="7" t="str">
        <f>HYPERLINK("http://slimages.macys.com/is/image/MCY/12671886 ")</f>
        <v xml:space="preserve">http://slimages.macys.com/is/image/MCY/12671886 </v>
      </c>
    </row>
    <row r="144" spans="1:12" ht="24.75" x14ac:dyDescent="0.25">
      <c r="A144" s="4" t="s">
        <v>3481</v>
      </c>
      <c r="B144" s="2" t="s">
        <v>2351</v>
      </c>
      <c r="C144" s="3">
        <v>1</v>
      </c>
      <c r="D144" s="5">
        <v>37.130000000000003</v>
      </c>
      <c r="E144" s="3" t="s">
        <v>2352</v>
      </c>
      <c r="F144" s="2" t="s">
        <v>111</v>
      </c>
      <c r="G144" s="6" t="s">
        <v>200</v>
      </c>
      <c r="H144" s="2" t="s">
        <v>194</v>
      </c>
      <c r="I144" s="2" t="s">
        <v>285</v>
      </c>
      <c r="J144" s="2" t="s">
        <v>19</v>
      </c>
      <c r="K144" s="2" t="s">
        <v>160</v>
      </c>
      <c r="L144" s="7" t="str">
        <f>HYPERLINK("http://slimages.macys.com/is/image/MCY/12671886 ")</f>
        <v xml:space="preserve">http://slimages.macys.com/is/image/MCY/12671886 </v>
      </c>
    </row>
    <row r="145" spans="1:12" ht="24.75" x14ac:dyDescent="0.25">
      <c r="A145" s="4" t="s">
        <v>3482</v>
      </c>
      <c r="B145" s="2" t="s">
        <v>2351</v>
      </c>
      <c r="C145" s="3">
        <v>1</v>
      </c>
      <c r="D145" s="5">
        <v>37.130000000000003</v>
      </c>
      <c r="E145" s="3" t="s">
        <v>2352</v>
      </c>
      <c r="F145" s="2" t="s">
        <v>111</v>
      </c>
      <c r="G145" s="6" t="s">
        <v>154</v>
      </c>
      <c r="H145" s="2" t="s">
        <v>194</v>
      </c>
      <c r="I145" s="2" t="s">
        <v>195</v>
      </c>
      <c r="J145" s="2" t="s">
        <v>19</v>
      </c>
      <c r="K145" s="2" t="s">
        <v>546</v>
      </c>
      <c r="L145" s="7" t="str">
        <f>HYPERLINK("http://slimages.macys.com/is/image/MCY/12734278 ")</f>
        <v xml:space="preserve">http://slimages.macys.com/is/image/MCY/12734278 </v>
      </c>
    </row>
    <row r="146" spans="1:12" ht="48.75" x14ac:dyDescent="0.25">
      <c r="A146" s="4" t="s">
        <v>3483</v>
      </c>
      <c r="B146" s="2" t="s">
        <v>2351</v>
      </c>
      <c r="C146" s="3">
        <v>1</v>
      </c>
      <c r="D146" s="5">
        <v>37.130000000000003</v>
      </c>
      <c r="E146" s="3" t="s">
        <v>2352</v>
      </c>
      <c r="F146" s="2" t="s">
        <v>111</v>
      </c>
      <c r="G146" s="6" t="s">
        <v>181</v>
      </c>
      <c r="H146" s="2" t="s">
        <v>194</v>
      </c>
      <c r="I146" s="2" t="s">
        <v>207</v>
      </c>
      <c r="J146" s="2" t="s">
        <v>19</v>
      </c>
      <c r="K146" s="2" t="s">
        <v>3484</v>
      </c>
      <c r="L146" s="7" t="str">
        <f>HYPERLINK("http://slimages.macys.com/is/image/MCY/9043583 ")</f>
        <v xml:space="preserve">http://slimages.macys.com/is/image/MCY/9043583 </v>
      </c>
    </row>
    <row r="147" spans="1:12" ht="24.75" x14ac:dyDescent="0.25">
      <c r="A147" s="4" t="s">
        <v>3485</v>
      </c>
      <c r="B147" s="2" t="s">
        <v>3486</v>
      </c>
      <c r="C147" s="3">
        <v>2</v>
      </c>
      <c r="D147" s="5">
        <v>44.63</v>
      </c>
      <c r="E147" s="3" t="s">
        <v>3487</v>
      </c>
      <c r="F147" s="2" t="s">
        <v>74</v>
      </c>
      <c r="G147" s="6" t="s">
        <v>234</v>
      </c>
      <c r="H147" s="2" t="s">
        <v>284</v>
      </c>
      <c r="I147" s="2" t="s">
        <v>285</v>
      </c>
      <c r="J147" s="2" t="s">
        <v>19</v>
      </c>
      <c r="K147" s="2" t="s">
        <v>633</v>
      </c>
      <c r="L147" s="7" t="str">
        <f>HYPERLINK("http://slimages.macys.com/is/image/MCY/9449926 ")</f>
        <v xml:space="preserve">http://slimages.macys.com/is/image/MCY/9449926 </v>
      </c>
    </row>
    <row r="148" spans="1:12" ht="24.75" x14ac:dyDescent="0.25">
      <c r="A148" s="4" t="s">
        <v>3488</v>
      </c>
      <c r="B148" s="2" t="s">
        <v>2357</v>
      </c>
      <c r="C148" s="3">
        <v>1</v>
      </c>
      <c r="D148" s="5">
        <v>40.880000000000003</v>
      </c>
      <c r="E148" s="3" t="s">
        <v>2358</v>
      </c>
      <c r="F148" s="2" t="s">
        <v>15</v>
      </c>
      <c r="G148" s="6" t="s">
        <v>200</v>
      </c>
      <c r="H148" s="2" t="s">
        <v>284</v>
      </c>
      <c r="I148" s="2" t="s">
        <v>195</v>
      </c>
      <c r="J148" s="2" t="s">
        <v>19</v>
      </c>
      <c r="K148" s="2" t="s">
        <v>438</v>
      </c>
      <c r="L148" s="7" t="str">
        <f>HYPERLINK("http://slimages.macys.com/is/image/MCY/12667948 ")</f>
        <v xml:space="preserve">http://slimages.macys.com/is/image/MCY/12667948 </v>
      </c>
    </row>
    <row r="149" spans="1:12" ht="24.75" x14ac:dyDescent="0.25">
      <c r="A149" s="4" t="s">
        <v>3489</v>
      </c>
      <c r="B149" s="2" t="s">
        <v>3490</v>
      </c>
      <c r="C149" s="3">
        <v>1</v>
      </c>
      <c r="D149" s="5">
        <v>37.130000000000003</v>
      </c>
      <c r="E149" s="3" t="s">
        <v>3491</v>
      </c>
      <c r="F149" s="2" t="s">
        <v>15</v>
      </c>
      <c r="G149" s="6" t="s">
        <v>181</v>
      </c>
      <c r="H149" s="2" t="s">
        <v>194</v>
      </c>
      <c r="I149" s="2" t="s">
        <v>195</v>
      </c>
      <c r="J149" s="2" t="s">
        <v>19</v>
      </c>
      <c r="K149" s="2" t="s">
        <v>438</v>
      </c>
      <c r="L149" s="7" t="str">
        <f>HYPERLINK("http://slimages.macys.com/is/image/MCY/12667948 ")</f>
        <v xml:space="preserve">http://slimages.macys.com/is/image/MCY/12667948 </v>
      </c>
    </row>
    <row r="150" spans="1:12" ht="24.75" x14ac:dyDescent="0.25">
      <c r="A150" s="4" t="s">
        <v>3492</v>
      </c>
      <c r="B150" s="2" t="s">
        <v>635</v>
      </c>
      <c r="C150" s="3">
        <v>1</v>
      </c>
      <c r="D150" s="5">
        <v>44.5</v>
      </c>
      <c r="E150" s="3" t="s">
        <v>636</v>
      </c>
      <c r="F150" s="2" t="s">
        <v>417</v>
      </c>
      <c r="G150" s="6" t="s">
        <v>16</v>
      </c>
      <c r="H150" s="2" t="s">
        <v>213</v>
      </c>
      <c r="I150" s="2" t="s">
        <v>195</v>
      </c>
      <c r="J150" s="2" t="s">
        <v>19</v>
      </c>
      <c r="K150" s="2" t="s">
        <v>438</v>
      </c>
      <c r="L150" s="7" t="str">
        <f>HYPERLINK("http://slimages.macys.com/is/image/MCY/12667948 ")</f>
        <v xml:space="preserve">http://slimages.macys.com/is/image/MCY/12667948 </v>
      </c>
    </row>
    <row r="151" spans="1:12" ht="24.75" x14ac:dyDescent="0.25">
      <c r="A151" s="4" t="s">
        <v>3493</v>
      </c>
      <c r="B151" s="2" t="s">
        <v>3494</v>
      </c>
      <c r="C151" s="3">
        <v>1</v>
      </c>
      <c r="D151" s="5">
        <v>39.99</v>
      </c>
      <c r="E151" s="3" t="s">
        <v>3495</v>
      </c>
      <c r="F151" s="2" t="s">
        <v>48</v>
      </c>
      <c r="G151" s="6" t="s">
        <v>234</v>
      </c>
      <c r="H151" s="2" t="s">
        <v>246</v>
      </c>
      <c r="I151" s="2" t="s">
        <v>285</v>
      </c>
      <c r="J151" s="2" t="s">
        <v>19</v>
      </c>
      <c r="K151" s="2" t="s">
        <v>160</v>
      </c>
      <c r="L151" s="7" t="str">
        <f>HYPERLINK("http://slimages.macys.com/is/image/MCY/12285227 ")</f>
        <v xml:space="preserve">http://slimages.macys.com/is/image/MCY/12285227 </v>
      </c>
    </row>
    <row r="152" spans="1:12" ht="24.75" x14ac:dyDescent="0.25">
      <c r="A152" s="4" t="s">
        <v>3496</v>
      </c>
      <c r="B152" s="2" t="s">
        <v>2351</v>
      </c>
      <c r="C152" s="3">
        <v>1</v>
      </c>
      <c r="D152" s="5">
        <v>37.130000000000003</v>
      </c>
      <c r="E152" s="3" t="s">
        <v>3497</v>
      </c>
      <c r="F152" s="2" t="s">
        <v>417</v>
      </c>
      <c r="G152" s="6"/>
      <c r="H152" s="2" t="s">
        <v>312</v>
      </c>
      <c r="I152" s="2" t="s">
        <v>285</v>
      </c>
      <c r="J152" s="2" t="s">
        <v>19</v>
      </c>
      <c r="K152" s="2" t="s">
        <v>160</v>
      </c>
      <c r="L152" s="7" t="str">
        <f>HYPERLINK("http://slimages.macys.com/is/image/MCY/12671658 ")</f>
        <v xml:space="preserve">http://slimages.macys.com/is/image/MCY/12671658 </v>
      </c>
    </row>
    <row r="153" spans="1:12" ht="48.75" x14ac:dyDescent="0.25">
      <c r="A153" s="4" t="s">
        <v>3498</v>
      </c>
      <c r="B153" s="2" t="s">
        <v>641</v>
      </c>
      <c r="C153" s="3">
        <v>1</v>
      </c>
      <c r="D153" s="5">
        <v>34.99</v>
      </c>
      <c r="E153" s="3" t="s">
        <v>642</v>
      </c>
      <c r="F153" s="2" t="s">
        <v>64</v>
      </c>
      <c r="G153" s="6" t="s">
        <v>746</v>
      </c>
      <c r="H153" s="2" t="s">
        <v>349</v>
      </c>
      <c r="I153" s="2" t="s">
        <v>307</v>
      </c>
      <c r="J153" s="2" t="s">
        <v>19</v>
      </c>
      <c r="K153" s="2" t="s">
        <v>3499</v>
      </c>
      <c r="L153" s="7" t="str">
        <f>HYPERLINK("http://slimages.macys.com/is/image/MCY/12143810 ")</f>
        <v xml:space="preserve">http://slimages.macys.com/is/image/MCY/12143810 </v>
      </c>
    </row>
    <row r="154" spans="1:12" ht="24.75" x14ac:dyDescent="0.25">
      <c r="A154" s="4" t="s">
        <v>3500</v>
      </c>
      <c r="B154" s="2" t="s">
        <v>3501</v>
      </c>
      <c r="C154" s="3">
        <v>1</v>
      </c>
      <c r="D154" s="5">
        <v>34.99</v>
      </c>
      <c r="E154" s="3" t="s">
        <v>3502</v>
      </c>
      <c r="F154" s="2" t="s">
        <v>136</v>
      </c>
      <c r="G154" s="6"/>
      <c r="H154" s="2" t="s">
        <v>349</v>
      </c>
      <c r="I154" s="2" t="s">
        <v>214</v>
      </c>
      <c r="J154" s="2" t="s">
        <v>19</v>
      </c>
      <c r="K154" s="2" t="s">
        <v>253</v>
      </c>
      <c r="L154" s="7" t="str">
        <f>HYPERLINK("http://slimages.macys.com/is/image/MCY/8486169 ")</f>
        <v xml:space="preserve">http://slimages.macys.com/is/image/MCY/8486169 </v>
      </c>
    </row>
    <row r="155" spans="1:12" ht="24.75" x14ac:dyDescent="0.25">
      <c r="A155" s="4" t="s">
        <v>3503</v>
      </c>
      <c r="B155" s="2" t="s">
        <v>641</v>
      </c>
      <c r="C155" s="3">
        <v>1</v>
      </c>
      <c r="D155" s="5">
        <v>34.99</v>
      </c>
      <c r="E155" s="3" t="s">
        <v>642</v>
      </c>
      <c r="F155" s="2" t="s">
        <v>64</v>
      </c>
      <c r="G155" s="6" t="s">
        <v>2276</v>
      </c>
      <c r="H155" s="2" t="s">
        <v>349</v>
      </c>
      <c r="I155" s="2" t="s">
        <v>3504</v>
      </c>
      <c r="J155" s="2" t="s">
        <v>19</v>
      </c>
      <c r="K155" s="2" t="s">
        <v>34</v>
      </c>
      <c r="L155" s="7" t="str">
        <f>HYPERLINK("http://slimages.macys.com/is/image/MCY/12061217 ")</f>
        <v xml:space="preserve">http://slimages.macys.com/is/image/MCY/12061217 </v>
      </c>
    </row>
    <row r="156" spans="1:12" ht="24.75" x14ac:dyDescent="0.25">
      <c r="A156" s="4" t="s">
        <v>3505</v>
      </c>
      <c r="B156" s="2" t="s">
        <v>3506</v>
      </c>
      <c r="C156" s="3">
        <v>1</v>
      </c>
      <c r="D156" s="5">
        <v>41.65</v>
      </c>
      <c r="E156" s="3" t="s">
        <v>3507</v>
      </c>
      <c r="F156" s="2" t="s">
        <v>26</v>
      </c>
      <c r="G156" s="6" t="s">
        <v>154</v>
      </c>
      <c r="H156" s="2" t="s">
        <v>182</v>
      </c>
      <c r="I156" s="2" t="s">
        <v>195</v>
      </c>
      <c r="J156" s="2" t="s">
        <v>19</v>
      </c>
      <c r="K156" s="2" t="s">
        <v>3508</v>
      </c>
      <c r="L156" s="7" t="str">
        <f>HYPERLINK("http://slimages.macys.com/is/image/MCY/12667948 ")</f>
        <v xml:space="preserve">http://slimages.macys.com/is/image/MCY/12667948 </v>
      </c>
    </row>
    <row r="157" spans="1:12" ht="24.75" x14ac:dyDescent="0.25">
      <c r="A157" s="4" t="s">
        <v>3509</v>
      </c>
      <c r="B157" s="2" t="s">
        <v>3510</v>
      </c>
      <c r="C157" s="3">
        <v>1</v>
      </c>
      <c r="D157" s="5">
        <v>44.63</v>
      </c>
      <c r="E157" s="3" t="s">
        <v>3511</v>
      </c>
      <c r="F157" s="2" t="s">
        <v>70</v>
      </c>
      <c r="G157" s="6" t="s">
        <v>16</v>
      </c>
      <c r="H157" s="2" t="s">
        <v>213</v>
      </c>
      <c r="I157" s="2" t="s">
        <v>408</v>
      </c>
      <c r="J157" s="2" t="s">
        <v>19</v>
      </c>
      <c r="K157" s="2" t="s">
        <v>409</v>
      </c>
      <c r="L157" s="7" t="str">
        <f>HYPERLINK("http://slimages.macys.com/is/image/MCY/9297288 ")</f>
        <v xml:space="preserve">http://slimages.macys.com/is/image/MCY/9297288 </v>
      </c>
    </row>
    <row r="158" spans="1:12" ht="48.75" x14ac:dyDescent="0.25">
      <c r="A158" s="4" t="s">
        <v>3512</v>
      </c>
      <c r="B158" s="2" t="s">
        <v>3513</v>
      </c>
      <c r="C158" s="3">
        <v>1</v>
      </c>
      <c r="D158" s="5">
        <v>37.130000000000003</v>
      </c>
      <c r="E158" s="3" t="s">
        <v>3514</v>
      </c>
      <c r="F158" s="2" t="s">
        <v>33</v>
      </c>
      <c r="G158" s="6" t="s">
        <v>200</v>
      </c>
      <c r="H158" s="2" t="s">
        <v>194</v>
      </c>
      <c r="I158" s="2" t="s">
        <v>408</v>
      </c>
      <c r="J158" s="2" t="s">
        <v>19</v>
      </c>
      <c r="K158" s="2" t="s">
        <v>3515</v>
      </c>
      <c r="L158" s="7" t="str">
        <f>HYPERLINK("http://slimages.macys.com/is/image/MCY/8489150 ")</f>
        <v xml:space="preserve">http://slimages.macys.com/is/image/MCY/8489150 </v>
      </c>
    </row>
    <row r="159" spans="1:12" ht="24.75" x14ac:dyDescent="0.25">
      <c r="A159" s="4" t="s">
        <v>3516</v>
      </c>
      <c r="B159" s="2" t="s">
        <v>660</v>
      </c>
      <c r="C159" s="3">
        <v>1</v>
      </c>
      <c r="D159" s="5">
        <v>37.130000000000003</v>
      </c>
      <c r="E159" s="3" t="s">
        <v>661</v>
      </c>
      <c r="F159" s="2" t="s">
        <v>33</v>
      </c>
      <c r="G159" s="6" t="s">
        <v>234</v>
      </c>
      <c r="H159" s="2" t="s">
        <v>194</v>
      </c>
      <c r="I159" s="2" t="s">
        <v>408</v>
      </c>
      <c r="J159" s="2" t="s">
        <v>19</v>
      </c>
      <c r="K159" s="2" t="s">
        <v>409</v>
      </c>
      <c r="L159" s="7" t="str">
        <f>HYPERLINK("http://slimages.macys.com/is/image/MCY/9297288 ")</f>
        <v xml:space="preserve">http://slimages.macys.com/is/image/MCY/9297288 </v>
      </c>
    </row>
    <row r="160" spans="1:12" ht="24.75" x14ac:dyDescent="0.25">
      <c r="A160" s="4" t="s">
        <v>659</v>
      </c>
      <c r="B160" s="2" t="s">
        <v>660</v>
      </c>
      <c r="C160" s="3">
        <v>2</v>
      </c>
      <c r="D160" s="5">
        <v>37.130000000000003</v>
      </c>
      <c r="E160" s="3" t="s">
        <v>661</v>
      </c>
      <c r="F160" s="2" t="s">
        <v>33</v>
      </c>
      <c r="G160" s="6" t="s">
        <v>154</v>
      </c>
      <c r="H160" s="2" t="s">
        <v>194</v>
      </c>
      <c r="I160" s="2" t="s">
        <v>183</v>
      </c>
      <c r="J160" s="2" t="s">
        <v>19</v>
      </c>
      <c r="K160" s="2" t="s">
        <v>338</v>
      </c>
      <c r="L160" s="7" t="str">
        <f>HYPERLINK("http://slimages.macys.com/is/image/MCY/11833375 ")</f>
        <v xml:space="preserve">http://slimages.macys.com/is/image/MCY/11833375 </v>
      </c>
    </row>
    <row r="161" spans="1:12" ht="24.75" x14ac:dyDescent="0.25">
      <c r="A161" s="4" t="s">
        <v>3517</v>
      </c>
      <c r="B161" s="2" t="s">
        <v>660</v>
      </c>
      <c r="C161" s="3">
        <v>1</v>
      </c>
      <c r="D161" s="5">
        <v>37.130000000000003</v>
      </c>
      <c r="E161" s="3" t="s">
        <v>661</v>
      </c>
      <c r="F161" s="2" t="s">
        <v>33</v>
      </c>
      <c r="G161" s="6" t="s">
        <v>156</v>
      </c>
      <c r="H161" s="2" t="s">
        <v>194</v>
      </c>
      <c r="I161" s="2" t="s">
        <v>214</v>
      </c>
      <c r="J161" s="2" t="s">
        <v>19</v>
      </c>
      <c r="K161" s="2" t="s">
        <v>230</v>
      </c>
      <c r="L161" s="7" t="str">
        <f>HYPERLINK("http://slimages.macys.com/is/image/MCY/11433157 ")</f>
        <v xml:space="preserve">http://slimages.macys.com/is/image/MCY/11433157 </v>
      </c>
    </row>
    <row r="162" spans="1:12" ht="24.75" x14ac:dyDescent="0.25">
      <c r="A162" s="4" t="s">
        <v>3518</v>
      </c>
      <c r="B162" s="2" t="s">
        <v>660</v>
      </c>
      <c r="C162" s="3">
        <v>3</v>
      </c>
      <c r="D162" s="5">
        <v>37.130000000000003</v>
      </c>
      <c r="E162" s="3" t="s">
        <v>661</v>
      </c>
      <c r="F162" s="2" t="s">
        <v>33</v>
      </c>
      <c r="G162" s="6" t="s">
        <v>200</v>
      </c>
      <c r="H162" s="2" t="s">
        <v>194</v>
      </c>
      <c r="I162" s="2" t="s">
        <v>503</v>
      </c>
      <c r="J162" s="2" t="s">
        <v>19</v>
      </c>
      <c r="K162" s="2" t="s">
        <v>546</v>
      </c>
      <c r="L162" s="7" t="str">
        <f>HYPERLINK("http://slimages.macys.com/is/image/MCY/12316768 ")</f>
        <v xml:space="preserve">http://slimages.macys.com/is/image/MCY/12316768 </v>
      </c>
    </row>
    <row r="163" spans="1:12" ht="24.75" x14ac:dyDescent="0.25">
      <c r="A163" s="4" t="s">
        <v>662</v>
      </c>
      <c r="B163" s="2" t="s">
        <v>663</v>
      </c>
      <c r="C163" s="3">
        <v>1</v>
      </c>
      <c r="D163" s="5">
        <v>29.99</v>
      </c>
      <c r="E163" s="3" t="s">
        <v>664</v>
      </c>
      <c r="F163" s="2" t="s">
        <v>15</v>
      </c>
      <c r="G163" s="6" t="s">
        <v>154</v>
      </c>
      <c r="H163" s="2" t="s">
        <v>284</v>
      </c>
      <c r="I163" s="2" t="s">
        <v>503</v>
      </c>
      <c r="J163" s="2" t="s">
        <v>19</v>
      </c>
      <c r="K163" s="2" t="s">
        <v>546</v>
      </c>
      <c r="L163" s="7" t="str">
        <f>HYPERLINK("http://slimages.macys.com/is/image/MCY/12316768 ")</f>
        <v xml:space="preserve">http://slimages.macys.com/is/image/MCY/12316768 </v>
      </c>
    </row>
    <row r="164" spans="1:12" ht="24.75" x14ac:dyDescent="0.25">
      <c r="A164" s="4" t="s">
        <v>2375</v>
      </c>
      <c r="B164" s="2" t="s">
        <v>2376</v>
      </c>
      <c r="C164" s="3">
        <v>1</v>
      </c>
      <c r="D164" s="5">
        <v>40.880000000000003</v>
      </c>
      <c r="E164" s="3" t="s">
        <v>2377</v>
      </c>
      <c r="F164" s="2" t="s">
        <v>26</v>
      </c>
      <c r="G164" s="6" t="s">
        <v>156</v>
      </c>
      <c r="H164" s="2" t="s">
        <v>284</v>
      </c>
      <c r="I164" s="2" t="s">
        <v>503</v>
      </c>
      <c r="J164" s="2" t="s">
        <v>19</v>
      </c>
      <c r="K164" s="2" t="s">
        <v>546</v>
      </c>
      <c r="L164" s="7" t="str">
        <f>HYPERLINK("http://slimages.macys.com/is/image/MCY/12316768 ")</f>
        <v xml:space="preserve">http://slimages.macys.com/is/image/MCY/12316768 </v>
      </c>
    </row>
    <row r="165" spans="1:12" ht="24.75" x14ac:dyDescent="0.25">
      <c r="A165" s="4" t="s">
        <v>2371</v>
      </c>
      <c r="B165" s="2" t="s">
        <v>2372</v>
      </c>
      <c r="C165" s="3">
        <v>1</v>
      </c>
      <c r="D165" s="5">
        <v>44.5</v>
      </c>
      <c r="E165" s="3" t="s">
        <v>2373</v>
      </c>
      <c r="F165" s="2" t="s">
        <v>26</v>
      </c>
      <c r="G165" s="6"/>
      <c r="H165" s="2" t="s">
        <v>194</v>
      </c>
      <c r="I165" s="2" t="s">
        <v>503</v>
      </c>
      <c r="J165" s="2" t="s">
        <v>19</v>
      </c>
      <c r="K165" s="2" t="s">
        <v>546</v>
      </c>
      <c r="L165" s="7" t="str">
        <f>HYPERLINK("http://slimages.macys.com/is/image/MCY/12316768 ")</f>
        <v xml:space="preserve">http://slimages.macys.com/is/image/MCY/12316768 </v>
      </c>
    </row>
    <row r="166" spans="1:12" ht="24.75" x14ac:dyDescent="0.25">
      <c r="A166" s="4" t="s">
        <v>3519</v>
      </c>
      <c r="B166" s="2" t="s">
        <v>3520</v>
      </c>
      <c r="C166" s="3">
        <v>1</v>
      </c>
      <c r="D166" s="5">
        <v>40.880000000000003</v>
      </c>
      <c r="E166" s="3" t="s">
        <v>3521</v>
      </c>
      <c r="F166" s="2" t="s">
        <v>74</v>
      </c>
      <c r="G166" s="6" t="s">
        <v>154</v>
      </c>
      <c r="H166" s="2" t="s">
        <v>194</v>
      </c>
      <c r="I166" s="2" t="s">
        <v>503</v>
      </c>
      <c r="J166" s="2" t="s">
        <v>19</v>
      </c>
      <c r="K166" s="2" t="s">
        <v>546</v>
      </c>
      <c r="L166" s="7" t="str">
        <f>HYPERLINK("http://slimages.macys.com/is/image/MCY/12316768 ")</f>
        <v xml:space="preserve">http://slimages.macys.com/is/image/MCY/12316768 </v>
      </c>
    </row>
    <row r="167" spans="1:12" ht="24.75" x14ac:dyDescent="0.25">
      <c r="A167" s="4" t="s">
        <v>3522</v>
      </c>
      <c r="B167" s="2" t="s">
        <v>682</v>
      </c>
      <c r="C167" s="3">
        <v>1</v>
      </c>
      <c r="D167" s="5">
        <v>40.880000000000003</v>
      </c>
      <c r="E167" s="3" t="s">
        <v>683</v>
      </c>
      <c r="F167" s="2" t="s">
        <v>111</v>
      </c>
      <c r="G167" s="6" t="s">
        <v>154</v>
      </c>
      <c r="H167" s="2" t="s">
        <v>194</v>
      </c>
      <c r="I167" s="2" t="s">
        <v>408</v>
      </c>
      <c r="J167" s="2" t="s">
        <v>19</v>
      </c>
      <c r="K167" s="2" t="s">
        <v>409</v>
      </c>
      <c r="L167" s="7" t="str">
        <f>HYPERLINK("http://slimages.macys.com/is/image/MCY/13397153 ")</f>
        <v xml:space="preserve">http://slimages.macys.com/is/image/MCY/13397153 </v>
      </c>
    </row>
    <row r="168" spans="1:12" ht="24.75" x14ac:dyDescent="0.25">
      <c r="A168" s="4" t="s">
        <v>3523</v>
      </c>
      <c r="B168" s="2" t="s">
        <v>693</v>
      </c>
      <c r="C168" s="3">
        <v>1</v>
      </c>
      <c r="D168" s="5">
        <v>29.99</v>
      </c>
      <c r="E168" s="3" t="s">
        <v>3524</v>
      </c>
      <c r="F168" s="2" t="s">
        <v>376</v>
      </c>
      <c r="G168" s="6" t="s">
        <v>154</v>
      </c>
      <c r="H168" s="2" t="s">
        <v>284</v>
      </c>
      <c r="I168" s="2" t="s">
        <v>285</v>
      </c>
      <c r="J168" s="2" t="s">
        <v>19</v>
      </c>
      <c r="K168" s="2" t="s">
        <v>34</v>
      </c>
      <c r="L168" s="7" t="str">
        <f>HYPERLINK("http://slimages.macys.com/is/image/MCY/12671730 ")</f>
        <v xml:space="preserve">http://slimages.macys.com/is/image/MCY/12671730 </v>
      </c>
    </row>
    <row r="169" spans="1:12" ht="24.75" x14ac:dyDescent="0.25">
      <c r="A169" s="4" t="s">
        <v>3525</v>
      </c>
      <c r="B169" s="2" t="s">
        <v>3526</v>
      </c>
      <c r="C169" s="3">
        <v>1</v>
      </c>
      <c r="D169" s="5">
        <v>39.99</v>
      </c>
      <c r="E169" s="3" t="s">
        <v>3527</v>
      </c>
      <c r="F169" s="2" t="s">
        <v>15</v>
      </c>
      <c r="G169" s="6" t="s">
        <v>156</v>
      </c>
      <c r="H169" s="2" t="s">
        <v>246</v>
      </c>
      <c r="I169" s="2" t="s">
        <v>195</v>
      </c>
      <c r="J169" s="2" t="s">
        <v>19</v>
      </c>
      <c r="K169" s="2" t="s">
        <v>648</v>
      </c>
      <c r="L169" s="7" t="str">
        <f>HYPERLINK("http://slimages.macys.com/is/image/MCY/12667980 ")</f>
        <v xml:space="preserve">http://slimages.macys.com/is/image/MCY/12667980 </v>
      </c>
    </row>
    <row r="170" spans="1:12" ht="24.75" x14ac:dyDescent="0.25">
      <c r="A170" s="4" t="s">
        <v>3528</v>
      </c>
      <c r="B170" s="2" t="s">
        <v>3529</v>
      </c>
      <c r="C170" s="3">
        <v>1</v>
      </c>
      <c r="D170" s="5">
        <v>59.5</v>
      </c>
      <c r="E170" s="3" t="s">
        <v>3530</v>
      </c>
      <c r="F170" s="2" t="s">
        <v>676</v>
      </c>
      <c r="G170" s="6" t="s">
        <v>187</v>
      </c>
      <c r="H170" s="2" t="s">
        <v>127</v>
      </c>
      <c r="I170" s="2" t="s">
        <v>195</v>
      </c>
      <c r="J170" s="2" t="s">
        <v>19</v>
      </c>
      <c r="K170" s="2" t="s">
        <v>607</v>
      </c>
      <c r="L170" s="7" t="str">
        <f>HYPERLINK("http://slimages.macys.com/is/image/MCY/11466715 ")</f>
        <v xml:space="preserve">http://slimages.macys.com/is/image/MCY/11466715 </v>
      </c>
    </row>
    <row r="171" spans="1:12" ht="24.75" x14ac:dyDescent="0.25">
      <c r="A171" s="4" t="s">
        <v>2392</v>
      </c>
      <c r="B171" s="2" t="s">
        <v>2385</v>
      </c>
      <c r="C171" s="3">
        <v>1</v>
      </c>
      <c r="D171" s="5">
        <v>39.5</v>
      </c>
      <c r="E171" s="3" t="s">
        <v>2386</v>
      </c>
      <c r="F171" s="2" t="s">
        <v>26</v>
      </c>
      <c r="G171" s="6" t="s">
        <v>181</v>
      </c>
      <c r="H171" s="2" t="s">
        <v>194</v>
      </c>
      <c r="I171" s="2" t="s">
        <v>503</v>
      </c>
      <c r="J171" s="2" t="s">
        <v>19</v>
      </c>
      <c r="K171" s="2" t="s">
        <v>546</v>
      </c>
      <c r="L171" s="7" t="str">
        <f>HYPERLINK("http://slimages.macys.com/is/image/MCY/12316740 ")</f>
        <v xml:space="preserve">http://slimages.macys.com/is/image/MCY/12316740 </v>
      </c>
    </row>
    <row r="172" spans="1:12" ht="24.75" x14ac:dyDescent="0.25">
      <c r="A172" s="4" t="s">
        <v>2391</v>
      </c>
      <c r="B172" s="2" t="s">
        <v>707</v>
      </c>
      <c r="C172" s="3">
        <v>1</v>
      </c>
      <c r="D172" s="5">
        <v>40.880000000000003</v>
      </c>
      <c r="E172" s="3">
        <v>100047657</v>
      </c>
      <c r="F172" s="2" t="s">
        <v>376</v>
      </c>
      <c r="G172" s="6" t="s">
        <v>22</v>
      </c>
      <c r="H172" s="2" t="s">
        <v>194</v>
      </c>
      <c r="I172" s="2" t="s">
        <v>408</v>
      </c>
      <c r="J172" s="2" t="s">
        <v>19</v>
      </c>
      <c r="K172" s="2" t="s">
        <v>409</v>
      </c>
      <c r="L172" s="7" t="str">
        <f>HYPERLINK("http://slimages.macys.com/is/image/MCY/13397153 ")</f>
        <v xml:space="preserve">http://slimages.macys.com/is/image/MCY/13397153 </v>
      </c>
    </row>
    <row r="173" spans="1:12" ht="24.75" x14ac:dyDescent="0.25">
      <c r="A173" s="4" t="s">
        <v>3531</v>
      </c>
      <c r="B173" s="2" t="s">
        <v>709</v>
      </c>
      <c r="C173" s="3">
        <v>1</v>
      </c>
      <c r="D173" s="5">
        <v>44.63</v>
      </c>
      <c r="E173" s="3" t="s">
        <v>710</v>
      </c>
      <c r="F173" s="2" t="s">
        <v>15</v>
      </c>
      <c r="G173" s="6" t="s">
        <v>181</v>
      </c>
      <c r="H173" s="2" t="s">
        <v>284</v>
      </c>
      <c r="I173" s="2" t="s">
        <v>189</v>
      </c>
      <c r="J173" s="2" t="s">
        <v>19</v>
      </c>
      <c r="K173" s="2" t="s">
        <v>1480</v>
      </c>
      <c r="L173" s="7" t="str">
        <f>HYPERLINK("http://slimages.macys.com/is/image/MCY/10679334 ")</f>
        <v xml:space="preserve">http://slimages.macys.com/is/image/MCY/10679334 </v>
      </c>
    </row>
    <row r="174" spans="1:12" ht="24.75" x14ac:dyDescent="0.25">
      <c r="A174" s="4" t="s">
        <v>3532</v>
      </c>
      <c r="B174" s="2" t="s">
        <v>3533</v>
      </c>
      <c r="C174" s="3">
        <v>1</v>
      </c>
      <c r="D174" s="5">
        <v>44.63</v>
      </c>
      <c r="E174" s="3" t="s">
        <v>3534</v>
      </c>
      <c r="F174" s="2" t="s">
        <v>417</v>
      </c>
      <c r="G174" s="6" t="s">
        <v>154</v>
      </c>
      <c r="H174" s="2" t="s">
        <v>284</v>
      </c>
      <c r="I174" s="2" t="s">
        <v>128</v>
      </c>
      <c r="J174" s="2" t="s">
        <v>19</v>
      </c>
      <c r="K174" s="2" t="s">
        <v>160</v>
      </c>
      <c r="L174" s="7" t="str">
        <f>HYPERLINK("http://slimages.macys.com/is/image/MCY/14608161 ")</f>
        <v xml:space="preserve">http://slimages.macys.com/is/image/MCY/14608161 </v>
      </c>
    </row>
    <row r="175" spans="1:12" ht="24.75" x14ac:dyDescent="0.25">
      <c r="A175" s="4" t="s">
        <v>2393</v>
      </c>
      <c r="B175" s="2" t="s">
        <v>2394</v>
      </c>
      <c r="C175" s="3">
        <v>1</v>
      </c>
      <c r="D175" s="5">
        <v>40.880000000000003</v>
      </c>
      <c r="E175" s="3" t="s">
        <v>2395</v>
      </c>
      <c r="F175" s="2" t="s">
        <v>33</v>
      </c>
      <c r="G175" s="6" t="s">
        <v>181</v>
      </c>
      <c r="H175" s="2" t="s">
        <v>194</v>
      </c>
      <c r="I175" s="2" t="s">
        <v>195</v>
      </c>
      <c r="J175" s="2" t="s">
        <v>19</v>
      </c>
      <c r="K175" s="2" t="s">
        <v>201</v>
      </c>
      <c r="L175" s="7" t="str">
        <f>HYPERLINK("http://slimages.macys.com/is/image/MCY/12034726 ")</f>
        <v xml:space="preserve">http://slimages.macys.com/is/image/MCY/12034726 </v>
      </c>
    </row>
    <row r="176" spans="1:12" ht="24.75" x14ac:dyDescent="0.25">
      <c r="A176" s="4" t="s">
        <v>3535</v>
      </c>
      <c r="B176" s="2" t="s">
        <v>3536</v>
      </c>
      <c r="C176" s="3">
        <v>1</v>
      </c>
      <c r="D176" s="5">
        <v>40.880000000000003</v>
      </c>
      <c r="E176" s="3" t="s">
        <v>3537</v>
      </c>
      <c r="F176" s="2" t="s">
        <v>74</v>
      </c>
      <c r="G176" s="6" t="s">
        <v>200</v>
      </c>
      <c r="H176" s="2" t="s">
        <v>284</v>
      </c>
      <c r="I176" s="2" t="s">
        <v>195</v>
      </c>
      <c r="J176" s="2" t="s">
        <v>19</v>
      </c>
      <c r="K176" s="2" t="s">
        <v>546</v>
      </c>
      <c r="L176" s="7" t="str">
        <f>HYPERLINK("http://slimages.macys.com/is/image/MCY/12143636 ")</f>
        <v xml:space="preserve">http://slimages.macys.com/is/image/MCY/12143636 </v>
      </c>
    </row>
    <row r="177" spans="1:12" ht="24.75" x14ac:dyDescent="0.25">
      <c r="A177" s="4" t="s">
        <v>3538</v>
      </c>
      <c r="B177" s="2" t="s">
        <v>3536</v>
      </c>
      <c r="C177" s="3">
        <v>1</v>
      </c>
      <c r="D177" s="5">
        <v>40.880000000000003</v>
      </c>
      <c r="E177" s="3" t="s">
        <v>3537</v>
      </c>
      <c r="F177" s="2" t="s">
        <v>74</v>
      </c>
      <c r="G177" s="6" t="s">
        <v>234</v>
      </c>
      <c r="H177" s="2" t="s">
        <v>284</v>
      </c>
      <c r="I177" s="2" t="s">
        <v>285</v>
      </c>
      <c r="J177" s="2" t="s">
        <v>19</v>
      </c>
      <c r="K177" s="2" t="s">
        <v>711</v>
      </c>
      <c r="L177" s="7" t="str">
        <f>HYPERLINK("http://slimages.macys.com/is/image/MCY/12671663 ")</f>
        <v xml:space="preserve">http://slimages.macys.com/is/image/MCY/12671663 </v>
      </c>
    </row>
    <row r="178" spans="1:12" ht="24.75" x14ac:dyDescent="0.25">
      <c r="A178" s="4" t="s">
        <v>3539</v>
      </c>
      <c r="B178" s="2" t="s">
        <v>3536</v>
      </c>
      <c r="C178" s="3">
        <v>1</v>
      </c>
      <c r="D178" s="5">
        <v>40.880000000000003</v>
      </c>
      <c r="E178" s="3" t="s">
        <v>3537</v>
      </c>
      <c r="F178" s="2" t="s">
        <v>74</v>
      </c>
      <c r="G178" s="6" t="s">
        <v>154</v>
      </c>
      <c r="H178" s="2" t="s">
        <v>284</v>
      </c>
      <c r="I178" s="2" t="s">
        <v>285</v>
      </c>
      <c r="J178" s="2" t="s">
        <v>19</v>
      </c>
      <c r="K178" s="2" t="s">
        <v>160</v>
      </c>
      <c r="L178" s="7" t="str">
        <f>HYPERLINK("http://slimages.macys.com/is/image/MCY/12717529 ")</f>
        <v xml:space="preserve">http://slimages.macys.com/is/image/MCY/12717529 </v>
      </c>
    </row>
    <row r="179" spans="1:12" ht="24.75" x14ac:dyDescent="0.25">
      <c r="A179" s="4" t="s">
        <v>3540</v>
      </c>
      <c r="B179" s="2" t="s">
        <v>707</v>
      </c>
      <c r="C179" s="3">
        <v>1</v>
      </c>
      <c r="D179" s="5">
        <v>40.880000000000003</v>
      </c>
      <c r="E179" s="3" t="s">
        <v>742</v>
      </c>
      <c r="F179" s="2" t="s">
        <v>199</v>
      </c>
      <c r="G179" s="6" t="s">
        <v>205</v>
      </c>
      <c r="H179" s="2" t="s">
        <v>312</v>
      </c>
      <c r="I179" s="2" t="s">
        <v>195</v>
      </c>
      <c r="J179" s="2" t="s">
        <v>19</v>
      </c>
      <c r="K179" s="2" t="s">
        <v>34</v>
      </c>
      <c r="L179" s="7" t="str">
        <f>HYPERLINK("http://slimages.macys.com/is/image/MCY/12950238 ")</f>
        <v xml:space="preserve">http://slimages.macys.com/is/image/MCY/12950238 </v>
      </c>
    </row>
    <row r="180" spans="1:12" ht="48.75" x14ac:dyDescent="0.25">
      <c r="A180" s="4" t="s">
        <v>3541</v>
      </c>
      <c r="B180" s="2" t="s">
        <v>707</v>
      </c>
      <c r="C180" s="3">
        <v>1</v>
      </c>
      <c r="D180" s="5">
        <v>40.880000000000003</v>
      </c>
      <c r="E180" s="3" t="s">
        <v>742</v>
      </c>
      <c r="F180" s="2" t="s">
        <v>376</v>
      </c>
      <c r="G180" s="6" t="s">
        <v>205</v>
      </c>
      <c r="H180" s="2" t="s">
        <v>312</v>
      </c>
      <c r="I180" s="2" t="s">
        <v>285</v>
      </c>
      <c r="J180" s="2" t="s">
        <v>19</v>
      </c>
      <c r="K180" s="2" t="s">
        <v>3542</v>
      </c>
      <c r="L180" s="7" t="str">
        <f>HYPERLINK("http://slimages.macys.com/is/image/MCY/11858366 ")</f>
        <v xml:space="preserve">http://slimages.macys.com/is/image/MCY/11858366 </v>
      </c>
    </row>
    <row r="181" spans="1:12" ht="48.75" x14ac:dyDescent="0.25">
      <c r="A181" s="4" t="s">
        <v>3543</v>
      </c>
      <c r="B181" s="2" t="s">
        <v>750</v>
      </c>
      <c r="C181" s="3">
        <v>1</v>
      </c>
      <c r="D181" s="5">
        <v>44.63</v>
      </c>
      <c r="E181" s="3" t="s">
        <v>751</v>
      </c>
      <c r="F181" s="2" t="s">
        <v>752</v>
      </c>
      <c r="G181" s="6" t="s">
        <v>200</v>
      </c>
      <c r="H181" s="2" t="s">
        <v>194</v>
      </c>
      <c r="I181" s="2" t="s">
        <v>285</v>
      </c>
      <c r="J181" s="2" t="s">
        <v>19</v>
      </c>
      <c r="K181" s="2" t="s">
        <v>3542</v>
      </c>
      <c r="L181" s="7" t="str">
        <f>HYPERLINK("http://slimages.macys.com/is/image/MCY/11858366 ")</f>
        <v xml:space="preserve">http://slimages.macys.com/is/image/MCY/11858366 </v>
      </c>
    </row>
    <row r="182" spans="1:12" ht="48.75" x14ac:dyDescent="0.25">
      <c r="A182" s="4" t="s">
        <v>749</v>
      </c>
      <c r="B182" s="2" t="s">
        <v>750</v>
      </c>
      <c r="C182" s="3">
        <v>2</v>
      </c>
      <c r="D182" s="5">
        <v>44.63</v>
      </c>
      <c r="E182" s="3" t="s">
        <v>751</v>
      </c>
      <c r="F182" s="2" t="s">
        <v>752</v>
      </c>
      <c r="G182" s="6" t="s">
        <v>154</v>
      </c>
      <c r="H182" s="2" t="s">
        <v>194</v>
      </c>
      <c r="I182" s="2" t="s">
        <v>285</v>
      </c>
      <c r="J182" s="2" t="s">
        <v>19</v>
      </c>
      <c r="K182" s="2" t="s">
        <v>3542</v>
      </c>
      <c r="L182" s="7" t="str">
        <f>HYPERLINK("http://slimages.macys.com/is/image/MCY/11858366 ")</f>
        <v xml:space="preserve">http://slimages.macys.com/is/image/MCY/11858366 </v>
      </c>
    </row>
    <row r="183" spans="1:12" ht="24.75" x14ac:dyDescent="0.25">
      <c r="A183" s="4" t="s">
        <v>3544</v>
      </c>
      <c r="B183" s="2" t="s">
        <v>3545</v>
      </c>
      <c r="C183" s="3">
        <v>1</v>
      </c>
      <c r="D183" s="5">
        <v>36.99</v>
      </c>
      <c r="E183" s="3" t="s">
        <v>3546</v>
      </c>
      <c r="F183" s="2" t="s">
        <v>74</v>
      </c>
      <c r="G183" s="6" t="s">
        <v>154</v>
      </c>
      <c r="H183" s="2" t="s">
        <v>284</v>
      </c>
      <c r="I183" s="2" t="s">
        <v>195</v>
      </c>
      <c r="J183" s="2" t="s">
        <v>19</v>
      </c>
      <c r="K183" s="2" t="s">
        <v>546</v>
      </c>
      <c r="L183" s="7" t="str">
        <f>HYPERLINK("http://slimages.macys.com/is/image/MCY/12143632 ")</f>
        <v xml:space="preserve">http://slimages.macys.com/is/image/MCY/12143632 </v>
      </c>
    </row>
    <row r="184" spans="1:12" ht="24.75" x14ac:dyDescent="0.25">
      <c r="A184" s="4" t="s">
        <v>3547</v>
      </c>
      <c r="B184" s="2" t="s">
        <v>3548</v>
      </c>
      <c r="C184" s="3">
        <v>1</v>
      </c>
      <c r="D184" s="5">
        <v>40.880000000000003</v>
      </c>
      <c r="E184" s="3" t="s">
        <v>3549</v>
      </c>
      <c r="F184" s="2" t="s">
        <v>26</v>
      </c>
      <c r="G184" s="6"/>
      <c r="H184" s="2" t="s">
        <v>632</v>
      </c>
      <c r="I184" s="2" t="s">
        <v>195</v>
      </c>
      <c r="J184" s="2" t="s">
        <v>19</v>
      </c>
      <c r="K184" s="2" t="s">
        <v>546</v>
      </c>
      <c r="L184" s="7" t="str">
        <f>HYPERLINK("http://slimages.macys.com/is/image/MCY/12143632 ")</f>
        <v xml:space="preserve">http://slimages.macys.com/is/image/MCY/12143632 </v>
      </c>
    </row>
    <row r="185" spans="1:12" ht="48.75" x14ac:dyDescent="0.25">
      <c r="A185" s="4" t="s">
        <v>3550</v>
      </c>
      <c r="B185" s="2" t="s">
        <v>2460</v>
      </c>
      <c r="C185" s="3">
        <v>1</v>
      </c>
      <c r="D185" s="5">
        <v>34.880000000000003</v>
      </c>
      <c r="E185" s="3">
        <v>100009313</v>
      </c>
      <c r="F185" s="2" t="s">
        <v>94</v>
      </c>
      <c r="G185" s="6" t="s">
        <v>65</v>
      </c>
      <c r="H185" s="2" t="s">
        <v>194</v>
      </c>
      <c r="I185" s="2" t="s">
        <v>195</v>
      </c>
      <c r="J185" s="2" t="s">
        <v>19</v>
      </c>
      <c r="K185" s="2" t="s">
        <v>753</v>
      </c>
      <c r="L185" s="7" t="str">
        <f>HYPERLINK("http://slimages.macys.com/is/image/MCY/12734332 ")</f>
        <v xml:space="preserve">http://slimages.macys.com/is/image/MCY/12734332 </v>
      </c>
    </row>
    <row r="186" spans="1:12" ht="48.75" x14ac:dyDescent="0.25">
      <c r="A186" s="4" t="s">
        <v>759</v>
      </c>
      <c r="B186" s="2" t="s">
        <v>757</v>
      </c>
      <c r="C186" s="3">
        <v>1</v>
      </c>
      <c r="D186" s="5">
        <v>37.130000000000003</v>
      </c>
      <c r="E186" s="3" t="s">
        <v>758</v>
      </c>
      <c r="F186" s="2" t="s">
        <v>48</v>
      </c>
      <c r="G186" s="6" t="s">
        <v>234</v>
      </c>
      <c r="H186" s="2" t="s">
        <v>194</v>
      </c>
      <c r="I186" s="2" t="s">
        <v>195</v>
      </c>
      <c r="J186" s="2" t="s">
        <v>19</v>
      </c>
      <c r="K186" s="2" t="s">
        <v>753</v>
      </c>
      <c r="L186" s="7" t="str">
        <f>HYPERLINK("http://slimages.macys.com/is/image/MCY/12734332 ")</f>
        <v xml:space="preserve">http://slimages.macys.com/is/image/MCY/12734332 </v>
      </c>
    </row>
    <row r="187" spans="1:12" ht="36.75" x14ac:dyDescent="0.25">
      <c r="A187" s="4" t="s">
        <v>3551</v>
      </c>
      <c r="B187" s="2" t="s">
        <v>3552</v>
      </c>
      <c r="C187" s="3">
        <v>1</v>
      </c>
      <c r="D187" s="5">
        <v>40.65</v>
      </c>
      <c r="E187" s="3" t="s">
        <v>3553</v>
      </c>
      <c r="F187" s="2" t="s">
        <v>180</v>
      </c>
      <c r="G187" s="6" t="s">
        <v>234</v>
      </c>
      <c r="H187" s="2" t="s">
        <v>182</v>
      </c>
      <c r="I187" s="2" t="s">
        <v>285</v>
      </c>
      <c r="J187" s="2" t="s">
        <v>19</v>
      </c>
      <c r="K187" s="2" t="s">
        <v>3554</v>
      </c>
      <c r="L187" s="7" t="str">
        <f>HYPERLINK("http://slimages.macys.com/is/image/MCY/13041414 ")</f>
        <v xml:space="preserve">http://slimages.macys.com/is/image/MCY/13041414 </v>
      </c>
    </row>
    <row r="188" spans="1:12" ht="36.75" x14ac:dyDescent="0.25">
      <c r="A188" s="4" t="s">
        <v>2408</v>
      </c>
      <c r="B188" s="2" t="s">
        <v>764</v>
      </c>
      <c r="C188" s="3">
        <v>1</v>
      </c>
      <c r="D188" s="5">
        <v>37.130000000000003</v>
      </c>
      <c r="E188" s="3" t="s">
        <v>765</v>
      </c>
      <c r="F188" s="2" t="s">
        <v>566</v>
      </c>
      <c r="G188" s="6" t="s">
        <v>154</v>
      </c>
      <c r="H188" s="2" t="s">
        <v>284</v>
      </c>
      <c r="I188" s="2" t="s">
        <v>458</v>
      </c>
      <c r="J188" s="2" t="s">
        <v>19</v>
      </c>
      <c r="K188" s="2" t="s">
        <v>3555</v>
      </c>
      <c r="L188" s="7" t="str">
        <f>HYPERLINK("http://slimages.macys.com/is/image/MCY/12715120 ")</f>
        <v xml:space="preserve">http://slimages.macys.com/is/image/MCY/12715120 </v>
      </c>
    </row>
    <row r="189" spans="1:12" ht="24.75" x14ac:dyDescent="0.25">
      <c r="A189" s="4" t="s">
        <v>767</v>
      </c>
      <c r="B189" s="2" t="s">
        <v>768</v>
      </c>
      <c r="C189" s="3">
        <v>2</v>
      </c>
      <c r="D189" s="5">
        <v>34.880000000000003</v>
      </c>
      <c r="E189" s="3">
        <v>100054400</v>
      </c>
      <c r="F189" s="2" t="s">
        <v>64</v>
      </c>
      <c r="G189" s="6" t="s">
        <v>22</v>
      </c>
      <c r="H189" s="2" t="s">
        <v>194</v>
      </c>
      <c r="I189" s="2" t="s">
        <v>503</v>
      </c>
      <c r="J189" s="2" t="s">
        <v>19</v>
      </c>
      <c r="K189" s="2" t="s">
        <v>353</v>
      </c>
      <c r="L189" s="7" t="str">
        <f>HYPERLINK("http://slimages.macys.com/is/image/MCY/9340611 ")</f>
        <v xml:space="preserve">http://slimages.macys.com/is/image/MCY/9340611 </v>
      </c>
    </row>
    <row r="190" spans="1:12" ht="24.75" x14ac:dyDescent="0.25">
      <c r="A190" s="4" t="s">
        <v>3556</v>
      </c>
      <c r="B190" s="2" t="s">
        <v>3557</v>
      </c>
      <c r="C190" s="3">
        <v>1</v>
      </c>
      <c r="D190" s="5">
        <v>44.63</v>
      </c>
      <c r="E190" s="3" t="s">
        <v>3558</v>
      </c>
      <c r="F190" s="2" t="s">
        <v>64</v>
      </c>
      <c r="G190" s="6" t="s">
        <v>219</v>
      </c>
      <c r="H190" s="2" t="s">
        <v>188</v>
      </c>
      <c r="I190" s="2" t="s">
        <v>503</v>
      </c>
      <c r="J190" s="2" t="s">
        <v>19</v>
      </c>
      <c r="K190" s="2" t="s">
        <v>546</v>
      </c>
      <c r="L190" s="7" t="str">
        <f>HYPERLINK("http://slimages.macys.com/is/image/MCY/12851524 ")</f>
        <v xml:space="preserve">http://slimages.macys.com/is/image/MCY/12851524 </v>
      </c>
    </row>
    <row r="191" spans="1:12" ht="24.75" x14ac:dyDescent="0.25">
      <c r="A191" s="4" t="s">
        <v>3559</v>
      </c>
      <c r="B191" s="2" t="s">
        <v>750</v>
      </c>
      <c r="C191" s="3">
        <v>1</v>
      </c>
      <c r="D191" s="5">
        <v>44.63</v>
      </c>
      <c r="E191" s="3" t="s">
        <v>770</v>
      </c>
      <c r="F191" s="2" t="s">
        <v>752</v>
      </c>
      <c r="G191" s="6"/>
      <c r="H191" s="2" t="s">
        <v>312</v>
      </c>
      <c r="I191" s="2" t="s">
        <v>183</v>
      </c>
      <c r="J191" s="2" t="s">
        <v>19</v>
      </c>
      <c r="K191" s="2" t="s">
        <v>3560</v>
      </c>
      <c r="L191" s="7" t="str">
        <f>HYPERLINK("http://slimages.macys.com/is/image/MCY/12751314 ")</f>
        <v xml:space="preserve">http://slimages.macys.com/is/image/MCY/12751314 </v>
      </c>
    </row>
    <row r="192" spans="1:12" ht="36.75" x14ac:dyDescent="0.25">
      <c r="A192" s="4" t="s">
        <v>769</v>
      </c>
      <c r="B192" s="2" t="s">
        <v>750</v>
      </c>
      <c r="C192" s="3">
        <v>4</v>
      </c>
      <c r="D192" s="5">
        <v>44.63</v>
      </c>
      <c r="E192" s="3" t="s">
        <v>770</v>
      </c>
      <c r="F192" s="2" t="s">
        <v>752</v>
      </c>
      <c r="G192" s="6"/>
      <c r="H192" s="2" t="s">
        <v>312</v>
      </c>
      <c r="I192" s="2" t="s">
        <v>458</v>
      </c>
      <c r="J192" s="2" t="s">
        <v>19</v>
      </c>
      <c r="K192" s="2" t="s">
        <v>514</v>
      </c>
      <c r="L192" s="7" t="str">
        <f>HYPERLINK("http://slimages.macys.com/is/image/MCY/13804604 ")</f>
        <v xml:space="preserve">http://slimages.macys.com/is/image/MCY/13804604 </v>
      </c>
    </row>
    <row r="193" spans="1:12" ht="24.75" x14ac:dyDescent="0.25">
      <c r="A193" s="4" t="s">
        <v>3561</v>
      </c>
      <c r="B193" s="2" t="s">
        <v>750</v>
      </c>
      <c r="C193" s="3">
        <v>2</v>
      </c>
      <c r="D193" s="5">
        <v>44.63</v>
      </c>
      <c r="E193" s="3" t="s">
        <v>770</v>
      </c>
      <c r="F193" s="2" t="s">
        <v>752</v>
      </c>
      <c r="G193" s="6"/>
      <c r="H193" s="2" t="s">
        <v>312</v>
      </c>
      <c r="I193" s="2" t="s">
        <v>195</v>
      </c>
      <c r="J193" s="2" t="s">
        <v>19</v>
      </c>
      <c r="K193" s="2" t="s">
        <v>546</v>
      </c>
      <c r="L193" s="7" t="str">
        <f>HYPERLINK("http://slimages.macys.com/is/image/MCY/12850455 ")</f>
        <v xml:space="preserve">http://slimages.macys.com/is/image/MCY/12850455 </v>
      </c>
    </row>
    <row r="194" spans="1:12" ht="36.75" x14ac:dyDescent="0.25">
      <c r="A194" s="4" t="s">
        <v>3562</v>
      </c>
      <c r="B194" s="2" t="s">
        <v>2411</v>
      </c>
      <c r="C194" s="3">
        <v>1</v>
      </c>
      <c r="D194" s="5">
        <v>48.38</v>
      </c>
      <c r="E194" s="3" t="s">
        <v>2412</v>
      </c>
      <c r="F194" s="2" t="s">
        <v>26</v>
      </c>
      <c r="G194" s="6" t="s">
        <v>746</v>
      </c>
      <c r="H194" s="2" t="s">
        <v>349</v>
      </c>
      <c r="I194" s="2" t="s">
        <v>189</v>
      </c>
      <c r="J194" s="2" t="s">
        <v>19</v>
      </c>
      <c r="K194" s="2" t="s">
        <v>3563</v>
      </c>
      <c r="L194" s="7" t="str">
        <f>HYPERLINK("http://slimages.macys.com/is/image/MCY/9138550 ")</f>
        <v xml:space="preserve">http://slimages.macys.com/is/image/MCY/9138550 </v>
      </c>
    </row>
    <row r="195" spans="1:12" ht="48.75" x14ac:dyDescent="0.25">
      <c r="A195" s="4" t="s">
        <v>3564</v>
      </c>
      <c r="B195" s="2" t="s">
        <v>768</v>
      </c>
      <c r="C195" s="3">
        <v>1</v>
      </c>
      <c r="D195" s="5">
        <v>34.880000000000003</v>
      </c>
      <c r="E195" s="3" t="s">
        <v>2414</v>
      </c>
      <c r="F195" s="2" t="s">
        <v>64</v>
      </c>
      <c r="G195" s="6" t="s">
        <v>126</v>
      </c>
      <c r="H195" s="2" t="s">
        <v>312</v>
      </c>
      <c r="I195" s="2" t="s">
        <v>195</v>
      </c>
      <c r="J195" s="2" t="s">
        <v>19</v>
      </c>
      <c r="K195" s="2" t="s">
        <v>771</v>
      </c>
      <c r="L195" s="7" t="str">
        <f>HYPERLINK("http://slimages.macys.com/is/image/MCY/12734332 ")</f>
        <v xml:space="preserve">http://slimages.macys.com/is/image/MCY/12734332 </v>
      </c>
    </row>
    <row r="196" spans="1:12" ht="48.75" x14ac:dyDescent="0.25">
      <c r="A196" s="4" t="s">
        <v>3565</v>
      </c>
      <c r="B196" s="2" t="s">
        <v>768</v>
      </c>
      <c r="C196" s="3">
        <v>1</v>
      </c>
      <c r="D196" s="5">
        <v>34.880000000000003</v>
      </c>
      <c r="E196" s="3" t="s">
        <v>2414</v>
      </c>
      <c r="F196" s="2" t="s">
        <v>64</v>
      </c>
      <c r="G196" s="6" t="s">
        <v>934</v>
      </c>
      <c r="H196" s="2" t="s">
        <v>312</v>
      </c>
      <c r="I196" s="2" t="s">
        <v>195</v>
      </c>
      <c r="J196" s="2" t="s">
        <v>19</v>
      </c>
      <c r="K196" s="2" t="s">
        <v>771</v>
      </c>
      <c r="L196" s="7" t="str">
        <f>HYPERLINK("http://slimages.macys.com/is/image/MCY/12734332 ")</f>
        <v xml:space="preserve">http://slimages.macys.com/is/image/MCY/12734332 </v>
      </c>
    </row>
    <row r="197" spans="1:12" ht="48.75" x14ac:dyDescent="0.25">
      <c r="A197" s="4" t="s">
        <v>776</v>
      </c>
      <c r="B197" s="2" t="s">
        <v>777</v>
      </c>
      <c r="C197" s="3">
        <v>1</v>
      </c>
      <c r="D197" s="5">
        <v>34.880000000000003</v>
      </c>
      <c r="E197" s="3" t="s">
        <v>778</v>
      </c>
      <c r="F197" s="2" t="s">
        <v>74</v>
      </c>
      <c r="G197" s="6"/>
      <c r="H197" s="2" t="s">
        <v>312</v>
      </c>
      <c r="I197" s="2" t="s">
        <v>195</v>
      </c>
      <c r="J197" s="2" t="s">
        <v>19</v>
      </c>
      <c r="K197" s="2" t="s">
        <v>771</v>
      </c>
      <c r="L197" s="7" t="str">
        <f>HYPERLINK("http://slimages.macys.com/is/image/MCY/12734332 ")</f>
        <v xml:space="preserve">http://slimages.macys.com/is/image/MCY/12734332 </v>
      </c>
    </row>
    <row r="198" spans="1:12" ht="24.75" x14ac:dyDescent="0.25">
      <c r="A198" s="4" t="s">
        <v>3566</v>
      </c>
      <c r="B198" s="2" t="s">
        <v>3567</v>
      </c>
      <c r="C198" s="3">
        <v>1</v>
      </c>
      <c r="D198" s="5">
        <v>40.880000000000003</v>
      </c>
      <c r="E198" s="3" t="s">
        <v>3568</v>
      </c>
      <c r="F198" s="2" t="s">
        <v>64</v>
      </c>
      <c r="G198" s="6" t="s">
        <v>336</v>
      </c>
      <c r="H198" s="2" t="s">
        <v>188</v>
      </c>
      <c r="I198" s="2" t="s">
        <v>285</v>
      </c>
      <c r="J198" s="2" t="s">
        <v>19</v>
      </c>
      <c r="K198" s="2" t="s">
        <v>160</v>
      </c>
      <c r="L198" s="7" t="str">
        <f>HYPERLINK("http://slimages.macys.com/is/image/MCY/12877169 ")</f>
        <v xml:space="preserve">http://slimages.macys.com/is/image/MCY/12877169 </v>
      </c>
    </row>
    <row r="199" spans="1:12" ht="24.75" x14ac:dyDescent="0.25">
      <c r="A199" s="4" t="s">
        <v>2415</v>
      </c>
      <c r="B199" s="2" t="s">
        <v>777</v>
      </c>
      <c r="C199" s="3">
        <v>1</v>
      </c>
      <c r="D199" s="5">
        <v>34.880000000000003</v>
      </c>
      <c r="E199" s="3" t="s">
        <v>778</v>
      </c>
      <c r="F199" s="2" t="s">
        <v>74</v>
      </c>
      <c r="G199" s="6"/>
      <c r="H199" s="2" t="s">
        <v>312</v>
      </c>
      <c r="I199" s="2" t="s">
        <v>195</v>
      </c>
      <c r="J199" s="2" t="s">
        <v>19</v>
      </c>
      <c r="K199" s="2" t="s">
        <v>546</v>
      </c>
      <c r="L199" s="7" t="str">
        <f>HYPERLINK("http://slimages.macys.com/is/image/MCY/12850455 ")</f>
        <v xml:space="preserve">http://slimages.macys.com/is/image/MCY/12850455 </v>
      </c>
    </row>
    <row r="200" spans="1:12" ht="24.75" x14ac:dyDescent="0.25">
      <c r="A200" s="4" t="s">
        <v>3569</v>
      </c>
      <c r="B200" s="2" t="s">
        <v>777</v>
      </c>
      <c r="C200" s="3">
        <v>1</v>
      </c>
      <c r="D200" s="5">
        <v>34.880000000000003</v>
      </c>
      <c r="E200" s="3">
        <v>100042380</v>
      </c>
      <c r="F200" s="2" t="s">
        <v>1788</v>
      </c>
      <c r="G200" s="6" t="s">
        <v>200</v>
      </c>
      <c r="H200" s="2" t="s">
        <v>194</v>
      </c>
      <c r="I200" s="2" t="s">
        <v>195</v>
      </c>
      <c r="J200" s="2" t="s">
        <v>19</v>
      </c>
      <c r="K200" s="2" t="s">
        <v>546</v>
      </c>
      <c r="L200" s="7" t="str">
        <f>HYPERLINK("http://slimages.macys.com/is/image/MCY/12850455 ")</f>
        <v xml:space="preserve">http://slimages.macys.com/is/image/MCY/12850455 </v>
      </c>
    </row>
    <row r="201" spans="1:12" ht="24.75" x14ac:dyDescent="0.25">
      <c r="A201" s="4" t="s">
        <v>3570</v>
      </c>
      <c r="B201" s="2" t="s">
        <v>777</v>
      </c>
      <c r="C201" s="3">
        <v>1</v>
      </c>
      <c r="D201" s="5">
        <v>34.880000000000003</v>
      </c>
      <c r="E201" s="3">
        <v>100042380</v>
      </c>
      <c r="F201" s="2" t="s">
        <v>74</v>
      </c>
      <c r="G201" s="6" t="s">
        <v>156</v>
      </c>
      <c r="H201" s="2" t="s">
        <v>194</v>
      </c>
      <c r="I201" s="2" t="s">
        <v>503</v>
      </c>
      <c r="J201" s="2" t="s">
        <v>19</v>
      </c>
      <c r="K201" s="2" t="s">
        <v>353</v>
      </c>
      <c r="L201" s="7" t="str">
        <f>HYPERLINK("http://slimages.macys.com/is/image/MCY/11146051 ")</f>
        <v xml:space="preserve">http://slimages.macys.com/is/image/MCY/11146051 </v>
      </c>
    </row>
    <row r="202" spans="1:12" ht="24.75" x14ac:dyDescent="0.25">
      <c r="A202" s="4" t="s">
        <v>3571</v>
      </c>
      <c r="B202" s="2" t="s">
        <v>3572</v>
      </c>
      <c r="C202" s="3">
        <v>1</v>
      </c>
      <c r="D202" s="5">
        <v>34.979999999999997</v>
      </c>
      <c r="E202" s="3" t="s">
        <v>3573</v>
      </c>
      <c r="F202" s="2" t="s">
        <v>417</v>
      </c>
      <c r="G202" s="6"/>
      <c r="H202" s="2" t="s">
        <v>349</v>
      </c>
      <c r="I202" s="2" t="s">
        <v>214</v>
      </c>
      <c r="J202" s="2" t="s">
        <v>19</v>
      </c>
      <c r="K202" s="2" t="s">
        <v>387</v>
      </c>
      <c r="L202" s="7" t="str">
        <f>HYPERLINK("http://slimages.macys.com/is/image/MCY/12723447 ")</f>
        <v xml:space="preserve">http://slimages.macys.com/is/image/MCY/12723447 </v>
      </c>
    </row>
    <row r="203" spans="1:12" ht="24.75" x14ac:dyDescent="0.25">
      <c r="A203" s="4" t="s">
        <v>3574</v>
      </c>
      <c r="B203" s="2" t="s">
        <v>3572</v>
      </c>
      <c r="C203" s="3">
        <v>1</v>
      </c>
      <c r="D203" s="5">
        <v>34.979999999999997</v>
      </c>
      <c r="E203" s="3" t="s">
        <v>3573</v>
      </c>
      <c r="F203" s="2" t="s">
        <v>74</v>
      </c>
      <c r="G203" s="6" t="s">
        <v>2456</v>
      </c>
      <c r="H203" s="2" t="s">
        <v>349</v>
      </c>
      <c r="I203" s="2" t="s">
        <v>503</v>
      </c>
      <c r="J203" s="2" t="s">
        <v>19</v>
      </c>
      <c r="K203" s="2" t="s">
        <v>353</v>
      </c>
      <c r="L203" s="7" t="str">
        <f>HYPERLINK("http://slimages.macys.com/is/image/MCY/11146051 ")</f>
        <v xml:space="preserve">http://slimages.macys.com/is/image/MCY/11146051 </v>
      </c>
    </row>
    <row r="204" spans="1:12" ht="24.75" x14ac:dyDescent="0.25">
      <c r="A204" s="4" t="s">
        <v>3575</v>
      </c>
      <c r="B204" s="2" t="s">
        <v>3572</v>
      </c>
      <c r="C204" s="3">
        <v>1</v>
      </c>
      <c r="D204" s="5">
        <v>34.979999999999997</v>
      </c>
      <c r="E204" s="3" t="s">
        <v>3573</v>
      </c>
      <c r="F204" s="2" t="s">
        <v>38</v>
      </c>
      <c r="G204" s="6" t="s">
        <v>2456</v>
      </c>
      <c r="H204" s="2" t="s">
        <v>349</v>
      </c>
      <c r="I204" s="2" t="s">
        <v>503</v>
      </c>
      <c r="J204" s="2" t="s">
        <v>19</v>
      </c>
      <c r="K204" s="2" t="s">
        <v>353</v>
      </c>
      <c r="L204" s="7" t="str">
        <f>HYPERLINK("http://slimages.macys.com/is/image/MCY/11145974 ")</f>
        <v xml:space="preserve">http://slimages.macys.com/is/image/MCY/11145974 </v>
      </c>
    </row>
    <row r="205" spans="1:12" ht="24.75" x14ac:dyDescent="0.25">
      <c r="A205" s="4" t="s">
        <v>3576</v>
      </c>
      <c r="B205" s="2" t="s">
        <v>3577</v>
      </c>
      <c r="C205" s="3">
        <v>1</v>
      </c>
      <c r="D205" s="5">
        <v>44.63</v>
      </c>
      <c r="E205" s="3">
        <v>100015471</v>
      </c>
      <c r="F205" s="2" t="s">
        <v>64</v>
      </c>
      <c r="G205" s="6" t="s">
        <v>156</v>
      </c>
      <c r="H205" s="2" t="s">
        <v>246</v>
      </c>
      <c r="I205" s="2" t="s">
        <v>503</v>
      </c>
      <c r="J205" s="2" t="s">
        <v>19</v>
      </c>
      <c r="K205" s="2" t="s">
        <v>353</v>
      </c>
      <c r="L205" s="7" t="str">
        <f>HYPERLINK("http://slimages.macys.com/is/image/MCY/11145974 ")</f>
        <v xml:space="preserve">http://slimages.macys.com/is/image/MCY/11145974 </v>
      </c>
    </row>
    <row r="206" spans="1:12" ht="36.75" x14ac:dyDescent="0.25">
      <c r="A206" s="4" t="s">
        <v>3578</v>
      </c>
      <c r="B206" s="2" t="s">
        <v>3577</v>
      </c>
      <c r="C206" s="3">
        <v>1</v>
      </c>
      <c r="D206" s="5">
        <v>44.63</v>
      </c>
      <c r="E206" s="3">
        <v>100015471</v>
      </c>
      <c r="F206" s="2" t="s">
        <v>170</v>
      </c>
      <c r="G206" s="6" t="s">
        <v>156</v>
      </c>
      <c r="H206" s="2" t="s">
        <v>246</v>
      </c>
      <c r="I206" s="2" t="s">
        <v>408</v>
      </c>
      <c r="J206" s="2" t="s">
        <v>19</v>
      </c>
      <c r="K206" s="2" t="s">
        <v>3579</v>
      </c>
      <c r="L206" s="7" t="str">
        <f>HYPERLINK("http://slimages.macys.com/is/image/MCY/1697450 ")</f>
        <v xml:space="preserve">http://slimages.macys.com/is/image/MCY/1697450 </v>
      </c>
    </row>
    <row r="207" spans="1:12" ht="36.75" x14ac:dyDescent="0.25">
      <c r="A207" s="4" t="s">
        <v>3580</v>
      </c>
      <c r="B207" s="2" t="s">
        <v>3577</v>
      </c>
      <c r="C207" s="3">
        <v>1</v>
      </c>
      <c r="D207" s="5">
        <v>44.63</v>
      </c>
      <c r="E207" s="3">
        <v>100015471</v>
      </c>
      <c r="F207" s="2" t="s">
        <v>413</v>
      </c>
      <c r="G207" s="6" t="s">
        <v>181</v>
      </c>
      <c r="H207" s="2" t="s">
        <v>246</v>
      </c>
      <c r="I207" s="2" t="s">
        <v>408</v>
      </c>
      <c r="J207" s="2" t="s">
        <v>19</v>
      </c>
      <c r="K207" s="2" t="s">
        <v>3579</v>
      </c>
      <c r="L207" s="7" t="str">
        <f>HYPERLINK("http://slimages.macys.com/is/image/MCY/1697450 ")</f>
        <v xml:space="preserve">http://slimages.macys.com/is/image/MCY/1697450 </v>
      </c>
    </row>
    <row r="208" spans="1:12" ht="36.75" x14ac:dyDescent="0.25">
      <c r="A208" s="4" t="s">
        <v>3581</v>
      </c>
      <c r="B208" s="2" t="s">
        <v>3582</v>
      </c>
      <c r="C208" s="3">
        <v>1</v>
      </c>
      <c r="D208" s="5">
        <v>34</v>
      </c>
      <c r="E208" s="3">
        <v>9729</v>
      </c>
      <c r="F208" s="2" t="s">
        <v>417</v>
      </c>
      <c r="G208" s="6" t="s">
        <v>934</v>
      </c>
      <c r="H208" s="2" t="s">
        <v>447</v>
      </c>
      <c r="I208" s="2" t="s">
        <v>408</v>
      </c>
      <c r="J208" s="2" t="s">
        <v>19</v>
      </c>
      <c r="K208" s="2" t="s">
        <v>3579</v>
      </c>
      <c r="L208" s="7" t="str">
        <f>HYPERLINK("http://slimages.macys.com/is/image/MCY/1697450 ")</f>
        <v xml:space="preserve">http://slimages.macys.com/is/image/MCY/1697450 </v>
      </c>
    </row>
    <row r="209" spans="1:12" ht="36.75" x14ac:dyDescent="0.25">
      <c r="A209" s="4" t="s">
        <v>3583</v>
      </c>
      <c r="B209" s="2" t="s">
        <v>3584</v>
      </c>
      <c r="C209" s="3">
        <v>1</v>
      </c>
      <c r="D209" s="5">
        <v>34</v>
      </c>
      <c r="E209" s="3">
        <v>9320</v>
      </c>
      <c r="F209" s="2" t="s">
        <v>15</v>
      </c>
      <c r="G209" s="6" t="s">
        <v>205</v>
      </c>
      <c r="H209" s="2" t="s">
        <v>447</v>
      </c>
      <c r="I209" s="2" t="s">
        <v>189</v>
      </c>
      <c r="J209" s="2" t="s">
        <v>19</v>
      </c>
      <c r="K209" s="2" t="s">
        <v>3585</v>
      </c>
      <c r="L209" s="7" t="str">
        <f>HYPERLINK("http://slimages.macys.com/is/image/MCY/11994552 ")</f>
        <v xml:space="preserve">http://slimages.macys.com/is/image/MCY/11994552 </v>
      </c>
    </row>
    <row r="210" spans="1:12" ht="36.75" x14ac:dyDescent="0.25">
      <c r="A210" s="4" t="s">
        <v>3586</v>
      </c>
      <c r="B210" s="2" t="s">
        <v>796</v>
      </c>
      <c r="C210" s="3">
        <v>2</v>
      </c>
      <c r="D210" s="5">
        <v>40.880000000000003</v>
      </c>
      <c r="E210" s="3" t="s">
        <v>797</v>
      </c>
      <c r="F210" s="2" t="s">
        <v>26</v>
      </c>
      <c r="G210" s="6" t="s">
        <v>181</v>
      </c>
      <c r="H210" s="2" t="s">
        <v>194</v>
      </c>
      <c r="I210" s="2" t="s">
        <v>189</v>
      </c>
      <c r="J210" s="2" t="s">
        <v>19</v>
      </c>
      <c r="K210" s="2" t="s">
        <v>3585</v>
      </c>
      <c r="L210" s="7" t="str">
        <f>HYPERLINK("http://slimages.macys.com/is/image/MCY/11994552 ")</f>
        <v xml:space="preserve">http://slimages.macys.com/is/image/MCY/11994552 </v>
      </c>
    </row>
    <row r="211" spans="1:12" ht="36.75" x14ac:dyDescent="0.25">
      <c r="A211" s="4" t="s">
        <v>3587</v>
      </c>
      <c r="B211" s="2" t="s">
        <v>796</v>
      </c>
      <c r="C211" s="3">
        <v>1</v>
      </c>
      <c r="D211" s="5">
        <v>40.880000000000003</v>
      </c>
      <c r="E211" s="3" t="s">
        <v>797</v>
      </c>
      <c r="F211" s="2" t="s">
        <v>26</v>
      </c>
      <c r="G211" s="6" t="s">
        <v>154</v>
      </c>
      <c r="H211" s="2" t="s">
        <v>194</v>
      </c>
      <c r="I211" s="2" t="s">
        <v>189</v>
      </c>
      <c r="J211" s="2" t="s">
        <v>19</v>
      </c>
      <c r="K211" s="2" t="s">
        <v>3585</v>
      </c>
      <c r="L211" s="7" t="str">
        <f>HYPERLINK("http://slimages.macys.com/is/image/MCY/11994552 ")</f>
        <v xml:space="preserve">http://slimages.macys.com/is/image/MCY/11994552 </v>
      </c>
    </row>
    <row r="212" spans="1:12" ht="24.75" x14ac:dyDescent="0.25">
      <c r="A212" s="4" t="s">
        <v>795</v>
      </c>
      <c r="B212" s="2" t="s">
        <v>796</v>
      </c>
      <c r="C212" s="3">
        <v>1</v>
      </c>
      <c r="D212" s="5">
        <v>40.880000000000003</v>
      </c>
      <c r="E212" s="3" t="s">
        <v>797</v>
      </c>
      <c r="F212" s="2" t="s">
        <v>26</v>
      </c>
      <c r="G212" s="6" t="s">
        <v>156</v>
      </c>
      <c r="H212" s="2" t="s">
        <v>194</v>
      </c>
      <c r="I212" s="2" t="s">
        <v>3409</v>
      </c>
      <c r="J212" s="2" t="s">
        <v>19</v>
      </c>
      <c r="K212" s="2" t="s">
        <v>353</v>
      </c>
      <c r="L212" s="7" t="str">
        <f>HYPERLINK("http://slimages.macys.com/is/image/MCY/9560756 ")</f>
        <v xml:space="preserve">http://slimages.macys.com/is/image/MCY/9560756 </v>
      </c>
    </row>
    <row r="213" spans="1:12" ht="24.75" x14ac:dyDescent="0.25">
      <c r="A213" s="4" t="s">
        <v>813</v>
      </c>
      <c r="B213" s="2" t="s">
        <v>811</v>
      </c>
      <c r="C213" s="3">
        <v>1</v>
      </c>
      <c r="D213" s="5">
        <v>37.130000000000003</v>
      </c>
      <c r="E213" s="3" t="s">
        <v>812</v>
      </c>
      <c r="F213" s="2" t="s">
        <v>170</v>
      </c>
      <c r="G213" s="6" t="s">
        <v>154</v>
      </c>
      <c r="H213" s="2" t="s">
        <v>194</v>
      </c>
      <c r="I213" s="2" t="s">
        <v>3409</v>
      </c>
      <c r="J213" s="2" t="s">
        <v>19</v>
      </c>
      <c r="K213" s="2" t="s">
        <v>34</v>
      </c>
      <c r="L213" s="7" t="str">
        <f>HYPERLINK("http://slimages.macys.com/is/image/MCY/3945360 ")</f>
        <v xml:space="preserve">http://slimages.macys.com/is/image/MCY/3945360 </v>
      </c>
    </row>
    <row r="214" spans="1:12" ht="24.75" x14ac:dyDescent="0.25">
      <c r="A214" s="4" t="s">
        <v>810</v>
      </c>
      <c r="B214" s="2" t="s">
        <v>811</v>
      </c>
      <c r="C214" s="3">
        <v>2</v>
      </c>
      <c r="D214" s="5">
        <v>37.130000000000003</v>
      </c>
      <c r="E214" s="3" t="s">
        <v>812</v>
      </c>
      <c r="F214" s="2" t="s">
        <v>170</v>
      </c>
      <c r="G214" s="6" t="s">
        <v>181</v>
      </c>
      <c r="H214" s="2" t="s">
        <v>194</v>
      </c>
      <c r="I214" s="2" t="s">
        <v>195</v>
      </c>
      <c r="J214" s="2" t="s">
        <v>19</v>
      </c>
      <c r="K214" s="2" t="s">
        <v>798</v>
      </c>
      <c r="L214" s="7" t="str">
        <f>HYPERLINK("http://slimages.macys.com/is/image/MCY/12950259 ")</f>
        <v xml:space="preserve">http://slimages.macys.com/is/image/MCY/12950259 </v>
      </c>
    </row>
    <row r="215" spans="1:12" ht="24.75" x14ac:dyDescent="0.25">
      <c r="A215" s="4" t="s">
        <v>3588</v>
      </c>
      <c r="B215" s="2" t="s">
        <v>2426</v>
      </c>
      <c r="C215" s="3">
        <v>1</v>
      </c>
      <c r="D215" s="5">
        <v>44.63</v>
      </c>
      <c r="E215" s="3" t="s">
        <v>2427</v>
      </c>
      <c r="F215" s="2" t="s">
        <v>64</v>
      </c>
      <c r="G215" s="6" t="s">
        <v>205</v>
      </c>
      <c r="H215" s="2" t="s">
        <v>188</v>
      </c>
      <c r="I215" s="2" t="s">
        <v>195</v>
      </c>
      <c r="J215" s="2" t="s">
        <v>19</v>
      </c>
      <c r="K215" s="2" t="s">
        <v>798</v>
      </c>
      <c r="L215" s="7" t="str">
        <f>HYPERLINK("http://slimages.macys.com/is/image/MCY/12950259 ")</f>
        <v xml:space="preserve">http://slimages.macys.com/is/image/MCY/12950259 </v>
      </c>
    </row>
    <row r="216" spans="1:12" ht="24.75" x14ac:dyDescent="0.25">
      <c r="A216" s="4" t="s">
        <v>3589</v>
      </c>
      <c r="B216" s="2" t="s">
        <v>2426</v>
      </c>
      <c r="C216" s="3">
        <v>1</v>
      </c>
      <c r="D216" s="5">
        <v>44.63</v>
      </c>
      <c r="E216" s="3" t="s">
        <v>2427</v>
      </c>
      <c r="F216" s="2" t="s">
        <v>64</v>
      </c>
      <c r="G216" s="6" t="s">
        <v>238</v>
      </c>
      <c r="H216" s="2" t="s">
        <v>188</v>
      </c>
      <c r="I216" s="2" t="s">
        <v>195</v>
      </c>
      <c r="J216" s="2" t="s">
        <v>19</v>
      </c>
      <c r="K216" s="2" t="s">
        <v>798</v>
      </c>
      <c r="L216" s="7" t="str">
        <f>HYPERLINK("http://slimages.macys.com/is/image/MCY/12950259 ")</f>
        <v xml:space="preserve">http://slimages.macys.com/is/image/MCY/12950259 </v>
      </c>
    </row>
    <row r="217" spans="1:12" ht="24.75" x14ac:dyDescent="0.25">
      <c r="A217" s="4" t="s">
        <v>3590</v>
      </c>
      <c r="B217" s="2" t="s">
        <v>2426</v>
      </c>
      <c r="C217" s="3">
        <v>1</v>
      </c>
      <c r="D217" s="5">
        <v>44.63</v>
      </c>
      <c r="E217" s="3" t="s">
        <v>2427</v>
      </c>
      <c r="F217" s="2" t="s">
        <v>64</v>
      </c>
      <c r="G217" s="6" t="s">
        <v>802</v>
      </c>
      <c r="H217" s="2" t="s">
        <v>188</v>
      </c>
      <c r="I217" s="2" t="s">
        <v>195</v>
      </c>
      <c r="J217" s="2" t="s">
        <v>19</v>
      </c>
      <c r="K217" s="2" t="s">
        <v>160</v>
      </c>
      <c r="L217" s="7" t="str">
        <f>HYPERLINK("http://slimages.macys.com/is/image/MCY/11804348 ")</f>
        <v xml:space="preserve">http://slimages.macys.com/is/image/MCY/11804348 </v>
      </c>
    </row>
    <row r="218" spans="1:12" ht="24.75" x14ac:dyDescent="0.25">
      <c r="A218" s="4" t="s">
        <v>3591</v>
      </c>
      <c r="B218" s="2" t="s">
        <v>818</v>
      </c>
      <c r="C218" s="3">
        <v>1</v>
      </c>
      <c r="D218" s="5">
        <v>36.5</v>
      </c>
      <c r="E218" s="3" t="s">
        <v>819</v>
      </c>
      <c r="F218" s="2" t="s">
        <v>64</v>
      </c>
      <c r="G218" s="6" t="s">
        <v>181</v>
      </c>
      <c r="H218" s="2" t="s">
        <v>194</v>
      </c>
      <c r="I218" s="2" t="s">
        <v>195</v>
      </c>
      <c r="J218" s="2" t="s">
        <v>19</v>
      </c>
      <c r="K218" s="2" t="s">
        <v>160</v>
      </c>
      <c r="L218" s="7" t="str">
        <f>HYPERLINK("http://slimages.macys.com/is/image/MCY/11804348 ")</f>
        <v xml:space="preserve">http://slimages.macys.com/is/image/MCY/11804348 </v>
      </c>
    </row>
    <row r="219" spans="1:12" ht="48.75" x14ac:dyDescent="0.25">
      <c r="A219" s="4" t="s">
        <v>821</v>
      </c>
      <c r="B219" s="2" t="s">
        <v>818</v>
      </c>
      <c r="C219" s="3">
        <v>2</v>
      </c>
      <c r="D219" s="5">
        <v>36.5</v>
      </c>
      <c r="E219" s="3" t="s">
        <v>819</v>
      </c>
      <c r="F219" s="2" t="s">
        <v>820</v>
      </c>
      <c r="G219" s="6" t="s">
        <v>154</v>
      </c>
      <c r="H219" s="2" t="s">
        <v>194</v>
      </c>
      <c r="I219" s="2" t="s">
        <v>487</v>
      </c>
      <c r="J219" s="2" t="s">
        <v>19</v>
      </c>
      <c r="K219" s="2" t="s">
        <v>2428</v>
      </c>
      <c r="L219" s="7" t="str">
        <f>HYPERLINK("http://slimages.macys.com/is/image/MCY/11807039 ")</f>
        <v xml:space="preserve">http://slimages.macys.com/is/image/MCY/11807039 </v>
      </c>
    </row>
    <row r="220" spans="1:12" ht="48.75" x14ac:dyDescent="0.25">
      <c r="A220" s="4" t="s">
        <v>2433</v>
      </c>
      <c r="B220" s="2" t="s">
        <v>824</v>
      </c>
      <c r="C220" s="3">
        <v>2</v>
      </c>
      <c r="D220" s="5">
        <v>36.5</v>
      </c>
      <c r="E220" s="3" t="s">
        <v>825</v>
      </c>
      <c r="F220" s="2" t="s">
        <v>26</v>
      </c>
      <c r="G220" s="6" t="s">
        <v>181</v>
      </c>
      <c r="H220" s="2" t="s">
        <v>194</v>
      </c>
      <c r="I220" s="2" t="s">
        <v>487</v>
      </c>
      <c r="J220" s="2" t="s">
        <v>19</v>
      </c>
      <c r="K220" s="2" t="s">
        <v>2428</v>
      </c>
      <c r="L220" s="7" t="str">
        <f>HYPERLINK("http://slimages.macys.com/is/image/MCY/11807039 ")</f>
        <v xml:space="preserve">http://slimages.macys.com/is/image/MCY/11807039 </v>
      </c>
    </row>
    <row r="221" spans="1:12" ht="48.75" x14ac:dyDescent="0.25">
      <c r="A221" s="4" t="s">
        <v>3592</v>
      </c>
      <c r="B221" s="2" t="s">
        <v>3593</v>
      </c>
      <c r="C221" s="3">
        <v>1</v>
      </c>
      <c r="D221" s="5">
        <v>36.5</v>
      </c>
      <c r="E221" s="3" t="s">
        <v>3594</v>
      </c>
      <c r="F221" s="2" t="s">
        <v>15</v>
      </c>
      <c r="G221" s="6" t="s">
        <v>154</v>
      </c>
      <c r="H221" s="2" t="s">
        <v>194</v>
      </c>
      <c r="I221" s="2" t="s">
        <v>487</v>
      </c>
      <c r="J221" s="2" t="s">
        <v>19</v>
      </c>
      <c r="K221" s="2" t="s">
        <v>2428</v>
      </c>
      <c r="L221" s="7" t="str">
        <f>HYPERLINK("http://slimages.macys.com/is/image/MCY/11807039 ")</f>
        <v xml:space="preserve">http://slimages.macys.com/is/image/MCY/11807039 </v>
      </c>
    </row>
    <row r="222" spans="1:12" ht="24.75" x14ac:dyDescent="0.25">
      <c r="A222" s="4" t="s">
        <v>3595</v>
      </c>
      <c r="B222" s="2" t="s">
        <v>827</v>
      </c>
      <c r="C222" s="3">
        <v>1</v>
      </c>
      <c r="D222" s="5">
        <v>37.130000000000003</v>
      </c>
      <c r="E222" s="3">
        <v>100009535</v>
      </c>
      <c r="F222" s="2" t="s">
        <v>64</v>
      </c>
      <c r="G222" s="6" t="s">
        <v>65</v>
      </c>
      <c r="H222" s="2" t="s">
        <v>194</v>
      </c>
      <c r="I222" s="2" t="s">
        <v>195</v>
      </c>
      <c r="J222" s="2" t="s">
        <v>19</v>
      </c>
      <c r="K222" s="2" t="s">
        <v>201</v>
      </c>
      <c r="L222" s="7" t="str">
        <f>HYPERLINK("http://slimages.macys.com/is/image/MCY/11935616 ")</f>
        <v xml:space="preserve">http://slimages.macys.com/is/image/MCY/11935616 </v>
      </c>
    </row>
    <row r="223" spans="1:12" ht="24.75" x14ac:dyDescent="0.25">
      <c r="A223" s="4" t="s">
        <v>2444</v>
      </c>
      <c r="B223" s="2" t="s">
        <v>2439</v>
      </c>
      <c r="C223" s="3">
        <v>2</v>
      </c>
      <c r="D223" s="5">
        <v>44.63</v>
      </c>
      <c r="E223" s="3" t="s">
        <v>2440</v>
      </c>
      <c r="F223" s="2" t="s">
        <v>956</v>
      </c>
      <c r="G223" s="6" t="s">
        <v>181</v>
      </c>
      <c r="H223" s="2" t="s">
        <v>194</v>
      </c>
      <c r="I223" s="2" t="s">
        <v>195</v>
      </c>
      <c r="J223" s="2" t="s">
        <v>19</v>
      </c>
      <c r="K223" s="2" t="s">
        <v>201</v>
      </c>
      <c r="L223" s="7" t="str">
        <f>HYPERLINK("http://slimages.macys.com/is/image/MCY/11935616 ")</f>
        <v xml:space="preserve">http://slimages.macys.com/is/image/MCY/11935616 </v>
      </c>
    </row>
    <row r="224" spans="1:12" ht="24.75" x14ac:dyDescent="0.25">
      <c r="A224" s="4" t="s">
        <v>3596</v>
      </c>
      <c r="B224" s="2" t="s">
        <v>827</v>
      </c>
      <c r="C224" s="3">
        <v>1</v>
      </c>
      <c r="D224" s="5">
        <v>37.130000000000003</v>
      </c>
      <c r="E224" s="3">
        <v>100009535</v>
      </c>
      <c r="F224" s="2" t="s">
        <v>170</v>
      </c>
      <c r="G224" s="6" t="s">
        <v>58</v>
      </c>
      <c r="H224" s="2" t="s">
        <v>194</v>
      </c>
      <c r="I224" s="2" t="s">
        <v>307</v>
      </c>
      <c r="J224" s="2" t="s">
        <v>19</v>
      </c>
      <c r="K224" s="2" t="s">
        <v>160</v>
      </c>
      <c r="L224" s="7" t="str">
        <f>HYPERLINK("http://slimages.macys.com/is/image/MCY/11936006 ")</f>
        <v xml:space="preserve">http://slimages.macys.com/is/image/MCY/11936006 </v>
      </c>
    </row>
    <row r="225" spans="1:12" ht="24.75" x14ac:dyDescent="0.25">
      <c r="A225" s="4" t="s">
        <v>3597</v>
      </c>
      <c r="B225" s="2" t="s">
        <v>827</v>
      </c>
      <c r="C225" s="3">
        <v>1</v>
      </c>
      <c r="D225" s="5">
        <v>37.130000000000003</v>
      </c>
      <c r="E225" s="3">
        <v>100009535</v>
      </c>
      <c r="F225" s="2" t="s">
        <v>376</v>
      </c>
      <c r="G225" s="6" t="s">
        <v>27</v>
      </c>
      <c r="H225" s="2" t="s">
        <v>194</v>
      </c>
      <c r="I225" s="2" t="s">
        <v>195</v>
      </c>
      <c r="J225" s="2" t="s">
        <v>19</v>
      </c>
      <c r="K225" s="2" t="s">
        <v>3598</v>
      </c>
      <c r="L225" s="7" t="str">
        <f>HYPERLINK("http://slimages.macys.com/is/image/MCY/11764603 ")</f>
        <v xml:space="preserve">http://slimages.macys.com/is/image/MCY/11764603 </v>
      </c>
    </row>
    <row r="226" spans="1:12" ht="24.75" x14ac:dyDescent="0.25">
      <c r="A226" s="4" t="s">
        <v>2445</v>
      </c>
      <c r="B226" s="2" t="s">
        <v>2439</v>
      </c>
      <c r="C226" s="3">
        <v>2</v>
      </c>
      <c r="D226" s="5">
        <v>44.63</v>
      </c>
      <c r="E226" s="3" t="s">
        <v>2440</v>
      </c>
      <c r="F226" s="2" t="s">
        <v>956</v>
      </c>
      <c r="G226" s="6" t="s">
        <v>154</v>
      </c>
      <c r="H226" s="2" t="s">
        <v>194</v>
      </c>
      <c r="I226" s="2" t="s">
        <v>503</v>
      </c>
      <c r="J226" s="2" t="s">
        <v>19</v>
      </c>
      <c r="K226" s="2" t="s">
        <v>353</v>
      </c>
      <c r="L226" s="7" t="str">
        <f>HYPERLINK("http://slimages.macys.com/is/image/MCY/9340634 ")</f>
        <v xml:space="preserve">http://slimages.macys.com/is/image/MCY/9340634 </v>
      </c>
    </row>
    <row r="227" spans="1:12" ht="24.75" x14ac:dyDescent="0.25">
      <c r="A227" s="4" t="s">
        <v>846</v>
      </c>
      <c r="B227" s="2" t="s">
        <v>841</v>
      </c>
      <c r="C227" s="3">
        <v>1</v>
      </c>
      <c r="D227" s="5">
        <v>34.99</v>
      </c>
      <c r="E227" s="3" t="s">
        <v>842</v>
      </c>
      <c r="F227" s="2" t="s">
        <v>26</v>
      </c>
      <c r="G227" s="6" t="s">
        <v>847</v>
      </c>
      <c r="H227" s="2" t="s">
        <v>349</v>
      </c>
      <c r="I227" s="2" t="s">
        <v>195</v>
      </c>
      <c r="J227" s="2" t="s">
        <v>19</v>
      </c>
      <c r="K227" s="2" t="s">
        <v>34</v>
      </c>
      <c r="L227" s="7" t="str">
        <f>HYPERLINK("http://slimages.macys.com/is/image/MCY/11527019 ")</f>
        <v xml:space="preserve">http://slimages.macys.com/is/image/MCY/11527019 </v>
      </c>
    </row>
    <row r="228" spans="1:12" ht="24.75" x14ac:dyDescent="0.25">
      <c r="A228" s="4" t="s">
        <v>3599</v>
      </c>
      <c r="B228" s="2" t="s">
        <v>3600</v>
      </c>
      <c r="C228" s="3">
        <v>1</v>
      </c>
      <c r="D228" s="5">
        <v>40.880000000000003</v>
      </c>
      <c r="E228" s="3" t="s">
        <v>3601</v>
      </c>
      <c r="F228" s="2" t="s">
        <v>331</v>
      </c>
      <c r="G228" s="6"/>
      <c r="H228" s="2" t="s">
        <v>632</v>
      </c>
      <c r="I228" s="2" t="s">
        <v>503</v>
      </c>
      <c r="J228" s="2" t="s">
        <v>19</v>
      </c>
      <c r="K228" s="2" t="s">
        <v>353</v>
      </c>
      <c r="L228" s="7" t="str">
        <f>HYPERLINK("http://slimages.macys.com/is/image/MCY/9450411 ")</f>
        <v xml:space="preserve">http://slimages.macys.com/is/image/MCY/9450411 </v>
      </c>
    </row>
    <row r="229" spans="1:12" ht="24.75" x14ac:dyDescent="0.25">
      <c r="A229" s="4" t="s">
        <v>3602</v>
      </c>
      <c r="B229" s="2" t="s">
        <v>849</v>
      </c>
      <c r="C229" s="3">
        <v>1</v>
      </c>
      <c r="D229" s="5">
        <v>40.65</v>
      </c>
      <c r="E229" s="3" t="s">
        <v>850</v>
      </c>
      <c r="F229" s="2" t="s">
        <v>74</v>
      </c>
      <c r="G229" s="6" t="s">
        <v>234</v>
      </c>
      <c r="H229" s="2" t="s">
        <v>182</v>
      </c>
      <c r="I229" s="2" t="s">
        <v>503</v>
      </c>
      <c r="J229" s="2" t="s">
        <v>19</v>
      </c>
      <c r="K229" s="2" t="s">
        <v>353</v>
      </c>
      <c r="L229" s="7" t="str">
        <f>HYPERLINK("http://slimages.macys.com/is/image/MCY/9340634 ")</f>
        <v xml:space="preserve">http://slimages.macys.com/is/image/MCY/9340634 </v>
      </c>
    </row>
    <row r="230" spans="1:12" ht="24.75" x14ac:dyDescent="0.25">
      <c r="A230" s="4" t="s">
        <v>2466</v>
      </c>
      <c r="B230" s="2" t="s">
        <v>818</v>
      </c>
      <c r="C230" s="3">
        <v>1</v>
      </c>
      <c r="D230" s="5">
        <v>36.5</v>
      </c>
      <c r="E230" s="3" t="s">
        <v>2465</v>
      </c>
      <c r="F230" s="2" t="s">
        <v>26</v>
      </c>
      <c r="G230" s="6" t="s">
        <v>156</v>
      </c>
      <c r="H230" s="2" t="s">
        <v>194</v>
      </c>
      <c r="I230" s="2" t="s">
        <v>195</v>
      </c>
      <c r="J230" s="2" t="s">
        <v>19</v>
      </c>
      <c r="K230" s="2" t="s">
        <v>34</v>
      </c>
      <c r="L230" s="7" t="str">
        <f>HYPERLINK("http://slimages.macys.com/is/image/MCY/11527019 ")</f>
        <v xml:space="preserve">http://slimages.macys.com/is/image/MCY/11527019 </v>
      </c>
    </row>
    <row r="231" spans="1:12" ht="48.75" x14ac:dyDescent="0.25">
      <c r="A231" s="4" t="s">
        <v>2464</v>
      </c>
      <c r="B231" s="2" t="s">
        <v>818</v>
      </c>
      <c r="C231" s="3">
        <v>1</v>
      </c>
      <c r="D231" s="5">
        <v>36.5</v>
      </c>
      <c r="E231" s="3" t="s">
        <v>2465</v>
      </c>
      <c r="F231" s="2" t="s">
        <v>26</v>
      </c>
      <c r="G231" s="6" t="s">
        <v>181</v>
      </c>
      <c r="H231" s="2" t="s">
        <v>194</v>
      </c>
      <c r="I231" s="2" t="s">
        <v>408</v>
      </c>
      <c r="J231" s="2" t="s">
        <v>19</v>
      </c>
      <c r="K231" s="2" t="s">
        <v>787</v>
      </c>
      <c r="L231" s="7" t="str">
        <f>HYPERLINK("http://slimages.macys.com/is/image/MCY/3935281 ")</f>
        <v xml:space="preserve">http://slimages.macys.com/is/image/MCY/3935281 </v>
      </c>
    </row>
    <row r="232" spans="1:12" ht="36.75" x14ac:dyDescent="0.25">
      <c r="A232" s="4" t="s">
        <v>855</v>
      </c>
      <c r="B232" s="2" t="s">
        <v>856</v>
      </c>
      <c r="C232" s="3">
        <v>3</v>
      </c>
      <c r="D232" s="5">
        <v>48</v>
      </c>
      <c r="E232" s="3">
        <v>100013497</v>
      </c>
      <c r="F232" s="2" t="s">
        <v>252</v>
      </c>
      <c r="G232" s="6" t="s">
        <v>16</v>
      </c>
      <c r="H232" s="2" t="s">
        <v>228</v>
      </c>
      <c r="I232" s="2" t="s">
        <v>458</v>
      </c>
      <c r="J232" s="2" t="s">
        <v>19</v>
      </c>
      <c r="K232" s="2" t="s">
        <v>3555</v>
      </c>
      <c r="L232" s="7" t="str">
        <f>HYPERLINK("http://slimages.macys.com/is/image/MCY/12715149 ")</f>
        <v xml:space="preserve">http://slimages.macys.com/is/image/MCY/12715149 </v>
      </c>
    </row>
    <row r="233" spans="1:12" ht="24.75" x14ac:dyDescent="0.25">
      <c r="A233" s="4" t="s">
        <v>3603</v>
      </c>
      <c r="B233" s="2" t="s">
        <v>856</v>
      </c>
      <c r="C233" s="3">
        <v>1</v>
      </c>
      <c r="D233" s="5">
        <v>48</v>
      </c>
      <c r="E233" s="3">
        <v>100013497</v>
      </c>
      <c r="F233" s="2" t="s">
        <v>252</v>
      </c>
      <c r="G233" s="6" t="s">
        <v>27</v>
      </c>
      <c r="H233" s="2" t="s">
        <v>228</v>
      </c>
      <c r="I233" s="2" t="s">
        <v>183</v>
      </c>
      <c r="J233" s="2" t="s">
        <v>19</v>
      </c>
      <c r="K233" s="2" t="s">
        <v>851</v>
      </c>
      <c r="L233" s="7" t="str">
        <f>HYPERLINK("http://slimages.macys.com/is/image/MCY/12851655 ")</f>
        <v xml:space="preserve">http://slimages.macys.com/is/image/MCY/12851655 </v>
      </c>
    </row>
    <row r="234" spans="1:12" ht="24.75" x14ac:dyDescent="0.25">
      <c r="A234" s="4" t="s">
        <v>3604</v>
      </c>
      <c r="B234" s="2" t="s">
        <v>856</v>
      </c>
      <c r="C234" s="3">
        <v>1</v>
      </c>
      <c r="D234" s="5">
        <v>48</v>
      </c>
      <c r="E234" s="3">
        <v>100013497</v>
      </c>
      <c r="F234" s="2" t="s">
        <v>252</v>
      </c>
      <c r="G234" s="6" t="s">
        <v>58</v>
      </c>
      <c r="H234" s="2" t="s">
        <v>228</v>
      </c>
      <c r="I234" s="2" t="s">
        <v>195</v>
      </c>
      <c r="J234" s="2" t="s">
        <v>19</v>
      </c>
      <c r="K234" s="2" t="s">
        <v>247</v>
      </c>
      <c r="L234" s="7" t="str">
        <f>HYPERLINK("http://slimages.macys.com/is/image/MCY/11764566 ")</f>
        <v xml:space="preserve">http://slimages.macys.com/is/image/MCY/11764566 </v>
      </c>
    </row>
    <row r="235" spans="1:12" ht="24.75" x14ac:dyDescent="0.25">
      <c r="A235" s="4" t="s">
        <v>3605</v>
      </c>
      <c r="B235" s="2" t="s">
        <v>818</v>
      </c>
      <c r="C235" s="3">
        <v>3</v>
      </c>
      <c r="D235" s="5">
        <v>36.5</v>
      </c>
      <c r="E235" s="3" t="s">
        <v>2465</v>
      </c>
      <c r="F235" s="2" t="s">
        <v>26</v>
      </c>
      <c r="G235" s="6" t="s">
        <v>154</v>
      </c>
      <c r="H235" s="2" t="s">
        <v>194</v>
      </c>
      <c r="I235" s="2" t="s">
        <v>195</v>
      </c>
      <c r="J235" s="2" t="s">
        <v>19</v>
      </c>
      <c r="K235" s="2" t="s">
        <v>247</v>
      </c>
      <c r="L235" s="7" t="str">
        <f>HYPERLINK("http://slimages.macys.com/is/image/MCY/11764566 ")</f>
        <v xml:space="preserve">http://slimages.macys.com/is/image/MCY/11764566 </v>
      </c>
    </row>
    <row r="236" spans="1:12" ht="24.75" x14ac:dyDescent="0.25">
      <c r="A236" s="4" t="s">
        <v>3606</v>
      </c>
      <c r="B236" s="2" t="s">
        <v>818</v>
      </c>
      <c r="C236" s="3">
        <v>1</v>
      </c>
      <c r="D236" s="5">
        <v>36.5</v>
      </c>
      <c r="E236" s="3" t="s">
        <v>2465</v>
      </c>
      <c r="F236" s="2" t="s">
        <v>26</v>
      </c>
      <c r="G236" s="6" t="s">
        <v>245</v>
      </c>
      <c r="H236" s="2" t="s">
        <v>194</v>
      </c>
      <c r="I236" s="2" t="s">
        <v>857</v>
      </c>
      <c r="J236" s="2" t="s">
        <v>19</v>
      </c>
      <c r="K236" s="2" t="s">
        <v>387</v>
      </c>
      <c r="L236" s="7" t="str">
        <f>HYPERLINK("http://slimages.macys.com/is/image/MCY/9478981 ")</f>
        <v xml:space="preserve">http://slimages.macys.com/is/image/MCY/9478981 </v>
      </c>
    </row>
    <row r="237" spans="1:12" ht="24.75" x14ac:dyDescent="0.25">
      <c r="A237" s="4" t="s">
        <v>3607</v>
      </c>
      <c r="B237" s="2" t="s">
        <v>3608</v>
      </c>
      <c r="C237" s="3">
        <v>1</v>
      </c>
      <c r="D237" s="5">
        <v>40.880000000000003</v>
      </c>
      <c r="E237" s="3" t="s">
        <v>3609</v>
      </c>
      <c r="F237" s="2" t="s">
        <v>15</v>
      </c>
      <c r="G237" s="6" t="s">
        <v>181</v>
      </c>
      <c r="H237" s="2" t="s">
        <v>284</v>
      </c>
      <c r="I237" s="2" t="s">
        <v>857</v>
      </c>
      <c r="J237" s="2" t="s">
        <v>19</v>
      </c>
      <c r="K237" s="2" t="s">
        <v>387</v>
      </c>
      <c r="L237" s="7" t="str">
        <f>HYPERLINK("http://slimages.macys.com/is/image/MCY/9478981 ")</f>
        <v xml:space="preserve">http://slimages.macys.com/is/image/MCY/9478981 </v>
      </c>
    </row>
    <row r="238" spans="1:12" ht="24.75" x14ac:dyDescent="0.25">
      <c r="A238" s="4" t="s">
        <v>3610</v>
      </c>
      <c r="B238" s="2" t="s">
        <v>861</v>
      </c>
      <c r="C238" s="3">
        <v>1</v>
      </c>
      <c r="D238" s="5">
        <v>34.5</v>
      </c>
      <c r="E238" s="3" t="s">
        <v>862</v>
      </c>
      <c r="F238" s="2" t="s">
        <v>64</v>
      </c>
      <c r="G238" s="6" t="s">
        <v>3611</v>
      </c>
      <c r="H238" s="2" t="s">
        <v>228</v>
      </c>
      <c r="I238" s="2" t="s">
        <v>857</v>
      </c>
      <c r="J238" s="2" t="s">
        <v>19</v>
      </c>
      <c r="K238" s="2" t="s">
        <v>387</v>
      </c>
      <c r="L238" s="7" t="str">
        <f>HYPERLINK("http://slimages.macys.com/is/image/MCY/9478981 ")</f>
        <v xml:space="preserve">http://slimages.macys.com/is/image/MCY/9478981 </v>
      </c>
    </row>
    <row r="239" spans="1:12" ht="24.75" x14ac:dyDescent="0.25">
      <c r="A239" s="4" t="s">
        <v>3612</v>
      </c>
      <c r="B239" s="2" t="s">
        <v>2476</v>
      </c>
      <c r="C239" s="3">
        <v>2</v>
      </c>
      <c r="D239" s="5">
        <v>40.880000000000003</v>
      </c>
      <c r="E239" s="3" t="s">
        <v>2479</v>
      </c>
      <c r="F239" s="2" t="s">
        <v>1614</v>
      </c>
      <c r="G239" s="6" t="s">
        <v>156</v>
      </c>
      <c r="H239" s="2" t="s">
        <v>194</v>
      </c>
      <c r="I239" s="2" t="s">
        <v>195</v>
      </c>
      <c r="J239" s="2" t="s">
        <v>19</v>
      </c>
      <c r="K239" s="2" t="s">
        <v>247</v>
      </c>
      <c r="L239" s="7" t="str">
        <f>HYPERLINK("http://slimages.macys.com/is/image/MCY/11764566 ")</f>
        <v xml:space="preserve">http://slimages.macys.com/is/image/MCY/11764566 </v>
      </c>
    </row>
    <row r="240" spans="1:12" ht="24.75" x14ac:dyDescent="0.25">
      <c r="A240" s="4" t="s">
        <v>3613</v>
      </c>
      <c r="B240" s="2" t="s">
        <v>2476</v>
      </c>
      <c r="C240" s="3">
        <v>2</v>
      </c>
      <c r="D240" s="5">
        <v>40.880000000000003</v>
      </c>
      <c r="E240" s="3" t="s">
        <v>2477</v>
      </c>
      <c r="F240" s="2" t="s">
        <v>752</v>
      </c>
      <c r="G240" s="6" t="s">
        <v>156</v>
      </c>
      <c r="H240" s="2" t="s">
        <v>194</v>
      </c>
      <c r="I240" s="2" t="s">
        <v>195</v>
      </c>
      <c r="J240" s="2" t="s">
        <v>19</v>
      </c>
      <c r="K240" s="2" t="s">
        <v>247</v>
      </c>
      <c r="L240" s="7" t="str">
        <f>HYPERLINK("http://slimages.macys.com/is/image/MCY/11764566 ")</f>
        <v xml:space="preserve">http://slimages.macys.com/is/image/MCY/11764566 </v>
      </c>
    </row>
    <row r="241" spans="1:12" ht="24.75" x14ac:dyDescent="0.25">
      <c r="A241" s="4" t="s">
        <v>2475</v>
      </c>
      <c r="B241" s="2" t="s">
        <v>2476</v>
      </c>
      <c r="C241" s="3">
        <v>2</v>
      </c>
      <c r="D241" s="5">
        <v>40.880000000000003</v>
      </c>
      <c r="E241" s="3" t="s">
        <v>2477</v>
      </c>
      <c r="F241" s="2" t="s">
        <v>752</v>
      </c>
      <c r="G241" s="6" t="s">
        <v>154</v>
      </c>
      <c r="H241" s="2" t="s">
        <v>194</v>
      </c>
      <c r="I241" s="2" t="s">
        <v>285</v>
      </c>
      <c r="J241" s="2" t="s">
        <v>19</v>
      </c>
      <c r="K241" s="2" t="s">
        <v>160</v>
      </c>
      <c r="L241" s="7" t="str">
        <f>HYPERLINK("http://slimages.macys.com/is/image/MCY/12717538 ")</f>
        <v xml:space="preserve">http://slimages.macys.com/is/image/MCY/12717538 </v>
      </c>
    </row>
    <row r="242" spans="1:12" ht="24.75" x14ac:dyDescent="0.25">
      <c r="A242" s="4" t="s">
        <v>2478</v>
      </c>
      <c r="B242" s="2" t="s">
        <v>2476</v>
      </c>
      <c r="C242" s="3">
        <v>1</v>
      </c>
      <c r="D242" s="5">
        <v>40.880000000000003</v>
      </c>
      <c r="E242" s="3" t="s">
        <v>2479</v>
      </c>
      <c r="F242" s="2" t="s">
        <v>1614</v>
      </c>
      <c r="G242" s="6" t="s">
        <v>154</v>
      </c>
      <c r="H242" s="2" t="s">
        <v>194</v>
      </c>
      <c r="I242" s="2" t="s">
        <v>863</v>
      </c>
      <c r="J242" s="2" t="s">
        <v>19</v>
      </c>
      <c r="K242" s="2" t="s">
        <v>253</v>
      </c>
      <c r="L242" s="7" t="str">
        <f>HYPERLINK("http://slimages.macys.com/is/image/MCY/3650197 ")</f>
        <v xml:space="preserve">http://slimages.macys.com/is/image/MCY/3650197 </v>
      </c>
    </row>
    <row r="243" spans="1:12" ht="24.75" x14ac:dyDescent="0.25">
      <c r="A243" s="4" t="s">
        <v>3614</v>
      </c>
      <c r="B243" s="2" t="s">
        <v>2476</v>
      </c>
      <c r="C243" s="3">
        <v>1</v>
      </c>
      <c r="D243" s="5">
        <v>40.880000000000003</v>
      </c>
      <c r="E243" s="3" t="s">
        <v>2479</v>
      </c>
      <c r="F243" s="2" t="s">
        <v>1614</v>
      </c>
      <c r="G243" s="6" t="s">
        <v>234</v>
      </c>
      <c r="H243" s="2" t="s">
        <v>194</v>
      </c>
      <c r="I243" s="2" t="s">
        <v>195</v>
      </c>
      <c r="J243" s="2" t="s">
        <v>19</v>
      </c>
      <c r="K243" s="2" t="s">
        <v>34</v>
      </c>
      <c r="L243" s="7" t="str">
        <f>HYPERLINK("http://slimages.macys.com/is/image/MCY/11526932 ")</f>
        <v xml:space="preserve">http://slimages.macys.com/is/image/MCY/11526932 </v>
      </c>
    </row>
    <row r="244" spans="1:12" ht="24.75" x14ac:dyDescent="0.25">
      <c r="A244" s="4" t="s">
        <v>3615</v>
      </c>
      <c r="B244" s="2" t="s">
        <v>3616</v>
      </c>
      <c r="C244" s="3">
        <v>1</v>
      </c>
      <c r="D244" s="5">
        <v>42.38</v>
      </c>
      <c r="E244" s="3" t="s">
        <v>3617</v>
      </c>
      <c r="F244" s="2" t="s">
        <v>70</v>
      </c>
      <c r="G244" s="6"/>
      <c r="H244" s="2" t="s">
        <v>349</v>
      </c>
      <c r="I244" s="2" t="s">
        <v>195</v>
      </c>
      <c r="J244" s="2" t="s">
        <v>19</v>
      </c>
      <c r="K244" s="2" t="s">
        <v>34</v>
      </c>
      <c r="L244" s="7" t="str">
        <f>HYPERLINK("http://slimages.macys.com/is/image/MCY/12279885 ")</f>
        <v xml:space="preserve">http://slimages.macys.com/is/image/MCY/12279885 </v>
      </c>
    </row>
    <row r="245" spans="1:12" ht="24.75" x14ac:dyDescent="0.25">
      <c r="A245" s="4" t="s">
        <v>3618</v>
      </c>
      <c r="B245" s="2" t="s">
        <v>876</v>
      </c>
      <c r="C245" s="3">
        <v>1</v>
      </c>
      <c r="D245" s="5">
        <v>34.5</v>
      </c>
      <c r="E245" s="3" t="s">
        <v>877</v>
      </c>
      <c r="F245" s="2" t="s">
        <v>878</v>
      </c>
      <c r="G245" s="6" t="s">
        <v>336</v>
      </c>
      <c r="H245" s="2" t="s">
        <v>426</v>
      </c>
      <c r="I245" s="2" t="s">
        <v>195</v>
      </c>
      <c r="J245" s="2" t="s">
        <v>19</v>
      </c>
      <c r="K245" s="2" t="s">
        <v>34</v>
      </c>
      <c r="L245" s="7" t="str">
        <f>HYPERLINK("http://slimages.macys.com/is/image/MCY/12279885 ")</f>
        <v xml:space="preserve">http://slimages.macys.com/is/image/MCY/12279885 </v>
      </c>
    </row>
    <row r="246" spans="1:12" ht="24.75" x14ac:dyDescent="0.25">
      <c r="A246" s="4" t="s">
        <v>3619</v>
      </c>
      <c r="B246" s="2" t="s">
        <v>880</v>
      </c>
      <c r="C246" s="3">
        <v>1</v>
      </c>
      <c r="D246" s="5">
        <v>34.5</v>
      </c>
      <c r="E246" s="3" t="s">
        <v>881</v>
      </c>
      <c r="F246" s="2" t="s">
        <v>111</v>
      </c>
      <c r="G246" s="6" t="s">
        <v>58</v>
      </c>
      <c r="H246" s="2" t="s">
        <v>228</v>
      </c>
      <c r="I246" s="2" t="s">
        <v>195</v>
      </c>
      <c r="J246" s="2" t="s">
        <v>19</v>
      </c>
      <c r="K246" s="2" t="s">
        <v>34</v>
      </c>
      <c r="L246" s="7" t="str">
        <f>HYPERLINK("http://slimages.macys.com/is/image/MCY/11526932 ")</f>
        <v xml:space="preserve">http://slimages.macys.com/is/image/MCY/11526932 </v>
      </c>
    </row>
    <row r="247" spans="1:12" ht="24.75" x14ac:dyDescent="0.25">
      <c r="A247" s="4" t="s">
        <v>3620</v>
      </c>
      <c r="B247" s="2" t="s">
        <v>880</v>
      </c>
      <c r="C247" s="3">
        <v>1</v>
      </c>
      <c r="D247" s="5">
        <v>34.5</v>
      </c>
      <c r="E247" s="3">
        <v>100040729</v>
      </c>
      <c r="F247" s="2" t="s">
        <v>252</v>
      </c>
      <c r="G247" s="6" t="s">
        <v>58</v>
      </c>
      <c r="H247" s="2" t="s">
        <v>228</v>
      </c>
      <c r="I247" s="2" t="s">
        <v>195</v>
      </c>
      <c r="J247" s="2" t="s">
        <v>19</v>
      </c>
      <c r="K247" s="2" t="s">
        <v>34</v>
      </c>
      <c r="L247" s="7" t="str">
        <f>HYPERLINK("http://slimages.macys.com/is/image/MCY/11526932 ")</f>
        <v xml:space="preserve">http://slimages.macys.com/is/image/MCY/11526932 </v>
      </c>
    </row>
    <row r="248" spans="1:12" ht="24.75" x14ac:dyDescent="0.25">
      <c r="A248" s="4" t="s">
        <v>3621</v>
      </c>
      <c r="B248" s="2" t="s">
        <v>876</v>
      </c>
      <c r="C248" s="3">
        <v>1</v>
      </c>
      <c r="D248" s="5">
        <v>34.5</v>
      </c>
      <c r="E248" s="3" t="s">
        <v>877</v>
      </c>
      <c r="F248" s="2" t="s">
        <v>878</v>
      </c>
      <c r="G248" s="6" t="s">
        <v>126</v>
      </c>
      <c r="H248" s="2" t="s">
        <v>426</v>
      </c>
      <c r="I248" s="2" t="s">
        <v>3622</v>
      </c>
      <c r="J248" s="2" t="s">
        <v>19</v>
      </c>
      <c r="K248" s="2" t="s">
        <v>3623</v>
      </c>
      <c r="L248" s="7" t="str">
        <f>HYPERLINK("http://slimages.macys.com/is/image/MCY/12877154 ")</f>
        <v xml:space="preserve">http://slimages.macys.com/is/image/MCY/12877154 </v>
      </c>
    </row>
    <row r="249" spans="1:12" ht="24.75" x14ac:dyDescent="0.25">
      <c r="A249" s="4" t="s">
        <v>2480</v>
      </c>
      <c r="B249" s="2" t="s">
        <v>876</v>
      </c>
      <c r="C249" s="3">
        <v>1</v>
      </c>
      <c r="D249" s="5">
        <v>34.5</v>
      </c>
      <c r="E249" s="3" t="s">
        <v>877</v>
      </c>
      <c r="F249" s="2" t="s">
        <v>878</v>
      </c>
      <c r="G249" s="6" t="s">
        <v>205</v>
      </c>
      <c r="H249" s="2" t="s">
        <v>426</v>
      </c>
      <c r="I249" s="2" t="s">
        <v>229</v>
      </c>
      <c r="J249" s="2" t="s">
        <v>19</v>
      </c>
      <c r="K249" s="2" t="s">
        <v>253</v>
      </c>
      <c r="L249" s="7" t="str">
        <f>HYPERLINK("http://slimages.macys.com/is/image/MCY/1290325 ")</f>
        <v xml:space="preserve">http://slimages.macys.com/is/image/MCY/1290325 </v>
      </c>
    </row>
    <row r="250" spans="1:12" ht="24.75" x14ac:dyDescent="0.25">
      <c r="A250" s="4" t="s">
        <v>875</v>
      </c>
      <c r="B250" s="2" t="s">
        <v>876</v>
      </c>
      <c r="C250" s="3">
        <v>3</v>
      </c>
      <c r="D250" s="5">
        <v>34.5</v>
      </c>
      <c r="E250" s="3" t="s">
        <v>877</v>
      </c>
      <c r="F250" s="2" t="s">
        <v>878</v>
      </c>
      <c r="G250" s="6" t="s">
        <v>802</v>
      </c>
      <c r="H250" s="2" t="s">
        <v>426</v>
      </c>
      <c r="I250" s="2" t="s">
        <v>229</v>
      </c>
      <c r="J250" s="2" t="s">
        <v>19</v>
      </c>
      <c r="K250" s="2" t="s">
        <v>253</v>
      </c>
      <c r="L250" s="7" t="str">
        <f>HYPERLINK("http://slimages.macys.com/is/image/MCY/9867135 ")</f>
        <v xml:space="preserve">http://slimages.macys.com/is/image/MCY/9867135 </v>
      </c>
    </row>
    <row r="251" spans="1:12" ht="24.75" x14ac:dyDescent="0.25">
      <c r="A251" s="4" t="s">
        <v>879</v>
      </c>
      <c r="B251" s="2" t="s">
        <v>880</v>
      </c>
      <c r="C251" s="3">
        <v>1</v>
      </c>
      <c r="D251" s="5">
        <v>34.5</v>
      </c>
      <c r="E251" s="3" t="s">
        <v>881</v>
      </c>
      <c r="F251" s="2" t="s">
        <v>111</v>
      </c>
      <c r="G251" s="6" t="s">
        <v>27</v>
      </c>
      <c r="H251" s="2" t="s">
        <v>228</v>
      </c>
      <c r="I251" s="2" t="s">
        <v>229</v>
      </c>
      <c r="J251" s="2" t="s">
        <v>19</v>
      </c>
      <c r="K251" s="2" t="s">
        <v>230</v>
      </c>
      <c r="L251" s="7" t="str">
        <f>HYPERLINK("http://slimages.macys.com/is/image/MCY/3650189 ")</f>
        <v xml:space="preserve">http://slimages.macys.com/is/image/MCY/3650189 </v>
      </c>
    </row>
    <row r="252" spans="1:12" ht="24.75" x14ac:dyDescent="0.25">
      <c r="A252" s="4" t="s">
        <v>883</v>
      </c>
      <c r="B252" s="2" t="s">
        <v>876</v>
      </c>
      <c r="C252" s="3">
        <v>1</v>
      </c>
      <c r="D252" s="5">
        <v>34.5</v>
      </c>
      <c r="E252" s="3" t="s">
        <v>877</v>
      </c>
      <c r="F252" s="2" t="s">
        <v>878</v>
      </c>
      <c r="G252" s="6" t="s">
        <v>238</v>
      </c>
      <c r="H252" s="2" t="s">
        <v>426</v>
      </c>
      <c r="I252" s="2" t="s">
        <v>229</v>
      </c>
      <c r="J252" s="2" t="s">
        <v>19</v>
      </c>
      <c r="K252" s="2" t="s">
        <v>253</v>
      </c>
      <c r="L252" s="7" t="str">
        <f>HYPERLINK("http://slimages.macys.com/is/image/MCY/1290325 ")</f>
        <v xml:space="preserve">http://slimages.macys.com/is/image/MCY/1290325 </v>
      </c>
    </row>
    <row r="253" spans="1:12" ht="24.75" x14ac:dyDescent="0.25">
      <c r="A253" s="4" t="s">
        <v>3624</v>
      </c>
      <c r="B253" s="2" t="s">
        <v>3625</v>
      </c>
      <c r="C253" s="3">
        <v>1</v>
      </c>
      <c r="D253" s="5">
        <v>34.5</v>
      </c>
      <c r="E253" s="3" t="s">
        <v>3626</v>
      </c>
      <c r="F253" s="2" t="s">
        <v>417</v>
      </c>
      <c r="G253" s="6" t="s">
        <v>205</v>
      </c>
      <c r="H253" s="2" t="s">
        <v>426</v>
      </c>
      <c r="I253" s="2" t="s">
        <v>229</v>
      </c>
      <c r="J253" s="2" t="s">
        <v>19</v>
      </c>
      <c r="K253" s="2" t="s">
        <v>253</v>
      </c>
      <c r="L253" s="7" t="str">
        <f>HYPERLINK("http://slimages.macys.com/is/image/MCY/1290325 ")</f>
        <v xml:space="preserve">http://slimages.macys.com/is/image/MCY/1290325 </v>
      </c>
    </row>
    <row r="254" spans="1:12" ht="24.75" x14ac:dyDescent="0.25">
      <c r="A254" s="4" t="s">
        <v>3627</v>
      </c>
      <c r="B254" s="2" t="s">
        <v>811</v>
      </c>
      <c r="C254" s="3">
        <v>1</v>
      </c>
      <c r="D254" s="5">
        <v>36.5</v>
      </c>
      <c r="E254" s="3" t="s">
        <v>3628</v>
      </c>
      <c r="F254" s="2" t="s">
        <v>15</v>
      </c>
      <c r="G254" s="6" t="s">
        <v>154</v>
      </c>
      <c r="H254" s="2" t="s">
        <v>194</v>
      </c>
      <c r="I254" s="2" t="s">
        <v>229</v>
      </c>
      <c r="J254" s="2" t="s">
        <v>19</v>
      </c>
      <c r="K254" s="2" t="s">
        <v>253</v>
      </c>
      <c r="L254" s="7" t="str">
        <f>HYPERLINK("http://slimages.macys.com/is/image/MCY/1290325 ")</f>
        <v xml:space="preserve">http://slimages.macys.com/is/image/MCY/1290325 </v>
      </c>
    </row>
    <row r="255" spans="1:12" x14ac:dyDescent="0.25">
      <c r="A255" s="4" t="s">
        <v>3629</v>
      </c>
      <c r="B255" s="2" t="s">
        <v>3630</v>
      </c>
      <c r="C255" s="3">
        <v>1</v>
      </c>
      <c r="D255" s="5">
        <v>59.5</v>
      </c>
      <c r="E255" s="3" t="s">
        <v>3631</v>
      </c>
      <c r="F255" s="2" t="s">
        <v>15</v>
      </c>
      <c r="G255" s="6"/>
      <c r="H255" s="2" t="s">
        <v>206</v>
      </c>
      <c r="I255" s="2" t="s">
        <v>229</v>
      </c>
      <c r="J255" s="2" t="s">
        <v>19</v>
      </c>
      <c r="K255" s="2" t="s">
        <v>253</v>
      </c>
      <c r="L255" s="7" t="str">
        <f>HYPERLINK("http://slimages.macys.com/is/image/MCY/9867135 ")</f>
        <v xml:space="preserve">http://slimages.macys.com/is/image/MCY/9867135 </v>
      </c>
    </row>
    <row r="256" spans="1:12" ht="24.75" x14ac:dyDescent="0.25">
      <c r="A256" s="4" t="s">
        <v>3632</v>
      </c>
      <c r="B256" s="2" t="s">
        <v>2483</v>
      </c>
      <c r="C256" s="3">
        <v>1</v>
      </c>
      <c r="D256" s="5">
        <v>34.880000000000003</v>
      </c>
      <c r="E256" s="3">
        <v>100058189</v>
      </c>
      <c r="F256" s="2" t="s">
        <v>15</v>
      </c>
      <c r="G256" s="6" t="s">
        <v>58</v>
      </c>
      <c r="H256" s="2" t="s">
        <v>194</v>
      </c>
      <c r="I256" s="2" t="s">
        <v>229</v>
      </c>
      <c r="J256" s="2" t="s">
        <v>19</v>
      </c>
      <c r="K256" s="2" t="s">
        <v>253</v>
      </c>
      <c r="L256" s="7" t="str">
        <f>HYPERLINK("http://slimages.macys.com/is/image/MCY/1290325 ")</f>
        <v xml:space="preserve">http://slimages.macys.com/is/image/MCY/1290325 </v>
      </c>
    </row>
    <row r="257" spans="1:12" ht="24.75" x14ac:dyDescent="0.25">
      <c r="A257" s="4" t="s">
        <v>2482</v>
      </c>
      <c r="B257" s="2" t="s">
        <v>2483</v>
      </c>
      <c r="C257" s="3">
        <v>1</v>
      </c>
      <c r="D257" s="5">
        <v>34.880000000000003</v>
      </c>
      <c r="E257" s="3">
        <v>100058189</v>
      </c>
      <c r="F257" s="2" t="s">
        <v>15</v>
      </c>
      <c r="G257" s="6" t="s">
        <v>27</v>
      </c>
      <c r="H257" s="2" t="s">
        <v>194</v>
      </c>
      <c r="I257" s="2" t="s">
        <v>229</v>
      </c>
      <c r="J257" s="2" t="s">
        <v>19</v>
      </c>
      <c r="K257" s="2" t="s">
        <v>3633</v>
      </c>
      <c r="L257" s="7" t="str">
        <f>HYPERLINK("http://slimages.macys.com/is/image/MCY/9551986 ")</f>
        <v xml:space="preserve">http://slimages.macys.com/is/image/MCY/9551986 </v>
      </c>
    </row>
    <row r="258" spans="1:12" ht="24.75" x14ac:dyDescent="0.25">
      <c r="A258" s="4" t="s">
        <v>3634</v>
      </c>
      <c r="B258" s="2" t="s">
        <v>926</v>
      </c>
      <c r="C258" s="3">
        <v>1</v>
      </c>
      <c r="D258" s="5">
        <v>36.5</v>
      </c>
      <c r="E258" s="3">
        <v>100009311</v>
      </c>
      <c r="F258" s="2" t="s">
        <v>170</v>
      </c>
      <c r="G258" s="6" t="s">
        <v>22</v>
      </c>
      <c r="H258" s="2" t="s">
        <v>194</v>
      </c>
      <c r="I258" s="2" t="s">
        <v>195</v>
      </c>
      <c r="J258" s="2" t="s">
        <v>19</v>
      </c>
      <c r="K258" s="2" t="s">
        <v>160</v>
      </c>
      <c r="L258" s="7" t="str">
        <f>HYPERLINK("http://slimages.macys.com/is/image/MCY/11764562 ")</f>
        <v xml:space="preserve">http://slimages.macys.com/is/image/MCY/11764562 </v>
      </c>
    </row>
    <row r="259" spans="1:12" ht="24.75" x14ac:dyDescent="0.25">
      <c r="A259" s="4" t="s">
        <v>3635</v>
      </c>
      <c r="B259" s="2" t="s">
        <v>886</v>
      </c>
      <c r="C259" s="3">
        <v>1</v>
      </c>
      <c r="D259" s="5">
        <v>37.130000000000003</v>
      </c>
      <c r="E259" s="3">
        <v>100016232</v>
      </c>
      <c r="F259" s="2" t="s">
        <v>887</v>
      </c>
      <c r="G259" s="6" t="s">
        <v>156</v>
      </c>
      <c r="H259" s="2" t="s">
        <v>194</v>
      </c>
      <c r="I259" s="2" t="s">
        <v>207</v>
      </c>
      <c r="J259" s="2" t="s">
        <v>19</v>
      </c>
      <c r="K259" s="2" t="s">
        <v>201</v>
      </c>
      <c r="L259" s="7" t="str">
        <f>HYPERLINK("http://slimages.macys.com/is/image/MCY/12792755 ")</f>
        <v xml:space="preserve">http://slimages.macys.com/is/image/MCY/12792755 </v>
      </c>
    </row>
    <row r="260" spans="1:12" ht="24.75" x14ac:dyDescent="0.25">
      <c r="A260" s="4" t="s">
        <v>3636</v>
      </c>
      <c r="B260" s="2" t="s">
        <v>898</v>
      </c>
      <c r="C260" s="3">
        <v>1</v>
      </c>
      <c r="D260" s="5">
        <v>37.130000000000003</v>
      </c>
      <c r="E260" s="3" t="s">
        <v>3637</v>
      </c>
      <c r="F260" s="2" t="s">
        <v>74</v>
      </c>
      <c r="G260" s="6" t="s">
        <v>336</v>
      </c>
      <c r="H260" s="2" t="s">
        <v>312</v>
      </c>
      <c r="I260" s="2" t="s">
        <v>195</v>
      </c>
      <c r="J260" s="2" t="s">
        <v>19</v>
      </c>
      <c r="K260" s="2" t="s">
        <v>648</v>
      </c>
      <c r="L260" s="7" t="str">
        <f>HYPERLINK("http://slimages.macys.com/is/image/MCY/12802459 ")</f>
        <v xml:space="preserve">http://slimages.macys.com/is/image/MCY/12802459 </v>
      </c>
    </row>
    <row r="261" spans="1:12" ht="24.75" x14ac:dyDescent="0.25">
      <c r="A261" s="4" t="s">
        <v>3638</v>
      </c>
      <c r="B261" s="2" t="s">
        <v>898</v>
      </c>
      <c r="C261" s="3">
        <v>1</v>
      </c>
      <c r="D261" s="5">
        <v>37.130000000000003</v>
      </c>
      <c r="E261" s="3" t="s">
        <v>3637</v>
      </c>
      <c r="F261" s="2" t="s">
        <v>74</v>
      </c>
      <c r="G261" s="6" t="s">
        <v>165</v>
      </c>
      <c r="H261" s="2" t="s">
        <v>312</v>
      </c>
      <c r="I261" s="2" t="s">
        <v>195</v>
      </c>
      <c r="J261" s="2" t="s">
        <v>19</v>
      </c>
      <c r="K261" s="2" t="s">
        <v>648</v>
      </c>
      <c r="L261" s="7" t="str">
        <f>HYPERLINK("http://slimages.macys.com/is/image/MCY/12802459 ")</f>
        <v xml:space="preserve">http://slimages.macys.com/is/image/MCY/12802459 </v>
      </c>
    </row>
    <row r="262" spans="1:12" ht="24.75" x14ac:dyDescent="0.25">
      <c r="A262" s="4" t="s">
        <v>3639</v>
      </c>
      <c r="B262" s="2" t="s">
        <v>3640</v>
      </c>
      <c r="C262" s="3">
        <v>1</v>
      </c>
      <c r="D262" s="5">
        <v>44.63</v>
      </c>
      <c r="E262" s="3" t="s">
        <v>3641</v>
      </c>
      <c r="F262" s="2" t="s">
        <v>376</v>
      </c>
      <c r="G262" s="6" t="s">
        <v>1172</v>
      </c>
      <c r="H262" s="2" t="s">
        <v>246</v>
      </c>
      <c r="I262" s="2" t="s">
        <v>928</v>
      </c>
      <c r="J262" s="2" t="s">
        <v>19</v>
      </c>
      <c r="K262" s="2" t="s">
        <v>929</v>
      </c>
      <c r="L262" s="7" t="str">
        <f>HYPERLINK("http://slimages.macys.com/is/image/MCY/10249270 ")</f>
        <v xml:space="preserve">http://slimages.macys.com/is/image/MCY/10249270 </v>
      </c>
    </row>
    <row r="263" spans="1:12" ht="24.75" x14ac:dyDescent="0.25">
      <c r="A263" s="4" t="s">
        <v>2488</v>
      </c>
      <c r="B263" s="2" t="s">
        <v>901</v>
      </c>
      <c r="C263" s="3">
        <v>1</v>
      </c>
      <c r="D263" s="5">
        <v>39.5</v>
      </c>
      <c r="E263" s="3" t="s">
        <v>902</v>
      </c>
      <c r="F263" s="2" t="s">
        <v>417</v>
      </c>
      <c r="G263" s="6" t="s">
        <v>181</v>
      </c>
      <c r="H263" s="2" t="s">
        <v>194</v>
      </c>
      <c r="I263" s="2" t="s">
        <v>195</v>
      </c>
      <c r="J263" s="2" t="s">
        <v>19</v>
      </c>
      <c r="K263" s="2" t="s">
        <v>201</v>
      </c>
      <c r="L263" s="7" t="str">
        <f>HYPERLINK("http://slimages.macys.com/is/image/MCY/9551936 ")</f>
        <v xml:space="preserve">http://slimages.macys.com/is/image/MCY/9551936 </v>
      </c>
    </row>
    <row r="264" spans="1:12" ht="24.75" x14ac:dyDescent="0.25">
      <c r="A264" s="4" t="s">
        <v>3642</v>
      </c>
      <c r="B264" s="2" t="s">
        <v>901</v>
      </c>
      <c r="C264" s="3">
        <v>1</v>
      </c>
      <c r="D264" s="5">
        <v>39.5</v>
      </c>
      <c r="E264" s="3" t="s">
        <v>902</v>
      </c>
      <c r="F264" s="2" t="s">
        <v>417</v>
      </c>
      <c r="G264" s="6" t="s">
        <v>154</v>
      </c>
      <c r="H264" s="2" t="s">
        <v>194</v>
      </c>
      <c r="I264" s="2" t="s">
        <v>503</v>
      </c>
      <c r="J264" s="2" t="s">
        <v>19</v>
      </c>
      <c r="K264" s="2" t="s">
        <v>353</v>
      </c>
      <c r="L264" s="7" t="str">
        <f>HYPERLINK("http://slimages.macys.com/is/image/MCY/9325347 ")</f>
        <v xml:space="preserve">http://slimages.macys.com/is/image/MCY/9325347 </v>
      </c>
    </row>
    <row r="265" spans="1:12" ht="24.75" x14ac:dyDescent="0.25">
      <c r="A265" s="4" t="s">
        <v>3643</v>
      </c>
      <c r="B265" s="2" t="s">
        <v>3644</v>
      </c>
      <c r="C265" s="3">
        <v>1</v>
      </c>
      <c r="D265" s="5">
        <v>39.99</v>
      </c>
      <c r="E265" s="3" t="s">
        <v>3645</v>
      </c>
      <c r="F265" s="2" t="s">
        <v>170</v>
      </c>
      <c r="G265" s="6"/>
      <c r="H265" s="2" t="s">
        <v>188</v>
      </c>
      <c r="I265" s="2" t="s">
        <v>503</v>
      </c>
      <c r="J265" s="2" t="s">
        <v>19</v>
      </c>
      <c r="K265" s="2" t="s">
        <v>353</v>
      </c>
      <c r="L265" s="7" t="str">
        <f>HYPERLINK("http://slimages.macys.com/is/image/MCY/9325347 ")</f>
        <v xml:space="preserve">http://slimages.macys.com/is/image/MCY/9325347 </v>
      </c>
    </row>
    <row r="266" spans="1:12" ht="24.75" x14ac:dyDescent="0.25">
      <c r="A266" s="4" t="s">
        <v>3646</v>
      </c>
      <c r="B266" s="2" t="s">
        <v>904</v>
      </c>
      <c r="C266" s="3">
        <v>1</v>
      </c>
      <c r="D266" s="5">
        <v>34.5</v>
      </c>
      <c r="E266" s="3" t="s">
        <v>907</v>
      </c>
      <c r="F266" s="2" t="s">
        <v>26</v>
      </c>
      <c r="G266" s="6" t="s">
        <v>200</v>
      </c>
      <c r="H266" s="2" t="s">
        <v>228</v>
      </c>
      <c r="I266" s="2" t="s">
        <v>487</v>
      </c>
      <c r="J266" s="2" t="s">
        <v>19</v>
      </c>
      <c r="K266" s="2" t="s">
        <v>409</v>
      </c>
      <c r="L266" s="7" t="str">
        <f>HYPERLINK("http://slimages.macys.com/is/image/MCY/10297488 ")</f>
        <v xml:space="preserve">http://slimages.macys.com/is/image/MCY/10297488 </v>
      </c>
    </row>
    <row r="267" spans="1:12" ht="24.75" x14ac:dyDescent="0.25">
      <c r="A267" s="4" t="s">
        <v>3647</v>
      </c>
      <c r="B267" s="2" t="s">
        <v>904</v>
      </c>
      <c r="C267" s="3">
        <v>1</v>
      </c>
      <c r="D267" s="5">
        <v>34.5</v>
      </c>
      <c r="E267" s="3" t="s">
        <v>905</v>
      </c>
      <c r="F267" s="2" t="s">
        <v>74</v>
      </c>
      <c r="G267" s="6" t="s">
        <v>156</v>
      </c>
      <c r="H267" s="2" t="s">
        <v>228</v>
      </c>
      <c r="I267" s="2" t="s">
        <v>195</v>
      </c>
      <c r="J267" s="2" t="s">
        <v>19</v>
      </c>
      <c r="K267" s="2" t="s">
        <v>438</v>
      </c>
      <c r="L267" s="7" t="str">
        <f>HYPERLINK("http://slimages.macys.com/is/image/MCY/12143757 ")</f>
        <v xml:space="preserve">http://slimages.macys.com/is/image/MCY/12143757 </v>
      </c>
    </row>
    <row r="268" spans="1:12" ht="24.75" x14ac:dyDescent="0.25">
      <c r="A268" s="4" t="s">
        <v>3648</v>
      </c>
      <c r="B268" s="2" t="s">
        <v>2476</v>
      </c>
      <c r="C268" s="3">
        <v>1</v>
      </c>
      <c r="D268" s="5">
        <v>40.880000000000003</v>
      </c>
      <c r="E268" s="3" t="s">
        <v>3649</v>
      </c>
      <c r="F268" s="2" t="s">
        <v>1614</v>
      </c>
      <c r="G268" s="6"/>
      <c r="H268" s="2" t="s">
        <v>312</v>
      </c>
      <c r="I268" s="2" t="s">
        <v>195</v>
      </c>
      <c r="J268" s="2" t="s">
        <v>19</v>
      </c>
      <c r="K268" s="2" t="s">
        <v>438</v>
      </c>
      <c r="L268" s="7" t="str">
        <f>HYPERLINK("http://slimages.macys.com/is/image/MCY/12143757 ")</f>
        <v xml:space="preserve">http://slimages.macys.com/is/image/MCY/12143757 </v>
      </c>
    </row>
    <row r="269" spans="1:12" ht="24.75" x14ac:dyDescent="0.25">
      <c r="A269" s="4" t="s">
        <v>3650</v>
      </c>
      <c r="B269" s="2" t="s">
        <v>2476</v>
      </c>
      <c r="C269" s="3">
        <v>1</v>
      </c>
      <c r="D269" s="5">
        <v>40.880000000000003</v>
      </c>
      <c r="E269" s="3" t="s">
        <v>3649</v>
      </c>
      <c r="F269" s="2" t="s">
        <v>1614</v>
      </c>
      <c r="G269" s="6"/>
      <c r="H269" s="2" t="s">
        <v>312</v>
      </c>
      <c r="I269" s="2" t="s">
        <v>189</v>
      </c>
      <c r="J269" s="2" t="s">
        <v>19</v>
      </c>
      <c r="K269" s="2" t="s">
        <v>1480</v>
      </c>
      <c r="L269" s="7" t="str">
        <f>HYPERLINK("http://slimages.macys.com/is/image/MCY/11153487 ")</f>
        <v xml:space="preserve">http://slimages.macys.com/is/image/MCY/11153487 </v>
      </c>
    </row>
    <row r="270" spans="1:12" ht="24.75" x14ac:dyDescent="0.25">
      <c r="A270" s="4" t="s">
        <v>3651</v>
      </c>
      <c r="B270" s="2" t="s">
        <v>3652</v>
      </c>
      <c r="C270" s="3">
        <v>1</v>
      </c>
      <c r="D270" s="5">
        <v>32.99</v>
      </c>
      <c r="E270" s="3">
        <v>100015508</v>
      </c>
      <c r="F270" s="2" t="s">
        <v>26</v>
      </c>
      <c r="G270" s="6" t="s">
        <v>154</v>
      </c>
      <c r="H270" s="2" t="s">
        <v>284</v>
      </c>
      <c r="I270" s="2" t="s">
        <v>229</v>
      </c>
      <c r="J270" s="2" t="s">
        <v>19</v>
      </c>
      <c r="K270" s="2" t="s">
        <v>253</v>
      </c>
      <c r="L270" s="7" t="str">
        <f>HYPERLINK("http://slimages.macys.com/is/image/MCY/12794164 ")</f>
        <v xml:space="preserve">http://slimages.macys.com/is/image/MCY/12794164 </v>
      </c>
    </row>
    <row r="271" spans="1:12" ht="24.75" x14ac:dyDescent="0.25">
      <c r="A271" s="4" t="s">
        <v>2494</v>
      </c>
      <c r="B271" s="2" t="s">
        <v>453</v>
      </c>
      <c r="C271" s="3">
        <v>1</v>
      </c>
      <c r="D271" s="5">
        <v>37.130000000000003</v>
      </c>
      <c r="E271" s="3" t="s">
        <v>721</v>
      </c>
      <c r="F271" s="2" t="s">
        <v>74</v>
      </c>
      <c r="G271" s="6" t="s">
        <v>154</v>
      </c>
      <c r="H271" s="2" t="s">
        <v>284</v>
      </c>
      <c r="I271" s="2" t="s">
        <v>229</v>
      </c>
      <c r="J271" s="2" t="s">
        <v>19</v>
      </c>
      <c r="K271" s="2" t="s">
        <v>253</v>
      </c>
      <c r="L271" s="7" t="str">
        <f>HYPERLINK("http://slimages.macys.com/is/image/MCY/12794164 ")</f>
        <v xml:space="preserve">http://slimages.macys.com/is/image/MCY/12794164 </v>
      </c>
    </row>
    <row r="272" spans="1:12" ht="24.75" x14ac:dyDescent="0.25">
      <c r="A272" s="4" t="s">
        <v>3653</v>
      </c>
      <c r="B272" s="2" t="s">
        <v>2496</v>
      </c>
      <c r="C272" s="3">
        <v>1</v>
      </c>
      <c r="D272" s="5">
        <v>37.130000000000003</v>
      </c>
      <c r="E272" s="3" t="s">
        <v>2497</v>
      </c>
      <c r="F272" s="2" t="s">
        <v>252</v>
      </c>
      <c r="G272" s="6" t="s">
        <v>181</v>
      </c>
      <c r="H272" s="2" t="s">
        <v>194</v>
      </c>
      <c r="I272" s="2" t="s">
        <v>195</v>
      </c>
      <c r="J272" s="2" t="s">
        <v>19</v>
      </c>
      <c r="K272" s="2" t="s">
        <v>34</v>
      </c>
      <c r="L272" s="7" t="str">
        <f>HYPERLINK("http://slimages.macys.com/is/image/MCY/11526932 ")</f>
        <v xml:space="preserve">http://slimages.macys.com/is/image/MCY/11526932 </v>
      </c>
    </row>
    <row r="273" spans="1:12" ht="24.75" x14ac:dyDescent="0.25">
      <c r="A273" s="4" t="s">
        <v>3654</v>
      </c>
      <c r="B273" s="2" t="s">
        <v>3655</v>
      </c>
      <c r="C273" s="3">
        <v>1</v>
      </c>
      <c r="D273" s="5">
        <v>37.130000000000003</v>
      </c>
      <c r="E273" s="3" t="s">
        <v>3656</v>
      </c>
      <c r="F273" s="2" t="s">
        <v>64</v>
      </c>
      <c r="G273" s="6"/>
      <c r="H273" s="2" t="s">
        <v>188</v>
      </c>
      <c r="I273" s="2" t="s">
        <v>195</v>
      </c>
      <c r="J273" s="2" t="s">
        <v>19</v>
      </c>
      <c r="K273" s="2" t="s">
        <v>34</v>
      </c>
      <c r="L273" s="7" t="str">
        <f>HYPERLINK("http://slimages.macys.com/is/image/MCY/11526932 ")</f>
        <v xml:space="preserve">http://slimages.macys.com/is/image/MCY/11526932 </v>
      </c>
    </row>
    <row r="274" spans="1:12" ht="48.75" x14ac:dyDescent="0.25">
      <c r="A274" s="4" t="s">
        <v>3657</v>
      </c>
      <c r="B274" s="2" t="s">
        <v>3658</v>
      </c>
      <c r="C274" s="3">
        <v>1</v>
      </c>
      <c r="D274" s="5">
        <v>37.130000000000003</v>
      </c>
      <c r="E274" s="3" t="s">
        <v>3659</v>
      </c>
      <c r="F274" s="2" t="s">
        <v>15</v>
      </c>
      <c r="G274" s="6" t="s">
        <v>154</v>
      </c>
      <c r="H274" s="2" t="s">
        <v>284</v>
      </c>
      <c r="I274" s="2" t="s">
        <v>285</v>
      </c>
      <c r="J274" s="2" t="s">
        <v>19</v>
      </c>
      <c r="K274" s="2" t="s">
        <v>3660</v>
      </c>
      <c r="L274" s="7" t="str">
        <f>HYPERLINK("http://slimages.macys.com/is/image/MCY/9718356 ")</f>
        <v xml:space="preserve">http://slimages.macys.com/is/image/MCY/9718356 </v>
      </c>
    </row>
    <row r="275" spans="1:12" ht="24.75" x14ac:dyDescent="0.25">
      <c r="A275" s="4" t="s">
        <v>3661</v>
      </c>
      <c r="B275" s="2" t="s">
        <v>988</v>
      </c>
      <c r="C275" s="3">
        <v>1</v>
      </c>
      <c r="D275" s="5">
        <v>40.880000000000003</v>
      </c>
      <c r="E275" s="3" t="s">
        <v>3662</v>
      </c>
      <c r="F275" s="2" t="s">
        <v>57</v>
      </c>
      <c r="G275" s="6" t="s">
        <v>234</v>
      </c>
      <c r="H275" s="2" t="s">
        <v>246</v>
      </c>
      <c r="I275" s="2" t="s">
        <v>285</v>
      </c>
      <c r="J275" s="2" t="s">
        <v>19</v>
      </c>
      <c r="K275" s="2" t="s">
        <v>323</v>
      </c>
      <c r="L275" s="7" t="str">
        <f>HYPERLINK("http://slimages.macys.com/is/image/MCY/9678668 ")</f>
        <v xml:space="preserve">http://slimages.macys.com/is/image/MCY/9678668 </v>
      </c>
    </row>
    <row r="276" spans="1:12" ht="24.75" x14ac:dyDescent="0.25">
      <c r="A276" s="4" t="s">
        <v>3663</v>
      </c>
      <c r="B276" s="2" t="s">
        <v>3664</v>
      </c>
      <c r="C276" s="3">
        <v>1</v>
      </c>
      <c r="D276" s="5">
        <v>40.880000000000003</v>
      </c>
      <c r="E276" s="3" t="s">
        <v>3665</v>
      </c>
      <c r="F276" s="2" t="s">
        <v>132</v>
      </c>
      <c r="G276" s="6" t="s">
        <v>245</v>
      </c>
      <c r="H276" s="2" t="s">
        <v>194</v>
      </c>
      <c r="I276" s="2" t="s">
        <v>307</v>
      </c>
      <c r="J276" s="2" t="s">
        <v>19</v>
      </c>
      <c r="K276" s="2" t="s">
        <v>160</v>
      </c>
      <c r="L276" s="7" t="str">
        <f>HYPERLINK("http://slimages.macys.com/is/image/MCY/12316773 ")</f>
        <v xml:space="preserve">http://slimages.macys.com/is/image/MCY/12316773 </v>
      </c>
    </row>
    <row r="277" spans="1:12" ht="24.75" x14ac:dyDescent="0.25">
      <c r="A277" s="4" t="s">
        <v>3666</v>
      </c>
      <c r="B277" s="2" t="s">
        <v>3667</v>
      </c>
      <c r="C277" s="3">
        <v>1</v>
      </c>
      <c r="D277" s="5">
        <v>33.380000000000003</v>
      </c>
      <c r="E277" s="3" t="s">
        <v>3668</v>
      </c>
      <c r="F277" s="2" t="s">
        <v>26</v>
      </c>
      <c r="G277" s="6" t="s">
        <v>154</v>
      </c>
      <c r="H277" s="2" t="s">
        <v>284</v>
      </c>
      <c r="I277" s="2" t="s">
        <v>189</v>
      </c>
      <c r="J277" s="2" t="s">
        <v>19</v>
      </c>
      <c r="K277" s="2" t="s">
        <v>107</v>
      </c>
      <c r="L277" s="7" t="str">
        <f>HYPERLINK("http://slimages.macys.com/is/image/MCY/12649415 ")</f>
        <v xml:space="preserve">http://slimages.macys.com/is/image/MCY/12649415 </v>
      </c>
    </row>
    <row r="278" spans="1:12" ht="24.75" x14ac:dyDescent="0.25">
      <c r="A278" s="4" t="s">
        <v>3669</v>
      </c>
      <c r="B278" s="2" t="s">
        <v>890</v>
      </c>
      <c r="C278" s="3">
        <v>1</v>
      </c>
      <c r="D278" s="5">
        <v>34.5</v>
      </c>
      <c r="E278" s="3" t="s">
        <v>3670</v>
      </c>
      <c r="F278" s="2" t="s">
        <v>15</v>
      </c>
      <c r="G278" s="6" t="s">
        <v>3671</v>
      </c>
      <c r="H278" s="2" t="s">
        <v>228</v>
      </c>
      <c r="I278" s="2" t="s">
        <v>408</v>
      </c>
      <c r="J278" s="2" t="s">
        <v>19</v>
      </c>
      <c r="K278" s="2" t="s">
        <v>409</v>
      </c>
      <c r="L278" s="7" t="str">
        <f>HYPERLINK("http://slimages.macys.com/is/image/MCY/12343091 ")</f>
        <v xml:space="preserve">http://slimages.macys.com/is/image/MCY/12343091 </v>
      </c>
    </row>
    <row r="279" spans="1:12" ht="24.75" x14ac:dyDescent="0.25">
      <c r="A279" s="4" t="s">
        <v>2503</v>
      </c>
      <c r="B279" s="2" t="s">
        <v>961</v>
      </c>
      <c r="C279" s="3">
        <v>2</v>
      </c>
      <c r="D279" s="5">
        <v>40.880000000000003</v>
      </c>
      <c r="E279" s="3">
        <v>100026212</v>
      </c>
      <c r="F279" s="2" t="s">
        <v>15</v>
      </c>
      <c r="G279" s="6" t="s">
        <v>234</v>
      </c>
      <c r="H279" s="2" t="s">
        <v>194</v>
      </c>
      <c r="I279" s="2" t="s">
        <v>189</v>
      </c>
      <c r="J279" s="2" t="s">
        <v>19</v>
      </c>
      <c r="K279" s="2" t="s">
        <v>648</v>
      </c>
      <c r="L279" s="7" t="str">
        <f>HYPERLINK("http://slimages.macys.com/is/image/MCY/11808188 ")</f>
        <v xml:space="preserve">http://slimages.macys.com/is/image/MCY/11808188 </v>
      </c>
    </row>
    <row r="280" spans="1:12" ht="24.75" x14ac:dyDescent="0.25">
      <c r="A280" s="4" t="s">
        <v>3672</v>
      </c>
      <c r="B280" s="2" t="s">
        <v>641</v>
      </c>
      <c r="C280" s="3">
        <v>1</v>
      </c>
      <c r="D280" s="5">
        <v>29.99</v>
      </c>
      <c r="E280" s="3" t="s">
        <v>3673</v>
      </c>
      <c r="F280" s="2" t="s">
        <v>64</v>
      </c>
      <c r="G280" s="6" t="s">
        <v>200</v>
      </c>
      <c r="H280" s="2" t="s">
        <v>284</v>
      </c>
      <c r="I280" s="2" t="s">
        <v>503</v>
      </c>
      <c r="J280" s="2" t="s">
        <v>19</v>
      </c>
      <c r="K280" s="2" t="s">
        <v>107</v>
      </c>
      <c r="L280" s="7" t="str">
        <f>HYPERLINK("http://slimages.macys.com/is/image/MCY/12794091 ")</f>
        <v xml:space="preserve">http://slimages.macys.com/is/image/MCY/12794091 </v>
      </c>
    </row>
    <row r="281" spans="1:12" ht="36.75" x14ac:dyDescent="0.25">
      <c r="A281" s="4" t="s">
        <v>3674</v>
      </c>
      <c r="B281" s="2" t="s">
        <v>744</v>
      </c>
      <c r="C281" s="3">
        <v>1</v>
      </c>
      <c r="D281" s="5">
        <v>34.99</v>
      </c>
      <c r="E281" s="3" t="s">
        <v>979</v>
      </c>
      <c r="F281" s="2" t="s">
        <v>85</v>
      </c>
      <c r="G281" s="6" t="s">
        <v>154</v>
      </c>
      <c r="H281" s="2" t="s">
        <v>284</v>
      </c>
      <c r="I281" s="2" t="s">
        <v>285</v>
      </c>
      <c r="J281" s="2" t="s">
        <v>19</v>
      </c>
      <c r="K281" s="2" t="s">
        <v>3675</v>
      </c>
      <c r="L281" s="7" t="str">
        <f>HYPERLINK("http://slimages.macys.com/is/image/MCY/11858186 ")</f>
        <v xml:space="preserve">http://slimages.macys.com/is/image/MCY/11858186 </v>
      </c>
    </row>
    <row r="282" spans="1:12" ht="24.75" x14ac:dyDescent="0.25">
      <c r="A282" s="4" t="s">
        <v>3676</v>
      </c>
      <c r="B282" s="2" t="s">
        <v>641</v>
      </c>
      <c r="C282" s="3">
        <v>1</v>
      </c>
      <c r="D282" s="5">
        <v>29.99</v>
      </c>
      <c r="E282" s="3" t="s">
        <v>3677</v>
      </c>
      <c r="F282" s="2" t="s">
        <v>94</v>
      </c>
      <c r="G282" s="6" t="s">
        <v>200</v>
      </c>
      <c r="H282" s="2" t="s">
        <v>284</v>
      </c>
      <c r="I282" s="2" t="s">
        <v>863</v>
      </c>
      <c r="J282" s="2" t="s">
        <v>19</v>
      </c>
      <c r="K282" s="2" t="s">
        <v>253</v>
      </c>
      <c r="L282" s="7" t="str">
        <f>HYPERLINK("http://slimages.macys.com/is/image/MCY/9864908 ")</f>
        <v xml:space="preserve">http://slimages.macys.com/is/image/MCY/9864908 </v>
      </c>
    </row>
    <row r="283" spans="1:12" ht="36.75" x14ac:dyDescent="0.25">
      <c r="A283" s="4" t="s">
        <v>3678</v>
      </c>
      <c r="B283" s="2" t="s">
        <v>641</v>
      </c>
      <c r="C283" s="3">
        <v>1</v>
      </c>
      <c r="D283" s="5">
        <v>29.99</v>
      </c>
      <c r="E283" s="3" t="s">
        <v>977</v>
      </c>
      <c r="F283" s="2" t="s">
        <v>74</v>
      </c>
      <c r="G283" s="6" t="s">
        <v>245</v>
      </c>
      <c r="H283" s="2" t="s">
        <v>284</v>
      </c>
      <c r="I283" s="2" t="s">
        <v>195</v>
      </c>
      <c r="J283" s="2" t="s">
        <v>19</v>
      </c>
      <c r="K283" s="2" t="s">
        <v>962</v>
      </c>
      <c r="L283" s="7" t="str">
        <f>HYPERLINK("http://slimages.macys.com/is/image/MCY/10139221 ")</f>
        <v xml:space="preserve">http://slimages.macys.com/is/image/MCY/10139221 </v>
      </c>
    </row>
    <row r="284" spans="1:12" ht="24.75" x14ac:dyDescent="0.25">
      <c r="A284" s="4" t="s">
        <v>3679</v>
      </c>
      <c r="B284" s="2" t="s">
        <v>641</v>
      </c>
      <c r="C284" s="3">
        <v>1</v>
      </c>
      <c r="D284" s="5">
        <v>29.99</v>
      </c>
      <c r="E284" s="3" t="s">
        <v>3677</v>
      </c>
      <c r="F284" s="2" t="s">
        <v>94</v>
      </c>
      <c r="G284" s="6" t="s">
        <v>154</v>
      </c>
      <c r="H284" s="2" t="s">
        <v>284</v>
      </c>
      <c r="I284" s="2" t="s">
        <v>408</v>
      </c>
      <c r="J284" s="2" t="s">
        <v>19</v>
      </c>
      <c r="K284" s="2" t="s">
        <v>409</v>
      </c>
      <c r="L284" s="7" t="str">
        <f>HYPERLINK("http://slimages.macys.com/is/image/MCY/9387631 ")</f>
        <v xml:space="preserve">http://slimages.macys.com/is/image/MCY/9387631 </v>
      </c>
    </row>
    <row r="285" spans="1:12" ht="24.75" x14ac:dyDescent="0.25">
      <c r="A285" s="4" t="s">
        <v>3680</v>
      </c>
      <c r="B285" s="2" t="s">
        <v>641</v>
      </c>
      <c r="C285" s="3">
        <v>1</v>
      </c>
      <c r="D285" s="5">
        <v>29.99</v>
      </c>
      <c r="E285" s="3" t="s">
        <v>3673</v>
      </c>
      <c r="F285" s="2" t="s">
        <v>64</v>
      </c>
      <c r="G285" s="6" t="s">
        <v>154</v>
      </c>
      <c r="H285" s="2" t="s">
        <v>284</v>
      </c>
      <c r="I285" s="2" t="s">
        <v>285</v>
      </c>
      <c r="J285" s="2" t="s">
        <v>19</v>
      </c>
      <c r="K285" s="2" t="s">
        <v>34</v>
      </c>
      <c r="L285" s="7" t="str">
        <f>HYPERLINK("http://slimages.macys.com/is/image/MCY/9723880 ")</f>
        <v xml:space="preserve">http://slimages.macys.com/is/image/MCY/9723880 </v>
      </c>
    </row>
    <row r="286" spans="1:12" ht="24.75" x14ac:dyDescent="0.25">
      <c r="A286" s="4" t="s">
        <v>3681</v>
      </c>
      <c r="B286" s="2" t="s">
        <v>641</v>
      </c>
      <c r="C286" s="3">
        <v>1</v>
      </c>
      <c r="D286" s="5">
        <v>29.99</v>
      </c>
      <c r="E286" s="3" t="s">
        <v>2506</v>
      </c>
      <c r="F286" s="2" t="s">
        <v>26</v>
      </c>
      <c r="G286" s="6" t="s">
        <v>181</v>
      </c>
      <c r="H286" s="2" t="s">
        <v>284</v>
      </c>
      <c r="I286" s="2" t="s">
        <v>408</v>
      </c>
      <c r="J286" s="2" t="s">
        <v>19</v>
      </c>
      <c r="K286" s="2" t="s">
        <v>409</v>
      </c>
      <c r="L286" s="7" t="str">
        <f t="shared" ref="L286:L291" si="0">HYPERLINK("http://slimages.macys.com/is/image/MCY/9387631 ")</f>
        <v xml:space="preserve">http://slimages.macys.com/is/image/MCY/9387631 </v>
      </c>
    </row>
    <row r="287" spans="1:12" ht="24.75" x14ac:dyDescent="0.25">
      <c r="A287" s="4" t="s">
        <v>2505</v>
      </c>
      <c r="B287" s="2" t="s">
        <v>641</v>
      </c>
      <c r="C287" s="3">
        <v>1</v>
      </c>
      <c r="D287" s="5">
        <v>29.99</v>
      </c>
      <c r="E287" s="3" t="s">
        <v>2506</v>
      </c>
      <c r="F287" s="2" t="s">
        <v>26</v>
      </c>
      <c r="G287" s="6" t="s">
        <v>154</v>
      </c>
      <c r="H287" s="2" t="s">
        <v>284</v>
      </c>
      <c r="I287" s="2" t="s">
        <v>408</v>
      </c>
      <c r="J287" s="2" t="s">
        <v>19</v>
      </c>
      <c r="K287" s="2" t="s">
        <v>409</v>
      </c>
      <c r="L287" s="7" t="str">
        <f t="shared" si="0"/>
        <v xml:space="preserve">http://slimages.macys.com/is/image/MCY/9387631 </v>
      </c>
    </row>
    <row r="288" spans="1:12" ht="24.75" x14ac:dyDescent="0.25">
      <c r="A288" s="4" t="s">
        <v>970</v>
      </c>
      <c r="B288" s="2" t="s">
        <v>641</v>
      </c>
      <c r="C288" s="3">
        <v>1</v>
      </c>
      <c r="D288" s="5">
        <v>29.99</v>
      </c>
      <c r="E288" s="3" t="s">
        <v>971</v>
      </c>
      <c r="F288" s="2" t="s">
        <v>38</v>
      </c>
      <c r="G288" s="6"/>
      <c r="H288" s="2" t="s">
        <v>632</v>
      </c>
      <c r="I288" s="2" t="s">
        <v>408</v>
      </c>
      <c r="J288" s="2" t="s">
        <v>19</v>
      </c>
      <c r="K288" s="2" t="s">
        <v>409</v>
      </c>
      <c r="L288" s="7" t="str">
        <f t="shared" si="0"/>
        <v xml:space="preserve">http://slimages.macys.com/is/image/MCY/9387631 </v>
      </c>
    </row>
    <row r="289" spans="1:12" ht="24.75" x14ac:dyDescent="0.25">
      <c r="A289" s="4" t="s">
        <v>3682</v>
      </c>
      <c r="B289" s="2" t="s">
        <v>3683</v>
      </c>
      <c r="C289" s="3">
        <v>1</v>
      </c>
      <c r="D289" s="5">
        <v>45</v>
      </c>
      <c r="E289" s="3" t="s">
        <v>3684</v>
      </c>
      <c r="F289" s="2" t="s">
        <v>94</v>
      </c>
      <c r="G289" s="6" t="s">
        <v>446</v>
      </c>
      <c r="H289" s="2" t="s">
        <v>447</v>
      </c>
      <c r="I289" s="2" t="s">
        <v>408</v>
      </c>
      <c r="J289" s="2" t="s">
        <v>19</v>
      </c>
      <c r="K289" s="2" t="s">
        <v>409</v>
      </c>
      <c r="L289" s="7" t="str">
        <f t="shared" si="0"/>
        <v xml:space="preserve">http://slimages.macys.com/is/image/MCY/9387631 </v>
      </c>
    </row>
    <row r="290" spans="1:12" ht="24.75" x14ac:dyDescent="0.25">
      <c r="A290" s="4" t="s">
        <v>3685</v>
      </c>
      <c r="B290" s="2" t="s">
        <v>2509</v>
      </c>
      <c r="C290" s="3">
        <v>1</v>
      </c>
      <c r="D290" s="5">
        <v>40.5</v>
      </c>
      <c r="E290" s="3">
        <v>100063117</v>
      </c>
      <c r="F290" s="2" t="s">
        <v>64</v>
      </c>
      <c r="G290" s="6" t="s">
        <v>112</v>
      </c>
      <c r="H290" s="2" t="s">
        <v>228</v>
      </c>
      <c r="I290" s="2" t="s">
        <v>408</v>
      </c>
      <c r="J290" s="2" t="s">
        <v>19</v>
      </c>
      <c r="K290" s="2" t="s">
        <v>409</v>
      </c>
      <c r="L290" s="7" t="str">
        <f t="shared" si="0"/>
        <v xml:space="preserve">http://slimages.macys.com/is/image/MCY/9387631 </v>
      </c>
    </row>
    <row r="291" spans="1:12" ht="24.75" x14ac:dyDescent="0.25">
      <c r="A291" s="4" t="s">
        <v>3686</v>
      </c>
      <c r="B291" s="2" t="s">
        <v>984</v>
      </c>
      <c r="C291" s="3">
        <v>1</v>
      </c>
      <c r="D291" s="5">
        <v>44.63</v>
      </c>
      <c r="E291" s="3" t="s">
        <v>985</v>
      </c>
      <c r="F291" s="2" t="s">
        <v>74</v>
      </c>
      <c r="G291" s="6" t="s">
        <v>106</v>
      </c>
      <c r="H291" s="2" t="s">
        <v>246</v>
      </c>
      <c r="I291" s="2" t="s">
        <v>408</v>
      </c>
      <c r="J291" s="2" t="s">
        <v>19</v>
      </c>
      <c r="K291" s="2" t="s">
        <v>409</v>
      </c>
      <c r="L291" s="7" t="str">
        <f t="shared" si="0"/>
        <v xml:space="preserve">http://slimages.macys.com/is/image/MCY/9387631 </v>
      </c>
    </row>
    <row r="292" spans="1:12" ht="24.75" x14ac:dyDescent="0.25">
      <c r="A292" s="4" t="s">
        <v>3687</v>
      </c>
      <c r="B292" s="2" t="s">
        <v>3688</v>
      </c>
      <c r="C292" s="3">
        <v>1</v>
      </c>
      <c r="D292" s="5">
        <v>59.5</v>
      </c>
      <c r="E292" s="3" t="s">
        <v>3689</v>
      </c>
      <c r="F292" s="2" t="s">
        <v>252</v>
      </c>
      <c r="G292" s="6" t="s">
        <v>205</v>
      </c>
      <c r="H292" s="2" t="s">
        <v>206</v>
      </c>
      <c r="I292" s="2" t="s">
        <v>408</v>
      </c>
      <c r="J292" s="2" t="s">
        <v>19</v>
      </c>
      <c r="K292" s="2" t="s">
        <v>409</v>
      </c>
      <c r="L292" s="7" t="str">
        <f>HYPERLINK("http://slimages.macys.com/is/image/MCY/8140828 ")</f>
        <v xml:space="preserve">http://slimages.macys.com/is/image/MCY/8140828 </v>
      </c>
    </row>
    <row r="293" spans="1:12" ht="24.75" x14ac:dyDescent="0.25">
      <c r="A293" s="4" t="s">
        <v>3690</v>
      </c>
      <c r="B293" s="2" t="s">
        <v>926</v>
      </c>
      <c r="C293" s="3">
        <v>1</v>
      </c>
      <c r="D293" s="5">
        <v>37.130000000000003</v>
      </c>
      <c r="E293" s="3">
        <v>100009311</v>
      </c>
      <c r="F293" s="2" t="s">
        <v>79</v>
      </c>
      <c r="G293" s="6" t="s">
        <v>106</v>
      </c>
      <c r="H293" s="2" t="s">
        <v>194</v>
      </c>
      <c r="I293" s="2" t="s">
        <v>792</v>
      </c>
      <c r="J293" s="2" t="s">
        <v>19</v>
      </c>
      <c r="K293" s="2" t="s">
        <v>160</v>
      </c>
      <c r="L293" s="7" t="str">
        <f>HYPERLINK("http://slimages.macys.com/is/image/MCY/12768079 ")</f>
        <v xml:space="preserve">http://slimages.macys.com/is/image/MCY/12768079 </v>
      </c>
    </row>
    <row r="294" spans="1:12" ht="24.75" x14ac:dyDescent="0.25">
      <c r="A294" s="4" t="s">
        <v>3691</v>
      </c>
      <c r="B294" s="2" t="s">
        <v>926</v>
      </c>
      <c r="C294" s="3">
        <v>1</v>
      </c>
      <c r="D294" s="5">
        <v>37.130000000000003</v>
      </c>
      <c r="E294" s="3">
        <v>100009311</v>
      </c>
      <c r="F294" s="2" t="s">
        <v>79</v>
      </c>
      <c r="G294" s="6" t="s">
        <v>112</v>
      </c>
      <c r="H294" s="2" t="s">
        <v>194</v>
      </c>
      <c r="I294" s="2" t="s">
        <v>229</v>
      </c>
      <c r="J294" s="2" t="s">
        <v>19</v>
      </c>
      <c r="K294" s="2" t="s">
        <v>338</v>
      </c>
      <c r="L294" s="7" t="str">
        <f>HYPERLINK("http://slimages.macys.com/is/image/MCY/12849918 ")</f>
        <v xml:space="preserve">http://slimages.macys.com/is/image/MCY/12849918 </v>
      </c>
    </row>
    <row r="295" spans="1:12" ht="48.75" x14ac:dyDescent="0.25">
      <c r="A295" s="4" t="s">
        <v>3692</v>
      </c>
      <c r="B295" s="2" t="s">
        <v>926</v>
      </c>
      <c r="C295" s="3">
        <v>1</v>
      </c>
      <c r="D295" s="5">
        <v>37.130000000000003</v>
      </c>
      <c r="E295" s="3">
        <v>100009311</v>
      </c>
      <c r="F295" s="2" t="s">
        <v>79</v>
      </c>
      <c r="G295" s="6" t="s">
        <v>22</v>
      </c>
      <c r="H295" s="2" t="s">
        <v>194</v>
      </c>
      <c r="I295" s="2" t="s">
        <v>487</v>
      </c>
      <c r="J295" s="2" t="s">
        <v>19</v>
      </c>
      <c r="K295" s="2" t="s">
        <v>787</v>
      </c>
      <c r="L295" s="7" t="str">
        <f>HYPERLINK("http://slimages.macys.com/is/image/MCY/9213839 ")</f>
        <v xml:space="preserve">http://slimages.macys.com/is/image/MCY/9213839 </v>
      </c>
    </row>
    <row r="296" spans="1:12" ht="24.75" x14ac:dyDescent="0.25">
      <c r="A296" s="4" t="s">
        <v>3693</v>
      </c>
      <c r="B296" s="2" t="s">
        <v>926</v>
      </c>
      <c r="C296" s="3">
        <v>1</v>
      </c>
      <c r="D296" s="5">
        <v>37.130000000000003</v>
      </c>
      <c r="E296" s="3">
        <v>100009311</v>
      </c>
      <c r="F296" s="2" t="s">
        <v>70</v>
      </c>
      <c r="G296" s="6" t="s">
        <v>22</v>
      </c>
      <c r="H296" s="2" t="s">
        <v>194</v>
      </c>
      <c r="I296" s="2" t="s">
        <v>207</v>
      </c>
      <c r="J296" s="2" t="s">
        <v>19</v>
      </c>
      <c r="K296" s="2" t="s">
        <v>338</v>
      </c>
      <c r="L296" s="7" t="str">
        <f>HYPERLINK("http://slimages.macys.com/is/image/MCY/11782534 ")</f>
        <v xml:space="preserve">http://slimages.macys.com/is/image/MCY/11782534 </v>
      </c>
    </row>
    <row r="297" spans="1:12" ht="24.75" x14ac:dyDescent="0.25">
      <c r="A297" s="4" t="s">
        <v>3694</v>
      </c>
      <c r="B297" s="2" t="s">
        <v>964</v>
      </c>
      <c r="C297" s="3">
        <v>1</v>
      </c>
      <c r="D297" s="5">
        <v>36.5</v>
      </c>
      <c r="E297" s="3" t="s">
        <v>3695</v>
      </c>
      <c r="F297" s="2" t="s">
        <v>956</v>
      </c>
      <c r="G297" s="6"/>
      <c r="H297" s="2" t="s">
        <v>312</v>
      </c>
      <c r="I297" s="2" t="s">
        <v>928</v>
      </c>
      <c r="J297" s="2" t="s">
        <v>19</v>
      </c>
      <c r="K297" s="2" t="s">
        <v>929</v>
      </c>
      <c r="L297" s="7" t="str">
        <f>HYPERLINK("http://slimages.macys.com/is/image/MCY/10249272 ")</f>
        <v xml:space="preserve">http://slimages.macys.com/is/image/MCY/10249272 </v>
      </c>
    </row>
    <row r="298" spans="1:12" ht="24.75" x14ac:dyDescent="0.25">
      <c r="A298" s="4" t="s">
        <v>1000</v>
      </c>
      <c r="B298" s="2" t="s">
        <v>904</v>
      </c>
      <c r="C298" s="3">
        <v>1</v>
      </c>
      <c r="D298" s="5">
        <v>34.5</v>
      </c>
      <c r="E298" s="3" t="s">
        <v>997</v>
      </c>
      <c r="F298" s="2" t="s">
        <v>998</v>
      </c>
      <c r="G298" s="6" t="s">
        <v>187</v>
      </c>
      <c r="H298" s="2" t="s">
        <v>426</v>
      </c>
      <c r="I298" s="2" t="s">
        <v>928</v>
      </c>
      <c r="J298" s="2" t="s">
        <v>19</v>
      </c>
      <c r="K298" s="2" t="s">
        <v>929</v>
      </c>
      <c r="L298" s="7" t="str">
        <f>HYPERLINK("http://slimages.macys.com/is/image/MCY/10249272 ")</f>
        <v xml:space="preserve">http://slimages.macys.com/is/image/MCY/10249272 </v>
      </c>
    </row>
    <row r="299" spans="1:12" ht="24.75" x14ac:dyDescent="0.25">
      <c r="A299" s="4" t="s">
        <v>3696</v>
      </c>
      <c r="B299" s="2" t="s">
        <v>904</v>
      </c>
      <c r="C299" s="3">
        <v>1</v>
      </c>
      <c r="D299" s="5">
        <v>34.5</v>
      </c>
      <c r="E299" s="3" t="s">
        <v>997</v>
      </c>
      <c r="F299" s="2" t="s">
        <v>998</v>
      </c>
      <c r="G299" s="6" t="s">
        <v>794</v>
      </c>
      <c r="H299" s="2" t="s">
        <v>426</v>
      </c>
      <c r="I299" s="2" t="s">
        <v>928</v>
      </c>
      <c r="J299" s="2" t="s">
        <v>19</v>
      </c>
      <c r="K299" s="2" t="s">
        <v>929</v>
      </c>
      <c r="L299" s="7" t="str">
        <f>HYPERLINK("http://slimages.macys.com/is/image/MCY/10249272 ")</f>
        <v xml:space="preserve">http://slimages.macys.com/is/image/MCY/10249272 </v>
      </c>
    </row>
    <row r="300" spans="1:12" ht="24.75" x14ac:dyDescent="0.25">
      <c r="A300" s="4" t="s">
        <v>3697</v>
      </c>
      <c r="B300" s="2" t="s">
        <v>904</v>
      </c>
      <c r="C300" s="3">
        <v>1</v>
      </c>
      <c r="D300" s="5">
        <v>34.5</v>
      </c>
      <c r="E300" s="3" t="s">
        <v>997</v>
      </c>
      <c r="F300" s="2" t="s">
        <v>998</v>
      </c>
      <c r="G300" s="6"/>
      <c r="H300" s="2" t="s">
        <v>426</v>
      </c>
      <c r="I300" s="2" t="s">
        <v>928</v>
      </c>
      <c r="J300" s="2" t="s">
        <v>19</v>
      </c>
      <c r="K300" s="2" t="s">
        <v>929</v>
      </c>
      <c r="L300" s="7" t="str">
        <f>HYPERLINK("http://slimages.macys.com/is/image/MCY/10249272 ")</f>
        <v xml:space="preserve">http://slimages.macys.com/is/image/MCY/10249272 </v>
      </c>
    </row>
    <row r="301" spans="1:12" ht="24.75" x14ac:dyDescent="0.25">
      <c r="A301" s="4" t="s">
        <v>3698</v>
      </c>
      <c r="B301" s="2" t="s">
        <v>992</v>
      </c>
      <c r="C301" s="3">
        <v>1</v>
      </c>
      <c r="D301" s="5">
        <v>34.5</v>
      </c>
      <c r="E301" s="3" t="s">
        <v>993</v>
      </c>
      <c r="F301" s="2" t="s">
        <v>74</v>
      </c>
      <c r="G301" s="6"/>
      <c r="H301" s="2" t="s">
        <v>426</v>
      </c>
      <c r="I301" s="2" t="s">
        <v>195</v>
      </c>
      <c r="J301" s="2" t="s">
        <v>19</v>
      </c>
      <c r="K301" s="2" t="s">
        <v>3699</v>
      </c>
      <c r="L301" s="7" t="str">
        <f>HYPERLINK("http://slimages.macys.com/is/image/MCY/9711318 ")</f>
        <v xml:space="preserve">http://slimages.macys.com/is/image/MCY/9711318 </v>
      </c>
    </row>
    <row r="302" spans="1:12" ht="24.75" x14ac:dyDescent="0.25">
      <c r="A302" s="4" t="s">
        <v>999</v>
      </c>
      <c r="B302" s="2" t="s">
        <v>992</v>
      </c>
      <c r="C302" s="3">
        <v>1</v>
      </c>
      <c r="D302" s="5">
        <v>34.5</v>
      </c>
      <c r="E302" s="3" t="s">
        <v>993</v>
      </c>
      <c r="F302" s="2" t="s">
        <v>74</v>
      </c>
      <c r="G302" s="6" t="s">
        <v>794</v>
      </c>
      <c r="H302" s="2" t="s">
        <v>426</v>
      </c>
      <c r="I302" s="2" t="s">
        <v>229</v>
      </c>
      <c r="J302" s="2" t="s">
        <v>19</v>
      </c>
      <c r="K302" s="2" t="s">
        <v>353</v>
      </c>
      <c r="L302" s="7" t="str">
        <f>HYPERLINK("http://slimages.macys.com/is/image/MCY/11934830 ")</f>
        <v xml:space="preserve">http://slimages.macys.com/is/image/MCY/11934830 </v>
      </c>
    </row>
    <row r="303" spans="1:12" ht="24.75" x14ac:dyDescent="0.25">
      <c r="A303" s="4" t="s">
        <v>3700</v>
      </c>
      <c r="B303" s="2" t="s">
        <v>1002</v>
      </c>
      <c r="C303" s="3">
        <v>1</v>
      </c>
      <c r="D303" s="5">
        <v>44.63</v>
      </c>
      <c r="E303" s="3" t="s">
        <v>1003</v>
      </c>
      <c r="F303" s="2" t="s">
        <v>15</v>
      </c>
      <c r="G303" s="6"/>
      <c r="H303" s="2" t="s">
        <v>312</v>
      </c>
      <c r="I303" s="2" t="s">
        <v>229</v>
      </c>
      <c r="J303" s="2" t="s">
        <v>19</v>
      </c>
      <c r="K303" s="2" t="s">
        <v>353</v>
      </c>
      <c r="L303" s="7" t="str">
        <f>HYPERLINK("http://slimages.macys.com/is/image/MCY/11934830 ")</f>
        <v xml:space="preserve">http://slimages.macys.com/is/image/MCY/11934830 </v>
      </c>
    </row>
    <row r="304" spans="1:12" ht="24.75" x14ac:dyDescent="0.25">
      <c r="A304" s="4" t="s">
        <v>3701</v>
      </c>
      <c r="B304" s="2" t="s">
        <v>1002</v>
      </c>
      <c r="C304" s="3">
        <v>1</v>
      </c>
      <c r="D304" s="5">
        <v>44.63</v>
      </c>
      <c r="E304" s="3" t="s">
        <v>1003</v>
      </c>
      <c r="F304" s="2" t="s">
        <v>74</v>
      </c>
      <c r="G304" s="6"/>
      <c r="H304" s="2" t="s">
        <v>312</v>
      </c>
      <c r="I304" s="2" t="s">
        <v>229</v>
      </c>
      <c r="J304" s="2" t="s">
        <v>19</v>
      </c>
      <c r="K304" s="2" t="s">
        <v>353</v>
      </c>
      <c r="L304" s="7" t="str">
        <f>HYPERLINK("http://slimages.macys.com/is/image/MCY/11934830 ")</f>
        <v xml:space="preserve">http://slimages.macys.com/is/image/MCY/11934830 </v>
      </c>
    </row>
    <row r="305" spans="1:12" ht="24.75" x14ac:dyDescent="0.25">
      <c r="A305" s="4" t="s">
        <v>3702</v>
      </c>
      <c r="B305" s="2" t="s">
        <v>3703</v>
      </c>
      <c r="C305" s="3">
        <v>1</v>
      </c>
      <c r="D305" s="5">
        <v>36.5</v>
      </c>
      <c r="E305" s="3" t="s">
        <v>3704</v>
      </c>
      <c r="F305" s="2" t="s">
        <v>26</v>
      </c>
      <c r="G305" s="6" t="s">
        <v>234</v>
      </c>
      <c r="H305" s="2" t="s">
        <v>194</v>
      </c>
      <c r="I305" s="2" t="s">
        <v>229</v>
      </c>
      <c r="J305" s="2" t="s">
        <v>19</v>
      </c>
      <c r="K305" s="2" t="s">
        <v>353</v>
      </c>
      <c r="L305" s="7" t="str">
        <f>HYPERLINK("http://slimages.macys.com/is/image/MCY/11934830 ")</f>
        <v xml:space="preserve">http://slimages.macys.com/is/image/MCY/11934830 </v>
      </c>
    </row>
    <row r="306" spans="1:12" ht="24.75" x14ac:dyDescent="0.25">
      <c r="A306" s="4" t="s">
        <v>3705</v>
      </c>
      <c r="B306" s="2" t="s">
        <v>3706</v>
      </c>
      <c r="C306" s="3">
        <v>1</v>
      </c>
      <c r="D306" s="5">
        <v>37.130000000000003</v>
      </c>
      <c r="E306" s="3" t="s">
        <v>3707</v>
      </c>
      <c r="F306" s="2" t="s">
        <v>680</v>
      </c>
      <c r="G306" s="6" t="s">
        <v>187</v>
      </c>
      <c r="H306" s="2" t="s">
        <v>188</v>
      </c>
      <c r="I306" s="2" t="s">
        <v>229</v>
      </c>
      <c r="J306" s="2" t="s">
        <v>19</v>
      </c>
      <c r="K306" s="2" t="s">
        <v>353</v>
      </c>
      <c r="L306" s="7" t="str">
        <f>HYPERLINK("http://slimages.macys.com/is/image/MCY/11934830 ")</f>
        <v xml:space="preserve">http://slimages.macys.com/is/image/MCY/11934830 </v>
      </c>
    </row>
    <row r="307" spans="1:12" ht="24.75" x14ac:dyDescent="0.25">
      <c r="A307" s="4" t="s">
        <v>3708</v>
      </c>
      <c r="B307" s="2" t="s">
        <v>3706</v>
      </c>
      <c r="C307" s="3">
        <v>1</v>
      </c>
      <c r="D307" s="5">
        <v>37.130000000000003</v>
      </c>
      <c r="E307" s="3" t="s">
        <v>3707</v>
      </c>
      <c r="F307" s="2" t="s">
        <v>680</v>
      </c>
      <c r="G307" s="6" t="s">
        <v>219</v>
      </c>
      <c r="H307" s="2" t="s">
        <v>188</v>
      </c>
      <c r="I307" s="2" t="s">
        <v>195</v>
      </c>
      <c r="J307" s="2" t="s">
        <v>19</v>
      </c>
      <c r="K307" s="2" t="s">
        <v>247</v>
      </c>
      <c r="L307" s="7" t="str">
        <f>HYPERLINK("http://slimages.macys.com/is/image/MCY/9653304 ")</f>
        <v xml:space="preserve">http://slimages.macys.com/is/image/MCY/9653304 </v>
      </c>
    </row>
    <row r="308" spans="1:12" ht="24.75" x14ac:dyDescent="0.25">
      <c r="A308" s="4" t="s">
        <v>3709</v>
      </c>
      <c r="B308" s="2" t="s">
        <v>3710</v>
      </c>
      <c r="C308" s="3">
        <v>1</v>
      </c>
      <c r="D308" s="5">
        <v>37.130000000000003</v>
      </c>
      <c r="E308" s="3">
        <v>100010668</v>
      </c>
      <c r="F308" s="2" t="s">
        <v>94</v>
      </c>
      <c r="G308" s="6" t="s">
        <v>234</v>
      </c>
      <c r="H308" s="2" t="s">
        <v>284</v>
      </c>
      <c r="I308" s="2" t="s">
        <v>195</v>
      </c>
      <c r="J308" s="2" t="s">
        <v>19</v>
      </c>
      <c r="K308" s="2" t="s">
        <v>247</v>
      </c>
      <c r="L308" s="7" t="str">
        <f>HYPERLINK("http://slimages.macys.com/is/image/MCY/9653304 ")</f>
        <v xml:space="preserve">http://slimages.macys.com/is/image/MCY/9653304 </v>
      </c>
    </row>
    <row r="309" spans="1:12" ht="24.75" x14ac:dyDescent="0.25">
      <c r="A309" s="4" t="s">
        <v>3711</v>
      </c>
      <c r="B309" s="2" t="s">
        <v>2515</v>
      </c>
      <c r="C309" s="3">
        <v>1</v>
      </c>
      <c r="D309" s="5">
        <v>37.130000000000003</v>
      </c>
      <c r="E309" s="3" t="s">
        <v>2516</v>
      </c>
      <c r="F309" s="2" t="s">
        <v>64</v>
      </c>
      <c r="G309" s="6" t="s">
        <v>934</v>
      </c>
      <c r="H309" s="2" t="s">
        <v>188</v>
      </c>
      <c r="I309" s="2" t="s">
        <v>195</v>
      </c>
      <c r="J309" s="2" t="s">
        <v>19</v>
      </c>
      <c r="K309" s="2" t="s">
        <v>3712</v>
      </c>
      <c r="L309" s="7" t="str">
        <f>HYPERLINK("http://slimages.macys.com/is/image/MCY/11526973 ")</f>
        <v xml:space="preserve">http://slimages.macys.com/is/image/MCY/11526973 </v>
      </c>
    </row>
    <row r="310" spans="1:12" ht="24.75" x14ac:dyDescent="0.25">
      <c r="A310" s="4" t="s">
        <v>3713</v>
      </c>
      <c r="B310" s="2" t="s">
        <v>2515</v>
      </c>
      <c r="C310" s="3">
        <v>2</v>
      </c>
      <c r="D310" s="5">
        <v>37.130000000000003</v>
      </c>
      <c r="E310" s="3" t="s">
        <v>2516</v>
      </c>
      <c r="F310" s="2" t="s">
        <v>494</v>
      </c>
      <c r="G310" s="6" t="s">
        <v>336</v>
      </c>
      <c r="H310" s="2" t="s">
        <v>188</v>
      </c>
      <c r="I310" s="2" t="s">
        <v>189</v>
      </c>
      <c r="J310" s="2" t="s">
        <v>19</v>
      </c>
      <c r="K310" s="2" t="s">
        <v>701</v>
      </c>
      <c r="L310" s="7" t="str">
        <f>HYPERLINK("http://slimages.macys.com/is/image/MCY/12894593 ")</f>
        <v xml:space="preserve">http://slimages.macys.com/is/image/MCY/12894593 </v>
      </c>
    </row>
    <row r="311" spans="1:12" ht="24.75" x14ac:dyDescent="0.25">
      <c r="A311" s="4" t="s">
        <v>3714</v>
      </c>
      <c r="B311" s="2" t="s">
        <v>1008</v>
      </c>
      <c r="C311" s="3">
        <v>1</v>
      </c>
      <c r="D311" s="5">
        <v>49.5</v>
      </c>
      <c r="E311" s="3" t="s">
        <v>1009</v>
      </c>
      <c r="F311" s="2" t="s">
        <v>74</v>
      </c>
      <c r="G311" s="6" t="s">
        <v>3715</v>
      </c>
      <c r="H311" s="2" t="s">
        <v>206</v>
      </c>
      <c r="I311" s="2" t="s">
        <v>189</v>
      </c>
      <c r="J311" s="2" t="s">
        <v>19</v>
      </c>
      <c r="K311" s="2" t="s">
        <v>701</v>
      </c>
      <c r="L311" s="7" t="str">
        <f>HYPERLINK("http://slimages.macys.com/is/image/MCY/12894593 ")</f>
        <v xml:space="preserve">http://slimages.macys.com/is/image/MCY/12894593 </v>
      </c>
    </row>
    <row r="312" spans="1:12" ht="48.75" x14ac:dyDescent="0.25">
      <c r="A312" s="4" t="s">
        <v>2526</v>
      </c>
      <c r="B312" s="2" t="s">
        <v>1012</v>
      </c>
      <c r="C312" s="3">
        <v>1</v>
      </c>
      <c r="D312" s="5">
        <v>37.130000000000003</v>
      </c>
      <c r="E312" s="3" t="s">
        <v>1013</v>
      </c>
      <c r="F312" s="2" t="s">
        <v>64</v>
      </c>
      <c r="G312" s="6" t="s">
        <v>65</v>
      </c>
      <c r="H312" s="2" t="s">
        <v>246</v>
      </c>
      <c r="I312" s="2" t="s">
        <v>408</v>
      </c>
      <c r="J312" s="2" t="s">
        <v>19</v>
      </c>
      <c r="K312" s="2" t="s">
        <v>787</v>
      </c>
      <c r="L312" s="7" t="str">
        <f>HYPERLINK("http://slimages.macys.com/is/image/MCY/11434460 ")</f>
        <v xml:space="preserve">http://slimages.macys.com/is/image/MCY/11434460 </v>
      </c>
    </row>
    <row r="313" spans="1:12" ht="24.75" x14ac:dyDescent="0.25">
      <c r="A313" s="4" t="s">
        <v>3716</v>
      </c>
      <c r="B313" s="2" t="s">
        <v>1012</v>
      </c>
      <c r="C313" s="3">
        <v>1</v>
      </c>
      <c r="D313" s="5">
        <v>37.130000000000003</v>
      </c>
      <c r="E313" s="3" t="s">
        <v>1013</v>
      </c>
      <c r="F313" s="2" t="s">
        <v>26</v>
      </c>
      <c r="G313" s="6" t="s">
        <v>58</v>
      </c>
      <c r="H313" s="2" t="s">
        <v>246</v>
      </c>
      <c r="I313" s="2" t="s">
        <v>214</v>
      </c>
      <c r="J313" s="2" t="s">
        <v>19</v>
      </c>
      <c r="K313" s="2" t="s">
        <v>353</v>
      </c>
      <c r="L313" s="7" t="str">
        <f>HYPERLINK("http://slimages.macys.com/is/image/MCY/10679372 ")</f>
        <v xml:space="preserve">http://slimages.macys.com/is/image/MCY/10679372 </v>
      </c>
    </row>
    <row r="314" spans="1:12" ht="24.75" x14ac:dyDescent="0.25">
      <c r="A314" s="4" t="s">
        <v>3717</v>
      </c>
      <c r="B314" s="2" t="s">
        <v>1012</v>
      </c>
      <c r="C314" s="3">
        <v>1</v>
      </c>
      <c r="D314" s="5">
        <v>37.130000000000003</v>
      </c>
      <c r="E314" s="3" t="s">
        <v>1013</v>
      </c>
      <c r="F314" s="2" t="s">
        <v>64</v>
      </c>
      <c r="G314" s="6" t="s">
        <v>27</v>
      </c>
      <c r="H314" s="2" t="s">
        <v>246</v>
      </c>
      <c r="I314" s="2" t="s">
        <v>214</v>
      </c>
      <c r="J314" s="2" t="s">
        <v>19</v>
      </c>
      <c r="K314" s="2" t="s">
        <v>353</v>
      </c>
      <c r="L314" s="7" t="str">
        <f>HYPERLINK("http://slimages.macys.com/is/image/MCY/10679372 ")</f>
        <v xml:space="preserve">http://slimages.macys.com/is/image/MCY/10679372 </v>
      </c>
    </row>
    <row r="315" spans="1:12" ht="24.75" x14ac:dyDescent="0.25">
      <c r="A315" s="4" t="s">
        <v>2529</v>
      </c>
      <c r="B315" s="2" t="s">
        <v>2530</v>
      </c>
      <c r="C315" s="3">
        <v>1</v>
      </c>
      <c r="D315" s="5">
        <v>34.5</v>
      </c>
      <c r="E315" s="3">
        <v>100054339</v>
      </c>
      <c r="F315" s="2" t="s">
        <v>26</v>
      </c>
      <c r="G315" s="6" t="s">
        <v>154</v>
      </c>
      <c r="H315" s="2" t="s">
        <v>228</v>
      </c>
      <c r="I315" s="2" t="s">
        <v>1010</v>
      </c>
      <c r="J315" s="2" t="s">
        <v>19</v>
      </c>
      <c r="K315" s="2" t="s">
        <v>409</v>
      </c>
      <c r="L315" s="7" t="str">
        <f>HYPERLINK("http://slimages.macys.com/is/image/MCY/9044823 ")</f>
        <v xml:space="preserve">http://slimages.macys.com/is/image/MCY/9044823 </v>
      </c>
    </row>
    <row r="316" spans="1:12" ht="24.75" x14ac:dyDescent="0.25">
      <c r="A316" s="4" t="s">
        <v>3718</v>
      </c>
      <c r="B316" s="2" t="s">
        <v>2530</v>
      </c>
      <c r="C316" s="3">
        <v>1</v>
      </c>
      <c r="D316" s="5">
        <v>34.5</v>
      </c>
      <c r="E316" s="3">
        <v>100054339</v>
      </c>
      <c r="F316" s="2" t="s">
        <v>26</v>
      </c>
      <c r="G316" s="6" t="s">
        <v>181</v>
      </c>
      <c r="H316" s="2" t="s">
        <v>228</v>
      </c>
      <c r="I316" s="2" t="s">
        <v>214</v>
      </c>
      <c r="J316" s="2" t="s">
        <v>19</v>
      </c>
      <c r="K316" s="2" t="s">
        <v>253</v>
      </c>
      <c r="L316" s="7" t="str">
        <f>HYPERLINK("http://slimages.macys.com/is/image/MCY/10679372 ")</f>
        <v xml:space="preserve">http://slimages.macys.com/is/image/MCY/10679372 </v>
      </c>
    </row>
    <row r="317" spans="1:12" ht="24.75" x14ac:dyDescent="0.25">
      <c r="A317" s="4" t="s">
        <v>3719</v>
      </c>
      <c r="B317" s="2" t="s">
        <v>2530</v>
      </c>
      <c r="C317" s="3">
        <v>1</v>
      </c>
      <c r="D317" s="5">
        <v>34.5</v>
      </c>
      <c r="E317" s="3">
        <v>100054339</v>
      </c>
      <c r="F317" s="2" t="s">
        <v>26</v>
      </c>
      <c r="G317" s="6" t="s">
        <v>156</v>
      </c>
      <c r="H317" s="2" t="s">
        <v>228</v>
      </c>
      <c r="I317" s="2" t="s">
        <v>214</v>
      </c>
      <c r="J317" s="2" t="s">
        <v>19</v>
      </c>
      <c r="K317" s="2" t="s">
        <v>253</v>
      </c>
      <c r="L317" s="7" t="str">
        <f>HYPERLINK("http://slimages.macys.com/is/image/MCY/10679372 ")</f>
        <v xml:space="preserve">http://slimages.macys.com/is/image/MCY/10679372 </v>
      </c>
    </row>
    <row r="318" spans="1:12" ht="24.75" x14ac:dyDescent="0.25">
      <c r="A318" s="4" t="s">
        <v>2531</v>
      </c>
      <c r="B318" s="2" t="s">
        <v>1028</v>
      </c>
      <c r="C318" s="3">
        <v>3</v>
      </c>
      <c r="D318" s="5">
        <v>37.130000000000003</v>
      </c>
      <c r="E318" s="3" t="s">
        <v>2532</v>
      </c>
      <c r="F318" s="2" t="s">
        <v>26</v>
      </c>
      <c r="G318" s="6"/>
      <c r="H318" s="2" t="s">
        <v>632</v>
      </c>
      <c r="I318" s="2" t="s">
        <v>214</v>
      </c>
      <c r="J318" s="2" t="s">
        <v>19</v>
      </c>
      <c r="K318" s="2" t="s">
        <v>253</v>
      </c>
      <c r="L318" s="7" t="str">
        <f>HYPERLINK("http://slimages.macys.com/is/image/MCY/10679372 ")</f>
        <v xml:space="preserve">http://slimages.macys.com/is/image/MCY/10679372 </v>
      </c>
    </row>
    <row r="319" spans="1:12" ht="24.75" x14ac:dyDescent="0.25">
      <c r="A319" s="4" t="s">
        <v>3720</v>
      </c>
      <c r="B319" s="2" t="s">
        <v>1033</v>
      </c>
      <c r="C319" s="3">
        <v>2</v>
      </c>
      <c r="D319" s="5">
        <v>37.130000000000003</v>
      </c>
      <c r="E319" s="3" t="s">
        <v>1034</v>
      </c>
      <c r="F319" s="2" t="s">
        <v>331</v>
      </c>
      <c r="G319" s="6" t="s">
        <v>205</v>
      </c>
      <c r="H319" s="2" t="s">
        <v>188</v>
      </c>
      <c r="I319" s="2" t="s">
        <v>857</v>
      </c>
      <c r="J319" s="2" t="s">
        <v>19</v>
      </c>
      <c r="K319" s="2" t="s">
        <v>338</v>
      </c>
      <c r="L319" s="7" t="str">
        <f>HYPERLINK("http://slimages.macys.com/is/image/MCY/12144139 ")</f>
        <v xml:space="preserve">http://slimages.macys.com/is/image/MCY/12144139 </v>
      </c>
    </row>
    <row r="320" spans="1:12" ht="24.75" x14ac:dyDescent="0.25">
      <c r="A320" s="4" t="s">
        <v>3721</v>
      </c>
      <c r="B320" s="2" t="s">
        <v>1033</v>
      </c>
      <c r="C320" s="3">
        <v>2</v>
      </c>
      <c r="D320" s="5">
        <v>37.130000000000003</v>
      </c>
      <c r="E320" s="3" t="s">
        <v>1034</v>
      </c>
      <c r="F320" s="2" t="s">
        <v>331</v>
      </c>
      <c r="G320" s="6" t="s">
        <v>802</v>
      </c>
      <c r="H320" s="2" t="s">
        <v>188</v>
      </c>
      <c r="I320" s="2" t="s">
        <v>857</v>
      </c>
      <c r="J320" s="2" t="s">
        <v>19</v>
      </c>
      <c r="K320" s="2" t="s">
        <v>338</v>
      </c>
      <c r="L320" s="7" t="str">
        <f>HYPERLINK("http://slimages.macys.com/is/image/MCY/12144139 ")</f>
        <v xml:space="preserve">http://slimages.macys.com/is/image/MCY/12144139 </v>
      </c>
    </row>
    <row r="321" spans="1:12" ht="24.75" x14ac:dyDescent="0.25">
      <c r="A321" s="4" t="s">
        <v>1032</v>
      </c>
      <c r="B321" s="2" t="s">
        <v>1033</v>
      </c>
      <c r="C321" s="3">
        <v>2</v>
      </c>
      <c r="D321" s="5">
        <v>37.130000000000003</v>
      </c>
      <c r="E321" s="3" t="s">
        <v>1034</v>
      </c>
      <c r="F321" s="2" t="s">
        <v>331</v>
      </c>
      <c r="G321" s="6" t="s">
        <v>238</v>
      </c>
      <c r="H321" s="2" t="s">
        <v>188</v>
      </c>
      <c r="I321" s="2" t="s">
        <v>857</v>
      </c>
      <c r="J321" s="2" t="s">
        <v>19</v>
      </c>
      <c r="K321" s="2" t="s">
        <v>338</v>
      </c>
      <c r="L321" s="7" t="str">
        <f>HYPERLINK("http://slimages.macys.com/is/image/MCY/12144139 ")</f>
        <v xml:space="preserve">http://slimages.macys.com/is/image/MCY/12144139 </v>
      </c>
    </row>
    <row r="322" spans="1:12" ht="24.75" x14ac:dyDescent="0.25">
      <c r="A322" s="4" t="s">
        <v>3722</v>
      </c>
      <c r="B322" s="2" t="s">
        <v>1033</v>
      </c>
      <c r="C322" s="3">
        <v>1</v>
      </c>
      <c r="D322" s="5">
        <v>37.130000000000003</v>
      </c>
      <c r="E322" s="3" t="s">
        <v>1034</v>
      </c>
      <c r="F322" s="2" t="s">
        <v>331</v>
      </c>
      <c r="G322" s="6" t="s">
        <v>165</v>
      </c>
      <c r="H322" s="2" t="s">
        <v>188</v>
      </c>
      <c r="I322" s="2" t="s">
        <v>408</v>
      </c>
      <c r="J322" s="2" t="s">
        <v>19</v>
      </c>
      <c r="K322" s="2" t="s">
        <v>409</v>
      </c>
      <c r="L322" s="7" t="str">
        <f>HYPERLINK("http://slimages.macys.com/is/image/MCY/8191312 ")</f>
        <v xml:space="preserve">http://slimages.macys.com/is/image/MCY/8191312 </v>
      </c>
    </row>
    <row r="323" spans="1:12" ht="24.75" x14ac:dyDescent="0.25">
      <c r="A323" s="4" t="s">
        <v>3723</v>
      </c>
      <c r="B323" s="2" t="s">
        <v>1033</v>
      </c>
      <c r="C323" s="3">
        <v>1</v>
      </c>
      <c r="D323" s="5">
        <v>37.130000000000003</v>
      </c>
      <c r="E323" s="3" t="s">
        <v>1034</v>
      </c>
      <c r="F323" s="2" t="s">
        <v>331</v>
      </c>
      <c r="G323" s="6" t="s">
        <v>363</v>
      </c>
      <c r="H323" s="2" t="s">
        <v>188</v>
      </c>
      <c r="I323" s="2" t="s">
        <v>189</v>
      </c>
      <c r="J323" s="2" t="s">
        <v>19</v>
      </c>
      <c r="K323" s="2" t="s">
        <v>107</v>
      </c>
      <c r="L323" s="7" t="str">
        <f>HYPERLINK("http://slimages.macys.com/is/image/MCY/12649654 ")</f>
        <v xml:space="preserve">http://slimages.macys.com/is/image/MCY/12649654 </v>
      </c>
    </row>
    <row r="324" spans="1:12" ht="24.75" x14ac:dyDescent="0.25">
      <c r="A324" s="4" t="s">
        <v>3724</v>
      </c>
      <c r="B324" s="2" t="s">
        <v>3725</v>
      </c>
      <c r="C324" s="3">
        <v>1</v>
      </c>
      <c r="D324" s="5">
        <v>40.880000000000003</v>
      </c>
      <c r="E324" s="3" t="s">
        <v>3726</v>
      </c>
      <c r="F324" s="2" t="s">
        <v>252</v>
      </c>
      <c r="G324" s="6" t="s">
        <v>234</v>
      </c>
      <c r="H324" s="2" t="s">
        <v>194</v>
      </c>
      <c r="I324" s="2" t="s">
        <v>189</v>
      </c>
      <c r="J324" s="2" t="s">
        <v>19</v>
      </c>
      <c r="K324" s="2" t="s">
        <v>107</v>
      </c>
      <c r="L324" s="7" t="str">
        <f>HYPERLINK("http://slimages.macys.com/is/image/MCY/12649654 ")</f>
        <v xml:space="preserve">http://slimages.macys.com/is/image/MCY/12649654 </v>
      </c>
    </row>
    <row r="325" spans="1:12" ht="24.75" x14ac:dyDescent="0.25">
      <c r="A325" s="4" t="s">
        <v>3727</v>
      </c>
      <c r="B325" s="2" t="s">
        <v>3728</v>
      </c>
      <c r="C325" s="3">
        <v>1</v>
      </c>
      <c r="D325" s="5">
        <v>37.130000000000003</v>
      </c>
      <c r="E325" s="3" t="s">
        <v>3729</v>
      </c>
      <c r="F325" s="2" t="s">
        <v>331</v>
      </c>
      <c r="G325" s="6" t="s">
        <v>234</v>
      </c>
      <c r="H325" s="2" t="s">
        <v>246</v>
      </c>
      <c r="I325" s="2" t="s">
        <v>189</v>
      </c>
      <c r="J325" s="2" t="s">
        <v>19</v>
      </c>
      <c r="K325" s="2" t="s">
        <v>107</v>
      </c>
      <c r="L325" s="7" t="str">
        <f>HYPERLINK("http://slimages.macys.com/is/image/MCY/12649654 ")</f>
        <v xml:space="preserve">http://slimages.macys.com/is/image/MCY/12649654 </v>
      </c>
    </row>
    <row r="326" spans="1:12" ht="24.75" x14ac:dyDescent="0.25">
      <c r="A326" s="4" t="s">
        <v>2537</v>
      </c>
      <c r="B326" s="2" t="s">
        <v>1036</v>
      </c>
      <c r="C326" s="3">
        <v>3</v>
      </c>
      <c r="D326" s="5">
        <v>36.5</v>
      </c>
      <c r="E326" s="3" t="s">
        <v>1037</v>
      </c>
      <c r="F326" s="2" t="s">
        <v>998</v>
      </c>
      <c r="G326" s="6" t="s">
        <v>234</v>
      </c>
      <c r="H326" s="2" t="s">
        <v>194</v>
      </c>
      <c r="I326" s="2" t="s">
        <v>189</v>
      </c>
      <c r="J326" s="2" t="s">
        <v>19</v>
      </c>
      <c r="K326" s="2" t="s">
        <v>107</v>
      </c>
      <c r="L326" s="7" t="str">
        <f>HYPERLINK("http://slimages.macys.com/is/image/MCY/12649654 ")</f>
        <v xml:space="preserve">http://slimages.macys.com/is/image/MCY/12649654 </v>
      </c>
    </row>
    <row r="327" spans="1:12" ht="24.75" x14ac:dyDescent="0.25">
      <c r="A327" s="4" t="s">
        <v>3730</v>
      </c>
      <c r="B327" s="2" t="s">
        <v>1036</v>
      </c>
      <c r="C327" s="3">
        <v>2</v>
      </c>
      <c r="D327" s="5">
        <v>36.5</v>
      </c>
      <c r="E327" s="3" t="s">
        <v>1037</v>
      </c>
      <c r="F327" s="2" t="s">
        <v>998</v>
      </c>
      <c r="G327" s="6" t="s">
        <v>181</v>
      </c>
      <c r="H327" s="2" t="s">
        <v>194</v>
      </c>
      <c r="I327" s="2" t="s">
        <v>189</v>
      </c>
      <c r="J327" s="2" t="s">
        <v>19</v>
      </c>
      <c r="K327" s="2" t="s">
        <v>107</v>
      </c>
      <c r="L327" s="7" t="str">
        <f>HYPERLINK("http://slimages.macys.com/is/image/MCY/12649654 ")</f>
        <v xml:space="preserve">http://slimages.macys.com/is/image/MCY/12649654 </v>
      </c>
    </row>
    <row r="328" spans="1:12" ht="24.75" x14ac:dyDescent="0.25">
      <c r="A328" s="4" t="s">
        <v>1038</v>
      </c>
      <c r="B328" s="2" t="s">
        <v>1036</v>
      </c>
      <c r="C328" s="3">
        <v>1</v>
      </c>
      <c r="D328" s="5">
        <v>36.5</v>
      </c>
      <c r="E328" s="3" t="s">
        <v>1037</v>
      </c>
      <c r="F328" s="2" t="s">
        <v>998</v>
      </c>
      <c r="G328" s="6" t="s">
        <v>154</v>
      </c>
      <c r="H328" s="2" t="s">
        <v>194</v>
      </c>
      <c r="I328" s="2" t="s">
        <v>195</v>
      </c>
      <c r="J328" s="2" t="s">
        <v>19</v>
      </c>
      <c r="K328" s="2" t="s">
        <v>3731</v>
      </c>
      <c r="L328" s="7" t="str">
        <f>HYPERLINK("http://slimages.macys.com/is/image/MCY/11937875 ")</f>
        <v xml:space="preserve">http://slimages.macys.com/is/image/MCY/11937875 </v>
      </c>
    </row>
    <row r="329" spans="1:12" ht="24.75" x14ac:dyDescent="0.25">
      <c r="A329" s="4" t="s">
        <v>3732</v>
      </c>
      <c r="B329" s="2" t="s">
        <v>1052</v>
      </c>
      <c r="C329" s="3">
        <v>1</v>
      </c>
      <c r="D329" s="5">
        <v>37.130000000000003</v>
      </c>
      <c r="E329" s="3">
        <v>100010668</v>
      </c>
      <c r="F329" s="2" t="s">
        <v>33</v>
      </c>
      <c r="G329" s="6" t="s">
        <v>154</v>
      </c>
      <c r="H329" s="2" t="s">
        <v>284</v>
      </c>
      <c r="I329" s="2" t="s">
        <v>189</v>
      </c>
      <c r="J329" s="2" t="s">
        <v>19</v>
      </c>
      <c r="K329" s="2" t="s">
        <v>3733</v>
      </c>
      <c r="L329" s="7" t="str">
        <f>HYPERLINK("http://slimages.macys.com/is/image/MCY/12048191 ")</f>
        <v xml:space="preserve">http://slimages.macys.com/is/image/MCY/12048191 </v>
      </c>
    </row>
    <row r="330" spans="1:12" ht="24.75" x14ac:dyDescent="0.25">
      <c r="A330" s="4" t="s">
        <v>1057</v>
      </c>
      <c r="B330" s="2" t="s">
        <v>1058</v>
      </c>
      <c r="C330" s="3">
        <v>1</v>
      </c>
      <c r="D330" s="5">
        <v>39.5</v>
      </c>
      <c r="E330" s="3" t="s">
        <v>1059</v>
      </c>
      <c r="F330" s="2" t="s">
        <v>15</v>
      </c>
      <c r="G330" s="6"/>
      <c r="H330" s="2" t="s">
        <v>312</v>
      </c>
      <c r="I330" s="2" t="s">
        <v>195</v>
      </c>
      <c r="J330" s="2" t="s">
        <v>19</v>
      </c>
      <c r="K330" s="2" t="s">
        <v>137</v>
      </c>
      <c r="L330" s="7" t="str">
        <f>HYPERLINK("http://slimages.macys.com/is/image/MCY/11526970 ")</f>
        <v xml:space="preserve">http://slimages.macys.com/is/image/MCY/11526970 </v>
      </c>
    </row>
    <row r="331" spans="1:12" ht="24.75" x14ac:dyDescent="0.25">
      <c r="A331" s="4" t="s">
        <v>2545</v>
      </c>
      <c r="B331" s="2" t="s">
        <v>2546</v>
      </c>
      <c r="C331" s="3">
        <v>1</v>
      </c>
      <c r="D331" s="5">
        <v>34.880000000000003</v>
      </c>
      <c r="E331" s="3" t="s">
        <v>2547</v>
      </c>
      <c r="F331" s="2" t="s">
        <v>70</v>
      </c>
      <c r="G331" s="6" t="s">
        <v>154</v>
      </c>
      <c r="H331" s="2" t="s">
        <v>284</v>
      </c>
      <c r="I331" s="2" t="s">
        <v>195</v>
      </c>
      <c r="J331" s="2" t="s">
        <v>19</v>
      </c>
      <c r="K331" s="2" t="s">
        <v>137</v>
      </c>
      <c r="L331" s="7" t="str">
        <f>HYPERLINK("http://slimages.macys.com/is/image/MCY/11526970 ")</f>
        <v xml:space="preserve">http://slimages.macys.com/is/image/MCY/11526970 </v>
      </c>
    </row>
    <row r="332" spans="1:12" ht="24.75" x14ac:dyDescent="0.25">
      <c r="A332" s="4" t="s">
        <v>2550</v>
      </c>
      <c r="B332" s="2" t="s">
        <v>1062</v>
      </c>
      <c r="C332" s="3">
        <v>1</v>
      </c>
      <c r="D332" s="5">
        <v>36.5</v>
      </c>
      <c r="E332" s="3" t="s">
        <v>1063</v>
      </c>
      <c r="F332" s="2" t="s">
        <v>26</v>
      </c>
      <c r="G332" s="6" t="s">
        <v>156</v>
      </c>
      <c r="H332" s="2" t="s">
        <v>194</v>
      </c>
      <c r="I332" s="2" t="s">
        <v>195</v>
      </c>
      <c r="J332" s="2" t="s">
        <v>19</v>
      </c>
      <c r="K332" s="2" t="s">
        <v>137</v>
      </c>
      <c r="L332" s="7" t="str">
        <f>HYPERLINK("http://slimages.macys.com/is/image/MCY/11526970 ")</f>
        <v xml:space="preserve">http://slimages.macys.com/is/image/MCY/11526970 </v>
      </c>
    </row>
    <row r="333" spans="1:12" ht="48.75" x14ac:dyDescent="0.25">
      <c r="A333" s="4" t="s">
        <v>1061</v>
      </c>
      <c r="B333" s="2" t="s">
        <v>1062</v>
      </c>
      <c r="C333" s="3">
        <v>1</v>
      </c>
      <c r="D333" s="5">
        <v>36.5</v>
      </c>
      <c r="E333" s="3" t="s">
        <v>1063</v>
      </c>
      <c r="F333" s="2" t="s">
        <v>26</v>
      </c>
      <c r="G333" s="6" t="s">
        <v>154</v>
      </c>
      <c r="H333" s="2" t="s">
        <v>194</v>
      </c>
      <c r="I333" s="2" t="s">
        <v>408</v>
      </c>
      <c r="J333" s="2" t="s">
        <v>19</v>
      </c>
      <c r="K333" s="2" t="s">
        <v>787</v>
      </c>
      <c r="L333" s="7" t="str">
        <f>HYPERLINK("http://slimages.macys.com/is/image/MCY/11434460 ")</f>
        <v xml:space="preserve">http://slimages.macys.com/is/image/MCY/11434460 </v>
      </c>
    </row>
    <row r="334" spans="1:12" ht="24.75" x14ac:dyDescent="0.25">
      <c r="A334" s="4" t="s">
        <v>2551</v>
      </c>
      <c r="B334" s="2" t="s">
        <v>1062</v>
      </c>
      <c r="C334" s="3">
        <v>2</v>
      </c>
      <c r="D334" s="5">
        <v>36.5</v>
      </c>
      <c r="E334" s="3" t="s">
        <v>1063</v>
      </c>
      <c r="F334" s="2" t="s">
        <v>26</v>
      </c>
      <c r="G334" s="6" t="s">
        <v>181</v>
      </c>
      <c r="H334" s="2" t="s">
        <v>194</v>
      </c>
      <c r="I334" s="2" t="s">
        <v>195</v>
      </c>
      <c r="J334" s="2" t="s">
        <v>19</v>
      </c>
      <c r="K334" s="2" t="s">
        <v>438</v>
      </c>
      <c r="L334" s="7" t="str">
        <f>HYPERLINK("http://slimages.macys.com/is/image/MCY/11935984 ")</f>
        <v xml:space="preserve">http://slimages.macys.com/is/image/MCY/11935984 </v>
      </c>
    </row>
    <row r="335" spans="1:12" ht="24.75" x14ac:dyDescent="0.25">
      <c r="A335" s="4" t="s">
        <v>3734</v>
      </c>
      <c r="B335" s="2" t="s">
        <v>1062</v>
      </c>
      <c r="C335" s="3">
        <v>2</v>
      </c>
      <c r="D335" s="5">
        <v>36.5</v>
      </c>
      <c r="E335" s="3" t="s">
        <v>1063</v>
      </c>
      <c r="F335" s="2" t="s">
        <v>26</v>
      </c>
      <c r="G335" s="6" t="s">
        <v>234</v>
      </c>
      <c r="H335" s="2" t="s">
        <v>194</v>
      </c>
      <c r="I335" s="2" t="s">
        <v>2548</v>
      </c>
      <c r="J335" s="2" t="s">
        <v>19</v>
      </c>
      <c r="K335" s="2" t="s">
        <v>2549</v>
      </c>
      <c r="L335" s="7" t="str">
        <f>HYPERLINK("http://slimages.macys.com/is/image/MCY/11470470 ")</f>
        <v xml:space="preserve">http://slimages.macys.com/is/image/MCY/11470470 </v>
      </c>
    </row>
    <row r="336" spans="1:12" ht="24.75" x14ac:dyDescent="0.25">
      <c r="A336" s="4" t="s">
        <v>3735</v>
      </c>
      <c r="B336" s="2" t="s">
        <v>3736</v>
      </c>
      <c r="C336" s="3">
        <v>1</v>
      </c>
      <c r="D336" s="5">
        <v>32.5</v>
      </c>
      <c r="E336" s="3" t="s">
        <v>3737</v>
      </c>
      <c r="F336" s="2" t="s">
        <v>1322</v>
      </c>
      <c r="G336" s="6"/>
      <c r="H336" s="2" t="s">
        <v>312</v>
      </c>
      <c r="I336" s="2" t="s">
        <v>195</v>
      </c>
      <c r="J336" s="2" t="s">
        <v>19</v>
      </c>
      <c r="K336" s="2" t="s">
        <v>247</v>
      </c>
      <c r="L336" s="7" t="str">
        <f>HYPERLINK("http://slimages.macys.com/is/image/MCY/11515386 ")</f>
        <v xml:space="preserve">http://slimages.macys.com/is/image/MCY/11515386 </v>
      </c>
    </row>
    <row r="337" spans="1:12" ht="24.75" x14ac:dyDescent="0.25">
      <c r="A337" s="4" t="s">
        <v>2555</v>
      </c>
      <c r="B337" s="2" t="s">
        <v>1069</v>
      </c>
      <c r="C337" s="3">
        <v>1</v>
      </c>
      <c r="D337" s="5">
        <v>34.5</v>
      </c>
      <c r="E337" s="3">
        <v>100050028</v>
      </c>
      <c r="F337" s="2" t="s">
        <v>180</v>
      </c>
      <c r="G337" s="6" t="s">
        <v>106</v>
      </c>
      <c r="H337" s="2" t="s">
        <v>228</v>
      </c>
      <c r="I337" s="2" t="s">
        <v>195</v>
      </c>
      <c r="J337" s="2" t="s">
        <v>19</v>
      </c>
      <c r="K337" s="2" t="s">
        <v>247</v>
      </c>
      <c r="L337" s="7" t="str">
        <f>HYPERLINK("http://slimages.macys.com/is/image/MCY/11515386 ")</f>
        <v xml:space="preserve">http://slimages.macys.com/is/image/MCY/11515386 </v>
      </c>
    </row>
    <row r="338" spans="1:12" ht="24.75" x14ac:dyDescent="0.25">
      <c r="A338" s="4" t="s">
        <v>2554</v>
      </c>
      <c r="B338" s="2" t="s">
        <v>1069</v>
      </c>
      <c r="C338" s="3">
        <v>2</v>
      </c>
      <c r="D338" s="5">
        <v>34.5</v>
      </c>
      <c r="E338" s="3">
        <v>100050028</v>
      </c>
      <c r="F338" s="2" t="s">
        <v>180</v>
      </c>
      <c r="G338" s="6" t="s">
        <v>22</v>
      </c>
      <c r="H338" s="2" t="s">
        <v>228</v>
      </c>
      <c r="I338" s="2" t="s">
        <v>195</v>
      </c>
      <c r="J338" s="2" t="s">
        <v>19</v>
      </c>
      <c r="K338" s="2" t="s">
        <v>247</v>
      </c>
      <c r="L338" s="7" t="str">
        <f>HYPERLINK("http://slimages.macys.com/is/image/MCY/11515386 ")</f>
        <v xml:space="preserve">http://slimages.macys.com/is/image/MCY/11515386 </v>
      </c>
    </row>
    <row r="339" spans="1:12" ht="24.75" x14ac:dyDescent="0.25">
      <c r="A339" s="4" t="s">
        <v>3738</v>
      </c>
      <c r="B339" s="2" t="s">
        <v>1069</v>
      </c>
      <c r="C339" s="3">
        <v>1</v>
      </c>
      <c r="D339" s="5">
        <v>34.5</v>
      </c>
      <c r="E339" s="3">
        <v>100050028</v>
      </c>
      <c r="F339" s="2" t="s">
        <v>180</v>
      </c>
      <c r="G339" s="6" t="s">
        <v>58</v>
      </c>
      <c r="H339" s="2" t="s">
        <v>228</v>
      </c>
      <c r="I339" s="2" t="s">
        <v>195</v>
      </c>
      <c r="J339" s="2" t="s">
        <v>19</v>
      </c>
      <c r="K339" s="2" t="s">
        <v>247</v>
      </c>
      <c r="L339" s="7" t="str">
        <f>HYPERLINK("http://slimages.macys.com/is/image/MCY/11515386 ")</f>
        <v xml:space="preserve">http://slimages.macys.com/is/image/MCY/11515386 </v>
      </c>
    </row>
    <row r="340" spans="1:12" ht="24.75" x14ac:dyDescent="0.25">
      <c r="A340" s="4" t="s">
        <v>3739</v>
      </c>
      <c r="B340" s="2" t="s">
        <v>3740</v>
      </c>
      <c r="C340" s="3">
        <v>1</v>
      </c>
      <c r="D340" s="5">
        <v>39.5</v>
      </c>
      <c r="E340" s="3" t="s">
        <v>3741</v>
      </c>
      <c r="F340" s="2" t="s">
        <v>111</v>
      </c>
      <c r="G340" s="6"/>
      <c r="H340" s="2" t="s">
        <v>312</v>
      </c>
      <c r="I340" s="2" t="s">
        <v>195</v>
      </c>
      <c r="J340" s="2" t="s">
        <v>19</v>
      </c>
      <c r="K340" s="2" t="s">
        <v>3742</v>
      </c>
      <c r="L340" s="7" t="str">
        <f>HYPERLINK("http://slimages.macys.com/is/image/MCY/10890106 ")</f>
        <v xml:space="preserve">http://slimages.macys.com/is/image/MCY/10890106 </v>
      </c>
    </row>
    <row r="341" spans="1:12" x14ac:dyDescent="0.25">
      <c r="A341" s="4" t="s">
        <v>3743</v>
      </c>
      <c r="B341" s="2" t="s">
        <v>1084</v>
      </c>
      <c r="C341" s="3">
        <v>1</v>
      </c>
      <c r="D341" s="5">
        <v>32.99</v>
      </c>
      <c r="E341" s="3">
        <v>3380966</v>
      </c>
      <c r="F341" s="2" t="s">
        <v>417</v>
      </c>
      <c r="G341" s="6" t="s">
        <v>3744</v>
      </c>
      <c r="H341" s="2" t="s">
        <v>1086</v>
      </c>
      <c r="I341" s="2" t="s">
        <v>229</v>
      </c>
      <c r="J341" s="2" t="s">
        <v>19</v>
      </c>
      <c r="K341" s="2" t="s">
        <v>353</v>
      </c>
      <c r="L341" s="7" t="str">
        <f>HYPERLINK("http://slimages.macys.com/is/image/MCY/11527150 ")</f>
        <v xml:space="preserve">http://slimages.macys.com/is/image/MCY/11527150 </v>
      </c>
    </row>
    <row r="342" spans="1:12" ht="24.75" x14ac:dyDescent="0.25">
      <c r="A342" s="4" t="s">
        <v>3745</v>
      </c>
      <c r="B342" s="2" t="s">
        <v>1114</v>
      </c>
      <c r="C342" s="3">
        <v>1</v>
      </c>
      <c r="D342" s="5">
        <v>37.130000000000003</v>
      </c>
      <c r="E342" s="3">
        <v>100042369</v>
      </c>
      <c r="F342" s="2" t="s">
        <v>257</v>
      </c>
      <c r="G342" s="6" t="s">
        <v>22</v>
      </c>
      <c r="H342" s="2" t="s">
        <v>194</v>
      </c>
      <c r="I342" s="2" t="s">
        <v>229</v>
      </c>
      <c r="J342" s="2" t="s">
        <v>19</v>
      </c>
      <c r="K342" s="2" t="s">
        <v>353</v>
      </c>
      <c r="L342" s="7" t="str">
        <f>HYPERLINK("http://slimages.macys.com/is/image/MCY/11527150 ")</f>
        <v xml:space="preserve">http://slimages.macys.com/is/image/MCY/11527150 </v>
      </c>
    </row>
    <row r="343" spans="1:12" ht="24.75" x14ac:dyDescent="0.25">
      <c r="A343" s="4" t="s">
        <v>3746</v>
      </c>
      <c r="B343" s="2" t="s">
        <v>1114</v>
      </c>
      <c r="C343" s="3">
        <v>1</v>
      </c>
      <c r="D343" s="5">
        <v>37.130000000000003</v>
      </c>
      <c r="E343" s="3">
        <v>100042369</v>
      </c>
      <c r="F343" s="2" t="s">
        <v>64</v>
      </c>
      <c r="G343" s="6" t="s">
        <v>65</v>
      </c>
      <c r="H343" s="2" t="s">
        <v>194</v>
      </c>
      <c r="I343" s="2" t="s">
        <v>229</v>
      </c>
      <c r="J343" s="2" t="s">
        <v>19</v>
      </c>
      <c r="K343" s="2" t="s">
        <v>353</v>
      </c>
      <c r="L343" s="7" t="str">
        <f>HYPERLINK("http://slimages.macys.com/is/image/MCY/11527150 ")</f>
        <v xml:space="preserve">http://slimages.macys.com/is/image/MCY/11527150 </v>
      </c>
    </row>
    <row r="344" spans="1:12" ht="24.75" x14ac:dyDescent="0.25">
      <c r="A344" s="4" t="s">
        <v>3747</v>
      </c>
      <c r="B344" s="2" t="s">
        <v>1114</v>
      </c>
      <c r="C344" s="3">
        <v>1</v>
      </c>
      <c r="D344" s="5">
        <v>37.130000000000003</v>
      </c>
      <c r="E344" s="3">
        <v>100042369</v>
      </c>
      <c r="F344" s="2" t="s">
        <v>79</v>
      </c>
      <c r="G344" s="6" t="s">
        <v>27</v>
      </c>
      <c r="H344" s="2" t="s">
        <v>194</v>
      </c>
      <c r="I344" s="2" t="s">
        <v>195</v>
      </c>
      <c r="J344" s="2" t="s">
        <v>19</v>
      </c>
      <c r="K344" s="2" t="s">
        <v>34</v>
      </c>
      <c r="L344" s="7" t="str">
        <f>HYPERLINK("http://slimages.macys.com/is/image/MCY/10483906 ")</f>
        <v xml:space="preserve">http://slimages.macys.com/is/image/MCY/10483906 </v>
      </c>
    </row>
    <row r="345" spans="1:12" ht="24.75" x14ac:dyDescent="0.25">
      <c r="A345" s="4" t="s">
        <v>1115</v>
      </c>
      <c r="B345" s="2" t="s">
        <v>1114</v>
      </c>
      <c r="C345" s="3">
        <v>1</v>
      </c>
      <c r="D345" s="5">
        <v>37.130000000000003</v>
      </c>
      <c r="E345" s="3">
        <v>100042369</v>
      </c>
      <c r="F345" s="2" t="s">
        <v>94</v>
      </c>
      <c r="G345" s="6" t="s">
        <v>22</v>
      </c>
      <c r="H345" s="2" t="s">
        <v>194</v>
      </c>
      <c r="I345" s="2" t="s">
        <v>1087</v>
      </c>
      <c r="J345" s="2" t="s">
        <v>19</v>
      </c>
      <c r="K345" s="2" t="s">
        <v>1088</v>
      </c>
      <c r="L345" s="7" t="str">
        <f>HYPERLINK("http://slimages.macys.com/is/image/MCY/11635783 ")</f>
        <v xml:space="preserve">http://slimages.macys.com/is/image/MCY/11635783 </v>
      </c>
    </row>
    <row r="346" spans="1:12" ht="24.75" x14ac:dyDescent="0.25">
      <c r="A346" s="4" t="s">
        <v>3748</v>
      </c>
      <c r="B346" s="2" t="s">
        <v>1114</v>
      </c>
      <c r="C346" s="3">
        <v>1</v>
      </c>
      <c r="D346" s="5">
        <v>37.130000000000003</v>
      </c>
      <c r="E346" s="3">
        <v>100042369</v>
      </c>
      <c r="F346" s="2" t="s">
        <v>64</v>
      </c>
      <c r="G346" s="6" t="s">
        <v>112</v>
      </c>
      <c r="H346" s="2" t="s">
        <v>194</v>
      </c>
      <c r="I346" s="2" t="s">
        <v>195</v>
      </c>
      <c r="J346" s="2" t="s">
        <v>19</v>
      </c>
      <c r="K346" s="2" t="s">
        <v>353</v>
      </c>
      <c r="L346" s="7" t="str">
        <f>HYPERLINK("http://slimages.macys.com/is/image/MCY/11934953 ")</f>
        <v xml:space="preserve">http://slimages.macys.com/is/image/MCY/11934953 </v>
      </c>
    </row>
    <row r="347" spans="1:12" ht="24.75" x14ac:dyDescent="0.25">
      <c r="A347" s="4" t="s">
        <v>1120</v>
      </c>
      <c r="B347" s="2" t="s">
        <v>1118</v>
      </c>
      <c r="C347" s="3">
        <v>1</v>
      </c>
      <c r="D347" s="5">
        <v>37.130000000000003</v>
      </c>
      <c r="E347" s="3">
        <v>100070736</v>
      </c>
      <c r="F347" s="2" t="s">
        <v>376</v>
      </c>
      <c r="G347" s="6" t="s">
        <v>154</v>
      </c>
      <c r="H347" s="2" t="s">
        <v>194</v>
      </c>
      <c r="I347" s="2" t="s">
        <v>195</v>
      </c>
      <c r="J347" s="2"/>
      <c r="K347" s="2"/>
      <c r="L347" s="7" t="str">
        <f>HYPERLINK("http://slimages.macys.com/is/image/MCY/11934939 ")</f>
        <v xml:space="preserve">http://slimages.macys.com/is/image/MCY/11934939 </v>
      </c>
    </row>
    <row r="348" spans="1:12" ht="24.75" x14ac:dyDescent="0.25">
      <c r="A348" s="4" t="s">
        <v>1122</v>
      </c>
      <c r="B348" s="2" t="s">
        <v>1118</v>
      </c>
      <c r="C348" s="3">
        <v>1</v>
      </c>
      <c r="D348" s="5">
        <v>37.130000000000003</v>
      </c>
      <c r="E348" s="3">
        <v>100070736</v>
      </c>
      <c r="F348" s="2" t="s">
        <v>376</v>
      </c>
      <c r="G348" s="6" t="s">
        <v>181</v>
      </c>
      <c r="H348" s="2" t="s">
        <v>194</v>
      </c>
      <c r="I348" s="2" t="s">
        <v>195</v>
      </c>
      <c r="J348" s="2" t="s">
        <v>19</v>
      </c>
      <c r="K348" s="2" t="s">
        <v>353</v>
      </c>
      <c r="L348" s="7" t="str">
        <f>HYPERLINK("http://slimages.macys.com/is/image/MCY/11934953 ")</f>
        <v xml:space="preserve">http://slimages.macys.com/is/image/MCY/11934953 </v>
      </c>
    </row>
    <row r="349" spans="1:12" ht="24.75" x14ac:dyDescent="0.25">
      <c r="A349" s="4" t="s">
        <v>1121</v>
      </c>
      <c r="B349" s="2" t="s">
        <v>1118</v>
      </c>
      <c r="C349" s="3">
        <v>1</v>
      </c>
      <c r="D349" s="5">
        <v>37.130000000000003</v>
      </c>
      <c r="E349" s="3">
        <v>100070736</v>
      </c>
      <c r="F349" s="2" t="s">
        <v>376</v>
      </c>
      <c r="G349" s="6" t="s">
        <v>234</v>
      </c>
      <c r="H349" s="2" t="s">
        <v>194</v>
      </c>
      <c r="I349" s="2" t="s">
        <v>195</v>
      </c>
      <c r="J349" s="2" t="s">
        <v>19</v>
      </c>
      <c r="K349" s="2" t="s">
        <v>353</v>
      </c>
      <c r="L349" s="7" t="str">
        <f>HYPERLINK("http://slimages.macys.com/is/image/MCY/11934953 ")</f>
        <v xml:space="preserve">http://slimages.macys.com/is/image/MCY/11934953 </v>
      </c>
    </row>
    <row r="350" spans="1:12" ht="24.75" x14ac:dyDescent="0.25">
      <c r="A350" s="4" t="s">
        <v>1126</v>
      </c>
      <c r="B350" s="2" t="s">
        <v>1118</v>
      </c>
      <c r="C350" s="3">
        <v>1</v>
      </c>
      <c r="D350" s="5">
        <v>37.130000000000003</v>
      </c>
      <c r="E350" s="3">
        <v>100070736</v>
      </c>
      <c r="F350" s="2" t="s">
        <v>74</v>
      </c>
      <c r="G350" s="6" t="s">
        <v>154</v>
      </c>
      <c r="H350" s="2" t="s">
        <v>194</v>
      </c>
      <c r="I350" s="2" t="s">
        <v>195</v>
      </c>
      <c r="J350" s="2"/>
      <c r="K350" s="2"/>
      <c r="L350" s="7" t="str">
        <f>HYPERLINK("http://slimages.macys.com/is/image/MCY/11934939 ")</f>
        <v xml:space="preserve">http://slimages.macys.com/is/image/MCY/11934939 </v>
      </c>
    </row>
    <row r="351" spans="1:12" ht="24.75" x14ac:dyDescent="0.25">
      <c r="A351" s="4" t="s">
        <v>3749</v>
      </c>
      <c r="B351" s="2" t="s">
        <v>744</v>
      </c>
      <c r="C351" s="3">
        <v>1</v>
      </c>
      <c r="D351" s="5">
        <v>34.99</v>
      </c>
      <c r="E351" s="3" t="s">
        <v>3750</v>
      </c>
      <c r="F351" s="2" t="s">
        <v>94</v>
      </c>
      <c r="G351" s="6" t="s">
        <v>200</v>
      </c>
      <c r="H351" s="2" t="s">
        <v>284</v>
      </c>
      <c r="I351" s="2" t="s">
        <v>195</v>
      </c>
      <c r="J351" s="2" t="s">
        <v>19</v>
      </c>
      <c r="K351" s="2" t="s">
        <v>353</v>
      </c>
      <c r="L351" s="7" t="str">
        <f>HYPERLINK("http://slimages.macys.com/is/image/MCY/13120823 ")</f>
        <v xml:space="preserve">http://slimages.macys.com/is/image/MCY/13120823 </v>
      </c>
    </row>
    <row r="352" spans="1:12" ht="24.75" x14ac:dyDescent="0.25">
      <c r="A352" s="4" t="s">
        <v>3751</v>
      </c>
      <c r="B352" s="2" t="s">
        <v>1118</v>
      </c>
      <c r="C352" s="3">
        <v>2</v>
      </c>
      <c r="D352" s="5">
        <v>37.130000000000003</v>
      </c>
      <c r="E352" s="3">
        <v>100070736</v>
      </c>
      <c r="F352" s="2" t="s">
        <v>74</v>
      </c>
      <c r="G352" s="6" t="s">
        <v>200</v>
      </c>
      <c r="H352" s="2" t="s">
        <v>194</v>
      </c>
      <c r="I352" s="2" t="s">
        <v>195</v>
      </c>
      <c r="J352" s="2" t="s">
        <v>19</v>
      </c>
      <c r="K352" s="2" t="s">
        <v>353</v>
      </c>
      <c r="L352" s="7" t="str">
        <f>HYPERLINK("http://slimages.macys.com/is/image/MCY/13120823 ")</f>
        <v xml:space="preserve">http://slimages.macys.com/is/image/MCY/13120823 </v>
      </c>
    </row>
    <row r="353" spans="1:12" ht="24.75" x14ac:dyDescent="0.25">
      <c r="A353" s="4" t="s">
        <v>3752</v>
      </c>
      <c r="B353" s="2" t="s">
        <v>3753</v>
      </c>
      <c r="C353" s="3">
        <v>1</v>
      </c>
      <c r="D353" s="5">
        <v>40</v>
      </c>
      <c r="E353" s="3" t="s">
        <v>3754</v>
      </c>
      <c r="F353" s="2" t="s">
        <v>1945</v>
      </c>
      <c r="G353" s="6"/>
      <c r="H353" s="2" t="s">
        <v>447</v>
      </c>
      <c r="I353" s="2" t="s">
        <v>195</v>
      </c>
      <c r="J353" s="2" t="s">
        <v>19</v>
      </c>
      <c r="K353" s="2" t="s">
        <v>353</v>
      </c>
      <c r="L353" s="7" t="str">
        <f>HYPERLINK("http://slimages.macys.com/is/image/MCY/13120823 ")</f>
        <v xml:space="preserve">http://slimages.macys.com/is/image/MCY/13120823 </v>
      </c>
    </row>
    <row r="354" spans="1:12" ht="24.75" x14ac:dyDescent="0.25">
      <c r="A354" s="4" t="s">
        <v>1130</v>
      </c>
      <c r="B354" s="2" t="s">
        <v>1128</v>
      </c>
      <c r="C354" s="3">
        <v>1</v>
      </c>
      <c r="D354" s="5">
        <v>32.5</v>
      </c>
      <c r="E354" s="3" t="s">
        <v>1129</v>
      </c>
      <c r="F354" s="2" t="s">
        <v>252</v>
      </c>
      <c r="G354" s="6" t="s">
        <v>181</v>
      </c>
      <c r="H354" s="2" t="s">
        <v>194</v>
      </c>
      <c r="I354" s="2" t="s">
        <v>195</v>
      </c>
      <c r="J354" s="2" t="s">
        <v>19</v>
      </c>
      <c r="K354" s="2" t="s">
        <v>353</v>
      </c>
      <c r="L354" s="7" t="str">
        <f>HYPERLINK("http://slimages.macys.com/is/image/MCY/13120823 ")</f>
        <v xml:space="preserve">http://slimages.macys.com/is/image/MCY/13120823 </v>
      </c>
    </row>
    <row r="355" spans="1:12" ht="24.75" x14ac:dyDescent="0.25">
      <c r="A355" s="4" t="s">
        <v>3755</v>
      </c>
      <c r="B355" s="2" t="s">
        <v>1128</v>
      </c>
      <c r="C355" s="3">
        <v>1</v>
      </c>
      <c r="D355" s="5">
        <v>32.5</v>
      </c>
      <c r="E355" s="3" t="s">
        <v>1129</v>
      </c>
      <c r="F355" s="2" t="s">
        <v>252</v>
      </c>
      <c r="G355" s="6" t="s">
        <v>200</v>
      </c>
      <c r="H355" s="2" t="s">
        <v>194</v>
      </c>
      <c r="I355" s="2" t="s">
        <v>285</v>
      </c>
      <c r="J355" s="2" t="s">
        <v>19</v>
      </c>
      <c r="K355" s="2" t="s">
        <v>34</v>
      </c>
      <c r="L355" s="7" t="str">
        <f>HYPERLINK("http://slimages.macys.com/is/image/MCY/9728833 ")</f>
        <v xml:space="preserve">http://slimages.macys.com/is/image/MCY/9728833 </v>
      </c>
    </row>
    <row r="356" spans="1:12" ht="24.75" x14ac:dyDescent="0.25">
      <c r="A356" s="4" t="s">
        <v>3756</v>
      </c>
      <c r="B356" s="2" t="s">
        <v>1128</v>
      </c>
      <c r="C356" s="3">
        <v>2</v>
      </c>
      <c r="D356" s="5">
        <v>32.5</v>
      </c>
      <c r="E356" s="3" t="s">
        <v>1129</v>
      </c>
      <c r="F356" s="2" t="s">
        <v>252</v>
      </c>
      <c r="G356" s="6" t="s">
        <v>154</v>
      </c>
      <c r="H356" s="2" t="s">
        <v>194</v>
      </c>
      <c r="I356" s="2" t="s">
        <v>195</v>
      </c>
      <c r="J356" s="2" t="s">
        <v>19</v>
      </c>
      <c r="K356" s="2" t="s">
        <v>353</v>
      </c>
      <c r="L356" s="7" t="str">
        <f>HYPERLINK("http://slimages.macys.com/is/image/MCY/13120823 ")</f>
        <v xml:space="preserve">http://slimages.macys.com/is/image/MCY/13120823 </v>
      </c>
    </row>
    <row r="357" spans="1:12" ht="24.75" x14ac:dyDescent="0.25">
      <c r="A357" s="4" t="s">
        <v>3757</v>
      </c>
      <c r="B357" s="2" t="s">
        <v>1132</v>
      </c>
      <c r="C357" s="3">
        <v>1</v>
      </c>
      <c r="D357" s="5">
        <v>34.5</v>
      </c>
      <c r="E357" s="3" t="s">
        <v>1143</v>
      </c>
      <c r="F357" s="2" t="s">
        <v>506</v>
      </c>
      <c r="G357" s="6" t="s">
        <v>58</v>
      </c>
      <c r="H357" s="2" t="s">
        <v>228</v>
      </c>
      <c r="I357" s="2" t="s">
        <v>792</v>
      </c>
      <c r="J357" s="2" t="s">
        <v>19</v>
      </c>
      <c r="K357" s="2" t="s">
        <v>160</v>
      </c>
      <c r="L357" s="7" t="str">
        <f>HYPERLINK("http://slimages.macys.com/is/image/MCY/14875911 ")</f>
        <v xml:space="preserve">http://slimages.macys.com/is/image/MCY/14875911 </v>
      </c>
    </row>
    <row r="358" spans="1:12" ht="24.75" x14ac:dyDescent="0.25">
      <c r="A358" s="4" t="s">
        <v>3758</v>
      </c>
      <c r="B358" s="2" t="s">
        <v>890</v>
      </c>
      <c r="C358" s="3">
        <v>1</v>
      </c>
      <c r="D358" s="5">
        <v>34.5</v>
      </c>
      <c r="E358" s="3" t="s">
        <v>1136</v>
      </c>
      <c r="F358" s="2" t="s">
        <v>252</v>
      </c>
      <c r="G358" s="6" t="s">
        <v>112</v>
      </c>
      <c r="H358" s="2" t="s">
        <v>228</v>
      </c>
      <c r="I358" s="2" t="s">
        <v>195</v>
      </c>
      <c r="J358" s="2" t="s">
        <v>19</v>
      </c>
      <c r="K358" s="2" t="s">
        <v>1108</v>
      </c>
      <c r="L358" s="7" t="str">
        <f>HYPERLINK("http://slimages.macys.com/is/image/MCY/12850781 ")</f>
        <v xml:space="preserve">http://slimages.macys.com/is/image/MCY/12850781 </v>
      </c>
    </row>
    <row r="359" spans="1:12" ht="24.75" x14ac:dyDescent="0.25">
      <c r="A359" s="4" t="s">
        <v>3759</v>
      </c>
      <c r="B359" s="2" t="s">
        <v>890</v>
      </c>
      <c r="C359" s="3">
        <v>1</v>
      </c>
      <c r="D359" s="5">
        <v>34.5</v>
      </c>
      <c r="E359" s="3" t="s">
        <v>1136</v>
      </c>
      <c r="F359" s="2" t="s">
        <v>252</v>
      </c>
      <c r="G359" s="6" t="s">
        <v>16</v>
      </c>
      <c r="H359" s="2" t="s">
        <v>228</v>
      </c>
      <c r="I359" s="2" t="s">
        <v>195</v>
      </c>
      <c r="J359" s="2" t="s">
        <v>19</v>
      </c>
      <c r="K359" s="2" t="s">
        <v>1108</v>
      </c>
      <c r="L359" s="7" t="str">
        <f>HYPERLINK("http://slimages.macys.com/is/image/MCY/12850781 ")</f>
        <v xml:space="preserve">http://slimages.macys.com/is/image/MCY/12850781 </v>
      </c>
    </row>
    <row r="360" spans="1:12" ht="24.75" x14ac:dyDescent="0.25">
      <c r="A360" s="4" t="s">
        <v>3760</v>
      </c>
      <c r="B360" s="2" t="s">
        <v>3761</v>
      </c>
      <c r="C360" s="3">
        <v>1</v>
      </c>
      <c r="D360" s="5">
        <v>35.15</v>
      </c>
      <c r="E360" s="3" t="s">
        <v>3762</v>
      </c>
      <c r="F360" s="2" t="s">
        <v>193</v>
      </c>
      <c r="G360" s="6" t="s">
        <v>200</v>
      </c>
      <c r="H360" s="2" t="s">
        <v>182</v>
      </c>
      <c r="I360" s="2" t="s">
        <v>195</v>
      </c>
      <c r="J360" s="2" t="s">
        <v>19</v>
      </c>
      <c r="K360" s="2" t="s">
        <v>1108</v>
      </c>
      <c r="L360" s="7" t="str">
        <f>HYPERLINK("http://slimages.macys.com/is/image/MCY/12850781 ")</f>
        <v xml:space="preserve">http://slimages.macys.com/is/image/MCY/12850781 </v>
      </c>
    </row>
    <row r="361" spans="1:12" ht="24.75" x14ac:dyDescent="0.25">
      <c r="A361" s="4" t="s">
        <v>1146</v>
      </c>
      <c r="B361" s="2" t="s">
        <v>1147</v>
      </c>
      <c r="C361" s="3">
        <v>1</v>
      </c>
      <c r="D361" s="5">
        <v>34.880000000000003</v>
      </c>
      <c r="E361" s="3">
        <v>100055540</v>
      </c>
      <c r="F361" s="2" t="s">
        <v>70</v>
      </c>
      <c r="G361" s="6" t="s">
        <v>16</v>
      </c>
      <c r="H361" s="2" t="s">
        <v>194</v>
      </c>
      <c r="I361" s="2" t="s">
        <v>863</v>
      </c>
      <c r="J361" s="2" t="s">
        <v>19</v>
      </c>
      <c r="K361" s="2" t="s">
        <v>253</v>
      </c>
      <c r="L361" s="7" t="str">
        <f>HYPERLINK("http://slimages.macys.com/is/image/MCY/11804272 ")</f>
        <v xml:space="preserve">http://slimages.macys.com/is/image/MCY/11804272 </v>
      </c>
    </row>
    <row r="362" spans="1:12" ht="24.75" x14ac:dyDescent="0.25">
      <c r="A362" s="4" t="s">
        <v>3763</v>
      </c>
      <c r="B362" s="2" t="s">
        <v>1147</v>
      </c>
      <c r="C362" s="3">
        <v>1</v>
      </c>
      <c r="D362" s="5">
        <v>34.880000000000003</v>
      </c>
      <c r="E362" s="3">
        <v>100055540</v>
      </c>
      <c r="F362" s="2" t="s">
        <v>70</v>
      </c>
      <c r="G362" s="6" t="s">
        <v>58</v>
      </c>
      <c r="H362" s="2" t="s">
        <v>194</v>
      </c>
      <c r="I362" s="2" t="s">
        <v>863</v>
      </c>
      <c r="J362" s="2" t="s">
        <v>19</v>
      </c>
      <c r="K362" s="2" t="s">
        <v>253</v>
      </c>
      <c r="L362" s="7" t="str">
        <f>HYPERLINK("http://slimages.macys.com/is/image/MCY/11804239 ")</f>
        <v xml:space="preserve">http://slimages.macys.com/is/image/MCY/11804239 </v>
      </c>
    </row>
    <row r="363" spans="1:12" ht="24.75" x14ac:dyDescent="0.25">
      <c r="A363" s="4" t="s">
        <v>3764</v>
      </c>
      <c r="B363" s="2" t="s">
        <v>1147</v>
      </c>
      <c r="C363" s="3">
        <v>1</v>
      </c>
      <c r="D363" s="5">
        <v>34.880000000000003</v>
      </c>
      <c r="E363" s="3">
        <v>100055540</v>
      </c>
      <c r="F363" s="2" t="s">
        <v>70</v>
      </c>
      <c r="G363" s="6" t="s">
        <v>141</v>
      </c>
      <c r="H363" s="2" t="s">
        <v>194</v>
      </c>
      <c r="I363" s="2" t="s">
        <v>863</v>
      </c>
      <c r="J363" s="2" t="s">
        <v>19</v>
      </c>
      <c r="K363" s="2" t="s">
        <v>253</v>
      </c>
      <c r="L363" s="7" t="str">
        <f>HYPERLINK("http://slimages.macys.com/is/image/MCY/11804239 ")</f>
        <v xml:space="preserve">http://slimages.macys.com/is/image/MCY/11804239 </v>
      </c>
    </row>
    <row r="364" spans="1:12" ht="24.75" x14ac:dyDescent="0.25">
      <c r="A364" s="4" t="s">
        <v>3765</v>
      </c>
      <c r="B364" s="2" t="s">
        <v>1147</v>
      </c>
      <c r="C364" s="3">
        <v>2</v>
      </c>
      <c r="D364" s="5">
        <v>34.880000000000003</v>
      </c>
      <c r="E364" s="3">
        <v>100055540</v>
      </c>
      <c r="F364" s="2" t="s">
        <v>70</v>
      </c>
      <c r="G364" s="6" t="s">
        <v>106</v>
      </c>
      <c r="H364" s="2" t="s">
        <v>194</v>
      </c>
      <c r="I364" s="2" t="s">
        <v>183</v>
      </c>
      <c r="J364" s="2" t="s">
        <v>19</v>
      </c>
      <c r="K364" s="2" t="s">
        <v>3766</v>
      </c>
      <c r="L364" s="7" t="str">
        <f>HYPERLINK("http://slimages.macys.com/is/image/MCY/12851899 ")</f>
        <v xml:space="preserve">http://slimages.macys.com/is/image/MCY/12851899 </v>
      </c>
    </row>
    <row r="365" spans="1:12" ht="24.75" x14ac:dyDescent="0.25">
      <c r="A365" s="4" t="s">
        <v>3767</v>
      </c>
      <c r="B365" s="2" t="s">
        <v>1147</v>
      </c>
      <c r="C365" s="3">
        <v>2</v>
      </c>
      <c r="D365" s="5">
        <v>34.880000000000003</v>
      </c>
      <c r="E365" s="3">
        <v>100055540</v>
      </c>
      <c r="F365" s="2" t="s">
        <v>70</v>
      </c>
      <c r="G365" s="6" t="s">
        <v>22</v>
      </c>
      <c r="H365" s="2" t="s">
        <v>194</v>
      </c>
      <c r="I365" s="2" t="s">
        <v>195</v>
      </c>
      <c r="J365" s="2" t="s">
        <v>19</v>
      </c>
      <c r="K365" s="2" t="s">
        <v>353</v>
      </c>
      <c r="L365" s="7" t="str">
        <f t="shared" ref="L365:L370" si="1">HYPERLINK("http://slimages.macys.com/is/image/MCY/12035336 ")</f>
        <v xml:space="preserve">http://slimages.macys.com/is/image/MCY/12035336 </v>
      </c>
    </row>
    <row r="366" spans="1:12" ht="24.75" x14ac:dyDescent="0.25">
      <c r="A366" s="4" t="s">
        <v>3768</v>
      </c>
      <c r="B366" s="2" t="s">
        <v>1147</v>
      </c>
      <c r="C366" s="3">
        <v>1</v>
      </c>
      <c r="D366" s="5">
        <v>34.880000000000003</v>
      </c>
      <c r="E366" s="3">
        <v>100055540</v>
      </c>
      <c r="F366" s="2" t="s">
        <v>70</v>
      </c>
      <c r="G366" s="6" t="s">
        <v>27</v>
      </c>
      <c r="H366" s="2" t="s">
        <v>194</v>
      </c>
      <c r="I366" s="2" t="s">
        <v>195</v>
      </c>
      <c r="J366" s="2" t="s">
        <v>19</v>
      </c>
      <c r="K366" s="2" t="s">
        <v>353</v>
      </c>
      <c r="L366" s="7" t="str">
        <f t="shared" si="1"/>
        <v xml:space="preserve">http://slimages.macys.com/is/image/MCY/12035336 </v>
      </c>
    </row>
    <row r="367" spans="1:12" ht="24.75" x14ac:dyDescent="0.25">
      <c r="A367" s="4" t="s">
        <v>1151</v>
      </c>
      <c r="B367" s="2" t="s">
        <v>1152</v>
      </c>
      <c r="C367" s="3">
        <v>1</v>
      </c>
      <c r="D367" s="5">
        <v>37.130000000000003</v>
      </c>
      <c r="E367" s="3" t="s">
        <v>1153</v>
      </c>
      <c r="F367" s="2" t="s">
        <v>94</v>
      </c>
      <c r="G367" s="6" t="s">
        <v>234</v>
      </c>
      <c r="H367" s="2" t="s">
        <v>194</v>
      </c>
      <c r="I367" s="2" t="s">
        <v>195</v>
      </c>
      <c r="J367" s="2" t="s">
        <v>19</v>
      </c>
      <c r="K367" s="2" t="s">
        <v>353</v>
      </c>
      <c r="L367" s="7" t="str">
        <f t="shared" si="1"/>
        <v xml:space="preserve">http://slimages.macys.com/is/image/MCY/12035336 </v>
      </c>
    </row>
    <row r="368" spans="1:12" ht="24.75" x14ac:dyDescent="0.25">
      <c r="A368" s="4" t="s">
        <v>1158</v>
      </c>
      <c r="B368" s="2" t="s">
        <v>1155</v>
      </c>
      <c r="C368" s="3">
        <v>3</v>
      </c>
      <c r="D368" s="5">
        <v>37.130000000000003</v>
      </c>
      <c r="E368" s="3" t="s">
        <v>1156</v>
      </c>
      <c r="F368" s="2" t="s">
        <v>417</v>
      </c>
      <c r="G368" s="6" t="s">
        <v>154</v>
      </c>
      <c r="H368" s="2" t="s">
        <v>194</v>
      </c>
      <c r="I368" s="2" t="s">
        <v>195</v>
      </c>
      <c r="J368" s="2" t="s">
        <v>19</v>
      </c>
      <c r="K368" s="2" t="s">
        <v>353</v>
      </c>
      <c r="L368" s="7" t="str">
        <f t="shared" si="1"/>
        <v xml:space="preserve">http://slimages.macys.com/is/image/MCY/12035336 </v>
      </c>
    </row>
    <row r="369" spans="1:12" x14ac:dyDescent="0.25">
      <c r="A369" s="4" t="s">
        <v>3769</v>
      </c>
      <c r="B369" s="2" t="s">
        <v>1160</v>
      </c>
      <c r="C369" s="3">
        <v>2</v>
      </c>
      <c r="D369" s="5">
        <v>69.5</v>
      </c>
      <c r="E369" s="3">
        <v>100055239</v>
      </c>
      <c r="F369" s="2" t="s">
        <v>74</v>
      </c>
      <c r="G369" s="6" t="s">
        <v>65</v>
      </c>
      <c r="H369" s="2" t="s">
        <v>386</v>
      </c>
      <c r="I369" s="2" t="s">
        <v>195</v>
      </c>
      <c r="J369" s="2" t="s">
        <v>19</v>
      </c>
      <c r="K369" s="2" t="s">
        <v>353</v>
      </c>
      <c r="L369" s="7" t="str">
        <f t="shared" si="1"/>
        <v xml:space="preserve">http://slimages.macys.com/is/image/MCY/12035336 </v>
      </c>
    </row>
    <row r="370" spans="1:12" x14ac:dyDescent="0.25">
      <c r="A370" s="4" t="s">
        <v>3770</v>
      </c>
      <c r="B370" s="2" t="s">
        <v>1160</v>
      </c>
      <c r="C370" s="3">
        <v>1</v>
      </c>
      <c r="D370" s="5">
        <v>69.5</v>
      </c>
      <c r="E370" s="3">
        <v>100055239</v>
      </c>
      <c r="F370" s="2" t="s">
        <v>74</v>
      </c>
      <c r="G370" s="6" t="s">
        <v>106</v>
      </c>
      <c r="H370" s="2" t="s">
        <v>386</v>
      </c>
      <c r="I370" s="2" t="s">
        <v>195</v>
      </c>
      <c r="J370" s="2" t="s">
        <v>19</v>
      </c>
      <c r="K370" s="2" t="s">
        <v>353</v>
      </c>
      <c r="L370" s="7" t="str">
        <f t="shared" si="1"/>
        <v xml:space="preserve">http://slimages.macys.com/is/image/MCY/12035336 </v>
      </c>
    </row>
    <row r="371" spans="1:12" x14ac:dyDescent="0.25">
      <c r="A371" s="4" t="s">
        <v>2595</v>
      </c>
      <c r="B371" s="2" t="s">
        <v>1160</v>
      </c>
      <c r="C371" s="3">
        <v>1</v>
      </c>
      <c r="D371" s="5">
        <v>69.5</v>
      </c>
      <c r="E371" s="3">
        <v>100055239</v>
      </c>
      <c r="F371" s="2" t="s">
        <v>74</v>
      </c>
      <c r="G371" s="6" t="s">
        <v>2208</v>
      </c>
      <c r="H371" s="2" t="s">
        <v>386</v>
      </c>
      <c r="I371" s="2" t="s">
        <v>195</v>
      </c>
      <c r="J371" s="2" t="s">
        <v>19</v>
      </c>
      <c r="K371" s="2" t="s">
        <v>34</v>
      </c>
      <c r="L371" s="7" t="str">
        <f>HYPERLINK("http://slimages.macys.com/is/image/MCY/12793856 ")</f>
        <v xml:space="preserve">http://slimages.macys.com/is/image/MCY/12793856 </v>
      </c>
    </row>
    <row r="372" spans="1:12" ht="24.75" x14ac:dyDescent="0.25">
      <c r="A372" s="4" t="s">
        <v>3771</v>
      </c>
      <c r="B372" s="2" t="s">
        <v>1174</v>
      </c>
      <c r="C372" s="3">
        <v>1</v>
      </c>
      <c r="D372" s="5">
        <v>34.5</v>
      </c>
      <c r="E372" s="3" t="s">
        <v>1175</v>
      </c>
      <c r="F372" s="2" t="s">
        <v>74</v>
      </c>
      <c r="G372" s="6"/>
      <c r="H372" s="2" t="s">
        <v>228</v>
      </c>
      <c r="I372" s="2" t="s">
        <v>195</v>
      </c>
      <c r="J372" s="2" t="s">
        <v>19</v>
      </c>
      <c r="K372" s="2" t="s">
        <v>648</v>
      </c>
      <c r="L372" s="7" t="str">
        <f>HYPERLINK("http://slimages.macys.com/is/image/MCY/13120794 ")</f>
        <v xml:space="preserve">http://slimages.macys.com/is/image/MCY/13120794 </v>
      </c>
    </row>
    <row r="373" spans="1:12" ht="24.75" x14ac:dyDescent="0.25">
      <c r="A373" s="4" t="s">
        <v>2596</v>
      </c>
      <c r="B373" s="2" t="s">
        <v>1199</v>
      </c>
      <c r="C373" s="3">
        <v>1</v>
      </c>
      <c r="D373" s="5">
        <v>37.130000000000003</v>
      </c>
      <c r="E373" s="3">
        <v>100009324</v>
      </c>
      <c r="F373" s="2" t="s">
        <v>33</v>
      </c>
      <c r="G373" s="6" t="s">
        <v>27</v>
      </c>
      <c r="H373" s="2" t="s">
        <v>194</v>
      </c>
      <c r="I373" s="2" t="s">
        <v>207</v>
      </c>
      <c r="J373" s="2" t="s">
        <v>19</v>
      </c>
      <c r="K373" s="2" t="s">
        <v>387</v>
      </c>
      <c r="L373" s="7" t="str">
        <f>HYPERLINK("http://slimages.macys.com/is/image/MCY/11535562 ")</f>
        <v xml:space="preserve">http://slimages.macys.com/is/image/MCY/11535562 </v>
      </c>
    </row>
    <row r="374" spans="1:12" ht="24.75" x14ac:dyDescent="0.25">
      <c r="A374" s="4" t="s">
        <v>3772</v>
      </c>
      <c r="B374" s="2" t="s">
        <v>1106</v>
      </c>
      <c r="C374" s="3">
        <v>2</v>
      </c>
      <c r="D374" s="5">
        <v>33.380000000000003</v>
      </c>
      <c r="E374" s="3" t="s">
        <v>3773</v>
      </c>
      <c r="F374" s="2" t="s">
        <v>33</v>
      </c>
      <c r="G374" s="6" t="s">
        <v>154</v>
      </c>
      <c r="H374" s="2" t="s">
        <v>194</v>
      </c>
      <c r="I374" s="2" t="s">
        <v>207</v>
      </c>
      <c r="J374" s="2" t="s">
        <v>19</v>
      </c>
      <c r="K374" s="2" t="s">
        <v>387</v>
      </c>
      <c r="L374" s="7" t="str">
        <f>HYPERLINK("http://slimages.macys.com/is/image/MCY/11535562 ")</f>
        <v xml:space="preserve">http://slimages.macys.com/is/image/MCY/11535562 </v>
      </c>
    </row>
    <row r="375" spans="1:12" ht="24.75" x14ac:dyDescent="0.25">
      <c r="A375" s="4" t="s">
        <v>3774</v>
      </c>
      <c r="B375" s="2" t="s">
        <v>1106</v>
      </c>
      <c r="C375" s="3">
        <v>1</v>
      </c>
      <c r="D375" s="5">
        <v>33.380000000000003</v>
      </c>
      <c r="E375" s="3" t="s">
        <v>3775</v>
      </c>
      <c r="F375" s="2" t="s">
        <v>417</v>
      </c>
      <c r="G375" s="6" t="s">
        <v>156</v>
      </c>
      <c r="H375" s="2" t="s">
        <v>194</v>
      </c>
      <c r="I375" s="2" t="s">
        <v>207</v>
      </c>
      <c r="J375" s="2" t="s">
        <v>19</v>
      </c>
      <c r="K375" s="2" t="s">
        <v>387</v>
      </c>
      <c r="L375" s="7" t="str">
        <f>HYPERLINK("http://slimages.macys.com/is/image/MCY/11535562 ")</f>
        <v xml:space="preserve">http://slimages.macys.com/is/image/MCY/11535562 </v>
      </c>
    </row>
    <row r="376" spans="1:12" ht="24.75" x14ac:dyDescent="0.25">
      <c r="A376" s="4" t="s">
        <v>3776</v>
      </c>
      <c r="B376" s="2" t="s">
        <v>1183</v>
      </c>
      <c r="C376" s="3">
        <v>2</v>
      </c>
      <c r="D376" s="5">
        <v>34.5</v>
      </c>
      <c r="E376" s="3" t="s">
        <v>3777</v>
      </c>
      <c r="F376" s="2" t="s">
        <v>74</v>
      </c>
      <c r="G376" s="6" t="s">
        <v>156</v>
      </c>
      <c r="H376" s="2" t="s">
        <v>228</v>
      </c>
      <c r="I376" s="2" t="s">
        <v>863</v>
      </c>
      <c r="J376" s="2" t="s">
        <v>19</v>
      </c>
      <c r="K376" s="2" t="s">
        <v>230</v>
      </c>
      <c r="L376" s="7" t="str">
        <f>HYPERLINK("http://slimages.macys.com/is/image/MCY/3623515 ")</f>
        <v xml:space="preserve">http://slimages.macys.com/is/image/MCY/3623515 </v>
      </c>
    </row>
    <row r="377" spans="1:12" ht="24.75" x14ac:dyDescent="0.25">
      <c r="A377" s="4" t="s">
        <v>2603</v>
      </c>
      <c r="B377" s="2" t="s">
        <v>1183</v>
      </c>
      <c r="C377" s="3">
        <v>1</v>
      </c>
      <c r="D377" s="5">
        <v>34.5</v>
      </c>
      <c r="E377" s="3" t="s">
        <v>2602</v>
      </c>
      <c r="F377" s="2" t="s">
        <v>26</v>
      </c>
      <c r="G377" s="6" t="s">
        <v>154</v>
      </c>
      <c r="H377" s="2" t="s">
        <v>228</v>
      </c>
      <c r="I377" s="2" t="s">
        <v>195</v>
      </c>
      <c r="J377" s="2" t="s">
        <v>19</v>
      </c>
      <c r="K377" s="2" t="s">
        <v>353</v>
      </c>
      <c r="L377" s="7" t="str">
        <f>HYPERLINK("http://slimages.macys.com/is/image/MCY/12316457 ")</f>
        <v xml:space="preserve">http://slimages.macys.com/is/image/MCY/12316457 </v>
      </c>
    </row>
    <row r="378" spans="1:12" ht="24.75" x14ac:dyDescent="0.25">
      <c r="A378" s="4" t="s">
        <v>3778</v>
      </c>
      <c r="B378" s="2" t="s">
        <v>1188</v>
      </c>
      <c r="C378" s="3">
        <v>1</v>
      </c>
      <c r="D378" s="5">
        <v>44.63</v>
      </c>
      <c r="E378" s="3" t="s">
        <v>1189</v>
      </c>
      <c r="F378" s="2" t="s">
        <v>64</v>
      </c>
      <c r="G378" s="6" t="s">
        <v>154</v>
      </c>
      <c r="H378" s="2" t="s">
        <v>194</v>
      </c>
      <c r="I378" s="2" t="s">
        <v>195</v>
      </c>
      <c r="J378" s="2" t="s">
        <v>19</v>
      </c>
      <c r="K378" s="2" t="s">
        <v>1108</v>
      </c>
      <c r="L378" s="7" t="str">
        <f>HYPERLINK("http://slimages.macys.com/is/image/MCY/12064024 ")</f>
        <v xml:space="preserve">http://slimages.macys.com/is/image/MCY/12064024 </v>
      </c>
    </row>
    <row r="379" spans="1:12" ht="24.75" x14ac:dyDescent="0.25">
      <c r="A379" s="4" t="s">
        <v>1187</v>
      </c>
      <c r="B379" s="2" t="s">
        <v>1188</v>
      </c>
      <c r="C379" s="3">
        <v>2</v>
      </c>
      <c r="D379" s="5">
        <v>44.63</v>
      </c>
      <c r="E379" s="3" t="s">
        <v>1189</v>
      </c>
      <c r="F379" s="2" t="s">
        <v>38</v>
      </c>
      <c r="G379" s="6" t="s">
        <v>234</v>
      </c>
      <c r="H379" s="2" t="s">
        <v>194</v>
      </c>
      <c r="I379" s="2" t="s">
        <v>195</v>
      </c>
      <c r="J379" s="2" t="s">
        <v>19</v>
      </c>
      <c r="K379" s="2" t="s">
        <v>1108</v>
      </c>
      <c r="L379" s="7" t="str">
        <f>HYPERLINK("http://slimages.macys.com/is/image/MCY/12034216 ")</f>
        <v xml:space="preserve">http://slimages.macys.com/is/image/MCY/12034216 </v>
      </c>
    </row>
    <row r="380" spans="1:12" ht="24.75" x14ac:dyDescent="0.25">
      <c r="A380" s="4" t="s">
        <v>3779</v>
      </c>
      <c r="B380" s="2" t="s">
        <v>2611</v>
      </c>
      <c r="C380" s="3">
        <v>1</v>
      </c>
      <c r="D380" s="5">
        <v>37.130000000000003</v>
      </c>
      <c r="E380" s="3" t="s">
        <v>2612</v>
      </c>
      <c r="F380" s="2" t="s">
        <v>494</v>
      </c>
      <c r="G380" s="6" t="s">
        <v>156</v>
      </c>
      <c r="H380" s="2" t="s">
        <v>194</v>
      </c>
      <c r="I380" s="2" t="s">
        <v>229</v>
      </c>
      <c r="J380" s="2" t="s">
        <v>19</v>
      </c>
      <c r="K380" s="2" t="s">
        <v>253</v>
      </c>
      <c r="L380" s="7" t="str">
        <f>HYPERLINK("http://slimages.macys.com/is/image/MCY/11269044 ")</f>
        <v xml:space="preserve">http://slimages.macys.com/is/image/MCY/11269044 </v>
      </c>
    </row>
    <row r="381" spans="1:12" ht="24.75" x14ac:dyDescent="0.25">
      <c r="A381" s="4" t="s">
        <v>3780</v>
      </c>
      <c r="B381" s="2" t="s">
        <v>2611</v>
      </c>
      <c r="C381" s="3">
        <v>1</v>
      </c>
      <c r="D381" s="5">
        <v>37.130000000000003</v>
      </c>
      <c r="E381" s="3" t="s">
        <v>2612</v>
      </c>
      <c r="F381" s="2" t="s">
        <v>494</v>
      </c>
      <c r="G381" s="6" t="s">
        <v>154</v>
      </c>
      <c r="H381" s="2" t="s">
        <v>194</v>
      </c>
      <c r="I381" s="2" t="s">
        <v>229</v>
      </c>
      <c r="J381" s="2" t="s">
        <v>19</v>
      </c>
      <c r="K381" s="2" t="s">
        <v>253</v>
      </c>
      <c r="L381" s="7" t="str">
        <f>HYPERLINK("http://slimages.macys.com/is/image/MCY/11269044 ")</f>
        <v xml:space="preserve">http://slimages.macys.com/is/image/MCY/11269044 </v>
      </c>
    </row>
    <row r="382" spans="1:12" ht="24.75" x14ac:dyDescent="0.25">
      <c r="A382" s="4" t="s">
        <v>3781</v>
      </c>
      <c r="B382" s="2" t="s">
        <v>1203</v>
      </c>
      <c r="C382" s="3">
        <v>1</v>
      </c>
      <c r="D382" s="5">
        <v>34.5</v>
      </c>
      <c r="E382" s="3" t="s">
        <v>1204</v>
      </c>
      <c r="F382" s="2" t="s">
        <v>506</v>
      </c>
      <c r="G382" s="6" t="s">
        <v>802</v>
      </c>
      <c r="H382" s="2" t="s">
        <v>426</v>
      </c>
      <c r="I382" s="2" t="s">
        <v>195</v>
      </c>
      <c r="J382" s="2" t="s">
        <v>19</v>
      </c>
      <c r="K382" s="2" t="s">
        <v>803</v>
      </c>
      <c r="L382" s="7" t="str">
        <f>HYPERLINK("http://slimages.macys.com/is/image/MCY/13683354 ")</f>
        <v xml:space="preserve">http://slimages.macys.com/is/image/MCY/13683354 </v>
      </c>
    </row>
    <row r="383" spans="1:12" ht="24.75" x14ac:dyDescent="0.25">
      <c r="A383" s="4" t="s">
        <v>3782</v>
      </c>
      <c r="B383" s="2" t="s">
        <v>1203</v>
      </c>
      <c r="C383" s="3">
        <v>1</v>
      </c>
      <c r="D383" s="5">
        <v>34.5</v>
      </c>
      <c r="E383" s="3" t="s">
        <v>1204</v>
      </c>
      <c r="F383" s="2" t="s">
        <v>506</v>
      </c>
      <c r="G383" s="6" t="s">
        <v>126</v>
      </c>
      <c r="H383" s="2" t="s">
        <v>426</v>
      </c>
      <c r="I383" s="2" t="s">
        <v>195</v>
      </c>
      <c r="J383" s="2" t="s">
        <v>19</v>
      </c>
      <c r="K383" s="2" t="s">
        <v>803</v>
      </c>
      <c r="L383" s="7" t="str">
        <f>HYPERLINK("http://slimages.macys.com/is/image/MCY/13683354 ")</f>
        <v xml:space="preserve">http://slimages.macys.com/is/image/MCY/13683354 </v>
      </c>
    </row>
    <row r="384" spans="1:12" ht="24.75" x14ac:dyDescent="0.25">
      <c r="A384" s="4" t="s">
        <v>3783</v>
      </c>
      <c r="B384" s="2" t="s">
        <v>1203</v>
      </c>
      <c r="C384" s="3">
        <v>1</v>
      </c>
      <c r="D384" s="5">
        <v>34.5</v>
      </c>
      <c r="E384" s="3" t="s">
        <v>1204</v>
      </c>
      <c r="F384" s="2" t="s">
        <v>506</v>
      </c>
      <c r="G384" s="6" t="s">
        <v>238</v>
      </c>
      <c r="H384" s="2" t="s">
        <v>426</v>
      </c>
      <c r="I384" s="2" t="s">
        <v>195</v>
      </c>
      <c r="J384" s="2" t="s">
        <v>19</v>
      </c>
      <c r="K384" s="2" t="s">
        <v>648</v>
      </c>
      <c r="L384" s="7" t="str">
        <f>HYPERLINK("http://slimages.macys.com/is/image/MCY/12316757 ")</f>
        <v xml:space="preserve">http://slimages.macys.com/is/image/MCY/12316757 </v>
      </c>
    </row>
    <row r="385" spans="1:12" ht="24.75" x14ac:dyDescent="0.25">
      <c r="A385" s="4" t="s">
        <v>3784</v>
      </c>
      <c r="B385" s="2" t="s">
        <v>1199</v>
      </c>
      <c r="C385" s="3">
        <v>1</v>
      </c>
      <c r="D385" s="5">
        <v>37.130000000000003</v>
      </c>
      <c r="E385" s="3">
        <v>100009324</v>
      </c>
      <c r="F385" s="2" t="s">
        <v>74</v>
      </c>
      <c r="G385" s="6" t="s">
        <v>27</v>
      </c>
      <c r="H385" s="2" t="s">
        <v>194</v>
      </c>
      <c r="I385" s="2" t="s">
        <v>195</v>
      </c>
      <c r="J385" s="2" t="s">
        <v>19</v>
      </c>
      <c r="K385" s="2" t="s">
        <v>648</v>
      </c>
      <c r="L385" s="7" t="str">
        <f>HYPERLINK("http://slimages.macys.com/is/image/MCY/12316757 ")</f>
        <v xml:space="preserve">http://slimages.macys.com/is/image/MCY/12316757 </v>
      </c>
    </row>
    <row r="386" spans="1:12" ht="24.75" x14ac:dyDescent="0.25">
      <c r="A386" s="4" t="s">
        <v>1210</v>
      </c>
      <c r="B386" s="2" t="s">
        <v>1199</v>
      </c>
      <c r="C386" s="3">
        <v>1</v>
      </c>
      <c r="D386" s="5">
        <v>37.130000000000003</v>
      </c>
      <c r="E386" s="3">
        <v>100009324</v>
      </c>
      <c r="F386" s="2" t="s">
        <v>26</v>
      </c>
      <c r="G386" s="6" t="s">
        <v>22</v>
      </c>
      <c r="H386" s="2" t="s">
        <v>194</v>
      </c>
      <c r="I386" s="2" t="s">
        <v>229</v>
      </c>
      <c r="J386" s="2" t="s">
        <v>19</v>
      </c>
      <c r="K386" s="2" t="s">
        <v>253</v>
      </c>
      <c r="L386" s="7" t="str">
        <f>HYPERLINK("http://slimages.macys.com/is/image/MCY/13535247 ")</f>
        <v xml:space="preserve">http://slimages.macys.com/is/image/MCY/13535247 </v>
      </c>
    </row>
    <row r="387" spans="1:12" ht="24.75" x14ac:dyDescent="0.25">
      <c r="A387" s="4" t="s">
        <v>3785</v>
      </c>
      <c r="B387" s="2" t="s">
        <v>1199</v>
      </c>
      <c r="C387" s="3">
        <v>1</v>
      </c>
      <c r="D387" s="5">
        <v>37.130000000000003</v>
      </c>
      <c r="E387" s="3">
        <v>100009324</v>
      </c>
      <c r="F387" s="2" t="s">
        <v>1234</v>
      </c>
      <c r="G387" s="6" t="s">
        <v>16</v>
      </c>
      <c r="H387" s="2" t="s">
        <v>194</v>
      </c>
      <c r="I387" s="2" t="s">
        <v>229</v>
      </c>
      <c r="J387" s="2" t="s">
        <v>19</v>
      </c>
      <c r="K387" s="2" t="s">
        <v>253</v>
      </c>
      <c r="L387" s="7" t="str">
        <f>HYPERLINK("http://slimages.macys.com/is/image/MCY/13535247 ")</f>
        <v xml:space="preserve">http://slimages.macys.com/is/image/MCY/13535247 </v>
      </c>
    </row>
    <row r="388" spans="1:12" ht="24.75" x14ac:dyDescent="0.25">
      <c r="A388" s="4" t="s">
        <v>3786</v>
      </c>
      <c r="B388" s="2" t="s">
        <v>1199</v>
      </c>
      <c r="C388" s="3">
        <v>2</v>
      </c>
      <c r="D388" s="5">
        <v>37.130000000000003</v>
      </c>
      <c r="E388" s="3">
        <v>100009324</v>
      </c>
      <c r="F388" s="2" t="s">
        <v>506</v>
      </c>
      <c r="G388" s="6" t="s">
        <v>16</v>
      </c>
      <c r="H388" s="2" t="s">
        <v>194</v>
      </c>
      <c r="I388" s="2" t="s">
        <v>229</v>
      </c>
      <c r="J388" s="2" t="s">
        <v>19</v>
      </c>
      <c r="K388" s="2" t="s">
        <v>253</v>
      </c>
      <c r="L388" s="7" t="str">
        <f>HYPERLINK("http://slimages.macys.com/is/image/MCY/13535247 ")</f>
        <v xml:space="preserve">http://slimages.macys.com/is/image/MCY/13535247 </v>
      </c>
    </row>
    <row r="389" spans="1:12" ht="24.75" x14ac:dyDescent="0.25">
      <c r="A389" s="4" t="s">
        <v>3787</v>
      </c>
      <c r="B389" s="2" t="s">
        <v>3788</v>
      </c>
      <c r="C389" s="3">
        <v>1</v>
      </c>
      <c r="D389" s="5">
        <v>33.380000000000003</v>
      </c>
      <c r="E389" s="3" t="s">
        <v>3789</v>
      </c>
      <c r="F389" s="2" t="s">
        <v>33</v>
      </c>
      <c r="G389" s="6" t="s">
        <v>181</v>
      </c>
      <c r="H389" s="2" t="s">
        <v>246</v>
      </c>
      <c r="I389" s="2" t="s">
        <v>195</v>
      </c>
      <c r="J389" s="2" t="s">
        <v>19</v>
      </c>
      <c r="K389" s="2" t="s">
        <v>353</v>
      </c>
      <c r="L389" s="7" t="str">
        <f>HYPERLINK("http://slimages.macys.com/is/image/MCY/9404224 ")</f>
        <v xml:space="preserve">http://slimages.macys.com/is/image/MCY/9404224 </v>
      </c>
    </row>
    <row r="390" spans="1:12" ht="24.75" x14ac:dyDescent="0.25">
      <c r="A390" s="4" t="s">
        <v>3790</v>
      </c>
      <c r="B390" s="2" t="s">
        <v>1188</v>
      </c>
      <c r="C390" s="3">
        <v>2</v>
      </c>
      <c r="D390" s="5">
        <v>44.63</v>
      </c>
      <c r="E390" s="3" t="s">
        <v>3791</v>
      </c>
      <c r="F390" s="2" t="s">
        <v>125</v>
      </c>
      <c r="G390" s="6"/>
      <c r="H390" s="2" t="s">
        <v>312</v>
      </c>
      <c r="I390" s="2" t="s">
        <v>195</v>
      </c>
      <c r="J390" s="2" t="s">
        <v>19</v>
      </c>
      <c r="K390" s="2" t="s">
        <v>353</v>
      </c>
      <c r="L390" s="7" t="str">
        <f>HYPERLINK("http://slimages.macys.com/is/image/MCY/9404224 ")</f>
        <v xml:space="preserve">http://slimages.macys.com/is/image/MCY/9404224 </v>
      </c>
    </row>
    <row r="391" spans="1:12" ht="24.75" x14ac:dyDescent="0.25">
      <c r="A391" s="4" t="s">
        <v>3792</v>
      </c>
      <c r="B391" s="2" t="s">
        <v>3793</v>
      </c>
      <c r="C391" s="3">
        <v>1</v>
      </c>
      <c r="D391" s="5">
        <v>65</v>
      </c>
      <c r="E391" s="3" t="s">
        <v>3794</v>
      </c>
      <c r="F391" s="2" t="s">
        <v>74</v>
      </c>
      <c r="G391" s="6"/>
      <c r="H391" s="2" t="s">
        <v>447</v>
      </c>
      <c r="I391" s="2" t="s">
        <v>195</v>
      </c>
      <c r="J391" s="2" t="s">
        <v>19</v>
      </c>
      <c r="K391" s="2" t="s">
        <v>353</v>
      </c>
      <c r="L391" s="7" t="str">
        <f>HYPERLINK("http://slimages.macys.com/is/image/MCY/9404224 ")</f>
        <v xml:space="preserve">http://slimages.macys.com/is/image/MCY/9404224 </v>
      </c>
    </row>
    <row r="392" spans="1:12" ht="24.75" x14ac:dyDescent="0.25">
      <c r="A392" s="4" t="s">
        <v>3795</v>
      </c>
      <c r="B392" s="2" t="s">
        <v>3796</v>
      </c>
      <c r="C392" s="3">
        <v>1</v>
      </c>
      <c r="D392" s="5">
        <v>65</v>
      </c>
      <c r="E392" s="3" t="s">
        <v>3797</v>
      </c>
      <c r="F392" s="2" t="s">
        <v>572</v>
      </c>
      <c r="G392" s="6" t="s">
        <v>791</v>
      </c>
      <c r="H392" s="2" t="s">
        <v>447</v>
      </c>
      <c r="I392" s="2" t="s">
        <v>195</v>
      </c>
      <c r="J392" s="2" t="s">
        <v>19</v>
      </c>
      <c r="K392" s="2" t="s">
        <v>353</v>
      </c>
      <c r="L392" s="7" t="str">
        <f>HYPERLINK("http://slimages.macys.com/is/image/MCY/9404224 ")</f>
        <v xml:space="preserve">http://slimages.macys.com/is/image/MCY/9404224 </v>
      </c>
    </row>
    <row r="393" spans="1:12" ht="24.75" x14ac:dyDescent="0.25">
      <c r="A393" s="4" t="s">
        <v>1225</v>
      </c>
      <c r="B393" s="2" t="s">
        <v>1222</v>
      </c>
      <c r="C393" s="3">
        <v>1</v>
      </c>
      <c r="D393" s="5">
        <v>37.130000000000003</v>
      </c>
      <c r="E393" s="3" t="s">
        <v>1223</v>
      </c>
      <c r="F393" s="2" t="s">
        <v>26</v>
      </c>
      <c r="G393" s="6" t="s">
        <v>234</v>
      </c>
      <c r="H393" s="2" t="s">
        <v>194</v>
      </c>
      <c r="I393" s="2" t="s">
        <v>189</v>
      </c>
      <c r="J393" s="2" t="s">
        <v>19</v>
      </c>
      <c r="K393" s="2" t="s">
        <v>160</v>
      </c>
      <c r="L393" s="7" t="str">
        <f>HYPERLINK("http://slimages.macys.com/is/image/MCY/10679307 ")</f>
        <v xml:space="preserve">http://slimages.macys.com/is/image/MCY/10679307 </v>
      </c>
    </row>
    <row r="394" spans="1:12" ht="24.75" x14ac:dyDescent="0.25">
      <c r="A394" s="4" t="s">
        <v>3798</v>
      </c>
      <c r="B394" s="2" t="s">
        <v>1222</v>
      </c>
      <c r="C394" s="3">
        <v>1</v>
      </c>
      <c r="D394" s="5">
        <v>37.130000000000003</v>
      </c>
      <c r="E394" s="3" t="s">
        <v>1223</v>
      </c>
      <c r="F394" s="2" t="s">
        <v>26</v>
      </c>
      <c r="G394" s="6" t="s">
        <v>200</v>
      </c>
      <c r="H394" s="2" t="s">
        <v>194</v>
      </c>
      <c r="I394" s="2" t="s">
        <v>195</v>
      </c>
      <c r="J394" s="2" t="s">
        <v>19</v>
      </c>
      <c r="K394" s="2" t="s">
        <v>247</v>
      </c>
      <c r="L394" s="7" t="str">
        <f>HYPERLINK("http://slimages.macys.com/is/image/MCY/12280062 ")</f>
        <v xml:space="preserve">http://slimages.macys.com/is/image/MCY/12280062 </v>
      </c>
    </row>
    <row r="395" spans="1:12" ht="24.75" x14ac:dyDescent="0.25">
      <c r="A395" s="4" t="s">
        <v>3799</v>
      </c>
      <c r="B395" s="2" t="s">
        <v>1222</v>
      </c>
      <c r="C395" s="3">
        <v>1</v>
      </c>
      <c r="D395" s="5">
        <v>37.130000000000003</v>
      </c>
      <c r="E395" s="3" t="s">
        <v>1223</v>
      </c>
      <c r="F395" s="2" t="s">
        <v>26</v>
      </c>
      <c r="G395" s="6" t="s">
        <v>156</v>
      </c>
      <c r="H395" s="2" t="s">
        <v>194</v>
      </c>
      <c r="I395" s="2" t="s">
        <v>792</v>
      </c>
      <c r="J395" s="2" t="s">
        <v>19</v>
      </c>
      <c r="K395" s="2" t="s">
        <v>160</v>
      </c>
      <c r="L395" s="7" t="str">
        <f>HYPERLINK("http://slimages.macys.com/is/image/MCY/15173570 ")</f>
        <v xml:space="preserve">http://slimages.macys.com/is/image/MCY/15173570 </v>
      </c>
    </row>
    <row r="396" spans="1:12" ht="24.75" x14ac:dyDescent="0.25">
      <c r="A396" s="4" t="s">
        <v>3800</v>
      </c>
      <c r="B396" s="2" t="s">
        <v>3801</v>
      </c>
      <c r="C396" s="3">
        <v>1</v>
      </c>
      <c r="D396" s="5">
        <v>27.99</v>
      </c>
      <c r="E396" s="3" t="s">
        <v>3802</v>
      </c>
      <c r="F396" s="2" t="s">
        <v>413</v>
      </c>
      <c r="G396" s="6" t="s">
        <v>154</v>
      </c>
      <c r="H396" s="2" t="s">
        <v>1522</v>
      </c>
      <c r="I396" s="2" t="s">
        <v>792</v>
      </c>
      <c r="J396" s="2" t="s">
        <v>19</v>
      </c>
      <c r="K396" s="2" t="s">
        <v>160</v>
      </c>
      <c r="L396" s="7" t="str">
        <f>HYPERLINK("http://slimages.macys.com/is/image/MCY/14448546 ")</f>
        <v xml:space="preserve">http://slimages.macys.com/is/image/MCY/14448546 </v>
      </c>
    </row>
    <row r="397" spans="1:12" ht="24.75" x14ac:dyDescent="0.25">
      <c r="A397" s="4" t="s">
        <v>3803</v>
      </c>
      <c r="B397" s="2" t="s">
        <v>3804</v>
      </c>
      <c r="C397" s="3">
        <v>1</v>
      </c>
      <c r="D397" s="5">
        <v>37.130000000000003</v>
      </c>
      <c r="E397" s="3">
        <v>100015976</v>
      </c>
      <c r="F397" s="2" t="s">
        <v>57</v>
      </c>
      <c r="G397" s="6" t="s">
        <v>245</v>
      </c>
      <c r="H397" s="2" t="s">
        <v>246</v>
      </c>
      <c r="I397" s="2" t="s">
        <v>580</v>
      </c>
      <c r="J397" s="2" t="s">
        <v>19</v>
      </c>
      <c r="K397" s="2" t="s">
        <v>247</v>
      </c>
      <c r="L397" s="7" t="str">
        <f>HYPERLINK("http://slimages.macys.com/is/image/MCY/12950179 ")</f>
        <v xml:space="preserve">http://slimages.macys.com/is/image/MCY/12950179 </v>
      </c>
    </row>
    <row r="398" spans="1:12" ht="24.75" x14ac:dyDescent="0.25">
      <c r="A398" s="4" t="s">
        <v>3805</v>
      </c>
      <c r="B398" s="2" t="s">
        <v>1244</v>
      </c>
      <c r="C398" s="3">
        <v>1</v>
      </c>
      <c r="D398" s="5">
        <v>37.130000000000003</v>
      </c>
      <c r="E398" s="3">
        <v>100058183</v>
      </c>
      <c r="F398" s="2" t="s">
        <v>26</v>
      </c>
      <c r="G398" s="6" t="s">
        <v>65</v>
      </c>
      <c r="H398" s="2" t="s">
        <v>194</v>
      </c>
      <c r="I398" s="2" t="s">
        <v>580</v>
      </c>
      <c r="J398" s="2" t="s">
        <v>19</v>
      </c>
      <c r="K398" s="2" t="s">
        <v>247</v>
      </c>
      <c r="L398" s="7" t="str">
        <f>HYPERLINK("http://slimages.macys.com/is/image/MCY/12950179 ")</f>
        <v xml:space="preserve">http://slimages.macys.com/is/image/MCY/12950179 </v>
      </c>
    </row>
    <row r="399" spans="1:12" ht="24.75" x14ac:dyDescent="0.25">
      <c r="A399" s="4" t="s">
        <v>2643</v>
      </c>
      <c r="B399" s="2" t="s">
        <v>1244</v>
      </c>
      <c r="C399" s="3">
        <v>2</v>
      </c>
      <c r="D399" s="5">
        <v>37.130000000000003</v>
      </c>
      <c r="E399" s="3">
        <v>100058183</v>
      </c>
      <c r="F399" s="2" t="s">
        <v>26</v>
      </c>
      <c r="G399" s="6" t="s">
        <v>16</v>
      </c>
      <c r="H399" s="2" t="s">
        <v>194</v>
      </c>
      <c r="I399" s="2" t="s">
        <v>580</v>
      </c>
      <c r="J399" s="2" t="s">
        <v>19</v>
      </c>
      <c r="K399" s="2" t="s">
        <v>247</v>
      </c>
      <c r="L399" s="7" t="str">
        <f>HYPERLINK("http://slimages.macys.com/is/image/MCY/12950179 ")</f>
        <v xml:space="preserve">http://slimages.macys.com/is/image/MCY/12950179 </v>
      </c>
    </row>
    <row r="400" spans="1:12" ht="24.75" x14ac:dyDescent="0.25">
      <c r="A400" s="4" t="s">
        <v>3806</v>
      </c>
      <c r="B400" s="2" t="s">
        <v>1244</v>
      </c>
      <c r="C400" s="3">
        <v>1</v>
      </c>
      <c r="D400" s="5">
        <v>37.130000000000003</v>
      </c>
      <c r="E400" s="3">
        <v>100058183</v>
      </c>
      <c r="F400" s="2" t="s">
        <v>15</v>
      </c>
      <c r="G400" s="6" t="s">
        <v>141</v>
      </c>
      <c r="H400" s="2" t="s">
        <v>194</v>
      </c>
      <c r="I400" s="2" t="s">
        <v>1469</v>
      </c>
      <c r="J400" s="2" t="s">
        <v>19</v>
      </c>
      <c r="K400" s="2" t="s">
        <v>353</v>
      </c>
      <c r="L400" s="7" t="str">
        <f>HYPERLINK("http://slimages.macys.com/is/image/MCY/11029726 ")</f>
        <v xml:space="preserve">http://slimages.macys.com/is/image/MCY/11029726 </v>
      </c>
    </row>
    <row r="401" spans="1:12" ht="24.75" x14ac:dyDescent="0.25">
      <c r="A401" s="4" t="s">
        <v>3807</v>
      </c>
      <c r="B401" s="2" t="s">
        <v>1327</v>
      </c>
      <c r="C401" s="3">
        <v>1</v>
      </c>
      <c r="D401" s="5">
        <v>34.880000000000003</v>
      </c>
      <c r="E401" s="3" t="s">
        <v>3808</v>
      </c>
      <c r="F401" s="2" t="s">
        <v>506</v>
      </c>
      <c r="G401" s="6" t="s">
        <v>112</v>
      </c>
      <c r="H401" s="2" t="s">
        <v>194</v>
      </c>
      <c r="I401" s="2" t="s">
        <v>189</v>
      </c>
      <c r="J401" s="2" t="s">
        <v>19</v>
      </c>
      <c r="K401" s="2" t="s">
        <v>648</v>
      </c>
      <c r="L401" s="7" t="str">
        <f>HYPERLINK("http://slimages.macys.com/is/image/MCY/9557334 ")</f>
        <v xml:space="preserve">http://slimages.macys.com/is/image/MCY/9557334 </v>
      </c>
    </row>
    <row r="402" spans="1:12" ht="24.75" x14ac:dyDescent="0.25">
      <c r="A402" s="4" t="s">
        <v>3809</v>
      </c>
      <c r="B402" s="2" t="s">
        <v>1244</v>
      </c>
      <c r="C402" s="3">
        <v>1</v>
      </c>
      <c r="D402" s="5">
        <v>37.130000000000003</v>
      </c>
      <c r="E402" s="3">
        <v>100058183</v>
      </c>
      <c r="F402" s="2" t="s">
        <v>15</v>
      </c>
      <c r="G402" s="6" t="s">
        <v>65</v>
      </c>
      <c r="H402" s="2" t="s">
        <v>194</v>
      </c>
      <c r="I402" s="2" t="s">
        <v>195</v>
      </c>
      <c r="J402" s="2" t="s">
        <v>19</v>
      </c>
      <c r="K402" s="2" t="s">
        <v>353</v>
      </c>
      <c r="L402" s="7" t="str">
        <f>HYPERLINK("http://slimages.macys.com/is/image/MCY/12793647 ")</f>
        <v xml:space="preserve">http://slimages.macys.com/is/image/MCY/12793647 </v>
      </c>
    </row>
    <row r="403" spans="1:12" ht="24.75" x14ac:dyDescent="0.25">
      <c r="A403" s="4" t="s">
        <v>3810</v>
      </c>
      <c r="B403" s="2" t="s">
        <v>1244</v>
      </c>
      <c r="C403" s="3">
        <v>1</v>
      </c>
      <c r="D403" s="5">
        <v>37.130000000000003</v>
      </c>
      <c r="E403" s="3">
        <v>100058183</v>
      </c>
      <c r="F403" s="2" t="s">
        <v>26</v>
      </c>
      <c r="G403" s="6" t="s">
        <v>58</v>
      </c>
      <c r="H403" s="2" t="s">
        <v>194</v>
      </c>
      <c r="I403" s="2" t="s">
        <v>195</v>
      </c>
      <c r="J403" s="2" t="s">
        <v>19</v>
      </c>
      <c r="K403" s="2" t="s">
        <v>353</v>
      </c>
      <c r="L403" s="7" t="str">
        <f>HYPERLINK("http://slimages.macys.com/is/image/MCY/12793647 ")</f>
        <v xml:space="preserve">http://slimages.macys.com/is/image/MCY/12793647 </v>
      </c>
    </row>
    <row r="404" spans="1:12" ht="24.75" x14ac:dyDescent="0.25">
      <c r="A404" s="4" t="s">
        <v>2644</v>
      </c>
      <c r="B404" s="2" t="s">
        <v>1244</v>
      </c>
      <c r="C404" s="3">
        <v>3</v>
      </c>
      <c r="D404" s="5">
        <v>37.130000000000003</v>
      </c>
      <c r="E404" s="3">
        <v>100058183</v>
      </c>
      <c r="F404" s="2" t="s">
        <v>15</v>
      </c>
      <c r="G404" s="6" t="s">
        <v>27</v>
      </c>
      <c r="H404" s="2" t="s">
        <v>194</v>
      </c>
      <c r="I404" s="2" t="s">
        <v>195</v>
      </c>
      <c r="J404" s="2" t="s">
        <v>19</v>
      </c>
      <c r="K404" s="2" t="s">
        <v>353</v>
      </c>
      <c r="L404" s="7" t="str">
        <f>HYPERLINK("http://slimages.macys.com/is/image/MCY/12793647 ")</f>
        <v xml:space="preserve">http://slimages.macys.com/is/image/MCY/12793647 </v>
      </c>
    </row>
    <row r="405" spans="1:12" ht="24.75" x14ac:dyDescent="0.25">
      <c r="A405" s="4" t="s">
        <v>3811</v>
      </c>
      <c r="B405" s="2" t="s">
        <v>1244</v>
      </c>
      <c r="C405" s="3">
        <v>1</v>
      </c>
      <c r="D405" s="5">
        <v>37.130000000000003</v>
      </c>
      <c r="E405" s="3">
        <v>100058183</v>
      </c>
      <c r="F405" s="2" t="s">
        <v>26</v>
      </c>
      <c r="G405" s="6" t="s">
        <v>22</v>
      </c>
      <c r="H405" s="2" t="s">
        <v>194</v>
      </c>
      <c r="I405" s="2" t="s">
        <v>195</v>
      </c>
      <c r="J405" s="2" t="s">
        <v>19</v>
      </c>
      <c r="K405" s="2" t="s">
        <v>353</v>
      </c>
      <c r="L405" s="7" t="str">
        <f>HYPERLINK("http://slimages.macys.com/is/image/MCY/12033298 ")</f>
        <v xml:space="preserve">http://slimages.macys.com/is/image/MCY/12033298 </v>
      </c>
    </row>
    <row r="406" spans="1:12" ht="24.75" x14ac:dyDescent="0.25">
      <c r="A406" s="4" t="s">
        <v>1247</v>
      </c>
      <c r="B406" s="2" t="s">
        <v>1232</v>
      </c>
      <c r="C406" s="3">
        <v>1</v>
      </c>
      <c r="D406" s="5">
        <v>34.880000000000003</v>
      </c>
      <c r="E406" s="3" t="s">
        <v>1246</v>
      </c>
      <c r="F406" s="2" t="s">
        <v>74</v>
      </c>
      <c r="G406" s="6" t="s">
        <v>336</v>
      </c>
      <c r="H406" s="2" t="s">
        <v>312</v>
      </c>
      <c r="I406" s="2" t="s">
        <v>195</v>
      </c>
      <c r="J406" s="2" t="s">
        <v>19</v>
      </c>
      <c r="K406" s="2" t="s">
        <v>353</v>
      </c>
      <c r="L406" s="7" t="str">
        <f>HYPERLINK("http://slimages.macys.com/is/image/MCY/12793647 ")</f>
        <v xml:space="preserve">http://slimages.macys.com/is/image/MCY/12793647 </v>
      </c>
    </row>
    <row r="407" spans="1:12" x14ac:dyDescent="0.25">
      <c r="A407" s="4" t="s">
        <v>3812</v>
      </c>
      <c r="B407" s="2" t="s">
        <v>3813</v>
      </c>
      <c r="C407" s="3">
        <v>1</v>
      </c>
      <c r="D407" s="5">
        <v>59.5</v>
      </c>
      <c r="E407" s="3" t="s">
        <v>3814</v>
      </c>
      <c r="F407" s="2" t="s">
        <v>132</v>
      </c>
      <c r="G407" s="6" t="s">
        <v>187</v>
      </c>
      <c r="H407" s="2" t="s">
        <v>206</v>
      </c>
      <c r="I407" s="2" t="s">
        <v>195</v>
      </c>
      <c r="J407" s="2" t="s">
        <v>19</v>
      </c>
      <c r="K407" s="2" t="s">
        <v>353</v>
      </c>
      <c r="L407" s="7" t="str">
        <f>HYPERLINK("http://slimages.macys.com/is/image/MCY/12793647 ")</f>
        <v xml:space="preserve">http://slimages.macys.com/is/image/MCY/12793647 </v>
      </c>
    </row>
    <row r="408" spans="1:12" ht="24.75" x14ac:dyDescent="0.25">
      <c r="A408" s="4" t="s">
        <v>3815</v>
      </c>
      <c r="B408" s="2" t="s">
        <v>1232</v>
      </c>
      <c r="C408" s="3">
        <v>1</v>
      </c>
      <c r="D408" s="5">
        <v>34.880000000000003</v>
      </c>
      <c r="E408" s="3" t="s">
        <v>2649</v>
      </c>
      <c r="F408" s="2" t="s">
        <v>26</v>
      </c>
      <c r="G408" s="6" t="s">
        <v>126</v>
      </c>
      <c r="H408" s="2" t="s">
        <v>312</v>
      </c>
      <c r="I408" s="2" t="s">
        <v>195</v>
      </c>
      <c r="J408" s="2" t="s">
        <v>19</v>
      </c>
      <c r="K408" s="2" t="s">
        <v>353</v>
      </c>
      <c r="L408" s="7" t="str">
        <f>HYPERLINK("http://slimages.macys.com/is/image/MCY/12793647 ")</f>
        <v xml:space="preserve">http://slimages.macys.com/is/image/MCY/12793647 </v>
      </c>
    </row>
    <row r="409" spans="1:12" ht="24.75" x14ac:dyDescent="0.25">
      <c r="A409" s="4" t="s">
        <v>3816</v>
      </c>
      <c r="B409" s="2" t="s">
        <v>3817</v>
      </c>
      <c r="C409" s="3">
        <v>1</v>
      </c>
      <c r="D409" s="5">
        <v>37.130000000000003</v>
      </c>
      <c r="E409" s="3">
        <v>100024600</v>
      </c>
      <c r="F409" s="2" t="s">
        <v>15</v>
      </c>
      <c r="G409" s="6" t="s">
        <v>27</v>
      </c>
      <c r="H409" s="2" t="s">
        <v>194</v>
      </c>
      <c r="I409" s="2" t="s">
        <v>195</v>
      </c>
      <c r="J409" s="2" t="s">
        <v>19</v>
      </c>
      <c r="K409" s="2" t="s">
        <v>353</v>
      </c>
      <c r="L409" s="7" t="str">
        <f>HYPERLINK("http://slimages.macys.com/is/image/MCY/12793647 ")</f>
        <v xml:space="preserve">http://slimages.macys.com/is/image/MCY/12793647 </v>
      </c>
    </row>
    <row r="410" spans="1:12" ht="24.75" x14ac:dyDescent="0.25">
      <c r="A410" s="4" t="s">
        <v>3818</v>
      </c>
      <c r="B410" s="2" t="s">
        <v>1232</v>
      </c>
      <c r="C410" s="3">
        <v>1</v>
      </c>
      <c r="D410" s="5">
        <v>34.880000000000003</v>
      </c>
      <c r="E410" s="3" t="s">
        <v>2649</v>
      </c>
      <c r="F410" s="2" t="s">
        <v>26</v>
      </c>
      <c r="G410" s="6" t="s">
        <v>802</v>
      </c>
      <c r="H410" s="2" t="s">
        <v>312</v>
      </c>
      <c r="I410" s="2" t="s">
        <v>195</v>
      </c>
      <c r="J410" s="2" t="s">
        <v>19</v>
      </c>
      <c r="K410" s="2" t="s">
        <v>353</v>
      </c>
      <c r="L410" s="7" t="str">
        <f>HYPERLINK("http://slimages.macys.com/is/image/MCY/8256708 ")</f>
        <v xml:space="preserve">http://slimages.macys.com/is/image/MCY/8256708 </v>
      </c>
    </row>
    <row r="411" spans="1:12" ht="24.75" x14ac:dyDescent="0.25">
      <c r="A411" s="4" t="s">
        <v>3819</v>
      </c>
      <c r="B411" s="2" t="s">
        <v>3820</v>
      </c>
      <c r="C411" s="3">
        <v>1</v>
      </c>
      <c r="D411" s="5">
        <v>27.99</v>
      </c>
      <c r="E411" s="3" t="s">
        <v>3821</v>
      </c>
      <c r="F411" s="2" t="s">
        <v>94</v>
      </c>
      <c r="G411" s="6" t="s">
        <v>746</v>
      </c>
      <c r="H411" s="2" t="s">
        <v>349</v>
      </c>
      <c r="I411" s="2" t="s">
        <v>207</v>
      </c>
      <c r="J411" s="2" t="s">
        <v>19</v>
      </c>
      <c r="K411" s="2" t="s">
        <v>267</v>
      </c>
      <c r="L411" s="7" t="str">
        <f>HYPERLINK("http://slimages.macys.com/is/image/MCY/13839706 ")</f>
        <v xml:space="preserve">http://slimages.macys.com/is/image/MCY/13839706 </v>
      </c>
    </row>
    <row r="412" spans="1:12" ht="24.75" x14ac:dyDescent="0.25">
      <c r="A412" s="4" t="s">
        <v>3822</v>
      </c>
      <c r="B412" s="2" t="s">
        <v>2655</v>
      </c>
      <c r="C412" s="3">
        <v>1</v>
      </c>
      <c r="D412" s="5">
        <v>27.99</v>
      </c>
      <c r="E412" s="3" t="s">
        <v>2656</v>
      </c>
      <c r="F412" s="2" t="s">
        <v>225</v>
      </c>
      <c r="G412" s="6" t="s">
        <v>165</v>
      </c>
      <c r="H412" s="2" t="s">
        <v>312</v>
      </c>
      <c r="I412" s="2" t="s">
        <v>195</v>
      </c>
      <c r="J412" s="2" t="s">
        <v>19</v>
      </c>
      <c r="K412" s="2" t="s">
        <v>353</v>
      </c>
      <c r="L412" s="7" t="str">
        <f>HYPERLINK("http://slimages.macys.com/is/image/MCY/8256708 ")</f>
        <v xml:space="preserve">http://slimages.macys.com/is/image/MCY/8256708 </v>
      </c>
    </row>
    <row r="413" spans="1:12" ht="24.75" x14ac:dyDescent="0.25">
      <c r="A413" s="4" t="s">
        <v>3823</v>
      </c>
      <c r="B413" s="2" t="s">
        <v>3824</v>
      </c>
      <c r="C413" s="3">
        <v>1</v>
      </c>
      <c r="D413" s="5">
        <v>24.99</v>
      </c>
      <c r="E413" s="3">
        <v>100040731</v>
      </c>
      <c r="F413" s="2" t="s">
        <v>64</v>
      </c>
      <c r="G413" s="6" t="s">
        <v>106</v>
      </c>
      <c r="H413" s="2" t="s">
        <v>228</v>
      </c>
      <c r="I413" s="2" t="s">
        <v>1922</v>
      </c>
      <c r="J413" s="2" t="s">
        <v>19</v>
      </c>
      <c r="K413" s="2" t="s">
        <v>353</v>
      </c>
      <c r="L413" s="7" t="str">
        <f>HYPERLINK("http://slimages.macys.com/is/image/MCY/10189480 ")</f>
        <v xml:space="preserve">http://slimages.macys.com/is/image/MCY/10189480 </v>
      </c>
    </row>
    <row r="414" spans="1:12" ht="24.75" x14ac:dyDescent="0.25">
      <c r="A414" s="4" t="s">
        <v>3825</v>
      </c>
      <c r="B414" s="2" t="s">
        <v>1250</v>
      </c>
      <c r="C414" s="3">
        <v>1</v>
      </c>
      <c r="D414" s="5">
        <v>34.5</v>
      </c>
      <c r="E414" s="3">
        <v>100060489</v>
      </c>
      <c r="F414" s="2" t="s">
        <v>331</v>
      </c>
      <c r="G414" s="6" t="s">
        <v>112</v>
      </c>
      <c r="H414" s="2" t="s">
        <v>228</v>
      </c>
      <c r="I414" s="2" t="s">
        <v>195</v>
      </c>
      <c r="J414" s="2" t="s">
        <v>19</v>
      </c>
      <c r="K414" s="2" t="s">
        <v>353</v>
      </c>
      <c r="L414" s="7" t="str">
        <f>HYPERLINK("http://slimages.macys.com/is/image/MCY/8256708 ")</f>
        <v xml:space="preserve">http://slimages.macys.com/is/image/MCY/8256708 </v>
      </c>
    </row>
    <row r="415" spans="1:12" ht="24.75" x14ac:dyDescent="0.25">
      <c r="A415" s="4" t="s">
        <v>3826</v>
      </c>
      <c r="B415" s="2" t="s">
        <v>1416</v>
      </c>
      <c r="C415" s="3">
        <v>1</v>
      </c>
      <c r="D415" s="5">
        <v>21.99</v>
      </c>
      <c r="E415" s="3" t="s">
        <v>3827</v>
      </c>
      <c r="F415" s="2" t="s">
        <v>1584</v>
      </c>
      <c r="G415" s="6" t="s">
        <v>336</v>
      </c>
      <c r="H415" s="2" t="s">
        <v>312</v>
      </c>
      <c r="I415" s="2" t="s">
        <v>285</v>
      </c>
      <c r="J415" s="2" t="s">
        <v>19</v>
      </c>
      <c r="K415" s="2" t="s">
        <v>3828</v>
      </c>
      <c r="L415" s="7" t="str">
        <f>HYPERLINK("http://slimages.macys.com/is/image/MCY/12659245 ")</f>
        <v xml:space="preserve">http://slimages.macys.com/is/image/MCY/12659245 </v>
      </c>
    </row>
    <row r="416" spans="1:12" ht="36.75" x14ac:dyDescent="0.25">
      <c r="A416" s="4" t="s">
        <v>3829</v>
      </c>
      <c r="B416" s="2" t="s">
        <v>3830</v>
      </c>
      <c r="C416" s="3">
        <v>1</v>
      </c>
      <c r="D416" s="5">
        <v>36.5</v>
      </c>
      <c r="E416" s="3" t="s">
        <v>3831</v>
      </c>
      <c r="F416" s="2" t="s">
        <v>579</v>
      </c>
      <c r="G416" s="6" t="s">
        <v>154</v>
      </c>
      <c r="H416" s="2" t="s">
        <v>194</v>
      </c>
      <c r="I416" s="2" t="s">
        <v>928</v>
      </c>
      <c r="J416" s="2" t="s">
        <v>19</v>
      </c>
      <c r="K416" s="2" t="s">
        <v>2657</v>
      </c>
      <c r="L416" s="7" t="str">
        <f>HYPERLINK("http://slimages.macys.com/is/image/MCY/2910492 ")</f>
        <v xml:space="preserve">http://slimages.macys.com/is/image/MCY/2910492 </v>
      </c>
    </row>
    <row r="417" spans="1:12" ht="24.75" x14ac:dyDescent="0.25">
      <c r="A417" s="4" t="s">
        <v>1252</v>
      </c>
      <c r="B417" s="2" t="s">
        <v>1253</v>
      </c>
      <c r="C417" s="3">
        <v>1</v>
      </c>
      <c r="D417" s="5">
        <v>24.99</v>
      </c>
      <c r="E417" s="3" t="s">
        <v>1254</v>
      </c>
      <c r="F417" s="2" t="s">
        <v>15</v>
      </c>
      <c r="G417" s="6" t="s">
        <v>165</v>
      </c>
      <c r="H417" s="2" t="s">
        <v>426</v>
      </c>
      <c r="I417" s="2" t="s">
        <v>229</v>
      </c>
      <c r="J417" s="2" t="s">
        <v>19</v>
      </c>
      <c r="K417" s="2" t="s">
        <v>253</v>
      </c>
      <c r="L417" s="7" t="str">
        <f>HYPERLINK("http://slimages.macys.com/is/image/MCY/14576308 ")</f>
        <v xml:space="preserve">http://slimages.macys.com/is/image/MCY/14576308 </v>
      </c>
    </row>
    <row r="418" spans="1:12" ht="24.75" x14ac:dyDescent="0.25">
      <c r="A418" s="4" t="s">
        <v>3832</v>
      </c>
      <c r="B418" s="2" t="s">
        <v>3830</v>
      </c>
      <c r="C418" s="3">
        <v>2</v>
      </c>
      <c r="D418" s="5">
        <v>36.5</v>
      </c>
      <c r="E418" s="3" t="s">
        <v>3831</v>
      </c>
      <c r="F418" s="2" t="s">
        <v>579</v>
      </c>
      <c r="G418" s="6" t="s">
        <v>181</v>
      </c>
      <c r="H418" s="2" t="s">
        <v>194</v>
      </c>
      <c r="I418" s="2" t="s">
        <v>229</v>
      </c>
      <c r="J418" s="2" t="s">
        <v>19</v>
      </c>
      <c r="K418" s="2" t="s">
        <v>1251</v>
      </c>
      <c r="L418" s="7" t="str">
        <f>HYPERLINK("http://slimages.macys.com/is/image/MCY/9100235 ")</f>
        <v xml:space="preserve">http://slimages.macys.com/is/image/MCY/9100235 </v>
      </c>
    </row>
    <row r="419" spans="1:12" ht="24.75" x14ac:dyDescent="0.25">
      <c r="A419" s="4" t="s">
        <v>3833</v>
      </c>
      <c r="B419" s="2" t="s">
        <v>1253</v>
      </c>
      <c r="C419" s="3">
        <v>1</v>
      </c>
      <c r="D419" s="5">
        <v>24.99</v>
      </c>
      <c r="E419" s="3" t="s">
        <v>1254</v>
      </c>
      <c r="F419" s="2" t="s">
        <v>15</v>
      </c>
      <c r="G419" s="6" t="s">
        <v>934</v>
      </c>
      <c r="H419" s="2" t="s">
        <v>426</v>
      </c>
      <c r="I419" s="2" t="s">
        <v>195</v>
      </c>
      <c r="J419" s="2" t="s">
        <v>19</v>
      </c>
      <c r="K419" s="2" t="s">
        <v>353</v>
      </c>
      <c r="L419" s="7" t="str">
        <f>HYPERLINK("http://slimages.macys.com/is/image/MCY/16058397 ")</f>
        <v xml:space="preserve">http://slimages.macys.com/is/image/MCY/16058397 </v>
      </c>
    </row>
    <row r="420" spans="1:12" ht="24.75" x14ac:dyDescent="0.25">
      <c r="A420" s="4" t="s">
        <v>3834</v>
      </c>
      <c r="B420" s="2" t="s">
        <v>3830</v>
      </c>
      <c r="C420" s="3">
        <v>1</v>
      </c>
      <c r="D420" s="5">
        <v>36.5</v>
      </c>
      <c r="E420" s="3" t="s">
        <v>3831</v>
      </c>
      <c r="F420" s="2" t="s">
        <v>579</v>
      </c>
      <c r="G420" s="6" t="s">
        <v>234</v>
      </c>
      <c r="H420" s="2" t="s">
        <v>194</v>
      </c>
      <c r="I420" s="2" t="s">
        <v>195</v>
      </c>
      <c r="J420" s="2" t="s">
        <v>19</v>
      </c>
      <c r="K420" s="2" t="s">
        <v>361</v>
      </c>
      <c r="L420" s="7" t="str">
        <f>HYPERLINK("http://slimages.macys.com/is/image/MCY/11937993 ")</f>
        <v xml:space="preserve">http://slimages.macys.com/is/image/MCY/11937993 </v>
      </c>
    </row>
    <row r="421" spans="1:12" ht="24.75" x14ac:dyDescent="0.25">
      <c r="A421" s="4" t="s">
        <v>1258</v>
      </c>
      <c r="B421" s="2" t="s">
        <v>1259</v>
      </c>
      <c r="C421" s="3">
        <v>1</v>
      </c>
      <c r="D421" s="5">
        <v>36.75</v>
      </c>
      <c r="E421" s="3" t="s">
        <v>1260</v>
      </c>
      <c r="F421" s="2" t="s">
        <v>26</v>
      </c>
      <c r="G421" s="6" t="s">
        <v>802</v>
      </c>
      <c r="H421" s="2" t="s">
        <v>426</v>
      </c>
      <c r="I421" s="2" t="s">
        <v>229</v>
      </c>
      <c r="J421" s="2" t="s">
        <v>19</v>
      </c>
      <c r="K421" s="2" t="s">
        <v>253</v>
      </c>
      <c r="L421" s="7" t="str">
        <f>HYPERLINK("http://slimages.macys.com/is/image/MCY/9029356 ")</f>
        <v xml:space="preserve">http://slimages.macys.com/is/image/MCY/9029356 </v>
      </c>
    </row>
    <row r="422" spans="1:12" ht="24.75" x14ac:dyDescent="0.25">
      <c r="A422" s="4" t="s">
        <v>3835</v>
      </c>
      <c r="B422" s="2" t="s">
        <v>1265</v>
      </c>
      <c r="C422" s="3">
        <v>2</v>
      </c>
      <c r="D422" s="5">
        <v>37.130000000000003</v>
      </c>
      <c r="E422" s="3">
        <v>100020742</v>
      </c>
      <c r="F422" s="2" t="s">
        <v>132</v>
      </c>
      <c r="G422" s="6" t="s">
        <v>200</v>
      </c>
      <c r="H422" s="2" t="s">
        <v>194</v>
      </c>
      <c r="I422" s="2" t="s">
        <v>195</v>
      </c>
      <c r="J422" s="2" t="s">
        <v>19</v>
      </c>
      <c r="K422" s="2" t="s">
        <v>361</v>
      </c>
      <c r="L422" s="7" t="str">
        <f>HYPERLINK("http://slimages.macys.com/is/image/MCY/11937993 ")</f>
        <v xml:space="preserve">http://slimages.macys.com/is/image/MCY/11937993 </v>
      </c>
    </row>
    <row r="423" spans="1:12" ht="24.75" x14ac:dyDescent="0.25">
      <c r="A423" s="4" t="s">
        <v>1267</v>
      </c>
      <c r="B423" s="2" t="s">
        <v>1268</v>
      </c>
      <c r="C423" s="3">
        <v>1</v>
      </c>
      <c r="D423" s="5">
        <v>36.5</v>
      </c>
      <c r="E423" s="3" t="s">
        <v>1269</v>
      </c>
      <c r="F423" s="2" t="s">
        <v>111</v>
      </c>
      <c r="G423" s="6" t="s">
        <v>154</v>
      </c>
      <c r="H423" s="2" t="s">
        <v>194</v>
      </c>
      <c r="I423" s="2" t="s">
        <v>229</v>
      </c>
      <c r="J423" s="2" t="s">
        <v>19</v>
      </c>
      <c r="K423" s="2" t="s">
        <v>253</v>
      </c>
      <c r="L423" s="7" t="str">
        <f>HYPERLINK("http://slimages.macys.com/is/image/MCY/9029356 ")</f>
        <v xml:space="preserve">http://slimages.macys.com/is/image/MCY/9029356 </v>
      </c>
    </row>
    <row r="424" spans="1:12" ht="24.75" x14ac:dyDescent="0.25">
      <c r="A424" s="4" t="s">
        <v>3836</v>
      </c>
      <c r="B424" s="2" t="s">
        <v>1268</v>
      </c>
      <c r="C424" s="3">
        <v>2</v>
      </c>
      <c r="D424" s="5">
        <v>36.5</v>
      </c>
      <c r="E424" s="3" t="s">
        <v>1269</v>
      </c>
      <c r="F424" s="2" t="s">
        <v>111</v>
      </c>
      <c r="G424" s="6" t="s">
        <v>156</v>
      </c>
      <c r="H424" s="2" t="s">
        <v>194</v>
      </c>
      <c r="I424" s="2" t="s">
        <v>195</v>
      </c>
      <c r="J424" s="2" t="s">
        <v>19</v>
      </c>
      <c r="K424" s="2" t="s">
        <v>361</v>
      </c>
      <c r="L424" s="7" t="str">
        <f>HYPERLINK("http://slimages.macys.com/is/image/MCY/11937993 ")</f>
        <v xml:space="preserve">http://slimages.macys.com/is/image/MCY/11937993 </v>
      </c>
    </row>
    <row r="425" spans="1:12" ht="24.75" x14ac:dyDescent="0.25">
      <c r="A425" s="4" t="s">
        <v>2666</v>
      </c>
      <c r="B425" s="2" t="s">
        <v>1268</v>
      </c>
      <c r="C425" s="3">
        <v>3</v>
      </c>
      <c r="D425" s="5">
        <v>36.5</v>
      </c>
      <c r="E425" s="3" t="s">
        <v>1269</v>
      </c>
      <c r="F425" s="2" t="s">
        <v>111</v>
      </c>
      <c r="G425" s="6" t="s">
        <v>181</v>
      </c>
      <c r="H425" s="2" t="s">
        <v>194</v>
      </c>
      <c r="I425" s="2" t="s">
        <v>229</v>
      </c>
      <c r="J425" s="2" t="s">
        <v>19</v>
      </c>
      <c r="K425" s="2" t="s">
        <v>253</v>
      </c>
      <c r="L425" s="7" t="str">
        <f>HYPERLINK("http://slimages.macys.com/is/image/MCY/10334558 ")</f>
        <v xml:space="preserve">http://slimages.macys.com/is/image/MCY/10334558 </v>
      </c>
    </row>
    <row r="426" spans="1:12" ht="24.75" x14ac:dyDescent="0.25">
      <c r="A426" s="4" t="s">
        <v>1300</v>
      </c>
      <c r="B426" s="2" t="s">
        <v>1279</v>
      </c>
      <c r="C426" s="3">
        <v>4</v>
      </c>
      <c r="D426" s="5">
        <v>27.99</v>
      </c>
      <c r="E426" s="3" t="s">
        <v>1286</v>
      </c>
      <c r="F426" s="2" t="s">
        <v>506</v>
      </c>
      <c r="G426" s="6" t="s">
        <v>181</v>
      </c>
      <c r="H426" s="2" t="s">
        <v>194</v>
      </c>
      <c r="I426" s="2" t="s">
        <v>503</v>
      </c>
      <c r="J426" s="2" t="s">
        <v>19</v>
      </c>
      <c r="K426" s="2" t="s">
        <v>201</v>
      </c>
      <c r="L426" s="7" t="str">
        <f>HYPERLINK("http://slimages.macys.com/is/image/MCY/12035316 ")</f>
        <v xml:space="preserve">http://slimages.macys.com/is/image/MCY/12035316 </v>
      </c>
    </row>
    <row r="427" spans="1:12" ht="24.75" x14ac:dyDescent="0.25">
      <c r="A427" s="4" t="s">
        <v>3837</v>
      </c>
      <c r="B427" s="2" t="s">
        <v>3838</v>
      </c>
      <c r="C427" s="3">
        <v>1</v>
      </c>
      <c r="D427" s="5">
        <v>27.99</v>
      </c>
      <c r="E427" s="3" t="s">
        <v>3839</v>
      </c>
      <c r="F427" s="2" t="s">
        <v>74</v>
      </c>
      <c r="G427" s="6" t="s">
        <v>154</v>
      </c>
      <c r="H427" s="2" t="s">
        <v>1522</v>
      </c>
      <c r="I427" s="2" t="s">
        <v>195</v>
      </c>
      <c r="J427" s="2" t="s">
        <v>19</v>
      </c>
      <c r="K427" s="2" t="s">
        <v>1108</v>
      </c>
      <c r="L427" s="7" t="str">
        <f>HYPERLINK("http://slimages.macys.com/is/image/MCY/11764670 ")</f>
        <v xml:space="preserve">http://slimages.macys.com/is/image/MCY/11764670 </v>
      </c>
    </row>
    <row r="428" spans="1:12" ht="24.75" x14ac:dyDescent="0.25">
      <c r="A428" s="4" t="s">
        <v>3840</v>
      </c>
      <c r="B428" s="2" t="s">
        <v>1294</v>
      </c>
      <c r="C428" s="3">
        <v>1</v>
      </c>
      <c r="D428" s="5">
        <v>37.130000000000003</v>
      </c>
      <c r="E428" s="3">
        <v>100002345</v>
      </c>
      <c r="F428" s="2" t="s">
        <v>64</v>
      </c>
      <c r="G428" s="6" t="s">
        <v>154</v>
      </c>
      <c r="H428" s="2" t="s">
        <v>284</v>
      </c>
      <c r="I428" s="2" t="s">
        <v>195</v>
      </c>
      <c r="J428" s="2" t="s">
        <v>19</v>
      </c>
      <c r="K428" s="2" t="s">
        <v>1108</v>
      </c>
      <c r="L428" s="7" t="str">
        <f>HYPERLINK("http://slimages.macys.com/is/image/MCY/11764670 ")</f>
        <v xml:space="preserve">http://slimages.macys.com/is/image/MCY/11764670 </v>
      </c>
    </row>
    <row r="429" spans="1:12" ht="24.75" x14ac:dyDescent="0.25">
      <c r="A429" s="4" t="s">
        <v>1287</v>
      </c>
      <c r="B429" s="2" t="s">
        <v>1279</v>
      </c>
      <c r="C429" s="3">
        <v>2</v>
      </c>
      <c r="D429" s="5">
        <v>27.99</v>
      </c>
      <c r="E429" s="3" t="s">
        <v>1280</v>
      </c>
      <c r="F429" s="2" t="s">
        <v>566</v>
      </c>
      <c r="G429" s="6"/>
      <c r="H429" s="2" t="s">
        <v>312</v>
      </c>
      <c r="I429" s="2" t="s">
        <v>195</v>
      </c>
      <c r="J429" s="2" t="s">
        <v>19</v>
      </c>
      <c r="K429" s="2" t="s">
        <v>1108</v>
      </c>
      <c r="L429" s="7" t="str">
        <f>HYPERLINK("http://slimages.macys.com/is/image/MCY/11764670 ")</f>
        <v xml:space="preserve">http://slimages.macys.com/is/image/MCY/11764670 </v>
      </c>
    </row>
    <row r="430" spans="1:12" ht="24.75" x14ac:dyDescent="0.25">
      <c r="A430" s="4" t="s">
        <v>1298</v>
      </c>
      <c r="B430" s="2" t="s">
        <v>1279</v>
      </c>
      <c r="C430" s="3">
        <v>1</v>
      </c>
      <c r="D430" s="5">
        <v>27.99</v>
      </c>
      <c r="E430" s="3" t="s">
        <v>1286</v>
      </c>
      <c r="F430" s="2" t="s">
        <v>506</v>
      </c>
      <c r="G430" s="6" t="s">
        <v>200</v>
      </c>
      <c r="H430" s="2" t="s">
        <v>194</v>
      </c>
      <c r="I430" s="2" t="s">
        <v>919</v>
      </c>
      <c r="J430" s="2" t="s">
        <v>19</v>
      </c>
      <c r="K430" s="2" t="s">
        <v>409</v>
      </c>
      <c r="L430" s="7" t="str">
        <f>HYPERLINK("http://slimages.macys.com/is/image/MCY/8185331 ")</f>
        <v xml:space="preserve">http://slimages.macys.com/is/image/MCY/8185331 </v>
      </c>
    </row>
    <row r="431" spans="1:12" ht="24.75" x14ac:dyDescent="0.25">
      <c r="A431" s="4" t="s">
        <v>1285</v>
      </c>
      <c r="B431" s="2" t="s">
        <v>1279</v>
      </c>
      <c r="C431" s="3">
        <v>2</v>
      </c>
      <c r="D431" s="5">
        <v>27.99</v>
      </c>
      <c r="E431" s="3" t="s">
        <v>1286</v>
      </c>
      <c r="F431" s="2" t="s">
        <v>506</v>
      </c>
      <c r="G431" s="6" t="s">
        <v>154</v>
      </c>
      <c r="H431" s="2" t="s">
        <v>194</v>
      </c>
      <c r="I431" s="2" t="s">
        <v>1469</v>
      </c>
      <c r="J431" s="2" t="s">
        <v>19</v>
      </c>
      <c r="K431" s="2" t="s">
        <v>495</v>
      </c>
      <c r="L431" s="7" t="str">
        <f>HYPERLINK("http://slimages.macys.com/is/image/MCY/12328906 ")</f>
        <v xml:space="preserve">http://slimages.macys.com/is/image/MCY/12328906 </v>
      </c>
    </row>
    <row r="432" spans="1:12" ht="24.75" x14ac:dyDescent="0.25">
      <c r="A432" s="4" t="s">
        <v>1303</v>
      </c>
      <c r="B432" s="2" t="s">
        <v>1279</v>
      </c>
      <c r="C432" s="3">
        <v>1</v>
      </c>
      <c r="D432" s="5">
        <v>27.99</v>
      </c>
      <c r="E432" s="3" t="s">
        <v>1286</v>
      </c>
      <c r="F432" s="2" t="s">
        <v>506</v>
      </c>
      <c r="G432" s="6" t="s">
        <v>234</v>
      </c>
      <c r="H432" s="2" t="s">
        <v>194</v>
      </c>
      <c r="I432" s="2" t="s">
        <v>285</v>
      </c>
      <c r="J432" s="2" t="s">
        <v>19</v>
      </c>
      <c r="K432" s="2" t="s">
        <v>2669</v>
      </c>
      <c r="L432" s="7" t="str">
        <f>HYPERLINK("http://slimages.macys.com/is/image/MCY/8660800 ")</f>
        <v xml:space="preserve">http://slimages.macys.com/is/image/MCY/8660800 </v>
      </c>
    </row>
    <row r="433" spans="1:12" ht="24.75" x14ac:dyDescent="0.25">
      <c r="A433" s="4" t="s">
        <v>1278</v>
      </c>
      <c r="B433" s="2" t="s">
        <v>1279</v>
      </c>
      <c r="C433" s="3">
        <v>1</v>
      </c>
      <c r="D433" s="5">
        <v>27.99</v>
      </c>
      <c r="E433" s="3" t="s">
        <v>1280</v>
      </c>
      <c r="F433" s="2" t="s">
        <v>566</v>
      </c>
      <c r="G433" s="6"/>
      <c r="H433" s="2" t="s">
        <v>312</v>
      </c>
      <c r="I433" s="2" t="s">
        <v>1112</v>
      </c>
      <c r="J433" s="2" t="s">
        <v>19</v>
      </c>
      <c r="K433" s="2" t="s">
        <v>409</v>
      </c>
      <c r="L433" s="7" t="str">
        <f>HYPERLINK("http://slimages.macys.com/is/image/MCY/3832970 ")</f>
        <v xml:space="preserve">http://slimages.macys.com/is/image/MCY/3832970 </v>
      </c>
    </row>
    <row r="434" spans="1:12" ht="24.75" x14ac:dyDescent="0.25">
      <c r="A434" s="4" t="s">
        <v>1289</v>
      </c>
      <c r="B434" s="2" t="s">
        <v>1279</v>
      </c>
      <c r="C434" s="3">
        <v>1</v>
      </c>
      <c r="D434" s="5">
        <v>27.99</v>
      </c>
      <c r="E434" s="3" t="s">
        <v>1280</v>
      </c>
      <c r="F434" s="2" t="s">
        <v>566</v>
      </c>
      <c r="G434" s="6"/>
      <c r="H434" s="2" t="s">
        <v>312</v>
      </c>
      <c r="I434" s="2" t="s">
        <v>919</v>
      </c>
      <c r="J434" s="2" t="s">
        <v>19</v>
      </c>
      <c r="K434" s="2" t="s">
        <v>409</v>
      </c>
      <c r="L434" s="7" t="str">
        <f>HYPERLINK("http://slimages.macys.com/is/image/MCY/8185331 ")</f>
        <v xml:space="preserve">http://slimages.macys.com/is/image/MCY/8185331 </v>
      </c>
    </row>
    <row r="435" spans="1:12" ht="24.75" x14ac:dyDescent="0.25">
      <c r="A435" s="4" t="s">
        <v>1281</v>
      </c>
      <c r="B435" s="2" t="s">
        <v>1279</v>
      </c>
      <c r="C435" s="3">
        <v>3</v>
      </c>
      <c r="D435" s="5">
        <v>27.99</v>
      </c>
      <c r="E435" s="3" t="s">
        <v>1280</v>
      </c>
      <c r="F435" s="2" t="s">
        <v>566</v>
      </c>
      <c r="G435" s="6"/>
      <c r="H435" s="2" t="s">
        <v>312</v>
      </c>
      <c r="I435" s="2" t="s">
        <v>919</v>
      </c>
      <c r="J435" s="2" t="s">
        <v>19</v>
      </c>
      <c r="K435" s="2" t="s">
        <v>409</v>
      </c>
      <c r="L435" s="7" t="str">
        <f>HYPERLINK("http://slimages.macys.com/is/image/MCY/8185331 ")</f>
        <v xml:space="preserve">http://slimages.macys.com/is/image/MCY/8185331 </v>
      </c>
    </row>
    <row r="436" spans="1:12" ht="24.75" x14ac:dyDescent="0.25">
      <c r="A436" s="4" t="s">
        <v>1288</v>
      </c>
      <c r="B436" s="2" t="s">
        <v>1279</v>
      </c>
      <c r="C436" s="3">
        <v>3</v>
      </c>
      <c r="D436" s="5">
        <v>27.99</v>
      </c>
      <c r="E436" s="3" t="s">
        <v>1280</v>
      </c>
      <c r="F436" s="2" t="s">
        <v>566</v>
      </c>
      <c r="G436" s="6"/>
      <c r="H436" s="2" t="s">
        <v>312</v>
      </c>
      <c r="I436" s="2" t="s">
        <v>919</v>
      </c>
      <c r="J436" s="2" t="s">
        <v>19</v>
      </c>
      <c r="K436" s="2" t="s">
        <v>409</v>
      </c>
      <c r="L436" s="7" t="str">
        <f>HYPERLINK("http://slimages.macys.com/is/image/MCY/8185331 ")</f>
        <v xml:space="preserve">http://slimages.macys.com/is/image/MCY/8185331 </v>
      </c>
    </row>
    <row r="437" spans="1:12" ht="24.75" x14ac:dyDescent="0.25">
      <c r="A437" s="4" t="s">
        <v>3841</v>
      </c>
      <c r="B437" s="2" t="s">
        <v>1416</v>
      </c>
      <c r="C437" s="3">
        <v>1</v>
      </c>
      <c r="D437" s="5">
        <v>21.99</v>
      </c>
      <c r="E437" s="3" t="s">
        <v>3842</v>
      </c>
      <c r="F437" s="2" t="s">
        <v>74</v>
      </c>
      <c r="G437" s="6" t="s">
        <v>126</v>
      </c>
      <c r="H437" s="2" t="s">
        <v>312</v>
      </c>
      <c r="I437" s="2" t="s">
        <v>1112</v>
      </c>
      <c r="J437" s="2" t="s">
        <v>19</v>
      </c>
      <c r="K437" s="2" t="s">
        <v>409</v>
      </c>
      <c r="L437" s="7" t="str">
        <f>HYPERLINK("http://slimages.macys.com/is/image/MCY/3832970 ")</f>
        <v xml:space="preserve">http://slimages.macys.com/is/image/MCY/3832970 </v>
      </c>
    </row>
    <row r="438" spans="1:12" ht="24.75" x14ac:dyDescent="0.25">
      <c r="A438" s="4" t="s">
        <v>3843</v>
      </c>
      <c r="B438" s="2" t="s">
        <v>1318</v>
      </c>
      <c r="C438" s="3">
        <v>1</v>
      </c>
      <c r="D438" s="5">
        <v>24.99</v>
      </c>
      <c r="E438" s="3">
        <v>100006766</v>
      </c>
      <c r="F438" s="2" t="s">
        <v>417</v>
      </c>
      <c r="G438" s="6" t="s">
        <v>141</v>
      </c>
      <c r="H438" s="2" t="s">
        <v>228</v>
      </c>
      <c r="I438" s="2" t="s">
        <v>1112</v>
      </c>
      <c r="J438" s="2" t="s">
        <v>19</v>
      </c>
      <c r="K438" s="2" t="s">
        <v>409</v>
      </c>
      <c r="L438" s="7" t="str">
        <f>HYPERLINK("http://slimages.macys.com/is/image/MCY/3832970 ")</f>
        <v xml:space="preserve">http://slimages.macys.com/is/image/MCY/3832970 </v>
      </c>
    </row>
    <row r="439" spans="1:12" ht="24.75" x14ac:dyDescent="0.25">
      <c r="A439" s="4" t="s">
        <v>3844</v>
      </c>
      <c r="B439" s="2" t="s">
        <v>3845</v>
      </c>
      <c r="C439" s="3">
        <v>2</v>
      </c>
      <c r="D439" s="5">
        <v>24.99</v>
      </c>
      <c r="E439" s="3" t="s">
        <v>3846</v>
      </c>
      <c r="F439" s="2" t="s">
        <v>15</v>
      </c>
      <c r="G439" s="6" t="s">
        <v>181</v>
      </c>
      <c r="H439" s="2" t="s">
        <v>1522</v>
      </c>
      <c r="I439" s="2" t="s">
        <v>1112</v>
      </c>
      <c r="J439" s="2" t="s">
        <v>19</v>
      </c>
      <c r="K439" s="2" t="s">
        <v>409</v>
      </c>
      <c r="L439" s="7" t="str">
        <f>HYPERLINK("http://slimages.macys.com/is/image/MCY/3832970 ")</f>
        <v xml:space="preserve">http://slimages.macys.com/is/image/MCY/3832970 </v>
      </c>
    </row>
    <row r="440" spans="1:12" ht="24.75" x14ac:dyDescent="0.25">
      <c r="A440" s="4" t="s">
        <v>3847</v>
      </c>
      <c r="B440" s="2" t="s">
        <v>3845</v>
      </c>
      <c r="C440" s="3">
        <v>1</v>
      </c>
      <c r="D440" s="5">
        <v>24.99</v>
      </c>
      <c r="E440" s="3" t="s">
        <v>3846</v>
      </c>
      <c r="F440" s="2" t="s">
        <v>74</v>
      </c>
      <c r="G440" s="6" t="s">
        <v>156</v>
      </c>
      <c r="H440" s="2" t="s">
        <v>1522</v>
      </c>
      <c r="I440" s="2" t="s">
        <v>1112</v>
      </c>
      <c r="J440" s="2" t="s">
        <v>19</v>
      </c>
      <c r="K440" s="2" t="s">
        <v>409</v>
      </c>
      <c r="L440" s="7" t="str">
        <f>HYPERLINK("http://slimages.macys.com/is/image/MCY/3832970 ")</f>
        <v xml:space="preserve">http://slimages.macys.com/is/image/MCY/3832970 </v>
      </c>
    </row>
    <row r="441" spans="1:12" ht="24.75" x14ac:dyDescent="0.25">
      <c r="A441" s="4" t="s">
        <v>3848</v>
      </c>
      <c r="B441" s="2" t="s">
        <v>3845</v>
      </c>
      <c r="C441" s="3">
        <v>1</v>
      </c>
      <c r="D441" s="5">
        <v>24.99</v>
      </c>
      <c r="E441" s="3" t="s">
        <v>3846</v>
      </c>
      <c r="F441" s="2" t="s">
        <v>74</v>
      </c>
      <c r="G441" s="6" t="s">
        <v>245</v>
      </c>
      <c r="H441" s="2" t="s">
        <v>1522</v>
      </c>
      <c r="I441" s="2" t="s">
        <v>195</v>
      </c>
      <c r="J441" s="2" t="s">
        <v>19</v>
      </c>
      <c r="K441" s="2" t="s">
        <v>353</v>
      </c>
      <c r="L441" s="7" t="str">
        <f>HYPERLINK("http://slimages.macys.com/is/image/MCY/16058397 ")</f>
        <v xml:space="preserve">http://slimages.macys.com/is/image/MCY/16058397 </v>
      </c>
    </row>
    <row r="442" spans="1:12" ht="24.75" x14ac:dyDescent="0.25">
      <c r="A442" s="4" t="s">
        <v>3849</v>
      </c>
      <c r="B442" s="2" t="s">
        <v>3845</v>
      </c>
      <c r="C442" s="3">
        <v>1</v>
      </c>
      <c r="D442" s="5">
        <v>24.99</v>
      </c>
      <c r="E442" s="3" t="s">
        <v>3846</v>
      </c>
      <c r="F442" s="2" t="s">
        <v>74</v>
      </c>
      <c r="G442" s="6" t="s">
        <v>154</v>
      </c>
      <c r="H442" s="2" t="s">
        <v>1522</v>
      </c>
      <c r="I442" s="2" t="s">
        <v>229</v>
      </c>
      <c r="J442" s="2" t="s">
        <v>19</v>
      </c>
      <c r="K442" s="2" t="s">
        <v>253</v>
      </c>
      <c r="L442" s="7" t="str">
        <f>HYPERLINK("http://slimages.macys.com/is/image/MCY/9029356 ")</f>
        <v xml:space="preserve">http://slimages.macys.com/is/image/MCY/9029356 </v>
      </c>
    </row>
    <row r="443" spans="1:12" ht="24.75" x14ac:dyDescent="0.25">
      <c r="A443" s="4" t="s">
        <v>3850</v>
      </c>
      <c r="B443" s="2" t="s">
        <v>3845</v>
      </c>
      <c r="C443" s="3">
        <v>2</v>
      </c>
      <c r="D443" s="5">
        <v>24.99</v>
      </c>
      <c r="E443" s="3" t="s">
        <v>3846</v>
      </c>
      <c r="F443" s="2" t="s">
        <v>15</v>
      </c>
      <c r="G443" s="6" t="s">
        <v>234</v>
      </c>
      <c r="H443" s="2" t="s">
        <v>1522</v>
      </c>
      <c r="I443" s="2" t="s">
        <v>1469</v>
      </c>
      <c r="J443" s="2" t="s">
        <v>19</v>
      </c>
      <c r="K443" s="2" t="s">
        <v>3851</v>
      </c>
      <c r="L443" s="7" t="str">
        <f t="shared" ref="L443:L452" si="2">HYPERLINK("http://slimages.macys.com/is/image/MCY/10888246 ")</f>
        <v xml:space="preserve">http://slimages.macys.com/is/image/MCY/10888246 </v>
      </c>
    </row>
    <row r="444" spans="1:12" ht="24.75" x14ac:dyDescent="0.25">
      <c r="A444" s="4" t="s">
        <v>3852</v>
      </c>
      <c r="B444" s="2" t="s">
        <v>3845</v>
      </c>
      <c r="C444" s="3">
        <v>6</v>
      </c>
      <c r="D444" s="5">
        <v>24.99</v>
      </c>
      <c r="E444" s="3" t="s">
        <v>3846</v>
      </c>
      <c r="F444" s="2" t="s">
        <v>74</v>
      </c>
      <c r="G444" s="6" t="s">
        <v>181</v>
      </c>
      <c r="H444" s="2" t="s">
        <v>1522</v>
      </c>
      <c r="I444" s="2" t="s">
        <v>1469</v>
      </c>
      <c r="J444" s="2" t="s">
        <v>19</v>
      </c>
      <c r="K444" s="2" t="s">
        <v>3851</v>
      </c>
      <c r="L444" s="7" t="str">
        <f t="shared" si="2"/>
        <v xml:space="preserve">http://slimages.macys.com/is/image/MCY/10888246 </v>
      </c>
    </row>
    <row r="445" spans="1:12" ht="24.75" x14ac:dyDescent="0.25">
      <c r="A445" s="4" t="s">
        <v>3853</v>
      </c>
      <c r="B445" s="2" t="s">
        <v>3845</v>
      </c>
      <c r="C445" s="3">
        <v>1</v>
      </c>
      <c r="D445" s="5">
        <v>24.99</v>
      </c>
      <c r="E445" s="3" t="s">
        <v>3854</v>
      </c>
      <c r="F445" s="2" t="s">
        <v>413</v>
      </c>
      <c r="G445" s="6"/>
      <c r="H445" s="2" t="s">
        <v>1425</v>
      </c>
      <c r="I445" s="2" t="s">
        <v>1469</v>
      </c>
      <c r="J445" s="2" t="s">
        <v>19</v>
      </c>
      <c r="K445" s="2" t="s">
        <v>3851</v>
      </c>
      <c r="L445" s="7" t="str">
        <f t="shared" si="2"/>
        <v xml:space="preserve">http://slimages.macys.com/is/image/MCY/10888246 </v>
      </c>
    </row>
    <row r="446" spans="1:12" ht="24.75" x14ac:dyDescent="0.25">
      <c r="A446" s="4" t="s">
        <v>3855</v>
      </c>
      <c r="B446" s="2" t="s">
        <v>3845</v>
      </c>
      <c r="C446" s="3">
        <v>1</v>
      </c>
      <c r="D446" s="5">
        <v>24.99</v>
      </c>
      <c r="E446" s="3" t="s">
        <v>3854</v>
      </c>
      <c r="F446" s="2" t="s">
        <v>74</v>
      </c>
      <c r="G446" s="6" t="s">
        <v>219</v>
      </c>
      <c r="H446" s="2" t="s">
        <v>1425</v>
      </c>
      <c r="I446" s="2" t="s">
        <v>1469</v>
      </c>
      <c r="J446" s="2" t="s">
        <v>19</v>
      </c>
      <c r="K446" s="2" t="s">
        <v>3851</v>
      </c>
      <c r="L446" s="7" t="str">
        <f t="shared" si="2"/>
        <v xml:space="preserve">http://slimages.macys.com/is/image/MCY/10888246 </v>
      </c>
    </row>
    <row r="447" spans="1:12" ht="24.75" x14ac:dyDescent="0.25">
      <c r="A447" s="4" t="s">
        <v>3856</v>
      </c>
      <c r="B447" s="2" t="s">
        <v>3845</v>
      </c>
      <c r="C447" s="3">
        <v>2</v>
      </c>
      <c r="D447" s="5">
        <v>24.99</v>
      </c>
      <c r="E447" s="3" t="s">
        <v>3854</v>
      </c>
      <c r="F447" s="2" t="s">
        <v>413</v>
      </c>
      <c r="G447" s="6"/>
      <c r="H447" s="2" t="s">
        <v>1425</v>
      </c>
      <c r="I447" s="2" t="s">
        <v>1469</v>
      </c>
      <c r="J447" s="2" t="s">
        <v>19</v>
      </c>
      <c r="K447" s="2" t="s">
        <v>3851</v>
      </c>
      <c r="L447" s="7" t="str">
        <f t="shared" si="2"/>
        <v xml:space="preserve">http://slimages.macys.com/is/image/MCY/10888246 </v>
      </c>
    </row>
    <row r="448" spans="1:12" ht="24.75" x14ac:dyDescent="0.25">
      <c r="A448" s="4" t="s">
        <v>3857</v>
      </c>
      <c r="B448" s="2" t="s">
        <v>3845</v>
      </c>
      <c r="C448" s="3">
        <v>2</v>
      </c>
      <c r="D448" s="5">
        <v>24.99</v>
      </c>
      <c r="E448" s="3" t="s">
        <v>3854</v>
      </c>
      <c r="F448" s="2" t="s">
        <v>74</v>
      </c>
      <c r="G448" s="6"/>
      <c r="H448" s="2" t="s">
        <v>1425</v>
      </c>
      <c r="I448" s="2" t="s">
        <v>1469</v>
      </c>
      <c r="J448" s="2" t="s">
        <v>19</v>
      </c>
      <c r="K448" s="2" t="s">
        <v>3851</v>
      </c>
      <c r="L448" s="7" t="str">
        <f t="shared" si="2"/>
        <v xml:space="preserve">http://slimages.macys.com/is/image/MCY/10888246 </v>
      </c>
    </row>
    <row r="449" spans="1:12" ht="24.75" x14ac:dyDescent="0.25">
      <c r="A449" s="4" t="s">
        <v>1329</v>
      </c>
      <c r="B449" s="2" t="s">
        <v>1330</v>
      </c>
      <c r="C449" s="3">
        <v>1</v>
      </c>
      <c r="D449" s="5">
        <v>37.130000000000003</v>
      </c>
      <c r="E449" s="3" t="s">
        <v>1331</v>
      </c>
      <c r="F449" s="2" t="s">
        <v>417</v>
      </c>
      <c r="G449" s="6" t="s">
        <v>234</v>
      </c>
      <c r="H449" s="2" t="s">
        <v>194</v>
      </c>
      <c r="I449" s="2" t="s">
        <v>1469</v>
      </c>
      <c r="J449" s="2" t="s">
        <v>19</v>
      </c>
      <c r="K449" s="2" t="s">
        <v>495</v>
      </c>
      <c r="L449" s="7" t="str">
        <f t="shared" si="2"/>
        <v xml:space="preserve">http://slimages.macys.com/is/image/MCY/10888246 </v>
      </c>
    </row>
    <row r="450" spans="1:12" ht="24.75" x14ac:dyDescent="0.25">
      <c r="A450" s="4" t="s">
        <v>1337</v>
      </c>
      <c r="B450" s="2" t="s">
        <v>1330</v>
      </c>
      <c r="C450" s="3">
        <v>4</v>
      </c>
      <c r="D450" s="5">
        <v>37.130000000000003</v>
      </c>
      <c r="E450" s="3" t="s">
        <v>1331</v>
      </c>
      <c r="F450" s="2" t="s">
        <v>74</v>
      </c>
      <c r="G450" s="6" t="s">
        <v>181</v>
      </c>
      <c r="H450" s="2" t="s">
        <v>194</v>
      </c>
      <c r="I450" s="2" t="s">
        <v>1469</v>
      </c>
      <c r="J450" s="2" t="s">
        <v>19</v>
      </c>
      <c r="K450" s="2" t="s">
        <v>495</v>
      </c>
      <c r="L450" s="7" t="str">
        <f t="shared" si="2"/>
        <v xml:space="preserve">http://slimages.macys.com/is/image/MCY/10888246 </v>
      </c>
    </row>
    <row r="451" spans="1:12" ht="24.75" x14ac:dyDescent="0.25">
      <c r="A451" s="4" t="s">
        <v>3858</v>
      </c>
      <c r="B451" s="2" t="s">
        <v>1330</v>
      </c>
      <c r="C451" s="3">
        <v>2</v>
      </c>
      <c r="D451" s="5">
        <v>37.130000000000003</v>
      </c>
      <c r="E451" s="3" t="s">
        <v>1331</v>
      </c>
      <c r="F451" s="2" t="s">
        <v>74</v>
      </c>
      <c r="G451" s="6" t="s">
        <v>200</v>
      </c>
      <c r="H451" s="2" t="s">
        <v>194</v>
      </c>
      <c r="I451" s="2" t="s">
        <v>1469</v>
      </c>
      <c r="J451" s="2" t="s">
        <v>19</v>
      </c>
      <c r="K451" s="2" t="s">
        <v>495</v>
      </c>
      <c r="L451" s="7" t="str">
        <f t="shared" si="2"/>
        <v xml:space="preserve">http://slimages.macys.com/is/image/MCY/10888246 </v>
      </c>
    </row>
    <row r="452" spans="1:12" ht="24.75" x14ac:dyDescent="0.25">
      <c r="A452" s="4" t="s">
        <v>2681</v>
      </c>
      <c r="B452" s="2" t="s">
        <v>1330</v>
      </c>
      <c r="C452" s="3">
        <v>2</v>
      </c>
      <c r="D452" s="5">
        <v>37.130000000000003</v>
      </c>
      <c r="E452" s="3" t="s">
        <v>1331</v>
      </c>
      <c r="F452" s="2" t="s">
        <v>417</v>
      </c>
      <c r="G452" s="6" t="s">
        <v>154</v>
      </c>
      <c r="H452" s="2" t="s">
        <v>194</v>
      </c>
      <c r="I452" s="2" t="s">
        <v>1469</v>
      </c>
      <c r="J452" s="2" t="s">
        <v>19</v>
      </c>
      <c r="K452" s="2" t="s">
        <v>495</v>
      </c>
      <c r="L452" s="7" t="str">
        <f t="shared" si="2"/>
        <v xml:space="preserve">http://slimages.macys.com/is/image/MCY/10888246 </v>
      </c>
    </row>
    <row r="453" spans="1:12" ht="24.75" x14ac:dyDescent="0.25">
      <c r="A453" s="4" t="s">
        <v>3859</v>
      </c>
      <c r="B453" s="2" t="s">
        <v>1330</v>
      </c>
      <c r="C453" s="3">
        <v>3</v>
      </c>
      <c r="D453" s="5">
        <v>37.130000000000003</v>
      </c>
      <c r="E453" s="3" t="s">
        <v>1331</v>
      </c>
      <c r="F453" s="2" t="s">
        <v>74</v>
      </c>
      <c r="G453" s="6" t="s">
        <v>154</v>
      </c>
      <c r="H453" s="2" t="s">
        <v>194</v>
      </c>
      <c r="I453" s="2" t="s">
        <v>195</v>
      </c>
      <c r="J453" s="2" t="s">
        <v>19</v>
      </c>
      <c r="K453" s="2" t="s">
        <v>247</v>
      </c>
      <c r="L453" s="7" t="str">
        <f t="shared" ref="L453:L458" si="3">HYPERLINK("http://slimages.macys.com/is/image/MCY/10889638 ")</f>
        <v xml:space="preserve">http://slimages.macys.com/is/image/MCY/10889638 </v>
      </c>
    </row>
    <row r="454" spans="1:12" ht="24.75" x14ac:dyDescent="0.25">
      <c r="A454" s="4" t="s">
        <v>1341</v>
      </c>
      <c r="B454" s="2" t="s">
        <v>1330</v>
      </c>
      <c r="C454" s="3">
        <v>2</v>
      </c>
      <c r="D454" s="5">
        <v>37.130000000000003</v>
      </c>
      <c r="E454" s="3" t="s">
        <v>1331</v>
      </c>
      <c r="F454" s="2" t="s">
        <v>417</v>
      </c>
      <c r="G454" s="6" t="s">
        <v>181</v>
      </c>
      <c r="H454" s="2" t="s">
        <v>194</v>
      </c>
      <c r="I454" s="2" t="s">
        <v>195</v>
      </c>
      <c r="J454" s="2" t="s">
        <v>19</v>
      </c>
      <c r="K454" s="2" t="s">
        <v>247</v>
      </c>
      <c r="L454" s="7" t="str">
        <f t="shared" si="3"/>
        <v xml:space="preserve">http://slimages.macys.com/is/image/MCY/10889638 </v>
      </c>
    </row>
    <row r="455" spans="1:12" ht="24.75" x14ac:dyDescent="0.25">
      <c r="A455" s="4" t="s">
        <v>3860</v>
      </c>
      <c r="B455" s="2" t="s">
        <v>2678</v>
      </c>
      <c r="C455" s="3">
        <v>2</v>
      </c>
      <c r="D455" s="5">
        <v>24.99</v>
      </c>
      <c r="E455" s="3" t="s">
        <v>2679</v>
      </c>
      <c r="F455" s="2" t="s">
        <v>2680</v>
      </c>
      <c r="G455" s="6" t="s">
        <v>3861</v>
      </c>
      <c r="H455" s="2" t="s">
        <v>228</v>
      </c>
      <c r="I455" s="2" t="s">
        <v>195</v>
      </c>
      <c r="J455" s="2" t="s">
        <v>19</v>
      </c>
      <c r="K455" s="2" t="s">
        <v>247</v>
      </c>
      <c r="L455" s="7" t="str">
        <f t="shared" si="3"/>
        <v xml:space="preserve">http://slimages.macys.com/is/image/MCY/10889638 </v>
      </c>
    </row>
    <row r="456" spans="1:12" ht="24.75" x14ac:dyDescent="0.25">
      <c r="A456" s="4" t="s">
        <v>3862</v>
      </c>
      <c r="B456" s="2" t="s">
        <v>2678</v>
      </c>
      <c r="C456" s="3">
        <v>1</v>
      </c>
      <c r="D456" s="5">
        <v>24.99</v>
      </c>
      <c r="E456" s="3" t="s">
        <v>2679</v>
      </c>
      <c r="F456" s="2" t="s">
        <v>2680</v>
      </c>
      <c r="G456" s="6" t="s">
        <v>473</v>
      </c>
      <c r="H456" s="2" t="s">
        <v>228</v>
      </c>
      <c r="I456" s="2" t="s">
        <v>195</v>
      </c>
      <c r="J456" s="2" t="s">
        <v>19</v>
      </c>
      <c r="K456" s="2" t="s">
        <v>247</v>
      </c>
      <c r="L456" s="7" t="str">
        <f t="shared" si="3"/>
        <v xml:space="preserve">http://slimages.macys.com/is/image/MCY/10889638 </v>
      </c>
    </row>
    <row r="457" spans="1:12" ht="24.75" x14ac:dyDescent="0.25">
      <c r="A457" s="4" t="s">
        <v>3863</v>
      </c>
      <c r="B457" s="2" t="s">
        <v>3864</v>
      </c>
      <c r="C457" s="3">
        <v>1</v>
      </c>
      <c r="D457" s="5">
        <v>24.99</v>
      </c>
      <c r="E457" s="3" t="s">
        <v>3865</v>
      </c>
      <c r="F457" s="2" t="s">
        <v>64</v>
      </c>
      <c r="G457" s="6" t="s">
        <v>3866</v>
      </c>
      <c r="H457" s="2" t="s">
        <v>228</v>
      </c>
      <c r="I457" s="2" t="s">
        <v>195</v>
      </c>
      <c r="J457" s="2" t="s">
        <v>19</v>
      </c>
      <c r="K457" s="2" t="s">
        <v>247</v>
      </c>
      <c r="L457" s="7" t="str">
        <f t="shared" si="3"/>
        <v xml:space="preserve">http://slimages.macys.com/is/image/MCY/10889638 </v>
      </c>
    </row>
    <row r="458" spans="1:12" ht="24.75" x14ac:dyDescent="0.25">
      <c r="A458" s="4" t="s">
        <v>3867</v>
      </c>
      <c r="B458" s="2" t="s">
        <v>2683</v>
      </c>
      <c r="C458" s="3">
        <v>2</v>
      </c>
      <c r="D458" s="5">
        <v>33.380000000000003</v>
      </c>
      <c r="E458" s="3" t="s">
        <v>2684</v>
      </c>
      <c r="F458" s="2" t="s">
        <v>752</v>
      </c>
      <c r="G458" s="6" t="s">
        <v>181</v>
      </c>
      <c r="H458" s="2" t="s">
        <v>194</v>
      </c>
      <c r="I458" s="2" t="s">
        <v>195</v>
      </c>
      <c r="J458" s="2" t="s">
        <v>19</v>
      </c>
      <c r="K458" s="2" t="s">
        <v>247</v>
      </c>
      <c r="L458" s="7" t="str">
        <f t="shared" si="3"/>
        <v xml:space="preserve">http://slimages.macys.com/is/image/MCY/10889638 </v>
      </c>
    </row>
    <row r="459" spans="1:12" ht="24.75" x14ac:dyDescent="0.25">
      <c r="A459" s="4" t="s">
        <v>2682</v>
      </c>
      <c r="B459" s="2" t="s">
        <v>2683</v>
      </c>
      <c r="C459" s="3">
        <v>3</v>
      </c>
      <c r="D459" s="5">
        <v>33.380000000000003</v>
      </c>
      <c r="E459" s="3" t="s">
        <v>2684</v>
      </c>
      <c r="F459" s="2" t="s">
        <v>752</v>
      </c>
      <c r="G459" s="6" t="s">
        <v>154</v>
      </c>
      <c r="H459" s="2" t="s">
        <v>194</v>
      </c>
      <c r="I459" s="2" t="s">
        <v>863</v>
      </c>
      <c r="J459" s="2"/>
      <c r="K459" s="2"/>
      <c r="L459" s="7" t="str">
        <f>HYPERLINK("http://slimages.macys.com/is/image/MCY/9257806 ")</f>
        <v xml:space="preserve">http://slimages.macys.com/is/image/MCY/9257806 </v>
      </c>
    </row>
    <row r="460" spans="1:12" ht="24.75" x14ac:dyDescent="0.25">
      <c r="A460" s="4" t="s">
        <v>3868</v>
      </c>
      <c r="B460" s="2" t="s">
        <v>3869</v>
      </c>
      <c r="C460" s="3">
        <v>1</v>
      </c>
      <c r="D460" s="5">
        <v>54.5</v>
      </c>
      <c r="E460" s="3" t="s">
        <v>3870</v>
      </c>
      <c r="F460" s="2" t="s">
        <v>74</v>
      </c>
      <c r="G460" s="6" t="s">
        <v>219</v>
      </c>
      <c r="H460" s="2" t="s">
        <v>206</v>
      </c>
      <c r="I460" s="2" t="s">
        <v>863</v>
      </c>
      <c r="J460" s="2"/>
      <c r="K460" s="2"/>
      <c r="L460" s="7" t="str">
        <f>HYPERLINK("http://slimages.macys.com/is/image/MCY/9257806 ")</f>
        <v xml:space="preserve">http://slimages.macys.com/is/image/MCY/9257806 </v>
      </c>
    </row>
    <row r="461" spans="1:12" ht="24.75" x14ac:dyDescent="0.25">
      <c r="A461" s="4" t="s">
        <v>3871</v>
      </c>
      <c r="B461" s="2" t="s">
        <v>3872</v>
      </c>
      <c r="C461" s="3">
        <v>1</v>
      </c>
      <c r="D461" s="5">
        <v>24.99</v>
      </c>
      <c r="E461" s="3" t="s">
        <v>3873</v>
      </c>
      <c r="F461" s="2" t="s">
        <v>15</v>
      </c>
      <c r="G461" s="6" t="s">
        <v>165</v>
      </c>
      <c r="H461" s="2" t="s">
        <v>1425</v>
      </c>
      <c r="I461" s="2" t="s">
        <v>863</v>
      </c>
      <c r="J461" s="2" t="s">
        <v>19</v>
      </c>
      <c r="K461" s="2" t="s">
        <v>253</v>
      </c>
      <c r="L461" s="7" t="str">
        <f>HYPERLINK("http://slimages.macys.com/is/image/MCY/8185688 ")</f>
        <v xml:space="preserve">http://slimages.macys.com/is/image/MCY/8185688 </v>
      </c>
    </row>
    <row r="462" spans="1:12" ht="24.75" x14ac:dyDescent="0.25">
      <c r="A462" s="4" t="s">
        <v>3874</v>
      </c>
      <c r="B462" s="2" t="s">
        <v>1155</v>
      </c>
      <c r="C462" s="3">
        <v>1</v>
      </c>
      <c r="D462" s="5">
        <v>37.130000000000003</v>
      </c>
      <c r="E462" s="3" t="s">
        <v>3875</v>
      </c>
      <c r="F462" s="2" t="s">
        <v>15</v>
      </c>
      <c r="G462" s="6" t="s">
        <v>181</v>
      </c>
      <c r="H462" s="2" t="s">
        <v>194</v>
      </c>
      <c r="I462" s="2" t="s">
        <v>195</v>
      </c>
      <c r="J462" s="2" t="s">
        <v>19</v>
      </c>
      <c r="K462" s="2" t="s">
        <v>247</v>
      </c>
      <c r="L462" s="7" t="str">
        <f>HYPERLINK("http://slimages.macys.com/is/image/MCY/12404928 ")</f>
        <v xml:space="preserve">http://slimages.macys.com/is/image/MCY/12404928 </v>
      </c>
    </row>
    <row r="463" spans="1:12" ht="24.75" x14ac:dyDescent="0.25">
      <c r="A463" s="4" t="s">
        <v>3876</v>
      </c>
      <c r="B463" s="2" t="s">
        <v>1346</v>
      </c>
      <c r="C463" s="3">
        <v>1</v>
      </c>
      <c r="D463" s="5">
        <v>59.5</v>
      </c>
      <c r="E463" s="3" t="s">
        <v>1347</v>
      </c>
      <c r="F463" s="2" t="s">
        <v>26</v>
      </c>
      <c r="G463" s="6" t="s">
        <v>219</v>
      </c>
      <c r="H463" s="2" t="s">
        <v>206</v>
      </c>
      <c r="I463" s="2" t="s">
        <v>195</v>
      </c>
      <c r="J463" s="2" t="s">
        <v>19</v>
      </c>
      <c r="K463" s="2" t="s">
        <v>247</v>
      </c>
      <c r="L463" s="7" t="str">
        <f>HYPERLINK("http://slimages.macys.com/is/image/MCY/12404928 ")</f>
        <v xml:space="preserve">http://slimages.macys.com/is/image/MCY/12404928 </v>
      </c>
    </row>
    <row r="464" spans="1:12" ht="24.75" x14ac:dyDescent="0.25">
      <c r="A464" s="4" t="s">
        <v>3877</v>
      </c>
      <c r="B464" s="2" t="s">
        <v>1155</v>
      </c>
      <c r="C464" s="3">
        <v>1</v>
      </c>
      <c r="D464" s="5">
        <v>37.130000000000003</v>
      </c>
      <c r="E464" s="3" t="s">
        <v>3875</v>
      </c>
      <c r="F464" s="2" t="s">
        <v>26</v>
      </c>
      <c r="G464" s="6" t="s">
        <v>154</v>
      </c>
      <c r="H464" s="2" t="s">
        <v>194</v>
      </c>
      <c r="I464" s="2" t="s">
        <v>207</v>
      </c>
      <c r="J464" s="2" t="s">
        <v>19</v>
      </c>
      <c r="K464" s="2" t="s">
        <v>648</v>
      </c>
      <c r="L464" s="7" t="str">
        <f>HYPERLINK("http://slimages.macys.com/is/image/MCY/13924643 ")</f>
        <v xml:space="preserve">http://slimages.macys.com/is/image/MCY/13924643 </v>
      </c>
    </row>
    <row r="465" spans="1:12" ht="24.75" x14ac:dyDescent="0.25">
      <c r="A465" s="4" t="s">
        <v>3878</v>
      </c>
      <c r="B465" s="2" t="s">
        <v>1155</v>
      </c>
      <c r="C465" s="3">
        <v>1</v>
      </c>
      <c r="D465" s="5">
        <v>37.130000000000003</v>
      </c>
      <c r="E465" s="3" t="s">
        <v>3875</v>
      </c>
      <c r="F465" s="2" t="s">
        <v>26</v>
      </c>
      <c r="G465" s="6" t="s">
        <v>200</v>
      </c>
      <c r="H465" s="2" t="s">
        <v>194</v>
      </c>
      <c r="I465" s="2" t="s">
        <v>1426</v>
      </c>
      <c r="J465" s="2" t="s">
        <v>19</v>
      </c>
      <c r="K465" s="2" t="s">
        <v>353</v>
      </c>
      <c r="L465" s="7" t="str">
        <f>HYPERLINK("http://slimages.macys.com/is/image/MCY/11207216 ")</f>
        <v xml:space="preserve">http://slimages.macys.com/is/image/MCY/11207216 </v>
      </c>
    </row>
    <row r="466" spans="1:12" ht="48.75" x14ac:dyDescent="0.25">
      <c r="A466" s="4" t="s">
        <v>2697</v>
      </c>
      <c r="B466" s="2" t="s">
        <v>1356</v>
      </c>
      <c r="C466" s="3">
        <v>1</v>
      </c>
      <c r="D466" s="5">
        <v>34.5</v>
      </c>
      <c r="E466" s="3">
        <v>100045815</v>
      </c>
      <c r="F466" s="2" t="s">
        <v>26</v>
      </c>
      <c r="G466" s="6" t="s">
        <v>22</v>
      </c>
      <c r="H466" s="2" t="s">
        <v>228</v>
      </c>
      <c r="I466" s="2" t="s">
        <v>195</v>
      </c>
      <c r="J466" s="2" t="s">
        <v>19</v>
      </c>
      <c r="K466" s="2" t="s">
        <v>3879</v>
      </c>
      <c r="L466" s="7" t="str">
        <f>HYPERLINK("http://slimages.macys.com/is/image/MCY/12404881 ")</f>
        <v xml:space="preserve">http://slimages.macys.com/is/image/MCY/12404881 </v>
      </c>
    </row>
    <row r="467" spans="1:12" ht="24.75" x14ac:dyDescent="0.25">
      <c r="A467" s="4" t="s">
        <v>3880</v>
      </c>
      <c r="B467" s="2" t="s">
        <v>1318</v>
      </c>
      <c r="C467" s="3">
        <v>1</v>
      </c>
      <c r="D467" s="5">
        <v>24.99</v>
      </c>
      <c r="E467" s="3" t="s">
        <v>1321</v>
      </c>
      <c r="F467" s="2" t="s">
        <v>506</v>
      </c>
      <c r="G467" s="6" t="s">
        <v>27</v>
      </c>
      <c r="H467" s="2" t="s">
        <v>228</v>
      </c>
      <c r="I467" s="2" t="s">
        <v>207</v>
      </c>
      <c r="J467" s="2" t="s">
        <v>19</v>
      </c>
      <c r="K467" s="2" t="s">
        <v>1348</v>
      </c>
      <c r="L467" s="7" t="str">
        <f>HYPERLINK("http://slimages.macys.com/is/image/MCY/9236109 ")</f>
        <v xml:space="preserve">http://slimages.macys.com/is/image/MCY/9236109 </v>
      </c>
    </row>
    <row r="468" spans="1:12" ht="48.75" x14ac:dyDescent="0.25">
      <c r="A468" s="4" t="s">
        <v>3881</v>
      </c>
      <c r="B468" s="2" t="s">
        <v>1318</v>
      </c>
      <c r="C468" s="3">
        <v>1</v>
      </c>
      <c r="D468" s="5">
        <v>24.99</v>
      </c>
      <c r="E468" s="3">
        <v>100039649</v>
      </c>
      <c r="F468" s="2" t="s">
        <v>417</v>
      </c>
      <c r="G468" s="6" t="s">
        <v>65</v>
      </c>
      <c r="H468" s="2" t="s">
        <v>228</v>
      </c>
      <c r="I468" s="2" t="s">
        <v>195</v>
      </c>
      <c r="J468" s="2" t="s">
        <v>19</v>
      </c>
      <c r="K468" s="2" t="s">
        <v>3879</v>
      </c>
      <c r="L468" s="7" t="str">
        <f>HYPERLINK("http://slimages.macys.com/is/image/MCY/12404881 ")</f>
        <v xml:space="preserve">http://slimages.macys.com/is/image/MCY/12404881 </v>
      </c>
    </row>
    <row r="469" spans="1:12" ht="48.75" x14ac:dyDescent="0.25">
      <c r="A469" s="4" t="s">
        <v>2701</v>
      </c>
      <c r="B469" s="2" t="s">
        <v>1318</v>
      </c>
      <c r="C469" s="3">
        <v>1</v>
      </c>
      <c r="D469" s="5">
        <v>24.99</v>
      </c>
      <c r="E469" s="3" t="s">
        <v>1321</v>
      </c>
      <c r="F469" s="2" t="s">
        <v>89</v>
      </c>
      <c r="G469" s="6" t="s">
        <v>58</v>
      </c>
      <c r="H469" s="2" t="s">
        <v>228</v>
      </c>
      <c r="I469" s="2" t="s">
        <v>195</v>
      </c>
      <c r="J469" s="2" t="s">
        <v>19</v>
      </c>
      <c r="K469" s="2" t="s">
        <v>3879</v>
      </c>
      <c r="L469" s="7" t="str">
        <f>HYPERLINK("http://slimages.macys.com/is/image/MCY/12404881 ")</f>
        <v xml:space="preserve">http://slimages.macys.com/is/image/MCY/12404881 </v>
      </c>
    </row>
    <row r="470" spans="1:12" ht="24.75" x14ac:dyDescent="0.25">
      <c r="A470" s="4" t="s">
        <v>3882</v>
      </c>
      <c r="B470" s="2" t="s">
        <v>1318</v>
      </c>
      <c r="C470" s="3">
        <v>1</v>
      </c>
      <c r="D470" s="5">
        <v>24.99</v>
      </c>
      <c r="E470" s="3">
        <v>100039649</v>
      </c>
      <c r="F470" s="2" t="s">
        <v>417</v>
      </c>
      <c r="G470" s="6" t="s">
        <v>16</v>
      </c>
      <c r="H470" s="2" t="s">
        <v>228</v>
      </c>
      <c r="I470" s="2" t="s">
        <v>229</v>
      </c>
      <c r="J470" s="2" t="s">
        <v>19</v>
      </c>
      <c r="K470" s="2" t="s">
        <v>353</v>
      </c>
      <c r="L470" s="7" t="str">
        <f>HYPERLINK("http://slimages.macys.com/is/image/MCY/11936020 ")</f>
        <v xml:space="preserve">http://slimages.macys.com/is/image/MCY/11936020 </v>
      </c>
    </row>
    <row r="471" spans="1:12" ht="24.75" x14ac:dyDescent="0.25">
      <c r="A471" s="4" t="s">
        <v>1350</v>
      </c>
      <c r="B471" s="2" t="s">
        <v>1318</v>
      </c>
      <c r="C471" s="3">
        <v>1</v>
      </c>
      <c r="D471" s="5">
        <v>24.99</v>
      </c>
      <c r="E471" s="3" t="s">
        <v>1321</v>
      </c>
      <c r="F471" s="2" t="s">
        <v>506</v>
      </c>
      <c r="G471" s="6" t="s">
        <v>58</v>
      </c>
      <c r="H471" s="2" t="s">
        <v>228</v>
      </c>
      <c r="I471" s="2" t="s">
        <v>229</v>
      </c>
      <c r="J471" s="2" t="s">
        <v>19</v>
      </c>
      <c r="K471" s="2" t="s">
        <v>253</v>
      </c>
      <c r="L471" s="7" t="str">
        <f>HYPERLINK("http://slimages.macys.com/is/image/MCY/8296032 ")</f>
        <v xml:space="preserve">http://slimages.macys.com/is/image/MCY/8296032 </v>
      </c>
    </row>
    <row r="472" spans="1:12" ht="24.75" x14ac:dyDescent="0.25">
      <c r="A472" s="4" t="s">
        <v>3883</v>
      </c>
      <c r="B472" s="2" t="s">
        <v>1253</v>
      </c>
      <c r="C472" s="3">
        <v>1</v>
      </c>
      <c r="D472" s="5">
        <v>24.99</v>
      </c>
      <c r="E472" s="3" t="s">
        <v>2688</v>
      </c>
      <c r="F472" s="2" t="s">
        <v>506</v>
      </c>
      <c r="G472" s="6" t="s">
        <v>205</v>
      </c>
      <c r="H472" s="2" t="s">
        <v>426</v>
      </c>
      <c r="I472" s="2" t="s">
        <v>863</v>
      </c>
      <c r="J472" s="2" t="s">
        <v>19</v>
      </c>
      <c r="K472" s="2" t="s">
        <v>2703</v>
      </c>
      <c r="L472" s="7" t="str">
        <f>HYPERLINK("http://slimages.macys.com/is/image/MCY/12667245 ")</f>
        <v xml:space="preserve">http://slimages.macys.com/is/image/MCY/12667245 </v>
      </c>
    </row>
    <row r="473" spans="1:12" ht="24.75" x14ac:dyDescent="0.25">
      <c r="A473" s="4" t="s">
        <v>2687</v>
      </c>
      <c r="B473" s="2" t="s">
        <v>1253</v>
      </c>
      <c r="C473" s="3">
        <v>1</v>
      </c>
      <c r="D473" s="5">
        <v>24.99</v>
      </c>
      <c r="E473" s="3" t="s">
        <v>2688</v>
      </c>
      <c r="F473" s="2" t="s">
        <v>506</v>
      </c>
      <c r="G473" s="6" t="s">
        <v>165</v>
      </c>
      <c r="H473" s="2" t="s">
        <v>426</v>
      </c>
      <c r="I473" s="2" t="s">
        <v>229</v>
      </c>
      <c r="J473" s="2" t="s">
        <v>19</v>
      </c>
      <c r="K473" s="2" t="s">
        <v>253</v>
      </c>
      <c r="L473" s="7" t="str">
        <f>HYPERLINK("http://slimages.macys.com/is/image/MCY/9029356 ")</f>
        <v xml:space="preserve">http://slimages.macys.com/is/image/MCY/9029356 </v>
      </c>
    </row>
    <row r="474" spans="1:12" ht="24.75" x14ac:dyDescent="0.25">
      <c r="A474" s="4" t="s">
        <v>3884</v>
      </c>
      <c r="B474" s="2" t="s">
        <v>1253</v>
      </c>
      <c r="C474" s="3">
        <v>1</v>
      </c>
      <c r="D474" s="5">
        <v>24.99</v>
      </c>
      <c r="E474" s="3" t="s">
        <v>2688</v>
      </c>
      <c r="F474" s="2" t="s">
        <v>506</v>
      </c>
      <c r="G474" s="6" t="s">
        <v>934</v>
      </c>
      <c r="H474" s="2" t="s">
        <v>426</v>
      </c>
      <c r="I474" s="2" t="s">
        <v>863</v>
      </c>
      <c r="J474" s="2" t="s">
        <v>19</v>
      </c>
      <c r="K474" s="2" t="s">
        <v>2703</v>
      </c>
      <c r="L474" s="7" t="str">
        <f>HYPERLINK("http://slimages.macys.com/is/image/MCY/12667245 ")</f>
        <v xml:space="preserve">http://slimages.macys.com/is/image/MCY/12667245 </v>
      </c>
    </row>
    <row r="475" spans="1:12" ht="24.75" x14ac:dyDescent="0.25">
      <c r="A475" s="4" t="s">
        <v>3885</v>
      </c>
      <c r="B475" s="2" t="s">
        <v>1359</v>
      </c>
      <c r="C475" s="3">
        <v>1</v>
      </c>
      <c r="D475" s="5">
        <v>29.99</v>
      </c>
      <c r="E475" s="3" t="s">
        <v>1360</v>
      </c>
      <c r="F475" s="2" t="s">
        <v>26</v>
      </c>
      <c r="G475" s="6" t="s">
        <v>154</v>
      </c>
      <c r="H475" s="2" t="s">
        <v>246</v>
      </c>
      <c r="I475" s="2" t="s">
        <v>229</v>
      </c>
      <c r="J475" s="2" t="s">
        <v>19</v>
      </c>
      <c r="K475" s="2" t="s">
        <v>253</v>
      </c>
      <c r="L475" s="7" t="str">
        <f>HYPERLINK("http://slimages.macys.com/is/image/MCY/8296032 ")</f>
        <v xml:space="preserve">http://slimages.macys.com/is/image/MCY/8296032 </v>
      </c>
    </row>
    <row r="476" spans="1:12" ht="24.75" x14ac:dyDescent="0.25">
      <c r="A476" s="4" t="s">
        <v>3886</v>
      </c>
      <c r="B476" s="2" t="s">
        <v>1362</v>
      </c>
      <c r="C476" s="3">
        <v>1</v>
      </c>
      <c r="D476" s="5">
        <v>29.6</v>
      </c>
      <c r="E476" s="3" t="s">
        <v>1363</v>
      </c>
      <c r="F476" s="2" t="s">
        <v>26</v>
      </c>
      <c r="G476" s="6"/>
      <c r="H476" s="2" t="s">
        <v>312</v>
      </c>
      <c r="I476" s="2" t="s">
        <v>863</v>
      </c>
      <c r="J476" s="2" t="s">
        <v>19</v>
      </c>
      <c r="K476" s="2" t="s">
        <v>253</v>
      </c>
      <c r="L476" s="7" t="str">
        <f>HYPERLINK("http://slimages.macys.com/is/image/MCY/9029356 ")</f>
        <v xml:space="preserve">http://slimages.macys.com/is/image/MCY/9029356 </v>
      </c>
    </row>
    <row r="477" spans="1:12" ht="24.75" x14ac:dyDescent="0.25">
      <c r="A477" s="4" t="s">
        <v>3887</v>
      </c>
      <c r="B477" s="2" t="s">
        <v>1365</v>
      </c>
      <c r="C477" s="3">
        <v>1</v>
      </c>
      <c r="D477" s="5">
        <v>37.130000000000003</v>
      </c>
      <c r="E477" s="3">
        <v>100065803</v>
      </c>
      <c r="F477" s="2" t="s">
        <v>74</v>
      </c>
      <c r="G477" s="6" t="s">
        <v>234</v>
      </c>
      <c r="H477" s="2" t="s">
        <v>194</v>
      </c>
      <c r="I477" s="2" t="s">
        <v>863</v>
      </c>
      <c r="J477" s="2" t="s">
        <v>19</v>
      </c>
      <c r="K477" s="2" t="s">
        <v>253</v>
      </c>
      <c r="L477" s="7" t="str">
        <f>HYPERLINK("http://slimages.macys.com/is/image/MCY/9029356 ")</f>
        <v xml:space="preserve">http://slimages.macys.com/is/image/MCY/9029356 </v>
      </c>
    </row>
    <row r="478" spans="1:12" ht="24.75" x14ac:dyDescent="0.25">
      <c r="A478" s="4" t="s">
        <v>1371</v>
      </c>
      <c r="B478" s="2" t="s">
        <v>1365</v>
      </c>
      <c r="C478" s="3">
        <v>1</v>
      </c>
      <c r="D478" s="5">
        <v>37.130000000000003</v>
      </c>
      <c r="E478" s="3">
        <v>100065803</v>
      </c>
      <c r="F478" s="2" t="s">
        <v>15</v>
      </c>
      <c r="G478" s="6" t="s">
        <v>200</v>
      </c>
      <c r="H478" s="2" t="s">
        <v>194</v>
      </c>
      <c r="I478" s="2" t="s">
        <v>863</v>
      </c>
      <c r="J478" s="2" t="s">
        <v>19</v>
      </c>
      <c r="K478" s="2" t="s">
        <v>253</v>
      </c>
      <c r="L478" s="7" t="str">
        <f>HYPERLINK("http://slimages.macys.com/is/image/MCY/9029356 ")</f>
        <v xml:space="preserve">http://slimages.macys.com/is/image/MCY/9029356 </v>
      </c>
    </row>
    <row r="479" spans="1:12" ht="24.75" x14ac:dyDescent="0.25">
      <c r="A479" s="4" t="s">
        <v>1369</v>
      </c>
      <c r="B479" s="2" t="s">
        <v>1365</v>
      </c>
      <c r="C479" s="3">
        <v>2</v>
      </c>
      <c r="D479" s="5">
        <v>37.130000000000003</v>
      </c>
      <c r="E479" s="3">
        <v>100065803</v>
      </c>
      <c r="F479" s="2" t="s">
        <v>15</v>
      </c>
      <c r="G479" s="6" t="s">
        <v>234</v>
      </c>
      <c r="H479" s="2" t="s">
        <v>194</v>
      </c>
      <c r="I479" s="2" t="s">
        <v>189</v>
      </c>
      <c r="J479" s="2" t="s">
        <v>19</v>
      </c>
      <c r="K479" s="2" t="s">
        <v>160</v>
      </c>
      <c r="L479" s="7" t="str">
        <f>HYPERLINK("http://slimages.macys.com/is/image/MCY/11420487 ")</f>
        <v xml:space="preserve">http://slimages.macys.com/is/image/MCY/11420487 </v>
      </c>
    </row>
    <row r="480" spans="1:12" ht="24.75" x14ac:dyDescent="0.25">
      <c r="A480" s="4" t="s">
        <v>3888</v>
      </c>
      <c r="B480" s="2" t="s">
        <v>1365</v>
      </c>
      <c r="C480" s="3">
        <v>2</v>
      </c>
      <c r="D480" s="5">
        <v>37.130000000000003</v>
      </c>
      <c r="E480" s="3">
        <v>100065803</v>
      </c>
      <c r="F480" s="2" t="s">
        <v>74</v>
      </c>
      <c r="G480" s="6" t="s">
        <v>154</v>
      </c>
      <c r="H480" s="2" t="s">
        <v>194</v>
      </c>
      <c r="I480" s="2" t="s">
        <v>195</v>
      </c>
      <c r="J480" s="2" t="s">
        <v>19</v>
      </c>
      <c r="K480" s="2" t="s">
        <v>648</v>
      </c>
      <c r="L480" s="7" t="str">
        <f>HYPERLINK("http://slimages.macys.com/is/image/MCY/9551966 ")</f>
        <v xml:space="preserve">http://slimages.macys.com/is/image/MCY/9551966 </v>
      </c>
    </row>
    <row r="481" spans="1:12" ht="24.75" x14ac:dyDescent="0.25">
      <c r="A481" s="4" t="s">
        <v>3889</v>
      </c>
      <c r="B481" s="2" t="s">
        <v>1373</v>
      </c>
      <c r="C481" s="3">
        <v>1</v>
      </c>
      <c r="D481" s="5">
        <v>37.130000000000003</v>
      </c>
      <c r="E481" s="3" t="s">
        <v>1374</v>
      </c>
      <c r="F481" s="2" t="s">
        <v>64</v>
      </c>
      <c r="G481" s="6" t="s">
        <v>234</v>
      </c>
      <c r="H481" s="2" t="s">
        <v>194</v>
      </c>
      <c r="I481" s="2" t="s">
        <v>195</v>
      </c>
      <c r="J481" s="2" t="s">
        <v>19</v>
      </c>
      <c r="K481" s="2" t="s">
        <v>353</v>
      </c>
      <c r="L481" s="7" t="str">
        <f>HYPERLINK("http://slimages.macys.com/is/image/MCY/12850008 ")</f>
        <v xml:space="preserve">http://slimages.macys.com/is/image/MCY/12850008 </v>
      </c>
    </row>
    <row r="482" spans="1:12" ht="24.75" x14ac:dyDescent="0.25">
      <c r="A482" s="4" t="s">
        <v>3890</v>
      </c>
      <c r="B482" s="2" t="s">
        <v>1385</v>
      </c>
      <c r="C482" s="3">
        <v>1</v>
      </c>
      <c r="D482" s="5">
        <v>37.130000000000003</v>
      </c>
      <c r="E482" s="3">
        <v>100022370</v>
      </c>
      <c r="F482" s="2" t="s">
        <v>38</v>
      </c>
      <c r="G482" s="6" t="s">
        <v>181</v>
      </c>
      <c r="H482" s="2" t="s">
        <v>194</v>
      </c>
      <c r="I482" s="2" t="s">
        <v>195</v>
      </c>
      <c r="J482" s="2" t="s">
        <v>19</v>
      </c>
      <c r="K482" s="2" t="s">
        <v>353</v>
      </c>
      <c r="L482" s="7" t="str">
        <f>HYPERLINK("http://slimages.macys.com/is/image/MCY/12850008 ")</f>
        <v xml:space="preserve">http://slimages.macys.com/is/image/MCY/12850008 </v>
      </c>
    </row>
    <row r="483" spans="1:12" ht="24.75" x14ac:dyDescent="0.25">
      <c r="A483" s="4" t="s">
        <v>1377</v>
      </c>
      <c r="B483" s="2" t="s">
        <v>1330</v>
      </c>
      <c r="C483" s="3">
        <v>1</v>
      </c>
      <c r="D483" s="5">
        <v>37.130000000000003</v>
      </c>
      <c r="E483" s="3" t="s">
        <v>1331</v>
      </c>
      <c r="F483" s="2" t="s">
        <v>125</v>
      </c>
      <c r="G483" s="6" t="s">
        <v>154</v>
      </c>
      <c r="H483" s="2" t="s">
        <v>194</v>
      </c>
      <c r="I483" s="2" t="s">
        <v>195</v>
      </c>
      <c r="J483" s="2" t="s">
        <v>19</v>
      </c>
      <c r="K483" s="2" t="s">
        <v>353</v>
      </c>
      <c r="L483" s="7" t="str">
        <f>HYPERLINK("http://slimages.macys.com/is/image/MCY/12850008 ")</f>
        <v xml:space="preserve">http://slimages.macys.com/is/image/MCY/12850008 </v>
      </c>
    </row>
    <row r="484" spans="1:12" ht="24.75" x14ac:dyDescent="0.25">
      <c r="A484" s="4" t="s">
        <v>2711</v>
      </c>
      <c r="B484" s="2" t="s">
        <v>1381</v>
      </c>
      <c r="C484" s="3">
        <v>1</v>
      </c>
      <c r="D484" s="5">
        <v>37.130000000000003</v>
      </c>
      <c r="E484" s="3" t="s">
        <v>1382</v>
      </c>
      <c r="F484" s="2" t="s">
        <v>170</v>
      </c>
      <c r="G484" s="6" t="s">
        <v>154</v>
      </c>
      <c r="H484" s="2" t="s">
        <v>194</v>
      </c>
      <c r="I484" s="2" t="s">
        <v>195</v>
      </c>
      <c r="J484" s="2" t="s">
        <v>19</v>
      </c>
      <c r="K484" s="2" t="s">
        <v>353</v>
      </c>
      <c r="L484" s="7" t="str">
        <f>HYPERLINK("http://slimages.macys.com/is/image/MCY/12850008 ")</f>
        <v xml:space="preserve">http://slimages.macys.com/is/image/MCY/12850008 </v>
      </c>
    </row>
    <row r="485" spans="1:12" ht="24.75" x14ac:dyDescent="0.25">
      <c r="A485" s="4" t="s">
        <v>1380</v>
      </c>
      <c r="B485" s="2" t="s">
        <v>1381</v>
      </c>
      <c r="C485" s="3">
        <v>1</v>
      </c>
      <c r="D485" s="5">
        <v>37.130000000000003</v>
      </c>
      <c r="E485" s="3" t="s">
        <v>1382</v>
      </c>
      <c r="F485" s="2" t="s">
        <v>170</v>
      </c>
      <c r="G485" s="6" t="s">
        <v>181</v>
      </c>
      <c r="H485" s="2" t="s">
        <v>194</v>
      </c>
      <c r="I485" s="2" t="s">
        <v>195</v>
      </c>
      <c r="J485" s="2" t="s">
        <v>19</v>
      </c>
      <c r="K485" s="2" t="s">
        <v>247</v>
      </c>
      <c r="L485" s="7" t="str">
        <f>HYPERLINK("http://slimages.macys.com/is/image/MCY/12034795 ")</f>
        <v xml:space="preserve">http://slimages.macys.com/is/image/MCY/12034795 </v>
      </c>
    </row>
    <row r="486" spans="1:12" ht="24.75" x14ac:dyDescent="0.25">
      <c r="A486" s="4" t="s">
        <v>3891</v>
      </c>
      <c r="B486" s="2" t="s">
        <v>3892</v>
      </c>
      <c r="C486" s="3">
        <v>1</v>
      </c>
      <c r="D486" s="5">
        <v>29.63</v>
      </c>
      <c r="E486" s="3">
        <v>100022669</v>
      </c>
      <c r="F486" s="2" t="s">
        <v>125</v>
      </c>
      <c r="G486" s="6" t="s">
        <v>245</v>
      </c>
      <c r="H486" s="2" t="s">
        <v>194</v>
      </c>
      <c r="I486" s="2" t="s">
        <v>195</v>
      </c>
      <c r="J486" s="2" t="s">
        <v>19</v>
      </c>
      <c r="K486" s="2" t="s">
        <v>247</v>
      </c>
      <c r="L486" s="7" t="str">
        <f>HYPERLINK("http://slimages.macys.com/is/image/MCY/12280159 ")</f>
        <v xml:space="preserve">http://slimages.macys.com/is/image/MCY/12280159 </v>
      </c>
    </row>
    <row r="487" spans="1:12" ht="24.75" x14ac:dyDescent="0.25">
      <c r="A487" s="4" t="s">
        <v>3893</v>
      </c>
      <c r="B487" s="2" t="s">
        <v>3892</v>
      </c>
      <c r="C487" s="3">
        <v>1</v>
      </c>
      <c r="D487" s="5">
        <v>29.63</v>
      </c>
      <c r="E487" s="3">
        <v>100022669</v>
      </c>
      <c r="F487" s="2" t="s">
        <v>125</v>
      </c>
      <c r="G487" s="6" t="s">
        <v>154</v>
      </c>
      <c r="H487" s="2" t="s">
        <v>194</v>
      </c>
      <c r="I487" s="2" t="s">
        <v>195</v>
      </c>
      <c r="J487" s="2" t="s">
        <v>19</v>
      </c>
      <c r="K487" s="2" t="s">
        <v>247</v>
      </c>
      <c r="L487" s="7" t="str">
        <f>HYPERLINK("http://slimages.macys.com/is/image/MCY/10889638 ")</f>
        <v xml:space="preserve">http://slimages.macys.com/is/image/MCY/10889638 </v>
      </c>
    </row>
    <row r="488" spans="1:12" ht="24.75" x14ac:dyDescent="0.25">
      <c r="A488" s="4" t="s">
        <v>3894</v>
      </c>
      <c r="B488" s="2" t="s">
        <v>3892</v>
      </c>
      <c r="C488" s="3">
        <v>1</v>
      </c>
      <c r="D488" s="5">
        <v>29.63</v>
      </c>
      <c r="E488" s="3">
        <v>100022669</v>
      </c>
      <c r="F488" s="2" t="s">
        <v>125</v>
      </c>
      <c r="G488" s="6" t="s">
        <v>156</v>
      </c>
      <c r="H488" s="2" t="s">
        <v>194</v>
      </c>
      <c r="I488" s="2" t="s">
        <v>195</v>
      </c>
      <c r="J488" s="2" t="s">
        <v>19</v>
      </c>
      <c r="K488" s="2" t="s">
        <v>247</v>
      </c>
      <c r="L488" s="7" t="str">
        <f>HYPERLINK("http://slimages.macys.com/is/image/MCY/12668006 ")</f>
        <v xml:space="preserve">http://slimages.macys.com/is/image/MCY/12668006 </v>
      </c>
    </row>
    <row r="489" spans="1:12" ht="24.75" x14ac:dyDescent="0.25">
      <c r="A489" s="4" t="s">
        <v>3895</v>
      </c>
      <c r="B489" s="2" t="s">
        <v>1388</v>
      </c>
      <c r="C489" s="3">
        <v>1</v>
      </c>
      <c r="D489" s="5">
        <v>29.63</v>
      </c>
      <c r="E489" s="3" t="s">
        <v>1389</v>
      </c>
      <c r="F489" s="2" t="s">
        <v>111</v>
      </c>
      <c r="G489" s="6" t="s">
        <v>156</v>
      </c>
      <c r="H489" s="2" t="s">
        <v>194</v>
      </c>
      <c r="I489" s="2" t="s">
        <v>195</v>
      </c>
      <c r="J489" s="2" t="s">
        <v>19</v>
      </c>
      <c r="K489" s="2" t="s">
        <v>247</v>
      </c>
      <c r="L489" s="7" t="str">
        <f>HYPERLINK("http://slimages.macys.com/is/image/MCY/12668006 ")</f>
        <v xml:space="preserve">http://slimages.macys.com/is/image/MCY/12668006 </v>
      </c>
    </row>
    <row r="490" spans="1:12" ht="60.75" x14ac:dyDescent="0.25">
      <c r="A490" s="4" t="s">
        <v>1387</v>
      </c>
      <c r="B490" s="2" t="s">
        <v>1388</v>
      </c>
      <c r="C490" s="3">
        <v>1</v>
      </c>
      <c r="D490" s="5">
        <v>29.63</v>
      </c>
      <c r="E490" s="3" t="s">
        <v>1389</v>
      </c>
      <c r="F490" s="2" t="s">
        <v>111</v>
      </c>
      <c r="G490" s="6" t="s">
        <v>154</v>
      </c>
      <c r="H490" s="2" t="s">
        <v>194</v>
      </c>
      <c r="I490" s="2" t="s">
        <v>1398</v>
      </c>
      <c r="J490" s="2" t="s">
        <v>19</v>
      </c>
      <c r="K490" s="2" t="s">
        <v>1399</v>
      </c>
      <c r="L490" s="7" t="str">
        <f>HYPERLINK("http://slimages.macys.com/is/image/MCY/13368177 ")</f>
        <v xml:space="preserve">http://slimages.macys.com/is/image/MCY/13368177 </v>
      </c>
    </row>
    <row r="491" spans="1:12" ht="60.75" x14ac:dyDescent="0.25">
      <c r="A491" s="4" t="s">
        <v>3896</v>
      </c>
      <c r="B491" s="2" t="s">
        <v>3897</v>
      </c>
      <c r="C491" s="3">
        <v>1</v>
      </c>
      <c r="D491" s="5">
        <v>65</v>
      </c>
      <c r="E491" s="3" t="s">
        <v>3898</v>
      </c>
      <c r="F491" s="2" t="s">
        <v>887</v>
      </c>
      <c r="G491" s="6" t="s">
        <v>794</v>
      </c>
      <c r="H491" s="2" t="s">
        <v>447</v>
      </c>
      <c r="I491" s="2" t="s">
        <v>1398</v>
      </c>
      <c r="J491" s="2" t="s">
        <v>19</v>
      </c>
      <c r="K491" s="2" t="s">
        <v>1399</v>
      </c>
      <c r="L491" s="7" t="str">
        <f>HYPERLINK("http://slimages.macys.com/is/image/MCY/13368177 ")</f>
        <v xml:space="preserve">http://slimages.macys.com/is/image/MCY/13368177 </v>
      </c>
    </row>
    <row r="492" spans="1:12" ht="60.75" x14ac:dyDescent="0.25">
      <c r="A492" s="4" t="s">
        <v>3899</v>
      </c>
      <c r="B492" s="2" t="s">
        <v>3900</v>
      </c>
      <c r="C492" s="3">
        <v>1</v>
      </c>
      <c r="D492" s="5">
        <v>24.99</v>
      </c>
      <c r="E492" s="3" t="s">
        <v>3901</v>
      </c>
      <c r="F492" s="2" t="s">
        <v>15</v>
      </c>
      <c r="G492" s="6" t="s">
        <v>154</v>
      </c>
      <c r="H492" s="2" t="s">
        <v>1522</v>
      </c>
      <c r="I492" s="2" t="s">
        <v>1398</v>
      </c>
      <c r="J492" s="2" t="s">
        <v>19</v>
      </c>
      <c r="K492" s="2" t="s">
        <v>1399</v>
      </c>
      <c r="L492" s="7" t="str">
        <f>HYPERLINK("http://slimages.macys.com/is/image/MCY/13368177 ")</f>
        <v xml:space="preserve">http://slimages.macys.com/is/image/MCY/13368177 </v>
      </c>
    </row>
    <row r="493" spans="1:12" ht="36.75" x14ac:dyDescent="0.25">
      <c r="A493" s="4" t="s">
        <v>3902</v>
      </c>
      <c r="B493" s="2" t="s">
        <v>1394</v>
      </c>
      <c r="C493" s="3">
        <v>1</v>
      </c>
      <c r="D493" s="5">
        <v>36.5</v>
      </c>
      <c r="E493" s="3" t="s">
        <v>3903</v>
      </c>
      <c r="F493" s="2" t="s">
        <v>15</v>
      </c>
      <c r="G493" s="6" t="s">
        <v>234</v>
      </c>
      <c r="H493" s="2" t="s">
        <v>194</v>
      </c>
      <c r="I493" s="2" t="s">
        <v>195</v>
      </c>
      <c r="J493" s="2" t="s">
        <v>19</v>
      </c>
      <c r="K493" s="2" t="s">
        <v>1390</v>
      </c>
      <c r="L493" s="7" t="str">
        <f>HYPERLINK("http://slimages.macys.com/is/image/MCY/12734335 ")</f>
        <v xml:space="preserve">http://slimages.macys.com/is/image/MCY/12734335 </v>
      </c>
    </row>
    <row r="494" spans="1:12" ht="36.75" x14ac:dyDescent="0.25">
      <c r="A494" s="4" t="s">
        <v>3904</v>
      </c>
      <c r="B494" s="2" t="s">
        <v>2718</v>
      </c>
      <c r="C494" s="3">
        <v>1</v>
      </c>
      <c r="D494" s="5">
        <v>34.880000000000003</v>
      </c>
      <c r="E494" s="3">
        <v>100054890</v>
      </c>
      <c r="F494" s="2" t="s">
        <v>26</v>
      </c>
      <c r="G494" s="6" t="s">
        <v>22</v>
      </c>
      <c r="H494" s="2" t="s">
        <v>194</v>
      </c>
      <c r="I494" s="2" t="s">
        <v>195</v>
      </c>
      <c r="J494" s="2" t="s">
        <v>19</v>
      </c>
      <c r="K494" s="2" t="s">
        <v>1390</v>
      </c>
      <c r="L494" s="7" t="str">
        <f>HYPERLINK("http://slimages.macys.com/is/image/MCY/12734335 ")</f>
        <v xml:space="preserve">http://slimages.macys.com/is/image/MCY/12734335 </v>
      </c>
    </row>
    <row r="495" spans="1:12" ht="24.75" x14ac:dyDescent="0.25">
      <c r="A495" s="4" t="s">
        <v>3905</v>
      </c>
      <c r="B495" s="2" t="s">
        <v>2718</v>
      </c>
      <c r="C495" s="3">
        <v>2</v>
      </c>
      <c r="D495" s="5">
        <v>34.880000000000003</v>
      </c>
      <c r="E495" s="3">
        <v>100054890</v>
      </c>
      <c r="F495" s="2" t="s">
        <v>26</v>
      </c>
      <c r="G495" s="6" t="s">
        <v>27</v>
      </c>
      <c r="H495" s="2" t="s">
        <v>194</v>
      </c>
      <c r="I495" s="2" t="s">
        <v>792</v>
      </c>
      <c r="J495" s="2" t="s">
        <v>19</v>
      </c>
      <c r="K495" s="2" t="s">
        <v>160</v>
      </c>
      <c r="L495" s="7" t="str">
        <f>HYPERLINK("http://slimages.macys.com/is/image/MCY/13941347 ")</f>
        <v xml:space="preserve">http://slimages.macys.com/is/image/MCY/13941347 </v>
      </c>
    </row>
    <row r="496" spans="1:12" ht="24.75" x14ac:dyDescent="0.25">
      <c r="A496" s="4" t="s">
        <v>3906</v>
      </c>
      <c r="B496" s="2" t="s">
        <v>1402</v>
      </c>
      <c r="C496" s="3">
        <v>1</v>
      </c>
      <c r="D496" s="5">
        <v>37.130000000000003</v>
      </c>
      <c r="E496" s="3" t="s">
        <v>1403</v>
      </c>
      <c r="F496" s="2" t="s">
        <v>376</v>
      </c>
      <c r="G496" s="6" t="s">
        <v>126</v>
      </c>
      <c r="H496" s="2" t="s">
        <v>312</v>
      </c>
      <c r="I496" s="2" t="s">
        <v>1469</v>
      </c>
      <c r="J496" s="2" t="s">
        <v>19</v>
      </c>
      <c r="K496" s="2" t="s">
        <v>648</v>
      </c>
      <c r="L496" s="7" t="str">
        <f>HYPERLINK("http://slimages.macys.com/is/image/MCY/11989729 ")</f>
        <v xml:space="preserve">http://slimages.macys.com/is/image/MCY/11989729 </v>
      </c>
    </row>
    <row r="497" spans="1:12" ht="24.75" x14ac:dyDescent="0.25">
      <c r="A497" s="4" t="s">
        <v>3907</v>
      </c>
      <c r="B497" s="2" t="s">
        <v>3908</v>
      </c>
      <c r="C497" s="3">
        <v>1</v>
      </c>
      <c r="D497" s="5">
        <v>24.99</v>
      </c>
      <c r="E497" s="3" t="s">
        <v>3909</v>
      </c>
      <c r="F497" s="2" t="s">
        <v>74</v>
      </c>
      <c r="G497" s="6" t="s">
        <v>154</v>
      </c>
      <c r="H497" s="2" t="s">
        <v>1473</v>
      </c>
      <c r="I497" s="2" t="s">
        <v>195</v>
      </c>
      <c r="J497" s="2" t="s">
        <v>19</v>
      </c>
      <c r="K497" s="2" t="s">
        <v>34</v>
      </c>
      <c r="L497" s="7" t="str">
        <f>HYPERLINK("http://slimages.macys.com/is/image/MCY/13367997 ")</f>
        <v xml:space="preserve">http://slimages.macys.com/is/image/MCY/13367997 </v>
      </c>
    </row>
    <row r="498" spans="1:12" ht="24.75" x14ac:dyDescent="0.25">
      <c r="A498" s="4" t="s">
        <v>2722</v>
      </c>
      <c r="B498" s="2" t="s">
        <v>1405</v>
      </c>
      <c r="C498" s="3">
        <v>1</v>
      </c>
      <c r="D498" s="5">
        <v>34.880000000000003</v>
      </c>
      <c r="E498" s="3">
        <v>100042372</v>
      </c>
      <c r="F498" s="2" t="s">
        <v>676</v>
      </c>
      <c r="G498" s="6" t="s">
        <v>58</v>
      </c>
      <c r="H498" s="2" t="s">
        <v>194</v>
      </c>
      <c r="I498" s="2" t="s">
        <v>195</v>
      </c>
      <c r="J498" s="2" t="s">
        <v>19</v>
      </c>
      <c r="K498" s="2" t="s">
        <v>353</v>
      </c>
      <c r="L498" s="7" t="str">
        <f>HYPERLINK("http://slimages.macys.com/is/image/MCY/12331068 ")</f>
        <v xml:space="preserve">http://slimages.macys.com/is/image/MCY/12331068 </v>
      </c>
    </row>
    <row r="499" spans="1:12" ht="24.75" x14ac:dyDescent="0.25">
      <c r="A499" s="4" t="s">
        <v>3910</v>
      </c>
      <c r="B499" s="2" t="s">
        <v>1405</v>
      </c>
      <c r="C499" s="3">
        <v>1</v>
      </c>
      <c r="D499" s="5">
        <v>34.880000000000003</v>
      </c>
      <c r="E499" s="3">
        <v>100042372</v>
      </c>
      <c r="F499" s="2" t="s">
        <v>676</v>
      </c>
      <c r="G499" s="6" t="s">
        <v>141</v>
      </c>
      <c r="H499" s="2" t="s">
        <v>194</v>
      </c>
      <c r="I499" s="2" t="s">
        <v>195</v>
      </c>
      <c r="J499" s="2" t="s">
        <v>19</v>
      </c>
      <c r="K499" s="2" t="s">
        <v>353</v>
      </c>
      <c r="L499" s="7" t="str">
        <f>HYPERLINK("http://slimages.macys.com/is/image/MCY/12331068 ")</f>
        <v xml:space="preserve">http://slimages.macys.com/is/image/MCY/12331068 </v>
      </c>
    </row>
    <row r="500" spans="1:12" ht="24.75" x14ac:dyDescent="0.25">
      <c r="A500" s="4" t="s">
        <v>2726</v>
      </c>
      <c r="B500" s="2" t="s">
        <v>1405</v>
      </c>
      <c r="C500" s="3">
        <v>1</v>
      </c>
      <c r="D500" s="5">
        <v>34.880000000000003</v>
      </c>
      <c r="E500" s="3">
        <v>100042372</v>
      </c>
      <c r="F500" s="2" t="s">
        <v>94</v>
      </c>
      <c r="G500" s="6" t="s">
        <v>16</v>
      </c>
      <c r="H500" s="2" t="s">
        <v>194</v>
      </c>
      <c r="I500" s="2" t="s">
        <v>195</v>
      </c>
      <c r="J500" s="2" t="s">
        <v>19</v>
      </c>
      <c r="K500" s="2" t="s">
        <v>353</v>
      </c>
      <c r="L500" s="7" t="str">
        <f>HYPERLINK("http://slimages.macys.com/is/image/MCY/11934909 ")</f>
        <v xml:space="preserve">http://slimages.macys.com/is/image/MCY/11934909 </v>
      </c>
    </row>
    <row r="501" spans="1:12" ht="24.75" x14ac:dyDescent="0.25">
      <c r="A501" s="4" t="s">
        <v>1408</v>
      </c>
      <c r="B501" s="2" t="s">
        <v>1409</v>
      </c>
      <c r="C501" s="3">
        <v>1</v>
      </c>
      <c r="D501" s="5">
        <v>36.5</v>
      </c>
      <c r="E501" s="3" t="s">
        <v>1410</v>
      </c>
      <c r="F501" s="2" t="s">
        <v>170</v>
      </c>
      <c r="G501" s="6" t="s">
        <v>154</v>
      </c>
      <c r="H501" s="2" t="s">
        <v>194</v>
      </c>
      <c r="I501" s="2" t="s">
        <v>1426</v>
      </c>
      <c r="J501" s="2" t="s">
        <v>19</v>
      </c>
      <c r="K501" s="2" t="s">
        <v>442</v>
      </c>
      <c r="L501" s="7" t="str">
        <f>HYPERLINK("http://slimages.macys.com/is/image/MCY/11417368 ")</f>
        <v xml:space="preserve">http://slimages.macys.com/is/image/MCY/11417368 </v>
      </c>
    </row>
    <row r="502" spans="1:12" ht="24.75" x14ac:dyDescent="0.25">
      <c r="A502" s="4" t="s">
        <v>3911</v>
      </c>
      <c r="B502" s="2" t="s">
        <v>1409</v>
      </c>
      <c r="C502" s="3">
        <v>2</v>
      </c>
      <c r="D502" s="5">
        <v>36.5</v>
      </c>
      <c r="E502" s="3" t="s">
        <v>1410</v>
      </c>
      <c r="F502" s="2" t="s">
        <v>170</v>
      </c>
      <c r="G502" s="6" t="s">
        <v>156</v>
      </c>
      <c r="H502" s="2" t="s">
        <v>194</v>
      </c>
      <c r="I502" s="2" t="s">
        <v>195</v>
      </c>
      <c r="J502" s="2" t="s">
        <v>19</v>
      </c>
      <c r="K502" s="2" t="s">
        <v>353</v>
      </c>
      <c r="L502" s="7" t="str">
        <f>HYPERLINK("http://slimages.macys.com/is/image/MCY/11935225 ")</f>
        <v xml:space="preserve">http://slimages.macys.com/is/image/MCY/11935225 </v>
      </c>
    </row>
    <row r="503" spans="1:12" ht="24.75" x14ac:dyDescent="0.25">
      <c r="A503" s="4" t="s">
        <v>3912</v>
      </c>
      <c r="B503" s="2" t="s">
        <v>3913</v>
      </c>
      <c r="C503" s="3">
        <v>1</v>
      </c>
      <c r="D503" s="5">
        <v>29.63</v>
      </c>
      <c r="E503" s="3" t="s">
        <v>3914</v>
      </c>
      <c r="F503" s="2" t="s">
        <v>15</v>
      </c>
      <c r="G503" s="6" t="s">
        <v>181</v>
      </c>
      <c r="H503" s="2" t="s">
        <v>194</v>
      </c>
      <c r="I503" s="2" t="s">
        <v>195</v>
      </c>
      <c r="J503" s="2" t="s">
        <v>19</v>
      </c>
      <c r="K503" s="2" t="s">
        <v>353</v>
      </c>
      <c r="L503" s="7" t="str">
        <f>HYPERLINK("http://slimages.macys.com/is/image/MCY/11935225 ")</f>
        <v xml:space="preserve">http://slimages.macys.com/is/image/MCY/11935225 </v>
      </c>
    </row>
    <row r="504" spans="1:12" ht="24.75" x14ac:dyDescent="0.25">
      <c r="A504" s="4" t="s">
        <v>3915</v>
      </c>
      <c r="B504" s="2" t="s">
        <v>3913</v>
      </c>
      <c r="C504" s="3">
        <v>2</v>
      </c>
      <c r="D504" s="5">
        <v>29.63</v>
      </c>
      <c r="E504" s="3" t="s">
        <v>3914</v>
      </c>
      <c r="F504" s="2" t="s">
        <v>125</v>
      </c>
      <c r="G504" s="6" t="s">
        <v>181</v>
      </c>
      <c r="H504" s="2" t="s">
        <v>194</v>
      </c>
      <c r="I504" s="2" t="s">
        <v>195</v>
      </c>
      <c r="J504" s="2" t="s">
        <v>19</v>
      </c>
      <c r="K504" s="2" t="s">
        <v>353</v>
      </c>
      <c r="L504" s="7" t="str">
        <f>HYPERLINK("http://slimages.macys.com/is/image/MCY/11935225 ")</f>
        <v xml:space="preserve">http://slimages.macys.com/is/image/MCY/11935225 </v>
      </c>
    </row>
    <row r="505" spans="1:12" ht="36.75" x14ac:dyDescent="0.25">
      <c r="A505" s="4" t="s">
        <v>1412</v>
      </c>
      <c r="B505" s="2" t="s">
        <v>1413</v>
      </c>
      <c r="C505" s="3">
        <v>1</v>
      </c>
      <c r="D505" s="5">
        <v>29.5</v>
      </c>
      <c r="E505" s="3" t="s">
        <v>1414</v>
      </c>
      <c r="F505" s="2" t="s">
        <v>79</v>
      </c>
      <c r="G505" s="6" t="s">
        <v>154</v>
      </c>
      <c r="H505" s="2" t="s">
        <v>194</v>
      </c>
      <c r="I505" s="2" t="s">
        <v>195</v>
      </c>
      <c r="J505" s="2" t="s">
        <v>19</v>
      </c>
      <c r="K505" s="2" t="s">
        <v>1411</v>
      </c>
      <c r="L505" s="7" t="str">
        <f>HYPERLINK("http://slimages.macys.com/is/image/MCY/11702017 ")</f>
        <v xml:space="preserve">http://slimages.macys.com/is/image/MCY/11702017 </v>
      </c>
    </row>
    <row r="506" spans="1:12" ht="36.75" x14ac:dyDescent="0.25">
      <c r="A506" s="4" t="s">
        <v>2733</v>
      </c>
      <c r="B506" s="2" t="s">
        <v>2734</v>
      </c>
      <c r="C506" s="3">
        <v>1</v>
      </c>
      <c r="D506" s="5">
        <v>29.63</v>
      </c>
      <c r="E506" s="3" t="s">
        <v>2735</v>
      </c>
      <c r="F506" s="2" t="s">
        <v>252</v>
      </c>
      <c r="G506" s="6" t="s">
        <v>234</v>
      </c>
      <c r="H506" s="2" t="s">
        <v>194</v>
      </c>
      <c r="I506" s="2" t="s">
        <v>195</v>
      </c>
      <c r="J506" s="2" t="s">
        <v>19</v>
      </c>
      <c r="K506" s="2" t="s">
        <v>1411</v>
      </c>
      <c r="L506" s="7" t="str">
        <f>HYPERLINK("http://slimages.macys.com/is/image/MCY/11702017 ")</f>
        <v xml:space="preserve">http://slimages.macys.com/is/image/MCY/11702017 </v>
      </c>
    </row>
    <row r="507" spans="1:12" ht="24.75" x14ac:dyDescent="0.25">
      <c r="A507" s="4" t="s">
        <v>2737</v>
      </c>
      <c r="B507" s="2" t="s">
        <v>2734</v>
      </c>
      <c r="C507" s="3">
        <v>2</v>
      </c>
      <c r="D507" s="5">
        <v>29.63</v>
      </c>
      <c r="E507" s="3" t="s">
        <v>2735</v>
      </c>
      <c r="F507" s="2" t="s">
        <v>252</v>
      </c>
      <c r="G507" s="6" t="s">
        <v>156</v>
      </c>
      <c r="H507" s="2" t="s">
        <v>194</v>
      </c>
      <c r="I507" s="2" t="s">
        <v>195</v>
      </c>
      <c r="J507" s="2" t="s">
        <v>19</v>
      </c>
      <c r="K507" s="2" t="s">
        <v>201</v>
      </c>
      <c r="L507" s="7" t="str">
        <f>HYPERLINK("http://slimages.macys.com/is/image/MCY/12404902 ")</f>
        <v xml:space="preserve">http://slimages.macys.com/is/image/MCY/12404902 </v>
      </c>
    </row>
    <row r="508" spans="1:12" ht="24.75" x14ac:dyDescent="0.25">
      <c r="A508" s="4" t="s">
        <v>3916</v>
      </c>
      <c r="B508" s="2" t="s">
        <v>3917</v>
      </c>
      <c r="C508" s="3">
        <v>1</v>
      </c>
      <c r="D508" s="5">
        <v>24.99</v>
      </c>
      <c r="E508" s="3" t="s">
        <v>3918</v>
      </c>
      <c r="F508" s="2" t="s">
        <v>79</v>
      </c>
      <c r="G508" s="6" t="s">
        <v>154</v>
      </c>
      <c r="H508" s="2" t="s">
        <v>1473</v>
      </c>
      <c r="I508" s="2" t="s">
        <v>195</v>
      </c>
      <c r="J508" s="2" t="s">
        <v>19</v>
      </c>
      <c r="K508" s="2" t="s">
        <v>201</v>
      </c>
      <c r="L508" s="7" t="str">
        <f>HYPERLINK("http://slimages.macys.com/is/image/MCY/12404902 ")</f>
        <v xml:space="preserve">http://slimages.macys.com/is/image/MCY/12404902 </v>
      </c>
    </row>
    <row r="509" spans="1:12" ht="24.75" x14ac:dyDescent="0.25">
      <c r="A509" s="4" t="s">
        <v>2739</v>
      </c>
      <c r="B509" s="2" t="s">
        <v>1444</v>
      </c>
      <c r="C509" s="3">
        <v>1</v>
      </c>
      <c r="D509" s="5">
        <v>34.880000000000003</v>
      </c>
      <c r="E509" s="3">
        <v>100042376</v>
      </c>
      <c r="F509" s="2" t="s">
        <v>566</v>
      </c>
      <c r="G509" s="6" t="s">
        <v>22</v>
      </c>
      <c r="H509" s="2" t="s">
        <v>194</v>
      </c>
      <c r="I509" s="2" t="s">
        <v>195</v>
      </c>
      <c r="J509" s="2" t="s">
        <v>19</v>
      </c>
      <c r="K509" s="2" t="s">
        <v>247</v>
      </c>
      <c r="L509" s="7" t="str">
        <f>HYPERLINK("http://slimages.macys.com/is/image/MCY/12063860 ")</f>
        <v xml:space="preserve">http://slimages.macys.com/is/image/MCY/12063860 </v>
      </c>
    </row>
    <row r="510" spans="1:12" ht="24.75" x14ac:dyDescent="0.25">
      <c r="A510" s="4" t="s">
        <v>3919</v>
      </c>
      <c r="B510" s="2" t="s">
        <v>1444</v>
      </c>
      <c r="C510" s="3">
        <v>1</v>
      </c>
      <c r="D510" s="5">
        <v>34.880000000000003</v>
      </c>
      <c r="E510" s="3">
        <v>100042376</v>
      </c>
      <c r="F510" s="2" t="s">
        <v>257</v>
      </c>
      <c r="G510" s="6" t="s">
        <v>27</v>
      </c>
      <c r="H510" s="2" t="s">
        <v>194</v>
      </c>
      <c r="I510" s="2" t="s">
        <v>195</v>
      </c>
      <c r="J510" s="2" t="s">
        <v>19</v>
      </c>
      <c r="K510" s="2" t="s">
        <v>137</v>
      </c>
      <c r="L510" s="7" t="str">
        <f>HYPERLINK("http://slimages.macys.com/is/image/MCY/12279918 ")</f>
        <v xml:space="preserve">http://slimages.macys.com/is/image/MCY/12279918 </v>
      </c>
    </row>
    <row r="511" spans="1:12" ht="24.75" x14ac:dyDescent="0.25">
      <c r="A511" s="4" t="s">
        <v>3920</v>
      </c>
      <c r="B511" s="2" t="s">
        <v>1416</v>
      </c>
      <c r="C511" s="3">
        <v>1</v>
      </c>
      <c r="D511" s="5">
        <v>21.99</v>
      </c>
      <c r="E511" s="3" t="s">
        <v>1451</v>
      </c>
      <c r="F511" s="2" t="s">
        <v>79</v>
      </c>
      <c r="G511" s="6" t="s">
        <v>16</v>
      </c>
      <c r="H511" s="2" t="s">
        <v>194</v>
      </c>
      <c r="I511" s="2" t="s">
        <v>195</v>
      </c>
      <c r="J511" s="2" t="s">
        <v>19</v>
      </c>
      <c r="K511" s="2" t="s">
        <v>137</v>
      </c>
      <c r="L511" s="7" t="str">
        <f>HYPERLINK("http://slimages.macys.com/is/image/MCY/12279918 ")</f>
        <v xml:space="preserve">http://slimages.macys.com/is/image/MCY/12279918 </v>
      </c>
    </row>
    <row r="512" spans="1:12" ht="24.75" x14ac:dyDescent="0.25">
      <c r="A512" s="4" t="s">
        <v>3921</v>
      </c>
      <c r="B512" s="2" t="s">
        <v>2746</v>
      </c>
      <c r="C512" s="3">
        <v>3</v>
      </c>
      <c r="D512" s="5">
        <v>29.5</v>
      </c>
      <c r="E512" s="3" t="s">
        <v>2747</v>
      </c>
      <c r="F512" s="2" t="s">
        <v>74</v>
      </c>
      <c r="G512" s="6"/>
      <c r="H512" s="2" t="s">
        <v>312</v>
      </c>
      <c r="I512" s="2" t="s">
        <v>1426</v>
      </c>
      <c r="J512" s="2" t="s">
        <v>19</v>
      </c>
      <c r="K512" s="2" t="s">
        <v>1431</v>
      </c>
      <c r="L512" s="7" t="str">
        <f>HYPERLINK("http://slimages.macys.com/is/image/MCY/10746147 ")</f>
        <v xml:space="preserve">http://slimages.macys.com/is/image/MCY/10746147 </v>
      </c>
    </row>
    <row r="513" spans="1:12" ht="24.75" x14ac:dyDescent="0.25">
      <c r="A513" s="4" t="s">
        <v>3922</v>
      </c>
      <c r="B513" s="2" t="s">
        <v>2746</v>
      </c>
      <c r="C513" s="3">
        <v>1</v>
      </c>
      <c r="D513" s="5">
        <v>29.5</v>
      </c>
      <c r="E513" s="3" t="s">
        <v>2747</v>
      </c>
      <c r="F513" s="2" t="s">
        <v>74</v>
      </c>
      <c r="G513" s="6"/>
      <c r="H513" s="2" t="s">
        <v>312</v>
      </c>
      <c r="I513" s="2" t="s">
        <v>195</v>
      </c>
      <c r="J513" s="2" t="s">
        <v>19</v>
      </c>
      <c r="K513" s="2" t="s">
        <v>353</v>
      </c>
      <c r="L513" s="7" t="str">
        <f>HYPERLINK("http://slimages.macys.com/is/image/MCY/11764758 ")</f>
        <v xml:space="preserve">http://slimages.macys.com/is/image/MCY/11764758 </v>
      </c>
    </row>
    <row r="514" spans="1:12" ht="24.75" x14ac:dyDescent="0.25">
      <c r="A514" s="4" t="s">
        <v>3923</v>
      </c>
      <c r="B514" s="2" t="s">
        <v>2746</v>
      </c>
      <c r="C514" s="3">
        <v>1</v>
      </c>
      <c r="D514" s="5">
        <v>29.5</v>
      </c>
      <c r="E514" s="3" t="s">
        <v>2747</v>
      </c>
      <c r="F514" s="2" t="s">
        <v>74</v>
      </c>
      <c r="G514" s="6"/>
      <c r="H514" s="2" t="s">
        <v>312</v>
      </c>
      <c r="I514" s="2" t="s">
        <v>195</v>
      </c>
      <c r="J514" s="2" t="s">
        <v>19</v>
      </c>
      <c r="K514" s="2" t="s">
        <v>353</v>
      </c>
      <c r="L514" s="7" t="str">
        <f>HYPERLINK("http://slimages.macys.com/is/image/MCY/11764758 ")</f>
        <v xml:space="preserve">http://slimages.macys.com/is/image/MCY/11764758 </v>
      </c>
    </row>
    <row r="515" spans="1:12" ht="24.75" x14ac:dyDescent="0.25">
      <c r="A515" s="4" t="s">
        <v>2745</v>
      </c>
      <c r="B515" s="2" t="s">
        <v>2746</v>
      </c>
      <c r="C515" s="3">
        <v>1</v>
      </c>
      <c r="D515" s="5">
        <v>29.5</v>
      </c>
      <c r="E515" s="3" t="s">
        <v>2747</v>
      </c>
      <c r="F515" s="2" t="s">
        <v>74</v>
      </c>
      <c r="G515" s="6"/>
      <c r="H515" s="2" t="s">
        <v>312</v>
      </c>
      <c r="I515" s="2" t="s">
        <v>195</v>
      </c>
      <c r="J515" s="2" t="s">
        <v>19</v>
      </c>
      <c r="K515" s="2" t="s">
        <v>353</v>
      </c>
      <c r="L515" s="7" t="str">
        <f>HYPERLINK("http://slimages.macys.com/is/image/MCY/12033149 ")</f>
        <v xml:space="preserve">http://slimages.macys.com/is/image/MCY/12033149 </v>
      </c>
    </row>
    <row r="516" spans="1:12" ht="24.75" x14ac:dyDescent="0.25">
      <c r="A516" s="4" t="s">
        <v>3924</v>
      </c>
      <c r="B516" s="2" t="s">
        <v>3925</v>
      </c>
      <c r="C516" s="3">
        <v>1</v>
      </c>
      <c r="D516" s="5">
        <v>32.5</v>
      </c>
      <c r="E516" s="3" t="s">
        <v>3926</v>
      </c>
      <c r="F516" s="2" t="s">
        <v>64</v>
      </c>
      <c r="G516" s="6" t="s">
        <v>181</v>
      </c>
      <c r="H516" s="2" t="s">
        <v>246</v>
      </c>
      <c r="I516" s="2" t="s">
        <v>195</v>
      </c>
      <c r="J516" s="2" t="s">
        <v>19</v>
      </c>
      <c r="K516" s="2" t="s">
        <v>1629</v>
      </c>
      <c r="L516" s="7" t="str">
        <f>HYPERLINK("http://slimages.macys.com/is/image/MCY/8604512 ")</f>
        <v xml:space="preserve">http://slimages.macys.com/is/image/MCY/8604512 </v>
      </c>
    </row>
    <row r="517" spans="1:12" ht="24.75" x14ac:dyDescent="0.25">
      <c r="A517" s="4" t="s">
        <v>3927</v>
      </c>
      <c r="B517" s="2" t="s">
        <v>1467</v>
      </c>
      <c r="C517" s="3">
        <v>1</v>
      </c>
      <c r="D517" s="5">
        <v>24.99</v>
      </c>
      <c r="E517" s="3" t="s">
        <v>1468</v>
      </c>
      <c r="F517" s="2" t="s">
        <v>33</v>
      </c>
      <c r="G517" s="6"/>
      <c r="H517" s="2" t="s">
        <v>1425</v>
      </c>
      <c r="I517" s="2" t="s">
        <v>195</v>
      </c>
      <c r="J517" s="2" t="s">
        <v>19</v>
      </c>
      <c r="K517" s="2" t="s">
        <v>1629</v>
      </c>
      <c r="L517" s="7" t="str">
        <f>HYPERLINK("http://slimages.macys.com/is/image/MCY/8604512 ")</f>
        <v xml:space="preserve">http://slimages.macys.com/is/image/MCY/8604512 </v>
      </c>
    </row>
    <row r="518" spans="1:12" ht="24.75" x14ac:dyDescent="0.25">
      <c r="A518" s="4" t="s">
        <v>3928</v>
      </c>
      <c r="B518" s="2" t="s">
        <v>3929</v>
      </c>
      <c r="C518" s="3">
        <v>1</v>
      </c>
      <c r="D518" s="5">
        <v>37.130000000000003</v>
      </c>
      <c r="E518" s="3" t="s">
        <v>3930</v>
      </c>
      <c r="F518" s="2" t="s">
        <v>15</v>
      </c>
      <c r="G518" s="6" t="s">
        <v>154</v>
      </c>
      <c r="H518" s="2" t="s">
        <v>284</v>
      </c>
      <c r="I518" s="2" t="s">
        <v>195</v>
      </c>
      <c r="J518" s="2" t="s">
        <v>19</v>
      </c>
      <c r="K518" s="2" t="s">
        <v>1629</v>
      </c>
      <c r="L518" s="7" t="str">
        <f>HYPERLINK("http://slimages.macys.com/is/image/MCY/8604512 ")</f>
        <v xml:space="preserve">http://slimages.macys.com/is/image/MCY/8604512 </v>
      </c>
    </row>
    <row r="519" spans="1:12" ht="24.75" x14ac:dyDescent="0.25">
      <c r="A519" s="4" t="s">
        <v>2770</v>
      </c>
      <c r="B519" s="2" t="s">
        <v>1486</v>
      </c>
      <c r="C519" s="3">
        <v>1</v>
      </c>
      <c r="D519" s="5">
        <v>39.5</v>
      </c>
      <c r="E519" s="3" t="s">
        <v>1487</v>
      </c>
      <c r="F519" s="2" t="s">
        <v>752</v>
      </c>
      <c r="G519" s="6"/>
      <c r="H519" s="2" t="s">
        <v>206</v>
      </c>
      <c r="I519" s="2" t="s">
        <v>195</v>
      </c>
      <c r="J519" s="2" t="s">
        <v>19</v>
      </c>
      <c r="K519" s="2" t="s">
        <v>1629</v>
      </c>
      <c r="L519" s="7" t="str">
        <f>HYPERLINK("http://slimages.macys.com/is/image/MCY/8604512 ")</f>
        <v xml:space="preserve">http://slimages.macys.com/is/image/MCY/8604512 </v>
      </c>
    </row>
    <row r="520" spans="1:12" ht="24.75" x14ac:dyDescent="0.25">
      <c r="A520" s="4" t="s">
        <v>3931</v>
      </c>
      <c r="B520" s="2" t="s">
        <v>2773</v>
      </c>
      <c r="C520" s="3">
        <v>1</v>
      </c>
      <c r="D520" s="5">
        <v>34.5</v>
      </c>
      <c r="E520" s="3">
        <v>100053907</v>
      </c>
      <c r="F520" s="2" t="s">
        <v>89</v>
      </c>
      <c r="G520" s="6" t="s">
        <v>16</v>
      </c>
      <c r="H520" s="2" t="s">
        <v>228</v>
      </c>
      <c r="I520" s="2" t="s">
        <v>189</v>
      </c>
      <c r="J520" s="2" t="s">
        <v>19</v>
      </c>
      <c r="K520" s="2" t="s">
        <v>160</v>
      </c>
      <c r="L520" s="7" t="str">
        <f>HYPERLINK("http://slimages.macys.com/is/image/MCY/9550387 ")</f>
        <v xml:space="preserve">http://slimages.macys.com/is/image/MCY/9550387 </v>
      </c>
    </row>
    <row r="521" spans="1:12" ht="24.75" x14ac:dyDescent="0.25">
      <c r="A521" s="4" t="s">
        <v>3932</v>
      </c>
      <c r="B521" s="2" t="s">
        <v>3820</v>
      </c>
      <c r="C521" s="3">
        <v>1</v>
      </c>
      <c r="D521" s="5">
        <v>24.99</v>
      </c>
      <c r="E521" s="3" t="s">
        <v>3933</v>
      </c>
      <c r="F521" s="2" t="s">
        <v>464</v>
      </c>
      <c r="G521" s="6" t="s">
        <v>156</v>
      </c>
      <c r="H521" s="2" t="s">
        <v>284</v>
      </c>
      <c r="I521" s="2" t="s">
        <v>1469</v>
      </c>
      <c r="J521" s="2" t="s">
        <v>19</v>
      </c>
      <c r="K521" s="2" t="s">
        <v>495</v>
      </c>
      <c r="L521" s="7" t="str">
        <f>HYPERLINK("http://slimages.macys.com/is/image/MCY/11989539 ")</f>
        <v xml:space="preserve">http://slimages.macys.com/is/image/MCY/11989539 </v>
      </c>
    </row>
    <row r="522" spans="1:12" ht="24.75" x14ac:dyDescent="0.25">
      <c r="A522" s="4" t="s">
        <v>3934</v>
      </c>
      <c r="B522" s="2" t="s">
        <v>2779</v>
      </c>
      <c r="C522" s="3">
        <v>1</v>
      </c>
      <c r="D522" s="5">
        <v>29.63</v>
      </c>
      <c r="E522" s="3" t="s">
        <v>2780</v>
      </c>
      <c r="F522" s="2" t="s">
        <v>125</v>
      </c>
      <c r="G522" s="6" t="s">
        <v>154</v>
      </c>
      <c r="H522" s="2" t="s">
        <v>194</v>
      </c>
      <c r="I522" s="2" t="s">
        <v>285</v>
      </c>
      <c r="J522" s="2" t="s">
        <v>19</v>
      </c>
      <c r="K522" s="2" t="s">
        <v>160</v>
      </c>
      <c r="L522" s="7" t="str">
        <f>HYPERLINK("http://slimages.macys.com/is/image/MCY/12672394 ")</f>
        <v xml:space="preserve">http://slimages.macys.com/is/image/MCY/12672394 </v>
      </c>
    </row>
    <row r="523" spans="1:12" ht="24.75" x14ac:dyDescent="0.25">
      <c r="A523" s="4" t="s">
        <v>3935</v>
      </c>
      <c r="B523" s="2" t="s">
        <v>3936</v>
      </c>
      <c r="C523" s="3">
        <v>1</v>
      </c>
      <c r="D523" s="5">
        <v>39.5</v>
      </c>
      <c r="E523" s="3" t="s">
        <v>3937</v>
      </c>
      <c r="F523" s="2" t="s">
        <v>89</v>
      </c>
      <c r="G523" s="6"/>
      <c r="H523" s="2" t="s">
        <v>127</v>
      </c>
      <c r="I523" s="2" t="s">
        <v>207</v>
      </c>
      <c r="J523" s="2" t="s">
        <v>19</v>
      </c>
      <c r="K523" s="2" t="s">
        <v>1488</v>
      </c>
      <c r="L523" s="7" t="str">
        <f>HYPERLINK("http://slimages.macys.com/is/image/MCY/12953073 ")</f>
        <v xml:space="preserve">http://slimages.macys.com/is/image/MCY/12953073 </v>
      </c>
    </row>
    <row r="524" spans="1:12" ht="24.75" x14ac:dyDescent="0.25">
      <c r="A524" s="4" t="s">
        <v>3938</v>
      </c>
      <c r="B524" s="2" t="s">
        <v>1502</v>
      </c>
      <c r="C524" s="3">
        <v>1</v>
      </c>
      <c r="D524" s="5">
        <v>24.99</v>
      </c>
      <c r="E524" s="3" t="s">
        <v>1503</v>
      </c>
      <c r="F524" s="2" t="s">
        <v>15</v>
      </c>
      <c r="G524" s="6"/>
      <c r="H524" s="2" t="s">
        <v>1425</v>
      </c>
      <c r="I524" s="2" t="s">
        <v>857</v>
      </c>
      <c r="J524" s="2" t="s">
        <v>19</v>
      </c>
      <c r="K524" s="2" t="s">
        <v>338</v>
      </c>
      <c r="L524" s="7" t="str">
        <f>HYPERLINK("http://slimages.macys.com/is/image/MCY/12143886 ")</f>
        <v xml:space="preserve">http://slimages.macys.com/is/image/MCY/12143886 </v>
      </c>
    </row>
    <row r="525" spans="1:12" ht="24.75" x14ac:dyDescent="0.25">
      <c r="A525" s="4" t="s">
        <v>3939</v>
      </c>
      <c r="B525" s="2" t="s">
        <v>1516</v>
      </c>
      <c r="C525" s="3">
        <v>2</v>
      </c>
      <c r="D525" s="5">
        <v>24.99</v>
      </c>
      <c r="E525" s="3" t="s">
        <v>1517</v>
      </c>
      <c r="F525" s="2" t="s">
        <v>998</v>
      </c>
      <c r="G525" s="6" t="s">
        <v>16</v>
      </c>
      <c r="H525" s="2" t="s">
        <v>1473</v>
      </c>
      <c r="I525" s="2" t="s">
        <v>285</v>
      </c>
      <c r="J525" s="2"/>
      <c r="K525" s="2"/>
      <c r="L525" s="7" t="str">
        <f>HYPERLINK("http://slimages.macys.com/is/image/MCY/11634887 ")</f>
        <v xml:space="preserve">http://slimages.macys.com/is/image/MCY/11634887 </v>
      </c>
    </row>
    <row r="526" spans="1:12" ht="24.75" x14ac:dyDescent="0.25">
      <c r="A526" s="4" t="s">
        <v>2793</v>
      </c>
      <c r="B526" s="2" t="s">
        <v>1516</v>
      </c>
      <c r="C526" s="3">
        <v>1</v>
      </c>
      <c r="D526" s="5">
        <v>24.99</v>
      </c>
      <c r="E526" s="3" t="s">
        <v>1517</v>
      </c>
      <c r="F526" s="2" t="s">
        <v>998</v>
      </c>
      <c r="G526" s="6" t="s">
        <v>112</v>
      </c>
      <c r="H526" s="2" t="s">
        <v>1473</v>
      </c>
      <c r="I526" s="2" t="s">
        <v>195</v>
      </c>
      <c r="J526" s="2" t="s">
        <v>19</v>
      </c>
      <c r="K526" s="2" t="s">
        <v>247</v>
      </c>
      <c r="L526" s="7" t="str">
        <f>HYPERLINK("http://slimages.macys.com/is/image/MCY/12279859 ")</f>
        <v xml:space="preserve">http://slimages.macys.com/is/image/MCY/12279859 </v>
      </c>
    </row>
    <row r="527" spans="1:12" ht="24.75" x14ac:dyDescent="0.25">
      <c r="A527" s="4" t="s">
        <v>3940</v>
      </c>
      <c r="B527" s="2" t="s">
        <v>1516</v>
      </c>
      <c r="C527" s="3">
        <v>1</v>
      </c>
      <c r="D527" s="5">
        <v>24.99</v>
      </c>
      <c r="E527" s="3" t="s">
        <v>1517</v>
      </c>
      <c r="F527" s="2" t="s">
        <v>74</v>
      </c>
      <c r="G527" s="6" t="s">
        <v>58</v>
      </c>
      <c r="H527" s="2" t="s">
        <v>1473</v>
      </c>
      <c r="I527" s="2" t="s">
        <v>128</v>
      </c>
      <c r="J527" s="2" t="s">
        <v>19</v>
      </c>
      <c r="K527" s="2" t="s">
        <v>247</v>
      </c>
      <c r="L527" s="7" t="str">
        <f>HYPERLINK("http://slimages.macys.com/is/image/MCY/15908129 ")</f>
        <v xml:space="preserve">http://slimages.macys.com/is/image/MCY/15908129 </v>
      </c>
    </row>
    <row r="528" spans="1:12" ht="24.75" x14ac:dyDescent="0.25">
      <c r="A528" s="4" t="s">
        <v>3941</v>
      </c>
      <c r="B528" s="2" t="s">
        <v>1516</v>
      </c>
      <c r="C528" s="3">
        <v>1</v>
      </c>
      <c r="D528" s="5">
        <v>24.99</v>
      </c>
      <c r="E528" s="3" t="s">
        <v>1517</v>
      </c>
      <c r="F528" s="2" t="s">
        <v>74</v>
      </c>
      <c r="G528" s="6" t="s">
        <v>141</v>
      </c>
      <c r="H528" s="2" t="s">
        <v>1473</v>
      </c>
      <c r="I528" s="2" t="s">
        <v>1469</v>
      </c>
      <c r="J528" s="2" t="s">
        <v>19</v>
      </c>
      <c r="K528" s="2" t="s">
        <v>990</v>
      </c>
      <c r="L528" s="7" t="str">
        <f>HYPERLINK("http://slimages.macys.com/is/image/MCY/13048287 ")</f>
        <v xml:space="preserve">http://slimages.macys.com/is/image/MCY/13048287 </v>
      </c>
    </row>
    <row r="529" spans="1:12" ht="24.75" x14ac:dyDescent="0.25">
      <c r="A529" s="4" t="s">
        <v>3942</v>
      </c>
      <c r="B529" s="2" t="s">
        <v>1497</v>
      </c>
      <c r="C529" s="3">
        <v>1</v>
      </c>
      <c r="D529" s="5">
        <v>33</v>
      </c>
      <c r="E529" s="3" t="s">
        <v>1498</v>
      </c>
      <c r="F529" s="2" t="s">
        <v>79</v>
      </c>
      <c r="G529" s="6" t="s">
        <v>794</v>
      </c>
      <c r="H529" s="2" t="s">
        <v>447</v>
      </c>
      <c r="I529" s="2" t="s">
        <v>1426</v>
      </c>
      <c r="J529" s="2" t="s">
        <v>19</v>
      </c>
      <c r="K529" s="2" t="s">
        <v>353</v>
      </c>
      <c r="L529" s="7" t="str">
        <f>HYPERLINK("http://slimages.macys.com/is/image/MCY/11029826 ")</f>
        <v xml:space="preserve">http://slimages.macys.com/is/image/MCY/11029826 </v>
      </c>
    </row>
    <row r="530" spans="1:12" ht="24.75" x14ac:dyDescent="0.25">
      <c r="A530" s="4" t="s">
        <v>1514</v>
      </c>
      <c r="B530" s="2" t="s">
        <v>1512</v>
      </c>
      <c r="C530" s="3">
        <v>1</v>
      </c>
      <c r="D530" s="5">
        <v>24.99</v>
      </c>
      <c r="E530" s="3" t="s">
        <v>1513</v>
      </c>
      <c r="F530" s="2" t="s">
        <v>15</v>
      </c>
      <c r="G530" s="6" t="s">
        <v>934</v>
      </c>
      <c r="H530" s="2" t="s">
        <v>1425</v>
      </c>
      <c r="I530" s="2" t="s">
        <v>1426</v>
      </c>
      <c r="J530" s="2" t="s">
        <v>19</v>
      </c>
      <c r="K530" s="2" t="s">
        <v>353</v>
      </c>
      <c r="L530" s="7" t="str">
        <f>HYPERLINK("http://slimages.macys.com/is/image/MCY/11029826 ")</f>
        <v xml:space="preserve">http://slimages.macys.com/is/image/MCY/11029826 </v>
      </c>
    </row>
    <row r="531" spans="1:12" ht="24.75" x14ac:dyDescent="0.25">
      <c r="A531" s="4" t="s">
        <v>3943</v>
      </c>
      <c r="B531" s="2" t="s">
        <v>1512</v>
      </c>
      <c r="C531" s="3">
        <v>1</v>
      </c>
      <c r="D531" s="5">
        <v>24.99</v>
      </c>
      <c r="E531" s="3" t="s">
        <v>1513</v>
      </c>
      <c r="F531" s="2" t="s">
        <v>15</v>
      </c>
      <c r="G531" s="6" t="s">
        <v>165</v>
      </c>
      <c r="H531" s="2" t="s">
        <v>1425</v>
      </c>
      <c r="I531" s="2" t="s">
        <v>1426</v>
      </c>
      <c r="J531" s="2" t="s">
        <v>19</v>
      </c>
      <c r="K531" s="2" t="s">
        <v>353</v>
      </c>
      <c r="L531" s="7" t="str">
        <f>HYPERLINK("http://slimages.macys.com/is/image/MCY/11029826 ")</f>
        <v xml:space="preserve">http://slimages.macys.com/is/image/MCY/11029826 </v>
      </c>
    </row>
    <row r="532" spans="1:12" ht="24.75" x14ac:dyDescent="0.25">
      <c r="A532" s="4" t="s">
        <v>1524</v>
      </c>
      <c r="B532" s="2" t="s">
        <v>1512</v>
      </c>
      <c r="C532" s="3">
        <v>2</v>
      </c>
      <c r="D532" s="5">
        <v>24.99</v>
      </c>
      <c r="E532" s="3" t="s">
        <v>1513</v>
      </c>
      <c r="F532" s="2" t="s">
        <v>15</v>
      </c>
      <c r="G532" s="6" t="s">
        <v>126</v>
      </c>
      <c r="H532" s="2" t="s">
        <v>1425</v>
      </c>
      <c r="I532" s="2" t="s">
        <v>1426</v>
      </c>
      <c r="J532" s="2" t="s">
        <v>19</v>
      </c>
      <c r="K532" s="2" t="s">
        <v>353</v>
      </c>
      <c r="L532" s="7" t="str">
        <f>HYPERLINK("http://slimages.macys.com/is/image/MCY/11029826 ")</f>
        <v xml:space="preserve">http://slimages.macys.com/is/image/MCY/11029826 </v>
      </c>
    </row>
    <row r="533" spans="1:12" ht="24.75" x14ac:dyDescent="0.25">
      <c r="A533" s="4" t="s">
        <v>1511</v>
      </c>
      <c r="B533" s="2" t="s">
        <v>1512</v>
      </c>
      <c r="C533" s="3">
        <v>1</v>
      </c>
      <c r="D533" s="5">
        <v>24.99</v>
      </c>
      <c r="E533" s="3" t="s">
        <v>1513</v>
      </c>
      <c r="F533" s="2" t="s">
        <v>15</v>
      </c>
      <c r="G533" s="6" t="s">
        <v>205</v>
      </c>
      <c r="H533" s="2" t="s">
        <v>1425</v>
      </c>
      <c r="I533" s="2" t="s">
        <v>792</v>
      </c>
      <c r="J533" s="2" t="s">
        <v>1499</v>
      </c>
      <c r="K533" s="2" t="s">
        <v>160</v>
      </c>
      <c r="L533" s="7" t="str">
        <f>HYPERLINK("http://slimages.macys.com/is/image/MCY/12738119 ")</f>
        <v xml:space="preserve">http://slimages.macys.com/is/image/MCY/12738119 </v>
      </c>
    </row>
    <row r="534" spans="1:12" ht="24.75" x14ac:dyDescent="0.25">
      <c r="A534" s="4" t="s">
        <v>3944</v>
      </c>
      <c r="B534" s="2" t="s">
        <v>1516</v>
      </c>
      <c r="C534" s="3">
        <v>3</v>
      </c>
      <c r="D534" s="5">
        <v>24.99</v>
      </c>
      <c r="E534" s="3" t="s">
        <v>1517</v>
      </c>
      <c r="F534" s="2" t="s">
        <v>74</v>
      </c>
      <c r="G534" s="6" t="s">
        <v>27</v>
      </c>
      <c r="H534" s="2" t="s">
        <v>1473</v>
      </c>
      <c r="I534" s="2" t="s">
        <v>1426</v>
      </c>
      <c r="J534" s="2" t="s">
        <v>19</v>
      </c>
      <c r="K534" s="2" t="s">
        <v>353</v>
      </c>
      <c r="L534" s="7" t="str">
        <f>HYPERLINK("http://slimages.macys.com/is/image/MCY/11029820 ")</f>
        <v xml:space="preserve">http://slimages.macys.com/is/image/MCY/11029820 </v>
      </c>
    </row>
    <row r="535" spans="1:12" ht="24.75" x14ac:dyDescent="0.25">
      <c r="A535" s="4" t="s">
        <v>2792</v>
      </c>
      <c r="B535" s="2" t="s">
        <v>1516</v>
      </c>
      <c r="C535" s="3">
        <v>1</v>
      </c>
      <c r="D535" s="5">
        <v>24.99</v>
      </c>
      <c r="E535" s="3" t="s">
        <v>1517</v>
      </c>
      <c r="F535" s="2" t="s">
        <v>15</v>
      </c>
      <c r="G535" s="6" t="s">
        <v>22</v>
      </c>
      <c r="H535" s="2" t="s">
        <v>1473</v>
      </c>
      <c r="I535" s="2" t="s">
        <v>1426</v>
      </c>
      <c r="J535" s="2" t="s">
        <v>19</v>
      </c>
      <c r="K535" s="2" t="s">
        <v>353</v>
      </c>
      <c r="L535" s="7" t="str">
        <f>HYPERLINK("http://slimages.macys.com/is/image/MCY/11029820 ")</f>
        <v xml:space="preserve">http://slimages.macys.com/is/image/MCY/11029820 </v>
      </c>
    </row>
    <row r="536" spans="1:12" ht="24.75" x14ac:dyDescent="0.25">
      <c r="A536" s="4" t="s">
        <v>1523</v>
      </c>
      <c r="B536" s="2" t="s">
        <v>1508</v>
      </c>
      <c r="C536" s="3">
        <v>1</v>
      </c>
      <c r="D536" s="5">
        <v>26.99</v>
      </c>
      <c r="E536" s="3" t="s">
        <v>1509</v>
      </c>
      <c r="F536" s="2" t="s">
        <v>417</v>
      </c>
      <c r="G536" s="6" t="s">
        <v>112</v>
      </c>
      <c r="H536" s="2" t="s">
        <v>1473</v>
      </c>
      <c r="I536" s="2" t="s">
        <v>1426</v>
      </c>
      <c r="J536" s="2" t="s">
        <v>19</v>
      </c>
      <c r="K536" s="2" t="s">
        <v>353</v>
      </c>
      <c r="L536" s="7" t="str">
        <f>HYPERLINK("http://slimages.macys.com/is/image/MCY/11029820 ")</f>
        <v xml:space="preserve">http://slimages.macys.com/is/image/MCY/11029820 </v>
      </c>
    </row>
    <row r="537" spans="1:12" ht="24.75" x14ac:dyDescent="0.25">
      <c r="A537" s="4" t="s">
        <v>2800</v>
      </c>
      <c r="B537" s="2" t="s">
        <v>1516</v>
      </c>
      <c r="C537" s="3">
        <v>2</v>
      </c>
      <c r="D537" s="5">
        <v>24.99</v>
      </c>
      <c r="E537" s="3" t="s">
        <v>1517</v>
      </c>
      <c r="F537" s="2" t="s">
        <v>998</v>
      </c>
      <c r="G537" s="6" t="s">
        <v>27</v>
      </c>
      <c r="H537" s="2" t="s">
        <v>1473</v>
      </c>
      <c r="I537" s="2" t="s">
        <v>1426</v>
      </c>
      <c r="J537" s="2" t="s">
        <v>19</v>
      </c>
      <c r="K537" s="2" t="s">
        <v>353</v>
      </c>
      <c r="L537" s="7" t="str">
        <f>HYPERLINK("http://slimages.macys.com/is/image/MCY/11029820 ")</f>
        <v xml:space="preserve">http://slimages.macys.com/is/image/MCY/11029820 </v>
      </c>
    </row>
    <row r="538" spans="1:12" ht="24.75" x14ac:dyDescent="0.25">
      <c r="A538" s="4" t="s">
        <v>3945</v>
      </c>
      <c r="B538" s="2" t="s">
        <v>3946</v>
      </c>
      <c r="C538" s="3">
        <v>1</v>
      </c>
      <c r="D538" s="5">
        <v>24.99</v>
      </c>
      <c r="E538" s="3" t="s">
        <v>3947</v>
      </c>
      <c r="F538" s="2" t="s">
        <v>15</v>
      </c>
      <c r="G538" s="6"/>
      <c r="H538" s="2" t="s">
        <v>1425</v>
      </c>
      <c r="I538" s="2" t="s">
        <v>1426</v>
      </c>
      <c r="J538" s="2" t="s">
        <v>19</v>
      </c>
      <c r="K538" s="2" t="s">
        <v>353</v>
      </c>
      <c r="L538" s="7" t="str">
        <f>HYPERLINK("http://slimages.macys.com/is/image/MCY/11029826 ")</f>
        <v xml:space="preserve">http://slimages.macys.com/is/image/MCY/11029826 </v>
      </c>
    </row>
    <row r="539" spans="1:12" ht="24.75" x14ac:dyDescent="0.25">
      <c r="A539" s="4" t="s">
        <v>3948</v>
      </c>
      <c r="B539" s="2" t="s">
        <v>1516</v>
      </c>
      <c r="C539" s="3">
        <v>1</v>
      </c>
      <c r="D539" s="5">
        <v>24.99</v>
      </c>
      <c r="E539" s="3" t="s">
        <v>1517</v>
      </c>
      <c r="F539" s="2" t="s">
        <v>15</v>
      </c>
      <c r="G539" s="6" t="s">
        <v>27</v>
      </c>
      <c r="H539" s="2" t="s">
        <v>1473</v>
      </c>
      <c r="I539" s="2" t="s">
        <v>1426</v>
      </c>
      <c r="J539" s="2" t="s">
        <v>19</v>
      </c>
      <c r="K539" s="2" t="s">
        <v>353</v>
      </c>
      <c r="L539" s="7" t="str">
        <f>HYPERLINK("http://slimages.macys.com/is/image/MCY/11029826 ")</f>
        <v xml:space="preserve">http://slimages.macys.com/is/image/MCY/11029826 </v>
      </c>
    </row>
    <row r="540" spans="1:12" ht="24.75" x14ac:dyDescent="0.25">
      <c r="A540" s="4" t="s">
        <v>3949</v>
      </c>
      <c r="B540" s="2" t="s">
        <v>1516</v>
      </c>
      <c r="C540" s="3">
        <v>1</v>
      </c>
      <c r="D540" s="5">
        <v>24.99</v>
      </c>
      <c r="E540" s="3" t="s">
        <v>1517</v>
      </c>
      <c r="F540" s="2" t="s">
        <v>998</v>
      </c>
      <c r="G540" s="6" t="s">
        <v>106</v>
      </c>
      <c r="H540" s="2" t="s">
        <v>1473</v>
      </c>
      <c r="I540" s="2" t="s">
        <v>1426</v>
      </c>
      <c r="J540" s="2" t="s">
        <v>19</v>
      </c>
      <c r="K540" s="2" t="s">
        <v>353</v>
      </c>
      <c r="L540" s="7" t="str">
        <f>HYPERLINK("http://slimages.macys.com/is/image/MCY/11029993 ")</f>
        <v xml:space="preserve">http://slimages.macys.com/is/image/MCY/11029993 </v>
      </c>
    </row>
    <row r="541" spans="1:12" ht="24.75" x14ac:dyDescent="0.25">
      <c r="A541" s="4" t="s">
        <v>3950</v>
      </c>
      <c r="B541" s="2" t="s">
        <v>2746</v>
      </c>
      <c r="C541" s="3">
        <v>1</v>
      </c>
      <c r="D541" s="5">
        <v>29.5</v>
      </c>
      <c r="E541" s="3" t="s">
        <v>2747</v>
      </c>
      <c r="F541" s="2" t="s">
        <v>15</v>
      </c>
      <c r="G541" s="6"/>
      <c r="H541" s="2" t="s">
        <v>312</v>
      </c>
      <c r="I541" s="2" t="s">
        <v>1426</v>
      </c>
      <c r="J541" s="2" t="s">
        <v>19</v>
      </c>
      <c r="K541" s="2" t="s">
        <v>353</v>
      </c>
      <c r="L541" s="7" t="str">
        <f>HYPERLINK("http://slimages.macys.com/is/image/MCY/11029826 ")</f>
        <v xml:space="preserve">http://slimages.macys.com/is/image/MCY/11029826 </v>
      </c>
    </row>
    <row r="542" spans="1:12" ht="24.75" x14ac:dyDescent="0.25">
      <c r="A542" s="4" t="s">
        <v>3951</v>
      </c>
      <c r="B542" s="2" t="s">
        <v>2746</v>
      </c>
      <c r="C542" s="3">
        <v>1</v>
      </c>
      <c r="D542" s="5">
        <v>29.5</v>
      </c>
      <c r="E542" s="3" t="s">
        <v>2747</v>
      </c>
      <c r="F542" s="2" t="s">
        <v>15</v>
      </c>
      <c r="G542" s="6"/>
      <c r="H542" s="2" t="s">
        <v>312</v>
      </c>
      <c r="I542" s="2" t="s">
        <v>1426</v>
      </c>
      <c r="J542" s="2" t="s">
        <v>19</v>
      </c>
      <c r="K542" s="2" t="s">
        <v>648</v>
      </c>
      <c r="L542" s="7" t="str">
        <f>HYPERLINK("http://slimages.macys.com/is/image/MCY/11456937 ")</f>
        <v xml:space="preserve">http://slimages.macys.com/is/image/MCY/11456937 </v>
      </c>
    </row>
    <row r="543" spans="1:12" ht="24.75" x14ac:dyDescent="0.25">
      <c r="A543" s="4" t="s">
        <v>1535</v>
      </c>
      <c r="B543" s="2" t="s">
        <v>1533</v>
      </c>
      <c r="C543" s="3">
        <v>1</v>
      </c>
      <c r="D543" s="5">
        <v>37.130000000000003</v>
      </c>
      <c r="E543" s="3" t="s">
        <v>1534</v>
      </c>
      <c r="F543" s="2" t="s">
        <v>15</v>
      </c>
      <c r="G543" s="6"/>
      <c r="H543" s="2" t="s">
        <v>312</v>
      </c>
      <c r="I543" s="2" t="s">
        <v>1426</v>
      </c>
      <c r="J543" s="2" t="s">
        <v>19</v>
      </c>
      <c r="K543" s="2" t="s">
        <v>353</v>
      </c>
      <c r="L543" s="7" t="str">
        <f>HYPERLINK("http://slimages.macys.com/is/image/MCY/11029826 ")</f>
        <v xml:space="preserve">http://slimages.macys.com/is/image/MCY/11029826 </v>
      </c>
    </row>
    <row r="544" spans="1:12" ht="24.75" x14ac:dyDescent="0.25">
      <c r="A544" s="4" t="s">
        <v>3952</v>
      </c>
      <c r="B544" s="2" t="s">
        <v>3953</v>
      </c>
      <c r="C544" s="3">
        <v>1</v>
      </c>
      <c r="D544" s="5">
        <v>24.99</v>
      </c>
      <c r="E544" s="3" t="s">
        <v>3954</v>
      </c>
      <c r="F544" s="2" t="s">
        <v>15</v>
      </c>
      <c r="G544" s="6" t="s">
        <v>181</v>
      </c>
      <c r="H544" s="2" t="s">
        <v>1522</v>
      </c>
      <c r="I544" s="2" t="s">
        <v>1426</v>
      </c>
      <c r="J544" s="2" t="s">
        <v>19</v>
      </c>
      <c r="K544" s="2" t="s">
        <v>353</v>
      </c>
      <c r="L544" s="7" t="str">
        <f>HYPERLINK("http://slimages.macys.com/is/image/MCY/11029826 ")</f>
        <v xml:space="preserve">http://slimages.macys.com/is/image/MCY/11029826 </v>
      </c>
    </row>
    <row r="545" spans="1:12" ht="24.75" x14ac:dyDescent="0.25">
      <c r="A545" s="4" t="s">
        <v>2830</v>
      </c>
      <c r="B545" s="2" t="s">
        <v>1539</v>
      </c>
      <c r="C545" s="3">
        <v>2</v>
      </c>
      <c r="D545" s="5">
        <v>26.99</v>
      </c>
      <c r="E545" s="3" t="s">
        <v>1548</v>
      </c>
      <c r="F545" s="2" t="s">
        <v>998</v>
      </c>
      <c r="G545" s="6" t="s">
        <v>126</v>
      </c>
      <c r="H545" s="2" t="s">
        <v>1425</v>
      </c>
      <c r="I545" s="2" t="s">
        <v>195</v>
      </c>
      <c r="J545" s="2" t="s">
        <v>19</v>
      </c>
      <c r="K545" s="2" t="s">
        <v>1629</v>
      </c>
      <c r="L545" s="7" t="str">
        <f>HYPERLINK("http://slimages.macys.com/is/image/MCY/8604512 ")</f>
        <v xml:space="preserve">http://slimages.macys.com/is/image/MCY/8604512 </v>
      </c>
    </row>
    <row r="546" spans="1:12" ht="24.75" x14ac:dyDescent="0.25">
      <c r="A546" s="4" t="s">
        <v>1552</v>
      </c>
      <c r="B546" s="2" t="s">
        <v>1539</v>
      </c>
      <c r="C546" s="3">
        <v>1</v>
      </c>
      <c r="D546" s="5">
        <v>26.99</v>
      </c>
      <c r="E546" s="3" t="s">
        <v>1540</v>
      </c>
      <c r="F546" s="2" t="s">
        <v>998</v>
      </c>
      <c r="G546" s="6" t="s">
        <v>22</v>
      </c>
      <c r="H546" s="2" t="s">
        <v>1473</v>
      </c>
      <c r="I546" s="2" t="s">
        <v>195</v>
      </c>
      <c r="J546" s="2" t="s">
        <v>19</v>
      </c>
      <c r="K546" s="2" t="s">
        <v>1629</v>
      </c>
      <c r="L546" s="7" t="str">
        <f>HYPERLINK("http://slimages.macys.com/is/image/MCY/8604512 ")</f>
        <v xml:space="preserve">http://slimages.macys.com/is/image/MCY/8604512 </v>
      </c>
    </row>
    <row r="547" spans="1:12" ht="24.75" x14ac:dyDescent="0.25">
      <c r="A547" s="4" t="s">
        <v>2826</v>
      </c>
      <c r="B547" s="2" t="s">
        <v>1539</v>
      </c>
      <c r="C547" s="3">
        <v>1</v>
      </c>
      <c r="D547" s="5">
        <v>26.99</v>
      </c>
      <c r="E547" s="3" t="s">
        <v>1540</v>
      </c>
      <c r="F547" s="2" t="s">
        <v>998</v>
      </c>
      <c r="G547" s="6" t="s">
        <v>27</v>
      </c>
      <c r="H547" s="2" t="s">
        <v>1473</v>
      </c>
      <c r="I547" s="2" t="s">
        <v>195</v>
      </c>
      <c r="J547" s="2" t="s">
        <v>19</v>
      </c>
      <c r="K547" s="2" t="s">
        <v>353</v>
      </c>
      <c r="L547" s="7" t="str">
        <f>HYPERLINK("http://slimages.macys.com/is/image/MCY/12035001 ")</f>
        <v xml:space="preserve">http://slimages.macys.com/is/image/MCY/12035001 </v>
      </c>
    </row>
    <row r="548" spans="1:12" ht="24.75" x14ac:dyDescent="0.25">
      <c r="A548" s="4" t="s">
        <v>2815</v>
      </c>
      <c r="B548" s="2" t="s">
        <v>1539</v>
      </c>
      <c r="C548" s="3">
        <v>1</v>
      </c>
      <c r="D548" s="5">
        <v>26.99</v>
      </c>
      <c r="E548" s="3" t="s">
        <v>1540</v>
      </c>
      <c r="F548" s="2" t="s">
        <v>1234</v>
      </c>
      <c r="G548" s="6" t="s">
        <v>58</v>
      </c>
      <c r="H548" s="2" t="s">
        <v>1473</v>
      </c>
      <c r="I548" s="2" t="s">
        <v>1469</v>
      </c>
      <c r="J548" s="2" t="s">
        <v>19</v>
      </c>
      <c r="K548" s="2" t="s">
        <v>353</v>
      </c>
      <c r="L548" s="7" t="str">
        <f>HYPERLINK("http://slimages.macys.com/is/image/MCY/11774245 ")</f>
        <v xml:space="preserve">http://slimages.macys.com/is/image/MCY/11774245 </v>
      </c>
    </row>
    <row r="549" spans="1:12" ht="24.75" x14ac:dyDescent="0.25">
      <c r="A549" s="4" t="s">
        <v>3955</v>
      </c>
      <c r="B549" s="2" t="s">
        <v>1539</v>
      </c>
      <c r="C549" s="3">
        <v>1</v>
      </c>
      <c r="D549" s="5">
        <v>26.99</v>
      </c>
      <c r="E549" s="3" t="s">
        <v>1540</v>
      </c>
      <c r="F549" s="2" t="s">
        <v>70</v>
      </c>
      <c r="G549" s="6" t="s">
        <v>27</v>
      </c>
      <c r="H549" s="2" t="s">
        <v>1473</v>
      </c>
      <c r="I549" s="2" t="s">
        <v>1426</v>
      </c>
      <c r="J549" s="2" t="s">
        <v>19</v>
      </c>
      <c r="K549" s="2" t="s">
        <v>353</v>
      </c>
      <c r="L549" s="7" t="str">
        <f>HYPERLINK("http://slimages.macys.com/is/image/MCY/11092539 ")</f>
        <v xml:space="preserve">http://slimages.macys.com/is/image/MCY/11092539 </v>
      </c>
    </row>
    <row r="550" spans="1:12" ht="24.75" x14ac:dyDescent="0.25">
      <c r="A550" s="4" t="s">
        <v>1546</v>
      </c>
      <c r="B550" s="2" t="s">
        <v>1539</v>
      </c>
      <c r="C550" s="3">
        <v>1</v>
      </c>
      <c r="D550" s="5">
        <v>26.99</v>
      </c>
      <c r="E550" s="3" t="s">
        <v>1540</v>
      </c>
      <c r="F550" s="2" t="s">
        <v>15</v>
      </c>
      <c r="G550" s="6" t="s">
        <v>112</v>
      </c>
      <c r="H550" s="2" t="s">
        <v>1473</v>
      </c>
      <c r="I550" s="2" t="s">
        <v>1426</v>
      </c>
      <c r="J550" s="2" t="s">
        <v>19</v>
      </c>
      <c r="K550" s="2" t="s">
        <v>353</v>
      </c>
      <c r="L550" s="7" t="str">
        <f t="shared" ref="L550:L565" si="4">HYPERLINK("http://slimages.macys.com/is/image/MCY/10786732 ")</f>
        <v xml:space="preserve">http://slimages.macys.com/is/image/MCY/10786732 </v>
      </c>
    </row>
    <row r="551" spans="1:12" ht="24.75" x14ac:dyDescent="0.25">
      <c r="A551" s="4" t="s">
        <v>2821</v>
      </c>
      <c r="B551" s="2" t="s">
        <v>1539</v>
      </c>
      <c r="C551" s="3">
        <v>2</v>
      </c>
      <c r="D551" s="5">
        <v>26.99</v>
      </c>
      <c r="E551" s="3" t="s">
        <v>1540</v>
      </c>
      <c r="F551" s="2" t="s">
        <v>998</v>
      </c>
      <c r="G551" s="6" t="s">
        <v>112</v>
      </c>
      <c r="H551" s="2" t="s">
        <v>1473</v>
      </c>
      <c r="I551" s="2" t="s">
        <v>1426</v>
      </c>
      <c r="J551" s="2" t="s">
        <v>19</v>
      </c>
      <c r="K551" s="2" t="s">
        <v>353</v>
      </c>
      <c r="L551" s="7" t="str">
        <f t="shared" si="4"/>
        <v xml:space="preserve">http://slimages.macys.com/is/image/MCY/10786732 </v>
      </c>
    </row>
    <row r="552" spans="1:12" ht="24.75" x14ac:dyDescent="0.25">
      <c r="A552" s="4" t="s">
        <v>2828</v>
      </c>
      <c r="B552" s="2" t="s">
        <v>1539</v>
      </c>
      <c r="C552" s="3">
        <v>2</v>
      </c>
      <c r="D552" s="5">
        <v>26.99</v>
      </c>
      <c r="E552" s="3" t="s">
        <v>1540</v>
      </c>
      <c r="F552" s="2" t="s">
        <v>74</v>
      </c>
      <c r="G552" s="6" t="s">
        <v>58</v>
      </c>
      <c r="H552" s="2" t="s">
        <v>1473</v>
      </c>
      <c r="I552" s="2" t="s">
        <v>1426</v>
      </c>
      <c r="J552" s="2" t="s">
        <v>19</v>
      </c>
      <c r="K552" s="2" t="s">
        <v>353</v>
      </c>
      <c r="L552" s="7" t="str">
        <f t="shared" si="4"/>
        <v xml:space="preserve">http://slimages.macys.com/is/image/MCY/10786732 </v>
      </c>
    </row>
    <row r="553" spans="1:12" ht="24.75" x14ac:dyDescent="0.25">
      <c r="A553" s="4" t="s">
        <v>3956</v>
      </c>
      <c r="B553" s="2" t="s">
        <v>1539</v>
      </c>
      <c r="C553" s="3">
        <v>1</v>
      </c>
      <c r="D553" s="5">
        <v>26.99</v>
      </c>
      <c r="E553" s="3" t="s">
        <v>1540</v>
      </c>
      <c r="F553" s="2" t="s">
        <v>15</v>
      </c>
      <c r="G553" s="6" t="s">
        <v>27</v>
      </c>
      <c r="H553" s="2" t="s">
        <v>1473</v>
      </c>
      <c r="I553" s="2" t="s">
        <v>1426</v>
      </c>
      <c r="J553" s="2" t="s">
        <v>19</v>
      </c>
      <c r="K553" s="2" t="s">
        <v>353</v>
      </c>
      <c r="L553" s="7" t="str">
        <f t="shared" si="4"/>
        <v xml:space="preserve">http://slimages.macys.com/is/image/MCY/10786732 </v>
      </c>
    </row>
    <row r="554" spans="1:12" ht="24.75" x14ac:dyDescent="0.25">
      <c r="A554" s="4" t="s">
        <v>3957</v>
      </c>
      <c r="B554" s="2" t="s">
        <v>1539</v>
      </c>
      <c r="C554" s="3">
        <v>1</v>
      </c>
      <c r="D554" s="5">
        <v>26.99</v>
      </c>
      <c r="E554" s="3" t="s">
        <v>1540</v>
      </c>
      <c r="F554" s="2" t="s">
        <v>70</v>
      </c>
      <c r="G554" s="6" t="s">
        <v>16</v>
      </c>
      <c r="H554" s="2" t="s">
        <v>1473</v>
      </c>
      <c r="I554" s="2" t="s">
        <v>1426</v>
      </c>
      <c r="J554" s="2" t="s">
        <v>19</v>
      </c>
      <c r="K554" s="2" t="s">
        <v>353</v>
      </c>
      <c r="L554" s="7" t="str">
        <f t="shared" si="4"/>
        <v xml:space="preserve">http://slimages.macys.com/is/image/MCY/10786732 </v>
      </c>
    </row>
    <row r="555" spans="1:12" ht="24.75" x14ac:dyDescent="0.25">
      <c r="A555" s="4" t="s">
        <v>2820</v>
      </c>
      <c r="B555" s="2" t="s">
        <v>1539</v>
      </c>
      <c r="C555" s="3">
        <v>4</v>
      </c>
      <c r="D555" s="5">
        <v>26.99</v>
      </c>
      <c r="E555" s="3" t="s">
        <v>1540</v>
      </c>
      <c r="F555" s="2" t="s">
        <v>998</v>
      </c>
      <c r="G555" s="6" t="s">
        <v>16</v>
      </c>
      <c r="H555" s="2" t="s">
        <v>1473</v>
      </c>
      <c r="I555" s="2" t="s">
        <v>1426</v>
      </c>
      <c r="J555" s="2" t="s">
        <v>19</v>
      </c>
      <c r="K555" s="2" t="s">
        <v>353</v>
      </c>
      <c r="L555" s="7" t="str">
        <f t="shared" si="4"/>
        <v xml:space="preserve">http://slimages.macys.com/is/image/MCY/10786732 </v>
      </c>
    </row>
    <row r="556" spans="1:12" ht="24.75" x14ac:dyDescent="0.25">
      <c r="A556" s="4" t="s">
        <v>2822</v>
      </c>
      <c r="B556" s="2" t="s">
        <v>1539</v>
      </c>
      <c r="C556" s="3">
        <v>2</v>
      </c>
      <c r="D556" s="5">
        <v>26.99</v>
      </c>
      <c r="E556" s="3" t="s">
        <v>1540</v>
      </c>
      <c r="F556" s="2" t="s">
        <v>252</v>
      </c>
      <c r="G556" s="6" t="s">
        <v>27</v>
      </c>
      <c r="H556" s="2" t="s">
        <v>1473</v>
      </c>
      <c r="I556" s="2" t="s">
        <v>1426</v>
      </c>
      <c r="J556" s="2" t="s">
        <v>19</v>
      </c>
      <c r="K556" s="2" t="s">
        <v>353</v>
      </c>
      <c r="L556" s="7" t="str">
        <f t="shared" si="4"/>
        <v xml:space="preserve">http://slimages.macys.com/is/image/MCY/10786732 </v>
      </c>
    </row>
    <row r="557" spans="1:12" ht="24.75" x14ac:dyDescent="0.25">
      <c r="A557" s="4" t="s">
        <v>3958</v>
      </c>
      <c r="B557" s="2" t="s">
        <v>1539</v>
      </c>
      <c r="C557" s="3">
        <v>1</v>
      </c>
      <c r="D557" s="5">
        <v>26.99</v>
      </c>
      <c r="E557" s="3" t="s">
        <v>1540</v>
      </c>
      <c r="F557" s="2" t="s">
        <v>252</v>
      </c>
      <c r="G557" s="6" t="s">
        <v>58</v>
      </c>
      <c r="H557" s="2" t="s">
        <v>1473</v>
      </c>
      <c r="I557" s="2" t="s">
        <v>1426</v>
      </c>
      <c r="J557" s="2" t="s">
        <v>19</v>
      </c>
      <c r="K557" s="2" t="s">
        <v>353</v>
      </c>
      <c r="L557" s="7" t="str">
        <f t="shared" si="4"/>
        <v xml:space="preserve">http://slimages.macys.com/is/image/MCY/10786732 </v>
      </c>
    </row>
    <row r="558" spans="1:12" ht="24.75" x14ac:dyDescent="0.25">
      <c r="A558" s="4" t="s">
        <v>1544</v>
      </c>
      <c r="B558" s="2" t="s">
        <v>1539</v>
      </c>
      <c r="C558" s="3">
        <v>2</v>
      </c>
      <c r="D558" s="5">
        <v>26.99</v>
      </c>
      <c r="E558" s="3" t="s">
        <v>1540</v>
      </c>
      <c r="F558" s="2" t="s">
        <v>252</v>
      </c>
      <c r="G558" s="6" t="s">
        <v>112</v>
      </c>
      <c r="H558" s="2" t="s">
        <v>1473</v>
      </c>
      <c r="I558" s="2" t="s">
        <v>1426</v>
      </c>
      <c r="J558" s="2" t="s">
        <v>19</v>
      </c>
      <c r="K558" s="2" t="s">
        <v>353</v>
      </c>
      <c r="L558" s="7" t="str">
        <f t="shared" si="4"/>
        <v xml:space="preserve">http://slimages.macys.com/is/image/MCY/10786732 </v>
      </c>
    </row>
    <row r="559" spans="1:12" ht="24.75" x14ac:dyDescent="0.25">
      <c r="A559" s="4" t="s">
        <v>3959</v>
      </c>
      <c r="B559" s="2" t="s">
        <v>1539</v>
      </c>
      <c r="C559" s="3">
        <v>2</v>
      </c>
      <c r="D559" s="5">
        <v>26.99</v>
      </c>
      <c r="E559" s="3" t="s">
        <v>1540</v>
      </c>
      <c r="F559" s="2" t="s">
        <v>252</v>
      </c>
      <c r="G559" s="6" t="s">
        <v>16</v>
      </c>
      <c r="H559" s="2" t="s">
        <v>1473</v>
      </c>
      <c r="I559" s="2" t="s">
        <v>1426</v>
      </c>
      <c r="J559" s="2" t="s">
        <v>19</v>
      </c>
      <c r="K559" s="2" t="s">
        <v>353</v>
      </c>
      <c r="L559" s="7" t="str">
        <f t="shared" si="4"/>
        <v xml:space="preserve">http://slimages.macys.com/is/image/MCY/10786732 </v>
      </c>
    </row>
    <row r="560" spans="1:12" ht="24.75" x14ac:dyDescent="0.25">
      <c r="A560" s="4" t="s">
        <v>3960</v>
      </c>
      <c r="B560" s="2" t="s">
        <v>1539</v>
      </c>
      <c r="C560" s="3">
        <v>1</v>
      </c>
      <c r="D560" s="5">
        <v>26.99</v>
      </c>
      <c r="E560" s="3" t="s">
        <v>1540</v>
      </c>
      <c r="F560" s="2" t="s">
        <v>252</v>
      </c>
      <c r="G560" s="6" t="s">
        <v>106</v>
      </c>
      <c r="H560" s="2" t="s">
        <v>1473</v>
      </c>
      <c r="I560" s="2" t="s">
        <v>1426</v>
      </c>
      <c r="J560" s="2" t="s">
        <v>19</v>
      </c>
      <c r="K560" s="2" t="s">
        <v>353</v>
      </c>
      <c r="L560" s="7" t="str">
        <f t="shared" si="4"/>
        <v xml:space="preserve">http://slimages.macys.com/is/image/MCY/10786732 </v>
      </c>
    </row>
    <row r="561" spans="1:12" ht="24.75" x14ac:dyDescent="0.25">
      <c r="A561" s="4" t="s">
        <v>3961</v>
      </c>
      <c r="B561" s="2" t="s">
        <v>1539</v>
      </c>
      <c r="C561" s="3">
        <v>1</v>
      </c>
      <c r="D561" s="5">
        <v>26.99</v>
      </c>
      <c r="E561" s="3" t="s">
        <v>1540</v>
      </c>
      <c r="F561" s="2" t="s">
        <v>70</v>
      </c>
      <c r="G561" s="6" t="s">
        <v>58</v>
      </c>
      <c r="H561" s="2" t="s">
        <v>1473</v>
      </c>
      <c r="I561" s="2" t="s">
        <v>1426</v>
      </c>
      <c r="J561" s="2" t="s">
        <v>19</v>
      </c>
      <c r="K561" s="2" t="s">
        <v>353</v>
      </c>
      <c r="L561" s="7" t="str">
        <f t="shared" si="4"/>
        <v xml:space="preserve">http://slimages.macys.com/is/image/MCY/10786732 </v>
      </c>
    </row>
    <row r="562" spans="1:12" ht="24.75" x14ac:dyDescent="0.25">
      <c r="A562" s="4" t="s">
        <v>3962</v>
      </c>
      <c r="B562" s="2" t="s">
        <v>1539</v>
      </c>
      <c r="C562" s="3">
        <v>1</v>
      </c>
      <c r="D562" s="5">
        <v>26.99</v>
      </c>
      <c r="E562" s="3" t="s">
        <v>1548</v>
      </c>
      <c r="F562" s="2" t="s">
        <v>252</v>
      </c>
      <c r="G562" s="6" t="s">
        <v>934</v>
      </c>
      <c r="H562" s="2" t="s">
        <v>1425</v>
      </c>
      <c r="I562" s="2" t="s">
        <v>1426</v>
      </c>
      <c r="J562" s="2" t="s">
        <v>19</v>
      </c>
      <c r="K562" s="2" t="s">
        <v>353</v>
      </c>
      <c r="L562" s="7" t="str">
        <f t="shared" si="4"/>
        <v xml:space="preserve">http://slimages.macys.com/is/image/MCY/10786732 </v>
      </c>
    </row>
    <row r="563" spans="1:12" ht="24.75" x14ac:dyDescent="0.25">
      <c r="A563" s="4" t="s">
        <v>1550</v>
      </c>
      <c r="B563" s="2" t="s">
        <v>1539</v>
      </c>
      <c r="C563" s="3">
        <v>1</v>
      </c>
      <c r="D563" s="5">
        <v>26.99</v>
      </c>
      <c r="E563" s="3" t="s">
        <v>1548</v>
      </c>
      <c r="F563" s="2" t="s">
        <v>998</v>
      </c>
      <c r="G563" s="6" t="s">
        <v>802</v>
      </c>
      <c r="H563" s="2" t="s">
        <v>1425</v>
      </c>
      <c r="I563" s="2" t="s">
        <v>1426</v>
      </c>
      <c r="J563" s="2" t="s">
        <v>19</v>
      </c>
      <c r="K563" s="2" t="s">
        <v>353</v>
      </c>
      <c r="L563" s="7" t="str">
        <f t="shared" si="4"/>
        <v xml:space="preserve">http://slimages.macys.com/is/image/MCY/10786732 </v>
      </c>
    </row>
    <row r="564" spans="1:12" ht="24.75" x14ac:dyDescent="0.25">
      <c r="A564" s="4" t="s">
        <v>3963</v>
      </c>
      <c r="B564" s="2" t="s">
        <v>1539</v>
      </c>
      <c r="C564" s="3">
        <v>3</v>
      </c>
      <c r="D564" s="5">
        <v>26.99</v>
      </c>
      <c r="E564" s="3" t="s">
        <v>1548</v>
      </c>
      <c r="F564" s="2" t="s">
        <v>998</v>
      </c>
      <c r="G564" s="6" t="s">
        <v>165</v>
      </c>
      <c r="H564" s="2" t="s">
        <v>1425</v>
      </c>
      <c r="I564" s="2" t="s">
        <v>1426</v>
      </c>
      <c r="J564" s="2" t="s">
        <v>19</v>
      </c>
      <c r="K564" s="2" t="s">
        <v>353</v>
      </c>
      <c r="L564" s="7" t="str">
        <f t="shared" si="4"/>
        <v xml:space="preserve">http://slimages.macys.com/is/image/MCY/10786732 </v>
      </c>
    </row>
    <row r="565" spans="1:12" ht="24.75" x14ac:dyDescent="0.25">
      <c r="A565" s="4" t="s">
        <v>3964</v>
      </c>
      <c r="B565" s="2" t="s">
        <v>1539</v>
      </c>
      <c r="C565" s="3">
        <v>1</v>
      </c>
      <c r="D565" s="5">
        <v>26.99</v>
      </c>
      <c r="E565" s="3" t="s">
        <v>1548</v>
      </c>
      <c r="F565" s="2" t="s">
        <v>70</v>
      </c>
      <c r="G565" s="6" t="s">
        <v>126</v>
      </c>
      <c r="H565" s="2" t="s">
        <v>1425</v>
      </c>
      <c r="I565" s="2" t="s">
        <v>1426</v>
      </c>
      <c r="J565" s="2" t="s">
        <v>19</v>
      </c>
      <c r="K565" s="2" t="s">
        <v>353</v>
      </c>
      <c r="L565" s="7" t="str">
        <f t="shared" si="4"/>
        <v xml:space="preserve">http://slimages.macys.com/is/image/MCY/10786732 </v>
      </c>
    </row>
    <row r="566" spans="1:12" ht="24.75" x14ac:dyDescent="0.25">
      <c r="A566" s="4" t="s">
        <v>3965</v>
      </c>
      <c r="B566" s="2" t="s">
        <v>1649</v>
      </c>
      <c r="C566" s="3">
        <v>1</v>
      </c>
      <c r="D566" s="5">
        <v>19.989999999999998</v>
      </c>
      <c r="E566" s="3" t="s">
        <v>1650</v>
      </c>
      <c r="F566" s="2" t="s">
        <v>413</v>
      </c>
      <c r="G566" s="6" t="s">
        <v>234</v>
      </c>
      <c r="H566" s="2" t="s">
        <v>194</v>
      </c>
      <c r="I566" s="2" t="s">
        <v>1426</v>
      </c>
      <c r="J566" s="2" t="s">
        <v>19</v>
      </c>
      <c r="K566" s="2" t="s">
        <v>353</v>
      </c>
      <c r="L566" s="7" t="str">
        <f>HYPERLINK("http://slimages.macys.com/is/image/MCY/11092539 ")</f>
        <v xml:space="preserve">http://slimages.macys.com/is/image/MCY/11092539 </v>
      </c>
    </row>
    <row r="567" spans="1:12" ht="24.75" x14ac:dyDescent="0.25">
      <c r="A567" s="4" t="s">
        <v>3966</v>
      </c>
      <c r="B567" s="2" t="s">
        <v>1559</v>
      </c>
      <c r="C567" s="3">
        <v>1</v>
      </c>
      <c r="D567" s="5">
        <v>24.99</v>
      </c>
      <c r="E567" s="3" t="s">
        <v>3967</v>
      </c>
      <c r="F567" s="2" t="s">
        <v>74</v>
      </c>
      <c r="G567" s="6" t="s">
        <v>154</v>
      </c>
      <c r="H567" s="2" t="s">
        <v>1522</v>
      </c>
      <c r="I567" s="2" t="s">
        <v>1426</v>
      </c>
      <c r="J567" s="2" t="s">
        <v>19</v>
      </c>
      <c r="K567" s="2" t="s">
        <v>353</v>
      </c>
      <c r="L567" s="7" t="str">
        <f>HYPERLINK("http://slimages.macys.com/is/image/MCY/11092539 ")</f>
        <v xml:space="preserve">http://slimages.macys.com/is/image/MCY/11092539 </v>
      </c>
    </row>
    <row r="568" spans="1:12" ht="24.75" x14ac:dyDescent="0.25">
      <c r="A568" s="4" t="s">
        <v>1563</v>
      </c>
      <c r="B568" s="2" t="s">
        <v>1559</v>
      </c>
      <c r="C568" s="3">
        <v>1</v>
      </c>
      <c r="D568" s="5">
        <v>24.99</v>
      </c>
      <c r="E568" s="3" t="s">
        <v>1564</v>
      </c>
      <c r="F568" s="2" t="s">
        <v>26</v>
      </c>
      <c r="G568" s="6" t="s">
        <v>187</v>
      </c>
      <c r="H568" s="2" t="s">
        <v>1425</v>
      </c>
      <c r="I568" s="2" t="s">
        <v>1426</v>
      </c>
      <c r="J568" s="2" t="s">
        <v>19</v>
      </c>
      <c r="K568" s="2" t="s">
        <v>353</v>
      </c>
      <c r="L568" s="7" t="str">
        <f>HYPERLINK("http://slimages.macys.com/is/image/MCY/11092539 ")</f>
        <v xml:space="preserve">http://slimages.macys.com/is/image/MCY/11092539 </v>
      </c>
    </row>
    <row r="569" spans="1:12" ht="24.75" x14ac:dyDescent="0.25">
      <c r="A569" s="4" t="s">
        <v>3968</v>
      </c>
      <c r="B569" s="2" t="s">
        <v>1559</v>
      </c>
      <c r="C569" s="3">
        <v>1</v>
      </c>
      <c r="D569" s="5">
        <v>24.99</v>
      </c>
      <c r="E569" s="3" t="s">
        <v>1564</v>
      </c>
      <c r="F569" s="2" t="s">
        <v>26</v>
      </c>
      <c r="G569" s="6"/>
      <c r="H569" s="2" t="s">
        <v>1425</v>
      </c>
      <c r="I569" s="2" t="s">
        <v>1426</v>
      </c>
      <c r="J569" s="2" t="s">
        <v>19</v>
      </c>
      <c r="K569" s="2" t="s">
        <v>353</v>
      </c>
      <c r="L569" s="7" t="str">
        <f>HYPERLINK("http://slimages.macys.com/is/image/MCY/11092539 ")</f>
        <v xml:space="preserve">http://slimages.macys.com/is/image/MCY/11092539 </v>
      </c>
    </row>
    <row r="570" spans="1:12" ht="24.75" x14ac:dyDescent="0.25">
      <c r="A570" s="4" t="s">
        <v>3969</v>
      </c>
      <c r="B570" s="2" t="s">
        <v>1529</v>
      </c>
      <c r="C570" s="3">
        <v>1</v>
      </c>
      <c r="D570" s="5">
        <v>37.130000000000003</v>
      </c>
      <c r="E570" s="3">
        <v>100015461</v>
      </c>
      <c r="F570" s="2" t="s">
        <v>74</v>
      </c>
      <c r="G570" s="6" t="s">
        <v>27</v>
      </c>
      <c r="H570" s="2" t="s">
        <v>194</v>
      </c>
      <c r="I570" s="2" t="s">
        <v>195</v>
      </c>
      <c r="J570" s="2" t="s">
        <v>19</v>
      </c>
      <c r="K570" s="2" t="s">
        <v>247</v>
      </c>
      <c r="L570" s="7" t="str">
        <f>HYPERLINK("http://slimages.macys.com/is/image/MCY/11466486 ")</f>
        <v xml:space="preserve">http://slimages.macys.com/is/image/MCY/11466486 </v>
      </c>
    </row>
    <row r="571" spans="1:12" ht="24.75" x14ac:dyDescent="0.25">
      <c r="A571" s="4" t="s">
        <v>3970</v>
      </c>
      <c r="B571" s="2" t="s">
        <v>1529</v>
      </c>
      <c r="C571" s="3">
        <v>1</v>
      </c>
      <c r="D571" s="5">
        <v>37.130000000000003</v>
      </c>
      <c r="E571" s="3">
        <v>100015461</v>
      </c>
      <c r="F571" s="2" t="s">
        <v>74</v>
      </c>
      <c r="G571" s="6" t="s">
        <v>16</v>
      </c>
      <c r="H571" s="2" t="s">
        <v>194</v>
      </c>
      <c r="I571" s="2" t="s">
        <v>1469</v>
      </c>
      <c r="J571" s="2" t="s">
        <v>19</v>
      </c>
      <c r="K571" s="2" t="s">
        <v>353</v>
      </c>
      <c r="L571" s="7" t="str">
        <f>HYPERLINK("http://slimages.macys.com/is/image/MCY/9432476 ")</f>
        <v xml:space="preserve">http://slimages.macys.com/is/image/MCY/9432476 </v>
      </c>
    </row>
    <row r="572" spans="1:12" ht="24.75" x14ac:dyDescent="0.25">
      <c r="A572" s="4" t="s">
        <v>3971</v>
      </c>
      <c r="B572" s="2" t="s">
        <v>1559</v>
      </c>
      <c r="C572" s="3">
        <v>1</v>
      </c>
      <c r="D572" s="5">
        <v>24.99</v>
      </c>
      <c r="E572" s="3" t="s">
        <v>1560</v>
      </c>
      <c r="F572" s="2" t="s">
        <v>38</v>
      </c>
      <c r="G572" s="6" t="s">
        <v>219</v>
      </c>
      <c r="H572" s="2" t="s">
        <v>1425</v>
      </c>
      <c r="I572" s="2" t="s">
        <v>1469</v>
      </c>
      <c r="J572" s="2" t="s">
        <v>19</v>
      </c>
      <c r="K572" s="2" t="s">
        <v>353</v>
      </c>
      <c r="L572" s="7" t="str">
        <f>HYPERLINK("http://slimages.macys.com/is/image/MCY/11883694 ")</f>
        <v xml:space="preserve">http://slimages.macys.com/is/image/MCY/11883694 </v>
      </c>
    </row>
    <row r="573" spans="1:12" ht="24.75" x14ac:dyDescent="0.25">
      <c r="A573" s="4" t="s">
        <v>3972</v>
      </c>
      <c r="B573" s="2" t="s">
        <v>2836</v>
      </c>
      <c r="C573" s="3">
        <v>1</v>
      </c>
      <c r="D573" s="5">
        <v>36.5</v>
      </c>
      <c r="E573" s="3" t="s">
        <v>2837</v>
      </c>
      <c r="F573" s="2" t="s">
        <v>15</v>
      </c>
      <c r="G573" s="6" t="s">
        <v>245</v>
      </c>
      <c r="H573" s="2" t="s">
        <v>194</v>
      </c>
      <c r="I573" s="2" t="s">
        <v>1469</v>
      </c>
      <c r="J573" s="2" t="s">
        <v>19</v>
      </c>
      <c r="K573" s="2" t="s">
        <v>353</v>
      </c>
      <c r="L573" s="7" t="str">
        <f>HYPERLINK("http://slimages.macys.com/is/image/MCY/11883694 ")</f>
        <v xml:space="preserve">http://slimages.macys.com/is/image/MCY/11883694 </v>
      </c>
    </row>
    <row r="574" spans="1:12" ht="24.75" x14ac:dyDescent="0.25">
      <c r="A574" s="4" t="s">
        <v>3973</v>
      </c>
      <c r="B574" s="2" t="s">
        <v>2840</v>
      </c>
      <c r="C574" s="3">
        <v>1</v>
      </c>
      <c r="D574" s="5">
        <v>33.380000000000003</v>
      </c>
      <c r="E574" s="3" t="s">
        <v>2841</v>
      </c>
      <c r="F574" s="2" t="s">
        <v>676</v>
      </c>
      <c r="G574" s="6" t="s">
        <v>156</v>
      </c>
      <c r="H574" s="2" t="s">
        <v>194</v>
      </c>
      <c r="I574" s="2" t="s">
        <v>195</v>
      </c>
      <c r="J574" s="2" t="s">
        <v>19</v>
      </c>
      <c r="K574" s="2" t="s">
        <v>353</v>
      </c>
      <c r="L574" s="7" t="str">
        <f>HYPERLINK("http://slimages.macys.com/is/image/MCY/9504674 ")</f>
        <v xml:space="preserve">http://slimages.macys.com/is/image/MCY/9504674 </v>
      </c>
    </row>
    <row r="575" spans="1:12" ht="24.75" x14ac:dyDescent="0.25">
      <c r="A575" s="4" t="s">
        <v>3974</v>
      </c>
      <c r="B575" s="2" t="s">
        <v>1575</v>
      </c>
      <c r="C575" s="3">
        <v>1</v>
      </c>
      <c r="D575" s="5">
        <v>33.380000000000003</v>
      </c>
      <c r="E575" s="3" t="s">
        <v>1576</v>
      </c>
      <c r="F575" s="2" t="s">
        <v>15</v>
      </c>
      <c r="G575" s="6" t="s">
        <v>181</v>
      </c>
      <c r="H575" s="2" t="s">
        <v>194</v>
      </c>
      <c r="I575" s="2" t="s">
        <v>195</v>
      </c>
      <c r="J575" s="2" t="s">
        <v>19</v>
      </c>
      <c r="K575" s="2" t="s">
        <v>353</v>
      </c>
      <c r="L575" s="7" t="str">
        <f>HYPERLINK("http://slimages.macys.com/is/image/MCY/9504674 ")</f>
        <v xml:space="preserve">http://slimages.macys.com/is/image/MCY/9504674 </v>
      </c>
    </row>
    <row r="576" spans="1:12" ht="24.75" x14ac:dyDescent="0.25">
      <c r="A576" s="4" t="s">
        <v>2844</v>
      </c>
      <c r="B576" s="2" t="s">
        <v>2840</v>
      </c>
      <c r="C576" s="3">
        <v>1</v>
      </c>
      <c r="D576" s="5">
        <v>33.380000000000003</v>
      </c>
      <c r="E576" s="3" t="s">
        <v>2841</v>
      </c>
      <c r="F576" s="2" t="s">
        <v>676</v>
      </c>
      <c r="G576" s="6" t="s">
        <v>181</v>
      </c>
      <c r="H576" s="2" t="s">
        <v>194</v>
      </c>
      <c r="I576" s="2" t="s">
        <v>1469</v>
      </c>
      <c r="J576" s="2" t="s">
        <v>19</v>
      </c>
      <c r="K576" s="2" t="s">
        <v>353</v>
      </c>
      <c r="L576" s="7" t="str">
        <f>HYPERLINK("http://slimages.macys.com/is/image/MCY/9406309 ")</f>
        <v xml:space="preserve">http://slimages.macys.com/is/image/MCY/9406309 </v>
      </c>
    </row>
    <row r="577" spans="1:12" ht="24.75" x14ac:dyDescent="0.25">
      <c r="A577" s="4" t="s">
        <v>3975</v>
      </c>
      <c r="B577" s="2" t="s">
        <v>2840</v>
      </c>
      <c r="C577" s="3">
        <v>1</v>
      </c>
      <c r="D577" s="5">
        <v>33.380000000000003</v>
      </c>
      <c r="E577" s="3" t="s">
        <v>2841</v>
      </c>
      <c r="F577" s="2" t="s">
        <v>676</v>
      </c>
      <c r="G577" s="6" t="s">
        <v>234</v>
      </c>
      <c r="H577" s="2" t="s">
        <v>194</v>
      </c>
      <c r="I577" s="2" t="s">
        <v>195</v>
      </c>
      <c r="J577" s="2" t="s">
        <v>19</v>
      </c>
      <c r="K577" s="2" t="s">
        <v>247</v>
      </c>
      <c r="L577" s="7" t="str">
        <f>HYPERLINK("http://slimages.macys.com/is/image/MCY/12063852 ")</f>
        <v xml:space="preserve">http://slimages.macys.com/is/image/MCY/12063852 </v>
      </c>
    </row>
    <row r="578" spans="1:12" ht="36.75" x14ac:dyDescent="0.25">
      <c r="A578" s="4" t="s">
        <v>3976</v>
      </c>
      <c r="B578" s="2" t="s">
        <v>1586</v>
      </c>
      <c r="C578" s="3">
        <v>1</v>
      </c>
      <c r="D578" s="5">
        <v>21.99</v>
      </c>
      <c r="E578" s="3" t="s">
        <v>1587</v>
      </c>
      <c r="F578" s="2" t="s">
        <v>15</v>
      </c>
      <c r="G578" s="6"/>
      <c r="H578" s="2" t="s">
        <v>1425</v>
      </c>
      <c r="I578" s="2" t="s">
        <v>195</v>
      </c>
      <c r="J578" s="2" t="s">
        <v>19</v>
      </c>
      <c r="K578" s="2" t="s">
        <v>2842</v>
      </c>
      <c r="L578" s="7" t="str">
        <f>HYPERLINK("http://slimages.macys.com/is/image/MCY/12143804 ")</f>
        <v xml:space="preserve">http://slimages.macys.com/is/image/MCY/12143804 </v>
      </c>
    </row>
    <row r="579" spans="1:12" ht="36.75" x14ac:dyDescent="0.25">
      <c r="A579" s="4" t="s">
        <v>1599</v>
      </c>
      <c r="B579" s="2" t="s">
        <v>1600</v>
      </c>
      <c r="C579" s="3">
        <v>1</v>
      </c>
      <c r="D579" s="5">
        <v>21.99</v>
      </c>
      <c r="E579" s="3" t="s">
        <v>1601</v>
      </c>
      <c r="F579" s="2" t="s">
        <v>74</v>
      </c>
      <c r="G579" s="6"/>
      <c r="H579" s="2" t="s">
        <v>1425</v>
      </c>
      <c r="I579" s="2" t="s">
        <v>195</v>
      </c>
      <c r="J579" s="2" t="s">
        <v>19</v>
      </c>
      <c r="K579" s="2" t="s">
        <v>1577</v>
      </c>
      <c r="L579" s="7" t="str">
        <f>HYPERLINK("http://slimages.macys.com/is/image/MCY/12734297 ")</f>
        <v xml:space="preserve">http://slimages.macys.com/is/image/MCY/12734297 </v>
      </c>
    </row>
    <row r="580" spans="1:12" ht="36.75" x14ac:dyDescent="0.25">
      <c r="A580" s="4" t="s">
        <v>1604</v>
      </c>
      <c r="B580" s="2" t="s">
        <v>1600</v>
      </c>
      <c r="C580" s="3">
        <v>1</v>
      </c>
      <c r="D580" s="5">
        <v>21.99</v>
      </c>
      <c r="E580" s="3" t="s">
        <v>1601</v>
      </c>
      <c r="F580" s="2" t="s">
        <v>136</v>
      </c>
      <c r="G580" s="6" t="s">
        <v>219</v>
      </c>
      <c r="H580" s="2" t="s">
        <v>1425</v>
      </c>
      <c r="I580" s="2" t="s">
        <v>195</v>
      </c>
      <c r="J580" s="2" t="s">
        <v>19</v>
      </c>
      <c r="K580" s="2" t="s">
        <v>2842</v>
      </c>
      <c r="L580" s="7" t="str">
        <f>HYPERLINK("http://slimages.macys.com/is/image/MCY/12143804 ")</f>
        <v xml:space="preserve">http://slimages.macys.com/is/image/MCY/12143804 </v>
      </c>
    </row>
    <row r="581" spans="1:12" ht="36.75" x14ac:dyDescent="0.25">
      <c r="A581" s="4" t="s">
        <v>1585</v>
      </c>
      <c r="B581" s="2" t="s">
        <v>1586</v>
      </c>
      <c r="C581" s="3">
        <v>2</v>
      </c>
      <c r="D581" s="5">
        <v>21.99</v>
      </c>
      <c r="E581" s="3" t="s">
        <v>1587</v>
      </c>
      <c r="F581" s="2" t="s">
        <v>136</v>
      </c>
      <c r="G581" s="6" t="s">
        <v>219</v>
      </c>
      <c r="H581" s="2" t="s">
        <v>1425</v>
      </c>
      <c r="I581" s="2" t="s">
        <v>195</v>
      </c>
      <c r="J581" s="2" t="s">
        <v>19</v>
      </c>
      <c r="K581" s="2" t="s">
        <v>2842</v>
      </c>
      <c r="L581" s="7" t="str">
        <f>HYPERLINK("http://slimages.macys.com/is/image/MCY/12143804 ")</f>
        <v xml:space="preserve">http://slimages.macys.com/is/image/MCY/12143804 </v>
      </c>
    </row>
    <row r="582" spans="1:12" ht="24.75" x14ac:dyDescent="0.25">
      <c r="A582" s="4" t="s">
        <v>2845</v>
      </c>
      <c r="B582" s="2" t="s">
        <v>1586</v>
      </c>
      <c r="C582" s="3">
        <v>4</v>
      </c>
      <c r="D582" s="5">
        <v>21.99</v>
      </c>
      <c r="E582" s="3" t="s">
        <v>1587</v>
      </c>
      <c r="F582" s="2" t="s">
        <v>136</v>
      </c>
      <c r="G582" s="6"/>
      <c r="H582" s="2" t="s">
        <v>1425</v>
      </c>
      <c r="I582" s="2" t="s">
        <v>1426</v>
      </c>
      <c r="J582" s="2" t="s">
        <v>19</v>
      </c>
      <c r="K582" s="2" t="s">
        <v>34</v>
      </c>
      <c r="L582" s="7" t="str">
        <f>HYPERLINK("http://slimages.macys.com/is/image/MCY/11174709 ")</f>
        <v xml:space="preserve">http://slimages.macys.com/is/image/MCY/11174709 </v>
      </c>
    </row>
    <row r="583" spans="1:12" ht="24.75" x14ac:dyDescent="0.25">
      <c r="A583" s="4" t="s">
        <v>3977</v>
      </c>
      <c r="B583" s="2" t="s">
        <v>1600</v>
      </c>
      <c r="C583" s="3">
        <v>2</v>
      </c>
      <c r="D583" s="5">
        <v>21.99</v>
      </c>
      <c r="E583" s="3" t="s">
        <v>1601</v>
      </c>
      <c r="F583" s="2" t="s">
        <v>136</v>
      </c>
      <c r="G583" s="6"/>
      <c r="H583" s="2" t="s">
        <v>1425</v>
      </c>
      <c r="I583" s="2" t="s">
        <v>1426</v>
      </c>
      <c r="J583" s="2"/>
      <c r="K583" s="2"/>
      <c r="L583" s="7" t="str">
        <f>HYPERLINK("http://slimages.macys.com/is/image/MCY/10205122 ")</f>
        <v xml:space="preserve">http://slimages.macys.com/is/image/MCY/10205122 </v>
      </c>
    </row>
    <row r="584" spans="1:12" ht="24.75" x14ac:dyDescent="0.25">
      <c r="A584" s="4" t="s">
        <v>3978</v>
      </c>
      <c r="B584" s="2" t="s">
        <v>1600</v>
      </c>
      <c r="C584" s="3">
        <v>1</v>
      </c>
      <c r="D584" s="5">
        <v>21.99</v>
      </c>
      <c r="E584" s="3" t="s">
        <v>1601</v>
      </c>
      <c r="F584" s="2" t="s">
        <v>1234</v>
      </c>
      <c r="G584" s="6"/>
      <c r="H584" s="2" t="s">
        <v>1425</v>
      </c>
      <c r="I584" s="2" t="s">
        <v>1426</v>
      </c>
      <c r="J584" s="2"/>
      <c r="K584" s="2"/>
      <c r="L584" s="7" t="str">
        <f>HYPERLINK("http://slimages.macys.com/is/image/MCY/10205122 ")</f>
        <v xml:space="preserve">http://slimages.macys.com/is/image/MCY/10205122 </v>
      </c>
    </row>
    <row r="585" spans="1:12" ht="24.75" x14ac:dyDescent="0.25">
      <c r="A585" s="4" t="s">
        <v>1602</v>
      </c>
      <c r="B585" s="2" t="s">
        <v>1586</v>
      </c>
      <c r="C585" s="3">
        <v>1</v>
      </c>
      <c r="D585" s="5">
        <v>21.99</v>
      </c>
      <c r="E585" s="3" t="s">
        <v>1587</v>
      </c>
      <c r="F585" s="2" t="s">
        <v>74</v>
      </c>
      <c r="G585" s="6"/>
      <c r="H585" s="2" t="s">
        <v>1425</v>
      </c>
      <c r="I585" s="2" t="s">
        <v>1426</v>
      </c>
      <c r="J585" s="2" t="s">
        <v>19</v>
      </c>
      <c r="K585" s="2" t="s">
        <v>34</v>
      </c>
      <c r="L585" s="7" t="str">
        <f>HYPERLINK("http://slimages.macys.com/is/image/MCY/11174709 ")</f>
        <v xml:space="preserve">http://slimages.macys.com/is/image/MCY/11174709 </v>
      </c>
    </row>
    <row r="586" spans="1:12" ht="24.75" x14ac:dyDescent="0.25">
      <c r="A586" s="4" t="s">
        <v>3979</v>
      </c>
      <c r="B586" s="2" t="s">
        <v>1586</v>
      </c>
      <c r="C586" s="3">
        <v>1</v>
      </c>
      <c r="D586" s="5">
        <v>21.99</v>
      </c>
      <c r="E586" s="3" t="s">
        <v>1587</v>
      </c>
      <c r="F586" s="2" t="s">
        <v>70</v>
      </c>
      <c r="G586" s="6"/>
      <c r="H586" s="2" t="s">
        <v>1425</v>
      </c>
      <c r="I586" s="2" t="s">
        <v>1426</v>
      </c>
      <c r="J586" s="2" t="s">
        <v>19</v>
      </c>
      <c r="K586" s="2" t="s">
        <v>34</v>
      </c>
      <c r="L586" s="7" t="str">
        <f>HYPERLINK("http://slimages.macys.com/is/image/MCY/11174709 ")</f>
        <v xml:space="preserve">http://slimages.macys.com/is/image/MCY/11174709 </v>
      </c>
    </row>
    <row r="587" spans="1:12" ht="24.75" x14ac:dyDescent="0.25">
      <c r="A587" s="4" t="s">
        <v>3980</v>
      </c>
      <c r="B587" s="2" t="s">
        <v>1586</v>
      </c>
      <c r="C587" s="3">
        <v>1</v>
      </c>
      <c r="D587" s="5">
        <v>21.99</v>
      </c>
      <c r="E587" s="3" t="s">
        <v>1587</v>
      </c>
      <c r="F587" s="2" t="s">
        <v>15</v>
      </c>
      <c r="G587" s="6" t="s">
        <v>219</v>
      </c>
      <c r="H587" s="2" t="s">
        <v>1425</v>
      </c>
      <c r="I587" s="2" t="s">
        <v>1426</v>
      </c>
      <c r="J587" s="2"/>
      <c r="K587" s="2"/>
      <c r="L587" s="7" t="str">
        <f>HYPERLINK("http://slimages.macys.com/is/image/MCY/10205122 ")</f>
        <v xml:space="preserve">http://slimages.macys.com/is/image/MCY/10205122 </v>
      </c>
    </row>
    <row r="588" spans="1:12" ht="24.75" x14ac:dyDescent="0.25">
      <c r="A588" s="4" t="s">
        <v>1603</v>
      </c>
      <c r="B588" s="2" t="s">
        <v>1586</v>
      </c>
      <c r="C588" s="3">
        <v>1</v>
      </c>
      <c r="D588" s="5">
        <v>21.99</v>
      </c>
      <c r="E588" s="3" t="s">
        <v>1587</v>
      </c>
      <c r="F588" s="2" t="s">
        <v>74</v>
      </c>
      <c r="G588" s="6"/>
      <c r="H588" s="2" t="s">
        <v>1425</v>
      </c>
      <c r="I588" s="2" t="s">
        <v>1426</v>
      </c>
      <c r="J588" s="2"/>
      <c r="K588" s="2"/>
      <c r="L588" s="7" t="str">
        <f>HYPERLINK("http://slimages.macys.com/is/image/MCY/10205122 ")</f>
        <v xml:space="preserve">http://slimages.macys.com/is/image/MCY/10205122 </v>
      </c>
    </row>
    <row r="589" spans="1:12" ht="24.75" x14ac:dyDescent="0.25">
      <c r="A589" s="4" t="s">
        <v>3981</v>
      </c>
      <c r="B589" s="2" t="s">
        <v>1600</v>
      </c>
      <c r="C589" s="3">
        <v>2</v>
      </c>
      <c r="D589" s="5">
        <v>21.99</v>
      </c>
      <c r="E589" s="3" t="s">
        <v>1601</v>
      </c>
      <c r="F589" s="2" t="s">
        <v>252</v>
      </c>
      <c r="G589" s="6"/>
      <c r="H589" s="2" t="s">
        <v>1425</v>
      </c>
      <c r="I589" s="2" t="s">
        <v>1426</v>
      </c>
      <c r="J589" s="2" t="s">
        <v>19</v>
      </c>
      <c r="K589" s="2" t="s">
        <v>34</v>
      </c>
      <c r="L589" s="7" t="str">
        <f>HYPERLINK("http://slimages.macys.com/is/image/MCY/11174709 ")</f>
        <v xml:space="preserve">http://slimages.macys.com/is/image/MCY/11174709 </v>
      </c>
    </row>
    <row r="590" spans="1:12" ht="24.75" x14ac:dyDescent="0.25">
      <c r="A590" s="4" t="s">
        <v>3982</v>
      </c>
      <c r="B590" s="2" t="s">
        <v>3983</v>
      </c>
      <c r="C590" s="3">
        <v>1</v>
      </c>
      <c r="D590" s="5">
        <v>24.99</v>
      </c>
      <c r="E590" s="3" t="s">
        <v>3984</v>
      </c>
      <c r="F590" s="2" t="s">
        <v>74</v>
      </c>
      <c r="G590" s="6" t="s">
        <v>154</v>
      </c>
      <c r="H590" s="2" t="s">
        <v>1522</v>
      </c>
      <c r="I590" s="2" t="s">
        <v>1426</v>
      </c>
      <c r="J590" s="2" t="s">
        <v>19</v>
      </c>
      <c r="K590" s="2" t="s">
        <v>34</v>
      </c>
      <c r="L590" s="7" t="str">
        <f>HYPERLINK("http://slimages.macys.com/is/image/MCY/11174709 ")</f>
        <v xml:space="preserve">http://slimages.macys.com/is/image/MCY/11174709 </v>
      </c>
    </row>
    <row r="591" spans="1:12" ht="24.75" x14ac:dyDescent="0.25">
      <c r="A591" s="4" t="s">
        <v>2851</v>
      </c>
      <c r="B591" s="2" t="s">
        <v>1600</v>
      </c>
      <c r="C591" s="3">
        <v>4</v>
      </c>
      <c r="D591" s="5">
        <v>21.99</v>
      </c>
      <c r="E591" s="3" t="s">
        <v>1601</v>
      </c>
      <c r="F591" s="2" t="s">
        <v>74</v>
      </c>
      <c r="G591" s="6" t="s">
        <v>219</v>
      </c>
      <c r="H591" s="2" t="s">
        <v>1425</v>
      </c>
      <c r="I591" s="2" t="s">
        <v>1426</v>
      </c>
      <c r="J591" s="2" t="s">
        <v>19</v>
      </c>
      <c r="K591" s="2" t="s">
        <v>34</v>
      </c>
      <c r="L591" s="7" t="str">
        <f>HYPERLINK("http://slimages.macys.com/is/image/MCY/11174709 ")</f>
        <v xml:space="preserve">http://slimages.macys.com/is/image/MCY/11174709 </v>
      </c>
    </row>
    <row r="592" spans="1:12" ht="24.75" x14ac:dyDescent="0.25">
      <c r="A592" s="4" t="s">
        <v>3985</v>
      </c>
      <c r="B592" s="2" t="s">
        <v>1600</v>
      </c>
      <c r="C592" s="3">
        <v>1</v>
      </c>
      <c r="D592" s="5">
        <v>21.99</v>
      </c>
      <c r="E592" s="3" t="s">
        <v>1601</v>
      </c>
      <c r="F592" s="2" t="s">
        <v>1234</v>
      </c>
      <c r="G592" s="6"/>
      <c r="H592" s="2" t="s">
        <v>1425</v>
      </c>
      <c r="I592" s="2" t="s">
        <v>1426</v>
      </c>
      <c r="J592" s="2" t="s">
        <v>19</v>
      </c>
      <c r="K592" s="2" t="s">
        <v>34</v>
      </c>
      <c r="L592" s="7" t="str">
        <f>HYPERLINK("http://slimages.macys.com/is/image/MCY/11174709 ")</f>
        <v xml:space="preserve">http://slimages.macys.com/is/image/MCY/11174709 </v>
      </c>
    </row>
    <row r="593" spans="1:12" ht="24.75" x14ac:dyDescent="0.25">
      <c r="A593" s="4" t="s">
        <v>2854</v>
      </c>
      <c r="B593" s="2" t="s">
        <v>1586</v>
      </c>
      <c r="C593" s="3">
        <v>4</v>
      </c>
      <c r="D593" s="5">
        <v>21.99</v>
      </c>
      <c r="E593" s="3" t="s">
        <v>1587</v>
      </c>
      <c r="F593" s="2" t="s">
        <v>136</v>
      </c>
      <c r="G593" s="6"/>
      <c r="H593" s="2" t="s">
        <v>1425</v>
      </c>
      <c r="I593" s="2" t="s">
        <v>1426</v>
      </c>
      <c r="J593" s="2" t="s">
        <v>19</v>
      </c>
      <c r="K593" s="2" t="s">
        <v>34</v>
      </c>
      <c r="L593" s="7" t="str">
        <f>HYPERLINK("http://slimages.macys.com/is/image/MCY/11174709 ")</f>
        <v xml:space="preserve">http://slimages.macys.com/is/image/MCY/11174709 </v>
      </c>
    </row>
    <row r="594" spans="1:12" ht="24.75" x14ac:dyDescent="0.25">
      <c r="A594" s="4" t="s">
        <v>3986</v>
      </c>
      <c r="B594" s="2" t="s">
        <v>1529</v>
      </c>
      <c r="C594" s="3">
        <v>2</v>
      </c>
      <c r="D594" s="5">
        <v>37.130000000000003</v>
      </c>
      <c r="E594" s="3" t="s">
        <v>1530</v>
      </c>
      <c r="F594" s="2" t="s">
        <v>998</v>
      </c>
      <c r="G594" s="6" t="s">
        <v>238</v>
      </c>
      <c r="H594" s="2" t="s">
        <v>312</v>
      </c>
      <c r="I594" s="2" t="s">
        <v>1469</v>
      </c>
      <c r="J594" s="2" t="s">
        <v>19</v>
      </c>
      <c r="K594" s="2" t="s">
        <v>353</v>
      </c>
      <c r="L594" s="7" t="str">
        <f>HYPERLINK("http://slimages.macys.com/is/image/MCY/10888125 ")</f>
        <v xml:space="preserve">http://slimages.macys.com/is/image/MCY/10888125 </v>
      </c>
    </row>
    <row r="595" spans="1:12" ht="24.75" x14ac:dyDescent="0.25">
      <c r="A595" s="4" t="s">
        <v>3987</v>
      </c>
      <c r="B595" s="2" t="s">
        <v>1529</v>
      </c>
      <c r="C595" s="3">
        <v>1</v>
      </c>
      <c r="D595" s="5">
        <v>37.130000000000003</v>
      </c>
      <c r="E595" s="3" t="s">
        <v>1530</v>
      </c>
      <c r="F595" s="2" t="s">
        <v>74</v>
      </c>
      <c r="G595" s="6" t="s">
        <v>934</v>
      </c>
      <c r="H595" s="2" t="s">
        <v>312</v>
      </c>
      <c r="I595" s="2" t="s">
        <v>1426</v>
      </c>
      <c r="J595" s="2"/>
      <c r="K595" s="2"/>
      <c r="L595" s="7" t="str">
        <f>HYPERLINK("http://slimages.macys.com/is/image/MCY/10205122 ")</f>
        <v xml:space="preserve">http://slimages.macys.com/is/image/MCY/10205122 </v>
      </c>
    </row>
    <row r="596" spans="1:12" ht="24.75" x14ac:dyDescent="0.25">
      <c r="A596" s="4" t="s">
        <v>3988</v>
      </c>
      <c r="B596" s="2" t="s">
        <v>1529</v>
      </c>
      <c r="C596" s="3">
        <v>1</v>
      </c>
      <c r="D596" s="5">
        <v>37.130000000000003</v>
      </c>
      <c r="E596" s="3" t="s">
        <v>1530</v>
      </c>
      <c r="F596" s="2" t="s">
        <v>74</v>
      </c>
      <c r="G596" s="6" t="s">
        <v>802</v>
      </c>
      <c r="H596" s="2" t="s">
        <v>312</v>
      </c>
      <c r="I596" s="2" t="s">
        <v>1426</v>
      </c>
      <c r="J596" s="2"/>
      <c r="K596" s="2"/>
      <c r="L596" s="7" t="str">
        <f>HYPERLINK("http://slimages.macys.com/is/image/MCY/10205122 ")</f>
        <v xml:space="preserve">http://slimages.macys.com/is/image/MCY/10205122 </v>
      </c>
    </row>
    <row r="597" spans="1:12" ht="24.75" x14ac:dyDescent="0.25">
      <c r="A597" s="4" t="s">
        <v>1622</v>
      </c>
      <c r="B597" s="2" t="s">
        <v>1529</v>
      </c>
      <c r="C597" s="3">
        <v>1</v>
      </c>
      <c r="D597" s="5">
        <v>37.130000000000003</v>
      </c>
      <c r="E597" s="3" t="s">
        <v>1530</v>
      </c>
      <c r="F597" s="2" t="s">
        <v>998</v>
      </c>
      <c r="G597" s="6" t="s">
        <v>802</v>
      </c>
      <c r="H597" s="2" t="s">
        <v>312</v>
      </c>
      <c r="I597" s="2" t="s">
        <v>1426</v>
      </c>
      <c r="J597" s="2" t="s">
        <v>19</v>
      </c>
      <c r="K597" s="2" t="s">
        <v>34</v>
      </c>
      <c r="L597" s="7" t="str">
        <f>HYPERLINK("http://slimages.macys.com/is/image/MCY/11174709 ")</f>
        <v xml:space="preserve">http://slimages.macys.com/is/image/MCY/11174709 </v>
      </c>
    </row>
    <row r="598" spans="1:12" ht="24.75" x14ac:dyDescent="0.25">
      <c r="A598" s="4" t="s">
        <v>2870</v>
      </c>
      <c r="B598" s="2" t="s">
        <v>1635</v>
      </c>
      <c r="C598" s="3">
        <v>1</v>
      </c>
      <c r="D598" s="5">
        <v>25.88</v>
      </c>
      <c r="E598" s="3">
        <v>100011992</v>
      </c>
      <c r="F598" s="2" t="s">
        <v>64</v>
      </c>
      <c r="G598" s="6" t="s">
        <v>181</v>
      </c>
      <c r="H598" s="2" t="s">
        <v>194</v>
      </c>
      <c r="I598" s="2" t="s">
        <v>195</v>
      </c>
      <c r="J598" s="2" t="s">
        <v>19</v>
      </c>
      <c r="K598" s="2" t="s">
        <v>353</v>
      </c>
      <c r="L598" s="7" t="str">
        <f>HYPERLINK("http://slimages.macys.com/is/image/MCY/11938040 ")</f>
        <v xml:space="preserve">http://slimages.macys.com/is/image/MCY/11938040 </v>
      </c>
    </row>
    <row r="599" spans="1:12" ht="24.75" x14ac:dyDescent="0.25">
      <c r="A599" s="4" t="s">
        <v>1638</v>
      </c>
      <c r="B599" s="2" t="s">
        <v>1635</v>
      </c>
      <c r="C599" s="3">
        <v>3</v>
      </c>
      <c r="D599" s="5">
        <v>25.88</v>
      </c>
      <c r="E599" s="3">
        <v>100011992</v>
      </c>
      <c r="F599" s="2" t="s">
        <v>53</v>
      </c>
      <c r="G599" s="6" t="s">
        <v>181</v>
      </c>
      <c r="H599" s="2" t="s">
        <v>194</v>
      </c>
      <c r="I599" s="2" t="s">
        <v>195</v>
      </c>
      <c r="J599" s="2" t="s">
        <v>19</v>
      </c>
      <c r="K599" s="2" t="s">
        <v>353</v>
      </c>
      <c r="L599" s="7" t="str">
        <f>HYPERLINK("http://slimages.macys.com/is/image/MCY/11938040 ")</f>
        <v xml:space="preserve">http://slimages.macys.com/is/image/MCY/11938040 </v>
      </c>
    </row>
    <row r="600" spans="1:12" ht="24.75" x14ac:dyDescent="0.25">
      <c r="A600" s="4" t="s">
        <v>1634</v>
      </c>
      <c r="B600" s="2" t="s">
        <v>1635</v>
      </c>
      <c r="C600" s="3">
        <v>1</v>
      </c>
      <c r="D600" s="5">
        <v>25.88</v>
      </c>
      <c r="E600" s="3">
        <v>100011992</v>
      </c>
      <c r="F600" s="2" t="s">
        <v>64</v>
      </c>
      <c r="G600" s="6" t="s">
        <v>156</v>
      </c>
      <c r="H600" s="2" t="s">
        <v>194</v>
      </c>
      <c r="I600" s="2" t="s">
        <v>195</v>
      </c>
      <c r="J600" s="2" t="s">
        <v>19</v>
      </c>
      <c r="K600" s="2" t="s">
        <v>353</v>
      </c>
      <c r="L600" s="7" t="str">
        <f>HYPERLINK("http://slimages.macys.com/is/image/MCY/11938040 ")</f>
        <v xml:space="preserve">http://slimages.macys.com/is/image/MCY/11938040 </v>
      </c>
    </row>
    <row r="601" spans="1:12" ht="24.75" x14ac:dyDescent="0.25">
      <c r="A601" s="4" t="s">
        <v>3989</v>
      </c>
      <c r="B601" s="2" t="s">
        <v>1635</v>
      </c>
      <c r="C601" s="3">
        <v>2</v>
      </c>
      <c r="D601" s="5">
        <v>25.88</v>
      </c>
      <c r="E601" s="3">
        <v>100011992</v>
      </c>
      <c r="F601" s="2" t="s">
        <v>53</v>
      </c>
      <c r="G601" s="6" t="s">
        <v>156</v>
      </c>
      <c r="H601" s="2" t="s">
        <v>194</v>
      </c>
      <c r="I601" s="2" t="s">
        <v>195</v>
      </c>
      <c r="J601" s="2" t="s">
        <v>19</v>
      </c>
      <c r="K601" s="2" t="s">
        <v>353</v>
      </c>
      <c r="L601" s="7" t="str">
        <f>HYPERLINK("http://slimages.macys.com/is/image/MCY/11938040 ")</f>
        <v xml:space="preserve">http://slimages.macys.com/is/image/MCY/11938040 </v>
      </c>
    </row>
    <row r="602" spans="1:12" ht="24.75" x14ac:dyDescent="0.25">
      <c r="A602" s="4" t="s">
        <v>2872</v>
      </c>
      <c r="B602" s="2" t="s">
        <v>1635</v>
      </c>
      <c r="C602" s="3">
        <v>1</v>
      </c>
      <c r="D602" s="5">
        <v>25.88</v>
      </c>
      <c r="E602" s="3">
        <v>100011992</v>
      </c>
      <c r="F602" s="2" t="s">
        <v>64</v>
      </c>
      <c r="G602" s="6" t="s">
        <v>245</v>
      </c>
      <c r="H602" s="2" t="s">
        <v>194</v>
      </c>
      <c r="I602" s="2" t="s">
        <v>195</v>
      </c>
      <c r="J602" s="2" t="s">
        <v>19</v>
      </c>
      <c r="K602" s="2" t="s">
        <v>1617</v>
      </c>
      <c r="L602" s="7" t="str">
        <f>HYPERLINK("http://slimages.macys.com/is/image/MCY/13314771 ")</f>
        <v xml:space="preserve">http://slimages.macys.com/is/image/MCY/13314771 </v>
      </c>
    </row>
    <row r="603" spans="1:12" ht="24.75" x14ac:dyDescent="0.25">
      <c r="A603" s="4" t="s">
        <v>3990</v>
      </c>
      <c r="B603" s="2" t="s">
        <v>2874</v>
      </c>
      <c r="C603" s="3">
        <v>1</v>
      </c>
      <c r="D603" s="5">
        <v>24.99</v>
      </c>
      <c r="E603" s="3" t="s">
        <v>2875</v>
      </c>
      <c r="F603" s="2" t="s">
        <v>33</v>
      </c>
      <c r="G603" s="6"/>
      <c r="H603" s="2" t="s">
        <v>1425</v>
      </c>
      <c r="I603" s="2" t="s">
        <v>195</v>
      </c>
      <c r="J603" s="2" t="s">
        <v>19</v>
      </c>
      <c r="K603" s="2" t="s">
        <v>1617</v>
      </c>
      <c r="L603" s="7" t="str">
        <f>HYPERLINK("http://slimages.macys.com/is/image/MCY/13314771 ")</f>
        <v xml:space="preserve">http://slimages.macys.com/is/image/MCY/13314771 </v>
      </c>
    </row>
    <row r="604" spans="1:12" ht="24.75" x14ac:dyDescent="0.25">
      <c r="A604" s="4" t="s">
        <v>2871</v>
      </c>
      <c r="B604" s="2" t="s">
        <v>1635</v>
      </c>
      <c r="C604" s="3">
        <v>2</v>
      </c>
      <c r="D604" s="5">
        <v>25.88</v>
      </c>
      <c r="E604" s="3">
        <v>100011992</v>
      </c>
      <c r="F604" s="2" t="s">
        <v>33</v>
      </c>
      <c r="G604" s="6" t="s">
        <v>154</v>
      </c>
      <c r="H604" s="2" t="s">
        <v>194</v>
      </c>
      <c r="I604" s="2" t="s">
        <v>195</v>
      </c>
      <c r="J604" s="2" t="s">
        <v>19</v>
      </c>
      <c r="K604" s="2" t="s">
        <v>1617</v>
      </c>
      <c r="L604" s="7" t="str">
        <f>HYPERLINK("http://slimages.macys.com/is/image/MCY/13314771 ")</f>
        <v xml:space="preserve">http://slimages.macys.com/is/image/MCY/13314771 </v>
      </c>
    </row>
    <row r="605" spans="1:12" ht="24.75" x14ac:dyDescent="0.25">
      <c r="A605" s="4" t="s">
        <v>3991</v>
      </c>
      <c r="B605" s="2" t="s">
        <v>1635</v>
      </c>
      <c r="C605" s="3">
        <v>3</v>
      </c>
      <c r="D605" s="5">
        <v>25.88</v>
      </c>
      <c r="E605" s="3">
        <v>100011992</v>
      </c>
      <c r="F605" s="2" t="s">
        <v>57</v>
      </c>
      <c r="G605" s="6" t="s">
        <v>181</v>
      </c>
      <c r="H605" s="2" t="s">
        <v>194</v>
      </c>
      <c r="I605" s="2" t="s">
        <v>195</v>
      </c>
      <c r="J605" s="2" t="s">
        <v>19</v>
      </c>
      <c r="K605" s="2" t="s">
        <v>1617</v>
      </c>
      <c r="L605" s="7" t="str">
        <f>HYPERLINK("http://slimages.macys.com/is/image/MCY/13314771 ")</f>
        <v xml:space="preserve">http://slimages.macys.com/is/image/MCY/13314771 </v>
      </c>
    </row>
    <row r="606" spans="1:12" ht="24.75" x14ac:dyDescent="0.25">
      <c r="A606" s="4" t="s">
        <v>3992</v>
      </c>
      <c r="B606" s="2" t="s">
        <v>1635</v>
      </c>
      <c r="C606" s="3">
        <v>1</v>
      </c>
      <c r="D606" s="5">
        <v>25.88</v>
      </c>
      <c r="E606" s="3">
        <v>100011992</v>
      </c>
      <c r="F606" s="2" t="s">
        <v>57</v>
      </c>
      <c r="G606" s="6" t="s">
        <v>234</v>
      </c>
      <c r="H606" s="2" t="s">
        <v>194</v>
      </c>
      <c r="I606" s="2" t="s">
        <v>195</v>
      </c>
      <c r="J606" s="2" t="s">
        <v>19</v>
      </c>
      <c r="K606" s="2" t="s">
        <v>1617</v>
      </c>
      <c r="L606" s="7" t="str">
        <f>HYPERLINK("http://slimages.macys.com/is/image/MCY/13314771 ")</f>
        <v xml:space="preserve">http://slimages.macys.com/is/image/MCY/13314771 </v>
      </c>
    </row>
    <row r="607" spans="1:12" ht="24.75" x14ac:dyDescent="0.25">
      <c r="A607" s="4" t="s">
        <v>3993</v>
      </c>
      <c r="B607" s="2" t="s">
        <v>2878</v>
      </c>
      <c r="C607" s="3">
        <v>1</v>
      </c>
      <c r="D607" s="5">
        <v>29.63</v>
      </c>
      <c r="E607" s="3" t="s">
        <v>2879</v>
      </c>
      <c r="F607" s="2" t="s">
        <v>64</v>
      </c>
      <c r="G607" s="6" t="s">
        <v>234</v>
      </c>
      <c r="H607" s="2" t="s">
        <v>194</v>
      </c>
      <c r="I607" s="2" t="s">
        <v>1469</v>
      </c>
      <c r="J607" s="2" t="s">
        <v>19</v>
      </c>
      <c r="K607" s="2" t="s">
        <v>648</v>
      </c>
      <c r="L607" s="7" t="str">
        <f>HYPERLINK("http://slimages.macys.com/is/image/MCY/11417681 ")</f>
        <v xml:space="preserve">http://slimages.macys.com/is/image/MCY/11417681 </v>
      </c>
    </row>
    <row r="608" spans="1:12" ht="24.75" x14ac:dyDescent="0.25">
      <c r="A608" s="4" t="s">
        <v>2880</v>
      </c>
      <c r="B608" s="2" t="s">
        <v>2878</v>
      </c>
      <c r="C608" s="3">
        <v>1</v>
      </c>
      <c r="D608" s="5">
        <v>29.63</v>
      </c>
      <c r="E608" s="3" t="s">
        <v>2879</v>
      </c>
      <c r="F608" s="2" t="s">
        <v>64</v>
      </c>
      <c r="G608" s="6" t="s">
        <v>181</v>
      </c>
      <c r="H608" s="2" t="s">
        <v>194</v>
      </c>
      <c r="I608" s="2" t="s">
        <v>195</v>
      </c>
      <c r="J608" s="2" t="s">
        <v>19</v>
      </c>
      <c r="K608" s="2" t="s">
        <v>1617</v>
      </c>
      <c r="L608" s="7" t="str">
        <f>HYPERLINK("http://slimages.macys.com/is/image/MCY/13314771 ")</f>
        <v xml:space="preserve">http://slimages.macys.com/is/image/MCY/13314771 </v>
      </c>
    </row>
    <row r="609" spans="1:12" ht="24.75" x14ac:dyDescent="0.25">
      <c r="A609" s="4" t="s">
        <v>3994</v>
      </c>
      <c r="B609" s="2" t="s">
        <v>3995</v>
      </c>
      <c r="C609" s="3">
        <v>2</v>
      </c>
      <c r="D609" s="5">
        <v>19.989999999999998</v>
      </c>
      <c r="E609" s="3" t="s">
        <v>3996</v>
      </c>
      <c r="F609" s="2" t="s">
        <v>170</v>
      </c>
      <c r="G609" s="6" t="s">
        <v>154</v>
      </c>
      <c r="H609" s="2" t="s">
        <v>194</v>
      </c>
      <c r="I609" s="2" t="s">
        <v>195</v>
      </c>
      <c r="J609" s="2" t="s">
        <v>19</v>
      </c>
      <c r="K609" s="2" t="s">
        <v>1617</v>
      </c>
      <c r="L609" s="7" t="str">
        <f>HYPERLINK("http://slimages.macys.com/is/image/MCY/13314771 ")</f>
        <v xml:space="preserve">http://slimages.macys.com/is/image/MCY/13314771 </v>
      </c>
    </row>
    <row r="610" spans="1:12" ht="24.75" x14ac:dyDescent="0.25">
      <c r="A610" s="4" t="s">
        <v>1664</v>
      </c>
      <c r="B610" s="2" t="s">
        <v>1645</v>
      </c>
      <c r="C610" s="3">
        <v>1</v>
      </c>
      <c r="D610" s="5">
        <v>19.989999999999998</v>
      </c>
      <c r="E610" s="3" t="s">
        <v>1646</v>
      </c>
      <c r="F610" s="2" t="s">
        <v>170</v>
      </c>
      <c r="G610" s="6" t="s">
        <v>234</v>
      </c>
      <c r="H610" s="2" t="s">
        <v>194</v>
      </c>
      <c r="I610" s="2" t="s">
        <v>195</v>
      </c>
      <c r="J610" s="2" t="s">
        <v>19</v>
      </c>
      <c r="K610" s="2" t="s">
        <v>1617</v>
      </c>
      <c r="L610" s="7" t="str">
        <f>HYPERLINK("http://slimages.macys.com/is/image/MCY/13314771 ")</f>
        <v xml:space="preserve">http://slimages.macys.com/is/image/MCY/13314771 </v>
      </c>
    </row>
    <row r="611" spans="1:12" ht="24.75" x14ac:dyDescent="0.25">
      <c r="A611" s="4" t="s">
        <v>1661</v>
      </c>
      <c r="B611" s="2" t="s">
        <v>1645</v>
      </c>
      <c r="C611" s="3">
        <v>1</v>
      </c>
      <c r="D611" s="5">
        <v>19.989999999999998</v>
      </c>
      <c r="E611" s="3" t="s">
        <v>1646</v>
      </c>
      <c r="F611" s="2" t="s">
        <v>170</v>
      </c>
      <c r="G611" s="6" t="s">
        <v>154</v>
      </c>
      <c r="H611" s="2" t="s">
        <v>194</v>
      </c>
      <c r="I611" s="2" t="s">
        <v>195</v>
      </c>
      <c r="J611" s="2" t="s">
        <v>19</v>
      </c>
      <c r="K611" s="2" t="s">
        <v>1108</v>
      </c>
      <c r="L611" s="7" t="str">
        <f>HYPERLINK("http://slimages.macys.com/is/image/MCY/12144113 ")</f>
        <v xml:space="preserve">http://slimages.macys.com/is/image/MCY/12144113 </v>
      </c>
    </row>
    <row r="612" spans="1:12" ht="24.75" x14ac:dyDescent="0.25">
      <c r="A612" s="4" t="s">
        <v>1681</v>
      </c>
      <c r="B612" s="2" t="s">
        <v>1649</v>
      </c>
      <c r="C612" s="3">
        <v>1</v>
      </c>
      <c r="D612" s="5">
        <v>19.989999999999998</v>
      </c>
      <c r="E612" s="3" t="s">
        <v>1650</v>
      </c>
      <c r="F612" s="2" t="s">
        <v>70</v>
      </c>
      <c r="G612" s="6" t="s">
        <v>181</v>
      </c>
      <c r="H612" s="2" t="s">
        <v>194</v>
      </c>
      <c r="I612" s="2" t="s">
        <v>195</v>
      </c>
      <c r="J612" s="2" t="s">
        <v>19</v>
      </c>
      <c r="K612" s="2" t="s">
        <v>1108</v>
      </c>
      <c r="L612" s="7" t="str">
        <f>HYPERLINK("http://slimages.macys.com/is/image/MCY/12144113 ")</f>
        <v xml:space="preserve">http://slimages.macys.com/is/image/MCY/12144113 </v>
      </c>
    </row>
    <row r="613" spans="1:12" ht="24.75" x14ac:dyDescent="0.25">
      <c r="A613" s="4" t="s">
        <v>1655</v>
      </c>
      <c r="B613" s="2" t="s">
        <v>1645</v>
      </c>
      <c r="C613" s="3">
        <v>1</v>
      </c>
      <c r="D613" s="5">
        <v>19.989999999999998</v>
      </c>
      <c r="E613" s="3" t="s">
        <v>1646</v>
      </c>
      <c r="F613" s="2" t="s">
        <v>74</v>
      </c>
      <c r="G613" s="6" t="s">
        <v>234</v>
      </c>
      <c r="H613" s="2" t="s">
        <v>194</v>
      </c>
      <c r="I613" s="2" t="s">
        <v>195</v>
      </c>
      <c r="J613" s="2" t="s">
        <v>19</v>
      </c>
      <c r="K613" s="2" t="s">
        <v>247</v>
      </c>
      <c r="L613" s="7" t="str">
        <f>HYPERLINK("http://slimages.macys.com/is/image/MCY/12143893 ")</f>
        <v xml:space="preserve">http://slimages.macys.com/is/image/MCY/12143893 </v>
      </c>
    </row>
    <row r="614" spans="1:12" ht="24.75" x14ac:dyDescent="0.25">
      <c r="A614" s="4" t="s">
        <v>1674</v>
      </c>
      <c r="B614" s="2" t="s">
        <v>1649</v>
      </c>
      <c r="C614" s="3">
        <v>1</v>
      </c>
      <c r="D614" s="5">
        <v>19.989999999999998</v>
      </c>
      <c r="E614" s="3" t="s">
        <v>1650</v>
      </c>
      <c r="F614" s="2" t="s">
        <v>820</v>
      </c>
      <c r="G614" s="6" t="s">
        <v>234</v>
      </c>
      <c r="H614" s="2" t="s">
        <v>194</v>
      </c>
      <c r="I614" s="2" t="s">
        <v>195</v>
      </c>
      <c r="J614" s="2" t="s">
        <v>19</v>
      </c>
      <c r="K614" s="2" t="s">
        <v>1647</v>
      </c>
      <c r="L614" s="7" t="str">
        <f>HYPERLINK("http://slimages.macys.com/is/image/MCY/12405276 ")</f>
        <v xml:space="preserve">http://slimages.macys.com/is/image/MCY/12405276 </v>
      </c>
    </row>
    <row r="615" spans="1:12" ht="24.75" x14ac:dyDescent="0.25">
      <c r="A615" s="4" t="s">
        <v>3997</v>
      </c>
      <c r="B615" s="2" t="s">
        <v>1649</v>
      </c>
      <c r="C615" s="3">
        <v>1</v>
      </c>
      <c r="D615" s="5">
        <v>19.989999999999998</v>
      </c>
      <c r="E615" s="3" t="s">
        <v>1650</v>
      </c>
      <c r="F615" s="2" t="s">
        <v>820</v>
      </c>
      <c r="G615" s="6" t="s">
        <v>181</v>
      </c>
      <c r="H615" s="2" t="s">
        <v>194</v>
      </c>
      <c r="I615" s="2" t="s">
        <v>195</v>
      </c>
      <c r="J615" s="2" t="s">
        <v>19</v>
      </c>
      <c r="K615" s="2" t="s">
        <v>1647</v>
      </c>
      <c r="L615" s="7" t="str">
        <f>HYPERLINK("http://slimages.macys.com/is/image/MCY/12405276 ")</f>
        <v xml:space="preserve">http://slimages.macys.com/is/image/MCY/12405276 </v>
      </c>
    </row>
    <row r="616" spans="1:12" x14ac:dyDescent="0.25">
      <c r="A616" s="4" t="s">
        <v>3998</v>
      </c>
      <c r="B616" s="2" t="s">
        <v>2884</v>
      </c>
      <c r="C616" s="3">
        <v>1</v>
      </c>
      <c r="D616" s="5">
        <v>27.65</v>
      </c>
      <c r="E616" s="3" t="s">
        <v>2885</v>
      </c>
      <c r="F616" s="2" t="s">
        <v>26</v>
      </c>
      <c r="G616" s="6" t="s">
        <v>200</v>
      </c>
      <c r="H616" s="2" t="s">
        <v>182</v>
      </c>
      <c r="I616" s="2" t="s">
        <v>195</v>
      </c>
      <c r="J616" s="2" t="s">
        <v>19</v>
      </c>
      <c r="K616" s="2" t="s">
        <v>247</v>
      </c>
      <c r="L616" s="7" t="str">
        <f>HYPERLINK("http://slimages.macys.com/is/image/MCY/11466486 ")</f>
        <v xml:space="preserve">http://slimages.macys.com/is/image/MCY/11466486 </v>
      </c>
    </row>
    <row r="617" spans="1:12" ht="24.75" x14ac:dyDescent="0.25">
      <c r="A617" s="4" t="s">
        <v>3999</v>
      </c>
      <c r="B617" s="2" t="s">
        <v>1689</v>
      </c>
      <c r="C617" s="3">
        <v>1</v>
      </c>
      <c r="D617" s="5">
        <v>25.88</v>
      </c>
      <c r="E617" s="3" t="s">
        <v>1690</v>
      </c>
      <c r="F617" s="2" t="s">
        <v>1584</v>
      </c>
      <c r="G617" s="6" t="s">
        <v>156</v>
      </c>
      <c r="H617" s="2" t="s">
        <v>194</v>
      </c>
      <c r="I617" s="2" t="s">
        <v>195</v>
      </c>
      <c r="J617" s="2" t="s">
        <v>19</v>
      </c>
      <c r="K617" s="2" t="s">
        <v>1647</v>
      </c>
      <c r="L617" s="7" t="str">
        <f>HYPERLINK("http://slimages.macys.com/is/image/MCY/12405276 ")</f>
        <v xml:space="preserve">http://slimages.macys.com/is/image/MCY/12405276 </v>
      </c>
    </row>
    <row r="618" spans="1:12" ht="24.75" x14ac:dyDescent="0.25">
      <c r="A618" s="4" t="s">
        <v>4000</v>
      </c>
      <c r="B618" s="2" t="s">
        <v>1689</v>
      </c>
      <c r="C618" s="3">
        <v>2</v>
      </c>
      <c r="D618" s="5">
        <v>25.88</v>
      </c>
      <c r="E618" s="3" t="s">
        <v>1690</v>
      </c>
      <c r="F618" s="2" t="s">
        <v>820</v>
      </c>
      <c r="G618" s="6" t="s">
        <v>154</v>
      </c>
      <c r="H618" s="2" t="s">
        <v>194</v>
      </c>
      <c r="I618" s="2" t="s">
        <v>195</v>
      </c>
      <c r="J618" s="2" t="s">
        <v>19</v>
      </c>
      <c r="K618" s="2" t="s">
        <v>247</v>
      </c>
      <c r="L618" s="7" t="str">
        <f>HYPERLINK("http://slimages.macys.com/is/image/MCY/11466486 ")</f>
        <v xml:space="preserve">http://slimages.macys.com/is/image/MCY/11466486 </v>
      </c>
    </row>
    <row r="619" spans="1:12" ht="24.75" x14ac:dyDescent="0.25">
      <c r="A619" s="4" t="s">
        <v>2890</v>
      </c>
      <c r="B619" s="2" t="s">
        <v>1689</v>
      </c>
      <c r="C619" s="3">
        <v>1</v>
      </c>
      <c r="D619" s="5">
        <v>25.88</v>
      </c>
      <c r="E619" s="3" t="s">
        <v>1690</v>
      </c>
      <c r="F619" s="2" t="s">
        <v>820</v>
      </c>
      <c r="G619" s="6" t="s">
        <v>234</v>
      </c>
      <c r="H619" s="2" t="s">
        <v>194</v>
      </c>
      <c r="I619" s="2" t="s">
        <v>195</v>
      </c>
      <c r="J619" s="2" t="s">
        <v>19</v>
      </c>
      <c r="K619" s="2" t="s">
        <v>247</v>
      </c>
      <c r="L619" s="7" t="str">
        <f>HYPERLINK("http://slimages.macys.com/is/image/MCY/11466486 ")</f>
        <v xml:space="preserve">http://slimages.macys.com/is/image/MCY/11466486 </v>
      </c>
    </row>
    <row r="620" spans="1:12" ht="24.75" x14ac:dyDescent="0.25">
      <c r="A620" s="4" t="s">
        <v>4001</v>
      </c>
      <c r="B620" s="2" t="s">
        <v>1683</v>
      </c>
      <c r="C620" s="3">
        <v>1</v>
      </c>
      <c r="D620" s="5">
        <v>37.130000000000003</v>
      </c>
      <c r="E620" s="3" t="s">
        <v>1684</v>
      </c>
      <c r="F620" s="2" t="s">
        <v>74</v>
      </c>
      <c r="G620" s="6" t="s">
        <v>234</v>
      </c>
      <c r="H620" s="2" t="s">
        <v>194</v>
      </c>
      <c r="I620" s="2" t="s">
        <v>183</v>
      </c>
      <c r="J620" s="2" t="s">
        <v>19</v>
      </c>
      <c r="K620" s="2" t="s">
        <v>247</v>
      </c>
      <c r="L620" s="7" t="str">
        <f>HYPERLINK("http://slimages.macys.com/is/image/MCY/12851695 ")</f>
        <v xml:space="preserve">http://slimages.macys.com/is/image/MCY/12851695 </v>
      </c>
    </row>
    <row r="621" spans="1:12" ht="24.75" x14ac:dyDescent="0.25">
      <c r="A621" s="4" t="s">
        <v>1685</v>
      </c>
      <c r="B621" s="2" t="s">
        <v>1683</v>
      </c>
      <c r="C621" s="3">
        <v>1</v>
      </c>
      <c r="D621" s="5">
        <v>37.130000000000003</v>
      </c>
      <c r="E621" s="3" t="s">
        <v>1684</v>
      </c>
      <c r="F621" s="2" t="s">
        <v>74</v>
      </c>
      <c r="G621" s="6" t="s">
        <v>156</v>
      </c>
      <c r="H621" s="2" t="s">
        <v>194</v>
      </c>
      <c r="I621" s="2" t="s">
        <v>195</v>
      </c>
      <c r="J621" s="2" t="s">
        <v>19</v>
      </c>
      <c r="K621" s="2" t="s">
        <v>648</v>
      </c>
      <c r="L621" s="7" t="str">
        <f>HYPERLINK("http://slimages.macys.com/is/image/MCY/3650047 ")</f>
        <v xml:space="preserve">http://slimages.macys.com/is/image/MCY/3650047 </v>
      </c>
    </row>
    <row r="622" spans="1:12" ht="24.75" x14ac:dyDescent="0.25">
      <c r="A622" s="4" t="s">
        <v>4002</v>
      </c>
      <c r="B622" s="2" t="s">
        <v>1689</v>
      </c>
      <c r="C622" s="3">
        <v>1</v>
      </c>
      <c r="D622" s="5">
        <v>25.88</v>
      </c>
      <c r="E622" s="3" t="s">
        <v>1690</v>
      </c>
      <c r="F622" s="2" t="s">
        <v>1584</v>
      </c>
      <c r="G622" s="6" t="s">
        <v>200</v>
      </c>
      <c r="H622" s="2" t="s">
        <v>194</v>
      </c>
      <c r="I622" s="2" t="s">
        <v>195</v>
      </c>
      <c r="J622" s="2" t="s">
        <v>19</v>
      </c>
      <c r="K622" s="2" t="s">
        <v>648</v>
      </c>
      <c r="L622" s="7" t="str">
        <f>HYPERLINK("http://slimages.macys.com/is/image/MCY/3650047 ")</f>
        <v xml:space="preserve">http://slimages.macys.com/is/image/MCY/3650047 </v>
      </c>
    </row>
    <row r="623" spans="1:12" ht="24.75" x14ac:dyDescent="0.25">
      <c r="A623" s="4" t="s">
        <v>4003</v>
      </c>
      <c r="B623" s="2" t="s">
        <v>4004</v>
      </c>
      <c r="C623" s="3">
        <v>1</v>
      </c>
      <c r="D623" s="5">
        <v>24.99</v>
      </c>
      <c r="E623" s="3" t="s">
        <v>4005</v>
      </c>
      <c r="F623" s="2" t="s">
        <v>15</v>
      </c>
      <c r="G623" s="6" t="s">
        <v>181</v>
      </c>
      <c r="H623" s="2" t="s">
        <v>1522</v>
      </c>
      <c r="I623" s="2" t="s">
        <v>195</v>
      </c>
      <c r="J623" s="2" t="s">
        <v>19</v>
      </c>
      <c r="K623" s="2" t="s">
        <v>648</v>
      </c>
      <c r="L623" s="7" t="str">
        <f>HYPERLINK("http://slimages.macys.com/is/image/MCY/3650047 ")</f>
        <v xml:space="preserve">http://slimages.macys.com/is/image/MCY/3650047 </v>
      </c>
    </row>
    <row r="624" spans="1:12" ht="24.75" x14ac:dyDescent="0.25">
      <c r="A624" s="4" t="s">
        <v>4006</v>
      </c>
      <c r="B624" s="2" t="s">
        <v>4007</v>
      </c>
      <c r="C624" s="3">
        <v>1</v>
      </c>
      <c r="D624" s="5">
        <v>24.99</v>
      </c>
      <c r="E624" s="3" t="s">
        <v>4008</v>
      </c>
      <c r="F624" s="2" t="s">
        <v>33</v>
      </c>
      <c r="G624" s="6" t="s">
        <v>156</v>
      </c>
      <c r="H624" s="2" t="s">
        <v>1522</v>
      </c>
      <c r="I624" s="2" t="s">
        <v>195</v>
      </c>
      <c r="J624" s="2" t="s">
        <v>19</v>
      </c>
      <c r="K624" s="2" t="s">
        <v>247</v>
      </c>
      <c r="L624" s="7" t="str">
        <f>HYPERLINK("http://slimages.macys.com/is/image/MCY/13121030 ")</f>
        <v xml:space="preserve">http://slimages.macys.com/is/image/MCY/13121030 </v>
      </c>
    </row>
    <row r="625" spans="1:12" ht="24.75" x14ac:dyDescent="0.25">
      <c r="A625" s="4" t="s">
        <v>4009</v>
      </c>
      <c r="B625" s="2" t="s">
        <v>1627</v>
      </c>
      <c r="C625" s="3">
        <v>1</v>
      </c>
      <c r="D625" s="5">
        <v>25.88</v>
      </c>
      <c r="E625" s="3" t="s">
        <v>4010</v>
      </c>
      <c r="F625" s="2" t="s">
        <v>70</v>
      </c>
      <c r="G625" s="6"/>
      <c r="H625" s="2" t="s">
        <v>312</v>
      </c>
      <c r="I625" s="2" t="s">
        <v>195</v>
      </c>
      <c r="J625" s="2" t="s">
        <v>19</v>
      </c>
      <c r="K625" s="2" t="s">
        <v>247</v>
      </c>
      <c r="L625" s="7" t="str">
        <f>HYPERLINK("http://slimages.macys.com/is/image/MCY/13121030 ")</f>
        <v xml:space="preserve">http://slimages.macys.com/is/image/MCY/13121030 </v>
      </c>
    </row>
    <row r="626" spans="1:12" ht="24.75" x14ac:dyDescent="0.25">
      <c r="A626" s="4" t="s">
        <v>4011</v>
      </c>
      <c r="B626" s="2" t="s">
        <v>1645</v>
      </c>
      <c r="C626" s="3">
        <v>1</v>
      </c>
      <c r="D626" s="5">
        <v>19.989999999999998</v>
      </c>
      <c r="E626" s="3" t="s">
        <v>4012</v>
      </c>
      <c r="F626" s="2" t="s">
        <v>33</v>
      </c>
      <c r="G626" s="6"/>
      <c r="H626" s="2" t="s">
        <v>312</v>
      </c>
      <c r="I626" s="2" t="s">
        <v>195</v>
      </c>
      <c r="J626" s="2" t="s">
        <v>19</v>
      </c>
      <c r="K626" s="2" t="s">
        <v>648</v>
      </c>
      <c r="L626" s="7" t="str">
        <f>HYPERLINK("http://slimages.macys.com/is/image/MCY/3650047 ")</f>
        <v xml:space="preserve">http://slimages.macys.com/is/image/MCY/3650047 </v>
      </c>
    </row>
    <row r="627" spans="1:12" ht="24.75" x14ac:dyDescent="0.25">
      <c r="A627" s="4" t="s">
        <v>4013</v>
      </c>
      <c r="B627" s="2" t="s">
        <v>4014</v>
      </c>
      <c r="C627" s="3">
        <v>1</v>
      </c>
      <c r="D627" s="5">
        <v>29.7</v>
      </c>
      <c r="E627" s="3" t="s">
        <v>4015</v>
      </c>
      <c r="F627" s="2" t="s">
        <v>15</v>
      </c>
      <c r="G627" s="6" t="s">
        <v>348</v>
      </c>
      <c r="H627" s="2" t="s">
        <v>349</v>
      </c>
      <c r="I627" s="2" t="s">
        <v>1469</v>
      </c>
      <c r="J627" s="2" t="s">
        <v>19</v>
      </c>
      <c r="K627" s="2" t="s">
        <v>495</v>
      </c>
      <c r="L627" s="7" t="str">
        <f>HYPERLINK("http://slimages.macys.com/is/image/MCY/11207455 ")</f>
        <v xml:space="preserve">http://slimages.macys.com/is/image/MCY/11207455 </v>
      </c>
    </row>
    <row r="628" spans="1:12" ht="24.75" x14ac:dyDescent="0.25">
      <c r="A628" s="4" t="s">
        <v>4016</v>
      </c>
      <c r="B628" s="2" t="s">
        <v>1699</v>
      </c>
      <c r="C628" s="3">
        <v>1</v>
      </c>
      <c r="D628" s="5">
        <v>19.989999999999998</v>
      </c>
      <c r="E628" s="3" t="s">
        <v>1700</v>
      </c>
      <c r="F628" s="2" t="s">
        <v>26</v>
      </c>
      <c r="G628" s="6" t="s">
        <v>154</v>
      </c>
      <c r="H628" s="2" t="s">
        <v>1473</v>
      </c>
      <c r="I628" s="2" t="s">
        <v>1469</v>
      </c>
      <c r="J628" s="2" t="s">
        <v>19</v>
      </c>
      <c r="K628" s="2" t="s">
        <v>495</v>
      </c>
      <c r="L628" s="7" t="str">
        <f>HYPERLINK("http://slimages.macys.com/is/image/MCY/11312215 ")</f>
        <v xml:space="preserve">http://slimages.macys.com/is/image/MCY/11312215 </v>
      </c>
    </row>
    <row r="629" spans="1:12" ht="24.75" x14ac:dyDescent="0.25">
      <c r="A629" s="4" t="s">
        <v>1701</v>
      </c>
      <c r="B629" s="2" t="s">
        <v>1699</v>
      </c>
      <c r="C629" s="3">
        <v>1</v>
      </c>
      <c r="D629" s="5">
        <v>19.989999999999998</v>
      </c>
      <c r="E629" s="3" t="s">
        <v>1700</v>
      </c>
      <c r="F629" s="2" t="s">
        <v>94</v>
      </c>
      <c r="G629" s="6" t="s">
        <v>154</v>
      </c>
      <c r="H629" s="2" t="s">
        <v>1473</v>
      </c>
      <c r="I629" s="2" t="s">
        <v>195</v>
      </c>
      <c r="J629" s="2" t="s">
        <v>19</v>
      </c>
      <c r="K629" s="2" t="s">
        <v>1629</v>
      </c>
      <c r="L629" s="7" t="str">
        <f>HYPERLINK("http://slimages.macys.com/is/image/MCY/3314148 ")</f>
        <v xml:space="preserve">http://slimages.macys.com/is/image/MCY/3314148 </v>
      </c>
    </row>
    <row r="630" spans="1:12" ht="24.75" x14ac:dyDescent="0.25">
      <c r="A630" s="4" t="s">
        <v>4017</v>
      </c>
      <c r="B630" s="2" t="s">
        <v>1705</v>
      </c>
      <c r="C630" s="3">
        <v>1</v>
      </c>
      <c r="D630" s="5">
        <v>24.99</v>
      </c>
      <c r="E630" s="3" t="s">
        <v>1706</v>
      </c>
      <c r="F630" s="2" t="s">
        <v>74</v>
      </c>
      <c r="G630" s="6" t="s">
        <v>219</v>
      </c>
      <c r="H630" s="2" t="s">
        <v>1425</v>
      </c>
      <c r="I630" s="2" t="s">
        <v>195</v>
      </c>
      <c r="J630" s="2" t="s">
        <v>19</v>
      </c>
      <c r="K630" s="2" t="s">
        <v>247</v>
      </c>
      <c r="L630" s="7" t="str">
        <f>HYPERLINK("http://slimages.macys.com/is/image/MCY/9577022 ")</f>
        <v xml:space="preserve">http://slimages.macys.com/is/image/MCY/9577022 </v>
      </c>
    </row>
    <row r="631" spans="1:12" ht="24.75" x14ac:dyDescent="0.25">
      <c r="A631" s="4" t="s">
        <v>4018</v>
      </c>
      <c r="B631" s="2" t="s">
        <v>1712</v>
      </c>
      <c r="C631" s="3">
        <v>1</v>
      </c>
      <c r="D631" s="5">
        <v>19.989999999999998</v>
      </c>
      <c r="E631" s="3" t="s">
        <v>4019</v>
      </c>
      <c r="F631" s="2" t="s">
        <v>74</v>
      </c>
      <c r="G631" s="6" t="s">
        <v>245</v>
      </c>
      <c r="H631" s="2" t="s">
        <v>194</v>
      </c>
      <c r="I631" s="2" t="s">
        <v>285</v>
      </c>
      <c r="J631" s="2" t="s">
        <v>19</v>
      </c>
      <c r="K631" s="2" t="s">
        <v>160</v>
      </c>
      <c r="L631" s="7" t="str">
        <f>HYPERLINK("http://slimages.macys.com/is/image/MCY/12510129 ")</f>
        <v xml:space="preserve">http://slimages.macys.com/is/image/MCY/12510129 </v>
      </c>
    </row>
    <row r="632" spans="1:12" ht="24.75" x14ac:dyDescent="0.25">
      <c r="A632" s="4" t="s">
        <v>4020</v>
      </c>
      <c r="B632" s="2" t="s">
        <v>1253</v>
      </c>
      <c r="C632" s="3">
        <v>1</v>
      </c>
      <c r="D632" s="5">
        <v>24.99</v>
      </c>
      <c r="E632" s="3" t="s">
        <v>2898</v>
      </c>
      <c r="F632" s="2" t="s">
        <v>417</v>
      </c>
      <c r="G632" s="6" t="s">
        <v>205</v>
      </c>
      <c r="H632" s="2" t="s">
        <v>426</v>
      </c>
      <c r="I632" s="2" t="s">
        <v>1426</v>
      </c>
      <c r="J632" s="2" t="s">
        <v>19</v>
      </c>
      <c r="K632" s="2" t="s">
        <v>990</v>
      </c>
      <c r="L632" s="7" t="str">
        <f>HYPERLINK("http://slimages.macys.com/is/image/MCY/11831242 ")</f>
        <v xml:space="preserve">http://slimages.macys.com/is/image/MCY/11831242 </v>
      </c>
    </row>
    <row r="633" spans="1:12" ht="24.75" x14ac:dyDescent="0.25">
      <c r="A633" s="4" t="s">
        <v>4021</v>
      </c>
      <c r="B633" s="2" t="s">
        <v>1253</v>
      </c>
      <c r="C633" s="3">
        <v>1</v>
      </c>
      <c r="D633" s="5">
        <v>24.99</v>
      </c>
      <c r="E633" s="3" t="s">
        <v>2898</v>
      </c>
      <c r="F633" s="2" t="s">
        <v>417</v>
      </c>
      <c r="G633" s="6" t="s">
        <v>165</v>
      </c>
      <c r="H633" s="2" t="s">
        <v>426</v>
      </c>
      <c r="I633" s="2" t="s">
        <v>1426</v>
      </c>
      <c r="J633" s="2" t="s">
        <v>19</v>
      </c>
      <c r="K633" s="2" t="s">
        <v>990</v>
      </c>
      <c r="L633" s="7" t="str">
        <f>HYPERLINK("http://slimages.macys.com/is/image/MCY/11831242 ")</f>
        <v xml:space="preserve">http://slimages.macys.com/is/image/MCY/11831242 </v>
      </c>
    </row>
    <row r="634" spans="1:12" ht="24.75" x14ac:dyDescent="0.25">
      <c r="A634" s="4" t="s">
        <v>4022</v>
      </c>
      <c r="B634" s="2" t="s">
        <v>1705</v>
      </c>
      <c r="C634" s="3">
        <v>1</v>
      </c>
      <c r="D634" s="5">
        <v>24.99</v>
      </c>
      <c r="E634" s="3" t="s">
        <v>4023</v>
      </c>
      <c r="F634" s="2" t="s">
        <v>70</v>
      </c>
      <c r="G634" s="6" t="s">
        <v>245</v>
      </c>
      <c r="H634" s="2" t="s">
        <v>1522</v>
      </c>
      <c r="I634" s="2" t="s">
        <v>1469</v>
      </c>
      <c r="J634" s="2" t="s">
        <v>19</v>
      </c>
      <c r="K634" s="2" t="s">
        <v>990</v>
      </c>
      <c r="L634" s="7" t="str">
        <f>HYPERLINK("http://slimages.macys.com/is/image/MCY/9127920 ")</f>
        <v xml:space="preserve">http://slimages.macys.com/is/image/MCY/9127920 </v>
      </c>
    </row>
    <row r="635" spans="1:12" ht="24.75" x14ac:dyDescent="0.25">
      <c r="A635" s="4" t="s">
        <v>4024</v>
      </c>
      <c r="B635" s="2" t="s">
        <v>1705</v>
      </c>
      <c r="C635" s="3">
        <v>2</v>
      </c>
      <c r="D635" s="5">
        <v>24.99</v>
      </c>
      <c r="E635" s="3" t="s">
        <v>4023</v>
      </c>
      <c r="F635" s="2" t="s">
        <v>70</v>
      </c>
      <c r="G635" s="6" t="s">
        <v>156</v>
      </c>
      <c r="H635" s="2" t="s">
        <v>1522</v>
      </c>
      <c r="I635" s="2" t="s">
        <v>195</v>
      </c>
      <c r="J635" s="2" t="s">
        <v>19</v>
      </c>
      <c r="K635" s="2" t="s">
        <v>160</v>
      </c>
      <c r="L635" s="7" t="str">
        <f>HYPERLINK("http://slimages.macys.com/is/image/MCY/13317763 ")</f>
        <v xml:space="preserve">http://slimages.macys.com/is/image/MCY/13317763 </v>
      </c>
    </row>
    <row r="636" spans="1:12" ht="24.75" x14ac:dyDescent="0.25">
      <c r="A636" s="4" t="s">
        <v>4025</v>
      </c>
      <c r="B636" s="2" t="s">
        <v>1712</v>
      </c>
      <c r="C636" s="3">
        <v>2</v>
      </c>
      <c r="D636" s="5">
        <v>19.989999999999998</v>
      </c>
      <c r="E636" s="3" t="s">
        <v>4019</v>
      </c>
      <c r="F636" s="2" t="s">
        <v>74</v>
      </c>
      <c r="G636" s="6" t="s">
        <v>234</v>
      </c>
      <c r="H636" s="2" t="s">
        <v>194</v>
      </c>
      <c r="I636" s="2" t="s">
        <v>863</v>
      </c>
      <c r="J636" s="2" t="s">
        <v>19</v>
      </c>
      <c r="K636" s="2" t="s">
        <v>253</v>
      </c>
      <c r="L636" s="7" t="str">
        <f>HYPERLINK("http://slimages.macys.com/is/image/MCY/9029356 ")</f>
        <v xml:space="preserve">http://slimages.macys.com/is/image/MCY/9029356 </v>
      </c>
    </row>
    <row r="637" spans="1:12" ht="24.75" x14ac:dyDescent="0.25">
      <c r="A637" s="4" t="s">
        <v>4026</v>
      </c>
      <c r="B637" s="2" t="s">
        <v>4027</v>
      </c>
      <c r="C637" s="3">
        <v>1</v>
      </c>
      <c r="D637" s="5">
        <v>24.99</v>
      </c>
      <c r="E637" s="3" t="s">
        <v>4028</v>
      </c>
      <c r="F637" s="2" t="s">
        <v>15</v>
      </c>
      <c r="G637" s="6" t="s">
        <v>219</v>
      </c>
      <c r="H637" s="2" t="s">
        <v>1425</v>
      </c>
      <c r="I637" s="2" t="s">
        <v>863</v>
      </c>
      <c r="J637" s="2" t="s">
        <v>19</v>
      </c>
      <c r="K637" s="2" t="s">
        <v>253</v>
      </c>
      <c r="L637" s="7" t="str">
        <f>HYPERLINK("http://slimages.macys.com/is/image/MCY/9029356 ")</f>
        <v xml:space="preserve">http://slimages.macys.com/is/image/MCY/9029356 </v>
      </c>
    </row>
    <row r="638" spans="1:12" ht="24.75" x14ac:dyDescent="0.25">
      <c r="A638" s="4" t="s">
        <v>4029</v>
      </c>
      <c r="B638" s="2" t="s">
        <v>1712</v>
      </c>
      <c r="C638" s="3">
        <v>2</v>
      </c>
      <c r="D638" s="5">
        <v>19.989999999999998</v>
      </c>
      <c r="E638" s="3" t="s">
        <v>4030</v>
      </c>
      <c r="F638" s="2" t="s">
        <v>417</v>
      </c>
      <c r="G638" s="6" t="s">
        <v>154</v>
      </c>
      <c r="H638" s="2" t="s">
        <v>194</v>
      </c>
      <c r="I638" s="2" t="s">
        <v>1469</v>
      </c>
      <c r="J638" s="2" t="s">
        <v>19</v>
      </c>
      <c r="K638" s="2" t="s">
        <v>648</v>
      </c>
      <c r="L638" s="7" t="str">
        <f>HYPERLINK("http://slimages.macys.com/is/image/MCY/9114999 ")</f>
        <v xml:space="preserve">http://slimages.macys.com/is/image/MCY/9114999 </v>
      </c>
    </row>
    <row r="639" spans="1:12" ht="24.75" x14ac:dyDescent="0.25">
      <c r="A639" s="4" t="s">
        <v>4031</v>
      </c>
      <c r="B639" s="2" t="s">
        <v>1712</v>
      </c>
      <c r="C639" s="3">
        <v>1</v>
      </c>
      <c r="D639" s="5">
        <v>19.989999999999998</v>
      </c>
      <c r="E639" s="3" t="s">
        <v>4032</v>
      </c>
      <c r="F639" s="2" t="s">
        <v>74</v>
      </c>
      <c r="G639" s="6" t="s">
        <v>181</v>
      </c>
      <c r="H639" s="2" t="s">
        <v>194</v>
      </c>
      <c r="I639" s="2" t="s">
        <v>1469</v>
      </c>
      <c r="J639" s="2" t="s">
        <v>19</v>
      </c>
      <c r="K639" s="2" t="s">
        <v>648</v>
      </c>
      <c r="L639" s="7" t="str">
        <f>HYPERLINK("http://slimages.macys.com/is/image/MCY/9114999 ")</f>
        <v xml:space="preserve">http://slimages.macys.com/is/image/MCY/9114999 </v>
      </c>
    </row>
    <row r="640" spans="1:12" ht="24.75" x14ac:dyDescent="0.25">
      <c r="A640" s="4" t="s">
        <v>4033</v>
      </c>
      <c r="B640" s="2" t="s">
        <v>1712</v>
      </c>
      <c r="C640" s="3">
        <v>1</v>
      </c>
      <c r="D640" s="5">
        <v>19.989999999999998</v>
      </c>
      <c r="E640" s="3" t="s">
        <v>2905</v>
      </c>
      <c r="F640" s="2" t="s">
        <v>15</v>
      </c>
      <c r="G640" s="6" t="s">
        <v>154</v>
      </c>
      <c r="H640" s="2" t="s">
        <v>194</v>
      </c>
      <c r="I640" s="2" t="s">
        <v>195</v>
      </c>
      <c r="J640" s="2" t="s">
        <v>19</v>
      </c>
      <c r="K640" s="2" t="s">
        <v>160</v>
      </c>
      <c r="L640" s="7" t="str">
        <f>HYPERLINK("http://slimages.macys.com/is/image/MCY/13317763 ")</f>
        <v xml:space="preserve">http://slimages.macys.com/is/image/MCY/13317763 </v>
      </c>
    </row>
    <row r="641" spans="1:12" ht="24.75" x14ac:dyDescent="0.25">
      <c r="A641" s="4" t="s">
        <v>4034</v>
      </c>
      <c r="B641" s="2" t="s">
        <v>1712</v>
      </c>
      <c r="C641" s="3">
        <v>1</v>
      </c>
      <c r="D641" s="5">
        <v>19.989999999999998</v>
      </c>
      <c r="E641" s="3" t="s">
        <v>4035</v>
      </c>
      <c r="F641" s="2" t="s">
        <v>417</v>
      </c>
      <c r="G641" s="6" t="s">
        <v>154</v>
      </c>
      <c r="H641" s="2" t="s">
        <v>194</v>
      </c>
      <c r="I641" s="2" t="s">
        <v>1426</v>
      </c>
      <c r="J641" s="2" t="s">
        <v>19</v>
      </c>
      <c r="K641" s="2" t="s">
        <v>648</v>
      </c>
      <c r="L641" s="7" t="str">
        <f>HYPERLINK("http://slimages.macys.com/is/image/MCY/12316284 ")</f>
        <v xml:space="preserve">http://slimages.macys.com/is/image/MCY/12316284 </v>
      </c>
    </row>
    <row r="642" spans="1:12" ht="24.75" x14ac:dyDescent="0.25">
      <c r="A642" s="4" t="s">
        <v>4036</v>
      </c>
      <c r="B642" s="2" t="s">
        <v>4037</v>
      </c>
      <c r="C642" s="3">
        <v>5</v>
      </c>
      <c r="D642" s="5">
        <v>26.7</v>
      </c>
      <c r="E642" s="3" t="s">
        <v>4038</v>
      </c>
      <c r="F642" s="2" t="s">
        <v>170</v>
      </c>
      <c r="G642" s="6" t="s">
        <v>154</v>
      </c>
      <c r="H642" s="2" t="s">
        <v>284</v>
      </c>
      <c r="I642" s="2" t="s">
        <v>195</v>
      </c>
      <c r="J642" s="2" t="s">
        <v>19</v>
      </c>
      <c r="K642" s="2" t="s">
        <v>160</v>
      </c>
      <c r="L642" s="7" t="str">
        <f>HYPERLINK("http://slimages.macys.com/is/image/MCY/13317759 ")</f>
        <v xml:space="preserve">http://slimages.macys.com/is/image/MCY/13317759 </v>
      </c>
    </row>
    <row r="643" spans="1:12" ht="24.75" x14ac:dyDescent="0.25">
      <c r="A643" s="4" t="s">
        <v>2916</v>
      </c>
      <c r="B643" s="2" t="s">
        <v>1724</v>
      </c>
      <c r="C643" s="3">
        <v>1</v>
      </c>
      <c r="D643" s="5">
        <v>34.880000000000003</v>
      </c>
      <c r="E643" s="3">
        <v>100018041</v>
      </c>
      <c r="F643" s="2" t="s">
        <v>566</v>
      </c>
      <c r="G643" s="6" t="s">
        <v>16</v>
      </c>
      <c r="H643" s="2" t="s">
        <v>194</v>
      </c>
      <c r="I643" s="2" t="s">
        <v>195</v>
      </c>
      <c r="J643" s="2" t="s">
        <v>19</v>
      </c>
      <c r="K643" s="2" t="s">
        <v>160</v>
      </c>
      <c r="L643" s="7" t="str">
        <f>HYPERLINK("http://slimages.macys.com/is/image/MCY/13317759 ")</f>
        <v xml:space="preserve">http://slimages.macys.com/is/image/MCY/13317759 </v>
      </c>
    </row>
    <row r="644" spans="1:12" ht="24.75" x14ac:dyDescent="0.25">
      <c r="A644" s="4" t="s">
        <v>4039</v>
      </c>
      <c r="B644" s="2" t="s">
        <v>1724</v>
      </c>
      <c r="C644" s="3">
        <v>1</v>
      </c>
      <c r="D644" s="5">
        <v>34.880000000000003</v>
      </c>
      <c r="E644" s="3">
        <v>100018041</v>
      </c>
      <c r="F644" s="2" t="s">
        <v>566</v>
      </c>
      <c r="G644" s="6" t="s">
        <v>141</v>
      </c>
      <c r="H644" s="2" t="s">
        <v>194</v>
      </c>
      <c r="I644" s="2" t="s">
        <v>195</v>
      </c>
      <c r="J644" s="2" t="s">
        <v>19</v>
      </c>
      <c r="K644" s="2" t="s">
        <v>160</v>
      </c>
      <c r="L644" s="7" t="str">
        <f>HYPERLINK("http://slimages.macys.com/is/image/MCY/13317759 ")</f>
        <v xml:space="preserve">http://slimages.macys.com/is/image/MCY/13317759 </v>
      </c>
    </row>
    <row r="645" spans="1:12" ht="24.75" x14ac:dyDescent="0.25">
      <c r="A645" s="4" t="s">
        <v>2915</v>
      </c>
      <c r="B645" s="2" t="s">
        <v>1724</v>
      </c>
      <c r="C645" s="3">
        <v>1</v>
      </c>
      <c r="D645" s="5">
        <v>34.880000000000003</v>
      </c>
      <c r="E645" s="3">
        <v>100018041</v>
      </c>
      <c r="F645" s="2" t="s">
        <v>566</v>
      </c>
      <c r="G645" s="6" t="s">
        <v>22</v>
      </c>
      <c r="H645" s="2" t="s">
        <v>194</v>
      </c>
      <c r="I645" s="2" t="s">
        <v>195</v>
      </c>
      <c r="J645" s="2" t="s">
        <v>19</v>
      </c>
      <c r="K645" s="2" t="s">
        <v>160</v>
      </c>
      <c r="L645" s="7" t="str">
        <f>HYPERLINK("http://slimages.macys.com/is/image/MCY/12405238 ")</f>
        <v xml:space="preserve">http://slimages.macys.com/is/image/MCY/12405238 </v>
      </c>
    </row>
    <row r="646" spans="1:12" ht="24.75" x14ac:dyDescent="0.25">
      <c r="A646" s="4" t="s">
        <v>4040</v>
      </c>
      <c r="B646" s="2" t="s">
        <v>1712</v>
      </c>
      <c r="C646" s="3">
        <v>1</v>
      </c>
      <c r="D646" s="5">
        <v>19.989999999999998</v>
      </c>
      <c r="E646" s="3" t="s">
        <v>4041</v>
      </c>
      <c r="F646" s="2" t="s">
        <v>74</v>
      </c>
      <c r="G646" s="6" t="s">
        <v>156</v>
      </c>
      <c r="H646" s="2" t="s">
        <v>194</v>
      </c>
      <c r="I646" s="2" t="s">
        <v>285</v>
      </c>
      <c r="J646" s="2" t="s">
        <v>19</v>
      </c>
      <c r="K646" s="2" t="s">
        <v>160</v>
      </c>
      <c r="L646" s="7" t="str">
        <f>HYPERLINK("http://slimages.macys.com/is/image/MCY/13924288 ")</f>
        <v xml:space="preserve">http://slimages.macys.com/is/image/MCY/13924288 </v>
      </c>
    </row>
    <row r="647" spans="1:12" ht="24.75" x14ac:dyDescent="0.25">
      <c r="A647" s="4" t="s">
        <v>4042</v>
      </c>
      <c r="B647" s="2" t="s">
        <v>1712</v>
      </c>
      <c r="C647" s="3">
        <v>2</v>
      </c>
      <c r="D647" s="5">
        <v>19.989999999999998</v>
      </c>
      <c r="E647" s="3" t="s">
        <v>4041</v>
      </c>
      <c r="F647" s="2" t="s">
        <v>74</v>
      </c>
      <c r="G647" s="6" t="s">
        <v>181</v>
      </c>
      <c r="H647" s="2" t="s">
        <v>194</v>
      </c>
      <c r="I647" s="2" t="s">
        <v>195</v>
      </c>
      <c r="J647" s="2" t="s">
        <v>19</v>
      </c>
      <c r="K647" s="2" t="s">
        <v>353</v>
      </c>
      <c r="L647" s="7" t="str">
        <f>HYPERLINK("http://slimages.macys.com/is/image/MCY/12950342 ")</f>
        <v xml:space="preserve">http://slimages.macys.com/is/image/MCY/12950342 </v>
      </c>
    </row>
    <row r="648" spans="1:12" ht="24.75" x14ac:dyDescent="0.25">
      <c r="A648" s="4" t="s">
        <v>4043</v>
      </c>
      <c r="B648" s="2" t="s">
        <v>1712</v>
      </c>
      <c r="C648" s="3">
        <v>3</v>
      </c>
      <c r="D648" s="5">
        <v>19.989999999999998</v>
      </c>
      <c r="E648" s="3" t="s">
        <v>4041</v>
      </c>
      <c r="F648" s="2" t="s">
        <v>74</v>
      </c>
      <c r="G648" s="6" t="s">
        <v>154</v>
      </c>
      <c r="H648" s="2" t="s">
        <v>194</v>
      </c>
      <c r="I648" s="2" t="s">
        <v>195</v>
      </c>
      <c r="J648" s="2" t="s">
        <v>19</v>
      </c>
      <c r="K648" s="2" t="s">
        <v>353</v>
      </c>
      <c r="L648" s="7" t="str">
        <f>HYPERLINK("http://slimages.macys.com/is/image/MCY/12950342 ")</f>
        <v xml:space="preserve">http://slimages.macys.com/is/image/MCY/12950342 </v>
      </c>
    </row>
    <row r="649" spans="1:12" ht="24.75" x14ac:dyDescent="0.25">
      <c r="A649" s="4" t="s">
        <v>4044</v>
      </c>
      <c r="B649" s="2" t="s">
        <v>1712</v>
      </c>
      <c r="C649" s="3">
        <v>2</v>
      </c>
      <c r="D649" s="5">
        <v>19.989999999999998</v>
      </c>
      <c r="E649" s="3" t="s">
        <v>4041</v>
      </c>
      <c r="F649" s="2" t="s">
        <v>74</v>
      </c>
      <c r="G649" s="6" t="s">
        <v>234</v>
      </c>
      <c r="H649" s="2" t="s">
        <v>194</v>
      </c>
      <c r="I649" s="2" t="s">
        <v>195</v>
      </c>
      <c r="J649" s="2" t="s">
        <v>19</v>
      </c>
      <c r="K649" s="2" t="s">
        <v>353</v>
      </c>
      <c r="L649" s="7" t="str">
        <f>HYPERLINK("http://slimages.macys.com/is/image/MCY/12950342 ")</f>
        <v xml:space="preserve">http://slimages.macys.com/is/image/MCY/12950342 </v>
      </c>
    </row>
    <row r="650" spans="1:12" ht="24.75" x14ac:dyDescent="0.25">
      <c r="A650" s="4" t="s">
        <v>4045</v>
      </c>
      <c r="B650" s="2" t="s">
        <v>4046</v>
      </c>
      <c r="C650" s="3">
        <v>1</v>
      </c>
      <c r="D650" s="5">
        <v>19.989999999999998</v>
      </c>
      <c r="E650" s="3" t="s">
        <v>4047</v>
      </c>
      <c r="F650" s="2" t="s">
        <v>15</v>
      </c>
      <c r="G650" s="6" t="s">
        <v>154</v>
      </c>
      <c r="H650" s="2" t="s">
        <v>1473</v>
      </c>
      <c r="I650" s="2" t="s">
        <v>195</v>
      </c>
      <c r="J650" s="2" t="s">
        <v>19</v>
      </c>
      <c r="K650" s="2" t="s">
        <v>160</v>
      </c>
      <c r="L650" s="7" t="str">
        <f>HYPERLINK("http://slimages.macys.com/is/image/MCY/13317763 ")</f>
        <v xml:space="preserve">http://slimages.macys.com/is/image/MCY/13317763 </v>
      </c>
    </row>
    <row r="651" spans="1:12" ht="24.75" x14ac:dyDescent="0.25">
      <c r="A651" s="4" t="s">
        <v>4048</v>
      </c>
      <c r="B651" s="2" t="s">
        <v>2921</v>
      </c>
      <c r="C651" s="3">
        <v>1</v>
      </c>
      <c r="D651" s="5">
        <v>17.989999999999998</v>
      </c>
      <c r="E651" s="3" t="s">
        <v>2922</v>
      </c>
      <c r="F651" s="2" t="s">
        <v>64</v>
      </c>
      <c r="G651" s="6" t="s">
        <v>16</v>
      </c>
      <c r="H651" s="2" t="s">
        <v>1473</v>
      </c>
      <c r="I651" s="2" t="s">
        <v>195</v>
      </c>
      <c r="J651" s="2" t="s">
        <v>19</v>
      </c>
      <c r="K651" s="2" t="s">
        <v>160</v>
      </c>
      <c r="L651" s="7" t="str">
        <f>HYPERLINK("http://slimages.macys.com/is/image/MCY/13317763 ")</f>
        <v xml:space="preserve">http://slimages.macys.com/is/image/MCY/13317763 </v>
      </c>
    </row>
    <row r="652" spans="1:12" ht="24.75" x14ac:dyDescent="0.25">
      <c r="A652" s="4" t="s">
        <v>4049</v>
      </c>
      <c r="B652" s="2" t="s">
        <v>1724</v>
      </c>
      <c r="C652" s="3">
        <v>1</v>
      </c>
      <c r="D652" s="5">
        <v>34.880000000000003</v>
      </c>
      <c r="E652" s="3" t="s">
        <v>2925</v>
      </c>
      <c r="F652" s="2" t="s">
        <v>566</v>
      </c>
      <c r="G652" s="6" t="s">
        <v>363</v>
      </c>
      <c r="H652" s="2" t="s">
        <v>312</v>
      </c>
      <c r="I652" s="2" t="s">
        <v>195</v>
      </c>
      <c r="J652" s="2" t="s">
        <v>19</v>
      </c>
      <c r="K652" s="2" t="s">
        <v>160</v>
      </c>
      <c r="L652" s="7" t="str">
        <f>HYPERLINK("http://slimages.macys.com/is/image/MCY/13317763 ")</f>
        <v xml:space="preserve">http://slimages.macys.com/is/image/MCY/13317763 </v>
      </c>
    </row>
    <row r="653" spans="1:12" ht="24.75" x14ac:dyDescent="0.25">
      <c r="A653" s="4" t="s">
        <v>4050</v>
      </c>
      <c r="B653" s="2" t="s">
        <v>1724</v>
      </c>
      <c r="C653" s="3">
        <v>1</v>
      </c>
      <c r="D653" s="5">
        <v>34.880000000000003</v>
      </c>
      <c r="E653" s="3" t="s">
        <v>2925</v>
      </c>
      <c r="F653" s="2" t="s">
        <v>566</v>
      </c>
      <c r="G653" s="6" t="s">
        <v>336</v>
      </c>
      <c r="H653" s="2" t="s">
        <v>312</v>
      </c>
      <c r="I653" s="2" t="s">
        <v>195</v>
      </c>
      <c r="J653" s="2" t="s">
        <v>19</v>
      </c>
      <c r="K653" s="2" t="s">
        <v>160</v>
      </c>
      <c r="L653" s="7" t="str">
        <f>HYPERLINK("http://slimages.macys.com/is/image/MCY/13317763 ")</f>
        <v xml:space="preserve">http://slimages.macys.com/is/image/MCY/13317763 </v>
      </c>
    </row>
    <row r="654" spans="1:12" ht="24.75" x14ac:dyDescent="0.25">
      <c r="A654" s="4" t="s">
        <v>4051</v>
      </c>
      <c r="B654" s="2" t="s">
        <v>1724</v>
      </c>
      <c r="C654" s="3">
        <v>2</v>
      </c>
      <c r="D654" s="5">
        <v>34.880000000000003</v>
      </c>
      <c r="E654" s="3" t="s">
        <v>2925</v>
      </c>
      <c r="F654" s="2" t="s">
        <v>26</v>
      </c>
      <c r="G654" s="6" t="s">
        <v>363</v>
      </c>
      <c r="H654" s="2" t="s">
        <v>312</v>
      </c>
      <c r="I654" s="2" t="s">
        <v>1426</v>
      </c>
      <c r="J654" s="2" t="s">
        <v>19</v>
      </c>
      <c r="K654" s="2" t="s">
        <v>495</v>
      </c>
      <c r="L654" s="7" t="str">
        <f>HYPERLINK("http://slimages.macys.com/is/image/MCY/12773814 ")</f>
        <v xml:space="preserve">http://slimages.macys.com/is/image/MCY/12773814 </v>
      </c>
    </row>
    <row r="655" spans="1:12" ht="24.75" x14ac:dyDescent="0.25">
      <c r="A655" s="4" t="s">
        <v>4052</v>
      </c>
      <c r="B655" s="2" t="s">
        <v>2936</v>
      </c>
      <c r="C655" s="3">
        <v>1</v>
      </c>
      <c r="D655" s="5">
        <v>20.99</v>
      </c>
      <c r="E655" s="3" t="s">
        <v>2937</v>
      </c>
      <c r="F655" s="2" t="s">
        <v>64</v>
      </c>
      <c r="G655" s="6" t="s">
        <v>156</v>
      </c>
      <c r="H655" s="2" t="s">
        <v>1473</v>
      </c>
      <c r="I655" s="2" t="s">
        <v>1426</v>
      </c>
      <c r="J655" s="2" t="s">
        <v>19</v>
      </c>
      <c r="K655" s="2" t="s">
        <v>990</v>
      </c>
      <c r="L655" s="7" t="str">
        <f>HYPERLINK("http://slimages.macys.com/is/image/MCY/11882109 ")</f>
        <v xml:space="preserve">http://slimages.macys.com/is/image/MCY/11882109 </v>
      </c>
    </row>
    <row r="656" spans="1:12" ht="24.75" x14ac:dyDescent="0.25">
      <c r="A656" s="4" t="s">
        <v>4053</v>
      </c>
      <c r="B656" s="2" t="s">
        <v>2933</v>
      </c>
      <c r="C656" s="3">
        <v>1</v>
      </c>
      <c r="D656" s="5">
        <v>20.99</v>
      </c>
      <c r="E656" s="3" t="s">
        <v>2939</v>
      </c>
      <c r="F656" s="2" t="s">
        <v>64</v>
      </c>
      <c r="G656" s="6" t="s">
        <v>154</v>
      </c>
      <c r="H656" s="2" t="s">
        <v>1473</v>
      </c>
      <c r="I656" s="2" t="s">
        <v>195</v>
      </c>
      <c r="J656" s="2" t="s">
        <v>19</v>
      </c>
      <c r="K656" s="2" t="s">
        <v>353</v>
      </c>
      <c r="L656" s="7" t="str">
        <f>HYPERLINK("http://slimages.macys.com/is/image/MCY/9714189 ")</f>
        <v xml:space="preserve">http://slimages.macys.com/is/image/MCY/9714189 </v>
      </c>
    </row>
    <row r="657" spans="1:12" ht="24.75" x14ac:dyDescent="0.25">
      <c r="A657" s="4" t="s">
        <v>2941</v>
      </c>
      <c r="B657" s="2" t="s">
        <v>2933</v>
      </c>
      <c r="C657" s="3">
        <v>1</v>
      </c>
      <c r="D657" s="5">
        <v>20.99</v>
      </c>
      <c r="E657" s="3" t="s">
        <v>2939</v>
      </c>
      <c r="F657" s="2" t="s">
        <v>64</v>
      </c>
      <c r="G657" s="6" t="s">
        <v>245</v>
      </c>
      <c r="H657" s="2" t="s">
        <v>1473</v>
      </c>
      <c r="I657" s="2" t="s">
        <v>195</v>
      </c>
      <c r="J657" s="2" t="s">
        <v>19</v>
      </c>
      <c r="K657" s="2" t="s">
        <v>353</v>
      </c>
      <c r="L657" s="7" t="str">
        <f>HYPERLINK("http://slimages.macys.com/is/image/MCY/9714189 ")</f>
        <v xml:space="preserve">http://slimages.macys.com/is/image/MCY/9714189 </v>
      </c>
    </row>
    <row r="658" spans="1:12" ht="24.75" x14ac:dyDescent="0.25">
      <c r="A658" s="4" t="s">
        <v>4054</v>
      </c>
      <c r="B658" s="2" t="s">
        <v>2936</v>
      </c>
      <c r="C658" s="3">
        <v>1</v>
      </c>
      <c r="D658" s="5">
        <v>20.99</v>
      </c>
      <c r="E658" s="3" t="s">
        <v>2937</v>
      </c>
      <c r="F658" s="2" t="s">
        <v>64</v>
      </c>
      <c r="G658" s="6" t="s">
        <v>154</v>
      </c>
      <c r="H658" s="2" t="s">
        <v>1473</v>
      </c>
      <c r="I658" s="2" t="s">
        <v>195</v>
      </c>
      <c r="J658" s="2" t="s">
        <v>19</v>
      </c>
      <c r="K658" s="2" t="s">
        <v>353</v>
      </c>
      <c r="L658" s="7" t="str">
        <f>HYPERLINK("http://slimages.macys.com/is/image/MCY/9714189 ")</f>
        <v xml:space="preserve">http://slimages.macys.com/is/image/MCY/9714189 </v>
      </c>
    </row>
    <row r="659" spans="1:12" ht="24.75" x14ac:dyDescent="0.25">
      <c r="A659" s="4" t="s">
        <v>2935</v>
      </c>
      <c r="B659" s="2" t="s">
        <v>2936</v>
      </c>
      <c r="C659" s="3">
        <v>3</v>
      </c>
      <c r="D659" s="5">
        <v>20.99</v>
      </c>
      <c r="E659" s="3" t="s">
        <v>2937</v>
      </c>
      <c r="F659" s="2" t="s">
        <v>64</v>
      </c>
      <c r="G659" s="6" t="s">
        <v>181</v>
      </c>
      <c r="H659" s="2" t="s">
        <v>1473</v>
      </c>
      <c r="I659" s="2" t="s">
        <v>1864</v>
      </c>
      <c r="J659" s="2" t="s">
        <v>19</v>
      </c>
      <c r="K659" s="2" t="s">
        <v>107</v>
      </c>
      <c r="L659" s="7" t="str">
        <f>HYPERLINK("http://slimages.macys.com/is/image/MCY/12266786 ")</f>
        <v xml:space="preserve">http://slimages.macys.com/is/image/MCY/12266786 </v>
      </c>
    </row>
    <row r="660" spans="1:12" ht="24.75" x14ac:dyDescent="0.25">
      <c r="A660" s="4" t="s">
        <v>4055</v>
      </c>
      <c r="B660" s="2" t="s">
        <v>2936</v>
      </c>
      <c r="C660" s="3">
        <v>4</v>
      </c>
      <c r="D660" s="5">
        <v>20.99</v>
      </c>
      <c r="E660" s="3" t="s">
        <v>2937</v>
      </c>
      <c r="F660" s="2" t="s">
        <v>64</v>
      </c>
      <c r="G660" s="6" t="s">
        <v>234</v>
      </c>
      <c r="H660" s="2" t="s">
        <v>1473</v>
      </c>
      <c r="I660" s="2" t="s">
        <v>1864</v>
      </c>
      <c r="J660" s="2" t="s">
        <v>19</v>
      </c>
      <c r="K660" s="2" t="s">
        <v>990</v>
      </c>
      <c r="L660" s="7" t="str">
        <f>HYPERLINK("http://slimages.macys.com/is/image/MCY/11515111 ")</f>
        <v xml:space="preserve">http://slimages.macys.com/is/image/MCY/11515111 </v>
      </c>
    </row>
    <row r="661" spans="1:12" ht="24.75" x14ac:dyDescent="0.25">
      <c r="A661" s="4" t="s">
        <v>4056</v>
      </c>
      <c r="B661" s="2" t="s">
        <v>1742</v>
      </c>
      <c r="C661" s="3">
        <v>1</v>
      </c>
      <c r="D661" s="5">
        <v>29.63</v>
      </c>
      <c r="E661" s="3" t="s">
        <v>1743</v>
      </c>
      <c r="F661" s="2" t="s">
        <v>26</v>
      </c>
      <c r="G661" s="6" t="s">
        <v>156</v>
      </c>
      <c r="H661" s="2" t="s">
        <v>194</v>
      </c>
      <c r="I661" s="2" t="s">
        <v>1864</v>
      </c>
      <c r="J661" s="2" t="s">
        <v>19</v>
      </c>
      <c r="K661" s="2" t="s">
        <v>990</v>
      </c>
      <c r="L661" s="7" t="str">
        <f>HYPERLINK("http://slimages.macys.com/is/image/MCY/11515111 ")</f>
        <v xml:space="preserve">http://slimages.macys.com/is/image/MCY/11515111 </v>
      </c>
    </row>
    <row r="662" spans="1:12" ht="24.75" x14ac:dyDescent="0.25">
      <c r="A662" s="4" t="s">
        <v>4057</v>
      </c>
      <c r="B662" s="2" t="s">
        <v>1712</v>
      </c>
      <c r="C662" s="3">
        <v>1</v>
      </c>
      <c r="D662" s="5">
        <v>19.989999999999998</v>
      </c>
      <c r="E662" s="3" t="s">
        <v>4058</v>
      </c>
      <c r="F662" s="2" t="s">
        <v>74</v>
      </c>
      <c r="G662" s="6"/>
      <c r="H662" s="2" t="s">
        <v>312</v>
      </c>
      <c r="I662" s="2" t="s">
        <v>1864</v>
      </c>
      <c r="J662" s="2" t="s">
        <v>19</v>
      </c>
      <c r="K662" s="2" t="s">
        <v>107</v>
      </c>
      <c r="L662" s="7" t="str">
        <f>HYPERLINK("http://slimages.macys.com/is/image/MCY/12266786 ")</f>
        <v xml:space="preserve">http://slimages.macys.com/is/image/MCY/12266786 </v>
      </c>
    </row>
    <row r="663" spans="1:12" ht="24.75" x14ac:dyDescent="0.25">
      <c r="A663" s="4" t="s">
        <v>4059</v>
      </c>
      <c r="B663" s="2" t="s">
        <v>4060</v>
      </c>
      <c r="C663" s="3">
        <v>1</v>
      </c>
      <c r="D663" s="5">
        <v>21.99</v>
      </c>
      <c r="E663" s="3" t="s">
        <v>4061</v>
      </c>
      <c r="F663" s="2" t="s">
        <v>26</v>
      </c>
      <c r="G663" s="6" t="s">
        <v>181</v>
      </c>
      <c r="H663" s="2" t="s">
        <v>194</v>
      </c>
      <c r="I663" s="2" t="s">
        <v>1864</v>
      </c>
      <c r="J663" s="2" t="s">
        <v>19</v>
      </c>
      <c r="K663" s="2" t="s">
        <v>107</v>
      </c>
      <c r="L663" s="7" t="str">
        <f>HYPERLINK("http://slimages.macys.com/is/image/MCY/12266786 ")</f>
        <v xml:space="preserve">http://slimages.macys.com/is/image/MCY/12266786 </v>
      </c>
    </row>
    <row r="664" spans="1:12" ht="24.75" x14ac:dyDescent="0.25">
      <c r="A664" s="4" t="s">
        <v>4062</v>
      </c>
      <c r="B664" s="2" t="s">
        <v>1747</v>
      </c>
      <c r="C664" s="3">
        <v>2</v>
      </c>
      <c r="D664" s="5">
        <v>17.989999999999998</v>
      </c>
      <c r="E664" s="3" t="s">
        <v>1748</v>
      </c>
      <c r="F664" s="2" t="s">
        <v>998</v>
      </c>
      <c r="G664" s="6" t="s">
        <v>16</v>
      </c>
      <c r="H664" s="2" t="s">
        <v>1473</v>
      </c>
      <c r="I664" s="2" t="s">
        <v>1864</v>
      </c>
      <c r="J664" s="2" t="s">
        <v>19</v>
      </c>
      <c r="K664" s="2" t="s">
        <v>107</v>
      </c>
      <c r="L664" s="7" t="str">
        <f>HYPERLINK("http://slimages.macys.com/is/image/MCY/12266786 ")</f>
        <v xml:space="preserve">http://slimages.macys.com/is/image/MCY/12266786 </v>
      </c>
    </row>
    <row r="665" spans="1:12" ht="24.75" x14ac:dyDescent="0.25">
      <c r="A665" s="4" t="s">
        <v>4063</v>
      </c>
      <c r="B665" s="2" t="s">
        <v>1747</v>
      </c>
      <c r="C665" s="3">
        <v>1</v>
      </c>
      <c r="D665" s="5">
        <v>17.989999999999998</v>
      </c>
      <c r="E665" s="3" t="s">
        <v>1748</v>
      </c>
      <c r="F665" s="2" t="s">
        <v>998</v>
      </c>
      <c r="G665" s="6" t="s">
        <v>58</v>
      </c>
      <c r="H665" s="2" t="s">
        <v>1473</v>
      </c>
      <c r="I665" s="2" t="s">
        <v>195</v>
      </c>
      <c r="J665" s="2" t="s">
        <v>19</v>
      </c>
      <c r="K665" s="2" t="s">
        <v>247</v>
      </c>
      <c r="L665" s="7" t="str">
        <f>HYPERLINK("http://slimages.macys.com/is/image/MCY/12667158 ")</f>
        <v xml:space="preserve">http://slimages.macys.com/is/image/MCY/12667158 </v>
      </c>
    </row>
    <row r="666" spans="1:12" ht="24.75" x14ac:dyDescent="0.25">
      <c r="A666" s="4" t="s">
        <v>4064</v>
      </c>
      <c r="B666" s="2" t="s">
        <v>1747</v>
      </c>
      <c r="C666" s="3">
        <v>1</v>
      </c>
      <c r="D666" s="5">
        <v>17.989999999999998</v>
      </c>
      <c r="E666" s="3" t="s">
        <v>1748</v>
      </c>
      <c r="F666" s="2" t="s">
        <v>998</v>
      </c>
      <c r="G666" s="6" t="s">
        <v>112</v>
      </c>
      <c r="H666" s="2" t="s">
        <v>1473</v>
      </c>
      <c r="I666" s="2" t="s">
        <v>195</v>
      </c>
      <c r="J666" s="2" t="s">
        <v>19</v>
      </c>
      <c r="K666" s="2" t="s">
        <v>160</v>
      </c>
      <c r="L666" s="7" t="str">
        <f>HYPERLINK("http://slimages.macys.com/is/image/MCY/11764444 ")</f>
        <v xml:space="preserve">http://slimages.macys.com/is/image/MCY/11764444 </v>
      </c>
    </row>
    <row r="667" spans="1:12" ht="48.75" x14ac:dyDescent="0.25">
      <c r="A667" s="4" t="s">
        <v>2945</v>
      </c>
      <c r="B667" s="2" t="s">
        <v>1747</v>
      </c>
      <c r="C667" s="3">
        <v>1</v>
      </c>
      <c r="D667" s="5">
        <v>17.989999999999998</v>
      </c>
      <c r="E667" s="3" t="s">
        <v>1748</v>
      </c>
      <c r="F667" s="2" t="s">
        <v>70</v>
      </c>
      <c r="G667" s="6" t="s">
        <v>22</v>
      </c>
      <c r="H667" s="2" t="s">
        <v>1473</v>
      </c>
      <c r="I667" s="2" t="s">
        <v>503</v>
      </c>
      <c r="J667" s="2" t="s">
        <v>19</v>
      </c>
      <c r="K667" s="2" t="s">
        <v>4065</v>
      </c>
      <c r="L667" s="7" t="str">
        <f>HYPERLINK("http://slimages.macys.com/is/image/MCY/2972094 ")</f>
        <v xml:space="preserve">http://slimages.macys.com/is/image/MCY/2972094 </v>
      </c>
    </row>
    <row r="668" spans="1:12" ht="24.75" x14ac:dyDescent="0.25">
      <c r="A668" s="4" t="s">
        <v>4066</v>
      </c>
      <c r="B668" s="2" t="s">
        <v>1747</v>
      </c>
      <c r="C668" s="3">
        <v>1</v>
      </c>
      <c r="D668" s="5">
        <v>17.989999999999998</v>
      </c>
      <c r="E668" s="3" t="s">
        <v>1748</v>
      </c>
      <c r="F668" s="2" t="s">
        <v>70</v>
      </c>
      <c r="G668" s="6" t="s">
        <v>106</v>
      </c>
      <c r="H668" s="2" t="s">
        <v>1473</v>
      </c>
      <c r="I668" s="2" t="s">
        <v>1426</v>
      </c>
      <c r="J668" s="2" t="s">
        <v>19</v>
      </c>
      <c r="K668" s="2" t="s">
        <v>353</v>
      </c>
      <c r="L668" s="7" t="str">
        <f t="shared" ref="L668:L674" si="5">HYPERLINK("http://slimages.macys.com/is/image/MCY/12776597 ")</f>
        <v xml:space="preserve">http://slimages.macys.com/is/image/MCY/12776597 </v>
      </c>
    </row>
    <row r="669" spans="1:12" ht="24.75" x14ac:dyDescent="0.25">
      <c r="A669" s="4" t="s">
        <v>2946</v>
      </c>
      <c r="B669" s="2" t="s">
        <v>1747</v>
      </c>
      <c r="C669" s="3">
        <v>4</v>
      </c>
      <c r="D669" s="5">
        <v>17.989999999999998</v>
      </c>
      <c r="E669" s="3" t="s">
        <v>1748</v>
      </c>
      <c r="F669" s="2" t="s">
        <v>998</v>
      </c>
      <c r="G669" s="6" t="s">
        <v>22</v>
      </c>
      <c r="H669" s="2" t="s">
        <v>1473</v>
      </c>
      <c r="I669" s="2" t="s">
        <v>1426</v>
      </c>
      <c r="J669" s="2" t="s">
        <v>19</v>
      </c>
      <c r="K669" s="2" t="s">
        <v>353</v>
      </c>
      <c r="L669" s="7" t="str">
        <f t="shared" si="5"/>
        <v xml:space="preserve">http://slimages.macys.com/is/image/MCY/12776597 </v>
      </c>
    </row>
    <row r="670" spans="1:12" ht="24.75" x14ac:dyDescent="0.25">
      <c r="A670" s="4" t="s">
        <v>4067</v>
      </c>
      <c r="B670" s="2" t="s">
        <v>1747</v>
      </c>
      <c r="C670" s="3">
        <v>2</v>
      </c>
      <c r="D670" s="5">
        <v>17.989999999999998</v>
      </c>
      <c r="E670" s="3" t="s">
        <v>1748</v>
      </c>
      <c r="F670" s="2" t="s">
        <v>998</v>
      </c>
      <c r="G670" s="6" t="s">
        <v>27</v>
      </c>
      <c r="H670" s="2" t="s">
        <v>1473</v>
      </c>
      <c r="I670" s="2" t="s">
        <v>1426</v>
      </c>
      <c r="J670" s="2" t="s">
        <v>19</v>
      </c>
      <c r="K670" s="2" t="s">
        <v>353</v>
      </c>
      <c r="L670" s="7" t="str">
        <f t="shared" si="5"/>
        <v xml:space="preserve">http://slimages.macys.com/is/image/MCY/12776597 </v>
      </c>
    </row>
    <row r="671" spans="1:12" ht="24.75" x14ac:dyDescent="0.25">
      <c r="A671" s="4" t="s">
        <v>4068</v>
      </c>
      <c r="B671" s="2" t="s">
        <v>4069</v>
      </c>
      <c r="C671" s="3">
        <v>1</v>
      </c>
      <c r="D671" s="5">
        <v>22.13</v>
      </c>
      <c r="E671" s="3" t="s">
        <v>4070</v>
      </c>
      <c r="F671" s="2" t="s">
        <v>38</v>
      </c>
      <c r="G671" s="6" t="s">
        <v>200</v>
      </c>
      <c r="H671" s="2" t="s">
        <v>194</v>
      </c>
      <c r="I671" s="2" t="s">
        <v>1426</v>
      </c>
      <c r="J671" s="2" t="s">
        <v>19</v>
      </c>
      <c r="K671" s="2" t="s">
        <v>353</v>
      </c>
      <c r="L671" s="7" t="str">
        <f t="shared" si="5"/>
        <v xml:space="preserve">http://slimages.macys.com/is/image/MCY/12776597 </v>
      </c>
    </row>
    <row r="672" spans="1:12" ht="24.75" x14ac:dyDescent="0.25">
      <c r="A672" s="4" t="s">
        <v>4071</v>
      </c>
      <c r="B672" s="2" t="s">
        <v>2974</v>
      </c>
      <c r="C672" s="3">
        <v>1</v>
      </c>
      <c r="D672" s="5">
        <v>22.13</v>
      </c>
      <c r="E672" s="3" t="s">
        <v>2975</v>
      </c>
      <c r="F672" s="2" t="s">
        <v>331</v>
      </c>
      <c r="G672" s="6" t="s">
        <v>234</v>
      </c>
      <c r="H672" s="2" t="s">
        <v>194</v>
      </c>
      <c r="I672" s="2" t="s">
        <v>1426</v>
      </c>
      <c r="J672" s="2" t="s">
        <v>19</v>
      </c>
      <c r="K672" s="2" t="s">
        <v>353</v>
      </c>
      <c r="L672" s="7" t="str">
        <f t="shared" si="5"/>
        <v xml:space="preserve">http://slimages.macys.com/is/image/MCY/12776597 </v>
      </c>
    </row>
    <row r="673" spans="1:12" ht="24.75" x14ac:dyDescent="0.25">
      <c r="A673" s="4" t="s">
        <v>4072</v>
      </c>
      <c r="B673" s="2" t="s">
        <v>4073</v>
      </c>
      <c r="C673" s="3">
        <v>1</v>
      </c>
      <c r="D673" s="5">
        <v>22.13</v>
      </c>
      <c r="E673" s="3" t="s">
        <v>4074</v>
      </c>
      <c r="F673" s="2" t="s">
        <v>111</v>
      </c>
      <c r="G673" s="6" t="s">
        <v>181</v>
      </c>
      <c r="H673" s="2" t="s">
        <v>194</v>
      </c>
      <c r="I673" s="2" t="s">
        <v>1426</v>
      </c>
      <c r="J673" s="2" t="s">
        <v>19</v>
      </c>
      <c r="K673" s="2" t="s">
        <v>353</v>
      </c>
      <c r="L673" s="7" t="str">
        <f t="shared" si="5"/>
        <v xml:space="preserve">http://slimages.macys.com/is/image/MCY/12776597 </v>
      </c>
    </row>
    <row r="674" spans="1:12" ht="24.75" x14ac:dyDescent="0.25">
      <c r="A674" s="4" t="s">
        <v>4075</v>
      </c>
      <c r="B674" s="2" t="s">
        <v>4076</v>
      </c>
      <c r="C674" s="3">
        <v>1</v>
      </c>
      <c r="D674" s="5">
        <v>22.13</v>
      </c>
      <c r="E674" s="3" t="s">
        <v>4077</v>
      </c>
      <c r="F674" s="2" t="s">
        <v>887</v>
      </c>
      <c r="G674" s="6" t="s">
        <v>181</v>
      </c>
      <c r="H674" s="2" t="s">
        <v>194</v>
      </c>
      <c r="I674" s="2" t="s">
        <v>1426</v>
      </c>
      <c r="J674" s="2" t="s">
        <v>19</v>
      </c>
      <c r="K674" s="2" t="s">
        <v>353</v>
      </c>
      <c r="L674" s="7" t="str">
        <f t="shared" si="5"/>
        <v xml:space="preserve">http://slimages.macys.com/is/image/MCY/12776597 </v>
      </c>
    </row>
    <row r="675" spans="1:12" ht="24.75" x14ac:dyDescent="0.25">
      <c r="A675" s="4" t="s">
        <v>1759</v>
      </c>
      <c r="B675" s="2" t="s">
        <v>1756</v>
      </c>
      <c r="C675" s="3">
        <v>1</v>
      </c>
      <c r="D675" s="5">
        <v>22.13</v>
      </c>
      <c r="E675" s="3" t="s">
        <v>1757</v>
      </c>
      <c r="F675" s="2" t="s">
        <v>170</v>
      </c>
      <c r="G675" s="6" t="s">
        <v>234</v>
      </c>
      <c r="H675" s="2" t="s">
        <v>194</v>
      </c>
      <c r="I675" s="2" t="s">
        <v>580</v>
      </c>
      <c r="J675" s="2" t="s">
        <v>19</v>
      </c>
      <c r="K675" s="2" t="s">
        <v>1758</v>
      </c>
      <c r="L675" s="7" t="str">
        <f>HYPERLINK("http://slimages.macys.com/is/image/MCY/11415427 ")</f>
        <v xml:space="preserve">http://slimages.macys.com/is/image/MCY/11415427 </v>
      </c>
    </row>
    <row r="676" spans="1:12" ht="24.75" x14ac:dyDescent="0.25">
      <c r="A676" s="4" t="s">
        <v>4078</v>
      </c>
      <c r="B676" s="2" t="s">
        <v>4079</v>
      </c>
      <c r="C676" s="3">
        <v>1</v>
      </c>
      <c r="D676" s="5">
        <v>22.13</v>
      </c>
      <c r="E676" s="3" t="s">
        <v>4080</v>
      </c>
      <c r="F676" s="2" t="s">
        <v>199</v>
      </c>
      <c r="G676" s="6" t="s">
        <v>181</v>
      </c>
      <c r="H676" s="2" t="s">
        <v>194</v>
      </c>
      <c r="I676" s="2" t="s">
        <v>580</v>
      </c>
      <c r="J676" s="2" t="s">
        <v>19</v>
      </c>
      <c r="K676" s="2" t="s">
        <v>1758</v>
      </c>
      <c r="L676" s="7" t="str">
        <f>HYPERLINK("http://slimages.macys.com/is/image/MCY/11937954 ")</f>
        <v xml:space="preserve">http://slimages.macys.com/is/image/MCY/11937954 </v>
      </c>
    </row>
    <row r="677" spans="1:12" ht="24.75" x14ac:dyDescent="0.25">
      <c r="A677" s="4" t="s">
        <v>2963</v>
      </c>
      <c r="B677" s="2" t="s">
        <v>1761</v>
      </c>
      <c r="C677" s="3">
        <v>1</v>
      </c>
      <c r="D677" s="5">
        <v>22.13</v>
      </c>
      <c r="E677" s="3" t="s">
        <v>1768</v>
      </c>
      <c r="F677" s="2" t="s">
        <v>64</v>
      </c>
      <c r="G677" s="6" t="s">
        <v>234</v>
      </c>
      <c r="H677" s="2" t="s">
        <v>194</v>
      </c>
      <c r="I677" s="2" t="s">
        <v>580</v>
      </c>
      <c r="J677" s="2" t="s">
        <v>19</v>
      </c>
      <c r="K677" s="2" t="s">
        <v>1082</v>
      </c>
      <c r="L677" s="7" t="str">
        <f>HYPERLINK("http://slimages.macys.com/is/image/MCY/12035164 ")</f>
        <v xml:space="preserve">http://slimages.macys.com/is/image/MCY/12035164 </v>
      </c>
    </row>
    <row r="678" spans="1:12" ht="24.75" x14ac:dyDescent="0.25">
      <c r="A678" s="4" t="s">
        <v>2960</v>
      </c>
      <c r="B678" s="2" t="s">
        <v>2961</v>
      </c>
      <c r="C678" s="3">
        <v>1</v>
      </c>
      <c r="D678" s="5">
        <v>22.13</v>
      </c>
      <c r="E678" s="3" t="s">
        <v>2962</v>
      </c>
      <c r="F678" s="2" t="s">
        <v>15</v>
      </c>
      <c r="G678" s="6" t="s">
        <v>234</v>
      </c>
      <c r="H678" s="2" t="s">
        <v>194</v>
      </c>
      <c r="I678" s="2" t="s">
        <v>1766</v>
      </c>
      <c r="J678" s="2" t="s">
        <v>19</v>
      </c>
      <c r="K678" s="2" t="s">
        <v>1082</v>
      </c>
      <c r="L678" s="7" t="str">
        <f>HYPERLINK("http://slimages.macys.com/is/image/MCY/12950309 ")</f>
        <v xml:space="preserve">http://slimages.macys.com/is/image/MCY/12950309 </v>
      </c>
    </row>
    <row r="679" spans="1:12" ht="24.75" x14ac:dyDescent="0.25">
      <c r="A679" s="4" t="s">
        <v>4081</v>
      </c>
      <c r="B679" s="2" t="s">
        <v>1761</v>
      </c>
      <c r="C679" s="3">
        <v>1</v>
      </c>
      <c r="D679" s="5">
        <v>22.13</v>
      </c>
      <c r="E679" s="3" t="s">
        <v>1768</v>
      </c>
      <c r="F679" s="2" t="s">
        <v>64</v>
      </c>
      <c r="G679" s="6" t="s">
        <v>156</v>
      </c>
      <c r="H679" s="2" t="s">
        <v>194</v>
      </c>
      <c r="I679" s="2" t="s">
        <v>580</v>
      </c>
      <c r="J679" s="2" t="s">
        <v>19</v>
      </c>
      <c r="K679" s="2" t="s">
        <v>1758</v>
      </c>
      <c r="L679" s="7" t="str">
        <f>HYPERLINK("http://slimages.macys.com/is/image/MCY/11937946 ")</f>
        <v xml:space="preserve">http://slimages.macys.com/is/image/MCY/11937946 </v>
      </c>
    </row>
    <row r="680" spans="1:12" ht="24.75" x14ac:dyDescent="0.25">
      <c r="A680" s="4" t="s">
        <v>4082</v>
      </c>
      <c r="B680" s="2" t="s">
        <v>2974</v>
      </c>
      <c r="C680" s="3">
        <v>1</v>
      </c>
      <c r="D680" s="5">
        <v>22.13</v>
      </c>
      <c r="E680" s="3" t="s">
        <v>2975</v>
      </c>
      <c r="F680" s="2" t="s">
        <v>331</v>
      </c>
      <c r="G680" s="6" t="s">
        <v>245</v>
      </c>
      <c r="H680" s="2" t="s">
        <v>194</v>
      </c>
      <c r="I680" s="2" t="s">
        <v>1766</v>
      </c>
      <c r="J680" s="2" t="s">
        <v>19</v>
      </c>
      <c r="K680" s="2" t="s">
        <v>1082</v>
      </c>
      <c r="L680" s="7" t="str">
        <f>HYPERLINK("http://slimages.macys.com/is/image/MCY/11701564 ")</f>
        <v xml:space="preserve">http://slimages.macys.com/is/image/MCY/11701564 </v>
      </c>
    </row>
    <row r="681" spans="1:12" ht="24.75" x14ac:dyDescent="0.25">
      <c r="A681" s="4" t="s">
        <v>1763</v>
      </c>
      <c r="B681" s="2" t="s">
        <v>1764</v>
      </c>
      <c r="C681" s="3">
        <v>1</v>
      </c>
      <c r="D681" s="5">
        <v>22.13</v>
      </c>
      <c r="E681" s="3" t="s">
        <v>1765</v>
      </c>
      <c r="F681" s="2" t="s">
        <v>38</v>
      </c>
      <c r="G681" s="6" t="s">
        <v>154</v>
      </c>
      <c r="H681" s="2" t="s">
        <v>194</v>
      </c>
      <c r="I681" s="2" t="s">
        <v>580</v>
      </c>
      <c r="J681" s="2" t="s">
        <v>19</v>
      </c>
      <c r="K681" s="2" t="s">
        <v>1758</v>
      </c>
      <c r="L681" s="7" t="str">
        <f>HYPERLINK("http://slimages.macys.com/is/image/MCY/12799771 ")</f>
        <v xml:space="preserve">http://slimages.macys.com/is/image/MCY/12799771 </v>
      </c>
    </row>
    <row r="682" spans="1:12" ht="24.75" x14ac:dyDescent="0.25">
      <c r="A682" s="4" t="s">
        <v>4083</v>
      </c>
      <c r="B682" s="2" t="s">
        <v>1764</v>
      </c>
      <c r="C682" s="3">
        <v>2</v>
      </c>
      <c r="D682" s="5">
        <v>22.13</v>
      </c>
      <c r="E682" s="3" t="s">
        <v>1765</v>
      </c>
      <c r="F682" s="2" t="s">
        <v>38</v>
      </c>
      <c r="G682" s="6" t="s">
        <v>234</v>
      </c>
      <c r="H682" s="2" t="s">
        <v>194</v>
      </c>
      <c r="I682" s="2" t="s">
        <v>580</v>
      </c>
      <c r="J682" s="2" t="s">
        <v>19</v>
      </c>
      <c r="K682" s="2" t="s">
        <v>1758</v>
      </c>
      <c r="L682" s="7" t="str">
        <f>HYPERLINK("http://slimages.macys.com/is/image/MCY/11937985 ")</f>
        <v xml:space="preserve">http://slimages.macys.com/is/image/MCY/11937985 </v>
      </c>
    </row>
    <row r="683" spans="1:12" ht="24.75" x14ac:dyDescent="0.25">
      <c r="A683" s="4" t="s">
        <v>4084</v>
      </c>
      <c r="B683" s="2" t="s">
        <v>4085</v>
      </c>
      <c r="C683" s="3">
        <v>1</v>
      </c>
      <c r="D683" s="5">
        <v>21.99</v>
      </c>
      <c r="E683" s="3" t="s">
        <v>4086</v>
      </c>
      <c r="F683" s="2" t="s">
        <v>70</v>
      </c>
      <c r="G683" s="6" t="s">
        <v>234</v>
      </c>
      <c r="H683" s="2" t="s">
        <v>284</v>
      </c>
      <c r="I683" s="2" t="s">
        <v>580</v>
      </c>
      <c r="J683" s="2" t="s">
        <v>19</v>
      </c>
      <c r="K683" s="2" t="s">
        <v>1758</v>
      </c>
      <c r="L683" s="7" t="str">
        <f>HYPERLINK("http://slimages.macys.com/is/image/MCY/12799771 ")</f>
        <v xml:space="preserve">http://slimages.macys.com/is/image/MCY/12799771 </v>
      </c>
    </row>
    <row r="684" spans="1:12" ht="24.75" x14ac:dyDescent="0.25">
      <c r="A684" s="4" t="s">
        <v>1798</v>
      </c>
      <c r="B684" s="2" t="s">
        <v>1177</v>
      </c>
      <c r="C684" s="3">
        <v>1</v>
      </c>
      <c r="D684" s="5">
        <v>45</v>
      </c>
      <c r="E684" s="3" t="s">
        <v>1799</v>
      </c>
      <c r="F684" s="2" t="s">
        <v>74</v>
      </c>
      <c r="G684" s="6"/>
      <c r="H684" s="2" t="s">
        <v>447</v>
      </c>
      <c r="I684" s="2" t="s">
        <v>580</v>
      </c>
      <c r="J684" s="2" t="s">
        <v>19</v>
      </c>
      <c r="K684" s="2" t="s">
        <v>1758</v>
      </c>
      <c r="L684" s="7" t="str">
        <f>HYPERLINK("http://slimages.macys.com/is/image/MCY/11937954 ")</f>
        <v xml:space="preserve">http://slimages.macys.com/is/image/MCY/11937954 </v>
      </c>
    </row>
    <row r="685" spans="1:12" ht="24.75" x14ac:dyDescent="0.25">
      <c r="A685" s="4" t="s">
        <v>1795</v>
      </c>
      <c r="B685" s="2" t="s">
        <v>1796</v>
      </c>
      <c r="C685" s="3">
        <v>1</v>
      </c>
      <c r="D685" s="5">
        <v>33</v>
      </c>
      <c r="E685" s="3" t="s">
        <v>1797</v>
      </c>
      <c r="F685" s="2" t="s">
        <v>1234</v>
      </c>
      <c r="G685" s="6" t="s">
        <v>791</v>
      </c>
      <c r="H685" s="2" t="s">
        <v>447</v>
      </c>
      <c r="I685" s="2" t="s">
        <v>1766</v>
      </c>
      <c r="J685" s="2" t="s">
        <v>19</v>
      </c>
      <c r="K685" s="2" t="s">
        <v>1082</v>
      </c>
      <c r="L685" s="7" t="str">
        <f>HYPERLINK("http://slimages.macys.com/is/image/MCY/12143911 ")</f>
        <v xml:space="preserve">http://slimages.macys.com/is/image/MCY/12143911 </v>
      </c>
    </row>
    <row r="686" spans="1:12" ht="24.75" x14ac:dyDescent="0.25">
      <c r="A686" s="4" t="s">
        <v>1782</v>
      </c>
      <c r="B686" s="2" t="s">
        <v>1783</v>
      </c>
      <c r="C686" s="3">
        <v>2</v>
      </c>
      <c r="D686" s="5">
        <v>45</v>
      </c>
      <c r="E686" s="3" t="s">
        <v>1784</v>
      </c>
      <c r="F686" s="2" t="s">
        <v>48</v>
      </c>
      <c r="G686" s="6" t="s">
        <v>791</v>
      </c>
      <c r="H686" s="2" t="s">
        <v>447</v>
      </c>
      <c r="I686" s="2" t="s">
        <v>1766</v>
      </c>
      <c r="J686" s="2" t="s">
        <v>19</v>
      </c>
      <c r="K686" s="2" t="s">
        <v>1082</v>
      </c>
      <c r="L686" s="7" t="str">
        <f>HYPERLINK("http://slimages.macys.com/is/image/MCY/12143911 ")</f>
        <v xml:space="preserve">http://slimages.macys.com/is/image/MCY/12143911 </v>
      </c>
    </row>
    <row r="687" spans="1:12" ht="24.75" x14ac:dyDescent="0.25">
      <c r="A687" s="4" t="s">
        <v>4087</v>
      </c>
      <c r="B687" s="2" t="s">
        <v>1801</v>
      </c>
      <c r="C687" s="3">
        <v>2</v>
      </c>
      <c r="D687" s="5">
        <v>21.5</v>
      </c>
      <c r="E687" s="3" t="s">
        <v>1802</v>
      </c>
      <c r="F687" s="2" t="s">
        <v>566</v>
      </c>
      <c r="G687" s="6"/>
      <c r="H687" s="2" t="s">
        <v>312</v>
      </c>
      <c r="I687" s="2" t="s">
        <v>285</v>
      </c>
      <c r="J687" s="2"/>
      <c r="K687" s="2"/>
      <c r="L687" s="7" t="str">
        <f>HYPERLINK("http://slimages.macys.com/is/image/MCY/11645553 ")</f>
        <v xml:space="preserve">http://slimages.macys.com/is/image/MCY/11645553 </v>
      </c>
    </row>
    <row r="688" spans="1:12" ht="24.75" x14ac:dyDescent="0.25">
      <c r="A688" s="4" t="s">
        <v>4088</v>
      </c>
      <c r="B688" s="2" t="s">
        <v>4089</v>
      </c>
      <c r="C688" s="3">
        <v>1</v>
      </c>
      <c r="D688" s="5">
        <v>19.989999999999998</v>
      </c>
      <c r="E688" s="3" t="s">
        <v>4090</v>
      </c>
      <c r="F688" s="2" t="s">
        <v>331</v>
      </c>
      <c r="G688" s="6" t="s">
        <v>234</v>
      </c>
      <c r="H688" s="2" t="s">
        <v>1473</v>
      </c>
      <c r="I688" s="2" t="s">
        <v>792</v>
      </c>
      <c r="J688" s="2" t="s">
        <v>19</v>
      </c>
      <c r="K688" s="2" t="s">
        <v>160</v>
      </c>
      <c r="L688" s="7" t="str">
        <f>HYPERLINK("http://slimages.macys.com/is/image/MCY/9533039 ")</f>
        <v xml:space="preserve">http://slimages.macys.com/is/image/MCY/9533039 </v>
      </c>
    </row>
    <row r="689" spans="1:12" ht="24.75" x14ac:dyDescent="0.25">
      <c r="A689" s="4" t="s">
        <v>4091</v>
      </c>
      <c r="B689" s="2" t="s">
        <v>4092</v>
      </c>
      <c r="C689" s="3">
        <v>1</v>
      </c>
      <c r="D689" s="5">
        <v>19.989999999999998</v>
      </c>
      <c r="E689" s="3" t="s">
        <v>4093</v>
      </c>
      <c r="F689" s="2" t="s">
        <v>74</v>
      </c>
      <c r="G689" s="6" t="s">
        <v>154</v>
      </c>
      <c r="H689" s="2" t="s">
        <v>1473</v>
      </c>
      <c r="I689" s="2" t="s">
        <v>792</v>
      </c>
      <c r="J689" s="2" t="s">
        <v>19</v>
      </c>
      <c r="K689" s="2" t="s">
        <v>160</v>
      </c>
      <c r="L689" s="7" t="str">
        <f>HYPERLINK("http://slimages.macys.com/is/image/MCY/13745636 ")</f>
        <v xml:space="preserve">http://slimages.macys.com/is/image/MCY/13745636 </v>
      </c>
    </row>
    <row r="690" spans="1:12" ht="24.75" x14ac:dyDescent="0.25">
      <c r="A690" s="4" t="s">
        <v>4094</v>
      </c>
      <c r="B690" s="2" t="s">
        <v>4095</v>
      </c>
      <c r="C690" s="3">
        <v>1</v>
      </c>
      <c r="D690" s="5">
        <v>26.7</v>
      </c>
      <c r="E690" s="3" t="s">
        <v>4096</v>
      </c>
      <c r="F690" s="2" t="s">
        <v>74</v>
      </c>
      <c r="G690" s="6" t="s">
        <v>181</v>
      </c>
      <c r="H690" s="2" t="s">
        <v>284</v>
      </c>
      <c r="I690" s="2" t="s">
        <v>792</v>
      </c>
      <c r="J690" s="2" t="s">
        <v>1499</v>
      </c>
      <c r="K690" s="2" t="s">
        <v>160</v>
      </c>
      <c r="L690" s="7" t="str">
        <f>HYPERLINK("http://slimages.macys.com/is/image/MCY/13286075 ")</f>
        <v xml:space="preserve">http://slimages.macys.com/is/image/MCY/13286075 </v>
      </c>
    </row>
    <row r="691" spans="1:12" ht="24.75" x14ac:dyDescent="0.25">
      <c r="A691" s="4" t="s">
        <v>4097</v>
      </c>
      <c r="B691" s="2" t="s">
        <v>1817</v>
      </c>
      <c r="C691" s="3">
        <v>2</v>
      </c>
      <c r="D691" s="5">
        <v>17.989999999999998</v>
      </c>
      <c r="E691" s="3" t="s">
        <v>1818</v>
      </c>
      <c r="F691" s="2" t="s">
        <v>70</v>
      </c>
      <c r="G691" s="6" t="s">
        <v>58</v>
      </c>
      <c r="H691" s="2" t="s">
        <v>1473</v>
      </c>
      <c r="I691" s="2" t="s">
        <v>580</v>
      </c>
      <c r="J691" s="2" t="s">
        <v>19</v>
      </c>
      <c r="K691" s="2" t="s">
        <v>1758</v>
      </c>
      <c r="L691" s="7" t="str">
        <f>HYPERLINK("http://slimages.macys.com/is/image/MCY/11515389 ")</f>
        <v xml:space="preserve">http://slimages.macys.com/is/image/MCY/11515389 </v>
      </c>
    </row>
    <row r="692" spans="1:12" ht="24.75" x14ac:dyDescent="0.25">
      <c r="A692" s="4" t="s">
        <v>4098</v>
      </c>
      <c r="B692" s="2" t="s">
        <v>1817</v>
      </c>
      <c r="C692" s="3">
        <v>1</v>
      </c>
      <c r="D692" s="5">
        <v>17.989999999999998</v>
      </c>
      <c r="E692" s="3" t="s">
        <v>1818</v>
      </c>
      <c r="F692" s="2" t="s">
        <v>70</v>
      </c>
      <c r="G692" s="6" t="s">
        <v>106</v>
      </c>
      <c r="H692" s="2" t="s">
        <v>1473</v>
      </c>
      <c r="I692" s="2" t="s">
        <v>1426</v>
      </c>
      <c r="J692" s="2" t="s">
        <v>19</v>
      </c>
      <c r="K692" s="2" t="s">
        <v>495</v>
      </c>
      <c r="L692" s="7" t="str">
        <f>HYPERLINK("http://slimages.macys.com/is/image/MCY/11831219 ")</f>
        <v xml:space="preserve">http://slimages.macys.com/is/image/MCY/11831219 </v>
      </c>
    </row>
    <row r="693" spans="1:12" ht="24.75" x14ac:dyDescent="0.25">
      <c r="A693" s="4" t="s">
        <v>4099</v>
      </c>
      <c r="B693" s="2" t="s">
        <v>1817</v>
      </c>
      <c r="C693" s="3">
        <v>2</v>
      </c>
      <c r="D693" s="5">
        <v>17.989999999999998</v>
      </c>
      <c r="E693" s="3" t="s">
        <v>1818</v>
      </c>
      <c r="F693" s="2" t="s">
        <v>70</v>
      </c>
      <c r="G693" s="6" t="s">
        <v>27</v>
      </c>
      <c r="H693" s="2" t="s">
        <v>1473</v>
      </c>
      <c r="I693" s="2" t="s">
        <v>1426</v>
      </c>
      <c r="J693" s="2" t="s">
        <v>19</v>
      </c>
      <c r="K693" s="2" t="s">
        <v>990</v>
      </c>
      <c r="L693" s="7" t="str">
        <f>HYPERLINK("http://slimages.macys.com/is/image/MCY/11915670 ")</f>
        <v xml:space="preserve">http://slimages.macys.com/is/image/MCY/11915670 </v>
      </c>
    </row>
    <row r="694" spans="1:12" ht="24.75" x14ac:dyDescent="0.25">
      <c r="A694" s="4" t="s">
        <v>4100</v>
      </c>
      <c r="B694" s="2" t="s">
        <v>1817</v>
      </c>
      <c r="C694" s="3">
        <v>1</v>
      </c>
      <c r="D694" s="5">
        <v>17.989999999999998</v>
      </c>
      <c r="E694" s="3" t="s">
        <v>1818</v>
      </c>
      <c r="F694" s="2" t="s">
        <v>1234</v>
      </c>
      <c r="G694" s="6" t="s">
        <v>112</v>
      </c>
      <c r="H694" s="2" t="s">
        <v>1473</v>
      </c>
      <c r="I694" s="2" t="s">
        <v>285</v>
      </c>
      <c r="J694" s="2" t="s">
        <v>19</v>
      </c>
      <c r="K694" s="2" t="s">
        <v>247</v>
      </c>
      <c r="L694" s="7" t="str">
        <f>HYPERLINK("http://slimages.macys.com/is/image/MCY/14425002 ")</f>
        <v xml:space="preserve">http://slimages.macys.com/is/image/MCY/14425002 </v>
      </c>
    </row>
    <row r="695" spans="1:12" ht="24.75" x14ac:dyDescent="0.25">
      <c r="A695" s="4" t="s">
        <v>4101</v>
      </c>
      <c r="B695" s="2" t="s">
        <v>1817</v>
      </c>
      <c r="C695" s="3">
        <v>1</v>
      </c>
      <c r="D695" s="5">
        <v>17.989999999999998</v>
      </c>
      <c r="E695" s="3" t="s">
        <v>1818</v>
      </c>
      <c r="F695" s="2" t="s">
        <v>998</v>
      </c>
      <c r="G695" s="6" t="s">
        <v>27</v>
      </c>
      <c r="H695" s="2" t="s">
        <v>1473</v>
      </c>
      <c r="I695" s="2" t="s">
        <v>1426</v>
      </c>
      <c r="J695" s="2" t="s">
        <v>19</v>
      </c>
      <c r="K695" s="2" t="s">
        <v>353</v>
      </c>
      <c r="L695" s="7" t="str">
        <f t="shared" ref="L695:L700" si="6">HYPERLINK("http://slimages.macys.com/is/image/MCY/12070597 ")</f>
        <v xml:space="preserve">http://slimages.macys.com/is/image/MCY/12070597 </v>
      </c>
    </row>
    <row r="696" spans="1:12" ht="24.75" x14ac:dyDescent="0.25">
      <c r="A696" s="4" t="s">
        <v>4102</v>
      </c>
      <c r="B696" s="2" t="s">
        <v>1817</v>
      </c>
      <c r="C696" s="3">
        <v>1</v>
      </c>
      <c r="D696" s="5">
        <v>17.989999999999998</v>
      </c>
      <c r="E696" s="3" t="s">
        <v>1818</v>
      </c>
      <c r="F696" s="2" t="s">
        <v>998</v>
      </c>
      <c r="G696" s="6" t="s">
        <v>141</v>
      </c>
      <c r="H696" s="2" t="s">
        <v>1473</v>
      </c>
      <c r="I696" s="2" t="s">
        <v>1426</v>
      </c>
      <c r="J696" s="2" t="s">
        <v>19</v>
      </c>
      <c r="K696" s="2" t="s">
        <v>353</v>
      </c>
      <c r="L696" s="7" t="str">
        <f t="shared" si="6"/>
        <v xml:space="preserve">http://slimages.macys.com/is/image/MCY/12070597 </v>
      </c>
    </row>
    <row r="697" spans="1:12" ht="24.75" x14ac:dyDescent="0.25">
      <c r="A697" s="4" t="s">
        <v>4103</v>
      </c>
      <c r="B697" s="2" t="s">
        <v>3000</v>
      </c>
      <c r="C697" s="3">
        <v>1</v>
      </c>
      <c r="D697" s="5">
        <v>19.989999999999998</v>
      </c>
      <c r="E697" s="3" t="s">
        <v>3001</v>
      </c>
      <c r="F697" s="2" t="s">
        <v>64</v>
      </c>
      <c r="G697" s="6" t="s">
        <v>154</v>
      </c>
      <c r="H697" s="2" t="s">
        <v>1473</v>
      </c>
      <c r="I697" s="2" t="s">
        <v>1426</v>
      </c>
      <c r="J697" s="2" t="s">
        <v>19</v>
      </c>
      <c r="K697" s="2" t="s">
        <v>353</v>
      </c>
      <c r="L697" s="7" t="str">
        <f t="shared" si="6"/>
        <v xml:space="preserve">http://slimages.macys.com/is/image/MCY/12070597 </v>
      </c>
    </row>
    <row r="698" spans="1:12" ht="24.75" x14ac:dyDescent="0.25">
      <c r="A698" s="4" t="s">
        <v>3004</v>
      </c>
      <c r="B698" s="2" t="s">
        <v>1823</v>
      </c>
      <c r="C698" s="3">
        <v>1</v>
      </c>
      <c r="D698" s="5">
        <v>17.989999999999998</v>
      </c>
      <c r="E698" s="3" t="s">
        <v>3005</v>
      </c>
      <c r="F698" s="2" t="s">
        <v>1322</v>
      </c>
      <c r="G698" s="6" t="s">
        <v>181</v>
      </c>
      <c r="H698" s="2" t="s">
        <v>1473</v>
      </c>
      <c r="I698" s="2" t="s">
        <v>1426</v>
      </c>
      <c r="J698" s="2" t="s">
        <v>19</v>
      </c>
      <c r="K698" s="2" t="s">
        <v>353</v>
      </c>
      <c r="L698" s="7" t="str">
        <f t="shared" si="6"/>
        <v xml:space="preserve">http://slimages.macys.com/is/image/MCY/12070597 </v>
      </c>
    </row>
    <row r="699" spans="1:12" ht="24.75" x14ac:dyDescent="0.25">
      <c r="A699" s="4" t="s">
        <v>4104</v>
      </c>
      <c r="B699" s="2" t="s">
        <v>1823</v>
      </c>
      <c r="C699" s="3">
        <v>1</v>
      </c>
      <c r="D699" s="5">
        <v>17.989999999999998</v>
      </c>
      <c r="E699" s="3" t="s">
        <v>1824</v>
      </c>
      <c r="F699" s="2" t="s">
        <v>1322</v>
      </c>
      <c r="G699" s="6"/>
      <c r="H699" s="2" t="s">
        <v>1425</v>
      </c>
      <c r="I699" s="2" t="s">
        <v>1426</v>
      </c>
      <c r="J699" s="2" t="s">
        <v>19</v>
      </c>
      <c r="K699" s="2" t="s">
        <v>353</v>
      </c>
      <c r="L699" s="7" t="str">
        <f t="shared" si="6"/>
        <v xml:space="preserve">http://slimages.macys.com/is/image/MCY/12070597 </v>
      </c>
    </row>
    <row r="700" spans="1:12" ht="24.75" x14ac:dyDescent="0.25">
      <c r="A700" s="4" t="s">
        <v>4105</v>
      </c>
      <c r="B700" s="2" t="s">
        <v>4106</v>
      </c>
      <c r="C700" s="3">
        <v>1</v>
      </c>
      <c r="D700" s="5">
        <v>21.99</v>
      </c>
      <c r="E700" s="3" t="s">
        <v>4107</v>
      </c>
      <c r="F700" s="2" t="s">
        <v>15</v>
      </c>
      <c r="G700" s="6" t="s">
        <v>181</v>
      </c>
      <c r="H700" s="2" t="s">
        <v>284</v>
      </c>
      <c r="I700" s="2" t="s">
        <v>1426</v>
      </c>
      <c r="J700" s="2" t="s">
        <v>19</v>
      </c>
      <c r="K700" s="2" t="s">
        <v>353</v>
      </c>
      <c r="L700" s="7" t="str">
        <f t="shared" si="6"/>
        <v xml:space="preserve">http://slimages.macys.com/is/image/MCY/12070597 </v>
      </c>
    </row>
    <row r="701" spans="1:12" ht="24.75" x14ac:dyDescent="0.25">
      <c r="A701" s="4" t="s">
        <v>4108</v>
      </c>
      <c r="B701" s="2" t="s">
        <v>4109</v>
      </c>
      <c r="C701" s="3">
        <v>1</v>
      </c>
      <c r="D701" s="5">
        <v>17.989999999999998</v>
      </c>
      <c r="E701" s="3" t="s">
        <v>4110</v>
      </c>
      <c r="F701" s="2" t="s">
        <v>26</v>
      </c>
      <c r="G701" s="6"/>
      <c r="H701" s="2" t="s">
        <v>1425</v>
      </c>
      <c r="I701" s="2" t="s">
        <v>1426</v>
      </c>
      <c r="J701" s="2" t="s">
        <v>19</v>
      </c>
      <c r="K701" s="2" t="s">
        <v>495</v>
      </c>
      <c r="L701" s="7" t="str">
        <f>HYPERLINK("http://slimages.macys.com/is/image/MCY/11635036 ")</f>
        <v xml:space="preserve">http://slimages.macys.com/is/image/MCY/11635036 </v>
      </c>
    </row>
    <row r="702" spans="1:12" ht="24.75" x14ac:dyDescent="0.25">
      <c r="A702" s="4" t="s">
        <v>4111</v>
      </c>
      <c r="B702" s="2" t="s">
        <v>3012</v>
      </c>
      <c r="C702" s="3">
        <v>1</v>
      </c>
      <c r="D702" s="5">
        <v>22.13</v>
      </c>
      <c r="E702" s="3" t="s">
        <v>3013</v>
      </c>
      <c r="F702" s="2" t="s">
        <v>752</v>
      </c>
      <c r="G702" s="6" t="s">
        <v>181</v>
      </c>
      <c r="H702" s="2" t="s">
        <v>194</v>
      </c>
      <c r="I702" s="2" t="s">
        <v>1426</v>
      </c>
      <c r="J702" s="2" t="s">
        <v>19</v>
      </c>
      <c r="K702" s="2" t="s">
        <v>495</v>
      </c>
      <c r="L702" s="7" t="str">
        <f>HYPERLINK("http://slimages.macys.com/is/image/MCY/11831305 ")</f>
        <v xml:space="preserve">http://slimages.macys.com/is/image/MCY/11831305 </v>
      </c>
    </row>
    <row r="703" spans="1:12" ht="24.75" x14ac:dyDescent="0.25">
      <c r="A703" s="4" t="s">
        <v>3008</v>
      </c>
      <c r="B703" s="2" t="s">
        <v>3009</v>
      </c>
      <c r="C703" s="3">
        <v>1</v>
      </c>
      <c r="D703" s="5">
        <v>22.13</v>
      </c>
      <c r="E703" s="3" t="s">
        <v>3010</v>
      </c>
      <c r="F703" s="2" t="s">
        <v>566</v>
      </c>
      <c r="G703" s="6" t="s">
        <v>234</v>
      </c>
      <c r="H703" s="2" t="s">
        <v>194</v>
      </c>
      <c r="I703" s="2" t="s">
        <v>1426</v>
      </c>
      <c r="J703" s="2" t="s">
        <v>19</v>
      </c>
      <c r="K703" s="2" t="s">
        <v>495</v>
      </c>
      <c r="L703" s="7" t="str">
        <f>HYPERLINK("http://slimages.macys.com/is/image/MCY/11831305 ")</f>
        <v xml:space="preserve">http://slimages.macys.com/is/image/MCY/11831305 </v>
      </c>
    </row>
    <row r="704" spans="1:12" ht="24.75" x14ac:dyDescent="0.25">
      <c r="A704" s="4" t="s">
        <v>4112</v>
      </c>
      <c r="B704" s="2" t="s">
        <v>4113</v>
      </c>
      <c r="C704" s="3">
        <v>1</v>
      </c>
      <c r="D704" s="5">
        <v>19.989999999999998</v>
      </c>
      <c r="E704" s="3" t="s">
        <v>4114</v>
      </c>
      <c r="F704" s="2" t="s">
        <v>331</v>
      </c>
      <c r="G704" s="6"/>
      <c r="H704" s="2" t="s">
        <v>188</v>
      </c>
      <c r="I704" s="2" t="s">
        <v>285</v>
      </c>
      <c r="J704" s="2" t="s">
        <v>19</v>
      </c>
      <c r="K704" s="2" t="s">
        <v>247</v>
      </c>
      <c r="L704" s="7" t="str">
        <f>HYPERLINK("http://slimages.macys.com/is/image/MCY/12876530 ")</f>
        <v xml:space="preserve">http://slimages.macys.com/is/image/MCY/12876530 </v>
      </c>
    </row>
    <row r="705" spans="1:12" ht="24.75" x14ac:dyDescent="0.25">
      <c r="A705" s="4" t="s">
        <v>4115</v>
      </c>
      <c r="B705" s="2" t="s">
        <v>4113</v>
      </c>
      <c r="C705" s="3">
        <v>1</v>
      </c>
      <c r="D705" s="5">
        <v>19.989999999999998</v>
      </c>
      <c r="E705" s="3" t="s">
        <v>4114</v>
      </c>
      <c r="F705" s="2" t="s">
        <v>331</v>
      </c>
      <c r="G705" s="6"/>
      <c r="H705" s="2" t="s">
        <v>188</v>
      </c>
      <c r="I705" s="2" t="s">
        <v>1469</v>
      </c>
      <c r="J705" s="2" t="s">
        <v>19</v>
      </c>
      <c r="K705" s="2" t="s">
        <v>353</v>
      </c>
      <c r="L705" s="7" t="str">
        <f>HYPERLINK("http://slimages.macys.com/is/image/MCY/2880260 ")</f>
        <v xml:space="preserve">http://slimages.macys.com/is/image/MCY/2880260 </v>
      </c>
    </row>
    <row r="706" spans="1:12" ht="24.75" x14ac:dyDescent="0.25">
      <c r="A706" s="4" t="s">
        <v>4116</v>
      </c>
      <c r="B706" s="2" t="s">
        <v>3026</v>
      </c>
      <c r="C706" s="3">
        <v>1</v>
      </c>
      <c r="D706" s="5">
        <v>21.99</v>
      </c>
      <c r="E706" s="3" t="s">
        <v>3027</v>
      </c>
      <c r="F706" s="2" t="s">
        <v>79</v>
      </c>
      <c r="G706" s="6" t="s">
        <v>154</v>
      </c>
      <c r="H706" s="2" t="s">
        <v>284</v>
      </c>
      <c r="I706" s="2" t="s">
        <v>195</v>
      </c>
      <c r="J706" s="2" t="s">
        <v>19</v>
      </c>
      <c r="K706" s="2" t="s">
        <v>1082</v>
      </c>
      <c r="L706" s="7" t="str">
        <f>HYPERLINK("http://slimages.macys.com/is/image/MCY/12724768 ")</f>
        <v xml:space="preserve">http://slimages.macys.com/is/image/MCY/12724768 </v>
      </c>
    </row>
    <row r="707" spans="1:12" x14ac:dyDescent="0.25">
      <c r="A707" s="4" t="s">
        <v>4117</v>
      </c>
      <c r="B707" s="2" t="s">
        <v>1440</v>
      </c>
      <c r="C707" s="3">
        <v>1</v>
      </c>
      <c r="D707" s="5">
        <v>29.5</v>
      </c>
      <c r="E707" s="3" t="s">
        <v>1441</v>
      </c>
      <c r="F707" s="2" t="s">
        <v>74</v>
      </c>
      <c r="G707" s="6" t="s">
        <v>187</v>
      </c>
      <c r="H707" s="2" t="s">
        <v>206</v>
      </c>
      <c r="I707" s="2" t="s">
        <v>195</v>
      </c>
      <c r="J707" s="2" t="s">
        <v>19</v>
      </c>
      <c r="K707" s="2" t="s">
        <v>1082</v>
      </c>
      <c r="L707" s="7" t="str">
        <f>HYPERLINK("http://slimages.macys.com/is/image/MCY/11415452 ")</f>
        <v xml:space="preserve">http://slimages.macys.com/is/image/MCY/11415452 </v>
      </c>
    </row>
    <row r="708" spans="1:12" ht="24.75" x14ac:dyDescent="0.25">
      <c r="A708" s="4" t="s">
        <v>4118</v>
      </c>
      <c r="B708" s="2" t="s">
        <v>4119</v>
      </c>
      <c r="C708" s="3">
        <v>1</v>
      </c>
      <c r="D708" s="5">
        <v>19.989999999999998</v>
      </c>
      <c r="E708" s="3" t="s">
        <v>4120</v>
      </c>
      <c r="F708" s="2" t="s">
        <v>26</v>
      </c>
      <c r="G708" s="6" t="s">
        <v>154</v>
      </c>
      <c r="H708" s="2" t="s">
        <v>1473</v>
      </c>
      <c r="I708" s="2" t="s">
        <v>189</v>
      </c>
      <c r="J708" s="2" t="s">
        <v>19</v>
      </c>
      <c r="K708" s="2" t="s">
        <v>4121</v>
      </c>
      <c r="L708" s="7" t="str">
        <f>HYPERLINK("http://slimages.macys.com/is/image/MCY/12773731 ")</f>
        <v xml:space="preserve">http://slimages.macys.com/is/image/MCY/12773731 </v>
      </c>
    </row>
    <row r="709" spans="1:12" ht="24.75" x14ac:dyDescent="0.25">
      <c r="A709" s="4" t="s">
        <v>4122</v>
      </c>
      <c r="B709" s="2" t="s">
        <v>4123</v>
      </c>
      <c r="C709" s="3">
        <v>1</v>
      </c>
      <c r="D709" s="5">
        <v>19.989999999999998</v>
      </c>
      <c r="E709" s="3" t="s">
        <v>4124</v>
      </c>
      <c r="F709" s="2" t="s">
        <v>74</v>
      </c>
      <c r="G709" s="6" t="s">
        <v>181</v>
      </c>
      <c r="H709" s="2" t="s">
        <v>1473</v>
      </c>
      <c r="I709" s="2" t="s">
        <v>189</v>
      </c>
      <c r="J709" s="2" t="s">
        <v>19</v>
      </c>
      <c r="K709" s="2" t="s">
        <v>4121</v>
      </c>
      <c r="L709" s="7" t="str">
        <f>HYPERLINK("http://slimages.macys.com/is/image/MCY/12773731 ")</f>
        <v xml:space="preserve">http://slimages.macys.com/is/image/MCY/12773731 </v>
      </c>
    </row>
    <row r="710" spans="1:12" ht="24.75" x14ac:dyDescent="0.25">
      <c r="A710" s="4" t="s">
        <v>4125</v>
      </c>
      <c r="B710" s="2" t="s">
        <v>4123</v>
      </c>
      <c r="C710" s="3">
        <v>1</v>
      </c>
      <c r="D710" s="5">
        <v>19.989999999999998</v>
      </c>
      <c r="E710" s="3" t="s">
        <v>4124</v>
      </c>
      <c r="F710" s="2" t="s">
        <v>74</v>
      </c>
      <c r="G710" s="6" t="s">
        <v>234</v>
      </c>
      <c r="H710" s="2" t="s">
        <v>1473</v>
      </c>
      <c r="I710" s="2" t="s">
        <v>285</v>
      </c>
      <c r="J710" s="2" t="s">
        <v>19</v>
      </c>
      <c r="K710" s="2" t="s">
        <v>247</v>
      </c>
      <c r="L710" s="7" t="str">
        <f>HYPERLINK("http://slimages.macys.com/is/image/MCY/9972026 ")</f>
        <v xml:space="preserve">http://slimages.macys.com/is/image/MCY/9972026 </v>
      </c>
    </row>
    <row r="711" spans="1:12" ht="36.75" x14ac:dyDescent="0.25">
      <c r="A711" s="4" t="s">
        <v>4126</v>
      </c>
      <c r="B711" s="2" t="s">
        <v>3023</v>
      </c>
      <c r="C711" s="3">
        <v>1</v>
      </c>
      <c r="D711" s="5">
        <v>17.989999999999998</v>
      </c>
      <c r="E711" s="3" t="s">
        <v>3024</v>
      </c>
      <c r="F711" s="2" t="s">
        <v>413</v>
      </c>
      <c r="G711" s="6" t="s">
        <v>187</v>
      </c>
      <c r="H711" s="2" t="s">
        <v>1425</v>
      </c>
      <c r="I711" s="2" t="s">
        <v>207</v>
      </c>
      <c r="J711" s="2" t="s">
        <v>19</v>
      </c>
      <c r="K711" s="2" t="s">
        <v>1442</v>
      </c>
      <c r="L711" s="7" t="str">
        <f>HYPERLINK("http://slimages.macys.com/is/image/MCY/9641918 ")</f>
        <v xml:space="preserve">http://slimages.macys.com/is/image/MCY/9641918 </v>
      </c>
    </row>
    <row r="712" spans="1:12" ht="24.75" x14ac:dyDescent="0.25">
      <c r="A712" s="4" t="s">
        <v>4127</v>
      </c>
      <c r="B712" s="2" t="s">
        <v>4128</v>
      </c>
      <c r="C712" s="3">
        <v>1</v>
      </c>
      <c r="D712" s="5">
        <v>19.989999999999998</v>
      </c>
      <c r="E712" s="3" t="s">
        <v>4129</v>
      </c>
      <c r="F712" s="2" t="s">
        <v>15</v>
      </c>
      <c r="G712" s="6"/>
      <c r="H712" s="2" t="s">
        <v>1425</v>
      </c>
      <c r="I712" s="2" t="s">
        <v>1426</v>
      </c>
      <c r="J712" s="2" t="s">
        <v>19</v>
      </c>
      <c r="K712" s="2" t="s">
        <v>648</v>
      </c>
      <c r="L712" s="7" t="str">
        <f>HYPERLINK("http://slimages.macys.com/is/image/MCY/11830694 ")</f>
        <v xml:space="preserve">http://slimages.macys.com/is/image/MCY/11830694 </v>
      </c>
    </row>
    <row r="713" spans="1:12" ht="24.75" x14ac:dyDescent="0.25">
      <c r="A713" s="4" t="s">
        <v>4130</v>
      </c>
      <c r="B713" s="2" t="s">
        <v>3023</v>
      </c>
      <c r="C713" s="3">
        <v>1</v>
      </c>
      <c r="D713" s="5">
        <v>17.989999999999998</v>
      </c>
      <c r="E713" s="3" t="s">
        <v>3024</v>
      </c>
      <c r="F713" s="2" t="s">
        <v>331</v>
      </c>
      <c r="G713" s="6"/>
      <c r="H713" s="2" t="s">
        <v>1425</v>
      </c>
      <c r="I713" s="2" t="s">
        <v>1426</v>
      </c>
      <c r="J713" s="2" t="s">
        <v>19</v>
      </c>
      <c r="K713" s="2" t="s">
        <v>107</v>
      </c>
      <c r="L713" s="7" t="str">
        <f>HYPERLINK("http://slimages.macys.com/is/image/MCY/11774900 ")</f>
        <v xml:space="preserve">http://slimages.macys.com/is/image/MCY/11774900 </v>
      </c>
    </row>
    <row r="714" spans="1:12" ht="24.75" x14ac:dyDescent="0.25">
      <c r="A714" s="4" t="s">
        <v>3033</v>
      </c>
      <c r="B714" s="2" t="s">
        <v>1833</v>
      </c>
      <c r="C714" s="3">
        <v>1</v>
      </c>
      <c r="D714" s="5">
        <v>14.99</v>
      </c>
      <c r="E714" s="3" t="s">
        <v>3034</v>
      </c>
      <c r="F714" s="2" t="s">
        <v>26</v>
      </c>
      <c r="G714" s="6" t="s">
        <v>234</v>
      </c>
      <c r="H714" s="2" t="s">
        <v>194</v>
      </c>
      <c r="I714" s="2" t="s">
        <v>1426</v>
      </c>
      <c r="J714" s="2" t="s">
        <v>19</v>
      </c>
      <c r="K714" s="2" t="s">
        <v>107</v>
      </c>
      <c r="L714" s="7" t="str">
        <f>HYPERLINK("http://slimages.macys.com/is/image/MCY/11774900 ")</f>
        <v xml:space="preserve">http://slimages.macys.com/is/image/MCY/11774900 </v>
      </c>
    </row>
    <row r="715" spans="1:12" ht="24.75" x14ac:dyDescent="0.25">
      <c r="A715" s="4" t="s">
        <v>4131</v>
      </c>
      <c r="B715" s="2" t="s">
        <v>1829</v>
      </c>
      <c r="C715" s="3">
        <v>1</v>
      </c>
      <c r="D715" s="5">
        <v>14.99</v>
      </c>
      <c r="E715" s="3" t="s">
        <v>3032</v>
      </c>
      <c r="F715" s="2" t="s">
        <v>1788</v>
      </c>
      <c r="G715" s="6" t="s">
        <v>234</v>
      </c>
      <c r="H715" s="2" t="s">
        <v>194</v>
      </c>
      <c r="I715" s="2" t="s">
        <v>1426</v>
      </c>
      <c r="J715" s="2" t="s">
        <v>19</v>
      </c>
      <c r="K715" s="2" t="s">
        <v>495</v>
      </c>
      <c r="L715" s="7" t="str">
        <f>HYPERLINK("http://slimages.macys.com/is/image/MCY/11809174 ")</f>
        <v xml:space="preserve">http://slimages.macys.com/is/image/MCY/11809174 </v>
      </c>
    </row>
    <row r="716" spans="1:12" ht="24.75" x14ac:dyDescent="0.25">
      <c r="A716" s="4" t="s">
        <v>4132</v>
      </c>
      <c r="B716" s="2" t="s">
        <v>1829</v>
      </c>
      <c r="C716" s="3">
        <v>1</v>
      </c>
      <c r="D716" s="5">
        <v>14.99</v>
      </c>
      <c r="E716" s="3" t="s">
        <v>1836</v>
      </c>
      <c r="F716" s="2" t="s">
        <v>252</v>
      </c>
      <c r="G716" s="6" t="s">
        <v>234</v>
      </c>
      <c r="H716" s="2" t="s">
        <v>194</v>
      </c>
      <c r="I716" s="2" t="s">
        <v>1426</v>
      </c>
      <c r="J716" s="2" t="s">
        <v>19</v>
      </c>
      <c r="K716" s="2" t="s">
        <v>1108</v>
      </c>
      <c r="L716" s="7" t="str">
        <f>HYPERLINK("http://slimages.macys.com/is/image/MCY/11831170 ")</f>
        <v xml:space="preserve">http://slimages.macys.com/is/image/MCY/11831170 </v>
      </c>
    </row>
    <row r="717" spans="1:12" ht="24.75" x14ac:dyDescent="0.25">
      <c r="A717" s="4" t="s">
        <v>4133</v>
      </c>
      <c r="B717" s="2" t="s">
        <v>1833</v>
      </c>
      <c r="C717" s="3">
        <v>1</v>
      </c>
      <c r="D717" s="5">
        <v>14.99</v>
      </c>
      <c r="E717" s="3" t="s">
        <v>4134</v>
      </c>
      <c r="F717" s="2" t="s">
        <v>998</v>
      </c>
      <c r="G717" s="6" t="s">
        <v>245</v>
      </c>
      <c r="H717" s="2" t="s">
        <v>194</v>
      </c>
      <c r="I717" s="2" t="s">
        <v>1426</v>
      </c>
      <c r="J717" s="2" t="s">
        <v>19</v>
      </c>
      <c r="K717" s="2" t="s">
        <v>495</v>
      </c>
      <c r="L717" s="7" t="str">
        <f>HYPERLINK("http://slimages.macys.com/is/image/MCY/11809174 ")</f>
        <v xml:space="preserve">http://slimages.macys.com/is/image/MCY/11809174 </v>
      </c>
    </row>
    <row r="718" spans="1:12" ht="24.75" x14ac:dyDescent="0.25">
      <c r="A718" s="4" t="s">
        <v>1847</v>
      </c>
      <c r="B718" s="2" t="s">
        <v>1829</v>
      </c>
      <c r="C718" s="3">
        <v>1</v>
      </c>
      <c r="D718" s="5">
        <v>14.99</v>
      </c>
      <c r="E718" s="3" t="s">
        <v>1830</v>
      </c>
      <c r="F718" s="2" t="s">
        <v>331</v>
      </c>
      <c r="G718" s="6" t="s">
        <v>154</v>
      </c>
      <c r="H718" s="2" t="s">
        <v>194</v>
      </c>
      <c r="I718" s="2" t="s">
        <v>307</v>
      </c>
      <c r="J718" s="2" t="s">
        <v>19</v>
      </c>
      <c r="K718" s="2" t="s">
        <v>34</v>
      </c>
      <c r="L718" s="7" t="str">
        <f>HYPERLINK("http://slimages.macys.com/is/image/MCY/11936098 ")</f>
        <v xml:space="preserve">http://slimages.macys.com/is/image/MCY/11936098 </v>
      </c>
    </row>
    <row r="719" spans="1:12" ht="24.75" x14ac:dyDescent="0.25">
      <c r="A719" s="4" t="s">
        <v>4135</v>
      </c>
      <c r="B719" s="2" t="s">
        <v>1853</v>
      </c>
      <c r="C719" s="3">
        <v>1</v>
      </c>
      <c r="D719" s="5">
        <v>17.989999999999998</v>
      </c>
      <c r="E719" s="3" t="s">
        <v>1854</v>
      </c>
      <c r="F719" s="2" t="s">
        <v>26</v>
      </c>
      <c r="G719" s="6" t="s">
        <v>219</v>
      </c>
      <c r="H719" s="2" t="s">
        <v>1425</v>
      </c>
      <c r="I719" s="2" t="s">
        <v>307</v>
      </c>
      <c r="J719" s="2" t="s">
        <v>19</v>
      </c>
      <c r="K719" s="2" t="s">
        <v>34</v>
      </c>
      <c r="L719" s="7" t="str">
        <f>HYPERLINK("http://slimages.macys.com/is/image/MCY/11936089 ")</f>
        <v xml:space="preserve">http://slimages.macys.com/is/image/MCY/11936089 </v>
      </c>
    </row>
    <row r="720" spans="1:12" ht="24.75" x14ac:dyDescent="0.25">
      <c r="A720" s="4" t="s">
        <v>4136</v>
      </c>
      <c r="B720" s="2" t="s">
        <v>1853</v>
      </c>
      <c r="C720" s="3">
        <v>1</v>
      </c>
      <c r="D720" s="5">
        <v>17.989999999999998</v>
      </c>
      <c r="E720" s="3" t="s">
        <v>1854</v>
      </c>
      <c r="F720" s="2" t="s">
        <v>26</v>
      </c>
      <c r="G720" s="6"/>
      <c r="H720" s="2" t="s">
        <v>1425</v>
      </c>
      <c r="I720" s="2" t="s">
        <v>307</v>
      </c>
      <c r="J720" s="2" t="s">
        <v>19</v>
      </c>
      <c r="K720" s="2" t="s">
        <v>34</v>
      </c>
      <c r="L720" s="7" t="str">
        <f>HYPERLINK("http://slimages.macys.com/is/image/MCY/11937942 ")</f>
        <v xml:space="preserve">http://slimages.macys.com/is/image/MCY/11937942 </v>
      </c>
    </row>
    <row r="721" spans="1:12" ht="24.75" x14ac:dyDescent="0.25">
      <c r="A721" s="4" t="s">
        <v>4137</v>
      </c>
      <c r="B721" s="2" t="s">
        <v>1856</v>
      </c>
      <c r="C721" s="3">
        <v>2</v>
      </c>
      <c r="D721" s="5">
        <v>17.989999999999998</v>
      </c>
      <c r="E721" s="3" t="s">
        <v>1857</v>
      </c>
      <c r="F721" s="2" t="s">
        <v>26</v>
      </c>
      <c r="G721" s="6"/>
      <c r="H721" s="2" t="s">
        <v>1425</v>
      </c>
      <c r="I721" s="2" t="s">
        <v>307</v>
      </c>
      <c r="J721" s="2" t="s">
        <v>19</v>
      </c>
      <c r="K721" s="2" t="s">
        <v>34</v>
      </c>
      <c r="L721" s="7" t="str">
        <f>HYPERLINK("http://slimages.macys.com/is/image/MCY/12668021 ")</f>
        <v xml:space="preserve">http://slimages.macys.com/is/image/MCY/12668021 </v>
      </c>
    </row>
    <row r="722" spans="1:12" ht="24.75" x14ac:dyDescent="0.25">
      <c r="A722" s="4" t="s">
        <v>4138</v>
      </c>
      <c r="B722" s="2" t="s">
        <v>1856</v>
      </c>
      <c r="C722" s="3">
        <v>1</v>
      </c>
      <c r="D722" s="5">
        <v>17.989999999999998</v>
      </c>
      <c r="E722" s="3" t="s">
        <v>1857</v>
      </c>
      <c r="F722" s="2" t="s">
        <v>26</v>
      </c>
      <c r="G722" s="6"/>
      <c r="H722" s="2" t="s">
        <v>1425</v>
      </c>
      <c r="I722" s="2" t="s">
        <v>307</v>
      </c>
      <c r="J722" s="2" t="s">
        <v>19</v>
      </c>
      <c r="K722" s="2" t="s">
        <v>1831</v>
      </c>
      <c r="L722" s="7" t="str">
        <f>HYPERLINK("http://slimages.macys.com/is/image/MCY/12794114 ")</f>
        <v xml:space="preserve">http://slimages.macys.com/is/image/MCY/12794114 </v>
      </c>
    </row>
    <row r="723" spans="1:12" ht="24.75" x14ac:dyDescent="0.25">
      <c r="A723" s="4" t="s">
        <v>4139</v>
      </c>
      <c r="B723" s="2" t="s">
        <v>1856</v>
      </c>
      <c r="C723" s="3">
        <v>3</v>
      </c>
      <c r="D723" s="5">
        <v>17.989999999999998</v>
      </c>
      <c r="E723" s="3" t="s">
        <v>1857</v>
      </c>
      <c r="F723" s="2" t="s">
        <v>26</v>
      </c>
      <c r="G723" s="6"/>
      <c r="H723" s="2" t="s">
        <v>1425</v>
      </c>
      <c r="I723" s="2" t="s">
        <v>1469</v>
      </c>
      <c r="J723" s="2" t="s">
        <v>19</v>
      </c>
      <c r="K723" s="2" t="s">
        <v>353</v>
      </c>
      <c r="L723" s="7" t="str">
        <f>HYPERLINK("http://slimages.macys.com/is/image/MCY/2880260 ")</f>
        <v xml:space="preserve">http://slimages.macys.com/is/image/MCY/2880260 </v>
      </c>
    </row>
    <row r="724" spans="1:12" ht="24.75" x14ac:dyDescent="0.25">
      <c r="A724" s="4" t="s">
        <v>4140</v>
      </c>
      <c r="B724" s="2" t="s">
        <v>1856</v>
      </c>
      <c r="C724" s="3">
        <v>2</v>
      </c>
      <c r="D724" s="5">
        <v>17.989999999999998</v>
      </c>
      <c r="E724" s="3" t="s">
        <v>1857</v>
      </c>
      <c r="F724" s="2" t="s">
        <v>26</v>
      </c>
      <c r="G724" s="6" t="s">
        <v>219</v>
      </c>
      <c r="H724" s="2" t="s">
        <v>1425</v>
      </c>
      <c r="I724" s="2" t="s">
        <v>1469</v>
      </c>
      <c r="J724" s="2" t="s">
        <v>19</v>
      </c>
      <c r="K724" s="2" t="s">
        <v>353</v>
      </c>
      <c r="L724" s="7" t="str">
        <f>HYPERLINK("http://slimages.macys.com/is/image/MCY/2880260 ")</f>
        <v xml:space="preserve">http://slimages.macys.com/is/image/MCY/2880260 </v>
      </c>
    </row>
    <row r="725" spans="1:12" ht="24.75" x14ac:dyDescent="0.25">
      <c r="A725" s="4" t="s">
        <v>3046</v>
      </c>
      <c r="B725" s="2" t="s">
        <v>1862</v>
      </c>
      <c r="C725" s="3">
        <v>1</v>
      </c>
      <c r="D725" s="5">
        <v>20.99</v>
      </c>
      <c r="E725" s="3" t="s">
        <v>1868</v>
      </c>
      <c r="F725" s="2" t="s">
        <v>998</v>
      </c>
      <c r="G725" s="6" t="s">
        <v>154</v>
      </c>
      <c r="H725" s="2" t="s">
        <v>1473</v>
      </c>
      <c r="I725" s="2" t="s">
        <v>1469</v>
      </c>
      <c r="J725" s="2" t="s">
        <v>19</v>
      </c>
      <c r="K725" s="2" t="s">
        <v>353</v>
      </c>
      <c r="L725" s="7" t="str">
        <f>HYPERLINK("http://slimages.macys.com/is/image/MCY/11522835 ")</f>
        <v xml:space="preserve">http://slimages.macys.com/is/image/MCY/11522835 </v>
      </c>
    </row>
    <row r="726" spans="1:12" ht="24.75" x14ac:dyDescent="0.25">
      <c r="A726" s="4" t="s">
        <v>3044</v>
      </c>
      <c r="B726" s="2" t="s">
        <v>1862</v>
      </c>
      <c r="C726" s="3">
        <v>1</v>
      </c>
      <c r="D726" s="5">
        <v>20.99</v>
      </c>
      <c r="E726" s="3" t="s">
        <v>1868</v>
      </c>
      <c r="F726" s="2" t="s">
        <v>15</v>
      </c>
      <c r="G726" s="6" t="s">
        <v>234</v>
      </c>
      <c r="H726" s="2" t="s">
        <v>1473</v>
      </c>
      <c r="I726" s="2" t="s">
        <v>1469</v>
      </c>
      <c r="J726" s="2" t="s">
        <v>19</v>
      </c>
      <c r="K726" s="2" t="s">
        <v>353</v>
      </c>
      <c r="L726" s="7" t="str">
        <f>HYPERLINK("http://slimages.macys.com/is/image/MCY/11522835 ")</f>
        <v xml:space="preserve">http://slimages.macys.com/is/image/MCY/11522835 </v>
      </c>
    </row>
    <row r="727" spans="1:12" ht="24.75" x14ac:dyDescent="0.25">
      <c r="A727" s="4" t="s">
        <v>1871</v>
      </c>
      <c r="B727" s="2" t="s">
        <v>1862</v>
      </c>
      <c r="C727" s="3">
        <v>1</v>
      </c>
      <c r="D727" s="5">
        <v>20.99</v>
      </c>
      <c r="E727" s="3" t="s">
        <v>1868</v>
      </c>
      <c r="F727" s="2" t="s">
        <v>70</v>
      </c>
      <c r="G727" s="6" t="s">
        <v>156</v>
      </c>
      <c r="H727" s="2" t="s">
        <v>1473</v>
      </c>
      <c r="I727" s="2" t="s">
        <v>1469</v>
      </c>
      <c r="J727" s="2" t="s">
        <v>19</v>
      </c>
      <c r="K727" s="2" t="s">
        <v>353</v>
      </c>
      <c r="L727" s="7" t="str">
        <f>HYPERLINK("http://slimages.macys.com/is/image/MCY/11522835 ")</f>
        <v xml:space="preserve">http://slimages.macys.com/is/image/MCY/11522835 </v>
      </c>
    </row>
    <row r="728" spans="1:12" ht="24.75" x14ac:dyDescent="0.25">
      <c r="A728" s="4" t="s">
        <v>4141</v>
      </c>
      <c r="B728" s="2" t="s">
        <v>3049</v>
      </c>
      <c r="C728" s="3">
        <v>1</v>
      </c>
      <c r="D728" s="5">
        <v>14.99</v>
      </c>
      <c r="E728" s="3" t="s">
        <v>3050</v>
      </c>
      <c r="F728" s="2" t="s">
        <v>74</v>
      </c>
      <c r="G728" s="6" t="s">
        <v>156</v>
      </c>
      <c r="H728" s="2" t="s">
        <v>1473</v>
      </c>
      <c r="I728" s="2" t="s">
        <v>1469</v>
      </c>
      <c r="J728" s="2" t="s">
        <v>19</v>
      </c>
      <c r="K728" s="2" t="s">
        <v>353</v>
      </c>
      <c r="L728" s="7" t="str">
        <f>HYPERLINK("http://slimages.macys.com/is/image/MCY/11522835 ")</f>
        <v xml:space="preserve">http://slimages.macys.com/is/image/MCY/11522835 </v>
      </c>
    </row>
    <row r="729" spans="1:12" ht="24.75" x14ac:dyDescent="0.25">
      <c r="A729" s="4" t="s">
        <v>4142</v>
      </c>
      <c r="B729" s="2" t="s">
        <v>4143</v>
      </c>
      <c r="C729" s="3">
        <v>1</v>
      </c>
      <c r="D729" s="5">
        <v>17.989999999999998</v>
      </c>
      <c r="E729" s="3" t="s">
        <v>4144</v>
      </c>
      <c r="F729" s="2" t="s">
        <v>70</v>
      </c>
      <c r="G729" s="6" t="s">
        <v>156</v>
      </c>
      <c r="H729" s="2" t="s">
        <v>1473</v>
      </c>
      <c r="I729" s="2" t="s">
        <v>1864</v>
      </c>
      <c r="J729" s="2" t="s">
        <v>19</v>
      </c>
      <c r="K729" s="2" t="s">
        <v>648</v>
      </c>
      <c r="L729" s="7" t="str">
        <f>HYPERLINK("http://slimages.macys.com/is/image/MCY/12267099 ")</f>
        <v xml:space="preserve">http://slimages.macys.com/is/image/MCY/12267099 </v>
      </c>
    </row>
    <row r="730" spans="1:12" ht="24.75" x14ac:dyDescent="0.25">
      <c r="A730" s="4" t="s">
        <v>4145</v>
      </c>
      <c r="B730" s="2" t="s">
        <v>4146</v>
      </c>
      <c r="C730" s="3">
        <v>1</v>
      </c>
      <c r="D730" s="5">
        <v>17.989999999999998</v>
      </c>
      <c r="E730" s="3" t="s">
        <v>4147</v>
      </c>
      <c r="F730" s="2" t="s">
        <v>413</v>
      </c>
      <c r="G730" s="6" t="s">
        <v>154</v>
      </c>
      <c r="H730" s="2" t="s">
        <v>1473</v>
      </c>
      <c r="I730" s="2" t="s">
        <v>1864</v>
      </c>
      <c r="J730" s="2" t="s">
        <v>19</v>
      </c>
      <c r="K730" s="2" t="s">
        <v>648</v>
      </c>
      <c r="L730" s="7" t="str">
        <f>HYPERLINK("http://slimages.macys.com/is/image/MCY/12267099 ")</f>
        <v xml:space="preserve">http://slimages.macys.com/is/image/MCY/12267099 </v>
      </c>
    </row>
    <row r="731" spans="1:12" ht="24.75" x14ac:dyDescent="0.25">
      <c r="A731" s="4" t="s">
        <v>4148</v>
      </c>
      <c r="B731" s="2" t="s">
        <v>1876</v>
      </c>
      <c r="C731" s="3">
        <v>1</v>
      </c>
      <c r="D731" s="5">
        <v>17.989999999999998</v>
      </c>
      <c r="E731" s="3" t="s">
        <v>1877</v>
      </c>
      <c r="F731" s="2" t="s">
        <v>74</v>
      </c>
      <c r="G731" s="6" t="s">
        <v>156</v>
      </c>
      <c r="H731" s="2" t="s">
        <v>1473</v>
      </c>
      <c r="I731" s="2" t="s">
        <v>1864</v>
      </c>
      <c r="J731" s="2" t="s">
        <v>19</v>
      </c>
      <c r="K731" s="2" t="s">
        <v>648</v>
      </c>
      <c r="L731" s="7" t="str">
        <f>HYPERLINK("http://slimages.macys.com/is/image/MCY/12267099 ")</f>
        <v xml:space="preserve">http://slimages.macys.com/is/image/MCY/12267099 </v>
      </c>
    </row>
    <row r="732" spans="1:12" ht="24.75" x14ac:dyDescent="0.25">
      <c r="A732" s="4" t="s">
        <v>4149</v>
      </c>
      <c r="B732" s="2" t="s">
        <v>1879</v>
      </c>
      <c r="C732" s="3">
        <v>1</v>
      </c>
      <c r="D732" s="5">
        <v>17.989999999999998</v>
      </c>
      <c r="E732" s="3" t="s">
        <v>1885</v>
      </c>
      <c r="F732" s="2" t="s">
        <v>1322</v>
      </c>
      <c r="G732" s="6" t="s">
        <v>154</v>
      </c>
      <c r="H732" s="2" t="s">
        <v>194</v>
      </c>
      <c r="I732" s="2" t="s">
        <v>1426</v>
      </c>
      <c r="J732" s="2" t="s">
        <v>19</v>
      </c>
      <c r="K732" s="2" t="s">
        <v>495</v>
      </c>
      <c r="L732" s="7" t="str">
        <f>HYPERLINK("http://slimages.macys.com/is/image/MCY/11029120 ")</f>
        <v xml:space="preserve">http://slimages.macys.com/is/image/MCY/11029120 </v>
      </c>
    </row>
    <row r="733" spans="1:12" ht="36.75" x14ac:dyDescent="0.25">
      <c r="A733" s="4" t="s">
        <v>4150</v>
      </c>
      <c r="B733" s="2" t="s">
        <v>1879</v>
      </c>
      <c r="C733" s="3">
        <v>2</v>
      </c>
      <c r="D733" s="5">
        <v>17.989999999999998</v>
      </c>
      <c r="E733" s="3" t="s">
        <v>1882</v>
      </c>
      <c r="F733" s="2" t="s">
        <v>111</v>
      </c>
      <c r="G733" s="6" t="s">
        <v>234</v>
      </c>
      <c r="H733" s="2" t="s">
        <v>194</v>
      </c>
      <c r="I733" s="2" t="s">
        <v>1426</v>
      </c>
      <c r="J733" s="2" t="s">
        <v>19</v>
      </c>
      <c r="K733" s="2" t="s">
        <v>4151</v>
      </c>
      <c r="L733" s="7" t="str">
        <f>HYPERLINK("http://slimages.macys.com/is/image/MCY/12064410 ")</f>
        <v xml:space="preserve">http://slimages.macys.com/is/image/MCY/12064410 </v>
      </c>
    </row>
    <row r="734" spans="1:12" ht="24.75" x14ac:dyDescent="0.25">
      <c r="A734" s="4" t="s">
        <v>4152</v>
      </c>
      <c r="B734" s="2" t="s">
        <v>1892</v>
      </c>
      <c r="C734" s="3">
        <v>1</v>
      </c>
      <c r="D734" s="5">
        <v>20.99</v>
      </c>
      <c r="E734" s="3" t="s">
        <v>1901</v>
      </c>
      <c r="F734" s="2" t="s">
        <v>15</v>
      </c>
      <c r="G734" s="6" t="s">
        <v>181</v>
      </c>
      <c r="H734" s="2" t="s">
        <v>1473</v>
      </c>
      <c r="I734" s="2" t="s">
        <v>1426</v>
      </c>
      <c r="J734" s="2" t="s">
        <v>19</v>
      </c>
      <c r="K734" s="2" t="s">
        <v>107</v>
      </c>
      <c r="L734" s="7" t="str">
        <f>HYPERLINK("http://slimages.macys.com/is/image/MCY/11191267 ")</f>
        <v xml:space="preserve">http://slimages.macys.com/is/image/MCY/11191267 </v>
      </c>
    </row>
    <row r="735" spans="1:12" ht="24.75" x14ac:dyDescent="0.25">
      <c r="A735" s="4" t="s">
        <v>3068</v>
      </c>
      <c r="B735" s="2" t="s">
        <v>1896</v>
      </c>
      <c r="C735" s="3">
        <v>1</v>
      </c>
      <c r="D735" s="5">
        <v>20.99</v>
      </c>
      <c r="E735" s="3" t="s">
        <v>1899</v>
      </c>
      <c r="F735" s="2" t="s">
        <v>74</v>
      </c>
      <c r="G735" s="6" t="s">
        <v>181</v>
      </c>
      <c r="H735" s="2" t="s">
        <v>1473</v>
      </c>
      <c r="I735" s="2" t="s">
        <v>1426</v>
      </c>
      <c r="J735" s="2" t="s">
        <v>19</v>
      </c>
      <c r="K735" s="2" t="s">
        <v>495</v>
      </c>
      <c r="L735" s="7" t="str">
        <f>HYPERLINK("http://slimages.macys.com/is/image/MCY/12672802 ")</f>
        <v xml:space="preserve">http://slimages.macys.com/is/image/MCY/12672802 </v>
      </c>
    </row>
    <row r="736" spans="1:12" ht="24.75" x14ac:dyDescent="0.25">
      <c r="A736" s="4" t="s">
        <v>3071</v>
      </c>
      <c r="B736" s="2" t="s">
        <v>1892</v>
      </c>
      <c r="C736" s="3">
        <v>1</v>
      </c>
      <c r="D736" s="5">
        <v>20.99</v>
      </c>
      <c r="E736" s="3" t="s">
        <v>1901</v>
      </c>
      <c r="F736" s="2" t="s">
        <v>74</v>
      </c>
      <c r="G736" s="6" t="s">
        <v>154</v>
      </c>
      <c r="H736" s="2" t="s">
        <v>1473</v>
      </c>
      <c r="I736" s="2" t="s">
        <v>195</v>
      </c>
      <c r="J736" s="2" t="s">
        <v>19</v>
      </c>
      <c r="K736" s="2" t="s">
        <v>648</v>
      </c>
      <c r="L736" s="7" t="str">
        <f>HYPERLINK("http://slimages.macys.com/is/image/MCY/10482866 ")</f>
        <v xml:space="preserve">http://slimages.macys.com/is/image/MCY/10482866 </v>
      </c>
    </row>
    <row r="737" spans="1:12" ht="24.75" x14ac:dyDescent="0.25">
      <c r="A737" s="4" t="s">
        <v>4153</v>
      </c>
      <c r="B737" s="2" t="s">
        <v>1892</v>
      </c>
      <c r="C737" s="3">
        <v>1</v>
      </c>
      <c r="D737" s="5">
        <v>20.99</v>
      </c>
      <c r="E737" s="3" t="s">
        <v>1901</v>
      </c>
      <c r="F737" s="2" t="s">
        <v>1788</v>
      </c>
      <c r="G737" s="6" t="s">
        <v>234</v>
      </c>
      <c r="H737" s="2" t="s">
        <v>1473</v>
      </c>
      <c r="I737" s="2" t="s">
        <v>195</v>
      </c>
      <c r="J737" s="2" t="s">
        <v>19</v>
      </c>
      <c r="K737" s="2" t="s">
        <v>648</v>
      </c>
      <c r="L737" s="7" t="str">
        <f>HYPERLINK("http://slimages.macys.com/is/image/MCY/10482866 ")</f>
        <v xml:space="preserve">http://slimages.macys.com/is/image/MCY/10482866 </v>
      </c>
    </row>
    <row r="738" spans="1:12" ht="24.75" x14ac:dyDescent="0.25">
      <c r="A738" s="4" t="s">
        <v>1906</v>
      </c>
      <c r="B738" s="2" t="s">
        <v>1896</v>
      </c>
      <c r="C738" s="3">
        <v>1</v>
      </c>
      <c r="D738" s="5">
        <v>20.99</v>
      </c>
      <c r="E738" s="3" t="s">
        <v>1899</v>
      </c>
      <c r="F738" s="2" t="s">
        <v>998</v>
      </c>
      <c r="G738" s="6" t="s">
        <v>156</v>
      </c>
      <c r="H738" s="2" t="s">
        <v>1473</v>
      </c>
      <c r="I738" s="2" t="s">
        <v>1864</v>
      </c>
      <c r="J738" s="2" t="s">
        <v>19</v>
      </c>
      <c r="K738" s="2" t="s">
        <v>648</v>
      </c>
      <c r="L738" s="7" t="str">
        <f>HYPERLINK("http://slimages.macys.com/is/image/MCY/11689284 ")</f>
        <v xml:space="preserve">http://slimages.macys.com/is/image/MCY/11689284 </v>
      </c>
    </row>
    <row r="739" spans="1:12" ht="24.75" x14ac:dyDescent="0.25">
      <c r="A739" s="4" t="s">
        <v>3059</v>
      </c>
      <c r="B739" s="2" t="s">
        <v>1896</v>
      </c>
      <c r="C739" s="3">
        <v>1</v>
      </c>
      <c r="D739" s="5">
        <v>20.99</v>
      </c>
      <c r="E739" s="3" t="s">
        <v>1899</v>
      </c>
      <c r="F739" s="2" t="s">
        <v>74</v>
      </c>
      <c r="G739" s="6" t="s">
        <v>234</v>
      </c>
      <c r="H739" s="2" t="s">
        <v>1473</v>
      </c>
      <c r="I739" s="2" t="s">
        <v>1864</v>
      </c>
      <c r="J739" s="2" t="s">
        <v>19</v>
      </c>
      <c r="K739" s="2" t="s">
        <v>648</v>
      </c>
      <c r="L739" s="7" t="str">
        <f>HYPERLINK("http://slimages.macys.com/is/image/MCY/10787705 ")</f>
        <v xml:space="preserve">http://slimages.macys.com/is/image/MCY/10787705 </v>
      </c>
    </row>
    <row r="740" spans="1:12" ht="24.75" x14ac:dyDescent="0.25">
      <c r="A740" s="4" t="s">
        <v>1900</v>
      </c>
      <c r="B740" s="2" t="s">
        <v>1892</v>
      </c>
      <c r="C740" s="3">
        <v>1</v>
      </c>
      <c r="D740" s="5">
        <v>20.99</v>
      </c>
      <c r="E740" s="3" t="s">
        <v>1901</v>
      </c>
      <c r="F740" s="2" t="s">
        <v>998</v>
      </c>
      <c r="G740" s="6" t="s">
        <v>156</v>
      </c>
      <c r="H740" s="2" t="s">
        <v>1473</v>
      </c>
      <c r="I740" s="2" t="s">
        <v>1864</v>
      </c>
      <c r="J740" s="2" t="s">
        <v>19</v>
      </c>
      <c r="K740" s="2" t="s">
        <v>648</v>
      </c>
      <c r="L740" s="7" t="str">
        <f>HYPERLINK("http://slimages.macys.com/is/image/MCY/11689284 ")</f>
        <v xml:space="preserve">http://slimages.macys.com/is/image/MCY/11689284 </v>
      </c>
    </row>
    <row r="741" spans="1:12" ht="24.75" x14ac:dyDescent="0.25">
      <c r="A741" s="4" t="s">
        <v>3070</v>
      </c>
      <c r="B741" s="2" t="s">
        <v>1892</v>
      </c>
      <c r="C741" s="3">
        <v>2</v>
      </c>
      <c r="D741" s="5">
        <v>20.99</v>
      </c>
      <c r="E741" s="3" t="s">
        <v>1901</v>
      </c>
      <c r="F741" s="2" t="s">
        <v>15</v>
      </c>
      <c r="G741" s="6" t="s">
        <v>156</v>
      </c>
      <c r="H741" s="2" t="s">
        <v>1473</v>
      </c>
      <c r="I741" s="2" t="s">
        <v>1864</v>
      </c>
      <c r="J741" s="2" t="s">
        <v>19</v>
      </c>
      <c r="K741" s="2" t="s">
        <v>648</v>
      </c>
      <c r="L741" s="7" t="str">
        <f>HYPERLINK("http://slimages.macys.com/is/image/MCY/11689284 ")</f>
        <v xml:space="preserve">http://slimages.macys.com/is/image/MCY/11689284 </v>
      </c>
    </row>
    <row r="742" spans="1:12" ht="24.75" x14ac:dyDescent="0.25">
      <c r="A742" s="4" t="s">
        <v>3073</v>
      </c>
      <c r="B742" s="2" t="s">
        <v>1896</v>
      </c>
      <c r="C742" s="3">
        <v>1</v>
      </c>
      <c r="D742" s="5">
        <v>20.99</v>
      </c>
      <c r="E742" s="3" t="s">
        <v>1899</v>
      </c>
      <c r="F742" s="2" t="s">
        <v>15</v>
      </c>
      <c r="G742" s="6" t="s">
        <v>181</v>
      </c>
      <c r="H742" s="2" t="s">
        <v>1473</v>
      </c>
      <c r="I742" s="2" t="s">
        <v>1864</v>
      </c>
      <c r="J742" s="2" t="s">
        <v>19</v>
      </c>
      <c r="K742" s="2" t="s">
        <v>648</v>
      </c>
      <c r="L742" s="7" t="str">
        <f>HYPERLINK("http://slimages.macys.com/is/image/MCY/10787705 ")</f>
        <v xml:space="preserve">http://slimages.macys.com/is/image/MCY/10787705 </v>
      </c>
    </row>
    <row r="743" spans="1:12" ht="24.75" x14ac:dyDescent="0.25">
      <c r="A743" s="4" t="s">
        <v>4154</v>
      </c>
      <c r="B743" s="2" t="s">
        <v>1892</v>
      </c>
      <c r="C743" s="3">
        <v>1</v>
      </c>
      <c r="D743" s="5">
        <v>20.99</v>
      </c>
      <c r="E743" s="3" t="s">
        <v>1901</v>
      </c>
      <c r="F743" s="2" t="s">
        <v>252</v>
      </c>
      <c r="G743" s="6" t="s">
        <v>181</v>
      </c>
      <c r="H743" s="2" t="s">
        <v>1473</v>
      </c>
      <c r="I743" s="2" t="s">
        <v>1864</v>
      </c>
      <c r="J743" s="2" t="s">
        <v>19</v>
      </c>
      <c r="K743" s="2" t="s">
        <v>648</v>
      </c>
      <c r="L743" s="7" t="str">
        <f>HYPERLINK("http://slimages.macys.com/is/image/MCY/10787705 ")</f>
        <v xml:space="preserve">http://slimages.macys.com/is/image/MCY/10787705 </v>
      </c>
    </row>
    <row r="744" spans="1:12" ht="24.75" x14ac:dyDescent="0.25">
      <c r="A744" s="4" t="s">
        <v>3060</v>
      </c>
      <c r="B744" s="2" t="s">
        <v>1896</v>
      </c>
      <c r="C744" s="3">
        <v>1</v>
      </c>
      <c r="D744" s="5">
        <v>20.99</v>
      </c>
      <c r="E744" s="3" t="s">
        <v>1899</v>
      </c>
      <c r="F744" s="2" t="s">
        <v>15</v>
      </c>
      <c r="G744" s="6" t="s">
        <v>156</v>
      </c>
      <c r="H744" s="2" t="s">
        <v>1473</v>
      </c>
      <c r="I744" s="2" t="s">
        <v>1864</v>
      </c>
      <c r="J744" s="2" t="s">
        <v>19</v>
      </c>
      <c r="K744" s="2" t="s">
        <v>648</v>
      </c>
      <c r="L744" s="7" t="str">
        <f>HYPERLINK("http://slimages.macys.com/is/image/MCY/11689284 ")</f>
        <v xml:space="preserve">http://slimages.macys.com/is/image/MCY/11689284 </v>
      </c>
    </row>
    <row r="745" spans="1:12" ht="24.75" x14ac:dyDescent="0.25">
      <c r="A745" s="4" t="s">
        <v>3062</v>
      </c>
      <c r="B745" s="2" t="s">
        <v>1892</v>
      </c>
      <c r="C745" s="3">
        <v>2</v>
      </c>
      <c r="D745" s="5">
        <v>20.99</v>
      </c>
      <c r="E745" s="3" t="s">
        <v>1893</v>
      </c>
      <c r="F745" s="2" t="s">
        <v>15</v>
      </c>
      <c r="G745" s="6" t="s">
        <v>219</v>
      </c>
      <c r="H745" s="2" t="s">
        <v>1425</v>
      </c>
      <c r="I745" s="2" t="s">
        <v>1864</v>
      </c>
      <c r="J745" s="2" t="s">
        <v>19</v>
      </c>
      <c r="K745" s="2" t="s">
        <v>648</v>
      </c>
      <c r="L745" s="7" t="str">
        <f>HYPERLINK("http://slimages.macys.com/is/image/MCY/11689284 ")</f>
        <v xml:space="preserve">http://slimages.macys.com/is/image/MCY/11689284 </v>
      </c>
    </row>
    <row r="746" spans="1:12" ht="24.75" x14ac:dyDescent="0.25">
      <c r="A746" s="4" t="s">
        <v>1909</v>
      </c>
      <c r="B746" s="2" t="s">
        <v>1892</v>
      </c>
      <c r="C746" s="3">
        <v>1</v>
      </c>
      <c r="D746" s="5">
        <v>20.99</v>
      </c>
      <c r="E746" s="3" t="s">
        <v>1893</v>
      </c>
      <c r="F746" s="2" t="s">
        <v>15</v>
      </c>
      <c r="G746" s="6"/>
      <c r="H746" s="2" t="s">
        <v>1425</v>
      </c>
      <c r="I746" s="2" t="s">
        <v>1864</v>
      </c>
      <c r="J746" s="2" t="s">
        <v>19</v>
      </c>
      <c r="K746" s="2" t="s">
        <v>648</v>
      </c>
      <c r="L746" s="7" t="str">
        <f>HYPERLINK("http://slimages.macys.com/is/image/MCY/10787705 ")</f>
        <v xml:space="preserve">http://slimages.macys.com/is/image/MCY/10787705 </v>
      </c>
    </row>
    <row r="747" spans="1:12" ht="24.75" x14ac:dyDescent="0.25">
      <c r="A747" s="4" t="s">
        <v>1904</v>
      </c>
      <c r="B747" s="2" t="s">
        <v>1892</v>
      </c>
      <c r="C747" s="3">
        <v>2</v>
      </c>
      <c r="D747" s="5">
        <v>20.99</v>
      </c>
      <c r="E747" s="3" t="s">
        <v>1893</v>
      </c>
      <c r="F747" s="2" t="s">
        <v>15</v>
      </c>
      <c r="G747" s="6"/>
      <c r="H747" s="2" t="s">
        <v>1425</v>
      </c>
      <c r="I747" s="2" t="s">
        <v>1864</v>
      </c>
      <c r="J747" s="2" t="s">
        <v>19</v>
      </c>
      <c r="K747" s="2" t="s">
        <v>648</v>
      </c>
      <c r="L747" s="7" t="str">
        <f>HYPERLINK("http://slimages.macys.com/is/image/MCY/11689284 ")</f>
        <v xml:space="preserve">http://slimages.macys.com/is/image/MCY/11689284 </v>
      </c>
    </row>
    <row r="748" spans="1:12" ht="24.75" x14ac:dyDescent="0.25">
      <c r="A748" s="4" t="s">
        <v>4155</v>
      </c>
      <c r="B748" s="2" t="s">
        <v>1896</v>
      </c>
      <c r="C748" s="3">
        <v>1</v>
      </c>
      <c r="D748" s="5">
        <v>20.99</v>
      </c>
      <c r="E748" s="3" t="s">
        <v>1897</v>
      </c>
      <c r="F748" s="2" t="s">
        <v>15</v>
      </c>
      <c r="G748" s="6" t="s">
        <v>187</v>
      </c>
      <c r="H748" s="2" t="s">
        <v>1425</v>
      </c>
      <c r="I748" s="2" t="s">
        <v>1864</v>
      </c>
      <c r="J748" s="2" t="s">
        <v>19</v>
      </c>
      <c r="K748" s="2" t="s">
        <v>648</v>
      </c>
      <c r="L748" s="7" t="str">
        <f>HYPERLINK("http://slimages.macys.com/is/image/MCY/10787705 ")</f>
        <v xml:space="preserve">http://slimages.macys.com/is/image/MCY/10787705 </v>
      </c>
    </row>
    <row r="749" spans="1:12" ht="24.75" x14ac:dyDescent="0.25">
      <c r="A749" s="4" t="s">
        <v>4156</v>
      </c>
      <c r="B749" s="2" t="s">
        <v>1892</v>
      </c>
      <c r="C749" s="3">
        <v>2</v>
      </c>
      <c r="D749" s="5">
        <v>20.99</v>
      </c>
      <c r="E749" s="3" t="s">
        <v>1893</v>
      </c>
      <c r="F749" s="2" t="s">
        <v>15</v>
      </c>
      <c r="G749" s="6" t="s">
        <v>187</v>
      </c>
      <c r="H749" s="2" t="s">
        <v>1425</v>
      </c>
      <c r="I749" s="2" t="s">
        <v>1864</v>
      </c>
      <c r="J749" s="2" t="s">
        <v>19</v>
      </c>
      <c r="K749" s="2" t="s">
        <v>1894</v>
      </c>
      <c r="L749" s="7" t="str">
        <f>HYPERLINK("http://slimages.macys.com/is/image/MCY/11689288 ")</f>
        <v xml:space="preserve">http://slimages.macys.com/is/image/MCY/11689288 </v>
      </c>
    </row>
    <row r="750" spans="1:12" ht="24.75" x14ac:dyDescent="0.25">
      <c r="A750" s="4" t="s">
        <v>4157</v>
      </c>
      <c r="B750" s="2" t="s">
        <v>1892</v>
      </c>
      <c r="C750" s="3">
        <v>1</v>
      </c>
      <c r="D750" s="5">
        <v>20.99</v>
      </c>
      <c r="E750" s="3" t="s">
        <v>1901</v>
      </c>
      <c r="F750" s="2" t="s">
        <v>252</v>
      </c>
      <c r="G750" s="6" t="s">
        <v>234</v>
      </c>
      <c r="H750" s="2" t="s">
        <v>1473</v>
      </c>
      <c r="I750" s="2" t="s">
        <v>1864</v>
      </c>
      <c r="J750" s="2" t="s">
        <v>19</v>
      </c>
      <c r="K750" s="2" t="s">
        <v>1894</v>
      </c>
      <c r="L750" s="7" t="str">
        <f>HYPERLINK("http://slimages.macys.com/is/image/MCY/11689288 ")</f>
        <v xml:space="preserve">http://slimages.macys.com/is/image/MCY/11689288 </v>
      </c>
    </row>
    <row r="751" spans="1:12" ht="24.75" x14ac:dyDescent="0.25">
      <c r="A751" s="4" t="s">
        <v>3064</v>
      </c>
      <c r="B751" s="2" t="s">
        <v>1896</v>
      </c>
      <c r="C751" s="3">
        <v>1</v>
      </c>
      <c r="D751" s="5">
        <v>20.99</v>
      </c>
      <c r="E751" s="3" t="s">
        <v>1899</v>
      </c>
      <c r="F751" s="2" t="s">
        <v>252</v>
      </c>
      <c r="G751" s="6" t="s">
        <v>156</v>
      </c>
      <c r="H751" s="2" t="s">
        <v>1473</v>
      </c>
      <c r="I751" s="2" t="s">
        <v>1864</v>
      </c>
      <c r="J751" s="2" t="s">
        <v>19</v>
      </c>
      <c r="K751" s="2" t="s">
        <v>1894</v>
      </c>
      <c r="L751" s="7" t="str">
        <f>HYPERLINK("http://slimages.macys.com/is/image/MCY/11689288 ")</f>
        <v xml:space="preserve">http://slimages.macys.com/is/image/MCY/11689288 </v>
      </c>
    </row>
    <row r="752" spans="1:12" ht="24.75" x14ac:dyDescent="0.25">
      <c r="A752" s="4" t="s">
        <v>3052</v>
      </c>
      <c r="B752" s="2" t="s">
        <v>1896</v>
      </c>
      <c r="C752" s="3">
        <v>1</v>
      </c>
      <c r="D752" s="5">
        <v>20.99</v>
      </c>
      <c r="E752" s="3" t="s">
        <v>1899</v>
      </c>
      <c r="F752" s="2" t="s">
        <v>74</v>
      </c>
      <c r="G752" s="6" t="s">
        <v>156</v>
      </c>
      <c r="H752" s="2" t="s">
        <v>1473</v>
      </c>
      <c r="I752" s="2" t="s">
        <v>1864</v>
      </c>
      <c r="J752" s="2" t="s">
        <v>19</v>
      </c>
      <c r="K752" s="2" t="s">
        <v>648</v>
      </c>
      <c r="L752" s="7" t="str">
        <f>HYPERLINK("http://slimages.macys.com/is/image/MCY/10787699 ")</f>
        <v xml:space="preserve">http://slimages.macys.com/is/image/MCY/10787699 </v>
      </c>
    </row>
    <row r="753" spans="1:12" ht="24.75" x14ac:dyDescent="0.25">
      <c r="A753" s="4" t="s">
        <v>3067</v>
      </c>
      <c r="B753" s="2" t="s">
        <v>1896</v>
      </c>
      <c r="C753" s="3">
        <v>1</v>
      </c>
      <c r="D753" s="5">
        <v>20.99</v>
      </c>
      <c r="E753" s="3" t="s">
        <v>1899</v>
      </c>
      <c r="F753" s="2" t="s">
        <v>70</v>
      </c>
      <c r="G753" s="6" t="s">
        <v>234</v>
      </c>
      <c r="H753" s="2" t="s">
        <v>1473</v>
      </c>
      <c r="I753" s="2" t="s">
        <v>1864</v>
      </c>
      <c r="J753" s="2" t="s">
        <v>19</v>
      </c>
      <c r="K753" s="2" t="s">
        <v>1894</v>
      </c>
      <c r="L753" s="7" t="str">
        <f>HYPERLINK("http://slimages.macys.com/is/image/MCY/11689288 ")</f>
        <v xml:space="preserve">http://slimages.macys.com/is/image/MCY/11689288 </v>
      </c>
    </row>
    <row r="754" spans="1:12" ht="24.75" x14ac:dyDescent="0.25">
      <c r="A754" s="4" t="s">
        <v>4158</v>
      </c>
      <c r="B754" s="2" t="s">
        <v>4159</v>
      </c>
      <c r="C754" s="3">
        <v>1</v>
      </c>
      <c r="D754" s="5">
        <v>39.5</v>
      </c>
      <c r="E754" s="3" t="s">
        <v>4160</v>
      </c>
      <c r="F754" s="2" t="s">
        <v>132</v>
      </c>
      <c r="G754" s="6" t="s">
        <v>187</v>
      </c>
      <c r="H754" s="2" t="s">
        <v>206</v>
      </c>
      <c r="I754" s="2" t="s">
        <v>1864</v>
      </c>
      <c r="J754" s="2" t="s">
        <v>19</v>
      </c>
      <c r="K754" s="2" t="s">
        <v>648</v>
      </c>
      <c r="L754" s="7" t="str">
        <f>HYPERLINK("http://slimages.macys.com/is/image/MCY/11689284 ")</f>
        <v xml:space="preserve">http://slimages.macys.com/is/image/MCY/11689284 </v>
      </c>
    </row>
    <row r="755" spans="1:12" ht="24.75" x14ac:dyDescent="0.25">
      <c r="A755" s="4" t="s">
        <v>4161</v>
      </c>
      <c r="B755" s="2" t="s">
        <v>4162</v>
      </c>
      <c r="C755" s="3">
        <v>1</v>
      </c>
      <c r="D755" s="5">
        <v>19.989999999999998</v>
      </c>
      <c r="E755" s="3" t="s">
        <v>4163</v>
      </c>
      <c r="F755" s="2" t="s">
        <v>1322</v>
      </c>
      <c r="G755" s="6" t="s">
        <v>154</v>
      </c>
      <c r="H755" s="2" t="s">
        <v>1473</v>
      </c>
      <c r="I755" s="2" t="s">
        <v>1864</v>
      </c>
      <c r="J755" s="2" t="s">
        <v>19</v>
      </c>
      <c r="K755" s="2" t="s">
        <v>648</v>
      </c>
      <c r="L755" s="7" t="str">
        <f>HYPERLINK("http://slimages.macys.com/is/image/MCY/10787705 ")</f>
        <v xml:space="preserve">http://slimages.macys.com/is/image/MCY/10787705 </v>
      </c>
    </row>
    <row r="756" spans="1:12" ht="24.75" x14ac:dyDescent="0.25">
      <c r="A756" s="4" t="s">
        <v>3094</v>
      </c>
      <c r="B756" s="2" t="s">
        <v>3095</v>
      </c>
      <c r="C756" s="3">
        <v>1</v>
      </c>
      <c r="D756" s="5">
        <v>14.99</v>
      </c>
      <c r="E756" s="3" t="s">
        <v>3096</v>
      </c>
      <c r="F756" s="2" t="s">
        <v>413</v>
      </c>
      <c r="G756" s="6" t="s">
        <v>154</v>
      </c>
      <c r="H756" s="2" t="s">
        <v>1473</v>
      </c>
      <c r="I756" s="2" t="s">
        <v>1864</v>
      </c>
      <c r="J756" s="2" t="s">
        <v>19</v>
      </c>
      <c r="K756" s="2" t="s">
        <v>648</v>
      </c>
      <c r="L756" s="7" t="str">
        <f>HYPERLINK("http://slimages.macys.com/is/image/MCY/10787705 ")</f>
        <v xml:space="preserve">http://slimages.macys.com/is/image/MCY/10787705 </v>
      </c>
    </row>
    <row r="757" spans="1:12" ht="24.75" x14ac:dyDescent="0.25">
      <c r="A757" s="4" t="s">
        <v>4164</v>
      </c>
      <c r="B757" s="2" t="s">
        <v>4162</v>
      </c>
      <c r="C757" s="3">
        <v>4</v>
      </c>
      <c r="D757" s="5">
        <v>19.989999999999998</v>
      </c>
      <c r="E757" s="3" t="s">
        <v>4163</v>
      </c>
      <c r="F757" s="2" t="s">
        <v>413</v>
      </c>
      <c r="G757" s="6" t="s">
        <v>154</v>
      </c>
      <c r="H757" s="2" t="s">
        <v>1473</v>
      </c>
      <c r="I757" s="2" t="s">
        <v>1864</v>
      </c>
      <c r="J757" s="2" t="s">
        <v>19</v>
      </c>
      <c r="K757" s="2" t="s">
        <v>648</v>
      </c>
      <c r="L757" s="7" t="str">
        <f>HYPERLINK("http://slimages.macys.com/is/image/MCY/10787705 ")</f>
        <v xml:space="preserve">http://slimages.macys.com/is/image/MCY/10787705 </v>
      </c>
    </row>
    <row r="758" spans="1:12" ht="24.75" x14ac:dyDescent="0.25">
      <c r="A758" s="4" t="s">
        <v>3091</v>
      </c>
      <c r="B758" s="2" t="s">
        <v>3084</v>
      </c>
      <c r="C758" s="3">
        <v>1</v>
      </c>
      <c r="D758" s="5">
        <v>17.989999999999998</v>
      </c>
      <c r="E758" s="3" t="s">
        <v>3092</v>
      </c>
      <c r="F758" s="2" t="s">
        <v>26</v>
      </c>
      <c r="G758" s="6" t="s">
        <v>154</v>
      </c>
      <c r="H758" s="2" t="s">
        <v>1473</v>
      </c>
      <c r="I758" s="2" t="s">
        <v>207</v>
      </c>
      <c r="J758" s="2" t="s">
        <v>19</v>
      </c>
      <c r="K758" s="2" t="s">
        <v>247</v>
      </c>
      <c r="L758" s="7" t="str">
        <f>HYPERLINK("http://slimages.macys.com/is/image/MCY/9815602 ")</f>
        <v xml:space="preserve">http://slimages.macys.com/is/image/MCY/9815602 </v>
      </c>
    </row>
    <row r="759" spans="1:12" ht="24.75" x14ac:dyDescent="0.25">
      <c r="A759" s="4" t="s">
        <v>4165</v>
      </c>
      <c r="B759" s="2" t="s">
        <v>4166</v>
      </c>
      <c r="C759" s="3">
        <v>1</v>
      </c>
      <c r="D759" s="5">
        <v>17.989999999999998</v>
      </c>
      <c r="E759" s="3" t="s">
        <v>4167</v>
      </c>
      <c r="F759" s="2" t="s">
        <v>74</v>
      </c>
      <c r="G759" s="6" t="s">
        <v>234</v>
      </c>
      <c r="H759" s="2" t="s">
        <v>1473</v>
      </c>
      <c r="I759" s="2" t="s">
        <v>1426</v>
      </c>
      <c r="J759" s="2" t="s">
        <v>19</v>
      </c>
      <c r="K759" s="2" t="s">
        <v>648</v>
      </c>
      <c r="L759" s="7" t="str">
        <f>HYPERLINK("http://slimages.macys.com/is/image/MCY/11417426 ")</f>
        <v xml:space="preserve">http://slimages.macys.com/is/image/MCY/11417426 </v>
      </c>
    </row>
    <row r="760" spans="1:12" ht="24.75" x14ac:dyDescent="0.25">
      <c r="A760" s="4" t="s">
        <v>4168</v>
      </c>
      <c r="B760" s="2" t="s">
        <v>3084</v>
      </c>
      <c r="C760" s="3">
        <v>2</v>
      </c>
      <c r="D760" s="5">
        <v>17.989999999999998</v>
      </c>
      <c r="E760" s="3" t="s">
        <v>3092</v>
      </c>
      <c r="F760" s="2" t="s">
        <v>26</v>
      </c>
      <c r="G760" s="6" t="s">
        <v>234</v>
      </c>
      <c r="H760" s="2" t="s">
        <v>1473</v>
      </c>
      <c r="I760" s="2" t="s">
        <v>1426</v>
      </c>
      <c r="J760" s="2" t="s">
        <v>19</v>
      </c>
      <c r="K760" s="2" t="s">
        <v>495</v>
      </c>
      <c r="L760" s="7" t="str">
        <f>HYPERLINK("http://slimages.macys.com/is/image/MCY/11884637 ")</f>
        <v xml:space="preserve">http://slimages.macys.com/is/image/MCY/11884637 </v>
      </c>
    </row>
    <row r="761" spans="1:12" ht="24.75" x14ac:dyDescent="0.25">
      <c r="A761" s="4" t="s">
        <v>4169</v>
      </c>
      <c r="B761" s="2" t="s">
        <v>4170</v>
      </c>
      <c r="C761" s="3">
        <v>1</v>
      </c>
      <c r="D761" s="5">
        <v>14.99</v>
      </c>
      <c r="E761" s="3" t="s">
        <v>4171</v>
      </c>
      <c r="F761" s="2" t="s">
        <v>64</v>
      </c>
      <c r="G761" s="6" t="s">
        <v>156</v>
      </c>
      <c r="H761" s="2" t="s">
        <v>1473</v>
      </c>
      <c r="I761" s="2" t="s">
        <v>1426</v>
      </c>
      <c r="J761" s="2" t="s">
        <v>19</v>
      </c>
      <c r="K761" s="2" t="s">
        <v>648</v>
      </c>
      <c r="L761" s="7" t="str">
        <f>HYPERLINK("http://slimages.macys.com/is/image/MCY/11417426 ")</f>
        <v xml:space="preserve">http://slimages.macys.com/is/image/MCY/11417426 </v>
      </c>
    </row>
    <row r="762" spans="1:12" ht="36.75" x14ac:dyDescent="0.25">
      <c r="A762" s="4" t="s">
        <v>4172</v>
      </c>
      <c r="B762" s="2" t="s">
        <v>4170</v>
      </c>
      <c r="C762" s="3">
        <v>1</v>
      </c>
      <c r="D762" s="5">
        <v>14.99</v>
      </c>
      <c r="E762" s="3" t="s">
        <v>4171</v>
      </c>
      <c r="F762" s="2" t="s">
        <v>64</v>
      </c>
      <c r="G762" s="6" t="s">
        <v>245</v>
      </c>
      <c r="H762" s="2" t="s">
        <v>1473</v>
      </c>
      <c r="I762" s="2" t="s">
        <v>1426</v>
      </c>
      <c r="J762" s="2" t="s">
        <v>19</v>
      </c>
      <c r="K762" s="2" t="s">
        <v>3093</v>
      </c>
      <c r="L762" s="7" t="str">
        <f>HYPERLINK("http://slimages.macys.com/is/image/MCY/11915483 ")</f>
        <v xml:space="preserve">http://slimages.macys.com/is/image/MCY/11915483 </v>
      </c>
    </row>
    <row r="763" spans="1:12" ht="24.75" x14ac:dyDescent="0.25">
      <c r="A763" s="4" t="s">
        <v>4173</v>
      </c>
      <c r="B763" s="2" t="s">
        <v>3081</v>
      </c>
      <c r="C763" s="3">
        <v>1</v>
      </c>
      <c r="D763" s="5">
        <v>17.989999999999998</v>
      </c>
      <c r="E763" s="3" t="s">
        <v>3082</v>
      </c>
      <c r="F763" s="2" t="s">
        <v>413</v>
      </c>
      <c r="G763" s="6" t="s">
        <v>181</v>
      </c>
      <c r="H763" s="2" t="s">
        <v>1473</v>
      </c>
      <c r="I763" s="2" t="s">
        <v>1426</v>
      </c>
      <c r="J763" s="2" t="s">
        <v>19</v>
      </c>
      <c r="K763" s="2" t="s">
        <v>495</v>
      </c>
      <c r="L763" s="7" t="str">
        <f>HYPERLINK("http://slimages.macys.com/is/image/MCY/12246728 ")</f>
        <v xml:space="preserve">http://slimages.macys.com/is/image/MCY/12246728 </v>
      </c>
    </row>
    <row r="764" spans="1:12" ht="36.75" x14ac:dyDescent="0.25">
      <c r="A764" s="4" t="s">
        <v>4174</v>
      </c>
      <c r="B764" s="2" t="s">
        <v>1921</v>
      </c>
      <c r="C764" s="3">
        <v>1</v>
      </c>
      <c r="D764" s="5">
        <v>14.99</v>
      </c>
      <c r="E764" s="3">
        <v>100043899</v>
      </c>
      <c r="F764" s="2" t="s">
        <v>111</v>
      </c>
      <c r="G764" s="6" t="s">
        <v>181</v>
      </c>
      <c r="H764" s="2" t="s">
        <v>194</v>
      </c>
      <c r="I764" s="2" t="s">
        <v>1426</v>
      </c>
      <c r="J764" s="2" t="s">
        <v>19</v>
      </c>
      <c r="K764" s="2" t="s">
        <v>3093</v>
      </c>
      <c r="L764" s="7" t="str">
        <f>HYPERLINK("http://slimages.macys.com/is/image/MCY/11915483 ")</f>
        <v xml:space="preserve">http://slimages.macys.com/is/image/MCY/11915483 </v>
      </c>
    </row>
    <row r="765" spans="1:12" ht="24.75" x14ac:dyDescent="0.25">
      <c r="A765" s="4" t="s">
        <v>4175</v>
      </c>
      <c r="B765" s="2" t="s">
        <v>1924</v>
      </c>
      <c r="C765" s="3">
        <v>1</v>
      </c>
      <c r="D765" s="5">
        <v>17.989999999999998</v>
      </c>
      <c r="E765" s="3" t="s">
        <v>4176</v>
      </c>
      <c r="F765" s="2" t="s">
        <v>417</v>
      </c>
      <c r="G765" s="6" t="s">
        <v>200</v>
      </c>
      <c r="H765" s="2" t="s">
        <v>1473</v>
      </c>
      <c r="I765" s="2" t="s">
        <v>1426</v>
      </c>
      <c r="J765" s="2" t="s">
        <v>19</v>
      </c>
      <c r="K765" s="2" t="s">
        <v>495</v>
      </c>
      <c r="L765" s="7" t="str">
        <f>HYPERLINK("http://slimages.macys.com/is/image/MCY/11207448 ")</f>
        <v xml:space="preserve">http://slimages.macys.com/is/image/MCY/11207448 </v>
      </c>
    </row>
    <row r="766" spans="1:12" ht="24.75" x14ac:dyDescent="0.25">
      <c r="A766" s="4" t="s">
        <v>1930</v>
      </c>
      <c r="B766" s="2" t="s">
        <v>1927</v>
      </c>
      <c r="C766" s="3">
        <v>1</v>
      </c>
      <c r="D766" s="5">
        <v>17.989999999999998</v>
      </c>
      <c r="E766" s="3" t="s">
        <v>1928</v>
      </c>
      <c r="F766" s="2" t="s">
        <v>15</v>
      </c>
      <c r="G766" s="6" t="s">
        <v>156</v>
      </c>
      <c r="H766" s="2" t="s">
        <v>1473</v>
      </c>
      <c r="I766" s="2" t="s">
        <v>1426</v>
      </c>
      <c r="J766" s="2" t="s">
        <v>19</v>
      </c>
      <c r="K766" s="2" t="s">
        <v>495</v>
      </c>
      <c r="L766" s="7" t="str">
        <f>HYPERLINK("http://slimages.macys.com/is/image/MCY/11207448 ")</f>
        <v xml:space="preserve">http://slimages.macys.com/is/image/MCY/11207448 </v>
      </c>
    </row>
    <row r="767" spans="1:12" ht="24.75" x14ac:dyDescent="0.25">
      <c r="A767" s="4" t="s">
        <v>4177</v>
      </c>
      <c r="B767" s="2" t="s">
        <v>1927</v>
      </c>
      <c r="C767" s="3">
        <v>2</v>
      </c>
      <c r="D767" s="5">
        <v>17.989999999999998</v>
      </c>
      <c r="E767" s="3" t="s">
        <v>3105</v>
      </c>
      <c r="F767" s="2" t="s">
        <v>15</v>
      </c>
      <c r="G767" s="6" t="s">
        <v>219</v>
      </c>
      <c r="H767" s="2" t="s">
        <v>1425</v>
      </c>
      <c r="I767" s="2" t="s">
        <v>1426</v>
      </c>
      <c r="J767" s="2" t="s">
        <v>19</v>
      </c>
      <c r="K767" s="2" t="s">
        <v>990</v>
      </c>
      <c r="L767" s="7" t="str">
        <f>HYPERLINK("http://slimages.macys.com/is/image/MCY/11882211 ")</f>
        <v xml:space="preserve">http://slimages.macys.com/is/image/MCY/11882211 </v>
      </c>
    </row>
    <row r="768" spans="1:12" ht="24.75" x14ac:dyDescent="0.25">
      <c r="A768" s="4" t="s">
        <v>4178</v>
      </c>
      <c r="B768" s="2" t="s">
        <v>1927</v>
      </c>
      <c r="C768" s="3">
        <v>1</v>
      </c>
      <c r="D768" s="5">
        <v>17.989999999999998</v>
      </c>
      <c r="E768" s="3" t="s">
        <v>3105</v>
      </c>
      <c r="F768" s="2" t="s">
        <v>74</v>
      </c>
      <c r="G768" s="6"/>
      <c r="H768" s="2" t="s">
        <v>1425</v>
      </c>
      <c r="I768" s="2" t="s">
        <v>1922</v>
      </c>
      <c r="J768" s="2" t="s">
        <v>19</v>
      </c>
      <c r="K768" s="2" t="s">
        <v>1108</v>
      </c>
      <c r="L768" s="7" t="str">
        <f>HYPERLINK("http://slimages.macys.com/is/image/MCY/11147951 ")</f>
        <v xml:space="preserve">http://slimages.macys.com/is/image/MCY/11147951 </v>
      </c>
    </row>
    <row r="769" spans="1:12" ht="24.75" x14ac:dyDescent="0.25">
      <c r="A769" s="4" t="s">
        <v>4179</v>
      </c>
      <c r="B769" s="2" t="s">
        <v>1927</v>
      </c>
      <c r="C769" s="3">
        <v>1</v>
      </c>
      <c r="D769" s="5">
        <v>17.989999999999998</v>
      </c>
      <c r="E769" s="3" t="s">
        <v>3105</v>
      </c>
      <c r="F769" s="2" t="s">
        <v>15</v>
      </c>
      <c r="G769" s="6"/>
      <c r="H769" s="2" t="s">
        <v>1425</v>
      </c>
      <c r="I769" s="2" t="s">
        <v>1426</v>
      </c>
      <c r="J769" s="2" t="s">
        <v>19</v>
      </c>
      <c r="K769" s="2" t="s">
        <v>648</v>
      </c>
      <c r="L769" s="7" t="str">
        <f>HYPERLINK("http://slimages.macys.com/is/image/MCY/11831262 ")</f>
        <v xml:space="preserve">http://slimages.macys.com/is/image/MCY/11831262 </v>
      </c>
    </row>
    <row r="770" spans="1:12" ht="24.75" x14ac:dyDescent="0.25">
      <c r="A770" s="4" t="s">
        <v>3116</v>
      </c>
      <c r="B770" s="2" t="s">
        <v>1932</v>
      </c>
      <c r="C770" s="3">
        <v>1</v>
      </c>
      <c r="D770" s="5">
        <v>16.989999999999998</v>
      </c>
      <c r="E770" s="3" t="s">
        <v>1933</v>
      </c>
      <c r="F770" s="2" t="s">
        <v>15</v>
      </c>
      <c r="G770" s="6" t="s">
        <v>154</v>
      </c>
      <c r="H770" s="2" t="s">
        <v>1473</v>
      </c>
      <c r="I770" s="2" t="s">
        <v>1426</v>
      </c>
      <c r="J770" s="2" t="s">
        <v>19</v>
      </c>
      <c r="K770" s="2" t="s">
        <v>803</v>
      </c>
      <c r="L770" s="7" t="str">
        <f>HYPERLINK("http://slimages.macys.com/is/image/MCY/11882200 ")</f>
        <v xml:space="preserve">http://slimages.macys.com/is/image/MCY/11882200 </v>
      </c>
    </row>
    <row r="771" spans="1:12" ht="24.75" x14ac:dyDescent="0.25">
      <c r="A771" s="4" t="s">
        <v>1931</v>
      </c>
      <c r="B771" s="2" t="s">
        <v>1932</v>
      </c>
      <c r="C771" s="3">
        <v>1</v>
      </c>
      <c r="D771" s="5">
        <v>16.989999999999998</v>
      </c>
      <c r="E771" s="3" t="s">
        <v>1933</v>
      </c>
      <c r="F771" s="2" t="s">
        <v>15</v>
      </c>
      <c r="G771" s="6" t="s">
        <v>234</v>
      </c>
      <c r="H771" s="2" t="s">
        <v>1473</v>
      </c>
      <c r="I771" s="2" t="s">
        <v>1426</v>
      </c>
      <c r="J771" s="2" t="s">
        <v>19</v>
      </c>
      <c r="K771" s="2" t="s">
        <v>803</v>
      </c>
      <c r="L771" s="7" t="str">
        <f>HYPERLINK("http://slimages.macys.com/is/image/MCY/11882201 ")</f>
        <v xml:space="preserve">http://slimages.macys.com/is/image/MCY/11882201 </v>
      </c>
    </row>
    <row r="772" spans="1:12" ht="24.75" x14ac:dyDescent="0.25">
      <c r="A772" s="4" t="s">
        <v>4180</v>
      </c>
      <c r="B772" s="2" t="s">
        <v>4181</v>
      </c>
      <c r="C772" s="3">
        <v>1</v>
      </c>
      <c r="D772" s="5">
        <v>17.989999999999998</v>
      </c>
      <c r="E772" s="3" t="s">
        <v>4182</v>
      </c>
      <c r="F772" s="2" t="s">
        <v>74</v>
      </c>
      <c r="G772" s="6" t="s">
        <v>245</v>
      </c>
      <c r="H772" s="2" t="s">
        <v>1473</v>
      </c>
      <c r="I772" s="2" t="s">
        <v>1426</v>
      </c>
      <c r="J772" s="2" t="s">
        <v>19</v>
      </c>
      <c r="K772" s="2" t="s">
        <v>803</v>
      </c>
      <c r="L772" s="7" t="str">
        <f>HYPERLINK("http://slimages.macys.com/is/image/MCY/11882201 ")</f>
        <v xml:space="preserve">http://slimages.macys.com/is/image/MCY/11882201 </v>
      </c>
    </row>
    <row r="773" spans="1:12" ht="24.75" x14ac:dyDescent="0.25">
      <c r="A773" s="4" t="s">
        <v>4183</v>
      </c>
      <c r="B773" s="2" t="s">
        <v>1918</v>
      </c>
      <c r="C773" s="3">
        <v>1</v>
      </c>
      <c r="D773" s="5">
        <v>19.989999999999998</v>
      </c>
      <c r="E773" s="3" t="s">
        <v>3087</v>
      </c>
      <c r="F773" s="2" t="s">
        <v>132</v>
      </c>
      <c r="G773" s="6" t="s">
        <v>181</v>
      </c>
      <c r="H773" s="2" t="s">
        <v>246</v>
      </c>
      <c r="I773" s="2" t="s">
        <v>1426</v>
      </c>
      <c r="J773" s="2" t="s">
        <v>19</v>
      </c>
      <c r="K773" s="2" t="s">
        <v>803</v>
      </c>
      <c r="L773" s="7" t="str">
        <f>HYPERLINK("http://slimages.macys.com/is/image/MCY/11882201 ")</f>
        <v xml:space="preserve">http://slimages.macys.com/is/image/MCY/11882201 </v>
      </c>
    </row>
    <row r="774" spans="1:12" ht="24.75" x14ac:dyDescent="0.25">
      <c r="A774" s="4" t="s">
        <v>1941</v>
      </c>
      <c r="B774" s="2" t="s">
        <v>1942</v>
      </c>
      <c r="C774" s="3">
        <v>1</v>
      </c>
      <c r="D774" s="5">
        <v>17.989999999999998</v>
      </c>
      <c r="E774" s="3" t="s">
        <v>1943</v>
      </c>
      <c r="F774" s="2" t="s">
        <v>26</v>
      </c>
      <c r="G774" s="6" t="s">
        <v>245</v>
      </c>
      <c r="H774" s="2" t="s">
        <v>1522</v>
      </c>
      <c r="I774" s="2" t="s">
        <v>1864</v>
      </c>
      <c r="J774" s="2" t="s">
        <v>19</v>
      </c>
      <c r="K774" s="2" t="s">
        <v>648</v>
      </c>
      <c r="L774" s="7" t="str">
        <f>HYPERLINK("http://slimages.macys.com/is/image/MCY/11634794 ")</f>
        <v xml:space="preserve">http://slimages.macys.com/is/image/MCY/11634794 </v>
      </c>
    </row>
    <row r="775" spans="1:12" ht="24.75" x14ac:dyDescent="0.25">
      <c r="A775" s="4" t="s">
        <v>4184</v>
      </c>
      <c r="B775" s="2" t="s">
        <v>1942</v>
      </c>
      <c r="C775" s="3">
        <v>1</v>
      </c>
      <c r="D775" s="5">
        <v>17.989999999999998</v>
      </c>
      <c r="E775" s="3" t="s">
        <v>1943</v>
      </c>
      <c r="F775" s="2" t="s">
        <v>38</v>
      </c>
      <c r="G775" s="6" t="s">
        <v>200</v>
      </c>
      <c r="H775" s="2" t="s">
        <v>1522</v>
      </c>
      <c r="I775" s="2" t="s">
        <v>1864</v>
      </c>
      <c r="J775" s="2" t="s">
        <v>19</v>
      </c>
      <c r="K775" s="2" t="s">
        <v>648</v>
      </c>
      <c r="L775" s="7" t="str">
        <f>HYPERLINK("http://slimages.macys.com/is/image/MCY/11634794 ")</f>
        <v xml:space="preserve">http://slimages.macys.com/is/image/MCY/11634794 </v>
      </c>
    </row>
    <row r="776" spans="1:12" ht="24.75" x14ac:dyDescent="0.25">
      <c r="A776" s="4" t="s">
        <v>4185</v>
      </c>
      <c r="B776" s="2" t="s">
        <v>1942</v>
      </c>
      <c r="C776" s="3">
        <v>1</v>
      </c>
      <c r="D776" s="5">
        <v>17.989999999999998</v>
      </c>
      <c r="E776" s="3" t="s">
        <v>1943</v>
      </c>
      <c r="F776" s="2" t="s">
        <v>15</v>
      </c>
      <c r="G776" s="6" t="s">
        <v>245</v>
      </c>
      <c r="H776" s="2" t="s">
        <v>1522</v>
      </c>
      <c r="I776" s="2" t="s">
        <v>1426</v>
      </c>
      <c r="J776" s="2" t="s">
        <v>19</v>
      </c>
      <c r="K776" s="2" t="s">
        <v>990</v>
      </c>
      <c r="L776" s="7" t="str">
        <f>HYPERLINK("http://slimages.macys.com/is/image/MCY/12327134 ")</f>
        <v xml:space="preserve">http://slimages.macys.com/is/image/MCY/12327134 </v>
      </c>
    </row>
    <row r="777" spans="1:12" ht="24.75" x14ac:dyDescent="0.25">
      <c r="A777" s="4" t="s">
        <v>4186</v>
      </c>
      <c r="B777" s="2" t="s">
        <v>1942</v>
      </c>
      <c r="C777" s="3">
        <v>1</v>
      </c>
      <c r="D777" s="5">
        <v>17.989999999999998</v>
      </c>
      <c r="E777" s="3" t="s">
        <v>1943</v>
      </c>
      <c r="F777" s="2" t="s">
        <v>38</v>
      </c>
      <c r="G777" s="6" t="s">
        <v>181</v>
      </c>
      <c r="H777" s="2" t="s">
        <v>1522</v>
      </c>
      <c r="I777" s="2" t="s">
        <v>189</v>
      </c>
      <c r="J777" s="2" t="s">
        <v>19</v>
      </c>
      <c r="K777" s="2" t="s">
        <v>648</v>
      </c>
      <c r="L777" s="7" t="str">
        <f>HYPERLINK("http://slimages.macys.com/is/image/MCY/8123674 ")</f>
        <v xml:space="preserve">http://slimages.macys.com/is/image/MCY/8123674 </v>
      </c>
    </row>
    <row r="778" spans="1:12" ht="24.75" x14ac:dyDescent="0.25">
      <c r="A778" s="4" t="s">
        <v>4187</v>
      </c>
      <c r="B778" s="2" t="s">
        <v>4188</v>
      </c>
      <c r="C778" s="3">
        <v>1</v>
      </c>
      <c r="D778" s="5">
        <v>17.989999999999998</v>
      </c>
      <c r="E778" s="3" t="s">
        <v>4189</v>
      </c>
      <c r="F778" s="2" t="s">
        <v>64</v>
      </c>
      <c r="G778" s="6" t="s">
        <v>181</v>
      </c>
      <c r="H778" s="2" t="s">
        <v>1473</v>
      </c>
      <c r="I778" s="2" t="s">
        <v>1469</v>
      </c>
      <c r="J778" s="2" t="s">
        <v>19</v>
      </c>
      <c r="K778" s="2" t="s">
        <v>353</v>
      </c>
      <c r="L778" s="7" t="str">
        <f>HYPERLINK("http://slimages.macys.com/is/image/MCY/10743541 ")</f>
        <v xml:space="preserve">http://slimages.macys.com/is/image/MCY/10743541 </v>
      </c>
    </row>
    <row r="779" spans="1:12" ht="24.75" x14ac:dyDescent="0.25">
      <c r="A779" s="4" t="s">
        <v>4190</v>
      </c>
      <c r="B779" s="2" t="s">
        <v>3125</v>
      </c>
      <c r="C779" s="3">
        <v>1</v>
      </c>
      <c r="D779" s="5">
        <v>14.99</v>
      </c>
      <c r="E779" s="3" t="s">
        <v>3126</v>
      </c>
      <c r="F779" s="2" t="s">
        <v>331</v>
      </c>
      <c r="G779" s="6" t="s">
        <v>154</v>
      </c>
      <c r="H779" s="2" t="s">
        <v>1522</v>
      </c>
      <c r="I779" s="2" t="s">
        <v>1469</v>
      </c>
      <c r="J779" s="2" t="s">
        <v>19</v>
      </c>
      <c r="K779" s="2" t="s">
        <v>353</v>
      </c>
      <c r="L779" s="7" t="str">
        <f>HYPERLINK("http://slimages.macys.com/is/image/MCY/10743541 ")</f>
        <v xml:space="preserve">http://slimages.macys.com/is/image/MCY/10743541 </v>
      </c>
    </row>
    <row r="780" spans="1:12" ht="24.75" x14ac:dyDescent="0.25">
      <c r="A780" s="4" t="s">
        <v>4191</v>
      </c>
      <c r="B780" s="2" t="s">
        <v>3122</v>
      </c>
      <c r="C780" s="3">
        <v>1</v>
      </c>
      <c r="D780" s="5">
        <v>14.99</v>
      </c>
      <c r="E780" s="3" t="s">
        <v>3123</v>
      </c>
      <c r="F780" s="2" t="s">
        <v>79</v>
      </c>
      <c r="G780" s="6" t="s">
        <v>245</v>
      </c>
      <c r="H780" s="2" t="s">
        <v>1522</v>
      </c>
      <c r="I780" s="2" t="s">
        <v>1469</v>
      </c>
      <c r="J780" s="2" t="s">
        <v>19</v>
      </c>
      <c r="K780" s="2" t="s">
        <v>353</v>
      </c>
      <c r="L780" s="7" t="str">
        <f>HYPERLINK("http://slimages.macys.com/is/image/MCY/10743541 ")</f>
        <v xml:space="preserve">http://slimages.macys.com/is/image/MCY/10743541 </v>
      </c>
    </row>
    <row r="781" spans="1:12" ht="24.75" x14ac:dyDescent="0.25">
      <c r="A781" s="4" t="s">
        <v>4192</v>
      </c>
      <c r="B781" s="2" t="s">
        <v>3122</v>
      </c>
      <c r="C781" s="3">
        <v>1</v>
      </c>
      <c r="D781" s="5">
        <v>14.99</v>
      </c>
      <c r="E781" s="3" t="s">
        <v>3123</v>
      </c>
      <c r="F781" s="2" t="s">
        <v>79</v>
      </c>
      <c r="G781" s="6" t="s">
        <v>154</v>
      </c>
      <c r="H781" s="2" t="s">
        <v>1522</v>
      </c>
      <c r="I781" s="2" t="s">
        <v>1469</v>
      </c>
      <c r="J781" s="2" t="s">
        <v>19</v>
      </c>
      <c r="K781" s="2" t="s">
        <v>353</v>
      </c>
      <c r="L781" s="7" t="str">
        <f>HYPERLINK("http://slimages.macys.com/is/image/MCY/10743541 ")</f>
        <v xml:space="preserve">http://slimages.macys.com/is/image/MCY/10743541 </v>
      </c>
    </row>
    <row r="782" spans="1:12" ht="24.75" x14ac:dyDescent="0.25">
      <c r="A782" s="4" t="s">
        <v>4193</v>
      </c>
      <c r="B782" s="2" t="s">
        <v>3122</v>
      </c>
      <c r="C782" s="3">
        <v>1</v>
      </c>
      <c r="D782" s="5">
        <v>14.99</v>
      </c>
      <c r="E782" s="3" t="s">
        <v>3123</v>
      </c>
      <c r="F782" s="2" t="s">
        <v>79</v>
      </c>
      <c r="G782" s="6" t="s">
        <v>234</v>
      </c>
      <c r="H782" s="2" t="s">
        <v>1522</v>
      </c>
      <c r="I782" s="2" t="s">
        <v>1426</v>
      </c>
      <c r="J782" s="2" t="s">
        <v>19</v>
      </c>
      <c r="K782" s="2" t="s">
        <v>990</v>
      </c>
      <c r="L782" s="7" t="str">
        <f>HYPERLINK("http://slimages.macys.com/is/image/MCY/12877743 ")</f>
        <v xml:space="preserve">http://slimages.macys.com/is/image/MCY/12877743 </v>
      </c>
    </row>
    <row r="783" spans="1:12" ht="24.75" x14ac:dyDescent="0.25">
      <c r="A783" s="4" t="s">
        <v>4194</v>
      </c>
      <c r="B783" s="2" t="s">
        <v>3122</v>
      </c>
      <c r="C783" s="3">
        <v>1</v>
      </c>
      <c r="D783" s="5">
        <v>14.99</v>
      </c>
      <c r="E783" s="3" t="s">
        <v>3123</v>
      </c>
      <c r="F783" s="2" t="s">
        <v>79</v>
      </c>
      <c r="G783" s="6" t="s">
        <v>181</v>
      </c>
      <c r="H783" s="2" t="s">
        <v>1522</v>
      </c>
      <c r="I783" s="2" t="s">
        <v>1469</v>
      </c>
      <c r="J783" s="2" t="s">
        <v>19</v>
      </c>
      <c r="K783" s="2" t="s">
        <v>495</v>
      </c>
      <c r="L783" s="7" t="str">
        <f>HYPERLINK("http://slimages.macys.com/is/image/MCY/11028879 ")</f>
        <v xml:space="preserve">http://slimages.macys.com/is/image/MCY/11028879 </v>
      </c>
    </row>
    <row r="784" spans="1:12" ht="24.75" x14ac:dyDescent="0.25">
      <c r="A784" s="4" t="s">
        <v>4195</v>
      </c>
      <c r="B784" s="2" t="s">
        <v>3140</v>
      </c>
      <c r="C784" s="3">
        <v>1</v>
      </c>
      <c r="D784" s="5">
        <v>14.99</v>
      </c>
      <c r="E784" s="3" t="s">
        <v>3141</v>
      </c>
      <c r="F784" s="2" t="s">
        <v>15</v>
      </c>
      <c r="G784" s="6" t="s">
        <v>245</v>
      </c>
      <c r="H784" s="2" t="s">
        <v>1473</v>
      </c>
      <c r="I784" s="2" t="s">
        <v>1469</v>
      </c>
      <c r="J784" s="2" t="s">
        <v>19</v>
      </c>
      <c r="K784" s="2" t="s">
        <v>495</v>
      </c>
      <c r="L784" s="7" t="str">
        <f>HYPERLINK("http://slimages.macys.com/is/image/MCY/9957413 ")</f>
        <v xml:space="preserve">http://slimages.macys.com/is/image/MCY/9957413 </v>
      </c>
    </row>
    <row r="785" spans="1:12" ht="24.75" x14ac:dyDescent="0.25">
      <c r="A785" s="4" t="s">
        <v>4196</v>
      </c>
      <c r="B785" s="2" t="s">
        <v>4197</v>
      </c>
      <c r="C785" s="3">
        <v>1</v>
      </c>
      <c r="D785" s="5">
        <v>14.99</v>
      </c>
      <c r="E785" s="3" t="s">
        <v>4198</v>
      </c>
      <c r="F785" s="2" t="s">
        <v>331</v>
      </c>
      <c r="G785" s="6" t="s">
        <v>234</v>
      </c>
      <c r="H785" s="2" t="s">
        <v>1473</v>
      </c>
      <c r="I785" s="2" t="s">
        <v>1469</v>
      </c>
      <c r="J785" s="2" t="s">
        <v>19</v>
      </c>
      <c r="K785" s="2" t="s">
        <v>495</v>
      </c>
      <c r="L785" s="7" t="str">
        <f>HYPERLINK("http://slimages.macys.com/is/image/MCY/9957413 ")</f>
        <v xml:space="preserve">http://slimages.macys.com/is/image/MCY/9957413 </v>
      </c>
    </row>
    <row r="786" spans="1:12" ht="24.75" x14ac:dyDescent="0.25">
      <c r="A786" s="4" t="s">
        <v>4199</v>
      </c>
      <c r="B786" s="2" t="s">
        <v>4200</v>
      </c>
      <c r="C786" s="3">
        <v>1</v>
      </c>
      <c r="D786" s="5">
        <v>14.99</v>
      </c>
      <c r="E786" s="3" t="s">
        <v>4201</v>
      </c>
      <c r="F786" s="2" t="s">
        <v>33</v>
      </c>
      <c r="G786" s="6" t="s">
        <v>156</v>
      </c>
      <c r="H786" s="2" t="s">
        <v>1473</v>
      </c>
      <c r="I786" s="2" t="s">
        <v>1469</v>
      </c>
      <c r="J786" s="2" t="s">
        <v>19</v>
      </c>
      <c r="K786" s="2" t="s">
        <v>495</v>
      </c>
      <c r="L786" s="7" t="str">
        <f>HYPERLINK("http://slimages.macys.com/is/image/MCY/9957413 ")</f>
        <v xml:space="preserve">http://slimages.macys.com/is/image/MCY/9957413 </v>
      </c>
    </row>
    <row r="787" spans="1:12" ht="24.75" x14ac:dyDescent="0.25">
      <c r="A787" s="4" t="s">
        <v>4202</v>
      </c>
      <c r="B787" s="2" t="s">
        <v>4200</v>
      </c>
      <c r="C787" s="3">
        <v>1</v>
      </c>
      <c r="D787" s="5">
        <v>14.99</v>
      </c>
      <c r="E787" s="3" t="s">
        <v>4201</v>
      </c>
      <c r="F787" s="2" t="s">
        <v>33</v>
      </c>
      <c r="G787" s="6" t="s">
        <v>154</v>
      </c>
      <c r="H787" s="2" t="s">
        <v>1473</v>
      </c>
      <c r="I787" s="2" t="s">
        <v>1469</v>
      </c>
      <c r="J787" s="2" t="s">
        <v>19</v>
      </c>
      <c r="K787" s="2" t="s">
        <v>495</v>
      </c>
      <c r="L787" s="7" t="str">
        <f>HYPERLINK("http://slimages.macys.com/is/image/MCY/9957413 ")</f>
        <v xml:space="preserve">http://slimages.macys.com/is/image/MCY/9957413 </v>
      </c>
    </row>
    <row r="788" spans="1:12" ht="24.75" x14ac:dyDescent="0.25">
      <c r="A788" s="4" t="s">
        <v>3142</v>
      </c>
      <c r="B788" s="2" t="s">
        <v>3143</v>
      </c>
      <c r="C788" s="3">
        <v>1</v>
      </c>
      <c r="D788" s="5">
        <v>14.99</v>
      </c>
      <c r="E788" s="3" t="s">
        <v>3144</v>
      </c>
      <c r="F788" s="2" t="s">
        <v>413</v>
      </c>
      <c r="G788" s="6" t="s">
        <v>156</v>
      </c>
      <c r="H788" s="2" t="s">
        <v>1473</v>
      </c>
      <c r="I788" s="2" t="s">
        <v>1426</v>
      </c>
      <c r="J788" s="2" t="s">
        <v>19</v>
      </c>
      <c r="K788" s="2" t="s">
        <v>495</v>
      </c>
      <c r="L788" s="7" t="str">
        <f>HYPERLINK("http://slimages.macys.com/is/image/MCY/11774199 ")</f>
        <v xml:space="preserve">http://slimages.macys.com/is/image/MCY/11774199 </v>
      </c>
    </row>
    <row r="789" spans="1:12" ht="24.75" x14ac:dyDescent="0.25">
      <c r="A789" s="4" t="s">
        <v>3150</v>
      </c>
      <c r="B789" s="2" t="s">
        <v>3140</v>
      </c>
      <c r="C789" s="3">
        <v>2</v>
      </c>
      <c r="D789" s="5">
        <v>14.99</v>
      </c>
      <c r="E789" s="3" t="s">
        <v>3141</v>
      </c>
      <c r="F789" s="2" t="s">
        <v>15</v>
      </c>
      <c r="G789" s="6" t="s">
        <v>156</v>
      </c>
      <c r="H789" s="2" t="s">
        <v>1473</v>
      </c>
      <c r="I789" s="2" t="s">
        <v>1426</v>
      </c>
      <c r="J789" s="2" t="s">
        <v>19</v>
      </c>
      <c r="K789" s="2" t="s">
        <v>495</v>
      </c>
      <c r="L789" s="7" t="str">
        <f>HYPERLINK("http://slimages.macys.com/is/image/MCY/12936603 ")</f>
        <v xml:space="preserve">http://slimages.macys.com/is/image/MCY/12936603 </v>
      </c>
    </row>
    <row r="790" spans="1:12" ht="24.75" x14ac:dyDescent="0.25">
      <c r="A790" s="4" t="s">
        <v>4203</v>
      </c>
      <c r="B790" s="2" t="s">
        <v>3140</v>
      </c>
      <c r="C790" s="3">
        <v>1</v>
      </c>
      <c r="D790" s="5">
        <v>14.99</v>
      </c>
      <c r="E790" s="3" t="s">
        <v>4204</v>
      </c>
      <c r="F790" s="2" t="s">
        <v>15</v>
      </c>
      <c r="G790" s="6"/>
      <c r="H790" s="2" t="s">
        <v>1425</v>
      </c>
      <c r="I790" s="2" t="s">
        <v>1426</v>
      </c>
      <c r="J790" s="2" t="s">
        <v>19</v>
      </c>
      <c r="K790" s="2" t="s">
        <v>495</v>
      </c>
      <c r="L790" s="7" t="str">
        <f>HYPERLINK("http://slimages.macys.com/is/image/MCY/11207459 ")</f>
        <v xml:space="preserve">http://slimages.macys.com/is/image/MCY/11207459 </v>
      </c>
    </row>
    <row r="791" spans="1:12" ht="24.75" x14ac:dyDescent="0.25">
      <c r="A791" s="4" t="s">
        <v>3127</v>
      </c>
      <c r="B791" s="2" t="s">
        <v>3128</v>
      </c>
      <c r="C791" s="3">
        <v>1</v>
      </c>
      <c r="D791" s="5">
        <v>14.99</v>
      </c>
      <c r="E791" s="3" t="s">
        <v>3129</v>
      </c>
      <c r="F791" s="2" t="s">
        <v>26</v>
      </c>
      <c r="G791" s="6"/>
      <c r="H791" s="2" t="s">
        <v>1425</v>
      </c>
      <c r="I791" s="2" t="s">
        <v>1426</v>
      </c>
      <c r="J791" s="2" t="s">
        <v>19</v>
      </c>
      <c r="K791" s="2" t="s">
        <v>495</v>
      </c>
      <c r="L791" s="7" t="str">
        <f>HYPERLINK("http://slimages.macys.com/is/image/MCY/11207459 ")</f>
        <v xml:space="preserve">http://slimages.macys.com/is/image/MCY/11207459 </v>
      </c>
    </row>
    <row r="792" spans="1:12" ht="24.75" x14ac:dyDescent="0.25">
      <c r="A792" s="4" t="s">
        <v>4205</v>
      </c>
      <c r="B792" s="2" t="s">
        <v>3143</v>
      </c>
      <c r="C792" s="3">
        <v>1</v>
      </c>
      <c r="D792" s="5">
        <v>14.99</v>
      </c>
      <c r="E792" s="3" t="s">
        <v>3144</v>
      </c>
      <c r="F792" s="2" t="s">
        <v>413</v>
      </c>
      <c r="G792" s="6" t="s">
        <v>181</v>
      </c>
      <c r="H792" s="2" t="s">
        <v>1473</v>
      </c>
      <c r="I792" s="2" t="s">
        <v>1426</v>
      </c>
      <c r="J792" s="2" t="s">
        <v>19</v>
      </c>
      <c r="K792" s="2" t="s">
        <v>495</v>
      </c>
      <c r="L792" s="7" t="str">
        <f>HYPERLINK("http://slimages.macys.com/is/image/MCY/12063984 ")</f>
        <v xml:space="preserve">http://slimages.macys.com/is/image/MCY/12063984 </v>
      </c>
    </row>
    <row r="793" spans="1:12" ht="24.75" x14ac:dyDescent="0.25">
      <c r="A793" s="4" t="s">
        <v>3139</v>
      </c>
      <c r="B793" s="2" t="s">
        <v>3140</v>
      </c>
      <c r="C793" s="3">
        <v>2</v>
      </c>
      <c r="D793" s="5">
        <v>14.99</v>
      </c>
      <c r="E793" s="3" t="s">
        <v>3141</v>
      </c>
      <c r="F793" s="2" t="s">
        <v>15</v>
      </c>
      <c r="G793" s="6" t="s">
        <v>234</v>
      </c>
      <c r="H793" s="2" t="s">
        <v>1473</v>
      </c>
      <c r="I793" s="2" t="s">
        <v>1426</v>
      </c>
      <c r="J793" s="2" t="s">
        <v>19</v>
      </c>
      <c r="K793" s="2" t="s">
        <v>495</v>
      </c>
      <c r="L793" s="7" t="str">
        <f>HYPERLINK("http://slimages.macys.com/is/image/MCY/11774199 ")</f>
        <v xml:space="preserve">http://slimages.macys.com/is/image/MCY/11774199 </v>
      </c>
    </row>
    <row r="794" spans="1:12" ht="24.75" x14ac:dyDescent="0.25">
      <c r="A794" s="4" t="s">
        <v>4206</v>
      </c>
      <c r="B794" s="2" t="s">
        <v>3140</v>
      </c>
      <c r="C794" s="3">
        <v>1</v>
      </c>
      <c r="D794" s="5">
        <v>14.99</v>
      </c>
      <c r="E794" s="3" t="s">
        <v>4204</v>
      </c>
      <c r="F794" s="2" t="s">
        <v>15</v>
      </c>
      <c r="G794" s="6" t="s">
        <v>187</v>
      </c>
      <c r="H794" s="2" t="s">
        <v>1425</v>
      </c>
      <c r="I794" s="2" t="s">
        <v>1426</v>
      </c>
      <c r="J794" s="2" t="s">
        <v>19</v>
      </c>
      <c r="K794" s="2" t="s">
        <v>495</v>
      </c>
      <c r="L794" s="7" t="str">
        <f>HYPERLINK("http://slimages.macys.com/is/image/MCY/11774199 ")</f>
        <v xml:space="preserve">http://slimages.macys.com/is/image/MCY/11774199 </v>
      </c>
    </row>
    <row r="795" spans="1:12" ht="24.75" x14ac:dyDescent="0.25">
      <c r="A795" s="4" t="s">
        <v>4207</v>
      </c>
      <c r="B795" s="2" t="s">
        <v>1954</v>
      </c>
      <c r="C795" s="3">
        <v>1</v>
      </c>
      <c r="D795" s="5">
        <v>18.38</v>
      </c>
      <c r="E795" s="3" t="s">
        <v>1957</v>
      </c>
      <c r="F795" s="2" t="s">
        <v>15</v>
      </c>
      <c r="G795" s="6" t="s">
        <v>245</v>
      </c>
      <c r="H795" s="2" t="s">
        <v>194</v>
      </c>
      <c r="I795" s="2" t="s">
        <v>1426</v>
      </c>
      <c r="J795" s="2" t="s">
        <v>19</v>
      </c>
      <c r="K795" s="2" t="s">
        <v>495</v>
      </c>
      <c r="L795" s="7" t="str">
        <f>HYPERLINK("http://slimages.macys.com/is/image/MCY/12064003 ")</f>
        <v xml:space="preserve">http://slimages.macys.com/is/image/MCY/12064003 </v>
      </c>
    </row>
    <row r="796" spans="1:12" ht="24.75" x14ac:dyDescent="0.25">
      <c r="A796" s="4" t="s">
        <v>4208</v>
      </c>
      <c r="B796" s="2" t="s">
        <v>1954</v>
      </c>
      <c r="C796" s="3">
        <v>1</v>
      </c>
      <c r="D796" s="5">
        <v>18.38</v>
      </c>
      <c r="E796" s="3" t="s">
        <v>1955</v>
      </c>
      <c r="F796" s="2" t="s">
        <v>74</v>
      </c>
      <c r="G796" s="6" t="s">
        <v>156</v>
      </c>
      <c r="H796" s="2" t="s">
        <v>194</v>
      </c>
      <c r="I796" s="2" t="s">
        <v>1426</v>
      </c>
      <c r="J796" s="2" t="s">
        <v>19</v>
      </c>
      <c r="K796" s="2" t="s">
        <v>495</v>
      </c>
      <c r="L796" s="7" t="str">
        <f>HYPERLINK("http://slimages.macys.com/is/image/MCY/12063984 ")</f>
        <v xml:space="preserve">http://slimages.macys.com/is/image/MCY/12063984 </v>
      </c>
    </row>
    <row r="797" spans="1:12" ht="24.75" x14ac:dyDescent="0.25">
      <c r="A797" s="4" t="s">
        <v>4209</v>
      </c>
      <c r="B797" s="2" t="s">
        <v>1954</v>
      </c>
      <c r="C797" s="3">
        <v>1</v>
      </c>
      <c r="D797" s="5">
        <v>18.38</v>
      </c>
      <c r="E797" s="3" t="s">
        <v>1955</v>
      </c>
      <c r="F797" s="2" t="s">
        <v>74</v>
      </c>
      <c r="G797" s="6" t="s">
        <v>245</v>
      </c>
      <c r="H797" s="2" t="s">
        <v>194</v>
      </c>
      <c r="I797" s="2" t="s">
        <v>1426</v>
      </c>
      <c r="J797" s="2" t="s">
        <v>19</v>
      </c>
      <c r="K797" s="2" t="s">
        <v>495</v>
      </c>
      <c r="L797" s="7" t="str">
        <f>HYPERLINK("http://slimages.macys.com/is/image/MCY/11774199 ")</f>
        <v xml:space="preserve">http://slimages.macys.com/is/image/MCY/11774199 </v>
      </c>
    </row>
    <row r="798" spans="1:12" ht="24.75" x14ac:dyDescent="0.25">
      <c r="A798" s="4" t="s">
        <v>4210</v>
      </c>
      <c r="B798" s="2" t="s">
        <v>1954</v>
      </c>
      <c r="C798" s="3">
        <v>1</v>
      </c>
      <c r="D798" s="5">
        <v>18.38</v>
      </c>
      <c r="E798" s="3" t="s">
        <v>3173</v>
      </c>
      <c r="F798" s="2" t="s">
        <v>26</v>
      </c>
      <c r="G798" s="6" t="s">
        <v>245</v>
      </c>
      <c r="H798" s="2" t="s">
        <v>194</v>
      </c>
      <c r="I798" s="2" t="s">
        <v>1426</v>
      </c>
      <c r="J798" s="2" t="s">
        <v>19</v>
      </c>
      <c r="K798" s="2" t="s">
        <v>495</v>
      </c>
      <c r="L798" s="7" t="str">
        <f>HYPERLINK("http://slimages.macys.com/is/image/MCY/11774199 ")</f>
        <v xml:space="preserve">http://slimages.macys.com/is/image/MCY/11774199 </v>
      </c>
    </row>
    <row r="799" spans="1:12" ht="24.75" x14ac:dyDescent="0.25">
      <c r="A799" s="4" t="s">
        <v>4211</v>
      </c>
      <c r="B799" s="2" t="s">
        <v>1954</v>
      </c>
      <c r="C799" s="3">
        <v>1</v>
      </c>
      <c r="D799" s="5">
        <v>18.38</v>
      </c>
      <c r="E799" s="3" t="s">
        <v>1955</v>
      </c>
      <c r="F799" s="2" t="s">
        <v>676</v>
      </c>
      <c r="G799" s="6" t="s">
        <v>234</v>
      </c>
      <c r="H799" s="2" t="s">
        <v>194</v>
      </c>
      <c r="I799" s="2" t="s">
        <v>195</v>
      </c>
      <c r="J799" s="2" t="s">
        <v>19</v>
      </c>
      <c r="K799" s="2" t="s">
        <v>1108</v>
      </c>
      <c r="L799" s="7" t="str">
        <f>HYPERLINK("http://slimages.macys.com/is/image/MCY/13120664 ")</f>
        <v xml:space="preserve">http://slimages.macys.com/is/image/MCY/13120664 </v>
      </c>
    </row>
    <row r="800" spans="1:12" ht="24.75" x14ac:dyDescent="0.25">
      <c r="A800" s="4" t="s">
        <v>4212</v>
      </c>
      <c r="B800" s="2" t="s">
        <v>1964</v>
      </c>
      <c r="C800" s="3">
        <v>1</v>
      </c>
      <c r="D800" s="5">
        <v>19.989999999999998</v>
      </c>
      <c r="E800" s="3" t="s">
        <v>1965</v>
      </c>
      <c r="F800" s="2" t="s">
        <v>70</v>
      </c>
      <c r="G800" s="6"/>
      <c r="H800" s="2" t="s">
        <v>632</v>
      </c>
      <c r="I800" s="2" t="s">
        <v>195</v>
      </c>
      <c r="J800" s="2" t="s">
        <v>19</v>
      </c>
      <c r="K800" s="2" t="s">
        <v>1108</v>
      </c>
      <c r="L800" s="7" t="str">
        <f>HYPERLINK("http://slimages.macys.com/is/image/MCY/13036276 ")</f>
        <v xml:space="preserve">http://slimages.macys.com/is/image/MCY/13036276 </v>
      </c>
    </row>
    <row r="801" spans="1:12" ht="24.75" x14ac:dyDescent="0.25">
      <c r="A801" s="4" t="s">
        <v>4213</v>
      </c>
      <c r="B801" s="2" t="s">
        <v>3026</v>
      </c>
      <c r="C801" s="3">
        <v>1</v>
      </c>
      <c r="D801" s="5">
        <v>21.99</v>
      </c>
      <c r="E801" s="3" t="s">
        <v>4214</v>
      </c>
      <c r="F801" s="2" t="s">
        <v>376</v>
      </c>
      <c r="G801" s="6" t="s">
        <v>234</v>
      </c>
      <c r="H801" s="2" t="s">
        <v>284</v>
      </c>
      <c r="I801" s="2" t="s">
        <v>195</v>
      </c>
      <c r="J801" s="2" t="s">
        <v>19</v>
      </c>
      <c r="K801" s="2" t="s">
        <v>1108</v>
      </c>
      <c r="L801" s="7" t="str">
        <f>HYPERLINK("http://slimages.macys.com/is/image/MCY/13036276 ")</f>
        <v xml:space="preserve">http://slimages.macys.com/is/image/MCY/13036276 </v>
      </c>
    </row>
    <row r="802" spans="1:12" ht="24.75" x14ac:dyDescent="0.25">
      <c r="A802" s="4" t="s">
        <v>4215</v>
      </c>
      <c r="B802" s="2" t="s">
        <v>3026</v>
      </c>
      <c r="C802" s="3">
        <v>1</v>
      </c>
      <c r="D802" s="5">
        <v>21.99</v>
      </c>
      <c r="E802" s="3" t="s">
        <v>4216</v>
      </c>
      <c r="F802" s="2" t="s">
        <v>413</v>
      </c>
      <c r="G802" s="6" t="s">
        <v>154</v>
      </c>
      <c r="H802" s="2" t="s">
        <v>284</v>
      </c>
      <c r="I802" s="2" t="s">
        <v>195</v>
      </c>
      <c r="J802" s="2" t="s">
        <v>19</v>
      </c>
      <c r="K802" s="2" t="s">
        <v>1108</v>
      </c>
      <c r="L802" s="7" t="str">
        <f>HYPERLINK("http://slimages.macys.com/is/image/MCY/13036261 ")</f>
        <v xml:space="preserve">http://slimages.macys.com/is/image/MCY/13036261 </v>
      </c>
    </row>
    <row r="803" spans="1:12" ht="24.75" x14ac:dyDescent="0.25">
      <c r="A803" s="4" t="s">
        <v>4217</v>
      </c>
      <c r="B803" s="2" t="s">
        <v>1970</v>
      </c>
      <c r="C803" s="3">
        <v>1</v>
      </c>
      <c r="D803" s="5">
        <v>14.99</v>
      </c>
      <c r="E803" s="3" t="s">
        <v>1971</v>
      </c>
      <c r="F803" s="2" t="s">
        <v>64</v>
      </c>
      <c r="G803" s="6" t="s">
        <v>154</v>
      </c>
      <c r="H803" s="2" t="s">
        <v>1522</v>
      </c>
      <c r="I803" s="2" t="s">
        <v>195</v>
      </c>
      <c r="J803" s="2" t="s">
        <v>19</v>
      </c>
      <c r="K803" s="2" t="s">
        <v>1108</v>
      </c>
      <c r="L803" s="7" t="str">
        <f>HYPERLINK("http://slimages.macys.com/is/image/MCY/13036276 ")</f>
        <v xml:space="preserve">http://slimages.macys.com/is/image/MCY/13036276 </v>
      </c>
    </row>
    <row r="804" spans="1:12" ht="24.75" x14ac:dyDescent="0.25">
      <c r="A804" s="4" t="s">
        <v>3177</v>
      </c>
      <c r="B804" s="2" t="s">
        <v>1970</v>
      </c>
      <c r="C804" s="3">
        <v>1</v>
      </c>
      <c r="D804" s="5">
        <v>14.99</v>
      </c>
      <c r="E804" s="3" t="s">
        <v>1971</v>
      </c>
      <c r="F804" s="2" t="s">
        <v>64</v>
      </c>
      <c r="G804" s="6" t="s">
        <v>156</v>
      </c>
      <c r="H804" s="2" t="s">
        <v>1522</v>
      </c>
      <c r="I804" s="2" t="s">
        <v>285</v>
      </c>
      <c r="J804" s="2" t="s">
        <v>19</v>
      </c>
      <c r="K804" s="2" t="s">
        <v>247</v>
      </c>
      <c r="L804" s="7" t="str">
        <f>HYPERLINK("http://slimages.macys.com/is/image/MCY/9456016 ")</f>
        <v xml:space="preserve">http://slimages.macys.com/is/image/MCY/9456016 </v>
      </c>
    </row>
    <row r="805" spans="1:12" ht="24.75" x14ac:dyDescent="0.25">
      <c r="A805" s="4" t="s">
        <v>4218</v>
      </c>
      <c r="B805" s="2" t="s">
        <v>1970</v>
      </c>
      <c r="C805" s="3">
        <v>2</v>
      </c>
      <c r="D805" s="5">
        <v>14.99</v>
      </c>
      <c r="E805" s="3" t="s">
        <v>1971</v>
      </c>
      <c r="F805" s="2" t="s">
        <v>64</v>
      </c>
      <c r="G805" s="6" t="s">
        <v>181</v>
      </c>
      <c r="H805" s="2" t="s">
        <v>1522</v>
      </c>
      <c r="I805" s="2" t="s">
        <v>285</v>
      </c>
      <c r="J805" s="2"/>
      <c r="K805" s="2"/>
      <c r="L805" s="7" t="str">
        <f>HYPERLINK("http://slimages.macys.com/is/image/MCY/11640364 ")</f>
        <v xml:space="preserve">http://slimages.macys.com/is/image/MCY/11640364 </v>
      </c>
    </row>
    <row r="806" spans="1:12" ht="24.75" x14ac:dyDescent="0.25">
      <c r="A806" s="4" t="s">
        <v>4219</v>
      </c>
      <c r="B806" s="2" t="s">
        <v>1970</v>
      </c>
      <c r="C806" s="3">
        <v>1</v>
      </c>
      <c r="D806" s="5">
        <v>14.99</v>
      </c>
      <c r="E806" s="3" t="s">
        <v>1971</v>
      </c>
      <c r="F806" s="2" t="s">
        <v>1945</v>
      </c>
      <c r="G806" s="6" t="s">
        <v>234</v>
      </c>
      <c r="H806" s="2" t="s">
        <v>1522</v>
      </c>
      <c r="I806" s="2" t="s">
        <v>285</v>
      </c>
      <c r="J806" s="2" t="s">
        <v>19</v>
      </c>
      <c r="K806" s="2" t="s">
        <v>247</v>
      </c>
      <c r="L806" s="7" t="str">
        <f>HYPERLINK("http://slimages.macys.com/is/image/MCY/9972026 ")</f>
        <v xml:space="preserve">http://slimages.macys.com/is/image/MCY/9972026 </v>
      </c>
    </row>
    <row r="807" spans="1:12" ht="24.75" x14ac:dyDescent="0.25">
      <c r="A807" s="4" t="s">
        <v>4220</v>
      </c>
      <c r="B807" s="2" t="s">
        <v>3181</v>
      </c>
      <c r="C807" s="3">
        <v>1</v>
      </c>
      <c r="D807" s="5">
        <v>14.99</v>
      </c>
      <c r="E807" s="3" t="s">
        <v>3182</v>
      </c>
      <c r="F807" s="2" t="s">
        <v>26</v>
      </c>
      <c r="G807" s="6"/>
      <c r="H807" s="2" t="s">
        <v>1425</v>
      </c>
      <c r="I807" s="2" t="s">
        <v>1469</v>
      </c>
      <c r="J807" s="2" t="s">
        <v>19</v>
      </c>
      <c r="K807" s="2" t="s">
        <v>353</v>
      </c>
      <c r="L807" s="7" t="str">
        <f>HYPERLINK("http://slimages.macys.com/is/image/MCY/13741861 ")</f>
        <v xml:space="preserve">http://slimages.macys.com/is/image/MCY/13741861 </v>
      </c>
    </row>
    <row r="808" spans="1:12" ht="24.75" x14ac:dyDescent="0.25">
      <c r="A808" s="4" t="s">
        <v>4221</v>
      </c>
      <c r="B808" s="2" t="s">
        <v>1970</v>
      </c>
      <c r="C808" s="3">
        <v>1</v>
      </c>
      <c r="D808" s="5">
        <v>14.99</v>
      </c>
      <c r="E808" s="3" t="s">
        <v>1971</v>
      </c>
      <c r="F808" s="2" t="s">
        <v>64</v>
      </c>
      <c r="G808" s="6" t="s">
        <v>245</v>
      </c>
      <c r="H808" s="2" t="s">
        <v>1522</v>
      </c>
      <c r="I808" s="2" t="s">
        <v>1469</v>
      </c>
      <c r="J808" s="2" t="s">
        <v>19</v>
      </c>
      <c r="K808" s="2" t="s">
        <v>353</v>
      </c>
      <c r="L808" s="7" t="str">
        <f>HYPERLINK("http://slimages.macys.com/is/image/MCY/13741861 ")</f>
        <v xml:space="preserve">http://slimages.macys.com/is/image/MCY/13741861 </v>
      </c>
    </row>
    <row r="809" spans="1:12" ht="24.75" x14ac:dyDescent="0.25">
      <c r="A809" s="4" t="s">
        <v>4222</v>
      </c>
      <c r="B809" s="2" t="s">
        <v>3181</v>
      </c>
      <c r="C809" s="3">
        <v>1</v>
      </c>
      <c r="D809" s="5">
        <v>14.99</v>
      </c>
      <c r="E809" s="3" t="s">
        <v>3182</v>
      </c>
      <c r="F809" s="2" t="s">
        <v>15</v>
      </c>
      <c r="G809" s="6" t="s">
        <v>187</v>
      </c>
      <c r="H809" s="2" t="s">
        <v>1425</v>
      </c>
      <c r="I809" s="2" t="s">
        <v>1469</v>
      </c>
      <c r="J809" s="2" t="s">
        <v>19</v>
      </c>
      <c r="K809" s="2" t="s">
        <v>353</v>
      </c>
      <c r="L809" s="7" t="str">
        <f>HYPERLINK("http://slimages.macys.com/is/image/MCY/13741861 ")</f>
        <v xml:space="preserve">http://slimages.macys.com/is/image/MCY/13741861 </v>
      </c>
    </row>
    <row r="810" spans="1:12" ht="24.75" x14ac:dyDescent="0.25">
      <c r="A810" s="4" t="s">
        <v>1978</v>
      </c>
      <c r="B810" s="2" t="s">
        <v>1973</v>
      </c>
      <c r="C810" s="3">
        <v>2</v>
      </c>
      <c r="D810" s="5">
        <v>16.989999999999998</v>
      </c>
      <c r="E810" s="3" t="s">
        <v>1974</v>
      </c>
      <c r="F810" s="2" t="s">
        <v>1296</v>
      </c>
      <c r="G810" s="6" t="s">
        <v>154</v>
      </c>
      <c r="H810" s="2" t="s">
        <v>1473</v>
      </c>
      <c r="I810" s="2" t="s">
        <v>1469</v>
      </c>
      <c r="J810" s="2" t="s">
        <v>19</v>
      </c>
      <c r="K810" s="2" t="s">
        <v>353</v>
      </c>
      <c r="L810" s="7" t="str">
        <f>HYPERLINK("http://slimages.macys.com/is/image/MCY/13741861 ")</f>
        <v xml:space="preserve">http://slimages.macys.com/is/image/MCY/13741861 </v>
      </c>
    </row>
    <row r="811" spans="1:12" ht="24.75" x14ac:dyDescent="0.25">
      <c r="A811" s="4" t="s">
        <v>1977</v>
      </c>
      <c r="B811" s="2" t="s">
        <v>1973</v>
      </c>
      <c r="C811" s="3">
        <v>2</v>
      </c>
      <c r="D811" s="5">
        <v>16.989999999999998</v>
      </c>
      <c r="E811" s="3" t="s">
        <v>1974</v>
      </c>
      <c r="F811" s="2" t="s">
        <v>70</v>
      </c>
      <c r="G811" s="6" t="s">
        <v>154</v>
      </c>
      <c r="H811" s="2" t="s">
        <v>1473</v>
      </c>
      <c r="I811" s="2" t="s">
        <v>1469</v>
      </c>
      <c r="J811" s="2" t="s">
        <v>19</v>
      </c>
      <c r="K811" s="2" t="s">
        <v>353</v>
      </c>
      <c r="L811" s="7" t="str">
        <f>HYPERLINK("http://slimages.macys.com/is/image/MCY/10743852 ")</f>
        <v xml:space="preserve">http://slimages.macys.com/is/image/MCY/10743852 </v>
      </c>
    </row>
    <row r="812" spans="1:12" ht="24.75" x14ac:dyDescent="0.25">
      <c r="A812" s="4" t="s">
        <v>3186</v>
      </c>
      <c r="B812" s="2" t="s">
        <v>1973</v>
      </c>
      <c r="C812" s="3">
        <v>2</v>
      </c>
      <c r="D812" s="5">
        <v>16.989999999999998</v>
      </c>
      <c r="E812" s="3" t="s">
        <v>1976</v>
      </c>
      <c r="F812" s="2" t="s">
        <v>15</v>
      </c>
      <c r="G812" s="6"/>
      <c r="H812" s="2" t="s">
        <v>1425</v>
      </c>
      <c r="I812" s="2" t="s">
        <v>1469</v>
      </c>
      <c r="J812" s="2" t="s">
        <v>19</v>
      </c>
      <c r="K812" s="2" t="s">
        <v>353</v>
      </c>
      <c r="L812" s="7" t="str">
        <f>HYPERLINK("http://slimages.macys.com/is/image/MCY/13741861 ")</f>
        <v xml:space="preserve">http://slimages.macys.com/is/image/MCY/13741861 </v>
      </c>
    </row>
    <row r="813" spans="1:12" ht="24.75" x14ac:dyDescent="0.25">
      <c r="A813" s="4" t="s">
        <v>1984</v>
      </c>
      <c r="B813" s="2" t="s">
        <v>1973</v>
      </c>
      <c r="C813" s="3">
        <v>1</v>
      </c>
      <c r="D813" s="5">
        <v>16.989999999999998</v>
      </c>
      <c r="E813" s="3" t="s">
        <v>1974</v>
      </c>
      <c r="F813" s="2" t="s">
        <v>15</v>
      </c>
      <c r="G813" s="6" t="s">
        <v>245</v>
      </c>
      <c r="H813" s="2" t="s">
        <v>1473</v>
      </c>
      <c r="I813" s="2" t="s">
        <v>1469</v>
      </c>
      <c r="J813" s="2" t="s">
        <v>19</v>
      </c>
      <c r="K813" s="2" t="s">
        <v>353</v>
      </c>
      <c r="L813" s="7" t="str">
        <f>HYPERLINK("http://slimages.macys.com/is/image/MCY/10743852 ")</f>
        <v xml:space="preserve">http://slimages.macys.com/is/image/MCY/10743852 </v>
      </c>
    </row>
    <row r="814" spans="1:12" ht="24.75" x14ac:dyDescent="0.25">
      <c r="A814" s="4" t="s">
        <v>3185</v>
      </c>
      <c r="B814" s="2" t="s">
        <v>1973</v>
      </c>
      <c r="C814" s="3">
        <v>3</v>
      </c>
      <c r="D814" s="5">
        <v>16.989999999999998</v>
      </c>
      <c r="E814" s="3" t="s">
        <v>1974</v>
      </c>
      <c r="F814" s="2" t="s">
        <v>998</v>
      </c>
      <c r="G814" s="6" t="s">
        <v>154</v>
      </c>
      <c r="H814" s="2" t="s">
        <v>1473</v>
      </c>
      <c r="I814" s="2" t="s">
        <v>1864</v>
      </c>
      <c r="J814" s="2" t="s">
        <v>19</v>
      </c>
      <c r="K814" s="2" t="s">
        <v>648</v>
      </c>
      <c r="L814" s="7" t="str">
        <f>HYPERLINK("http://slimages.macys.com/is/image/MCY/11634794 ")</f>
        <v xml:space="preserve">http://slimages.macys.com/is/image/MCY/11634794 </v>
      </c>
    </row>
    <row r="815" spans="1:12" ht="24.75" x14ac:dyDescent="0.25">
      <c r="A815" s="4" t="s">
        <v>4223</v>
      </c>
      <c r="B815" s="2" t="s">
        <v>1973</v>
      </c>
      <c r="C815" s="3">
        <v>1</v>
      </c>
      <c r="D815" s="5">
        <v>16.989999999999998</v>
      </c>
      <c r="E815" s="3" t="s">
        <v>1974</v>
      </c>
      <c r="F815" s="2" t="s">
        <v>252</v>
      </c>
      <c r="G815" s="6" t="s">
        <v>154</v>
      </c>
      <c r="H815" s="2" t="s">
        <v>1473</v>
      </c>
      <c r="I815" s="2" t="s">
        <v>1864</v>
      </c>
      <c r="J815" s="2" t="s">
        <v>19</v>
      </c>
      <c r="K815" s="2" t="s">
        <v>648</v>
      </c>
      <c r="L815" s="7" t="str">
        <f>HYPERLINK("http://slimages.macys.com/is/image/MCY/11634794 ")</f>
        <v xml:space="preserve">http://slimages.macys.com/is/image/MCY/11634794 </v>
      </c>
    </row>
    <row r="816" spans="1:12" ht="24.75" x14ac:dyDescent="0.25">
      <c r="A816" s="4" t="s">
        <v>3196</v>
      </c>
      <c r="B816" s="2" t="s">
        <v>1973</v>
      </c>
      <c r="C816" s="3">
        <v>1</v>
      </c>
      <c r="D816" s="5">
        <v>16.989999999999998</v>
      </c>
      <c r="E816" s="3" t="s">
        <v>1974</v>
      </c>
      <c r="F816" s="2" t="s">
        <v>15</v>
      </c>
      <c r="G816" s="6" t="s">
        <v>181</v>
      </c>
      <c r="H816" s="2" t="s">
        <v>1473</v>
      </c>
      <c r="I816" s="2" t="s">
        <v>1864</v>
      </c>
      <c r="J816" s="2" t="s">
        <v>19</v>
      </c>
      <c r="K816" s="2" t="s">
        <v>648</v>
      </c>
      <c r="L816" s="7" t="str">
        <f>HYPERLINK("http://slimages.macys.com/is/image/MCY/11634785 ")</f>
        <v xml:space="preserve">http://slimages.macys.com/is/image/MCY/11634785 </v>
      </c>
    </row>
    <row r="817" spans="1:12" ht="24.75" x14ac:dyDescent="0.25">
      <c r="A817" s="4" t="s">
        <v>3195</v>
      </c>
      <c r="B817" s="2" t="s">
        <v>1973</v>
      </c>
      <c r="C817" s="3">
        <v>2</v>
      </c>
      <c r="D817" s="5">
        <v>16.989999999999998</v>
      </c>
      <c r="E817" s="3" t="s">
        <v>1974</v>
      </c>
      <c r="F817" s="2" t="s">
        <v>74</v>
      </c>
      <c r="G817" s="6" t="s">
        <v>181</v>
      </c>
      <c r="H817" s="2" t="s">
        <v>1473</v>
      </c>
      <c r="I817" s="2" t="s">
        <v>1864</v>
      </c>
      <c r="J817" s="2" t="s">
        <v>19</v>
      </c>
      <c r="K817" s="2" t="s">
        <v>648</v>
      </c>
      <c r="L817" s="7" t="str">
        <f t="shared" ref="L817:L826" si="7">HYPERLINK("http://slimages.macys.com/is/image/MCY/11634794 ")</f>
        <v xml:space="preserve">http://slimages.macys.com/is/image/MCY/11634794 </v>
      </c>
    </row>
    <row r="818" spans="1:12" ht="24.75" x14ac:dyDescent="0.25">
      <c r="A818" s="4" t="s">
        <v>4224</v>
      </c>
      <c r="B818" s="2" t="s">
        <v>1973</v>
      </c>
      <c r="C818" s="3">
        <v>2</v>
      </c>
      <c r="D818" s="5">
        <v>16.989999999999998</v>
      </c>
      <c r="E818" s="3" t="s">
        <v>1974</v>
      </c>
      <c r="F818" s="2" t="s">
        <v>70</v>
      </c>
      <c r="G818" s="6" t="s">
        <v>156</v>
      </c>
      <c r="H818" s="2" t="s">
        <v>1473</v>
      </c>
      <c r="I818" s="2" t="s">
        <v>1864</v>
      </c>
      <c r="J818" s="2" t="s">
        <v>19</v>
      </c>
      <c r="K818" s="2" t="s">
        <v>648</v>
      </c>
      <c r="L818" s="7" t="str">
        <f t="shared" si="7"/>
        <v xml:space="preserve">http://slimages.macys.com/is/image/MCY/11634794 </v>
      </c>
    </row>
    <row r="819" spans="1:12" ht="24.75" x14ac:dyDescent="0.25">
      <c r="A819" s="4" t="s">
        <v>3194</v>
      </c>
      <c r="B819" s="2" t="s">
        <v>1973</v>
      </c>
      <c r="C819" s="3">
        <v>1</v>
      </c>
      <c r="D819" s="5">
        <v>16.989999999999998</v>
      </c>
      <c r="E819" s="3" t="s">
        <v>1974</v>
      </c>
      <c r="F819" s="2" t="s">
        <v>74</v>
      </c>
      <c r="G819" s="6" t="s">
        <v>154</v>
      </c>
      <c r="H819" s="2" t="s">
        <v>1473</v>
      </c>
      <c r="I819" s="2" t="s">
        <v>1864</v>
      </c>
      <c r="J819" s="2" t="s">
        <v>19</v>
      </c>
      <c r="K819" s="2" t="s">
        <v>648</v>
      </c>
      <c r="L819" s="7" t="str">
        <f t="shared" si="7"/>
        <v xml:space="preserve">http://slimages.macys.com/is/image/MCY/11634794 </v>
      </c>
    </row>
    <row r="820" spans="1:12" ht="24.75" x14ac:dyDescent="0.25">
      <c r="A820" s="4" t="s">
        <v>4225</v>
      </c>
      <c r="B820" s="2" t="s">
        <v>1973</v>
      </c>
      <c r="C820" s="3">
        <v>1</v>
      </c>
      <c r="D820" s="5">
        <v>16.989999999999998</v>
      </c>
      <c r="E820" s="3" t="s">
        <v>1974</v>
      </c>
      <c r="F820" s="2" t="s">
        <v>1234</v>
      </c>
      <c r="G820" s="6" t="s">
        <v>154</v>
      </c>
      <c r="H820" s="2" t="s">
        <v>1473</v>
      </c>
      <c r="I820" s="2" t="s">
        <v>1864</v>
      </c>
      <c r="J820" s="2" t="s">
        <v>19</v>
      </c>
      <c r="K820" s="2" t="s">
        <v>648</v>
      </c>
      <c r="L820" s="7" t="str">
        <f t="shared" si="7"/>
        <v xml:space="preserve">http://slimages.macys.com/is/image/MCY/11634794 </v>
      </c>
    </row>
    <row r="821" spans="1:12" ht="24.75" x14ac:dyDescent="0.25">
      <c r="A821" s="4" t="s">
        <v>4226</v>
      </c>
      <c r="B821" s="2" t="s">
        <v>1973</v>
      </c>
      <c r="C821" s="3">
        <v>1</v>
      </c>
      <c r="D821" s="5">
        <v>16.989999999999998</v>
      </c>
      <c r="E821" s="3" t="s">
        <v>1974</v>
      </c>
      <c r="F821" s="2" t="s">
        <v>15</v>
      </c>
      <c r="G821" s="6" t="s">
        <v>234</v>
      </c>
      <c r="H821" s="2" t="s">
        <v>1473</v>
      </c>
      <c r="I821" s="2" t="s">
        <v>1864</v>
      </c>
      <c r="J821" s="2" t="s">
        <v>19</v>
      </c>
      <c r="K821" s="2" t="s">
        <v>648</v>
      </c>
      <c r="L821" s="7" t="str">
        <f t="shared" si="7"/>
        <v xml:space="preserve">http://slimages.macys.com/is/image/MCY/11634794 </v>
      </c>
    </row>
    <row r="822" spans="1:12" ht="24.75" x14ac:dyDescent="0.25">
      <c r="A822" s="4" t="s">
        <v>1972</v>
      </c>
      <c r="B822" s="2" t="s">
        <v>1973</v>
      </c>
      <c r="C822" s="3">
        <v>1</v>
      </c>
      <c r="D822" s="5">
        <v>16.989999999999998</v>
      </c>
      <c r="E822" s="3" t="s">
        <v>1974</v>
      </c>
      <c r="F822" s="2" t="s">
        <v>15</v>
      </c>
      <c r="G822" s="6" t="s">
        <v>156</v>
      </c>
      <c r="H822" s="2" t="s">
        <v>1473</v>
      </c>
      <c r="I822" s="2" t="s">
        <v>1864</v>
      </c>
      <c r="J822" s="2" t="s">
        <v>19</v>
      </c>
      <c r="K822" s="2" t="s">
        <v>648</v>
      </c>
      <c r="L822" s="7" t="str">
        <f t="shared" si="7"/>
        <v xml:space="preserve">http://slimages.macys.com/is/image/MCY/11634794 </v>
      </c>
    </row>
    <row r="823" spans="1:12" ht="24.75" x14ac:dyDescent="0.25">
      <c r="A823" s="4" t="s">
        <v>3188</v>
      </c>
      <c r="B823" s="2" t="s">
        <v>1973</v>
      </c>
      <c r="C823" s="3">
        <v>1</v>
      </c>
      <c r="D823" s="5">
        <v>16.989999999999998</v>
      </c>
      <c r="E823" s="3" t="s">
        <v>1976</v>
      </c>
      <c r="F823" s="2" t="s">
        <v>70</v>
      </c>
      <c r="G823" s="6"/>
      <c r="H823" s="2" t="s">
        <v>1425</v>
      </c>
      <c r="I823" s="2" t="s">
        <v>1864</v>
      </c>
      <c r="J823" s="2" t="s">
        <v>19</v>
      </c>
      <c r="K823" s="2" t="s">
        <v>648</v>
      </c>
      <c r="L823" s="7" t="str">
        <f t="shared" si="7"/>
        <v xml:space="preserve">http://slimages.macys.com/is/image/MCY/11634794 </v>
      </c>
    </row>
    <row r="824" spans="1:12" ht="24.75" x14ac:dyDescent="0.25">
      <c r="A824" s="4" t="s">
        <v>4227</v>
      </c>
      <c r="B824" s="2" t="s">
        <v>1973</v>
      </c>
      <c r="C824" s="3">
        <v>1</v>
      </c>
      <c r="D824" s="5">
        <v>16.989999999999998</v>
      </c>
      <c r="E824" s="3" t="s">
        <v>1976</v>
      </c>
      <c r="F824" s="2" t="s">
        <v>74</v>
      </c>
      <c r="G824" s="6" t="s">
        <v>187</v>
      </c>
      <c r="H824" s="2" t="s">
        <v>1425</v>
      </c>
      <c r="I824" s="2" t="s">
        <v>1864</v>
      </c>
      <c r="J824" s="2" t="s">
        <v>19</v>
      </c>
      <c r="K824" s="2" t="s">
        <v>648</v>
      </c>
      <c r="L824" s="7" t="str">
        <f t="shared" si="7"/>
        <v xml:space="preserve">http://slimages.macys.com/is/image/MCY/11634794 </v>
      </c>
    </row>
    <row r="825" spans="1:12" ht="24.75" x14ac:dyDescent="0.25">
      <c r="A825" s="4" t="s">
        <v>1980</v>
      </c>
      <c r="B825" s="2" t="s">
        <v>1973</v>
      </c>
      <c r="C825" s="3">
        <v>1</v>
      </c>
      <c r="D825" s="5">
        <v>16.989999999999998</v>
      </c>
      <c r="E825" s="3" t="s">
        <v>1976</v>
      </c>
      <c r="F825" s="2" t="s">
        <v>15</v>
      </c>
      <c r="G825" s="6"/>
      <c r="H825" s="2" t="s">
        <v>1425</v>
      </c>
      <c r="I825" s="2" t="s">
        <v>1864</v>
      </c>
      <c r="J825" s="2" t="s">
        <v>19</v>
      </c>
      <c r="K825" s="2" t="s">
        <v>648</v>
      </c>
      <c r="L825" s="7" t="str">
        <f t="shared" si="7"/>
        <v xml:space="preserve">http://slimages.macys.com/is/image/MCY/11634794 </v>
      </c>
    </row>
    <row r="826" spans="1:12" ht="24.75" x14ac:dyDescent="0.25">
      <c r="A826" s="4" t="s">
        <v>1985</v>
      </c>
      <c r="B826" s="2" t="s">
        <v>1973</v>
      </c>
      <c r="C826" s="3">
        <v>2</v>
      </c>
      <c r="D826" s="5">
        <v>16.989999999999998</v>
      </c>
      <c r="E826" s="3" t="s">
        <v>1976</v>
      </c>
      <c r="F826" s="2" t="s">
        <v>15</v>
      </c>
      <c r="G826" s="6" t="s">
        <v>219</v>
      </c>
      <c r="H826" s="2" t="s">
        <v>1425</v>
      </c>
      <c r="I826" s="2" t="s">
        <v>1864</v>
      </c>
      <c r="J826" s="2" t="s">
        <v>19</v>
      </c>
      <c r="K826" s="2" t="s">
        <v>648</v>
      </c>
      <c r="L826" s="7" t="str">
        <f t="shared" si="7"/>
        <v xml:space="preserve">http://slimages.macys.com/is/image/MCY/11634794 </v>
      </c>
    </row>
    <row r="827" spans="1:12" ht="24.75" x14ac:dyDescent="0.25">
      <c r="A827" s="4" t="s">
        <v>4228</v>
      </c>
      <c r="B827" s="2" t="s">
        <v>1973</v>
      </c>
      <c r="C827" s="3">
        <v>1</v>
      </c>
      <c r="D827" s="5">
        <v>16.989999999999998</v>
      </c>
      <c r="E827" s="3" t="s">
        <v>1976</v>
      </c>
      <c r="F827" s="2" t="s">
        <v>70</v>
      </c>
      <c r="G827" s="6"/>
      <c r="H827" s="2" t="s">
        <v>1425</v>
      </c>
      <c r="I827" s="2" t="s">
        <v>1864</v>
      </c>
      <c r="J827" s="2" t="s">
        <v>19</v>
      </c>
      <c r="K827" s="2" t="s">
        <v>648</v>
      </c>
      <c r="L827" s="7" t="str">
        <f t="shared" ref="L827:L832" si="8">HYPERLINK("http://slimages.macys.com/is/image/MCY/11634785 ")</f>
        <v xml:space="preserve">http://slimages.macys.com/is/image/MCY/11634785 </v>
      </c>
    </row>
    <row r="828" spans="1:12" ht="24.75" x14ac:dyDescent="0.25">
      <c r="A828" s="4" t="s">
        <v>4229</v>
      </c>
      <c r="B828" s="2" t="s">
        <v>1973</v>
      </c>
      <c r="C828" s="3">
        <v>1</v>
      </c>
      <c r="D828" s="5">
        <v>16.989999999999998</v>
      </c>
      <c r="E828" s="3" t="s">
        <v>1976</v>
      </c>
      <c r="F828" s="2" t="s">
        <v>998</v>
      </c>
      <c r="G828" s="6"/>
      <c r="H828" s="2" t="s">
        <v>1425</v>
      </c>
      <c r="I828" s="2" t="s">
        <v>1864</v>
      </c>
      <c r="J828" s="2" t="s">
        <v>19</v>
      </c>
      <c r="K828" s="2" t="s">
        <v>648</v>
      </c>
      <c r="L828" s="7" t="str">
        <f t="shared" si="8"/>
        <v xml:space="preserve">http://slimages.macys.com/is/image/MCY/11634785 </v>
      </c>
    </row>
    <row r="829" spans="1:12" ht="24.75" x14ac:dyDescent="0.25">
      <c r="A829" s="4" t="s">
        <v>1983</v>
      </c>
      <c r="B829" s="2" t="s">
        <v>1973</v>
      </c>
      <c r="C829" s="3">
        <v>1</v>
      </c>
      <c r="D829" s="5">
        <v>16.989999999999998</v>
      </c>
      <c r="E829" s="3" t="s">
        <v>1974</v>
      </c>
      <c r="F829" s="2" t="s">
        <v>998</v>
      </c>
      <c r="G829" s="6" t="s">
        <v>156</v>
      </c>
      <c r="H829" s="2" t="s">
        <v>1473</v>
      </c>
      <c r="I829" s="2" t="s">
        <v>1864</v>
      </c>
      <c r="J829" s="2" t="s">
        <v>19</v>
      </c>
      <c r="K829" s="2" t="s">
        <v>648</v>
      </c>
      <c r="L829" s="7" t="str">
        <f t="shared" si="8"/>
        <v xml:space="preserve">http://slimages.macys.com/is/image/MCY/11634785 </v>
      </c>
    </row>
    <row r="830" spans="1:12" ht="24.75" x14ac:dyDescent="0.25">
      <c r="A830" s="4" t="s">
        <v>1986</v>
      </c>
      <c r="B830" s="2" t="s">
        <v>1973</v>
      </c>
      <c r="C830" s="3">
        <v>3</v>
      </c>
      <c r="D830" s="5">
        <v>16.989999999999998</v>
      </c>
      <c r="E830" s="3" t="s">
        <v>1974</v>
      </c>
      <c r="F830" s="2" t="s">
        <v>74</v>
      </c>
      <c r="G830" s="6" t="s">
        <v>234</v>
      </c>
      <c r="H830" s="2" t="s">
        <v>1473</v>
      </c>
      <c r="I830" s="2" t="s">
        <v>1864</v>
      </c>
      <c r="J830" s="2" t="s">
        <v>19</v>
      </c>
      <c r="K830" s="2" t="s">
        <v>648</v>
      </c>
      <c r="L830" s="7" t="str">
        <f t="shared" si="8"/>
        <v xml:space="preserve">http://slimages.macys.com/is/image/MCY/11634785 </v>
      </c>
    </row>
    <row r="831" spans="1:12" ht="24.75" x14ac:dyDescent="0.25">
      <c r="A831" s="4" t="s">
        <v>4230</v>
      </c>
      <c r="B831" s="2" t="s">
        <v>1973</v>
      </c>
      <c r="C831" s="3">
        <v>2</v>
      </c>
      <c r="D831" s="5">
        <v>16.989999999999998</v>
      </c>
      <c r="E831" s="3" t="s">
        <v>1974</v>
      </c>
      <c r="F831" s="2" t="s">
        <v>15</v>
      </c>
      <c r="G831" s="6" t="s">
        <v>154</v>
      </c>
      <c r="H831" s="2" t="s">
        <v>1473</v>
      </c>
      <c r="I831" s="2" t="s">
        <v>1864</v>
      </c>
      <c r="J831" s="2" t="s">
        <v>19</v>
      </c>
      <c r="K831" s="2" t="s">
        <v>648</v>
      </c>
      <c r="L831" s="7" t="str">
        <f t="shared" si="8"/>
        <v xml:space="preserve">http://slimages.macys.com/is/image/MCY/11634785 </v>
      </c>
    </row>
    <row r="832" spans="1:12" ht="24.75" x14ac:dyDescent="0.25">
      <c r="A832" s="4" t="s">
        <v>3184</v>
      </c>
      <c r="B832" s="2" t="s">
        <v>1973</v>
      </c>
      <c r="C832" s="3">
        <v>1</v>
      </c>
      <c r="D832" s="5">
        <v>16.989999999999998</v>
      </c>
      <c r="E832" s="3" t="s">
        <v>1974</v>
      </c>
      <c r="F832" s="2" t="s">
        <v>417</v>
      </c>
      <c r="G832" s="6" t="s">
        <v>154</v>
      </c>
      <c r="H832" s="2" t="s">
        <v>1473</v>
      </c>
      <c r="I832" s="2" t="s">
        <v>1864</v>
      </c>
      <c r="J832" s="2" t="s">
        <v>19</v>
      </c>
      <c r="K832" s="2" t="s">
        <v>648</v>
      </c>
      <c r="L832" s="7" t="str">
        <f t="shared" si="8"/>
        <v xml:space="preserve">http://slimages.macys.com/is/image/MCY/11634785 </v>
      </c>
    </row>
    <row r="833" spans="1:12" ht="24.75" x14ac:dyDescent="0.25">
      <c r="A833" s="4" t="s">
        <v>4231</v>
      </c>
      <c r="B833" s="2" t="s">
        <v>1988</v>
      </c>
      <c r="C833" s="3">
        <v>2</v>
      </c>
      <c r="D833" s="5">
        <v>14.99</v>
      </c>
      <c r="E833" s="3" t="s">
        <v>1991</v>
      </c>
      <c r="F833" s="2" t="s">
        <v>33</v>
      </c>
      <c r="G833" s="6" t="s">
        <v>156</v>
      </c>
      <c r="H833" s="2" t="s">
        <v>1473</v>
      </c>
      <c r="I833" s="2" t="s">
        <v>1864</v>
      </c>
      <c r="J833" s="2" t="s">
        <v>19</v>
      </c>
      <c r="K833" s="2" t="s">
        <v>648</v>
      </c>
      <c r="L833" s="7" t="str">
        <f>HYPERLINK("http://slimages.macys.com/is/image/MCY/11634794 ")</f>
        <v xml:space="preserve">http://slimages.macys.com/is/image/MCY/11634794 </v>
      </c>
    </row>
    <row r="834" spans="1:12" ht="24.75" x14ac:dyDescent="0.25">
      <c r="A834" s="4" t="s">
        <v>4232</v>
      </c>
      <c r="B834" s="2" t="s">
        <v>1988</v>
      </c>
      <c r="C834" s="3">
        <v>1</v>
      </c>
      <c r="D834" s="5">
        <v>14.99</v>
      </c>
      <c r="E834" s="3" t="s">
        <v>1991</v>
      </c>
      <c r="F834" s="2" t="s">
        <v>331</v>
      </c>
      <c r="G834" s="6" t="s">
        <v>181</v>
      </c>
      <c r="H834" s="2" t="s">
        <v>1473</v>
      </c>
      <c r="I834" s="2" t="s">
        <v>1864</v>
      </c>
      <c r="J834" s="2" t="s">
        <v>19</v>
      </c>
      <c r="K834" s="2" t="s">
        <v>648</v>
      </c>
      <c r="L834" s="7" t="str">
        <f>HYPERLINK("http://slimages.macys.com/is/image/MCY/11634794 ")</f>
        <v xml:space="preserve">http://slimages.macys.com/is/image/MCY/11634794 </v>
      </c>
    </row>
    <row r="835" spans="1:12" ht="24.75" x14ac:dyDescent="0.25">
      <c r="A835" s="4" t="s">
        <v>3213</v>
      </c>
      <c r="B835" s="2" t="s">
        <v>1988</v>
      </c>
      <c r="C835" s="3">
        <v>2</v>
      </c>
      <c r="D835" s="5">
        <v>14.99</v>
      </c>
      <c r="E835" s="3" t="s">
        <v>1991</v>
      </c>
      <c r="F835" s="2" t="s">
        <v>26</v>
      </c>
      <c r="G835" s="6" t="s">
        <v>154</v>
      </c>
      <c r="H835" s="2" t="s">
        <v>1473</v>
      </c>
      <c r="I835" s="2" t="s">
        <v>1864</v>
      </c>
      <c r="J835" s="2" t="s">
        <v>19</v>
      </c>
      <c r="K835" s="2" t="s">
        <v>648</v>
      </c>
      <c r="L835" s="7" t="str">
        <f>HYPERLINK("http://slimages.macys.com/is/image/MCY/11634794 ")</f>
        <v xml:space="preserve">http://slimages.macys.com/is/image/MCY/11634794 </v>
      </c>
    </row>
    <row r="836" spans="1:12" ht="24.75" x14ac:dyDescent="0.25">
      <c r="A836" s="4" t="s">
        <v>3214</v>
      </c>
      <c r="B836" s="2" t="s">
        <v>1988</v>
      </c>
      <c r="C836" s="3">
        <v>1</v>
      </c>
      <c r="D836" s="5">
        <v>14.99</v>
      </c>
      <c r="E836" s="3" t="s">
        <v>1991</v>
      </c>
      <c r="F836" s="2" t="s">
        <v>1322</v>
      </c>
      <c r="G836" s="6" t="s">
        <v>154</v>
      </c>
      <c r="H836" s="2" t="s">
        <v>1473</v>
      </c>
      <c r="I836" s="2" t="s">
        <v>1864</v>
      </c>
      <c r="J836" s="2" t="s">
        <v>19</v>
      </c>
      <c r="K836" s="2" t="s">
        <v>648</v>
      </c>
      <c r="L836" s="7" t="str">
        <f>HYPERLINK("http://slimages.macys.com/is/image/MCY/11634794 ")</f>
        <v xml:space="preserve">http://slimages.macys.com/is/image/MCY/11634794 </v>
      </c>
    </row>
    <row r="837" spans="1:12" ht="24.75" x14ac:dyDescent="0.25">
      <c r="A837" s="4" t="s">
        <v>4233</v>
      </c>
      <c r="B837" s="2" t="s">
        <v>1988</v>
      </c>
      <c r="C837" s="3">
        <v>1</v>
      </c>
      <c r="D837" s="5">
        <v>14.99</v>
      </c>
      <c r="E837" s="3" t="s">
        <v>1991</v>
      </c>
      <c r="F837" s="2"/>
      <c r="G837" s="6" t="s">
        <v>154</v>
      </c>
      <c r="H837" s="2" t="s">
        <v>1473</v>
      </c>
      <c r="I837" s="2" t="s">
        <v>1426</v>
      </c>
      <c r="J837" s="2" t="s">
        <v>19</v>
      </c>
      <c r="K837" s="2" t="s">
        <v>648</v>
      </c>
      <c r="L837" s="7" t="str">
        <f>HYPERLINK("http://slimages.macys.com/is/image/MCY/12767912 ")</f>
        <v xml:space="preserve">http://slimages.macys.com/is/image/MCY/12767912 </v>
      </c>
    </row>
    <row r="838" spans="1:12" ht="24.75" x14ac:dyDescent="0.25">
      <c r="A838" s="4" t="s">
        <v>4234</v>
      </c>
      <c r="B838" s="2" t="s">
        <v>1988</v>
      </c>
      <c r="C838" s="3">
        <v>1</v>
      </c>
      <c r="D838" s="5">
        <v>14.99</v>
      </c>
      <c r="E838" s="3" t="s">
        <v>1991</v>
      </c>
      <c r="F838" s="2" t="s">
        <v>3267</v>
      </c>
      <c r="G838" s="6" t="s">
        <v>200</v>
      </c>
      <c r="H838" s="2" t="s">
        <v>1473</v>
      </c>
      <c r="I838" s="2" t="s">
        <v>1426</v>
      </c>
      <c r="J838" s="2" t="s">
        <v>19</v>
      </c>
      <c r="K838" s="2" t="s">
        <v>648</v>
      </c>
      <c r="L838" s="7" t="str">
        <f>HYPERLINK("http://slimages.macys.com/is/image/MCY/12767912 ")</f>
        <v xml:space="preserve">http://slimages.macys.com/is/image/MCY/12767912 </v>
      </c>
    </row>
    <row r="839" spans="1:12" ht="24.75" x14ac:dyDescent="0.25">
      <c r="A839" s="4" t="s">
        <v>4235</v>
      </c>
      <c r="B839" s="2" t="s">
        <v>1988</v>
      </c>
      <c r="C839" s="3">
        <v>1</v>
      </c>
      <c r="D839" s="5">
        <v>14.99</v>
      </c>
      <c r="E839" s="3" t="s">
        <v>1991</v>
      </c>
      <c r="F839" s="2" t="s">
        <v>417</v>
      </c>
      <c r="G839" s="6" t="s">
        <v>200</v>
      </c>
      <c r="H839" s="2" t="s">
        <v>1473</v>
      </c>
      <c r="I839" s="2" t="s">
        <v>1426</v>
      </c>
      <c r="J839" s="2" t="s">
        <v>19</v>
      </c>
      <c r="K839" s="2" t="s">
        <v>648</v>
      </c>
      <c r="L839" s="7" t="str">
        <f>HYPERLINK("http://slimages.macys.com/is/image/MCY/12767912 ")</f>
        <v xml:space="preserve">http://slimages.macys.com/is/image/MCY/12767912 </v>
      </c>
    </row>
    <row r="840" spans="1:12" ht="24.75" x14ac:dyDescent="0.25">
      <c r="A840" s="4" t="s">
        <v>3202</v>
      </c>
      <c r="B840" s="2" t="s">
        <v>1988</v>
      </c>
      <c r="C840" s="3">
        <v>1</v>
      </c>
      <c r="D840" s="5">
        <v>14.99</v>
      </c>
      <c r="E840" s="3" t="s">
        <v>1991</v>
      </c>
      <c r="F840" s="2" t="s">
        <v>70</v>
      </c>
      <c r="G840" s="6" t="s">
        <v>154</v>
      </c>
      <c r="H840" s="2" t="s">
        <v>1473</v>
      </c>
      <c r="I840" s="2" t="s">
        <v>1426</v>
      </c>
      <c r="J840" s="2" t="s">
        <v>19</v>
      </c>
      <c r="K840" s="2" t="s">
        <v>648</v>
      </c>
      <c r="L840" s="7" t="str">
        <f>HYPERLINK("http://slimages.macys.com/is/image/MCY/12767912 ")</f>
        <v xml:space="preserve">http://slimages.macys.com/is/image/MCY/12767912 </v>
      </c>
    </row>
    <row r="841" spans="1:12" ht="24.75" x14ac:dyDescent="0.25">
      <c r="A841" s="4" t="s">
        <v>4236</v>
      </c>
      <c r="B841" s="2" t="s">
        <v>1988</v>
      </c>
      <c r="C841" s="3">
        <v>1</v>
      </c>
      <c r="D841" s="5">
        <v>14.99</v>
      </c>
      <c r="E841" s="3" t="s">
        <v>1991</v>
      </c>
      <c r="F841" s="2" t="s">
        <v>413</v>
      </c>
      <c r="G841" s="6" t="s">
        <v>234</v>
      </c>
      <c r="H841" s="2" t="s">
        <v>1473</v>
      </c>
      <c r="I841" s="2" t="s">
        <v>1426</v>
      </c>
      <c r="J841" s="2" t="s">
        <v>19</v>
      </c>
      <c r="K841" s="2" t="s">
        <v>648</v>
      </c>
      <c r="L841" s="7" t="str">
        <f>HYPERLINK("http://slimages.macys.com/is/image/MCY/12767912 ")</f>
        <v xml:space="preserve">http://slimages.macys.com/is/image/MCY/12767912 </v>
      </c>
    </row>
    <row r="842" spans="1:12" ht="24.75" x14ac:dyDescent="0.25">
      <c r="A842" s="4" t="s">
        <v>3200</v>
      </c>
      <c r="B842" s="2" t="s">
        <v>1988</v>
      </c>
      <c r="C842" s="3">
        <v>1</v>
      </c>
      <c r="D842" s="5">
        <v>14.99</v>
      </c>
      <c r="E842" s="3" t="s">
        <v>1991</v>
      </c>
      <c r="F842" s="2" t="s">
        <v>26</v>
      </c>
      <c r="G842" s="6" t="s">
        <v>181</v>
      </c>
      <c r="H842" s="2" t="s">
        <v>1473</v>
      </c>
      <c r="I842" s="2" t="s">
        <v>1426</v>
      </c>
      <c r="J842" s="2" t="s">
        <v>19</v>
      </c>
      <c r="K842" s="2" t="s">
        <v>648</v>
      </c>
      <c r="L842" s="7" t="str">
        <f>HYPERLINK("http://slimages.macys.com/is/image/MCY/11469193 ")</f>
        <v xml:space="preserve">http://slimages.macys.com/is/image/MCY/11469193 </v>
      </c>
    </row>
    <row r="843" spans="1:12" ht="24.75" x14ac:dyDescent="0.25">
      <c r="A843" s="4" t="s">
        <v>4237</v>
      </c>
      <c r="B843" s="2" t="s">
        <v>1988</v>
      </c>
      <c r="C843" s="3">
        <v>1</v>
      </c>
      <c r="D843" s="5">
        <v>14.99</v>
      </c>
      <c r="E843" s="3" t="s">
        <v>1991</v>
      </c>
      <c r="F843" s="2" t="s">
        <v>26</v>
      </c>
      <c r="G843" s="6" t="s">
        <v>234</v>
      </c>
      <c r="H843" s="2" t="s">
        <v>1473</v>
      </c>
      <c r="I843" s="2" t="s">
        <v>1426</v>
      </c>
      <c r="J843" s="2" t="s">
        <v>19</v>
      </c>
      <c r="K843" s="2" t="s">
        <v>648</v>
      </c>
      <c r="L843" s="7" t="str">
        <f t="shared" ref="L843:L849" si="9">HYPERLINK("http://slimages.macys.com/is/image/MCY/12767912 ")</f>
        <v xml:space="preserve">http://slimages.macys.com/is/image/MCY/12767912 </v>
      </c>
    </row>
    <row r="844" spans="1:12" ht="24.75" x14ac:dyDescent="0.25">
      <c r="A844" s="4" t="s">
        <v>4238</v>
      </c>
      <c r="B844" s="2" t="s">
        <v>1988</v>
      </c>
      <c r="C844" s="3">
        <v>1</v>
      </c>
      <c r="D844" s="5">
        <v>14.99</v>
      </c>
      <c r="E844" s="3" t="s">
        <v>1991</v>
      </c>
      <c r="F844" s="2" t="s">
        <v>417</v>
      </c>
      <c r="G844" s="6" t="s">
        <v>181</v>
      </c>
      <c r="H844" s="2" t="s">
        <v>1473</v>
      </c>
      <c r="I844" s="2" t="s">
        <v>1426</v>
      </c>
      <c r="J844" s="2" t="s">
        <v>19</v>
      </c>
      <c r="K844" s="2" t="s">
        <v>648</v>
      </c>
      <c r="L844" s="7" t="str">
        <f t="shared" si="9"/>
        <v xml:space="preserve">http://slimages.macys.com/is/image/MCY/12767912 </v>
      </c>
    </row>
    <row r="845" spans="1:12" ht="24.75" x14ac:dyDescent="0.25">
      <c r="A845" s="4" t="s">
        <v>4239</v>
      </c>
      <c r="B845" s="2" t="s">
        <v>1988</v>
      </c>
      <c r="C845" s="3">
        <v>1</v>
      </c>
      <c r="D845" s="5">
        <v>14.99</v>
      </c>
      <c r="E845" s="3" t="s">
        <v>1991</v>
      </c>
      <c r="F845" s="2" t="s">
        <v>70</v>
      </c>
      <c r="G845" s="6" t="s">
        <v>245</v>
      </c>
      <c r="H845" s="2" t="s">
        <v>1473</v>
      </c>
      <c r="I845" s="2" t="s">
        <v>1426</v>
      </c>
      <c r="J845" s="2" t="s">
        <v>19</v>
      </c>
      <c r="K845" s="2" t="s">
        <v>648</v>
      </c>
      <c r="L845" s="7" t="str">
        <f t="shared" si="9"/>
        <v xml:space="preserve">http://slimages.macys.com/is/image/MCY/12767912 </v>
      </c>
    </row>
    <row r="846" spans="1:12" ht="24.75" x14ac:dyDescent="0.25">
      <c r="A846" s="4" t="s">
        <v>4240</v>
      </c>
      <c r="B846" s="2" t="s">
        <v>2002</v>
      </c>
      <c r="C846" s="3">
        <v>1</v>
      </c>
      <c r="D846" s="5">
        <v>12.99</v>
      </c>
      <c r="E846" s="3" t="s">
        <v>4241</v>
      </c>
      <c r="F846" s="2" t="s">
        <v>70</v>
      </c>
      <c r="G846" s="6" t="s">
        <v>245</v>
      </c>
      <c r="H846" s="2" t="s">
        <v>194</v>
      </c>
      <c r="I846" s="2" t="s">
        <v>1426</v>
      </c>
      <c r="J846" s="2" t="s">
        <v>19</v>
      </c>
      <c r="K846" s="2" t="s">
        <v>648</v>
      </c>
      <c r="L846" s="7" t="str">
        <f t="shared" si="9"/>
        <v xml:space="preserve">http://slimages.macys.com/is/image/MCY/12767912 </v>
      </c>
    </row>
    <row r="847" spans="1:12" ht="24.75" x14ac:dyDescent="0.25">
      <c r="A847" s="4" t="s">
        <v>4242</v>
      </c>
      <c r="B847" s="2" t="s">
        <v>3216</v>
      </c>
      <c r="C847" s="3">
        <v>1</v>
      </c>
      <c r="D847" s="5">
        <v>21.99</v>
      </c>
      <c r="E847" s="3" t="s">
        <v>4243</v>
      </c>
      <c r="F847" s="2" t="s">
        <v>464</v>
      </c>
      <c r="G847" s="6" t="s">
        <v>234</v>
      </c>
      <c r="H847" s="2" t="s">
        <v>284</v>
      </c>
      <c r="I847" s="2" t="s">
        <v>1426</v>
      </c>
      <c r="J847" s="2" t="s">
        <v>19</v>
      </c>
      <c r="K847" s="2" t="s">
        <v>648</v>
      </c>
      <c r="L847" s="7" t="str">
        <f t="shared" si="9"/>
        <v xml:space="preserve">http://slimages.macys.com/is/image/MCY/12767912 </v>
      </c>
    </row>
    <row r="848" spans="1:12" ht="24.75" x14ac:dyDescent="0.25">
      <c r="A848" s="4" t="s">
        <v>4244</v>
      </c>
      <c r="B848" s="2" t="s">
        <v>4245</v>
      </c>
      <c r="C848" s="3">
        <v>1</v>
      </c>
      <c r="D848" s="5">
        <v>12.99</v>
      </c>
      <c r="E848" s="3" t="s">
        <v>4246</v>
      </c>
      <c r="F848" s="2" t="s">
        <v>111</v>
      </c>
      <c r="G848" s="6" t="s">
        <v>245</v>
      </c>
      <c r="H848" s="2" t="s">
        <v>194</v>
      </c>
      <c r="I848" s="2" t="s">
        <v>1426</v>
      </c>
      <c r="J848" s="2" t="s">
        <v>19</v>
      </c>
      <c r="K848" s="2" t="s">
        <v>648</v>
      </c>
      <c r="L848" s="7" t="str">
        <f t="shared" si="9"/>
        <v xml:space="preserve">http://slimages.macys.com/is/image/MCY/12767912 </v>
      </c>
    </row>
    <row r="849" spans="1:12" ht="24.75" x14ac:dyDescent="0.25">
      <c r="A849" s="4" t="s">
        <v>4247</v>
      </c>
      <c r="B849" s="2" t="s">
        <v>4245</v>
      </c>
      <c r="C849" s="3">
        <v>1</v>
      </c>
      <c r="D849" s="5">
        <v>12.99</v>
      </c>
      <c r="E849" s="3" t="s">
        <v>4248</v>
      </c>
      <c r="F849" s="2" t="s">
        <v>1322</v>
      </c>
      <c r="G849" s="6" t="s">
        <v>200</v>
      </c>
      <c r="H849" s="2" t="s">
        <v>194</v>
      </c>
      <c r="I849" s="2" t="s">
        <v>1426</v>
      </c>
      <c r="J849" s="2" t="s">
        <v>19</v>
      </c>
      <c r="K849" s="2" t="s">
        <v>648</v>
      </c>
      <c r="L849" s="7" t="str">
        <f t="shared" si="9"/>
        <v xml:space="preserve">http://slimages.macys.com/is/image/MCY/12767912 </v>
      </c>
    </row>
    <row r="850" spans="1:12" ht="24.75" x14ac:dyDescent="0.25">
      <c r="A850" s="4" t="s">
        <v>4249</v>
      </c>
      <c r="B850" s="2" t="s">
        <v>2002</v>
      </c>
      <c r="C850" s="3">
        <v>1</v>
      </c>
      <c r="D850" s="5">
        <v>12.99</v>
      </c>
      <c r="E850" s="3" t="s">
        <v>4250</v>
      </c>
      <c r="F850" s="2" t="s">
        <v>579</v>
      </c>
      <c r="G850" s="6" t="s">
        <v>234</v>
      </c>
      <c r="H850" s="2" t="s">
        <v>194</v>
      </c>
      <c r="I850" s="2" t="s">
        <v>195</v>
      </c>
      <c r="J850" s="2" t="s">
        <v>19</v>
      </c>
      <c r="K850" s="2" t="s">
        <v>648</v>
      </c>
      <c r="L850" s="7" t="str">
        <f>HYPERLINK("http://slimages.macys.com/is/image/MCY/11279167 ")</f>
        <v xml:space="preserve">http://slimages.macys.com/is/image/MCY/11279167 </v>
      </c>
    </row>
    <row r="851" spans="1:12" ht="24.75" x14ac:dyDescent="0.25">
      <c r="A851" s="4" t="s">
        <v>4251</v>
      </c>
      <c r="B851" s="2" t="s">
        <v>2002</v>
      </c>
      <c r="C851" s="3">
        <v>1</v>
      </c>
      <c r="D851" s="5">
        <v>12.99</v>
      </c>
      <c r="E851" s="3" t="s">
        <v>4252</v>
      </c>
      <c r="F851" s="2" t="s">
        <v>417</v>
      </c>
      <c r="G851" s="6" t="s">
        <v>200</v>
      </c>
      <c r="H851" s="2" t="s">
        <v>194</v>
      </c>
      <c r="I851" s="2" t="s">
        <v>285</v>
      </c>
      <c r="J851" s="2"/>
      <c r="K851" s="2"/>
      <c r="L851" s="7" t="str">
        <f>HYPERLINK("http://slimages.macys.com/is/image/MCY/9462994 ")</f>
        <v xml:space="preserve">http://slimages.macys.com/is/image/MCY/9462994 </v>
      </c>
    </row>
    <row r="852" spans="1:12" ht="24.75" x14ac:dyDescent="0.25">
      <c r="A852" s="4" t="s">
        <v>4253</v>
      </c>
      <c r="B852" s="2" t="s">
        <v>2005</v>
      </c>
      <c r="C852" s="3">
        <v>1</v>
      </c>
      <c r="D852" s="5">
        <v>14.99</v>
      </c>
      <c r="E852" s="3" t="s">
        <v>2006</v>
      </c>
      <c r="F852" s="2" t="s">
        <v>15</v>
      </c>
      <c r="G852" s="6" t="s">
        <v>234</v>
      </c>
      <c r="H852" s="2" t="s">
        <v>1522</v>
      </c>
      <c r="I852" s="2" t="s">
        <v>195</v>
      </c>
      <c r="J852" s="2" t="s">
        <v>19</v>
      </c>
      <c r="K852" s="2" t="s">
        <v>990</v>
      </c>
      <c r="L852" s="7" t="str">
        <f>HYPERLINK("http://slimages.macys.com/is/image/MCY/11337064 ")</f>
        <v xml:space="preserve">http://slimages.macys.com/is/image/MCY/11337064 </v>
      </c>
    </row>
    <row r="853" spans="1:12" ht="24.75" x14ac:dyDescent="0.25">
      <c r="A853" s="4" t="s">
        <v>2008</v>
      </c>
      <c r="B853" s="2" t="s">
        <v>2005</v>
      </c>
      <c r="C853" s="3">
        <v>1</v>
      </c>
      <c r="D853" s="5">
        <v>14.99</v>
      </c>
      <c r="E853" s="3" t="s">
        <v>2006</v>
      </c>
      <c r="F853" s="2" t="s">
        <v>74</v>
      </c>
      <c r="G853" s="6" t="s">
        <v>156</v>
      </c>
      <c r="H853" s="2" t="s">
        <v>1522</v>
      </c>
      <c r="I853" s="2" t="s">
        <v>195</v>
      </c>
      <c r="J853" s="2" t="s">
        <v>19</v>
      </c>
      <c r="K853" s="2" t="s">
        <v>648</v>
      </c>
      <c r="L853" s="7" t="str">
        <f>HYPERLINK("http://slimages.macys.com/is/image/MCY/11279167 ")</f>
        <v xml:space="preserve">http://slimages.macys.com/is/image/MCY/11279167 </v>
      </c>
    </row>
    <row r="854" spans="1:12" ht="24.75" x14ac:dyDescent="0.25">
      <c r="A854" s="4" t="s">
        <v>4254</v>
      </c>
      <c r="B854" s="2" t="s">
        <v>2005</v>
      </c>
      <c r="C854" s="3">
        <v>1</v>
      </c>
      <c r="D854" s="5">
        <v>14.99</v>
      </c>
      <c r="E854" s="3" t="s">
        <v>2006</v>
      </c>
      <c r="F854" s="2" t="s">
        <v>38</v>
      </c>
      <c r="G854" s="6" t="s">
        <v>234</v>
      </c>
      <c r="H854" s="2" t="s">
        <v>1522</v>
      </c>
      <c r="I854" s="2" t="s">
        <v>195</v>
      </c>
      <c r="J854" s="2" t="s">
        <v>19</v>
      </c>
      <c r="K854" s="2" t="s">
        <v>990</v>
      </c>
      <c r="L854" s="7" t="str">
        <f>HYPERLINK("http://slimages.macys.com/is/image/MCY/11764453 ")</f>
        <v xml:space="preserve">http://slimages.macys.com/is/image/MCY/11764453 </v>
      </c>
    </row>
    <row r="855" spans="1:12" ht="24.75" x14ac:dyDescent="0.25">
      <c r="A855" s="4" t="s">
        <v>4255</v>
      </c>
      <c r="B855" s="2" t="s">
        <v>2005</v>
      </c>
      <c r="C855" s="3">
        <v>1</v>
      </c>
      <c r="D855" s="5">
        <v>14.99</v>
      </c>
      <c r="E855" s="3" t="s">
        <v>2006</v>
      </c>
      <c r="F855" s="2" t="s">
        <v>1945</v>
      </c>
      <c r="G855" s="6" t="s">
        <v>154</v>
      </c>
      <c r="H855" s="2" t="s">
        <v>1522</v>
      </c>
      <c r="I855" s="2" t="s">
        <v>195</v>
      </c>
      <c r="J855" s="2" t="s">
        <v>19</v>
      </c>
      <c r="K855" s="2" t="s">
        <v>648</v>
      </c>
      <c r="L855" s="7" t="str">
        <f>HYPERLINK("http://slimages.macys.com/is/image/MCY/12734310 ")</f>
        <v xml:space="preserve">http://slimages.macys.com/is/image/MCY/12734310 </v>
      </c>
    </row>
    <row r="856" spans="1:12" ht="24.75" x14ac:dyDescent="0.25">
      <c r="A856" s="4" t="s">
        <v>4256</v>
      </c>
      <c r="B856" s="2" t="s">
        <v>2005</v>
      </c>
      <c r="C856" s="3">
        <v>2</v>
      </c>
      <c r="D856" s="5">
        <v>14.99</v>
      </c>
      <c r="E856" s="3" t="s">
        <v>2006</v>
      </c>
      <c r="F856" s="2" t="s">
        <v>64</v>
      </c>
      <c r="G856" s="6" t="s">
        <v>181</v>
      </c>
      <c r="H856" s="2" t="s">
        <v>1522</v>
      </c>
      <c r="I856" s="2" t="s">
        <v>1469</v>
      </c>
      <c r="J856" s="2" t="s">
        <v>19</v>
      </c>
      <c r="K856" s="2" t="s">
        <v>353</v>
      </c>
      <c r="L856" s="7" t="str">
        <f t="shared" ref="L856:L861" si="10">HYPERLINK("http://slimages.macys.com/is/image/MCY/10743611 ")</f>
        <v xml:space="preserve">http://slimages.macys.com/is/image/MCY/10743611 </v>
      </c>
    </row>
    <row r="857" spans="1:12" ht="24.75" x14ac:dyDescent="0.25">
      <c r="A857" s="4" t="s">
        <v>3224</v>
      </c>
      <c r="B857" s="2" t="s">
        <v>2005</v>
      </c>
      <c r="C857" s="3">
        <v>1</v>
      </c>
      <c r="D857" s="5">
        <v>14.99</v>
      </c>
      <c r="E857" s="3" t="s">
        <v>2006</v>
      </c>
      <c r="F857" s="2" t="s">
        <v>64</v>
      </c>
      <c r="G857" s="6" t="s">
        <v>154</v>
      </c>
      <c r="H857" s="2" t="s">
        <v>1522</v>
      </c>
      <c r="I857" s="2" t="s">
        <v>1469</v>
      </c>
      <c r="J857" s="2" t="s">
        <v>19</v>
      </c>
      <c r="K857" s="2" t="s">
        <v>353</v>
      </c>
      <c r="L857" s="7" t="str">
        <f t="shared" si="10"/>
        <v xml:space="preserve">http://slimages.macys.com/is/image/MCY/10743611 </v>
      </c>
    </row>
    <row r="858" spans="1:12" ht="24.75" x14ac:dyDescent="0.25">
      <c r="A858" s="4" t="s">
        <v>4257</v>
      </c>
      <c r="B858" s="2" t="s">
        <v>3226</v>
      </c>
      <c r="C858" s="3">
        <v>1</v>
      </c>
      <c r="D858" s="5">
        <v>12.99</v>
      </c>
      <c r="E858" s="3" t="s">
        <v>3227</v>
      </c>
      <c r="F858" s="2" t="s">
        <v>33</v>
      </c>
      <c r="G858" s="6"/>
      <c r="H858" s="2" t="s">
        <v>312</v>
      </c>
      <c r="I858" s="2" t="s">
        <v>1469</v>
      </c>
      <c r="J858" s="2" t="s">
        <v>19</v>
      </c>
      <c r="K858" s="2" t="s">
        <v>353</v>
      </c>
      <c r="L858" s="7" t="str">
        <f t="shared" si="10"/>
        <v xml:space="preserve">http://slimages.macys.com/is/image/MCY/10743611 </v>
      </c>
    </row>
    <row r="859" spans="1:12" ht="24.75" x14ac:dyDescent="0.25">
      <c r="A859" s="4" t="s">
        <v>4258</v>
      </c>
      <c r="B859" s="2" t="s">
        <v>3226</v>
      </c>
      <c r="C859" s="3">
        <v>3</v>
      </c>
      <c r="D859" s="5">
        <v>12.99</v>
      </c>
      <c r="E859" s="3" t="s">
        <v>4259</v>
      </c>
      <c r="F859" s="2" t="s">
        <v>752</v>
      </c>
      <c r="G859" s="6"/>
      <c r="H859" s="2" t="s">
        <v>312</v>
      </c>
      <c r="I859" s="2" t="s">
        <v>1469</v>
      </c>
      <c r="J859" s="2" t="s">
        <v>19</v>
      </c>
      <c r="K859" s="2" t="s">
        <v>353</v>
      </c>
      <c r="L859" s="7" t="str">
        <f t="shared" si="10"/>
        <v xml:space="preserve">http://slimages.macys.com/is/image/MCY/10743611 </v>
      </c>
    </row>
    <row r="860" spans="1:12" ht="24.75" x14ac:dyDescent="0.25">
      <c r="A860" s="4" t="s">
        <v>4260</v>
      </c>
      <c r="B860" s="2" t="s">
        <v>3226</v>
      </c>
      <c r="C860" s="3">
        <v>2</v>
      </c>
      <c r="D860" s="5">
        <v>12.99</v>
      </c>
      <c r="E860" s="3" t="s">
        <v>3227</v>
      </c>
      <c r="F860" s="2" t="s">
        <v>33</v>
      </c>
      <c r="G860" s="6"/>
      <c r="H860" s="2" t="s">
        <v>312</v>
      </c>
      <c r="I860" s="2" t="s">
        <v>1469</v>
      </c>
      <c r="J860" s="2" t="s">
        <v>19</v>
      </c>
      <c r="K860" s="2" t="s">
        <v>353</v>
      </c>
      <c r="L860" s="7" t="str">
        <f t="shared" si="10"/>
        <v xml:space="preserve">http://slimages.macys.com/is/image/MCY/10743611 </v>
      </c>
    </row>
    <row r="861" spans="1:12" ht="24.75" x14ac:dyDescent="0.25">
      <c r="A861" s="4" t="s">
        <v>4261</v>
      </c>
      <c r="B861" s="2" t="s">
        <v>3226</v>
      </c>
      <c r="C861" s="3">
        <v>2</v>
      </c>
      <c r="D861" s="5">
        <v>12.99</v>
      </c>
      <c r="E861" s="3" t="s">
        <v>4259</v>
      </c>
      <c r="F861" s="2" t="s">
        <v>752</v>
      </c>
      <c r="G861" s="6"/>
      <c r="H861" s="2" t="s">
        <v>312</v>
      </c>
      <c r="I861" s="2" t="s">
        <v>1469</v>
      </c>
      <c r="J861" s="2" t="s">
        <v>19</v>
      </c>
      <c r="K861" s="2" t="s">
        <v>353</v>
      </c>
      <c r="L861" s="7" t="str">
        <f t="shared" si="10"/>
        <v xml:space="preserve">http://slimages.macys.com/is/image/MCY/10743611 </v>
      </c>
    </row>
    <row r="862" spans="1:12" ht="24.75" x14ac:dyDescent="0.25">
      <c r="A862" s="4" t="s">
        <v>4262</v>
      </c>
      <c r="B862" s="2" t="s">
        <v>3226</v>
      </c>
      <c r="C862" s="3">
        <v>2</v>
      </c>
      <c r="D862" s="5">
        <v>12.99</v>
      </c>
      <c r="E862" s="3" t="s">
        <v>3227</v>
      </c>
      <c r="F862" s="2" t="s">
        <v>33</v>
      </c>
      <c r="G862" s="6"/>
      <c r="H862" s="2" t="s">
        <v>312</v>
      </c>
      <c r="I862" s="2" t="s">
        <v>195</v>
      </c>
      <c r="J862" s="2" t="s">
        <v>19</v>
      </c>
      <c r="K862" s="2" t="s">
        <v>648</v>
      </c>
      <c r="L862" s="7" t="str">
        <f>HYPERLINK("http://slimages.macys.com/is/image/MCY/12063878 ")</f>
        <v xml:space="preserve">http://slimages.macys.com/is/image/MCY/12063878 </v>
      </c>
    </row>
    <row r="863" spans="1:12" ht="24.75" x14ac:dyDescent="0.25">
      <c r="A863" s="4" t="s">
        <v>4263</v>
      </c>
      <c r="B863" s="2" t="s">
        <v>3226</v>
      </c>
      <c r="C863" s="3">
        <v>4</v>
      </c>
      <c r="D863" s="5">
        <v>12.99</v>
      </c>
      <c r="E863" s="3" t="s">
        <v>4259</v>
      </c>
      <c r="F863" s="2" t="s">
        <v>752</v>
      </c>
      <c r="G863" s="6"/>
      <c r="H863" s="2" t="s">
        <v>312</v>
      </c>
      <c r="I863" s="2" t="s">
        <v>195</v>
      </c>
      <c r="J863" s="2" t="s">
        <v>19</v>
      </c>
      <c r="K863" s="2" t="s">
        <v>648</v>
      </c>
      <c r="L863" s="7" t="str">
        <f>HYPERLINK("http://slimages.macys.com/is/image/MCY/11764447 ")</f>
        <v xml:space="preserve">http://slimages.macys.com/is/image/MCY/11764447 </v>
      </c>
    </row>
    <row r="864" spans="1:12" ht="24.75" x14ac:dyDescent="0.25">
      <c r="A864" s="4" t="s">
        <v>3225</v>
      </c>
      <c r="B864" s="2" t="s">
        <v>3226</v>
      </c>
      <c r="C864" s="3">
        <v>4</v>
      </c>
      <c r="D864" s="5">
        <v>12.99</v>
      </c>
      <c r="E864" s="3" t="s">
        <v>3227</v>
      </c>
      <c r="F864" s="2" t="s">
        <v>33</v>
      </c>
      <c r="G864" s="6"/>
      <c r="H864" s="2" t="s">
        <v>312</v>
      </c>
      <c r="I864" s="2" t="s">
        <v>195</v>
      </c>
      <c r="J864" s="2" t="s">
        <v>19</v>
      </c>
      <c r="K864" s="2" t="s">
        <v>648</v>
      </c>
      <c r="L864" s="7" t="str">
        <f>HYPERLINK("http://slimages.macys.com/is/image/MCY/12063878 ")</f>
        <v xml:space="preserve">http://slimages.macys.com/is/image/MCY/12063878 </v>
      </c>
    </row>
    <row r="865" spans="1:12" ht="24.75" x14ac:dyDescent="0.25">
      <c r="A865" s="4" t="s">
        <v>4264</v>
      </c>
      <c r="B865" s="2" t="s">
        <v>3226</v>
      </c>
      <c r="C865" s="3">
        <v>1</v>
      </c>
      <c r="D865" s="5">
        <v>12.99</v>
      </c>
      <c r="E865" s="3" t="s">
        <v>4259</v>
      </c>
      <c r="F865" s="2" t="s">
        <v>752</v>
      </c>
      <c r="G865" s="6"/>
      <c r="H865" s="2" t="s">
        <v>312</v>
      </c>
      <c r="I865" s="2" t="s">
        <v>195</v>
      </c>
      <c r="J865" s="2" t="s">
        <v>19</v>
      </c>
      <c r="K865" s="2" t="s">
        <v>648</v>
      </c>
      <c r="L865" s="7" t="str">
        <f>HYPERLINK("http://slimages.macys.com/is/image/MCY/11764447 ")</f>
        <v xml:space="preserve">http://slimages.macys.com/is/image/MCY/11764447 </v>
      </c>
    </row>
    <row r="866" spans="1:12" ht="24.75" x14ac:dyDescent="0.25">
      <c r="A866" s="4" t="s">
        <v>4265</v>
      </c>
      <c r="B866" s="2" t="s">
        <v>3226</v>
      </c>
      <c r="C866" s="3">
        <v>3</v>
      </c>
      <c r="D866" s="5">
        <v>12.99</v>
      </c>
      <c r="E866" s="3" t="s">
        <v>3227</v>
      </c>
      <c r="F866" s="2" t="s">
        <v>33</v>
      </c>
      <c r="G866" s="6"/>
      <c r="H866" s="2" t="s">
        <v>312</v>
      </c>
      <c r="I866" s="2" t="s">
        <v>195</v>
      </c>
      <c r="J866" s="2" t="s">
        <v>19</v>
      </c>
      <c r="K866" s="2" t="s">
        <v>648</v>
      </c>
      <c r="L866" s="7" t="str">
        <f>HYPERLINK("http://slimages.macys.com/is/image/MCY/12063878 ")</f>
        <v xml:space="preserve">http://slimages.macys.com/is/image/MCY/12063878 </v>
      </c>
    </row>
    <row r="867" spans="1:12" ht="24.75" x14ac:dyDescent="0.25">
      <c r="A867" s="4" t="s">
        <v>4266</v>
      </c>
      <c r="B867" s="2" t="s">
        <v>3226</v>
      </c>
      <c r="C867" s="3">
        <v>2</v>
      </c>
      <c r="D867" s="5">
        <v>12.99</v>
      </c>
      <c r="E867" s="3" t="s">
        <v>4259</v>
      </c>
      <c r="F867" s="2" t="s">
        <v>752</v>
      </c>
      <c r="G867" s="6"/>
      <c r="H867" s="2" t="s">
        <v>312</v>
      </c>
      <c r="I867" s="2" t="s">
        <v>195</v>
      </c>
      <c r="J867" s="2" t="s">
        <v>19</v>
      </c>
      <c r="K867" s="2" t="s">
        <v>648</v>
      </c>
      <c r="L867" s="7" t="str">
        <f>HYPERLINK("http://slimages.macys.com/is/image/MCY/11764447 ")</f>
        <v xml:space="preserve">http://slimages.macys.com/is/image/MCY/11764447 </v>
      </c>
    </row>
    <row r="868" spans="1:12" ht="24.75" x14ac:dyDescent="0.25">
      <c r="A868" s="4" t="s">
        <v>4267</v>
      </c>
      <c r="B868" s="2" t="s">
        <v>2016</v>
      </c>
      <c r="C868" s="3">
        <v>1</v>
      </c>
      <c r="D868" s="5">
        <v>12.99</v>
      </c>
      <c r="E868" s="3" t="s">
        <v>2017</v>
      </c>
      <c r="F868" s="2" t="s">
        <v>125</v>
      </c>
      <c r="G868" s="6" t="s">
        <v>245</v>
      </c>
      <c r="H868" s="2" t="s">
        <v>194</v>
      </c>
      <c r="I868" s="2" t="s">
        <v>195</v>
      </c>
      <c r="J868" s="2" t="s">
        <v>19</v>
      </c>
      <c r="K868" s="2" t="s">
        <v>648</v>
      </c>
      <c r="L868" s="7" t="str">
        <f>HYPERLINK("http://slimages.macys.com/is/image/MCY/12063878 ")</f>
        <v xml:space="preserve">http://slimages.macys.com/is/image/MCY/12063878 </v>
      </c>
    </row>
    <row r="869" spans="1:12" ht="24.75" x14ac:dyDescent="0.25">
      <c r="A869" s="4" t="s">
        <v>4268</v>
      </c>
      <c r="B869" s="2" t="s">
        <v>2016</v>
      </c>
      <c r="C869" s="3">
        <v>1</v>
      </c>
      <c r="D869" s="5">
        <v>12.99</v>
      </c>
      <c r="E869" s="3" t="s">
        <v>2017</v>
      </c>
      <c r="F869" s="2" t="s">
        <v>111</v>
      </c>
      <c r="G869" s="6" t="s">
        <v>156</v>
      </c>
      <c r="H869" s="2" t="s">
        <v>194</v>
      </c>
      <c r="I869" s="2" t="s">
        <v>195</v>
      </c>
      <c r="J869" s="2" t="s">
        <v>19</v>
      </c>
      <c r="K869" s="2" t="s">
        <v>648</v>
      </c>
      <c r="L869" s="7" t="str">
        <f>HYPERLINK("http://slimages.macys.com/is/image/MCY/11764447 ")</f>
        <v xml:space="preserve">http://slimages.macys.com/is/image/MCY/11764447 </v>
      </c>
    </row>
    <row r="870" spans="1:12" ht="24.75" x14ac:dyDescent="0.25">
      <c r="A870" s="4" t="s">
        <v>4269</v>
      </c>
      <c r="B870" s="2" t="s">
        <v>4270</v>
      </c>
      <c r="C870" s="3">
        <v>1</v>
      </c>
      <c r="D870" s="5">
        <v>12.99</v>
      </c>
      <c r="E870" s="3" t="s">
        <v>4271</v>
      </c>
      <c r="F870" s="2" t="s">
        <v>111</v>
      </c>
      <c r="G870" s="6" t="s">
        <v>234</v>
      </c>
      <c r="H870" s="2" t="s">
        <v>194</v>
      </c>
      <c r="I870" s="2" t="s">
        <v>195</v>
      </c>
      <c r="J870" s="2" t="s">
        <v>19</v>
      </c>
      <c r="K870" s="2" t="s">
        <v>648</v>
      </c>
      <c r="L870" s="7" t="str">
        <f>HYPERLINK("http://slimages.macys.com/is/image/MCY/12063878 ")</f>
        <v xml:space="preserve">http://slimages.macys.com/is/image/MCY/12063878 </v>
      </c>
    </row>
    <row r="871" spans="1:12" ht="24.75" x14ac:dyDescent="0.25">
      <c r="A871" s="4" t="s">
        <v>4272</v>
      </c>
      <c r="B871" s="2" t="s">
        <v>2021</v>
      </c>
      <c r="C871" s="3">
        <v>2</v>
      </c>
      <c r="D871" s="5">
        <v>18.38</v>
      </c>
      <c r="E871" s="3">
        <v>100018061</v>
      </c>
      <c r="F871" s="2" t="s">
        <v>48</v>
      </c>
      <c r="G871" s="6" t="s">
        <v>234</v>
      </c>
      <c r="H871" s="2" t="s">
        <v>194</v>
      </c>
      <c r="I871" s="2" t="s">
        <v>195</v>
      </c>
      <c r="J871" s="2" t="s">
        <v>19</v>
      </c>
      <c r="K871" s="2" t="s">
        <v>648</v>
      </c>
      <c r="L871" s="7" t="str">
        <f>HYPERLINK("http://slimages.macys.com/is/image/MCY/11764447 ")</f>
        <v xml:space="preserve">http://slimages.macys.com/is/image/MCY/11764447 </v>
      </c>
    </row>
    <row r="872" spans="1:12" ht="24.75" x14ac:dyDescent="0.25">
      <c r="A872" s="4" t="s">
        <v>4273</v>
      </c>
      <c r="B872" s="2" t="s">
        <v>2021</v>
      </c>
      <c r="C872" s="3">
        <v>1</v>
      </c>
      <c r="D872" s="5">
        <v>18.38</v>
      </c>
      <c r="E872" s="3">
        <v>100018061</v>
      </c>
      <c r="F872" s="2" t="s">
        <v>15</v>
      </c>
      <c r="G872" s="6" t="s">
        <v>245</v>
      </c>
      <c r="H872" s="2" t="s">
        <v>194</v>
      </c>
      <c r="I872" s="2" t="s">
        <v>195</v>
      </c>
      <c r="J872" s="2" t="s">
        <v>19</v>
      </c>
      <c r="K872" s="2" t="s">
        <v>648</v>
      </c>
      <c r="L872" s="7" t="str">
        <f>HYPERLINK("http://slimages.macys.com/is/image/MCY/14887463 ")</f>
        <v xml:space="preserve">http://slimages.macys.com/is/image/MCY/14887463 </v>
      </c>
    </row>
    <row r="873" spans="1:12" ht="24.75" x14ac:dyDescent="0.25">
      <c r="A873" s="4" t="s">
        <v>4274</v>
      </c>
      <c r="B873" s="2" t="s">
        <v>2021</v>
      </c>
      <c r="C873" s="3">
        <v>1</v>
      </c>
      <c r="D873" s="5">
        <v>18.38</v>
      </c>
      <c r="E873" s="3">
        <v>100018061</v>
      </c>
      <c r="F873" s="2" t="s">
        <v>15</v>
      </c>
      <c r="G873" s="6" t="s">
        <v>234</v>
      </c>
      <c r="H873" s="2" t="s">
        <v>194</v>
      </c>
      <c r="I873" s="2" t="s">
        <v>195</v>
      </c>
      <c r="J873" s="2" t="s">
        <v>19</v>
      </c>
      <c r="K873" s="2" t="s">
        <v>648</v>
      </c>
      <c r="L873" s="7" t="str">
        <f>HYPERLINK("http://slimages.macys.com/is/image/MCY/14887463 ")</f>
        <v xml:space="preserve">http://slimages.macys.com/is/image/MCY/14887463 </v>
      </c>
    </row>
    <row r="874" spans="1:12" ht="24.75" x14ac:dyDescent="0.25">
      <c r="A874" s="4" t="s">
        <v>4275</v>
      </c>
      <c r="B874" s="2" t="s">
        <v>2021</v>
      </c>
      <c r="C874" s="3">
        <v>1</v>
      </c>
      <c r="D874" s="5">
        <v>18.38</v>
      </c>
      <c r="E874" s="3">
        <v>100018061</v>
      </c>
      <c r="F874" s="2" t="s">
        <v>15</v>
      </c>
      <c r="G874" s="6" t="s">
        <v>154</v>
      </c>
      <c r="H874" s="2" t="s">
        <v>194</v>
      </c>
      <c r="I874" s="2" t="s">
        <v>195</v>
      </c>
      <c r="J874" s="2" t="s">
        <v>19</v>
      </c>
      <c r="K874" s="2" t="s">
        <v>495</v>
      </c>
      <c r="L874" s="7" t="str">
        <f>HYPERLINK("http://slimages.macys.com/is/image/MCY/3565245 ")</f>
        <v xml:space="preserve">http://slimages.macys.com/is/image/MCY/3565245 </v>
      </c>
    </row>
    <row r="875" spans="1:12" ht="24.75" x14ac:dyDescent="0.25">
      <c r="A875" s="4" t="s">
        <v>2022</v>
      </c>
      <c r="B875" s="2" t="s">
        <v>2021</v>
      </c>
      <c r="C875" s="3">
        <v>1</v>
      </c>
      <c r="D875" s="5">
        <v>18.38</v>
      </c>
      <c r="E875" s="3">
        <v>100018061</v>
      </c>
      <c r="F875" s="2" t="s">
        <v>15</v>
      </c>
      <c r="G875" s="6" t="s">
        <v>200</v>
      </c>
      <c r="H875" s="2" t="s">
        <v>194</v>
      </c>
      <c r="I875" s="2" t="s">
        <v>195</v>
      </c>
      <c r="J875" s="2" t="s">
        <v>19</v>
      </c>
      <c r="K875" s="2" t="s">
        <v>495</v>
      </c>
      <c r="L875" s="7" t="str">
        <f t="shared" ref="L875:L880" si="11">HYPERLINK("http://slimages.macys.com/is/image/MCY/12950402 ")</f>
        <v xml:space="preserve">http://slimages.macys.com/is/image/MCY/12950402 </v>
      </c>
    </row>
    <row r="876" spans="1:12" ht="24.75" x14ac:dyDescent="0.25">
      <c r="A876" s="4" t="s">
        <v>3235</v>
      </c>
      <c r="B876" s="2" t="s">
        <v>2021</v>
      </c>
      <c r="C876" s="3">
        <v>1</v>
      </c>
      <c r="D876" s="5">
        <v>18.38</v>
      </c>
      <c r="E876" s="3">
        <v>100018061</v>
      </c>
      <c r="F876" s="2" t="s">
        <v>64</v>
      </c>
      <c r="G876" s="6" t="s">
        <v>181</v>
      </c>
      <c r="H876" s="2" t="s">
        <v>194</v>
      </c>
      <c r="I876" s="2" t="s">
        <v>195</v>
      </c>
      <c r="J876" s="2" t="s">
        <v>19</v>
      </c>
      <c r="K876" s="2" t="s">
        <v>495</v>
      </c>
      <c r="L876" s="7" t="str">
        <f t="shared" si="11"/>
        <v xml:space="preserve">http://slimages.macys.com/is/image/MCY/12950402 </v>
      </c>
    </row>
    <row r="877" spans="1:12" ht="24.75" x14ac:dyDescent="0.25">
      <c r="A877" s="4" t="s">
        <v>4276</v>
      </c>
      <c r="B877" s="2" t="s">
        <v>4277</v>
      </c>
      <c r="C877" s="3">
        <v>1</v>
      </c>
      <c r="D877" s="5">
        <v>12.99</v>
      </c>
      <c r="E877" s="3" t="s">
        <v>4278</v>
      </c>
      <c r="F877" s="2"/>
      <c r="G877" s="6" t="s">
        <v>154</v>
      </c>
      <c r="H877" s="2" t="s">
        <v>1473</v>
      </c>
      <c r="I877" s="2" t="s">
        <v>195</v>
      </c>
      <c r="J877" s="2" t="s">
        <v>19</v>
      </c>
      <c r="K877" s="2" t="s">
        <v>495</v>
      </c>
      <c r="L877" s="7" t="str">
        <f t="shared" si="11"/>
        <v xml:space="preserve">http://slimages.macys.com/is/image/MCY/12950402 </v>
      </c>
    </row>
    <row r="878" spans="1:12" ht="24.75" x14ac:dyDescent="0.25">
      <c r="A878" s="4" t="s">
        <v>4279</v>
      </c>
      <c r="B878" s="2" t="s">
        <v>4280</v>
      </c>
      <c r="C878" s="3">
        <v>1</v>
      </c>
      <c r="D878" s="5">
        <v>9.99</v>
      </c>
      <c r="E878" s="3" t="s">
        <v>4281</v>
      </c>
      <c r="F878" s="2" t="s">
        <v>1945</v>
      </c>
      <c r="G878" s="6" t="s">
        <v>181</v>
      </c>
      <c r="H878" s="2" t="s">
        <v>1473</v>
      </c>
      <c r="I878" s="2" t="s">
        <v>195</v>
      </c>
      <c r="J878" s="2" t="s">
        <v>19</v>
      </c>
      <c r="K878" s="2" t="s">
        <v>495</v>
      </c>
      <c r="L878" s="7" t="str">
        <f t="shared" si="11"/>
        <v xml:space="preserve">http://slimages.macys.com/is/image/MCY/12950402 </v>
      </c>
    </row>
    <row r="879" spans="1:12" ht="24.75" x14ac:dyDescent="0.25">
      <c r="A879" s="4" t="s">
        <v>4282</v>
      </c>
      <c r="B879" s="2" t="s">
        <v>4283</v>
      </c>
      <c r="C879" s="3">
        <v>1</v>
      </c>
      <c r="D879" s="5">
        <v>9.99</v>
      </c>
      <c r="E879" s="3" t="s">
        <v>4284</v>
      </c>
      <c r="F879" s="2" t="s">
        <v>94</v>
      </c>
      <c r="G879" s="6" t="s">
        <v>234</v>
      </c>
      <c r="H879" s="2" t="s">
        <v>1473</v>
      </c>
      <c r="I879" s="2" t="s">
        <v>195</v>
      </c>
      <c r="J879" s="2" t="s">
        <v>19</v>
      </c>
      <c r="K879" s="2" t="s">
        <v>495</v>
      </c>
      <c r="L879" s="7" t="str">
        <f t="shared" si="11"/>
        <v xml:space="preserve">http://slimages.macys.com/is/image/MCY/12950402 </v>
      </c>
    </row>
    <row r="880" spans="1:12" ht="24.75" x14ac:dyDescent="0.25">
      <c r="A880" s="4" t="s">
        <v>4285</v>
      </c>
      <c r="B880" s="2" t="s">
        <v>3237</v>
      </c>
      <c r="C880" s="3">
        <v>1</v>
      </c>
      <c r="D880" s="5">
        <v>9.99</v>
      </c>
      <c r="E880" s="3" t="s">
        <v>3238</v>
      </c>
      <c r="F880" s="2" t="s">
        <v>413</v>
      </c>
      <c r="G880" s="6" t="s">
        <v>154</v>
      </c>
      <c r="H880" s="2" t="s">
        <v>194</v>
      </c>
      <c r="I880" s="2" t="s">
        <v>195</v>
      </c>
      <c r="J880" s="2" t="s">
        <v>19</v>
      </c>
      <c r="K880" s="2" t="s">
        <v>495</v>
      </c>
      <c r="L880" s="7" t="str">
        <f t="shared" si="11"/>
        <v xml:space="preserve">http://slimages.macys.com/is/image/MCY/12950402 </v>
      </c>
    </row>
    <row r="881" spans="1:12" ht="24.75" x14ac:dyDescent="0.25">
      <c r="A881" s="4" t="s">
        <v>4286</v>
      </c>
      <c r="B881" s="2" t="s">
        <v>3237</v>
      </c>
      <c r="C881" s="3">
        <v>1</v>
      </c>
      <c r="D881" s="5">
        <v>9.99</v>
      </c>
      <c r="E881" s="3" t="s">
        <v>3238</v>
      </c>
      <c r="F881" s="2" t="s">
        <v>64</v>
      </c>
      <c r="G881" s="6" t="s">
        <v>154</v>
      </c>
      <c r="H881" s="2" t="s">
        <v>194</v>
      </c>
      <c r="I881" s="2" t="s">
        <v>1426</v>
      </c>
      <c r="J881" s="2" t="s">
        <v>19</v>
      </c>
      <c r="K881" s="2" t="s">
        <v>648</v>
      </c>
      <c r="L881" s="7" t="str">
        <f>HYPERLINK("http://slimages.macys.com/is/image/MCY/9770425 ")</f>
        <v xml:space="preserve">http://slimages.macys.com/is/image/MCY/9770425 </v>
      </c>
    </row>
    <row r="882" spans="1:12" ht="24.75" x14ac:dyDescent="0.25">
      <c r="A882" s="4" t="s">
        <v>4287</v>
      </c>
      <c r="B882" s="2" t="s">
        <v>3237</v>
      </c>
      <c r="C882" s="3">
        <v>1</v>
      </c>
      <c r="D882" s="5">
        <v>9.99</v>
      </c>
      <c r="E882" s="3" t="s">
        <v>3238</v>
      </c>
      <c r="F882" s="2" t="s">
        <v>413</v>
      </c>
      <c r="G882" s="6" t="s">
        <v>234</v>
      </c>
      <c r="H882" s="2" t="s">
        <v>194</v>
      </c>
      <c r="I882" s="2" t="s">
        <v>1426</v>
      </c>
      <c r="J882" s="2" t="s">
        <v>19</v>
      </c>
      <c r="K882" s="2" t="s">
        <v>648</v>
      </c>
      <c r="L882" s="7" t="str">
        <f>HYPERLINK("http://slimages.macys.com/is/image/MCY/11456814 ")</f>
        <v xml:space="preserve">http://slimages.macys.com/is/image/MCY/11456814 </v>
      </c>
    </row>
    <row r="883" spans="1:12" ht="24.75" x14ac:dyDescent="0.25">
      <c r="A883" s="4" t="s">
        <v>4288</v>
      </c>
      <c r="B883" s="2" t="s">
        <v>3237</v>
      </c>
      <c r="C883" s="3">
        <v>1</v>
      </c>
      <c r="D883" s="5">
        <v>9.99</v>
      </c>
      <c r="E883" s="3" t="s">
        <v>3238</v>
      </c>
      <c r="F883" s="2" t="s">
        <v>413</v>
      </c>
      <c r="G883" s="6" t="s">
        <v>181</v>
      </c>
      <c r="H883" s="2" t="s">
        <v>194</v>
      </c>
      <c r="I883" s="2" t="s">
        <v>1426</v>
      </c>
      <c r="J883" s="2" t="s">
        <v>19</v>
      </c>
      <c r="K883" s="2" t="s">
        <v>495</v>
      </c>
      <c r="L883" s="7" t="str">
        <f>HYPERLINK("http://slimages.macys.com/is/image/MCY/10703455 ")</f>
        <v xml:space="preserve">http://slimages.macys.com/is/image/MCY/10703455 </v>
      </c>
    </row>
    <row r="884" spans="1:12" ht="24.75" x14ac:dyDescent="0.25">
      <c r="A884" s="4" t="s">
        <v>4289</v>
      </c>
      <c r="B884" s="2" t="s">
        <v>3237</v>
      </c>
      <c r="C884" s="3">
        <v>1</v>
      </c>
      <c r="D884" s="5">
        <v>9.99</v>
      </c>
      <c r="E884" s="3" t="s">
        <v>3238</v>
      </c>
      <c r="F884" s="2" t="s">
        <v>64</v>
      </c>
      <c r="G884" s="6" t="s">
        <v>200</v>
      </c>
      <c r="H884" s="2" t="s">
        <v>194</v>
      </c>
      <c r="I884" s="2" t="s">
        <v>195</v>
      </c>
      <c r="J884" s="2" t="s">
        <v>19</v>
      </c>
      <c r="K884" s="2" t="s">
        <v>247</v>
      </c>
      <c r="L884" s="7" t="str">
        <f t="shared" ref="L884:L891" si="12">HYPERLINK("http://slimages.macys.com/is/image/MCY/15522855 ")</f>
        <v xml:space="preserve">http://slimages.macys.com/is/image/MCY/15522855 </v>
      </c>
    </row>
    <row r="885" spans="1:12" ht="24.75" x14ac:dyDescent="0.25">
      <c r="A885" s="4" t="s">
        <v>4290</v>
      </c>
      <c r="B885" s="2" t="s">
        <v>3237</v>
      </c>
      <c r="C885" s="3">
        <v>1</v>
      </c>
      <c r="D885" s="5">
        <v>9.99</v>
      </c>
      <c r="E885" s="3" t="s">
        <v>3238</v>
      </c>
      <c r="F885" s="2" t="s">
        <v>956</v>
      </c>
      <c r="G885" s="6" t="s">
        <v>181</v>
      </c>
      <c r="H885" s="2" t="s">
        <v>194</v>
      </c>
      <c r="I885" s="2" t="s">
        <v>195</v>
      </c>
      <c r="J885" s="2" t="s">
        <v>19</v>
      </c>
      <c r="K885" s="2" t="s">
        <v>247</v>
      </c>
      <c r="L885" s="7" t="str">
        <f t="shared" si="12"/>
        <v xml:space="preserve">http://slimages.macys.com/is/image/MCY/15522855 </v>
      </c>
    </row>
    <row r="886" spans="1:12" ht="24.75" x14ac:dyDescent="0.25">
      <c r="A886" s="4" t="s">
        <v>4291</v>
      </c>
      <c r="B886" s="2" t="s">
        <v>3237</v>
      </c>
      <c r="C886" s="3">
        <v>1</v>
      </c>
      <c r="D886" s="5">
        <v>9.99</v>
      </c>
      <c r="E886" s="3" t="s">
        <v>3238</v>
      </c>
      <c r="F886" s="2" t="s">
        <v>3267</v>
      </c>
      <c r="G886" s="6" t="s">
        <v>181</v>
      </c>
      <c r="H886" s="2" t="s">
        <v>194</v>
      </c>
      <c r="I886" s="2" t="s">
        <v>195</v>
      </c>
      <c r="J886" s="2" t="s">
        <v>19</v>
      </c>
      <c r="K886" s="2" t="s">
        <v>247</v>
      </c>
      <c r="L886" s="7" t="str">
        <f t="shared" si="12"/>
        <v xml:space="preserve">http://slimages.macys.com/is/image/MCY/15522855 </v>
      </c>
    </row>
    <row r="887" spans="1:12" ht="24.75" x14ac:dyDescent="0.25">
      <c r="A887" s="4" t="s">
        <v>3239</v>
      </c>
      <c r="B887" s="2" t="s">
        <v>3237</v>
      </c>
      <c r="C887" s="3">
        <v>1</v>
      </c>
      <c r="D887" s="5">
        <v>9.99</v>
      </c>
      <c r="E887" s="3" t="s">
        <v>3238</v>
      </c>
      <c r="F887" s="2" t="s">
        <v>170</v>
      </c>
      <c r="G887" s="6" t="s">
        <v>154</v>
      </c>
      <c r="H887" s="2" t="s">
        <v>194</v>
      </c>
      <c r="I887" s="2" t="s">
        <v>195</v>
      </c>
      <c r="J887" s="2" t="s">
        <v>19</v>
      </c>
      <c r="K887" s="2" t="s">
        <v>247</v>
      </c>
      <c r="L887" s="7" t="str">
        <f t="shared" si="12"/>
        <v xml:space="preserve">http://slimages.macys.com/is/image/MCY/15522855 </v>
      </c>
    </row>
    <row r="888" spans="1:12" ht="24.75" x14ac:dyDescent="0.25">
      <c r="A888" s="4" t="s">
        <v>4292</v>
      </c>
      <c r="B888" s="2" t="s">
        <v>2036</v>
      </c>
      <c r="C888" s="3">
        <v>1</v>
      </c>
      <c r="D888" s="5">
        <v>12.99</v>
      </c>
      <c r="E888" s="3" t="s">
        <v>2037</v>
      </c>
      <c r="F888" s="2" t="s">
        <v>111</v>
      </c>
      <c r="G888" s="6" t="s">
        <v>245</v>
      </c>
      <c r="H888" s="2" t="s">
        <v>194</v>
      </c>
      <c r="I888" s="2" t="s">
        <v>195</v>
      </c>
      <c r="J888" s="2" t="s">
        <v>19</v>
      </c>
      <c r="K888" s="2" t="s">
        <v>247</v>
      </c>
      <c r="L888" s="7" t="str">
        <f t="shared" si="12"/>
        <v xml:space="preserve">http://slimages.macys.com/is/image/MCY/15522855 </v>
      </c>
    </row>
    <row r="889" spans="1:12" ht="24.75" x14ac:dyDescent="0.25">
      <c r="A889" s="4" t="s">
        <v>4293</v>
      </c>
      <c r="B889" s="2" t="s">
        <v>2036</v>
      </c>
      <c r="C889" s="3">
        <v>1</v>
      </c>
      <c r="D889" s="5">
        <v>12.99</v>
      </c>
      <c r="E889" s="3" t="s">
        <v>2037</v>
      </c>
      <c r="F889" s="2" t="s">
        <v>170</v>
      </c>
      <c r="G889" s="6" t="s">
        <v>154</v>
      </c>
      <c r="H889" s="2" t="s">
        <v>194</v>
      </c>
      <c r="I889" s="2" t="s">
        <v>195</v>
      </c>
      <c r="J889" s="2" t="s">
        <v>19</v>
      </c>
      <c r="K889" s="2" t="s">
        <v>247</v>
      </c>
      <c r="L889" s="7" t="str">
        <f t="shared" si="12"/>
        <v xml:space="preserve">http://slimages.macys.com/is/image/MCY/15522855 </v>
      </c>
    </row>
    <row r="890" spans="1:12" ht="24.75" x14ac:dyDescent="0.25">
      <c r="A890" s="4" t="s">
        <v>4294</v>
      </c>
      <c r="B890" s="2" t="s">
        <v>4295</v>
      </c>
      <c r="C890" s="3">
        <v>1</v>
      </c>
      <c r="D890" s="5">
        <v>9.99</v>
      </c>
      <c r="E890" s="3" t="s">
        <v>4296</v>
      </c>
      <c r="F890" s="2" t="s">
        <v>33</v>
      </c>
      <c r="G890" s="6" t="s">
        <v>200</v>
      </c>
      <c r="H890" s="2" t="s">
        <v>1473</v>
      </c>
      <c r="I890" s="2" t="s">
        <v>195</v>
      </c>
      <c r="J890" s="2" t="s">
        <v>19</v>
      </c>
      <c r="K890" s="2" t="s">
        <v>247</v>
      </c>
      <c r="L890" s="7" t="str">
        <f t="shared" si="12"/>
        <v xml:space="preserve">http://slimages.macys.com/is/image/MCY/15522855 </v>
      </c>
    </row>
    <row r="891" spans="1:12" ht="24.75" x14ac:dyDescent="0.25">
      <c r="A891" s="4" t="s">
        <v>4297</v>
      </c>
      <c r="B891" s="2" t="s">
        <v>2045</v>
      </c>
      <c r="C891" s="3">
        <v>2</v>
      </c>
      <c r="D891" s="5">
        <v>9.99</v>
      </c>
      <c r="E891" s="3" t="s">
        <v>2046</v>
      </c>
      <c r="F891" s="2" t="s">
        <v>94</v>
      </c>
      <c r="G891" s="6" t="s">
        <v>156</v>
      </c>
      <c r="H891" s="2" t="s">
        <v>1473</v>
      </c>
      <c r="I891" s="2" t="s">
        <v>195</v>
      </c>
      <c r="J891" s="2" t="s">
        <v>19</v>
      </c>
      <c r="K891" s="2" t="s">
        <v>247</v>
      </c>
      <c r="L891" s="7" t="str">
        <f t="shared" si="12"/>
        <v xml:space="preserve">http://slimages.macys.com/is/image/MCY/15522855 </v>
      </c>
    </row>
    <row r="892" spans="1:12" ht="24.75" x14ac:dyDescent="0.25">
      <c r="A892" s="4" t="s">
        <v>2044</v>
      </c>
      <c r="B892" s="2" t="s">
        <v>2045</v>
      </c>
      <c r="C892" s="3">
        <v>1</v>
      </c>
      <c r="D892" s="5">
        <v>9.99</v>
      </c>
      <c r="E892" s="3" t="s">
        <v>2046</v>
      </c>
      <c r="F892" s="2" t="s">
        <v>94</v>
      </c>
      <c r="G892" s="6" t="s">
        <v>154</v>
      </c>
      <c r="H892" s="2" t="s">
        <v>1473</v>
      </c>
      <c r="I892" s="2" t="s">
        <v>195</v>
      </c>
      <c r="J892" s="2"/>
      <c r="K892" s="2"/>
      <c r="L892" s="7" t="str">
        <f>HYPERLINK("http://slimages.macys.com/is/image/MCY/9527158 ")</f>
        <v xml:space="preserve">http://slimages.macys.com/is/image/MCY/9527158 </v>
      </c>
    </row>
    <row r="893" spans="1:12" ht="24.75" x14ac:dyDescent="0.25">
      <c r="A893" s="4" t="s">
        <v>4298</v>
      </c>
      <c r="B893" s="2" t="s">
        <v>4295</v>
      </c>
      <c r="C893" s="3">
        <v>3</v>
      </c>
      <c r="D893" s="5">
        <v>9.99</v>
      </c>
      <c r="E893" s="3" t="s">
        <v>4296</v>
      </c>
      <c r="F893" s="2" t="s">
        <v>33</v>
      </c>
      <c r="G893" s="6" t="s">
        <v>181</v>
      </c>
      <c r="H893" s="2" t="s">
        <v>1473</v>
      </c>
      <c r="I893" s="2" t="s">
        <v>195</v>
      </c>
      <c r="J893" s="2" t="s">
        <v>19</v>
      </c>
      <c r="K893" s="2" t="s">
        <v>495</v>
      </c>
      <c r="L893" s="7" t="str">
        <f>HYPERLINK("http://slimages.macys.com/is/image/MCY/10191342 ")</f>
        <v xml:space="preserve">http://slimages.macys.com/is/image/MCY/10191342 </v>
      </c>
    </row>
    <row r="894" spans="1:12" ht="24.75" x14ac:dyDescent="0.25">
      <c r="A894" s="4" t="s">
        <v>4299</v>
      </c>
      <c r="B894" s="2" t="s">
        <v>4295</v>
      </c>
      <c r="C894" s="3">
        <v>3</v>
      </c>
      <c r="D894" s="5">
        <v>9.99</v>
      </c>
      <c r="E894" s="3" t="s">
        <v>4296</v>
      </c>
      <c r="F894" s="2" t="s">
        <v>33</v>
      </c>
      <c r="G894" s="6" t="s">
        <v>154</v>
      </c>
      <c r="H894" s="2" t="s">
        <v>1473</v>
      </c>
      <c r="I894" s="2" t="s">
        <v>1426</v>
      </c>
      <c r="J894" s="2" t="s">
        <v>19</v>
      </c>
      <c r="K894" s="2" t="s">
        <v>495</v>
      </c>
      <c r="L894" s="7" t="str">
        <f>HYPERLINK("http://slimages.macys.com/is/image/MCY/11533706 ")</f>
        <v xml:space="preserve">http://slimages.macys.com/is/image/MCY/11533706 </v>
      </c>
    </row>
    <row r="895" spans="1:12" ht="24.75" x14ac:dyDescent="0.25">
      <c r="A895" s="4" t="s">
        <v>4300</v>
      </c>
      <c r="B895" s="2" t="s">
        <v>2045</v>
      </c>
      <c r="C895" s="3">
        <v>2</v>
      </c>
      <c r="D895" s="5">
        <v>9.99</v>
      </c>
      <c r="E895" s="3" t="s">
        <v>2046</v>
      </c>
      <c r="F895" s="2" t="s">
        <v>94</v>
      </c>
      <c r="G895" s="6" t="s">
        <v>181</v>
      </c>
      <c r="H895" s="2" t="s">
        <v>1473</v>
      </c>
      <c r="I895" s="2" t="s">
        <v>1426</v>
      </c>
      <c r="J895" s="2" t="s">
        <v>19</v>
      </c>
      <c r="K895" s="2" t="s">
        <v>495</v>
      </c>
      <c r="L895" s="7" t="str">
        <f>HYPERLINK("http://slimages.macys.com/is/image/MCY/11533691 ")</f>
        <v xml:space="preserve">http://slimages.macys.com/is/image/MCY/11533691 </v>
      </c>
    </row>
    <row r="896" spans="1:12" ht="24.75" x14ac:dyDescent="0.25">
      <c r="A896" s="4" t="s">
        <v>4301</v>
      </c>
      <c r="B896" s="2" t="s">
        <v>4302</v>
      </c>
      <c r="C896" s="3">
        <v>1</v>
      </c>
      <c r="D896" s="5">
        <v>9.99</v>
      </c>
      <c r="E896" s="3" t="s">
        <v>4303</v>
      </c>
      <c r="F896" s="2" t="s">
        <v>1322</v>
      </c>
      <c r="G896" s="6" t="s">
        <v>219</v>
      </c>
      <c r="H896" s="2" t="s">
        <v>1425</v>
      </c>
      <c r="I896" s="2" t="s">
        <v>1426</v>
      </c>
      <c r="J896" s="2" t="s">
        <v>19</v>
      </c>
      <c r="K896" s="2" t="s">
        <v>495</v>
      </c>
      <c r="L896" s="7" t="str">
        <f>HYPERLINK("http://slimages.macys.com/is/image/MCY/11533691 ")</f>
        <v xml:space="preserve">http://slimages.macys.com/is/image/MCY/11533691 </v>
      </c>
    </row>
    <row r="897" spans="1:12" ht="24.75" x14ac:dyDescent="0.25">
      <c r="A897" s="4" t="s">
        <v>4304</v>
      </c>
      <c r="B897" s="2" t="s">
        <v>2045</v>
      </c>
      <c r="C897" s="3">
        <v>3</v>
      </c>
      <c r="D897" s="5">
        <v>9.99</v>
      </c>
      <c r="E897" s="3" t="s">
        <v>2046</v>
      </c>
      <c r="F897" s="2" t="s">
        <v>94</v>
      </c>
      <c r="G897" s="6" t="s">
        <v>234</v>
      </c>
      <c r="H897" s="2" t="s">
        <v>1473</v>
      </c>
      <c r="I897" s="2" t="s">
        <v>1426</v>
      </c>
      <c r="J897" s="2" t="s">
        <v>19</v>
      </c>
      <c r="K897" s="2" t="s">
        <v>495</v>
      </c>
      <c r="L897" s="7" t="str">
        <f>HYPERLINK("http://slimages.macys.com/is/image/MCY/11533706 ")</f>
        <v xml:space="preserve">http://slimages.macys.com/is/image/MCY/11533706 </v>
      </c>
    </row>
    <row r="898" spans="1:12" ht="24.75" x14ac:dyDescent="0.25">
      <c r="A898" s="4" t="s">
        <v>4305</v>
      </c>
      <c r="B898" s="2" t="s">
        <v>2061</v>
      </c>
      <c r="C898" s="3">
        <v>1</v>
      </c>
      <c r="D898" s="5">
        <v>9.99</v>
      </c>
      <c r="E898" s="3" t="s">
        <v>4306</v>
      </c>
      <c r="F898" s="2" t="s">
        <v>413</v>
      </c>
      <c r="G898" s="6" t="s">
        <v>234</v>
      </c>
      <c r="H898" s="2" t="s">
        <v>1473</v>
      </c>
      <c r="I898" s="2" t="s">
        <v>1426</v>
      </c>
      <c r="J898" s="2" t="s">
        <v>19</v>
      </c>
      <c r="K898" s="2" t="s">
        <v>495</v>
      </c>
      <c r="L898" s="7" t="str">
        <f>HYPERLINK("http://slimages.macys.com/is/image/MCY/11533706 ")</f>
        <v xml:space="preserve">http://slimages.macys.com/is/image/MCY/11533706 </v>
      </c>
    </row>
    <row r="899" spans="1:12" ht="24.75" x14ac:dyDescent="0.25">
      <c r="A899" s="4" t="s">
        <v>4307</v>
      </c>
      <c r="B899" s="2" t="s">
        <v>4308</v>
      </c>
      <c r="C899" s="3">
        <v>1</v>
      </c>
      <c r="D899" s="5">
        <v>9.99</v>
      </c>
      <c r="E899" s="3" t="s">
        <v>4309</v>
      </c>
      <c r="F899" s="2" t="s">
        <v>15</v>
      </c>
      <c r="G899" s="6" t="s">
        <v>154</v>
      </c>
      <c r="H899" s="2" t="s">
        <v>1473</v>
      </c>
      <c r="I899" s="2" t="s">
        <v>1426</v>
      </c>
      <c r="J899" s="2" t="s">
        <v>19</v>
      </c>
      <c r="K899" s="2" t="s">
        <v>495</v>
      </c>
      <c r="L899" s="7" t="str">
        <f>HYPERLINK("http://slimages.macys.com/is/image/MCY/11533691 ")</f>
        <v xml:space="preserve">http://slimages.macys.com/is/image/MCY/11533691 </v>
      </c>
    </row>
    <row r="900" spans="1:12" ht="24.75" x14ac:dyDescent="0.25">
      <c r="A900" s="4" t="s">
        <v>4310</v>
      </c>
      <c r="B900" s="2" t="s">
        <v>2061</v>
      </c>
      <c r="C900" s="3">
        <v>1</v>
      </c>
      <c r="D900" s="5">
        <v>9.99</v>
      </c>
      <c r="E900" s="3" t="s">
        <v>4306</v>
      </c>
      <c r="F900" s="2" t="s">
        <v>413</v>
      </c>
      <c r="G900" s="6" t="s">
        <v>156</v>
      </c>
      <c r="H900" s="2" t="s">
        <v>1473</v>
      </c>
      <c r="I900" s="2" t="s">
        <v>1426</v>
      </c>
      <c r="J900" s="2" t="s">
        <v>19</v>
      </c>
      <c r="K900" s="2" t="s">
        <v>495</v>
      </c>
      <c r="L900" s="7" t="str">
        <f>HYPERLINK("http://slimages.macys.com/is/image/MCY/12267126 ")</f>
        <v xml:space="preserve">http://slimages.macys.com/is/image/MCY/12267126 </v>
      </c>
    </row>
    <row r="901" spans="1:12" ht="24.75" x14ac:dyDescent="0.25">
      <c r="A901" s="4" t="s">
        <v>4311</v>
      </c>
      <c r="B901" s="2" t="s">
        <v>4312</v>
      </c>
      <c r="C901" s="3">
        <v>2</v>
      </c>
      <c r="D901" s="5">
        <v>9.99</v>
      </c>
      <c r="E901" s="3" t="s">
        <v>4313</v>
      </c>
      <c r="F901" s="2" t="s">
        <v>15</v>
      </c>
      <c r="G901" s="6" t="s">
        <v>234</v>
      </c>
      <c r="H901" s="2" t="s">
        <v>1473</v>
      </c>
      <c r="I901" s="2" t="s">
        <v>1426</v>
      </c>
      <c r="J901" s="2" t="s">
        <v>19</v>
      </c>
      <c r="K901" s="2" t="s">
        <v>495</v>
      </c>
      <c r="L901" s="7" t="str">
        <f>HYPERLINK("http://slimages.macys.com/is/image/MCY/11533691 ")</f>
        <v xml:space="preserve">http://slimages.macys.com/is/image/MCY/11533691 </v>
      </c>
    </row>
    <row r="902" spans="1:12" ht="24.75" x14ac:dyDescent="0.25">
      <c r="A902" s="4" t="s">
        <v>4314</v>
      </c>
      <c r="B902" s="2" t="s">
        <v>2036</v>
      </c>
      <c r="C902" s="3">
        <v>1</v>
      </c>
      <c r="D902" s="5">
        <v>12.99</v>
      </c>
      <c r="E902" s="3" t="s">
        <v>2037</v>
      </c>
      <c r="F902" s="2" t="s">
        <v>566</v>
      </c>
      <c r="G902" s="6" t="s">
        <v>181</v>
      </c>
      <c r="H902" s="2" t="s">
        <v>194</v>
      </c>
      <c r="I902" s="2" t="s">
        <v>1426</v>
      </c>
      <c r="J902" s="2" t="s">
        <v>19</v>
      </c>
      <c r="K902" s="2" t="s">
        <v>495</v>
      </c>
      <c r="L902" s="7" t="str">
        <f>HYPERLINK("http://slimages.macys.com/is/image/MCY/11915620 ")</f>
        <v xml:space="preserve">http://slimages.macys.com/is/image/MCY/11915620 </v>
      </c>
    </row>
    <row r="903" spans="1:12" ht="24.75" x14ac:dyDescent="0.25">
      <c r="A903" s="4" t="s">
        <v>4315</v>
      </c>
      <c r="B903" s="2" t="s">
        <v>2036</v>
      </c>
      <c r="C903" s="3">
        <v>1</v>
      </c>
      <c r="D903" s="5">
        <v>12.99</v>
      </c>
      <c r="E903" s="3" t="s">
        <v>2037</v>
      </c>
      <c r="F903" s="2" t="s">
        <v>566</v>
      </c>
      <c r="G903" s="6" t="s">
        <v>154</v>
      </c>
      <c r="H903" s="2" t="s">
        <v>194</v>
      </c>
      <c r="I903" s="2" t="s">
        <v>1426</v>
      </c>
      <c r="J903" s="2" t="s">
        <v>19</v>
      </c>
      <c r="K903" s="2" t="s">
        <v>495</v>
      </c>
      <c r="L903" s="7" t="str">
        <f>HYPERLINK("http://slimages.macys.com/is/image/MCY/10888157 ")</f>
        <v xml:space="preserve">http://slimages.macys.com/is/image/MCY/10888157 </v>
      </c>
    </row>
    <row r="904" spans="1:12" ht="24.75" x14ac:dyDescent="0.25">
      <c r="A904" s="4" t="s">
        <v>4316</v>
      </c>
      <c r="B904" s="2" t="s">
        <v>2064</v>
      </c>
      <c r="C904" s="3">
        <v>1</v>
      </c>
      <c r="D904" s="5">
        <v>9.99</v>
      </c>
      <c r="E904" s="3" t="s">
        <v>3279</v>
      </c>
      <c r="F904" s="2" t="s">
        <v>1914</v>
      </c>
      <c r="G904" s="6" t="s">
        <v>156</v>
      </c>
      <c r="H904" s="2" t="s">
        <v>1473</v>
      </c>
      <c r="I904" s="2" t="s">
        <v>1426</v>
      </c>
      <c r="J904" s="2" t="s">
        <v>19</v>
      </c>
      <c r="K904" s="2" t="s">
        <v>495</v>
      </c>
      <c r="L904" s="7" t="str">
        <f>HYPERLINK("http://slimages.macys.com/is/image/MCY/11915620 ")</f>
        <v xml:space="preserve">http://slimages.macys.com/is/image/MCY/11915620 </v>
      </c>
    </row>
    <row r="905" spans="1:12" ht="24.75" x14ac:dyDescent="0.25">
      <c r="A905" s="4" t="s">
        <v>4317</v>
      </c>
      <c r="B905" s="2" t="s">
        <v>4318</v>
      </c>
      <c r="C905" s="3">
        <v>1</v>
      </c>
      <c r="D905" s="5">
        <v>9.99</v>
      </c>
      <c r="E905" s="3" t="s">
        <v>4319</v>
      </c>
      <c r="F905" s="2"/>
      <c r="G905" s="6" t="s">
        <v>181</v>
      </c>
      <c r="H905" s="2" t="s">
        <v>1473</v>
      </c>
      <c r="I905" s="2" t="s">
        <v>1426</v>
      </c>
      <c r="J905" s="2" t="s">
        <v>19</v>
      </c>
      <c r="K905" s="2" t="s">
        <v>495</v>
      </c>
      <c r="L905" s="7" t="str">
        <f>HYPERLINK("http://slimages.macys.com/is/image/MCY/11882112 ")</f>
        <v xml:space="preserve">http://slimages.macys.com/is/image/MCY/11882112 </v>
      </c>
    </row>
    <row r="906" spans="1:12" ht="24.75" x14ac:dyDescent="0.25">
      <c r="A906" s="4" t="s">
        <v>4320</v>
      </c>
      <c r="B906" s="2" t="s">
        <v>4321</v>
      </c>
      <c r="C906" s="3">
        <v>1</v>
      </c>
      <c r="D906" s="5">
        <v>12.99</v>
      </c>
      <c r="E906" s="3" t="s">
        <v>4322</v>
      </c>
      <c r="F906" s="2" t="s">
        <v>887</v>
      </c>
      <c r="G906" s="6"/>
      <c r="H906" s="2" t="s">
        <v>312</v>
      </c>
      <c r="I906" s="2" t="s">
        <v>195</v>
      </c>
      <c r="J906" s="2" t="s">
        <v>19</v>
      </c>
      <c r="K906" s="2" t="s">
        <v>495</v>
      </c>
      <c r="L906" s="7" t="str">
        <f>HYPERLINK("http://slimages.macys.com/is/image/MCY/9344781 ")</f>
        <v xml:space="preserve">http://slimages.macys.com/is/image/MCY/9344781 </v>
      </c>
    </row>
    <row r="907" spans="1:12" ht="24.75" x14ac:dyDescent="0.25">
      <c r="A907" s="4" t="s">
        <v>4323</v>
      </c>
      <c r="B907" s="2" t="s">
        <v>4321</v>
      </c>
      <c r="C907" s="3">
        <v>1</v>
      </c>
      <c r="D907" s="5">
        <v>12.99</v>
      </c>
      <c r="E907" s="3" t="s">
        <v>4322</v>
      </c>
      <c r="F907" s="2" t="s">
        <v>887</v>
      </c>
      <c r="G907" s="6"/>
      <c r="H907" s="2" t="s">
        <v>312</v>
      </c>
      <c r="I907" s="2" t="s">
        <v>195</v>
      </c>
      <c r="J907" s="2" t="s">
        <v>19</v>
      </c>
      <c r="K907" s="2" t="s">
        <v>495</v>
      </c>
      <c r="L907" s="7" t="str">
        <f>HYPERLINK("http://slimages.macys.com/is/image/MCY/9344781 ")</f>
        <v xml:space="preserve">http://slimages.macys.com/is/image/MCY/9344781 </v>
      </c>
    </row>
    <row r="908" spans="1:12" ht="24.75" x14ac:dyDescent="0.25">
      <c r="A908" s="4" t="s">
        <v>4324</v>
      </c>
      <c r="B908" s="2" t="s">
        <v>4321</v>
      </c>
      <c r="C908" s="3">
        <v>1</v>
      </c>
      <c r="D908" s="5">
        <v>12.99</v>
      </c>
      <c r="E908" s="3" t="s">
        <v>4322</v>
      </c>
      <c r="F908" s="2" t="s">
        <v>887</v>
      </c>
      <c r="G908" s="6"/>
      <c r="H908" s="2" t="s">
        <v>312</v>
      </c>
      <c r="I908" s="2" t="s">
        <v>1426</v>
      </c>
      <c r="J908" s="2" t="s">
        <v>19</v>
      </c>
      <c r="K908" s="2" t="s">
        <v>990</v>
      </c>
      <c r="L908" s="7" t="str">
        <f>HYPERLINK("http://slimages.macys.com/is/image/MCY/11130625 ")</f>
        <v xml:space="preserve">http://slimages.macys.com/is/image/MCY/11130625 </v>
      </c>
    </row>
    <row r="909" spans="1:12" ht="24.75" x14ac:dyDescent="0.25">
      <c r="A909" s="4" t="s">
        <v>4325</v>
      </c>
      <c r="B909" s="2" t="s">
        <v>4326</v>
      </c>
      <c r="C909" s="3">
        <v>1</v>
      </c>
      <c r="D909" s="5">
        <v>9.99</v>
      </c>
      <c r="E909" s="3" t="s">
        <v>4327</v>
      </c>
      <c r="F909" s="2" t="s">
        <v>136</v>
      </c>
      <c r="G909" s="6" t="s">
        <v>200</v>
      </c>
      <c r="H909" s="2" t="s">
        <v>1473</v>
      </c>
      <c r="I909" s="2" t="s">
        <v>1426</v>
      </c>
      <c r="J909" s="2" t="s">
        <v>19</v>
      </c>
      <c r="K909" s="2" t="s">
        <v>648</v>
      </c>
      <c r="L909" s="7" t="str">
        <f>HYPERLINK("http://slimages.macys.com/is/image/MCY/13301237 ")</f>
        <v xml:space="preserve">http://slimages.macys.com/is/image/MCY/13301237 </v>
      </c>
    </row>
    <row r="910" spans="1:12" ht="24.75" x14ac:dyDescent="0.25">
      <c r="A910" s="4" t="s">
        <v>4328</v>
      </c>
      <c r="B910" s="2" t="s">
        <v>4326</v>
      </c>
      <c r="C910" s="3">
        <v>1</v>
      </c>
      <c r="D910" s="5">
        <v>9.99</v>
      </c>
      <c r="E910" s="3" t="s">
        <v>4327</v>
      </c>
      <c r="F910" s="2" t="s">
        <v>26</v>
      </c>
      <c r="G910" s="6" t="s">
        <v>200</v>
      </c>
      <c r="H910" s="2" t="s">
        <v>1473</v>
      </c>
      <c r="I910" s="2" t="s">
        <v>195</v>
      </c>
      <c r="J910" s="2" t="s">
        <v>19</v>
      </c>
      <c r="K910" s="2" t="s">
        <v>648</v>
      </c>
      <c r="L910" s="7" t="str">
        <f>HYPERLINK("http://slimages.macys.com/is/image/MCY/8157256 ")</f>
        <v xml:space="preserve">http://slimages.macys.com/is/image/MCY/8157256 </v>
      </c>
    </row>
    <row r="911" spans="1:12" ht="24.75" x14ac:dyDescent="0.25">
      <c r="A911" s="4" t="s">
        <v>3245</v>
      </c>
      <c r="B911" s="2" t="s">
        <v>2075</v>
      </c>
      <c r="C911" s="3">
        <v>1</v>
      </c>
      <c r="D911" s="5">
        <v>9.99</v>
      </c>
      <c r="E911" s="3" t="s">
        <v>2076</v>
      </c>
      <c r="F911" s="2" t="s">
        <v>26</v>
      </c>
      <c r="G911" s="6" t="s">
        <v>234</v>
      </c>
      <c r="H911" s="2" t="s">
        <v>1473</v>
      </c>
      <c r="I911" s="2" t="s">
        <v>195</v>
      </c>
      <c r="J911" s="2" t="s">
        <v>19</v>
      </c>
      <c r="K911" s="2" t="s">
        <v>648</v>
      </c>
      <c r="L911" s="7" t="str">
        <f>HYPERLINK("http://slimages.macys.com/is/image/MCY/8157256 ")</f>
        <v xml:space="preserve">http://slimages.macys.com/is/image/MCY/8157256 </v>
      </c>
    </row>
    <row r="912" spans="1:12" ht="24.75" x14ac:dyDescent="0.25">
      <c r="A912" s="4" t="s">
        <v>4329</v>
      </c>
      <c r="B912" s="2" t="s">
        <v>2075</v>
      </c>
      <c r="C912" s="3">
        <v>1</v>
      </c>
      <c r="D912" s="5">
        <v>9.99</v>
      </c>
      <c r="E912" s="3" t="s">
        <v>2076</v>
      </c>
      <c r="F912" s="2" t="s">
        <v>413</v>
      </c>
      <c r="G912" s="6" t="s">
        <v>154</v>
      </c>
      <c r="H912" s="2" t="s">
        <v>1473</v>
      </c>
      <c r="I912" s="2" t="s">
        <v>195</v>
      </c>
      <c r="J912" s="2" t="s">
        <v>19</v>
      </c>
      <c r="K912" s="2" t="s">
        <v>648</v>
      </c>
      <c r="L912" s="7" t="str">
        <f>HYPERLINK("http://slimages.macys.com/is/image/MCY/8157256 ")</f>
        <v xml:space="preserve">http://slimages.macys.com/is/image/MCY/8157256 </v>
      </c>
    </row>
    <row r="913" spans="1:12" ht="24.75" x14ac:dyDescent="0.25">
      <c r="A913" s="4" t="s">
        <v>4330</v>
      </c>
      <c r="B913" s="2" t="s">
        <v>2075</v>
      </c>
      <c r="C913" s="3">
        <v>1</v>
      </c>
      <c r="D913" s="5">
        <v>9.99</v>
      </c>
      <c r="E913" s="3" t="s">
        <v>2076</v>
      </c>
      <c r="F913" s="2" t="s">
        <v>33</v>
      </c>
      <c r="G913" s="6" t="s">
        <v>156</v>
      </c>
      <c r="H913" s="2" t="s">
        <v>1473</v>
      </c>
      <c r="I913" s="2" t="s">
        <v>1426</v>
      </c>
      <c r="J913" s="2" t="s">
        <v>19</v>
      </c>
      <c r="K913" s="2" t="s">
        <v>495</v>
      </c>
      <c r="L913" s="7" t="str">
        <f>HYPERLINK("http://slimages.macys.com/is/image/MCY/10742489 ")</f>
        <v xml:space="preserve">http://slimages.macys.com/is/image/MCY/10742489 </v>
      </c>
    </row>
    <row r="914" spans="1:12" ht="24.75" x14ac:dyDescent="0.25">
      <c r="A914" s="4" t="s">
        <v>4331</v>
      </c>
      <c r="B914" s="2" t="s">
        <v>2075</v>
      </c>
      <c r="C914" s="3">
        <v>1</v>
      </c>
      <c r="D914" s="5">
        <v>9.99</v>
      </c>
      <c r="E914" s="3" t="s">
        <v>2076</v>
      </c>
      <c r="F914" s="2" t="s">
        <v>1945</v>
      </c>
      <c r="G914" s="6" t="s">
        <v>156</v>
      </c>
      <c r="H914" s="2" t="s">
        <v>1473</v>
      </c>
      <c r="I914" s="2" t="s">
        <v>1426</v>
      </c>
      <c r="J914" s="2" t="s">
        <v>19</v>
      </c>
      <c r="K914" s="2" t="s">
        <v>495</v>
      </c>
      <c r="L914" s="7" t="str">
        <f>HYPERLINK("http://slimages.macys.com/is/image/MCY/10742489 ")</f>
        <v xml:space="preserve">http://slimages.macys.com/is/image/MCY/10742489 </v>
      </c>
    </row>
    <row r="915" spans="1:12" ht="24.75" x14ac:dyDescent="0.25">
      <c r="A915" s="4" t="s">
        <v>4332</v>
      </c>
      <c r="B915" s="2" t="s">
        <v>2075</v>
      </c>
      <c r="C915" s="3">
        <v>1</v>
      </c>
      <c r="D915" s="5">
        <v>9.99</v>
      </c>
      <c r="E915" s="3" t="s">
        <v>2076</v>
      </c>
      <c r="F915" s="2" t="s">
        <v>671</v>
      </c>
      <c r="G915" s="6" t="s">
        <v>245</v>
      </c>
      <c r="H915" s="2" t="s">
        <v>1473</v>
      </c>
      <c r="I915" s="2" t="s">
        <v>1426</v>
      </c>
      <c r="J915" s="2" t="s">
        <v>19</v>
      </c>
      <c r="K915" s="2" t="s">
        <v>990</v>
      </c>
      <c r="L915" s="7" t="str">
        <f t="shared" ref="L915:L921" si="13">HYPERLINK("http://slimages.macys.com/is/image/MCY/15161436 ")</f>
        <v xml:space="preserve">http://slimages.macys.com/is/image/MCY/15161436 </v>
      </c>
    </row>
    <row r="916" spans="1:12" ht="24.75" x14ac:dyDescent="0.25">
      <c r="A916" s="4" t="s">
        <v>4333</v>
      </c>
      <c r="B916" s="2" t="s">
        <v>2075</v>
      </c>
      <c r="C916" s="3">
        <v>2</v>
      </c>
      <c r="D916" s="5">
        <v>9.99</v>
      </c>
      <c r="E916" s="3" t="s">
        <v>2076</v>
      </c>
      <c r="F916" s="2" t="s">
        <v>74</v>
      </c>
      <c r="G916" s="6" t="s">
        <v>234</v>
      </c>
      <c r="H916" s="2" t="s">
        <v>1473</v>
      </c>
      <c r="I916" s="2" t="s">
        <v>1426</v>
      </c>
      <c r="J916" s="2" t="s">
        <v>19</v>
      </c>
      <c r="K916" s="2" t="s">
        <v>990</v>
      </c>
      <c r="L916" s="7" t="str">
        <f t="shared" si="13"/>
        <v xml:space="preserve">http://slimages.macys.com/is/image/MCY/15161436 </v>
      </c>
    </row>
    <row r="917" spans="1:12" ht="24.75" x14ac:dyDescent="0.25">
      <c r="A917" s="4" t="s">
        <v>4334</v>
      </c>
      <c r="B917" s="2" t="s">
        <v>2075</v>
      </c>
      <c r="C917" s="3">
        <v>1</v>
      </c>
      <c r="D917" s="5">
        <v>9.99</v>
      </c>
      <c r="E917" s="3" t="s">
        <v>2076</v>
      </c>
      <c r="F917" s="2" t="s">
        <v>331</v>
      </c>
      <c r="G917" s="6" t="s">
        <v>154</v>
      </c>
      <c r="H917" s="2" t="s">
        <v>1473</v>
      </c>
      <c r="I917" s="2" t="s">
        <v>1426</v>
      </c>
      <c r="J917" s="2" t="s">
        <v>19</v>
      </c>
      <c r="K917" s="2" t="s">
        <v>990</v>
      </c>
      <c r="L917" s="7" t="str">
        <f t="shared" si="13"/>
        <v xml:space="preserve">http://slimages.macys.com/is/image/MCY/15161436 </v>
      </c>
    </row>
    <row r="918" spans="1:12" ht="24.75" x14ac:dyDescent="0.25">
      <c r="A918" s="4" t="s">
        <v>4335</v>
      </c>
      <c r="B918" s="2" t="s">
        <v>2083</v>
      </c>
      <c r="C918" s="3">
        <v>1</v>
      </c>
      <c r="D918" s="5">
        <v>9.99</v>
      </c>
      <c r="E918" s="3" t="s">
        <v>2084</v>
      </c>
      <c r="F918" s="2" t="s">
        <v>79</v>
      </c>
      <c r="G918" s="6" t="s">
        <v>200</v>
      </c>
      <c r="H918" s="2" t="s">
        <v>1473</v>
      </c>
      <c r="I918" s="2" t="s">
        <v>1426</v>
      </c>
      <c r="J918" s="2" t="s">
        <v>19</v>
      </c>
      <c r="K918" s="2" t="s">
        <v>990</v>
      </c>
      <c r="L918" s="7" t="str">
        <f t="shared" si="13"/>
        <v xml:space="preserve">http://slimages.macys.com/is/image/MCY/15161436 </v>
      </c>
    </row>
    <row r="919" spans="1:12" ht="24.75" x14ac:dyDescent="0.25">
      <c r="A919" s="4" t="s">
        <v>4336</v>
      </c>
      <c r="B919" s="2" t="s">
        <v>2083</v>
      </c>
      <c r="C919" s="3">
        <v>1</v>
      </c>
      <c r="D919" s="5">
        <v>9.99</v>
      </c>
      <c r="E919" s="3" t="s">
        <v>2084</v>
      </c>
      <c r="F919" s="2" t="s">
        <v>136</v>
      </c>
      <c r="G919" s="6" t="s">
        <v>154</v>
      </c>
      <c r="H919" s="2" t="s">
        <v>1473</v>
      </c>
      <c r="I919" s="2" t="s">
        <v>1426</v>
      </c>
      <c r="J919" s="2" t="s">
        <v>19</v>
      </c>
      <c r="K919" s="2" t="s">
        <v>990</v>
      </c>
      <c r="L919" s="7" t="str">
        <f t="shared" si="13"/>
        <v xml:space="preserve">http://slimages.macys.com/is/image/MCY/15161436 </v>
      </c>
    </row>
    <row r="920" spans="1:12" ht="24.75" x14ac:dyDescent="0.25">
      <c r="A920" s="4" t="s">
        <v>4337</v>
      </c>
      <c r="B920" s="2" t="s">
        <v>2083</v>
      </c>
      <c r="C920" s="3">
        <v>1</v>
      </c>
      <c r="D920" s="5">
        <v>9.99</v>
      </c>
      <c r="E920" s="3" t="s">
        <v>2084</v>
      </c>
      <c r="F920" s="2" t="s">
        <v>74</v>
      </c>
      <c r="G920" s="6" t="s">
        <v>200</v>
      </c>
      <c r="H920" s="2" t="s">
        <v>1473</v>
      </c>
      <c r="I920" s="2" t="s">
        <v>1426</v>
      </c>
      <c r="J920" s="2" t="s">
        <v>19</v>
      </c>
      <c r="K920" s="2" t="s">
        <v>990</v>
      </c>
      <c r="L920" s="7" t="str">
        <f t="shared" si="13"/>
        <v xml:space="preserve">http://slimages.macys.com/is/image/MCY/15161436 </v>
      </c>
    </row>
    <row r="921" spans="1:12" ht="24.75" x14ac:dyDescent="0.25">
      <c r="A921" s="4" t="s">
        <v>4338</v>
      </c>
      <c r="B921" s="2" t="s">
        <v>4339</v>
      </c>
      <c r="C921" s="3">
        <v>1</v>
      </c>
      <c r="D921" s="5">
        <v>9.99</v>
      </c>
      <c r="E921" s="3" t="s">
        <v>4340</v>
      </c>
      <c r="F921" s="2" t="s">
        <v>417</v>
      </c>
      <c r="G921" s="6" t="s">
        <v>234</v>
      </c>
      <c r="H921" s="2" t="s">
        <v>1473</v>
      </c>
      <c r="I921" s="2" t="s">
        <v>1426</v>
      </c>
      <c r="J921" s="2" t="s">
        <v>19</v>
      </c>
      <c r="K921" s="2" t="s">
        <v>990</v>
      </c>
      <c r="L921" s="7" t="str">
        <f t="shared" si="13"/>
        <v xml:space="preserve">http://slimages.macys.com/is/image/MCY/15161436 </v>
      </c>
    </row>
    <row r="922" spans="1:12" ht="24.75" x14ac:dyDescent="0.25">
      <c r="A922" s="4" t="s">
        <v>2082</v>
      </c>
      <c r="B922" s="2" t="s">
        <v>2083</v>
      </c>
      <c r="C922" s="3">
        <v>1</v>
      </c>
      <c r="D922" s="5">
        <v>9.99</v>
      </c>
      <c r="E922" s="3" t="s">
        <v>2084</v>
      </c>
      <c r="F922" s="2" t="s">
        <v>417</v>
      </c>
      <c r="G922" s="6" t="s">
        <v>156</v>
      </c>
      <c r="H922" s="2" t="s">
        <v>1473</v>
      </c>
      <c r="I922" s="2" t="s">
        <v>1426</v>
      </c>
      <c r="J922" s="2" t="s">
        <v>19</v>
      </c>
      <c r="K922" s="2" t="s">
        <v>648</v>
      </c>
      <c r="L922" s="7" t="str">
        <f>HYPERLINK("http://slimages.macys.com/is/image/MCY/10703349 ")</f>
        <v xml:space="preserve">http://slimages.macys.com/is/image/MCY/10703349 </v>
      </c>
    </row>
    <row r="923" spans="1:12" ht="24.75" x14ac:dyDescent="0.25">
      <c r="A923" s="4" t="s">
        <v>3249</v>
      </c>
      <c r="B923" s="2" t="s">
        <v>2083</v>
      </c>
      <c r="C923" s="3">
        <v>1</v>
      </c>
      <c r="D923" s="5">
        <v>9.99</v>
      </c>
      <c r="E923" s="3" t="s">
        <v>2084</v>
      </c>
      <c r="F923" s="2" t="s">
        <v>417</v>
      </c>
      <c r="G923" s="6" t="s">
        <v>154</v>
      </c>
      <c r="H923" s="2" t="s">
        <v>1473</v>
      </c>
      <c r="I923" s="2" t="s">
        <v>1426</v>
      </c>
      <c r="J923" s="2" t="s">
        <v>19</v>
      </c>
      <c r="K923" s="2" t="s">
        <v>648</v>
      </c>
      <c r="L923" s="7" t="str">
        <f>HYPERLINK("http://slimages.macys.com/is/image/MCY/10703349 ")</f>
        <v xml:space="preserve">http://slimages.macys.com/is/image/MCY/10703349 </v>
      </c>
    </row>
    <row r="924" spans="1:12" ht="24.75" x14ac:dyDescent="0.25">
      <c r="A924" s="4" t="s">
        <v>4341</v>
      </c>
      <c r="B924" s="2" t="s">
        <v>2083</v>
      </c>
      <c r="C924" s="3">
        <v>1</v>
      </c>
      <c r="D924" s="5">
        <v>9.99</v>
      </c>
      <c r="E924" s="3" t="s">
        <v>2084</v>
      </c>
      <c r="F924" s="2" t="s">
        <v>1322</v>
      </c>
      <c r="G924" s="6" t="s">
        <v>156</v>
      </c>
      <c r="H924" s="2" t="s">
        <v>1473</v>
      </c>
      <c r="I924" s="2" t="s">
        <v>1426</v>
      </c>
      <c r="J924" s="2" t="s">
        <v>19</v>
      </c>
      <c r="K924" s="2" t="s">
        <v>648</v>
      </c>
      <c r="L924" s="7" t="str">
        <f>HYPERLINK("http://slimages.macys.com/is/image/MCY/10703349 ")</f>
        <v xml:space="preserve">http://slimages.macys.com/is/image/MCY/10703349 </v>
      </c>
    </row>
    <row r="925" spans="1:12" ht="24.75" x14ac:dyDescent="0.25">
      <c r="A925" s="4" t="s">
        <v>4342</v>
      </c>
      <c r="B925" s="2" t="s">
        <v>2083</v>
      </c>
      <c r="C925" s="3">
        <v>1</v>
      </c>
      <c r="D925" s="5">
        <v>9.99</v>
      </c>
      <c r="E925" s="3" t="s">
        <v>3251</v>
      </c>
      <c r="F925" s="2" t="s">
        <v>413</v>
      </c>
      <c r="G925" s="6" t="s">
        <v>219</v>
      </c>
      <c r="H925" s="2" t="s">
        <v>1425</v>
      </c>
      <c r="I925" s="2" t="s">
        <v>1426</v>
      </c>
      <c r="J925" s="2" t="s">
        <v>19</v>
      </c>
      <c r="K925" s="2" t="s">
        <v>648</v>
      </c>
      <c r="L925" s="7" t="str">
        <f>HYPERLINK("http://slimages.macys.com/is/image/MCY/10747176 ")</f>
        <v xml:space="preserve">http://slimages.macys.com/is/image/MCY/10747176 </v>
      </c>
    </row>
    <row r="926" spans="1:12" ht="24.75" x14ac:dyDescent="0.25">
      <c r="A926" s="4" t="s">
        <v>4343</v>
      </c>
      <c r="B926" s="2" t="s">
        <v>2083</v>
      </c>
      <c r="C926" s="3">
        <v>1</v>
      </c>
      <c r="D926" s="5">
        <v>9.99</v>
      </c>
      <c r="E926" s="3" t="s">
        <v>2084</v>
      </c>
      <c r="F926" s="2" t="s">
        <v>15</v>
      </c>
      <c r="G926" s="6" t="s">
        <v>234</v>
      </c>
      <c r="H926" s="2" t="s">
        <v>1473</v>
      </c>
      <c r="I926" s="2" t="s">
        <v>1426</v>
      </c>
      <c r="J926" s="2" t="s">
        <v>19</v>
      </c>
      <c r="K926" s="2" t="s">
        <v>648</v>
      </c>
      <c r="L926" s="7" t="str">
        <f>HYPERLINK("http://slimages.macys.com/is/image/MCY/10703349 ")</f>
        <v xml:space="preserve">http://slimages.macys.com/is/image/MCY/10703349 </v>
      </c>
    </row>
    <row r="927" spans="1:12" ht="24.75" x14ac:dyDescent="0.25">
      <c r="A927" s="4" t="s">
        <v>4344</v>
      </c>
      <c r="B927" s="2" t="s">
        <v>4339</v>
      </c>
      <c r="C927" s="3">
        <v>1</v>
      </c>
      <c r="D927" s="5">
        <v>9.99</v>
      </c>
      <c r="E927" s="3" t="s">
        <v>4340</v>
      </c>
      <c r="F927" s="2" t="s">
        <v>74</v>
      </c>
      <c r="G927" s="6" t="s">
        <v>200</v>
      </c>
      <c r="H927" s="2" t="s">
        <v>1473</v>
      </c>
      <c r="I927" s="2" t="s">
        <v>1426</v>
      </c>
      <c r="J927" s="2" t="s">
        <v>19</v>
      </c>
      <c r="K927" s="2" t="s">
        <v>648</v>
      </c>
      <c r="L927" s="7" t="str">
        <f>HYPERLINK("http://slimages.macys.com/is/image/MCY/10703349 ")</f>
        <v xml:space="preserve">http://slimages.macys.com/is/image/MCY/10703349 </v>
      </c>
    </row>
    <row r="928" spans="1:12" ht="24.75" x14ac:dyDescent="0.25">
      <c r="A928" s="4" t="s">
        <v>4345</v>
      </c>
      <c r="B928" s="2" t="s">
        <v>4339</v>
      </c>
      <c r="C928" s="3">
        <v>1</v>
      </c>
      <c r="D928" s="5">
        <v>9.99</v>
      </c>
      <c r="E928" s="3" t="s">
        <v>4340</v>
      </c>
      <c r="F928" s="2" t="s">
        <v>74</v>
      </c>
      <c r="G928" s="6" t="s">
        <v>245</v>
      </c>
      <c r="H928" s="2" t="s">
        <v>1473</v>
      </c>
      <c r="I928" s="2" t="s">
        <v>1426</v>
      </c>
      <c r="J928" s="2" t="s">
        <v>19</v>
      </c>
      <c r="K928" s="2" t="s">
        <v>648</v>
      </c>
      <c r="L928" s="7" t="str">
        <f>HYPERLINK("http://slimages.macys.com/is/image/MCY/10703349 ")</f>
        <v xml:space="preserve">http://slimages.macys.com/is/image/MCY/10703349 </v>
      </c>
    </row>
    <row r="929" spans="1:12" ht="24.75" x14ac:dyDescent="0.25">
      <c r="A929" s="4" t="s">
        <v>4346</v>
      </c>
      <c r="B929" s="2" t="s">
        <v>4347</v>
      </c>
      <c r="C929" s="3">
        <v>1</v>
      </c>
      <c r="D929" s="5">
        <v>9.98</v>
      </c>
      <c r="E929" s="3" t="s">
        <v>4348</v>
      </c>
      <c r="F929" s="2" t="s">
        <v>64</v>
      </c>
      <c r="G929" s="6" t="s">
        <v>200</v>
      </c>
      <c r="H929" s="2" t="s">
        <v>1473</v>
      </c>
      <c r="I929" s="2" t="s">
        <v>1426</v>
      </c>
      <c r="J929" s="2" t="s">
        <v>19</v>
      </c>
      <c r="K929" s="2" t="s">
        <v>648</v>
      </c>
      <c r="L929" s="7" t="str">
        <f>HYPERLINK("http://slimages.macys.com/is/image/MCY/12315459 ")</f>
        <v xml:space="preserve">http://slimages.macys.com/is/image/MCY/12315459 </v>
      </c>
    </row>
    <row r="930" spans="1:12" ht="24.75" x14ac:dyDescent="0.25">
      <c r="A930" s="4" t="s">
        <v>4349</v>
      </c>
      <c r="B930" s="2" t="s">
        <v>2087</v>
      </c>
      <c r="C930" s="3">
        <v>1</v>
      </c>
      <c r="D930" s="5">
        <v>9.99</v>
      </c>
      <c r="E930" s="3" t="s">
        <v>2088</v>
      </c>
      <c r="F930" s="2" t="s">
        <v>1945</v>
      </c>
      <c r="G930" s="6" t="s">
        <v>234</v>
      </c>
      <c r="H930" s="2" t="s">
        <v>1473</v>
      </c>
      <c r="I930" s="2" t="s">
        <v>1426</v>
      </c>
      <c r="J930" s="2" t="s">
        <v>19</v>
      </c>
      <c r="K930" s="2" t="s">
        <v>648</v>
      </c>
      <c r="L930" s="7" t="str">
        <f>HYPERLINK("http://slimages.macys.com/is/image/MCY/10703349 ")</f>
        <v xml:space="preserve">http://slimages.macys.com/is/image/MCY/10703349 </v>
      </c>
    </row>
    <row r="931" spans="1:12" ht="24.75" x14ac:dyDescent="0.25">
      <c r="A931" s="4" t="s">
        <v>4350</v>
      </c>
      <c r="B931" s="2" t="s">
        <v>3265</v>
      </c>
      <c r="C931" s="3">
        <v>1</v>
      </c>
      <c r="D931" s="5">
        <v>9.99</v>
      </c>
      <c r="E931" s="3" t="s">
        <v>3266</v>
      </c>
      <c r="F931" s="2" t="s">
        <v>33</v>
      </c>
      <c r="G931" s="6" t="s">
        <v>154</v>
      </c>
      <c r="H931" s="2" t="s">
        <v>1473</v>
      </c>
      <c r="I931" s="2" t="s">
        <v>1426</v>
      </c>
      <c r="J931" s="2" t="s">
        <v>19</v>
      </c>
      <c r="K931" s="2" t="s">
        <v>648</v>
      </c>
      <c r="L931" s="7" t="str">
        <f>HYPERLINK("http://slimages.macys.com/is/image/MCY/10747176 ")</f>
        <v xml:space="preserve">http://slimages.macys.com/is/image/MCY/10747176 </v>
      </c>
    </row>
    <row r="932" spans="1:12" ht="24.75" x14ac:dyDescent="0.25">
      <c r="A932" s="4" t="s">
        <v>4351</v>
      </c>
      <c r="B932" s="2" t="s">
        <v>4352</v>
      </c>
      <c r="C932" s="3">
        <v>1</v>
      </c>
      <c r="D932" s="5">
        <v>9.99</v>
      </c>
      <c r="E932" s="3" t="s">
        <v>4353</v>
      </c>
      <c r="F932" s="2" t="s">
        <v>331</v>
      </c>
      <c r="G932" s="6" t="s">
        <v>154</v>
      </c>
      <c r="H932" s="2" t="s">
        <v>1473</v>
      </c>
      <c r="I932" s="2" t="s">
        <v>1426</v>
      </c>
      <c r="J932" s="2" t="s">
        <v>19</v>
      </c>
      <c r="K932" s="2" t="s">
        <v>648</v>
      </c>
      <c r="L932" s="7" t="str">
        <f>HYPERLINK("http://slimages.macys.com/is/image/MCY/10747176 ")</f>
        <v xml:space="preserve">http://slimages.macys.com/is/image/MCY/10747176 </v>
      </c>
    </row>
    <row r="933" spans="1:12" ht="24.75" x14ac:dyDescent="0.25">
      <c r="A933" s="4" t="s">
        <v>4354</v>
      </c>
      <c r="B933" s="2" t="s">
        <v>4352</v>
      </c>
      <c r="C933" s="3">
        <v>1</v>
      </c>
      <c r="D933" s="5">
        <v>9.99</v>
      </c>
      <c r="E933" s="3" t="s">
        <v>4353</v>
      </c>
      <c r="F933" s="2" t="s">
        <v>331</v>
      </c>
      <c r="G933" s="6" t="s">
        <v>156</v>
      </c>
      <c r="H933" s="2" t="s">
        <v>1473</v>
      </c>
      <c r="I933" s="2" t="s">
        <v>1426</v>
      </c>
      <c r="J933" s="2" t="s">
        <v>19</v>
      </c>
      <c r="K933" s="2" t="s">
        <v>648</v>
      </c>
      <c r="L933" s="7" t="str">
        <f>HYPERLINK("http://slimages.macys.com/is/image/MCY/3559834 ")</f>
        <v xml:space="preserve">http://slimages.macys.com/is/image/MCY/3559834 </v>
      </c>
    </row>
    <row r="934" spans="1:12" ht="24.75" x14ac:dyDescent="0.25">
      <c r="A934" s="4" t="s">
        <v>4355</v>
      </c>
      <c r="B934" s="2" t="s">
        <v>4356</v>
      </c>
      <c r="C934" s="3">
        <v>1</v>
      </c>
      <c r="D934" s="5">
        <v>9.99</v>
      </c>
      <c r="E934" s="3" t="s">
        <v>4357</v>
      </c>
      <c r="F934" s="2" t="s">
        <v>15</v>
      </c>
      <c r="G934" s="6" t="s">
        <v>181</v>
      </c>
      <c r="H934" s="2" t="s">
        <v>1473</v>
      </c>
      <c r="I934" s="2" t="s">
        <v>1426</v>
      </c>
      <c r="J934" s="2" t="s">
        <v>19</v>
      </c>
      <c r="K934" s="2" t="s">
        <v>648</v>
      </c>
      <c r="L934" s="7" t="str">
        <f>HYPERLINK("http://slimages.macys.com/is/image/MCY/3559834 ")</f>
        <v xml:space="preserve">http://slimages.macys.com/is/image/MCY/3559834 </v>
      </c>
    </row>
    <row r="935" spans="1:12" ht="24.75" x14ac:dyDescent="0.25">
      <c r="A935" s="4" t="s">
        <v>4358</v>
      </c>
      <c r="B935" s="2" t="s">
        <v>3259</v>
      </c>
      <c r="C935" s="3">
        <v>1</v>
      </c>
      <c r="D935" s="5">
        <v>9.99</v>
      </c>
      <c r="E935" s="3" t="s">
        <v>3260</v>
      </c>
      <c r="F935" s="2" t="s">
        <v>33</v>
      </c>
      <c r="G935" s="6" t="s">
        <v>156</v>
      </c>
      <c r="H935" s="2" t="s">
        <v>1473</v>
      </c>
      <c r="I935" s="2" t="s">
        <v>1426</v>
      </c>
      <c r="J935" s="2" t="s">
        <v>19</v>
      </c>
      <c r="K935" s="2" t="s">
        <v>495</v>
      </c>
      <c r="L935" s="7" t="str">
        <f>HYPERLINK("http://slimages.macys.com/is/image/MCY/11532809 ")</f>
        <v xml:space="preserve">http://slimages.macys.com/is/image/MCY/11532809 </v>
      </c>
    </row>
    <row r="936" spans="1:12" ht="24.75" x14ac:dyDescent="0.25">
      <c r="A936" s="4" t="s">
        <v>4359</v>
      </c>
      <c r="B936" s="2" t="s">
        <v>4360</v>
      </c>
      <c r="C936" s="3">
        <v>1</v>
      </c>
      <c r="D936" s="5">
        <v>9.99</v>
      </c>
      <c r="E936" s="3" t="s">
        <v>4361</v>
      </c>
      <c r="F936" s="2" t="s">
        <v>15</v>
      </c>
      <c r="G936" s="6"/>
      <c r="H936" s="2" t="s">
        <v>1425</v>
      </c>
      <c r="I936" s="2" t="s">
        <v>1426</v>
      </c>
      <c r="J936" s="2" t="s">
        <v>19</v>
      </c>
      <c r="K936" s="2" t="s">
        <v>495</v>
      </c>
      <c r="L936" s="7" t="str">
        <f>HYPERLINK("http://slimages.macys.com/is/image/MCY/12449469 ")</f>
        <v xml:space="preserve">http://slimages.macys.com/is/image/MCY/12449469 </v>
      </c>
    </row>
    <row r="937" spans="1:12" ht="24.75" x14ac:dyDescent="0.25">
      <c r="A937" s="4" t="s">
        <v>4362</v>
      </c>
      <c r="B937" s="2" t="s">
        <v>4363</v>
      </c>
      <c r="C937" s="3">
        <v>1</v>
      </c>
      <c r="D937" s="5">
        <v>59.63</v>
      </c>
      <c r="E937" s="3" t="s">
        <v>4364</v>
      </c>
      <c r="F937" s="2" t="s">
        <v>26</v>
      </c>
      <c r="G937" s="6" t="s">
        <v>154</v>
      </c>
      <c r="H937" s="2" t="s">
        <v>246</v>
      </c>
      <c r="I937" s="2" t="s">
        <v>1426</v>
      </c>
      <c r="J937" s="2" t="s">
        <v>19</v>
      </c>
      <c r="K937" s="2" t="s">
        <v>495</v>
      </c>
      <c r="L937" s="7" t="str">
        <f>HYPERLINK("http://slimages.macys.com/is/image/MCY/12449469 ")</f>
        <v xml:space="preserve">http://slimages.macys.com/is/image/MCY/12449469 </v>
      </c>
    </row>
    <row r="938" spans="1:12" ht="24.75" x14ac:dyDescent="0.25">
      <c r="A938" s="4" t="s">
        <v>4365</v>
      </c>
      <c r="B938" s="2" t="s">
        <v>2120</v>
      </c>
      <c r="C938" s="3">
        <v>1</v>
      </c>
      <c r="D938" s="5">
        <v>40.5</v>
      </c>
      <c r="E938" s="3">
        <v>100067921</v>
      </c>
      <c r="F938" s="2" t="s">
        <v>74</v>
      </c>
      <c r="G938" s="6" t="s">
        <v>27</v>
      </c>
      <c r="H938" s="2" t="s">
        <v>228</v>
      </c>
      <c r="I938" s="2" t="s">
        <v>1426</v>
      </c>
      <c r="J938" s="2" t="s">
        <v>19</v>
      </c>
      <c r="K938" s="2" t="s">
        <v>495</v>
      </c>
      <c r="L938" s="7" t="str">
        <f>HYPERLINK("http://slimages.macys.com/is/image/MCY/12269182 ")</f>
        <v xml:space="preserve">http://slimages.macys.com/is/image/MCY/12269182 </v>
      </c>
    </row>
    <row r="939" spans="1:12" ht="24.75" x14ac:dyDescent="0.25">
      <c r="A939" s="4" t="s">
        <v>4366</v>
      </c>
      <c r="B939" s="2" t="s">
        <v>4367</v>
      </c>
      <c r="C939" s="3">
        <v>1</v>
      </c>
      <c r="D939" s="5">
        <v>9.99</v>
      </c>
      <c r="E939" s="3" t="s">
        <v>4368</v>
      </c>
      <c r="F939" s="2" t="s">
        <v>33</v>
      </c>
      <c r="G939" s="6" t="s">
        <v>154</v>
      </c>
      <c r="H939" s="2" t="s">
        <v>194</v>
      </c>
      <c r="I939" s="2" t="s">
        <v>1426</v>
      </c>
      <c r="J939" s="2" t="s">
        <v>19</v>
      </c>
      <c r="K939" s="2" t="s">
        <v>495</v>
      </c>
      <c r="L939" s="7" t="str">
        <f>HYPERLINK("http://slimages.macys.com/is/image/MCY/11532821 ")</f>
        <v xml:space="preserve">http://slimages.macys.com/is/image/MCY/11532821 </v>
      </c>
    </row>
    <row r="940" spans="1:12" x14ac:dyDescent="0.25">
      <c r="I940" s="2" t="s">
        <v>1426</v>
      </c>
      <c r="J940" s="2" t="s">
        <v>19</v>
      </c>
      <c r="K940" s="2" t="s">
        <v>495</v>
      </c>
      <c r="L940" s="7" t="str">
        <f>HYPERLINK("http://slimages.macys.com/is/image/MCY/12269183 ")</f>
        <v xml:space="preserve">http://slimages.macys.com/is/image/MCY/12269183 </v>
      </c>
    </row>
    <row r="941" spans="1:12" x14ac:dyDescent="0.25">
      <c r="I941" s="2" t="s">
        <v>189</v>
      </c>
      <c r="J941" s="2"/>
      <c r="K941" s="2"/>
      <c r="L941" s="7"/>
    </row>
    <row r="942" spans="1:12" x14ac:dyDescent="0.25">
      <c r="I942" s="2" t="s">
        <v>229</v>
      </c>
      <c r="J942" s="2"/>
      <c r="K942" s="2"/>
      <c r="L942" s="7"/>
    </row>
    <row r="943" spans="1:12" x14ac:dyDescent="0.25">
      <c r="I943" s="2" t="s">
        <v>195</v>
      </c>
      <c r="J943" s="2"/>
      <c r="K943" s="2"/>
      <c r="L943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4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4369</v>
      </c>
      <c r="B2" s="2" t="s">
        <v>31</v>
      </c>
      <c r="C2" s="3">
        <v>1</v>
      </c>
      <c r="D2" s="5">
        <v>158</v>
      </c>
      <c r="E2" s="3" t="s">
        <v>32</v>
      </c>
      <c r="F2" s="2" t="s">
        <v>33</v>
      </c>
      <c r="G2" s="6" t="s">
        <v>22</v>
      </c>
      <c r="H2" s="2" t="s">
        <v>17</v>
      </c>
      <c r="I2" s="2" t="s">
        <v>18</v>
      </c>
      <c r="J2" s="2" t="s">
        <v>19</v>
      </c>
      <c r="K2" s="2" t="s">
        <v>34</v>
      </c>
      <c r="L2" s="7" t="str">
        <f>HYPERLINK("http://slimages.macys.com/is/image/MCY/13289754 ")</f>
        <v xml:space="preserve">http://slimages.macys.com/is/image/MCY/13289754 </v>
      </c>
    </row>
    <row r="3" spans="1:12" ht="24.75" x14ac:dyDescent="0.25">
      <c r="A3" s="4" t="s">
        <v>4370</v>
      </c>
      <c r="B3" s="2" t="s">
        <v>31</v>
      </c>
      <c r="C3" s="3">
        <v>1</v>
      </c>
      <c r="D3" s="5">
        <v>158</v>
      </c>
      <c r="E3" s="3" t="s">
        <v>32</v>
      </c>
      <c r="F3" s="2" t="s">
        <v>33</v>
      </c>
      <c r="G3" s="6" t="s">
        <v>58</v>
      </c>
      <c r="H3" s="2" t="s">
        <v>17</v>
      </c>
      <c r="I3" s="2" t="s">
        <v>18</v>
      </c>
      <c r="J3" s="2" t="s">
        <v>19</v>
      </c>
      <c r="K3" s="2" t="s">
        <v>34</v>
      </c>
      <c r="L3" s="7" t="str">
        <f>HYPERLINK("http://slimages.macys.com/is/image/MCY/13289754 ")</f>
        <v xml:space="preserve">http://slimages.macys.com/is/image/MCY/13289754 </v>
      </c>
    </row>
    <row r="4" spans="1:12" ht="24.75" x14ac:dyDescent="0.25">
      <c r="A4" s="4" t="s">
        <v>4371</v>
      </c>
      <c r="B4" s="2" t="s">
        <v>4372</v>
      </c>
      <c r="C4" s="3">
        <v>1</v>
      </c>
      <c r="D4" s="5">
        <v>148</v>
      </c>
      <c r="E4" s="3" t="s">
        <v>4373</v>
      </c>
      <c r="F4" s="2" t="s">
        <v>64</v>
      </c>
      <c r="G4" s="6" t="s">
        <v>22</v>
      </c>
      <c r="H4" s="2" t="s">
        <v>17</v>
      </c>
      <c r="I4" s="2" t="s">
        <v>18</v>
      </c>
      <c r="J4" s="2" t="s">
        <v>19</v>
      </c>
      <c r="K4" s="2" t="s">
        <v>107</v>
      </c>
      <c r="L4" s="7" t="str">
        <f>HYPERLINK("http://slimages.macys.com/is/image/MCY/12144773 ")</f>
        <v xml:space="preserve">http://slimages.macys.com/is/image/MCY/12144773 </v>
      </c>
    </row>
    <row r="5" spans="1:12" ht="24.75" x14ac:dyDescent="0.25">
      <c r="A5" s="4" t="s">
        <v>4374</v>
      </c>
      <c r="B5" s="2" t="s">
        <v>4372</v>
      </c>
      <c r="C5" s="3">
        <v>1</v>
      </c>
      <c r="D5" s="5">
        <v>148</v>
      </c>
      <c r="E5" s="3" t="s">
        <v>4373</v>
      </c>
      <c r="F5" s="2" t="s">
        <v>64</v>
      </c>
      <c r="G5" s="6" t="s">
        <v>58</v>
      </c>
      <c r="H5" s="2" t="s">
        <v>17</v>
      </c>
      <c r="I5" s="2" t="s">
        <v>18</v>
      </c>
      <c r="J5" s="2" t="s">
        <v>19</v>
      </c>
      <c r="K5" s="2" t="s">
        <v>107</v>
      </c>
      <c r="L5" s="7" t="str">
        <f>HYPERLINK("http://slimages.macys.com/is/image/MCY/12144773 ")</f>
        <v xml:space="preserve">http://slimages.macys.com/is/image/MCY/12144773 </v>
      </c>
    </row>
    <row r="6" spans="1:12" ht="24.75" x14ac:dyDescent="0.25">
      <c r="A6" s="4" t="s">
        <v>4375</v>
      </c>
      <c r="B6" s="2" t="s">
        <v>4372</v>
      </c>
      <c r="C6" s="3">
        <v>1</v>
      </c>
      <c r="D6" s="5">
        <v>148</v>
      </c>
      <c r="E6" s="3" t="s">
        <v>4373</v>
      </c>
      <c r="F6" s="2" t="s">
        <v>64</v>
      </c>
      <c r="G6" s="6" t="s">
        <v>16</v>
      </c>
      <c r="H6" s="2" t="s">
        <v>17</v>
      </c>
      <c r="I6" s="2" t="s">
        <v>18</v>
      </c>
      <c r="J6" s="2" t="s">
        <v>19</v>
      </c>
      <c r="K6" s="2" t="s">
        <v>107</v>
      </c>
      <c r="L6" s="7" t="str">
        <f>HYPERLINK("http://slimages.macys.com/is/image/MCY/12144773 ")</f>
        <v xml:space="preserve">http://slimages.macys.com/is/image/MCY/12144773 </v>
      </c>
    </row>
    <row r="7" spans="1:12" ht="24.75" x14ac:dyDescent="0.25">
      <c r="A7" s="4" t="s">
        <v>4376</v>
      </c>
      <c r="B7" s="2" t="s">
        <v>4372</v>
      </c>
      <c r="C7" s="3">
        <v>1</v>
      </c>
      <c r="D7" s="5">
        <v>148</v>
      </c>
      <c r="E7" s="3" t="s">
        <v>4373</v>
      </c>
      <c r="F7" s="2" t="s">
        <v>64</v>
      </c>
      <c r="G7" s="6" t="s">
        <v>27</v>
      </c>
      <c r="H7" s="2" t="s">
        <v>17</v>
      </c>
      <c r="I7" s="2" t="s">
        <v>18</v>
      </c>
      <c r="J7" s="2" t="s">
        <v>19</v>
      </c>
      <c r="K7" s="2" t="s">
        <v>107</v>
      </c>
      <c r="L7" s="7" t="str">
        <f>HYPERLINK("http://slimages.macys.com/is/image/MCY/12144773 ")</f>
        <v xml:space="preserve">http://slimages.macys.com/is/image/MCY/12144773 </v>
      </c>
    </row>
    <row r="8" spans="1:12" ht="24.75" x14ac:dyDescent="0.25">
      <c r="A8" s="4" t="s">
        <v>4377</v>
      </c>
      <c r="B8" s="2" t="s">
        <v>51</v>
      </c>
      <c r="C8" s="3">
        <v>1</v>
      </c>
      <c r="D8" s="5">
        <v>138</v>
      </c>
      <c r="E8" s="3" t="s">
        <v>4378</v>
      </c>
      <c r="F8" s="2" t="s">
        <v>57</v>
      </c>
      <c r="G8" s="6" t="s">
        <v>27</v>
      </c>
      <c r="H8" s="2" t="s">
        <v>17</v>
      </c>
      <c r="I8" s="2" t="s">
        <v>18</v>
      </c>
      <c r="J8" s="2" t="s">
        <v>19</v>
      </c>
      <c r="K8" s="2" t="s">
        <v>34</v>
      </c>
      <c r="L8" s="7" t="str">
        <f>HYPERLINK("http://slimages.macys.com/is/image/MCY/12649113 ")</f>
        <v xml:space="preserve">http://slimages.macys.com/is/image/MCY/12649113 </v>
      </c>
    </row>
    <row r="9" spans="1:12" ht="36.75" x14ac:dyDescent="0.25">
      <c r="A9" s="4" t="s">
        <v>4379</v>
      </c>
      <c r="B9" s="2" t="s">
        <v>3287</v>
      </c>
      <c r="C9" s="3">
        <v>1</v>
      </c>
      <c r="D9" s="5">
        <v>139</v>
      </c>
      <c r="E9" s="3" t="s">
        <v>3288</v>
      </c>
      <c r="F9" s="2" t="s">
        <v>136</v>
      </c>
      <c r="G9" s="6" t="s">
        <v>27</v>
      </c>
      <c r="H9" s="2" t="s">
        <v>95</v>
      </c>
      <c r="I9" s="2" t="s">
        <v>96</v>
      </c>
      <c r="J9" s="2" t="s">
        <v>19</v>
      </c>
      <c r="K9" s="2" t="s">
        <v>3296</v>
      </c>
      <c r="L9" s="7" t="str">
        <f>HYPERLINK("http://slimages.macys.com/is/image/MCY/12746908 ")</f>
        <v xml:space="preserve">http://slimages.macys.com/is/image/MCY/12746908 </v>
      </c>
    </row>
    <row r="10" spans="1:12" ht="24.75" x14ac:dyDescent="0.25">
      <c r="A10" s="4" t="s">
        <v>4380</v>
      </c>
      <c r="B10" s="2" t="s">
        <v>68</v>
      </c>
      <c r="C10" s="3">
        <v>1</v>
      </c>
      <c r="D10" s="5">
        <v>148</v>
      </c>
      <c r="E10" s="3" t="s">
        <v>69</v>
      </c>
      <c r="F10" s="2" t="s">
        <v>70</v>
      </c>
      <c r="G10" s="6" t="s">
        <v>27</v>
      </c>
      <c r="H10" s="2" t="s">
        <v>17</v>
      </c>
      <c r="I10" s="2" t="s">
        <v>40</v>
      </c>
      <c r="J10" s="2" t="s">
        <v>19</v>
      </c>
      <c r="K10" s="2" t="s">
        <v>66</v>
      </c>
      <c r="L10" s="7" t="str">
        <f>HYPERLINK("http://slimages.macys.com/is/image/MCY/12645911 ")</f>
        <v xml:space="preserve">http://slimages.macys.com/is/image/MCY/12645911 </v>
      </c>
    </row>
    <row r="11" spans="1:12" ht="24.75" x14ac:dyDescent="0.25">
      <c r="A11" s="4" t="s">
        <v>4381</v>
      </c>
      <c r="B11" s="2" t="s">
        <v>4382</v>
      </c>
      <c r="C11" s="3">
        <v>1</v>
      </c>
      <c r="D11" s="5">
        <v>128</v>
      </c>
      <c r="E11" s="3" t="s">
        <v>4383</v>
      </c>
      <c r="F11" s="2" t="s">
        <v>417</v>
      </c>
      <c r="G11" s="6" t="s">
        <v>27</v>
      </c>
      <c r="H11" s="2" t="s">
        <v>17</v>
      </c>
      <c r="I11" s="2" t="s">
        <v>18</v>
      </c>
      <c r="J11" s="2" t="s">
        <v>19</v>
      </c>
      <c r="K11" s="2" t="s">
        <v>75</v>
      </c>
      <c r="L11" s="7" t="str">
        <f>HYPERLINK("http://slimages.macys.com/is/image/MCY/12648545 ")</f>
        <v xml:space="preserve">http://slimages.macys.com/is/image/MCY/12648545 </v>
      </c>
    </row>
    <row r="12" spans="1:12" ht="24.75" x14ac:dyDescent="0.25">
      <c r="A12" s="4" t="s">
        <v>4384</v>
      </c>
      <c r="B12" s="2" t="s">
        <v>4385</v>
      </c>
      <c r="C12" s="3">
        <v>1</v>
      </c>
      <c r="D12" s="5">
        <v>128</v>
      </c>
      <c r="E12" s="3" t="s">
        <v>4386</v>
      </c>
      <c r="F12" s="2" t="s">
        <v>33</v>
      </c>
      <c r="G12" s="6" t="s">
        <v>22</v>
      </c>
      <c r="H12" s="2" t="s">
        <v>17</v>
      </c>
      <c r="I12" s="2" t="s">
        <v>18</v>
      </c>
      <c r="J12" s="2" t="s">
        <v>19</v>
      </c>
      <c r="K12" s="2" t="s">
        <v>75</v>
      </c>
      <c r="L12" s="7" t="str">
        <f>HYPERLINK("http://slimages.macys.com/is/image/MCY/12647051 ")</f>
        <v xml:space="preserve">http://slimages.macys.com/is/image/MCY/12647051 </v>
      </c>
    </row>
    <row r="13" spans="1:12" ht="24.75" x14ac:dyDescent="0.25">
      <c r="A13" s="4" t="s">
        <v>90</v>
      </c>
      <c r="B13" s="2" t="s">
        <v>72</v>
      </c>
      <c r="C13" s="3">
        <v>1</v>
      </c>
      <c r="D13" s="5">
        <v>128</v>
      </c>
      <c r="E13" s="3" t="s">
        <v>73</v>
      </c>
      <c r="F13" s="2" t="s">
        <v>53</v>
      </c>
      <c r="G13" s="6" t="s">
        <v>16</v>
      </c>
      <c r="H13" s="2" t="s">
        <v>17</v>
      </c>
      <c r="I13" s="2" t="s">
        <v>18</v>
      </c>
      <c r="J13" s="2" t="s">
        <v>19</v>
      </c>
      <c r="K13" s="2" t="s">
        <v>75</v>
      </c>
      <c r="L13" s="7" t="str">
        <f>HYPERLINK("http://slimages.macys.com/is/image/MCY/12646967 ")</f>
        <v xml:space="preserve">http://slimages.macys.com/is/image/MCY/12646967 </v>
      </c>
    </row>
    <row r="14" spans="1:12" ht="24.75" x14ac:dyDescent="0.25">
      <c r="A14" s="4" t="s">
        <v>4387</v>
      </c>
      <c r="B14" s="2" t="s">
        <v>4385</v>
      </c>
      <c r="C14" s="3">
        <v>1</v>
      </c>
      <c r="D14" s="5">
        <v>128</v>
      </c>
      <c r="E14" s="3" t="s">
        <v>4386</v>
      </c>
      <c r="F14" s="2" t="s">
        <v>33</v>
      </c>
      <c r="G14" s="6" t="s">
        <v>16</v>
      </c>
      <c r="H14" s="2" t="s">
        <v>17</v>
      </c>
      <c r="I14" s="2" t="s">
        <v>18</v>
      </c>
      <c r="J14" s="2" t="s">
        <v>19</v>
      </c>
      <c r="K14" s="2" t="s">
        <v>75</v>
      </c>
      <c r="L14" s="7" t="str">
        <f>HYPERLINK("http://slimages.macys.com/is/image/MCY/12647051 ")</f>
        <v xml:space="preserve">http://slimages.macys.com/is/image/MCY/12647051 </v>
      </c>
    </row>
    <row r="15" spans="1:12" ht="36.75" x14ac:dyDescent="0.25">
      <c r="A15" s="4" t="s">
        <v>4388</v>
      </c>
      <c r="B15" s="2" t="s">
        <v>4389</v>
      </c>
      <c r="C15" s="3">
        <v>1</v>
      </c>
      <c r="D15" s="5">
        <v>129</v>
      </c>
      <c r="E15" s="3" t="s">
        <v>4390</v>
      </c>
      <c r="F15" s="2" t="s">
        <v>74</v>
      </c>
      <c r="G15" s="6" t="s">
        <v>141</v>
      </c>
      <c r="H15" s="2" t="s">
        <v>95</v>
      </c>
      <c r="I15" s="2" t="s">
        <v>96</v>
      </c>
      <c r="J15" s="2" t="s">
        <v>19</v>
      </c>
      <c r="K15" s="2" t="s">
        <v>3296</v>
      </c>
      <c r="L15" s="7" t="str">
        <f>HYPERLINK("http://slimages.macys.com/is/image/MCY/12002615 ")</f>
        <v xml:space="preserve">http://slimages.macys.com/is/image/MCY/12002615 </v>
      </c>
    </row>
    <row r="16" spans="1:12" ht="36.75" x14ac:dyDescent="0.25">
      <c r="A16" s="4" t="s">
        <v>4391</v>
      </c>
      <c r="B16" s="2" t="s">
        <v>4392</v>
      </c>
      <c r="C16" s="3">
        <v>1</v>
      </c>
      <c r="D16" s="5">
        <v>129</v>
      </c>
      <c r="E16" s="3" t="s">
        <v>4393</v>
      </c>
      <c r="F16" s="2" t="s">
        <v>64</v>
      </c>
      <c r="G16" s="6" t="s">
        <v>65</v>
      </c>
      <c r="H16" s="2" t="s">
        <v>95</v>
      </c>
      <c r="I16" s="2" t="s">
        <v>96</v>
      </c>
      <c r="J16" s="2" t="s">
        <v>19</v>
      </c>
      <c r="K16" s="2" t="s">
        <v>4394</v>
      </c>
      <c r="L16" s="7" t="str">
        <f>HYPERLINK("http://slimages.macys.com/is/image/MCY/12228340 ")</f>
        <v xml:space="preserve">http://slimages.macys.com/is/image/MCY/12228340 </v>
      </c>
    </row>
    <row r="17" spans="1:12" ht="24.75" x14ac:dyDescent="0.25">
      <c r="A17" s="4" t="s">
        <v>4395</v>
      </c>
      <c r="B17" s="2" t="s">
        <v>99</v>
      </c>
      <c r="C17" s="3">
        <v>1</v>
      </c>
      <c r="D17" s="5">
        <v>138</v>
      </c>
      <c r="E17" s="3" t="s">
        <v>100</v>
      </c>
      <c r="F17" s="2" t="s">
        <v>101</v>
      </c>
      <c r="G17" s="6" t="s">
        <v>27</v>
      </c>
      <c r="H17" s="2" t="s">
        <v>17</v>
      </c>
      <c r="I17" s="2" t="s">
        <v>40</v>
      </c>
      <c r="J17" s="2" t="s">
        <v>19</v>
      </c>
      <c r="K17" s="2" t="s">
        <v>75</v>
      </c>
      <c r="L17" s="7" t="str">
        <f>HYPERLINK("http://slimages.macys.com/is/image/MCY/12645823 ")</f>
        <v xml:space="preserve">http://slimages.macys.com/is/image/MCY/12645823 </v>
      </c>
    </row>
    <row r="18" spans="1:12" ht="24.75" x14ac:dyDescent="0.25">
      <c r="A18" s="4" t="s">
        <v>4396</v>
      </c>
      <c r="B18" s="2" t="s">
        <v>109</v>
      </c>
      <c r="C18" s="3">
        <v>1</v>
      </c>
      <c r="D18" s="5">
        <v>128</v>
      </c>
      <c r="E18" s="3" t="s">
        <v>110</v>
      </c>
      <c r="F18" s="2" t="s">
        <v>111</v>
      </c>
      <c r="G18" s="6" t="s">
        <v>58</v>
      </c>
      <c r="H18" s="2" t="s">
        <v>17</v>
      </c>
      <c r="I18" s="2" t="s">
        <v>40</v>
      </c>
      <c r="J18" s="2" t="s">
        <v>19</v>
      </c>
      <c r="K18" s="2" t="s">
        <v>34</v>
      </c>
      <c r="L18" s="7" t="str">
        <f>HYPERLINK("http://slimages.macys.com/is/image/MCY/12898262 ")</f>
        <v xml:space="preserve">http://slimages.macys.com/is/image/MCY/12898262 </v>
      </c>
    </row>
    <row r="19" spans="1:12" ht="24.75" x14ac:dyDescent="0.25">
      <c r="A19" s="4" t="s">
        <v>4397</v>
      </c>
      <c r="B19" s="2" t="s">
        <v>109</v>
      </c>
      <c r="C19" s="3">
        <v>1</v>
      </c>
      <c r="D19" s="5">
        <v>128</v>
      </c>
      <c r="E19" s="3" t="s">
        <v>110</v>
      </c>
      <c r="F19" s="2" t="s">
        <v>111</v>
      </c>
      <c r="G19" s="6" t="s">
        <v>141</v>
      </c>
      <c r="H19" s="2" t="s">
        <v>17</v>
      </c>
      <c r="I19" s="2" t="s">
        <v>40</v>
      </c>
      <c r="J19" s="2" t="s">
        <v>19</v>
      </c>
      <c r="K19" s="2" t="s">
        <v>34</v>
      </c>
      <c r="L19" s="7" t="str">
        <f>HYPERLINK("http://slimages.macys.com/is/image/MCY/12898262 ")</f>
        <v xml:space="preserve">http://slimages.macys.com/is/image/MCY/12898262 </v>
      </c>
    </row>
    <row r="20" spans="1:12" ht="36.75" x14ac:dyDescent="0.25">
      <c r="A20" s="4" t="s">
        <v>4398</v>
      </c>
      <c r="B20" s="2" t="s">
        <v>4399</v>
      </c>
      <c r="C20" s="3">
        <v>1</v>
      </c>
      <c r="D20" s="5">
        <v>129</v>
      </c>
      <c r="E20" s="3" t="s">
        <v>4400</v>
      </c>
      <c r="F20" s="2" t="s">
        <v>74</v>
      </c>
      <c r="G20" s="6" t="s">
        <v>4401</v>
      </c>
      <c r="H20" s="2" t="s">
        <v>17</v>
      </c>
      <c r="I20" s="2" t="s">
        <v>145</v>
      </c>
      <c r="J20" s="2" t="s">
        <v>19</v>
      </c>
      <c r="K20" s="2" t="s">
        <v>4402</v>
      </c>
      <c r="L20" s="7" t="str">
        <f>HYPERLINK("http://slimages.macys.com/is/image/MCY/12671524 ")</f>
        <v xml:space="preserve">http://slimages.macys.com/is/image/MCY/12671524 </v>
      </c>
    </row>
    <row r="21" spans="1:12" ht="48.75" x14ac:dyDescent="0.25">
      <c r="A21" s="4" t="s">
        <v>4403</v>
      </c>
      <c r="B21" s="2" t="s">
        <v>4404</v>
      </c>
      <c r="C21" s="3">
        <v>1</v>
      </c>
      <c r="D21" s="5">
        <v>129</v>
      </c>
      <c r="E21" s="3" t="s">
        <v>4405</v>
      </c>
      <c r="F21" s="2" t="s">
        <v>193</v>
      </c>
      <c r="G21" s="6" t="s">
        <v>4406</v>
      </c>
      <c r="H21" s="2" t="s">
        <v>17</v>
      </c>
      <c r="I21" s="2" t="s">
        <v>145</v>
      </c>
      <c r="J21" s="2" t="s">
        <v>19</v>
      </c>
      <c r="K21" s="2" t="s">
        <v>4407</v>
      </c>
      <c r="L21" s="7" t="str">
        <f>HYPERLINK("http://slimages.macys.com/is/image/MCY/12801221 ")</f>
        <v xml:space="preserve">http://slimages.macys.com/is/image/MCY/12801221 </v>
      </c>
    </row>
    <row r="22" spans="1:12" ht="24.75" x14ac:dyDescent="0.25">
      <c r="A22" s="4" t="s">
        <v>4408</v>
      </c>
      <c r="B22" s="2" t="s">
        <v>114</v>
      </c>
      <c r="C22" s="3">
        <v>1</v>
      </c>
      <c r="D22" s="5">
        <v>99</v>
      </c>
      <c r="E22" s="3" t="s">
        <v>115</v>
      </c>
      <c r="F22" s="2" t="s">
        <v>26</v>
      </c>
      <c r="G22" s="6" t="s">
        <v>4401</v>
      </c>
      <c r="H22" s="2" t="s">
        <v>17</v>
      </c>
      <c r="I22" s="2" t="s">
        <v>117</v>
      </c>
      <c r="J22" s="2" t="s">
        <v>19</v>
      </c>
      <c r="K22" s="2" t="s">
        <v>118</v>
      </c>
      <c r="L22" s="7" t="str">
        <f>HYPERLINK("http://slimages.macys.com/is/image/MCY/12669592 ")</f>
        <v xml:space="preserve">http://slimages.macys.com/is/image/MCY/12669592 </v>
      </c>
    </row>
    <row r="23" spans="1:12" ht="24.75" x14ac:dyDescent="0.25">
      <c r="A23" s="4" t="s">
        <v>4409</v>
      </c>
      <c r="B23" s="2" t="s">
        <v>120</v>
      </c>
      <c r="C23" s="3">
        <v>1</v>
      </c>
      <c r="D23" s="5">
        <v>99.5</v>
      </c>
      <c r="E23" s="3">
        <v>10723400</v>
      </c>
      <c r="F23" s="2" t="s">
        <v>26</v>
      </c>
      <c r="G23" s="6" t="s">
        <v>27</v>
      </c>
      <c r="H23" s="2" t="s">
        <v>17</v>
      </c>
      <c r="I23" s="2" t="s">
        <v>121</v>
      </c>
      <c r="J23" s="2" t="s">
        <v>19</v>
      </c>
      <c r="K23" s="2" t="s">
        <v>118</v>
      </c>
      <c r="L23" s="7" t="str">
        <f>HYPERLINK("http://slimages.macys.com/is/image/MCY/12645655 ")</f>
        <v xml:space="preserve">http://slimages.macys.com/is/image/MCY/12645655 </v>
      </c>
    </row>
    <row r="24" spans="1:12" ht="24.75" x14ac:dyDescent="0.25">
      <c r="A24" s="4" t="s">
        <v>4410</v>
      </c>
      <c r="B24" s="2" t="s">
        <v>139</v>
      </c>
      <c r="C24" s="3">
        <v>1</v>
      </c>
      <c r="D24" s="5">
        <v>99</v>
      </c>
      <c r="E24" s="3" t="s">
        <v>140</v>
      </c>
      <c r="F24" s="2" t="s">
        <v>64</v>
      </c>
      <c r="G24" s="6" t="s">
        <v>39</v>
      </c>
      <c r="H24" s="2" t="s">
        <v>95</v>
      </c>
      <c r="I24" s="2" t="s">
        <v>96</v>
      </c>
      <c r="J24" s="2" t="s">
        <v>19</v>
      </c>
      <c r="K24" s="2" t="s">
        <v>137</v>
      </c>
      <c r="L24" s="7" t="str">
        <f>HYPERLINK("http://slimages.macys.com/is/image/MCY/12794480 ")</f>
        <v xml:space="preserve">http://slimages.macys.com/is/image/MCY/12794480 </v>
      </c>
    </row>
    <row r="25" spans="1:12" ht="24.75" x14ac:dyDescent="0.25">
      <c r="A25" s="4" t="s">
        <v>4411</v>
      </c>
      <c r="B25" s="2" t="s">
        <v>139</v>
      </c>
      <c r="C25" s="3">
        <v>1</v>
      </c>
      <c r="D25" s="5">
        <v>99</v>
      </c>
      <c r="E25" s="3" t="s">
        <v>140</v>
      </c>
      <c r="F25" s="2" t="s">
        <v>64</v>
      </c>
      <c r="G25" s="6" t="s">
        <v>27</v>
      </c>
      <c r="H25" s="2" t="s">
        <v>95</v>
      </c>
      <c r="I25" s="2" t="s">
        <v>96</v>
      </c>
      <c r="J25" s="2" t="s">
        <v>19</v>
      </c>
      <c r="K25" s="2" t="s">
        <v>137</v>
      </c>
      <c r="L25" s="7" t="str">
        <f>HYPERLINK("http://slimages.macys.com/is/image/MCY/12794480 ")</f>
        <v xml:space="preserve">http://slimages.macys.com/is/image/MCY/12794480 </v>
      </c>
    </row>
    <row r="26" spans="1:12" ht="24.75" x14ac:dyDescent="0.25">
      <c r="A26" s="4" t="s">
        <v>4412</v>
      </c>
      <c r="B26" s="2" t="s">
        <v>4413</v>
      </c>
      <c r="C26" s="3">
        <v>1</v>
      </c>
      <c r="D26" s="5">
        <v>99</v>
      </c>
      <c r="E26" s="3" t="s">
        <v>4414</v>
      </c>
      <c r="F26" s="2" t="s">
        <v>887</v>
      </c>
      <c r="G26" s="6" t="s">
        <v>116</v>
      </c>
      <c r="H26" s="2" t="s">
        <v>17</v>
      </c>
      <c r="I26" s="2" t="s">
        <v>145</v>
      </c>
      <c r="J26" s="2" t="s">
        <v>19</v>
      </c>
      <c r="K26" s="2" t="s">
        <v>75</v>
      </c>
      <c r="L26" s="7" t="str">
        <f>HYPERLINK("http://slimages.macys.com/is/image/MCY/11407685 ")</f>
        <v xml:space="preserve">http://slimages.macys.com/is/image/MCY/11407685 </v>
      </c>
    </row>
    <row r="27" spans="1:12" ht="24.75" x14ac:dyDescent="0.25">
      <c r="A27" s="4" t="s">
        <v>2144</v>
      </c>
      <c r="B27" s="2" t="s">
        <v>149</v>
      </c>
      <c r="C27" s="3">
        <v>1</v>
      </c>
      <c r="D27" s="5">
        <v>89</v>
      </c>
      <c r="E27" s="3" t="s">
        <v>150</v>
      </c>
      <c r="F27" s="2" t="s">
        <v>74</v>
      </c>
      <c r="G27" s="6" t="s">
        <v>58</v>
      </c>
      <c r="H27" s="2" t="s">
        <v>95</v>
      </c>
      <c r="I27" s="2" t="s">
        <v>96</v>
      </c>
      <c r="J27" s="2" t="s">
        <v>19</v>
      </c>
      <c r="K27" s="2" t="s">
        <v>151</v>
      </c>
      <c r="L27" s="7" t="str">
        <f>HYPERLINK("http://slimages.macys.com/is/image/MCY/12794413 ")</f>
        <v xml:space="preserve">http://slimages.macys.com/is/image/MCY/12794413 </v>
      </c>
    </row>
    <row r="28" spans="1:12" ht="36.75" x14ac:dyDescent="0.25">
      <c r="A28" s="4" t="s">
        <v>2140</v>
      </c>
      <c r="B28" s="2" t="s">
        <v>2141</v>
      </c>
      <c r="C28" s="3">
        <v>1</v>
      </c>
      <c r="D28" s="5">
        <v>89</v>
      </c>
      <c r="E28" s="3" t="s">
        <v>2142</v>
      </c>
      <c r="F28" s="2" t="s">
        <v>26</v>
      </c>
      <c r="G28" s="6" t="s">
        <v>16</v>
      </c>
      <c r="H28" s="2" t="s">
        <v>95</v>
      </c>
      <c r="I28" s="2" t="s">
        <v>96</v>
      </c>
      <c r="J28" s="2" t="s">
        <v>19</v>
      </c>
      <c r="K28" s="2" t="s">
        <v>2143</v>
      </c>
      <c r="L28" s="7" t="str">
        <f>HYPERLINK("http://slimages.macys.com/is/image/MCY/12746950 ")</f>
        <v xml:space="preserve">http://slimages.macys.com/is/image/MCY/12746950 </v>
      </c>
    </row>
    <row r="29" spans="1:12" ht="24.75" x14ac:dyDescent="0.25">
      <c r="A29" s="4" t="s">
        <v>4415</v>
      </c>
      <c r="B29" s="2" t="s">
        <v>4416</v>
      </c>
      <c r="C29" s="3">
        <v>1</v>
      </c>
      <c r="D29" s="5">
        <v>89</v>
      </c>
      <c r="E29" s="3" t="s">
        <v>4417</v>
      </c>
      <c r="F29" s="2" t="s">
        <v>74</v>
      </c>
      <c r="G29" s="6" t="s">
        <v>16</v>
      </c>
      <c r="H29" s="2" t="s">
        <v>95</v>
      </c>
      <c r="I29" s="2" t="s">
        <v>96</v>
      </c>
      <c r="J29" s="2" t="s">
        <v>19</v>
      </c>
      <c r="K29" s="2" t="s">
        <v>160</v>
      </c>
      <c r="L29" s="7" t="str">
        <f>HYPERLINK("http://slimages.macys.com/is/image/MCY/11714732 ")</f>
        <v xml:space="preserve">http://slimages.macys.com/is/image/MCY/11714732 </v>
      </c>
    </row>
    <row r="30" spans="1:12" ht="24.75" x14ac:dyDescent="0.25">
      <c r="A30" s="4" t="s">
        <v>155</v>
      </c>
      <c r="B30" s="2" t="s">
        <v>153</v>
      </c>
      <c r="C30" s="3">
        <v>1</v>
      </c>
      <c r="D30" s="5">
        <v>79.5</v>
      </c>
      <c r="E30" s="3">
        <v>10719732</v>
      </c>
      <c r="F30" s="2" t="s">
        <v>33</v>
      </c>
      <c r="G30" s="6" t="s">
        <v>156</v>
      </c>
      <c r="H30" s="2" t="s">
        <v>17</v>
      </c>
      <c r="I30" s="2" t="s">
        <v>121</v>
      </c>
      <c r="J30" s="2" t="s">
        <v>19</v>
      </c>
      <c r="K30" s="2" t="s">
        <v>34</v>
      </c>
      <c r="L30" s="7" t="str">
        <f>HYPERLINK("http://slimages.macys.com/is/image/MCY/10534487 ")</f>
        <v xml:space="preserve">http://slimages.macys.com/is/image/MCY/10534487 </v>
      </c>
    </row>
    <row r="31" spans="1:12" ht="24.75" x14ac:dyDescent="0.25">
      <c r="A31" s="4" t="s">
        <v>2158</v>
      </c>
      <c r="B31" s="2" t="s">
        <v>2159</v>
      </c>
      <c r="C31" s="3">
        <v>1</v>
      </c>
      <c r="D31" s="5">
        <v>79.5</v>
      </c>
      <c r="E31" s="3">
        <v>10723364</v>
      </c>
      <c r="F31" s="2" t="s">
        <v>15</v>
      </c>
      <c r="G31" s="6" t="s">
        <v>65</v>
      </c>
      <c r="H31" s="2" t="s">
        <v>17</v>
      </c>
      <c r="I31" s="2" t="s">
        <v>121</v>
      </c>
      <c r="J31" s="2" t="s">
        <v>19</v>
      </c>
      <c r="K31" s="2" t="s">
        <v>34</v>
      </c>
      <c r="L31" s="7" t="str">
        <f>HYPERLINK("http://slimages.macys.com/is/image/MCY/12340424 ")</f>
        <v xml:space="preserve">http://slimages.macys.com/is/image/MCY/12340424 </v>
      </c>
    </row>
    <row r="32" spans="1:12" ht="24.75" x14ac:dyDescent="0.25">
      <c r="A32" s="4" t="s">
        <v>4418</v>
      </c>
      <c r="B32" s="2" t="s">
        <v>2159</v>
      </c>
      <c r="C32" s="3">
        <v>1</v>
      </c>
      <c r="D32" s="5">
        <v>79.5</v>
      </c>
      <c r="E32" s="3">
        <v>10723364</v>
      </c>
      <c r="F32" s="2" t="s">
        <v>15</v>
      </c>
      <c r="G32" s="6" t="s">
        <v>112</v>
      </c>
      <c r="H32" s="2" t="s">
        <v>17</v>
      </c>
      <c r="I32" s="2" t="s">
        <v>121</v>
      </c>
      <c r="J32" s="2" t="s">
        <v>19</v>
      </c>
      <c r="K32" s="2" t="s">
        <v>34</v>
      </c>
      <c r="L32" s="7" t="str">
        <f>HYPERLINK("http://slimages.macys.com/is/image/MCY/12340424 ")</f>
        <v xml:space="preserve">http://slimages.macys.com/is/image/MCY/12340424 </v>
      </c>
    </row>
    <row r="33" spans="1:12" ht="24.75" x14ac:dyDescent="0.25">
      <c r="A33" s="4" t="s">
        <v>4419</v>
      </c>
      <c r="B33" s="2" t="s">
        <v>4420</v>
      </c>
      <c r="C33" s="3">
        <v>1</v>
      </c>
      <c r="D33" s="5">
        <v>79</v>
      </c>
      <c r="E33" s="3" t="s">
        <v>4421</v>
      </c>
      <c r="F33" s="2" t="s">
        <v>94</v>
      </c>
      <c r="G33" s="6" t="s">
        <v>22</v>
      </c>
      <c r="H33" s="2" t="s">
        <v>95</v>
      </c>
      <c r="I33" s="2" t="s">
        <v>96</v>
      </c>
      <c r="J33" s="2" t="s">
        <v>19</v>
      </c>
      <c r="K33" s="2" t="s">
        <v>4422</v>
      </c>
      <c r="L33" s="7" t="str">
        <f>HYPERLINK("http://slimages.macys.com/is/image/MCY/12794393 ")</f>
        <v xml:space="preserve">http://slimages.macys.com/is/image/MCY/12794393 </v>
      </c>
    </row>
    <row r="34" spans="1:12" ht="24.75" x14ac:dyDescent="0.25">
      <c r="A34" s="4" t="s">
        <v>4423</v>
      </c>
      <c r="B34" s="2" t="s">
        <v>3330</v>
      </c>
      <c r="C34" s="3">
        <v>1</v>
      </c>
      <c r="D34" s="5">
        <v>99.5</v>
      </c>
      <c r="E34" s="3">
        <v>100062362</v>
      </c>
      <c r="F34" s="2" t="s">
        <v>64</v>
      </c>
      <c r="G34" s="6" t="s">
        <v>27</v>
      </c>
      <c r="H34" s="2" t="s">
        <v>386</v>
      </c>
      <c r="I34" s="2" t="s">
        <v>207</v>
      </c>
      <c r="J34" s="2" t="s">
        <v>19</v>
      </c>
      <c r="K34" s="2" t="s">
        <v>338</v>
      </c>
      <c r="L34" s="7" t="str">
        <f>HYPERLINK("http://slimages.macys.com/is/image/MCY/12282881 ")</f>
        <v xml:space="preserve">http://slimages.macys.com/is/image/MCY/12282881 </v>
      </c>
    </row>
    <row r="35" spans="1:12" ht="24.75" x14ac:dyDescent="0.25">
      <c r="A35" s="4" t="s">
        <v>4424</v>
      </c>
      <c r="B35" s="2" t="s">
        <v>4425</v>
      </c>
      <c r="C35" s="3">
        <v>1</v>
      </c>
      <c r="D35" s="5">
        <v>89.5</v>
      </c>
      <c r="E35" s="3" t="s">
        <v>4426</v>
      </c>
      <c r="F35" s="2" t="s">
        <v>417</v>
      </c>
      <c r="G35" s="6" t="s">
        <v>126</v>
      </c>
      <c r="H35" s="2" t="s">
        <v>127</v>
      </c>
      <c r="I35" s="2" t="s">
        <v>128</v>
      </c>
      <c r="J35" s="2" t="s">
        <v>19</v>
      </c>
      <c r="K35" s="2" t="s">
        <v>34</v>
      </c>
      <c r="L35" s="7" t="str">
        <f>HYPERLINK("http://slimages.macys.com/is/image/MCY/13385308 ")</f>
        <v xml:space="preserve">http://slimages.macys.com/is/image/MCY/13385308 </v>
      </c>
    </row>
    <row r="36" spans="1:12" ht="24.75" x14ac:dyDescent="0.25">
      <c r="A36" s="4" t="s">
        <v>4427</v>
      </c>
      <c r="B36" s="2" t="s">
        <v>4425</v>
      </c>
      <c r="C36" s="3">
        <v>1</v>
      </c>
      <c r="D36" s="5">
        <v>89.5</v>
      </c>
      <c r="E36" s="3" t="s">
        <v>4426</v>
      </c>
      <c r="F36" s="2" t="s">
        <v>74</v>
      </c>
      <c r="G36" s="6" t="s">
        <v>363</v>
      </c>
      <c r="H36" s="2" t="s">
        <v>127</v>
      </c>
      <c r="I36" s="2" t="s">
        <v>128</v>
      </c>
      <c r="J36" s="2" t="s">
        <v>19</v>
      </c>
      <c r="K36" s="2" t="s">
        <v>34</v>
      </c>
      <c r="L36" s="7" t="str">
        <f>HYPERLINK("http://slimages.macys.com/is/image/MCY/13385308 ")</f>
        <v xml:space="preserve">http://slimages.macys.com/is/image/MCY/13385308 </v>
      </c>
    </row>
    <row r="37" spans="1:12" ht="24.75" x14ac:dyDescent="0.25">
      <c r="A37" s="4" t="s">
        <v>4428</v>
      </c>
      <c r="B37" s="2" t="s">
        <v>2168</v>
      </c>
      <c r="C37" s="3">
        <v>1</v>
      </c>
      <c r="D37" s="5">
        <v>79.5</v>
      </c>
      <c r="E37" s="3" t="s">
        <v>2169</v>
      </c>
      <c r="F37" s="2" t="s">
        <v>752</v>
      </c>
      <c r="G37" s="6" t="s">
        <v>802</v>
      </c>
      <c r="H37" s="2" t="s">
        <v>127</v>
      </c>
      <c r="I37" s="2" t="s">
        <v>128</v>
      </c>
      <c r="J37" s="2" t="s">
        <v>19</v>
      </c>
      <c r="K37" s="2" t="s">
        <v>160</v>
      </c>
      <c r="L37" s="7" t="str">
        <f>HYPERLINK("http://slimages.macys.com/is/image/MCY/14542718 ")</f>
        <v xml:space="preserve">http://slimages.macys.com/is/image/MCY/14542718 </v>
      </c>
    </row>
    <row r="38" spans="1:12" ht="36.75" x14ac:dyDescent="0.25">
      <c r="A38" s="4" t="s">
        <v>4429</v>
      </c>
      <c r="B38" s="2" t="s">
        <v>4430</v>
      </c>
      <c r="C38" s="3">
        <v>1</v>
      </c>
      <c r="D38" s="5">
        <v>99.5</v>
      </c>
      <c r="E38" s="3" t="s">
        <v>4431</v>
      </c>
      <c r="F38" s="2" t="s">
        <v>74</v>
      </c>
      <c r="G38" s="6"/>
      <c r="H38" s="2" t="s">
        <v>206</v>
      </c>
      <c r="I38" s="2" t="s">
        <v>207</v>
      </c>
      <c r="J38" s="2" t="s">
        <v>19</v>
      </c>
      <c r="K38" s="2" t="s">
        <v>4394</v>
      </c>
      <c r="L38" s="7" t="str">
        <f>HYPERLINK("http://slimages.macys.com/is/image/MCY/12319349 ")</f>
        <v xml:space="preserve">http://slimages.macys.com/is/image/MCY/12319349 </v>
      </c>
    </row>
    <row r="39" spans="1:12" ht="48.75" x14ac:dyDescent="0.25">
      <c r="A39" s="4" t="s">
        <v>4432</v>
      </c>
      <c r="B39" s="2" t="s">
        <v>4433</v>
      </c>
      <c r="C39" s="3">
        <v>1</v>
      </c>
      <c r="D39" s="5">
        <v>99.5</v>
      </c>
      <c r="E39" s="3" t="s">
        <v>4434</v>
      </c>
      <c r="F39" s="2" t="s">
        <v>15</v>
      </c>
      <c r="G39" s="6" t="s">
        <v>187</v>
      </c>
      <c r="H39" s="2" t="s">
        <v>206</v>
      </c>
      <c r="I39" s="2" t="s">
        <v>207</v>
      </c>
      <c r="J39" s="2" t="s">
        <v>19</v>
      </c>
      <c r="K39" s="2" t="s">
        <v>4435</v>
      </c>
      <c r="L39" s="7" t="str">
        <f>HYPERLINK("http://slimages.macys.com/is/image/MCY/12067752 ")</f>
        <v xml:space="preserve">http://slimages.macys.com/is/image/MCY/12067752 </v>
      </c>
    </row>
    <row r="40" spans="1:12" ht="48.75" x14ac:dyDescent="0.25">
      <c r="A40" s="4" t="s">
        <v>4436</v>
      </c>
      <c r="B40" s="2" t="s">
        <v>4433</v>
      </c>
      <c r="C40" s="3">
        <v>1</v>
      </c>
      <c r="D40" s="5">
        <v>99.5</v>
      </c>
      <c r="E40" s="3" t="s">
        <v>4434</v>
      </c>
      <c r="F40" s="2" t="s">
        <v>15</v>
      </c>
      <c r="G40" s="6"/>
      <c r="H40" s="2" t="s">
        <v>206</v>
      </c>
      <c r="I40" s="2" t="s">
        <v>207</v>
      </c>
      <c r="J40" s="2" t="s">
        <v>19</v>
      </c>
      <c r="K40" s="2" t="s">
        <v>4435</v>
      </c>
      <c r="L40" s="7" t="str">
        <f>HYPERLINK("http://slimages.macys.com/is/image/MCY/12067752 ")</f>
        <v xml:space="preserve">http://slimages.macys.com/is/image/MCY/12067752 </v>
      </c>
    </row>
    <row r="41" spans="1:12" x14ac:dyDescent="0.25">
      <c r="A41" s="4" t="s">
        <v>4437</v>
      </c>
      <c r="B41" s="2" t="s">
        <v>4438</v>
      </c>
      <c r="C41" s="3">
        <v>1</v>
      </c>
      <c r="D41" s="5">
        <v>99.5</v>
      </c>
      <c r="E41" s="3">
        <v>100055525</v>
      </c>
      <c r="F41" s="2" t="s">
        <v>64</v>
      </c>
      <c r="G41" s="6" t="s">
        <v>106</v>
      </c>
      <c r="H41" s="2" t="s">
        <v>386</v>
      </c>
      <c r="I41" s="2" t="s">
        <v>337</v>
      </c>
      <c r="J41" s="2" t="s">
        <v>19</v>
      </c>
      <c r="K41" s="2" t="s">
        <v>353</v>
      </c>
      <c r="L41" s="7" t="str">
        <f>HYPERLINK("http://slimages.macys.com/is/image/MCY/11943108 ")</f>
        <v xml:space="preserve">http://slimages.macys.com/is/image/MCY/11943108 </v>
      </c>
    </row>
    <row r="42" spans="1:12" ht="24.75" x14ac:dyDescent="0.25">
      <c r="A42" s="4" t="s">
        <v>4439</v>
      </c>
      <c r="B42" s="2" t="s">
        <v>3346</v>
      </c>
      <c r="C42" s="3">
        <v>1</v>
      </c>
      <c r="D42" s="5">
        <v>52.13</v>
      </c>
      <c r="E42" s="3" t="s">
        <v>3347</v>
      </c>
      <c r="F42" s="2" t="s">
        <v>887</v>
      </c>
      <c r="G42" s="6" t="s">
        <v>181</v>
      </c>
      <c r="H42" s="2" t="s">
        <v>194</v>
      </c>
      <c r="I42" s="2" t="s">
        <v>195</v>
      </c>
      <c r="J42" s="2" t="s">
        <v>19</v>
      </c>
      <c r="K42" s="2" t="s">
        <v>3350</v>
      </c>
      <c r="L42" s="7" t="str">
        <f>HYPERLINK("http://slimages.macys.com/is/image/MCY/12034735 ")</f>
        <v xml:space="preserve">http://slimages.macys.com/is/image/MCY/12034735 </v>
      </c>
    </row>
    <row r="43" spans="1:12" ht="24.75" x14ac:dyDescent="0.25">
      <c r="A43" s="4" t="s">
        <v>3345</v>
      </c>
      <c r="B43" s="2" t="s">
        <v>3346</v>
      </c>
      <c r="C43" s="3">
        <v>1</v>
      </c>
      <c r="D43" s="5">
        <v>52.13</v>
      </c>
      <c r="E43" s="3" t="s">
        <v>3347</v>
      </c>
      <c r="F43" s="2" t="s">
        <v>887</v>
      </c>
      <c r="G43" s="6" t="s">
        <v>154</v>
      </c>
      <c r="H43" s="2" t="s">
        <v>194</v>
      </c>
      <c r="I43" s="2" t="s">
        <v>195</v>
      </c>
      <c r="J43" s="2" t="s">
        <v>19</v>
      </c>
      <c r="K43" s="2" t="s">
        <v>3350</v>
      </c>
      <c r="L43" s="7" t="str">
        <f>HYPERLINK("http://slimages.macys.com/is/image/MCY/12034735 ")</f>
        <v xml:space="preserve">http://slimages.macys.com/is/image/MCY/12034735 </v>
      </c>
    </row>
    <row r="44" spans="1:12" ht="24.75" x14ac:dyDescent="0.25">
      <c r="A44" s="4" t="s">
        <v>4440</v>
      </c>
      <c r="B44" s="2" t="s">
        <v>4441</v>
      </c>
      <c r="C44" s="3">
        <v>1</v>
      </c>
      <c r="D44" s="5">
        <v>99.5</v>
      </c>
      <c r="E44" s="3">
        <v>100049078</v>
      </c>
      <c r="F44" s="2" t="s">
        <v>64</v>
      </c>
      <c r="G44" s="6" t="s">
        <v>141</v>
      </c>
      <c r="H44" s="2" t="s">
        <v>386</v>
      </c>
      <c r="I44" s="2" t="s">
        <v>207</v>
      </c>
      <c r="J44" s="2" t="s">
        <v>19</v>
      </c>
      <c r="K44" s="2" t="s">
        <v>338</v>
      </c>
      <c r="L44" s="7" t="str">
        <f>HYPERLINK("http://slimages.macys.com/is/image/MCY/11535491 ")</f>
        <v xml:space="preserve">http://slimages.macys.com/is/image/MCY/11535491 </v>
      </c>
    </row>
    <row r="45" spans="1:12" x14ac:dyDescent="0.25">
      <c r="A45" s="4" t="s">
        <v>232</v>
      </c>
      <c r="B45" s="2" t="s">
        <v>178</v>
      </c>
      <c r="C45" s="3">
        <v>1</v>
      </c>
      <c r="D45" s="5">
        <v>55.65</v>
      </c>
      <c r="E45" s="3" t="s">
        <v>179</v>
      </c>
      <c r="F45" s="2" t="s">
        <v>74</v>
      </c>
      <c r="G45" s="6" t="s">
        <v>181</v>
      </c>
      <c r="H45" s="2" t="s">
        <v>182</v>
      </c>
      <c r="I45" s="2" t="s">
        <v>183</v>
      </c>
      <c r="J45" s="2" t="s">
        <v>19</v>
      </c>
      <c r="K45" s="2" t="s">
        <v>34</v>
      </c>
      <c r="L45" s="7" t="str">
        <f>HYPERLINK("http://slimages.macys.com/is/image/MCY/12935648 ")</f>
        <v xml:space="preserve">http://slimages.macys.com/is/image/MCY/12935648 </v>
      </c>
    </row>
    <row r="46" spans="1:12" ht="84.75" x14ac:dyDescent="0.25">
      <c r="A46" s="4" t="s">
        <v>4442</v>
      </c>
      <c r="B46" s="2" t="s">
        <v>3349</v>
      </c>
      <c r="C46" s="3">
        <v>1</v>
      </c>
      <c r="D46" s="5">
        <v>51.75</v>
      </c>
      <c r="E46" s="3">
        <v>100049981</v>
      </c>
      <c r="F46" s="2" t="s">
        <v>111</v>
      </c>
      <c r="G46" s="6" t="s">
        <v>245</v>
      </c>
      <c r="H46" s="2" t="s">
        <v>228</v>
      </c>
      <c r="I46" s="2" t="s">
        <v>229</v>
      </c>
      <c r="J46" s="2" t="s">
        <v>19</v>
      </c>
      <c r="K46" s="2" t="s">
        <v>3353</v>
      </c>
      <c r="L46" s="7" t="str">
        <f>HYPERLINK("http://slimages.macys.com/is/image/MCY/11937887 ")</f>
        <v xml:space="preserve">http://slimages.macys.com/is/image/MCY/11937887 </v>
      </c>
    </row>
    <row r="47" spans="1:12" ht="84.75" x14ac:dyDescent="0.25">
      <c r="A47" s="4" t="s">
        <v>3351</v>
      </c>
      <c r="B47" s="2" t="s">
        <v>3349</v>
      </c>
      <c r="C47" s="3">
        <v>2</v>
      </c>
      <c r="D47" s="5">
        <v>51.75</v>
      </c>
      <c r="E47" s="3">
        <v>100049981</v>
      </c>
      <c r="F47" s="2" t="s">
        <v>111</v>
      </c>
      <c r="G47" s="6" t="s">
        <v>154</v>
      </c>
      <c r="H47" s="2" t="s">
        <v>228</v>
      </c>
      <c r="I47" s="2" t="s">
        <v>229</v>
      </c>
      <c r="J47" s="2" t="s">
        <v>19</v>
      </c>
      <c r="K47" s="2" t="s">
        <v>3353</v>
      </c>
      <c r="L47" s="7" t="str">
        <f>HYPERLINK("http://slimages.macys.com/is/image/MCY/11937887 ")</f>
        <v xml:space="preserve">http://slimages.macys.com/is/image/MCY/11937887 </v>
      </c>
    </row>
    <row r="48" spans="1:12" ht="84.75" x14ac:dyDescent="0.25">
      <c r="A48" s="4" t="s">
        <v>4443</v>
      </c>
      <c r="B48" s="2" t="s">
        <v>3349</v>
      </c>
      <c r="C48" s="3">
        <v>2</v>
      </c>
      <c r="D48" s="5">
        <v>51.75</v>
      </c>
      <c r="E48" s="3">
        <v>100049981</v>
      </c>
      <c r="F48" s="2" t="s">
        <v>111</v>
      </c>
      <c r="G48" s="6" t="s">
        <v>181</v>
      </c>
      <c r="H48" s="2" t="s">
        <v>228</v>
      </c>
      <c r="I48" s="2" t="s">
        <v>229</v>
      </c>
      <c r="J48" s="2" t="s">
        <v>19</v>
      </c>
      <c r="K48" s="2" t="s">
        <v>3353</v>
      </c>
      <c r="L48" s="7" t="str">
        <f>HYPERLINK("http://slimages.macys.com/is/image/MCY/11937887 ")</f>
        <v xml:space="preserve">http://slimages.macys.com/is/image/MCY/11937887 </v>
      </c>
    </row>
    <row r="49" spans="1:12" ht="24.75" x14ac:dyDescent="0.25">
      <c r="A49" s="4" t="s">
        <v>4444</v>
      </c>
      <c r="B49" s="2" t="s">
        <v>4445</v>
      </c>
      <c r="C49" s="3">
        <v>1</v>
      </c>
      <c r="D49" s="5">
        <v>59.5</v>
      </c>
      <c r="E49" s="3" t="s">
        <v>4446</v>
      </c>
      <c r="F49" s="2" t="s">
        <v>170</v>
      </c>
      <c r="G49" s="6"/>
      <c r="H49" s="2" t="s">
        <v>127</v>
      </c>
      <c r="I49" s="2" t="s">
        <v>128</v>
      </c>
      <c r="J49" s="2" t="s">
        <v>19</v>
      </c>
      <c r="K49" s="2" t="s">
        <v>34</v>
      </c>
      <c r="L49" s="7" t="str">
        <f>HYPERLINK("http://slimages.macys.com/is/image/MCY/11645267 ")</f>
        <v xml:space="preserve">http://slimages.macys.com/is/image/MCY/11645267 </v>
      </c>
    </row>
    <row r="50" spans="1:12" ht="24.75" x14ac:dyDescent="0.25">
      <c r="A50" s="4" t="s">
        <v>4447</v>
      </c>
      <c r="B50" s="2" t="s">
        <v>2173</v>
      </c>
      <c r="C50" s="3">
        <v>1</v>
      </c>
      <c r="D50" s="5">
        <v>59.63</v>
      </c>
      <c r="E50" s="3" t="s">
        <v>4448</v>
      </c>
      <c r="F50" s="2" t="s">
        <v>26</v>
      </c>
      <c r="G50" s="6" t="s">
        <v>234</v>
      </c>
      <c r="H50" s="2" t="s">
        <v>246</v>
      </c>
      <c r="I50" s="2" t="s">
        <v>189</v>
      </c>
      <c r="J50" s="2" t="s">
        <v>19</v>
      </c>
      <c r="K50" s="2" t="s">
        <v>263</v>
      </c>
      <c r="L50" s="7" t="str">
        <f>HYPERLINK("http://slimages.macys.com/is/image/MCY/11808238 ")</f>
        <v xml:space="preserve">http://slimages.macys.com/is/image/MCY/11808238 </v>
      </c>
    </row>
    <row r="51" spans="1:12" ht="24.75" x14ac:dyDescent="0.25">
      <c r="A51" s="4" t="s">
        <v>4449</v>
      </c>
      <c r="B51" s="2" t="s">
        <v>2173</v>
      </c>
      <c r="C51" s="3">
        <v>1</v>
      </c>
      <c r="D51" s="5">
        <v>59.63</v>
      </c>
      <c r="E51" s="3" t="s">
        <v>2174</v>
      </c>
      <c r="F51" s="2" t="s">
        <v>26</v>
      </c>
      <c r="G51" s="6" t="s">
        <v>219</v>
      </c>
      <c r="H51" s="2" t="s">
        <v>188</v>
      </c>
      <c r="I51" s="2" t="s">
        <v>189</v>
      </c>
      <c r="J51" s="2" t="s">
        <v>19</v>
      </c>
      <c r="K51" s="2" t="s">
        <v>263</v>
      </c>
      <c r="L51" s="7" t="str">
        <f>HYPERLINK("http://slimages.macys.com/is/image/MCY/11808238 ")</f>
        <v xml:space="preserve">http://slimages.macys.com/is/image/MCY/11808238 </v>
      </c>
    </row>
    <row r="52" spans="1:12" ht="24.75" x14ac:dyDescent="0.25">
      <c r="A52" s="4" t="s">
        <v>4450</v>
      </c>
      <c r="B52" s="2" t="s">
        <v>4451</v>
      </c>
      <c r="C52" s="3">
        <v>1</v>
      </c>
      <c r="D52" s="5">
        <v>51.5</v>
      </c>
      <c r="E52" s="3" t="s">
        <v>4452</v>
      </c>
      <c r="F52" s="2" t="s">
        <v>579</v>
      </c>
      <c r="G52" s="6" t="s">
        <v>154</v>
      </c>
      <c r="H52" s="2" t="s">
        <v>194</v>
      </c>
      <c r="I52" s="2" t="s">
        <v>195</v>
      </c>
      <c r="J52" s="2" t="s">
        <v>19</v>
      </c>
      <c r="K52" s="2" t="s">
        <v>4453</v>
      </c>
      <c r="L52" s="7" t="str">
        <f>HYPERLINK("http://slimages.macys.com/is/image/MCY/11414723 ")</f>
        <v xml:space="preserve">http://slimages.macys.com/is/image/MCY/11414723 </v>
      </c>
    </row>
    <row r="53" spans="1:12" ht="24.75" x14ac:dyDescent="0.25">
      <c r="A53" s="4" t="s">
        <v>2175</v>
      </c>
      <c r="B53" s="2" t="s">
        <v>2176</v>
      </c>
      <c r="C53" s="3">
        <v>1</v>
      </c>
      <c r="D53" s="5">
        <v>51.75</v>
      </c>
      <c r="E53" s="3">
        <v>100053415</v>
      </c>
      <c r="F53" s="2" t="s">
        <v>15</v>
      </c>
      <c r="G53" s="6" t="s">
        <v>181</v>
      </c>
      <c r="H53" s="2" t="s">
        <v>228</v>
      </c>
      <c r="I53" s="2" t="s">
        <v>229</v>
      </c>
      <c r="J53" s="2" t="s">
        <v>19</v>
      </c>
      <c r="K53" s="2" t="s">
        <v>230</v>
      </c>
      <c r="L53" s="7" t="str">
        <f>HYPERLINK("http://slimages.macys.com/is/image/MCY/12317942 ")</f>
        <v xml:space="preserve">http://slimages.macys.com/is/image/MCY/12317942 </v>
      </c>
    </row>
    <row r="54" spans="1:12" ht="24.75" x14ac:dyDescent="0.25">
      <c r="A54" s="4" t="s">
        <v>4454</v>
      </c>
      <c r="B54" s="2" t="s">
        <v>4455</v>
      </c>
      <c r="C54" s="3">
        <v>1</v>
      </c>
      <c r="D54" s="5">
        <v>59.63</v>
      </c>
      <c r="E54" s="3" t="s">
        <v>4456</v>
      </c>
      <c r="F54" s="2" t="s">
        <v>1584</v>
      </c>
      <c r="G54" s="6" t="s">
        <v>181</v>
      </c>
      <c r="H54" s="2" t="s">
        <v>246</v>
      </c>
      <c r="I54" s="2" t="s">
        <v>189</v>
      </c>
      <c r="J54" s="2" t="s">
        <v>19</v>
      </c>
      <c r="K54" s="2" t="s">
        <v>798</v>
      </c>
      <c r="L54" s="7" t="str">
        <f>HYPERLINK("http://slimages.macys.com/is/image/MCY/10678558 ")</f>
        <v xml:space="preserve">http://slimages.macys.com/is/image/MCY/10678558 </v>
      </c>
    </row>
    <row r="55" spans="1:12" ht="24.75" x14ac:dyDescent="0.25">
      <c r="A55" s="4" t="s">
        <v>4457</v>
      </c>
      <c r="B55" s="2" t="s">
        <v>4458</v>
      </c>
      <c r="C55" s="3">
        <v>1</v>
      </c>
      <c r="D55" s="5">
        <v>52.13</v>
      </c>
      <c r="E55" s="3" t="s">
        <v>4459</v>
      </c>
      <c r="F55" s="2" t="s">
        <v>85</v>
      </c>
      <c r="G55" s="6" t="s">
        <v>245</v>
      </c>
      <c r="H55" s="2" t="s">
        <v>246</v>
      </c>
      <c r="I55" s="2" t="s">
        <v>189</v>
      </c>
      <c r="J55" s="2" t="s">
        <v>19</v>
      </c>
      <c r="K55" s="2" t="s">
        <v>263</v>
      </c>
      <c r="L55" s="7" t="str">
        <f>HYPERLINK("http://slimages.macys.com/is/image/MCY/10678515 ")</f>
        <v xml:space="preserve">http://slimages.macys.com/is/image/MCY/10678515 </v>
      </c>
    </row>
    <row r="56" spans="1:12" ht="24.75" x14ac:dyDescent="0.25">
      <c r="A56" s="4" t="s">
        <v>4460</v>
      </c>
      <c r="B56" s="2" t="s">
        <v>4458</v>
      </c>
      <c r="C56" s="3">
        <v>1</v>
      </c>
      <c r="D56" s="5">
        <v>52.13</v>
      </c>
      <c r="E56" s="3" t="s">
        <v>4459</v>
      </c>
      <c r="F56" s="2" t="s">
        <v>85</v>
      </c>
      <c r="G56" s="6" t="s">
        <v>234</v>
      </c>
      <c r="H56" s="2" t="s">
        <v>246</v>
      </c>
      <c r="I56" s="2" t="s">
        <v>189</v>
      </c>
      <c r="J56" s="2" t="s">
        <v>19</v>
      </c>
      <c r="K56" s="2" t="s">
        <v>263</v>
      </c>
      <c r="L56" s="7" t="str">
        <f>HYPERLINK("http://slimages.macys.com/is/image/MCY/10678515 ")</f>
        <v xml:space="preserve">http://slimages.macys.com/is/image/MCY/10678515 </v>
      </c>
    </row>
    <row r="57" spans="1:12" ht="24.75" x14ac:dyDescent="0.25">
      <c r="A57" s="4" t="s">
        <v>4461</v>
      </c>
      <c r="B57" s="2" t="s">
        <v>4458</v>
      </c>
      <c r="C57" s="3">
        <v>2</v>
      </c>
      <c r="D57" s="5">
        <v>52.13</v>
      </c>
      <c r="E57" s="3" t="s">
        <v>4459</v>
      </c>
      <c r="F57" s="2" t="s">
        <v>85</v>
      </c>
      <c r="G57" s="6" t="s">
        <v>181</v>
      </c>
      <c r="H57" s="2" t="s">
        <v>246</v>
      </c>
      <c r="I57" s="2" t="s">
        <v>189</v>
      </c>
      <c r="J57" s="2" t="s">
        <v>19</v>
      </c>
      <c r="K57" s="2" t="s">
        <v>263</v>
      </c>
      <c r="L57" s="7" t="str">
        <f>HYPERLINK("http://slimages.macys.com/is/image/MCY/10678515 ")</f>
        <v xml:space="preserve">http://slimages.macys.com/is/image/MCY/10678515 </v>
      </c>
    </row>
    <row r="58" spans="1:12" ht="24.75" x14ac:dyDescent="0.25">
      <c r="A58" s="4" t="s">
        <v>2182</v>
      </c>
      <c r="B58" s="2" t="s">
        <v>255</v>
      </c>
      <c r="C58" s="3">
        <v>1</v>
      </c>
      <c r="D58" s="5">
        <v>62.15</v>
      </c>
      <c r="E58" s="3" t="s">
        <v>256</v>
      </c>
      <c r="F58" s="2" t="s">
        <v>257</v>
      </c>
      <c r="G58" s="6" t="s">
        <v>154</v>
      </c>
      <c r="H58" s="2" t="s">
        <v>182</v>
      </c>
      <c r="I58" s="2" t="s">
        <v>183</v>
      </c>
      <c r="J58" s="2" t="s">
        <v>19</v>
      </c>
      <c r="K58" s="2" t="s">
        <v>258</v>
      </c>
      <c r="L58" s="7" t="str">
        <f>HYPERLINK("http://slimages.macys.com/is/image/MCY/12851794 ")</f>
        <v xml:space="preserve">http://slimages.macys.com/is/image/MCY/12851794 </v>
      </c>
    </row>
    <row r="59" spans="1:12" ht="24.75" x14ac:dyDescent="0.25">
      <c r="A59" s="4" t="s">
        <v>4462</v>
      </c>
      <c r="B59" s="2" t="s">
        <v>2188</v>
      </c>
      <c r="C59" s="3">
        <v>1</v>
      </c>
      <c r="D59" s="5">
        <v>69.5</v>
      </c>
      <c r="E59" s="3">
        <v>100058338</v>
      </c>
      <c r="F59" s="2" t="s">
        <v>64</v>
      </c>
      <c r="G59" s="6" t="s">
        <v>27</v>
      </c>
      <c r="H59" s="2" t="s">
        <v>386</v>
      </c>
      <c r="I59" s="2" t="s">
        <v>207</v>
      </c>
      <c r="J59" s="2" t="s">
        <v>19</v>
      </c>
      <c r="K59" s="2" t="s">
        <v>338</v>
      </c>
      <c r="L59" s="7" t="str">
        <f>HYPERLINK("http://slimages.macys.com/is/image/MCY/11943173 ")</f>
        <v xml:space="preserve">http://slimages.macys.com/is/image/MCY/11943173 </v>
      </c>
    </row>
    <row r="60" spans="1:12" ht="24.75" x14ac:dyDescent="0.25">
      <c r="A60" s="4" t="s">
        <v>4463</v>
      </c>
      <c r="B60" s="2" t="s">
        <v>4464</v>
      </c>
      <c r="C60" s="3">
        <v>1</v>
      </c>
      <c r="D60" s="5">
        <v>69.5</v>
      </c>
      <c r="E60" s="3" t="s">
        <v>4465</v>
      </c>
      <c r="F60" s="2" t="s">
        <v>64</v>
      </c>
      <c r="G60" s="6" t="s">
        <v>65</v>
      </c>
      <c r="H60" s="2" t="s">
        <v>386</v>
      </c>
      <c r="I60" s="2" t="s">
        <v>207</v>
      </c>
      <c r="J60" s="2" t="s">
        <v>19</v>
      </c>
      <c r="K60" s="2" t="s">
        <v>929</v>
      </c>
      <c r="L60" s="7" t="str">
        <f>HYPERLINK("http://slimages.macys.com/is/image/MCY/10001578 ")</f>
        <v xml:space="preserve">http://slimages.macys.com/is/image/MCY/10001578 </v>
      </c>
    </row>
    <row r="61" spans="1:12" ht="24.75" x14ac:dyDescent="0.25">
      <c r="A61" s="4" t="s">
        <v>4466</v>
      </c>
      <c r="B61" s="2" t="s">
        <v>4467</v>
      </c>
      <c r="C61" s="3">
        <v>1</v>
      </c>
      <c r="D61" s="5">
        <v>51.75</v>
      </c>
      <c r="E61" s="3">
        <v>100059774</v>
      </c>
      <c r="F61" s="2" t="s">
        <v>89</v>
      </c>
      <c r="G61" s="6" t="s">
        <v>65</v>
      </c>
      <c r="H61" s="2" t="s">
        <v>228</v>
      </c>
      <c r="I61" s="2" t="s">
        <v>229</v>
      </c>
      <c r="J61" s="2" t="s">
        <v>19</v>
      </c>
      <c r="K61" s="2" t="s">
        <v>253</v>
      </c>
      <c r="L61" s="7" t="str">
        <f>HYPERLINK("http://slimages.macys.com/is/image/MCY/12316717 ")</f>
        <v xml:space="preserve">http://slimages.macys.com/is/image/MCY/12316717 </v>
      </c>
    </row>
    <row r="62" spans="1:12" ht="24.75" x14ac:dyDescent="0.25">
      <c r="A62" s="4" t="s">
        <v>2193</v>
      </c>
      <c r="B62" s="2" t="s">
        <v>276</v>
      </c>
      <c r="C62" s="3">
        <v>1</v>
      </c>
      <c r="D62" s="5">
        <v>62.65</v>
      </c>
      <c r="E62" s="3" t="s">
        <v>277</v>
      </c>
      <c r="F62" s="2" t="s">
        <v>257</v>
      </c>
      <c r="G62" s="6" t="s">
        <v>156</v>
      </c>
      <c r="H62" s="2" t="s">
        <v>182</v>
      </c>
      <c r="I62" s="2" t="s">
        <v>183</v>
      </c>
      <c r="J62" s="2" t="s">
        <v>19</v>
      </c>
      <c r="K62" s="2" t="s">
        <v>208</v>
      </c>
      <c r="L62" s="7" t="str">
        <f>HYPERLINK("http://slimages.macys.com/is/image/MCY/12670890 ")</f>
        <v xml:space="preserve">http://slimages.macys.com/is/image/MCY/12670890 </v>
      </c>
    </row>
    <row r="63" spans="1:12" ht="24.75" x14ac:dyDescent="0.25">
      <c r="A63" s="4" t="s">
        <v>4468</v>
      </c>
      <c r="B63" s="2" t="s">
        <v>4469</v>
      </c>
      <c r="C63" s="3">
        <v>1</v>
      </c>
      <c r="D63" s="5">
        <v>59.5</v>
      </c>
      <c r="E63" s="3">
        <v>100061629</v>
      </c>
      <c r="F63" s="2" t="s">
        <v>64</v>
      </c>
      <c r="G63" s="6" t="s">
        <v>58</v>
      </c>
      <c r="H63" s="2" t="s">
        <v>386</v>
      </c>
      <c r="I63" s="2" t="s">
        <v>207</v>
      </c>
      <c r="J63" s="2" t="s">
        <v>19</v>
      </c>
      <c r="K63" s="2" t="s">
        <v>387</v>
      </c>
      <c r="L63" s="7" t="str">
        <f>HYPERLINK("http://slimages.macys.com/is/image/MCY/11963024 ")</f>
        <v xml:space="preserve">http://slimages.macys.com/is/image/MCY/11963024 </v>
      </c>
    </row>
    <row r="64" spans="1:12" ht="24.75" x14ac:dyDescent="0.25">
      <c r="A64" s="4" t="s">
        <v>4470</v>
      </c>
      <c r="B64" s="2" t="s">
        <v>279</v>
      </c>
      <c r="C64" s="3">
        <v>1</v>
      </c>
      <c r="D64" s="5">
        <v>69.5</v>
      </c>
      <c r="E64" s="3" t="s">
        <v>280</v>
      </c>
      <c r="F64" s="2" t="s">
        <v>70</v>
      </c>
      <c r="G64" s="6"/>
      <c r="H64" s="2" t="s">
        <v>127</v>
      </c>
      <c r="I64" s="2" t="s">
        <v>128</v>
      </c>
      <c r="J64" s="2" t="s">
        <v>19</v>
      </c>
      <c r="K64" s="2" t="s">
        <v>34</v>
      </c>
      <c r="L64" s="7" t="str">
        <f>HYPERLINK("http://slimages.macys.com/is/image/MCY/12549690 ")</f>
        <v xml:space="preserve">http://slimages.macys.com/is/image/MCY/12549690 </v>
      </c>
    </row>
    <row r="65" spans="1:12" ht="24.75" x14ac:dyDescent="0.25">
      <c r="A65" s="4" t="s">
        <v>3367</v>
      </c>
      <c r="B65" s="2" t="s">
        <v>282</v>
      </c>
      <c r="C65" s="3">
        <v>1</v>
      </c>
      <c r="D65" s="5">
        <v>44.63</v>
      </c>
      <c r="E65" s="3" t="s">
        <v>283</v>
      </c>
      <c r="F65" s="2" t="s">
        <v>111</v>
      </c>
      <c r="G65" s="6" t="s">
        <v>234</v>
      </c>
      <c r="H65" s="2" t="s">
        <v>284</v>
      </c>
      <c r="I65" s="2" t="s">
        <v>285</v>
      </c>
      <c r="J65" s="2" t="s">
        <v>19</v>
      </c>
      <c r="K65" s="2" t="s">
        <v>286</v>
      </c>
      <c r="L65" s="7" t="str">
        <f>HYPERLINK("http://slimages.macys.com/is/image/MCY/11859243 ")</f>
        <v xml:space="preserve">http://slimages.macys.com/is/image/MCY/11859243 </v>
      </c>
    </row>
    <row r="66" spans="1:12" ht="36.75" x14ac:dyDescent="0.25">
      <c r="A66" s="4" t="s">
        <v>4471</v>
      </c>
      <c r="B66" s="2" t="s">
        <v>2207</v>
      </c>
      <c r="C66" s="3">
        <v>1</v>
      </c>
      <c r="D66" s="5">
        <v>79.5</v>
      </c>
      <c r="E66" s="3">
        <v>100056437</v>
      </c>
      <c r="F66" s="2" t="s">
        <v>417</v>
      </c>
      <c r="G66" s="6" t="s">
        <v>39</v>
      </c>
      <c r="H66" s="2" t="s">
        <v>386</v>
      </c>
      <c r="I66" s="2" t="s">
        <v>207</v>
      </c>
      <c r="J66" s="2" t="s">
        <v>19</v>
      </c>
      <c r="K66" s="2" t="s">
        <v>2209</v>
      </c>
      <c r="L66" s="7" t="str">
        <f>HYPERLINK("http://slimages.macys.com/is/image/MCY/11943211 ")</f>
        <v xml:space="preserve">http://slimages.macys.com/is/image/MCY/11943211 </v>
      </c>
    </row>
    <row r="67" spans="1:12" ht="60.75" x14ac:dyDescent="0.25">
      <c r="A67" s="4" t="s">
        <v>4472</v>
      </c>
      <c r="B67" s="2" t="s">
        <v>4473</v>
      </c>
      <c r="C67" s="3">
        <v>1</v>
      </c>
      <c r="D67" s="5">
        <v>67.13</v>
      </c>
      <c r="E67" s="3" t="s">
        <v>4474</v>
      </c>
      <c r="F67" s="2" t="s">
        <v>74</v>
      </c>
      <c r="G67" s="6"/>
      <c r="H67" s="2" t="s">
        <v>188</v>
      </c>
      <c r="I67" s="2" t="s">
        <v>189</v>
      </c>
      <c r="J67" s="2" t="s">
        <v>19</v>
      </c>
      <c r="K67" s="2" t="s">
        <v>4475</v>
      </c>
      <c r="L67" s="7" t="str">
        <f>HYPERLINK("http://slimages.macys.com/is/image/MCY/11517212 ")</f>
        <v xml:space="preserve">http://slimages.macys.com/is/image/MCY/11517212 </v>
      </c>
    </row>
    <row r="68" spans="1:12" ht="24.75" x14ac:dyDescent="0.25">
      <c r="A68" s="4" t="s">
        <v>4476</v>
      </c>
      <c r="B68" s="2" t="s">
        <v>2202</v>
      </c>
      <c r="C68" s="3">
        <v>1</v>
      </c>
      <c r="D68" s="5">
        <v>48.38</v>
      </c>
      <c r="E68" s="3" t="s">
        <v>2203</v>
      </c>
      <c r="F68" s="2" t="s">
        <v>26</v>
      </c>
      <c r="G68" s="6" t="s">
        <v>746</v>
      </c>
      <c r="H68" s="2" t="s">
        <v>349</v>
      </c>
      <c r="I68" s="2" t="s">
        <v>285</v>
      </c>
      <c r="J68" s="2" t="s">
        <v>19</v>
      </c>
      <c r="K68" s="2" t="s">
        <v>2204</v>
      </c>
      <c r="L68" s="7" t="str">
        <f>HYPERLINK("http://slimages.macys.com/is/image/MCY/11859318 ")</f>
        <v xml:space="preserve">http://slimages.macys.com/is/image/MCY/11859318 </v>
      </c>
    </row>
    <row r="69" spans="1:12" ht="24.75" x14ac:dyDescent="0.25">
      <c r="A69" s="4" t="s">
        <v>2201</v>
      </c>
      <c r="B69" s="2" t="s">
        <v>2202</v>
      </c>
      <c r="C69" s="3">
        <v>1</v>
      </c>
      <c r="D69" s="5">
        <v>48.38</v>
      </c>
      <c r="E69" s="3" t="s">
        <v>2203</v>
      </c>
      <c r="F69" s="2" t="s">
        <v>26</v>
      </c>
      <c r="G69" s="6" t="s">
        <v>348</v>
      </c>
      <c r="H69" s="2" t="s">
        <v>349</v>
      </c>
      <c r="I69" s="2" t="s">
        <v>285</v>
      </c>
      <c r="J69" s="2" t="s">
        <v>19</v>
      </c>
      <c r="K69" s="2" t="s">
        <v>2204</v>
      </c>
      <c r="L69" s="7" t="str">
        <f>HYPERLINK("http://slimages.macys.com/is/image/MCY/11859318 ")</f>
        <v xml:space="preserve">http://slimages.macys.com/is/image/MCY/11859318 </v>
      </c>
    </row>
    <row r="70" spans="1:12" ht="24.75" x14ac:dyDescent="0.25">
      <c r="A70" s="4" t="s">
        <v>4477</v>
      </c>
      <c r="B70" s="2" t="s">
        <v>2202</v>
      </c>
      <c r="C70" s="3">
        <v>1</v>
      </c>
      <c r="D70" s="5">
        <v>48.38</v>
      </c>
      <c r="E70" s="3" t="s">
        <v>2203</v>
      </c>
      <c r="F70" s="2" t="s">
        <v>26</v>
      </c>
      <c r="G70" s="6" t="s">
        <v>2276</v>
      </c>
      <c r="H70" s="2" t="s">
        <v>349</v>
      </c>
      <c r="I70" s="2" t="s">
        <v>285</v>
      </c>
      <c r="J70" s="2" t="s">
        <v>19</v>
      </c>
      <c r="K70" s="2" t="s">
        <v>2204</v>
      </c>
      <c r="L70" s="7" t="str">
        <f>HYPERLINK("http://slimages.macys.com/is/image/MCY/11859318 ")</f>
        <v xml:space="preserve">http://slimages.macys.com/is/image/MCY/11859318 </v>
      </c>
    </row>
    <row r="71" spans="1:12" ht="24.75" x14ac:dyDescent="0.25">
      <c r="A71" s="4" t="s">
        <v>308</v>
      </c>
      <c r="B71" s="2" t="s">
        <v>305</v>
      </c>
      <c r="C71" s="3">
        <v>1</v>
      </c>
      <c r="D71" s="5">
        <v>52.13</v>
      </c>
      <c r="E71" s="3" t="s">
        <v>306</v>
      </c>
      <c r="F71" s="2" t="s">
        <v>74</v>
      </c>
      <c r="G71" s="6" t="s">
        <v>154</v>
      </c>
      <c r="H71" s="2" t="s">
        <v>194</v>
      </c>
      <c r="I71" s="2" t="s">
        <v>307</v>
      </c>
      <c r="J71" s="2" t="s">
        <v>19</v>
      </c>
      <c r="K71" s="2" t="s">
        <v>247</v>
      </c>
      <c r="L71" s="7" t="str">
        <f>HYPERLINK("http://slimages.macys.com/is/image/MCY/11937882 ")</f>
        <v xml:space="preserve">http://slimages.macys.com/is/image/MCY/11937882 </v>
      </c>
    </row>
    <row r="72" spans="1:12" ht="24.75" x14ac:dyDescent="0.25">
      <c r="A72" s="4" t="s">
        <v>2205</v>
      </c>
      <c r="B72" s="2" t="s">
        <v>305</v>
      </c>
      <c r="C72" s="3">
        <v>1</v>
      </c>
      <c r="D72" s="5">
        <v>52.13</v>
      </c>
      <c r="E72" s="3" t="s">
        <v>306</v>
      </c>
      <c r="F72" s="2" t="s">
        <v>74</v>
      </c>
      <c r="G72" s="6" t="s">
        <v>234</v>
      </c>
      <c r="H72" s="2" t="s">
        <v>194</v>
      </c>
      <c r="I72" s="2" t="s">
        <v>307</v>
      </c>
      <c r="J72" s="2" t="s">
        <v>19</v>
      </c>
      <c r="K72" s="2" t="s">
        <v>247</v>
      </c>
      <c r="L72" s="7" t="str">
        <f>HYPERLINK("http://slimages.macys.com/is/image/MCY/11937882 ")</f>
        <v xml:space="preserve">http://slimages.macys.com/is/image/MCY/11937882 </v>
      </c>
    </row>
    <row r="73" spans="1:12" ht="24.75" x14ac:dyDescent="0.25">
      <c r="A73" s="4" t="s">
        <v>4478</v>
      </c>
      <c r="B73" s="2" t="s">
        <v>4479</v>
      </c>
      <c r="C73" s="3">
        <v>1</v>
      </c>
      <c r="D73" s="5">
        <v>52.13</v>
      </c>
      <c r="E73" s="3" t="s">
        <v>4480</v>
      </c>
      <c r="F73" s="2" t="s">
        <v>26</v>
      </c>
      <c r="G73" s="6" t="s">
        <v>746</v>
      </c>
      <c r="H73" s="2" t="s">
        <v>349</v>
      </c>
      <c r="I73" s="2" t="s">
        <v>285</v>
      </c>
      <c r="J73" s="2" t="s">
        <v>19</v>
      </c>
      <c r="K73" s="2" t="s">
        <v>323</v>
      </c>
      <c r="L73" s="7" t="str">
        <f>HYPERLINK("http://slimages.macys.com/is/image/MCY/11708086 ")</f>
        <v xml:space="preserve">http://slimages.macys.com/is/image/MCY/11708086 </v>
      </c>
    </row>
    <row r="74" spans="1:12" ht="36.75" x14ac:dyDescent="0.25">
      <c r="A74" s="4" t="s">
        <v>3371</v>
      </c>
      <c r="B74" s="2" t="s">
        <v>2211</v>
      </c>
      <c r="C74" s="3">
        <v>1</v>
      </c>
      <c r="D74" s="5">
        <v>59.5</v>
      </c>
      <c r="E74" s="3" t="s">
        <v>2212</v>
      </c>
      <c r="F74" s="2" t="s">
        <v>136</v>
      </c>
      <c r="G74" s="6" t="s">
        <v>205</v>
      </c>
      <c r="H74" s="2" t="s">
        <v>127</v>
      </c>
      <c r="I74" s="2" t="s">
        <v>128</v>
      </c>
      <c r="J74" s="2" t="s">
        <v>19</v>
      </c>
      <c r="K74" s="2" t="s">
        <v>2213</v>
      </c>
      <c r="L74" s="7" t="str">
        <f>HYPERLINK("http://slimages.macys.com/is/image/MCY/11074772 ")</f>
        <v xml:space="preserve">http://slimages.macys.com/is/image/MCY/11074772 </v>
      </c>
    </row>
    <row r="75" spans="1:12" ht="36.75" x14ac:dyDescent="0.25">
      <c r="A75" s="4" t="s">
        <v>4481</v>
      </c>
      <c r="B75" s="2" t="s">
        <v>2211</v>
      </c>
      <c r="C75" s="3">
        <v>1</v>
      </c>
      <c r="D75" s="5">
        <v>59.5</v>
      </c>
      <c r="E75" s="3" t="s">
        <v>2212</v>
      </c>
      <c r="F75" s="2" t="s">
        <v>136</v>
      </c>
      <c r="G75" s="6" t="s">
        <v>165</v>
      </c>
      <c r="H75" s="2" t="s">
        <v>127</v>
      </c>
      <c r="I75" s="2" t="s">
        <v>128</v>
      </c>
      <c r="J75" s="2" t="s">
        <v>19</v>
      </c>
      <c r="K75" s="2" t="s">
        <v>2213</v>
      </c>
      <c r="L75" s="7" t="str">
        <f>HYPERLINK("http://slimages.macys.com/is/image/MCY/11074772 ")</f>
        <v xml:space="preserve">http://slimages.macys.com/is/image/MCY/11074772 </v>
      </c>
    </row>
    <row r="76" spans="1:12" ht="24.75" x14ac:dyDescent="0.25">
      <c r="A76" s="4" t="s">
        <v>4482</v>
      </c>
      <c r="B76" s="2" t="s">
        <v>4483</v>
      </c>
      <c r="C76" s="3">
        <v>1</v>
      </c>
      <c r="D76" s="5">
        <v>52.13</v>
      </c>
      <c r="E76" s="3" t="s">
        <v>4484</v>
      </c>
      <c r="F76" s="2" t="s">
        <v>70</v>
      </c>
      <c r="G76" s="6" t="s">
        <v>27</v>
      </c>
      <c r="H76" s="2" t="s">
        <v>246</v>
      </c>
      <c r="I76" s="2" t="s">
        <v>189</v>
      </c>
      <c r="J76" s="2" t="s">
        <v>19</v>
      </c>
      <c r="K76" s="2" t="s">
        <v>353</v>
      </c>
      <c r="L76" s="7" t="str">
        <f>HYPERLINK("http://slimages.macys.com/is/image/MCY/11938675 ")</f>
        <v xml:space="preserve">http://slimages.macys.com/is/image/MCY/11938675 </v>
      </c>
    </row>
    <row r="77" spans="1:12" ht="24.75" x14ac:dyDescent="0.25">
      <c r="A77" s="4" t="s">
        <v>3380</v>
      </c>
      <c r="B77" s="2" t="s">
        <v>340</v>
      </c>
      <c r="C77" s="3">
        <v>1</v>
      </c>
      <c r="D77" s="5">
        <v>44.63</v>
      </c>
      <c r="E77" s="3" t="s">
        <v>341</v>
      </c>
      <c r="F77" s="2" t="s">
        <v>15</v>
      </c>
      <c r="G77" s="6" t="s">
        <v>234</v>
      </c>
      <c r="H77" s="2" t="s">
        <v>194</v>
      </c>
      <c r="I77" s="2" t="s">
        <v>195</v>
      </c>
      <c r="J77" s="2" t="s">
        <v>19</v>
      </c>
      <c r="K77" s="2" t="s">
        <v>201</v>
      </c>
      <c r="L77" s="7" t="str">
        <f>HYPERLINK("http://slimages.macys.com/is/image/MCY/12794062 ")</f>
        <v xml:space="preserve">http://slimages.macys.com/is/image/MCY/12794062 </v>
      </c>
    </row>
    <row r="78" spans="1:12" ht="24.75" x14ac:dyDescent="0.25">
      <c r="A78" s="4" t="s">
        <v>4485</v>
      </c>
      <c r="B78" s="2" t="s">
        <v>4486</v>
      </c>
      <c r="C78" s="3">
        <v>1</v>
      </c>
      <c r="D78" s="5">
        <v>48.38</v>
      </c>
      <c r="E78" s="3" t="s">
        <v>4487</v>
      </c>
      <c r="F78" s="2" t="s">
        <v>199</v>
      </c>
      <c r="G78" s="6" t="s">
        <v>16</v>
      </c>
      <c r="H78" s="2" t="s">
        <v>213</v>
      </c>
      <c r="I78" s="2" t="s">
        <v>214</v>
      </c>
      <c r="J78" s="2" t="s">
        <v>19</v>
      </c>
      <c r="K78" s="2" t="s">
        <v>215</v>
      </c>
      <c r="L78" s="7" t="str">
        <f>HYPERLINK("http://slimages.macys.com/is/image/MCY/10434711 ")</f>
        <v xml:space="preserve">http://slimages.macys.com/is/image/MCY/10434711 </v>
      </c>
    </row>
    <row r="79" spans="1:12" ht="24.75" x14ac:dyDescent="0.25">
      <c r="A79" s="4" t="s">
        <v>3381</v>
      </c>
      <c r="B79" s="2" t="s">
        <v>340</v>
      </c>
      <c r="C79" s="3">
        <v>1</v>
      </c>
      <c r="D79" s="5">
        <v>44.63</v>
      </c>
      <c r="E79" s="3" t="s">
        <v>341</v>
      </c>
      <c r="F79" s="2" t="s">
        <v>15</v>
      </c>
      <c r="G79" s="6" t="s">
        <v>181</v>
      </c>
      <c r="H79" s="2" t="s">
        <v>194</v>
      </c>
      <c r="I79" s="2" t="s">
        <v>195</v>
      </c>
      <c r="J79" s="2" t="s">
        <v>19</v>
      </c>
      <c r="K79" s="2" t="s">
        <v>201</v>
      </c>
      <c r="L79" s="7" t="str">
        <f>HYPERLINK("http://slimages.macys.com/is/image/MCY/12794062 ")</f>
        <v xml:space="preserve">http://slimages.macys.com/is/image/MCY/12794062 </v>
      </c>
    </row>
    <row r="80" spans="1:12" ht="24.75" x14ac:dyDescent="0.25">
      <c r="A80" s="4" t="s">
        <v>4488</v>
      </c>
      <c r="B80" s="2" t="s">
        <v>2227</v>
      </c>
      <c r="C80" s="3">
        <v>1</v>
      </c>
      <c r="D80" s="5">
        <v>79.5</v>
      </c>
      <c r="E80" s="3">
        <v>100050172</v>
      </c>
      <c r="F80" s="2" t="s">
        <v>64</v>
      </c>
      <c r="G80" s="6" t="s">
        <v>58</v>
      </c>
      <c r="H80" s="2" t="s">
        <v>386</v>
      </c>
      <c r="I80" s="2" t="s">
        <v>391</v>
      </c>
      <c r="J80" s="2" t="s">
        <v>19</v>
      </c>
      <c r="K80" s="2" t="s">
        <v>392</v>
      </c>
      <c r="L80" s="7" t="str">
        <f>HYPERLINK("http://slimages.macys.com/is/image/MCY/12067831 ")</f>
        <v xml:space="preserve">http://slimages.macys.com/is/image/MCY/12067831 </v>
      </c>
    </row>
    <row r="81" spans="1:12" ht="24.75" x14ac:dyDescent="0.25">
      <c r="A81" s="4" t="s">
        <v>4489</v>
      </c>
      <c r="B81" s="2" t="s">
        <v>2227</v>
      </c>
      <c r="C81" s="3">
        <v>1</v>
      </c>
      <c r="D81" s="5">
        <v>79.5</v>
      </c>
      <c r="E81" s="3">
        <v>100050172</v>
      </c>
      <c r="F81" s="2" t="s">
        <v>64</v>
      </c>
      <c r="G81" s="6" t="s">
        <v>16</v>
      </c>
      <c r="H81" s="2" t="s">
        <v>386</v>
      </c>
      <c r="I81" s="2" t="s">
        <v>391</v>
      </c>
      <c r="J81" s="2" t="s">
        <v>19</v>
      </c>
      <c r="K81" s="2" t="s">
        <v>392</v>
      </c>
      <c r="L81" s="7" t="str">
        <f>HYPERLINK("http://slimages.macys.com/is/image/MCY/12067831 ")</f>
        <v xml:space="preserve">http://slimages.macys.com/is/image/MCY/12067831 </v>
      </c>
    </row>
    <row r="82" spans="1:12" ht="24.75" x14ac:dyDescent="0.25">
      <c r="A82" s="4" t="s">
        <v>4490</v>
      </c>
      <c r="B82" s="2" t="s">
        <v>4491</v>
      </c>
      <c r="C82" s="3">
        <v>1</v>
      </c>
      <c r="D82" s="5">
        <v>44.63</v>
      </c>
      <c r="E82" s="3" t="s">
        <v>4492</v>
      </c>
      <c r="F82" s="2" t="s">
        <v>252</v>
      </c>
      <c r="G82" s="6" t="s">
        <v>106</v>
      </c>
      <c r="H82" s="2" t="s">
        <v>213</v>
      </c>
      <c r="I82" s="2" t="s">
        <v>214</v>
      </c>
      <c r="J82" s="2" t="s">
        <v>19</v>
      </c>
      <c r="K82" s="2" t="s">
        <v>253</v>
      </c>
      <c r="L82" s="7" t="str">
        <f>HYPERLINK("http://slimages.macys.com/is/image/MCY/12773239 ")</f>
        <v xml:space="preserve">http://slimages.macys.com/is/image/MCY/12773239 </v>
      </c>
    </row>
    <row r="83" spans="1:12" ht="24.75" x14ac:dyDescent="0.25">
      <c r="A83" s="4" t="s">
        <v>4493</v>
      </c>
      <c r="B83" s="2" t="s">
        <v>261</v>
      </c>
      <c r="C83" s="3">
        <v>1</v>
      </c>
      <c r="D83" s="5">
        <v>52.13</v>
      </c>
      <c r="E83" s="3" t="s">
        <v>4494</v>
      </c>
      <c r="F83" s="2" t="s">
        <v>1584</v>
      </c>
      <c r="G83" s="6" t="s">
        <v>154</v>
      </c>
      <c r="H83" s="2" t="s">
        <v>246</v>
      </c>
      <c r="I83" s="2" t="s">
        <v>189</v>
      </c>
      <c r="J83" s="2" t="s">
        <v>19</v>
      </c>
      <c r="K83" s="2" t="s">
        <v>263</v>
      </c>
      <c r="L83" s="7" t="str">
        <f>HYPERLINK("http://slimages.macys.com/is/image/MCY/16351261 ")</f>
        <v xml:space="preserve">http://slimages.macys.com/is/image/MCY/16351261 </v>
      </c>
    </row>
    <row r="84" spans="1:12" ht="24.75" x14ac:dyDescent="0.25">
      <c r="A84" s="4" t="s">
        <v>4495</v>
      </c>
      <c r="B84" s="2" t="s">
        <v>4496</v>
      </c>
      <c r="C84" s="3">
        <v>1</v>
      </c>
      <c r="D84" s="5">
        <v>48.38</v>
      </c>
      <c r="E84" s="3" t="s">
        <v>4497</v>
      </c>
      <c r="F84" s="2" t="s">
        <v>94</v>
      </c>
      <c r="G84" s="6" t="s">
        <v>348</v>
      </c>
      <c r="H84" s="2" t="s">
        <v>349</v>
      </c>
      <c r="I84" s="2" t="s">
        <v>285</v>
      </c>
      <c r="J84" s="2" t="s">
        <v>19</v>
      </c>
      <c r="K84" s="2" t="s">
        <v>34</v>
      </c>
      <c r="L84" s="7" t="str">
        <f>HYPERLINK("http://slimages.macys.com/is/image/MCY/11516513 ")</f>
        <v xml:space="preserve">http://slimages.macys.com/is/image/MCY/11516513 </v>
      </c>
    </row>
    <row r="85" spans="1:12" ht="24.75" x14ac:dyDescent="0.25">
      <c r="A85" s="4" t="s">
        <v>2238</v>
      </c>
      <c r="B85" s="2" t="s">
        <v>355</v>
      </c>
      <c r="C85" s="3">
        <v>2</v>
      </c>
      <c r="D85" s="5">
        <v>48</v>
      </c>
      <c r="E85" s="3">
        <v>100053387</v>
      </c>
      <c r="F85" s="2" t="s">
        <v>111</v>
      </c>
      <c r="G85" s="6" t="s">
        <v>22</v>
      </c>
      <c r="H85" s="2" t="s">
        <v>228</v>
      </c>
      <c r="I85" s="2" t="s">
        <v>229</v>
      </c>
      <c r="J85" s="2" t="s">
        <v>19</v>
      </c>
      <c r="K85" s="2" t="s">
        <v>338</v>
      </c>
      <c r="L85" s="7" t="str">
        <f t="shared" ref="L85:L91" si="0">HYPERLINK("http://slimages.macys.com/is/image/MCY/13829477 ")</f>
        <v xml:space="preserve">http://slimages.macys.com/is/image/MCY/13829477 </v>
      </c>
    </row>
    <row r="86" spans="1:12" ht="24.75" x14ac:dyDescent="0.25">
      <c r="A86" s="4" t="s">
        <v>356</v>
      </c>
      <c r="B86" s="2" t="s">
        <v>355</v>
      </c>
      <c r="C86" s="3">
        <v>1</v>
      </c>
      <c r="D86" s="5">
        <v>48</v>
      </c>
      <c r="E86" s="3">
        <v>100053387</v>
      </c>
      <c r="F86" s="2" t="s">
        <v>111</v>
      </c>
      <c r="G86" s="6" t="s">
        <v>65</v>
      </c>
      <c r="H86" s="2" t="s">
        <v>228</v>
      </c>
      <c r="I86" s="2" t="s">
        <v>229</v>
      </c>
      <c r="J86" s="2" t="s">
        <v>19</v>
      </c>
      <c r="K86" s="2" t="s">
        <v>338</v>
      </c>
      <c r="L86" s="7" t="str">
        <f t="shared" si="0"/>
        <v xml:space="preserve">http://slimages.macys.com/is/image/MCY/13829477 </v>
      </c>
    </row>
    <row r="87" spans="1:12" ht="24.75" x14ac:dyDescent="0.25">
      <c r="A87" s="4" t="s">
        <v>2242</v>
      </c>
      <c r="B87" s="2" t="s">
        <v>355</v>
      </c>
      <c r="C87" s="3">
        <v>1</v>
      </c>
      <c r="D87" s="5">
        <v>48</v>
      </c>
      <c r="E87" s="3">
        <v>100053387</v>
      </c>
      <c r="F87" s="2" t="s">
        <v>111</v>
      </c>
      <c r="G87" s="6" t="s">
        <v>106</v>
      </c>
      <c r="H87" s="2" t="s">
        <v>228</v>
      </c>
      <c r="I87" s="2" t="s">
        <v>229</v>
      </c>
      <c r="J87" s="2" t="s">
        <v>19</v>
      </c>
      <c r="K87" s="2" t="s">
        <v>338</v>
      </c>
      <c r="L87" s="7" t="str">
        <f t="shared" si="0"/>
        <v xml:space="preserve">http://slimages.macys.com/is/image/MCY/13829477 </v>
      </c>
    </row>
    <row r="88" spans="1:12" ht="24.75" x14ac:dyDescent="0.25">
      <c r="A88" s="4" t="s">
        <v>2239</v>
      </c>
      <c r="B88" s="2" t="s">
        <v>355</v>
      </c>
      <c r="C88" s="3">
        <v>1</v>
      </c>
      <c r="D88" s="5">
        <v>48</v>
      </c>
      <c r="E88" s="3">
        <v>100053387</v>
      </c>
      <c r="F88" s="2" t="s">
        <v>111</v>
      </c>
      <c r="G88" s="6" t="s">
        <v>112</v>
      </c>
      <c r="H88" s="2" t="s">
        <v>228</v>
      </c>
      <c r="I88" s="2" t="s">
        <v>229</v>
      </c>
      <c r="J88" s="2" t="s">
        <v>19</v>
      </c>
      <c r="K88" s="2" t="s">
        <v>338</v>
      </c>
      <c r="L88" s="7" t="str">
        <f t="shared" si="0"/>
        <v xml:space="preserve">http://slimages.macys.com/is/image/MCY/13829477 </v>
      </c>
    </row>
    <row r="89" spans="1:12" ht="24.75" x14ac:dyDescent="0.25">
      <c r="A89" s="4" t="s">
        <v>2240</v>
      </c>
      <c r="B89" s="2" t="s">
        <v>355</v>
      </c>
      <c r="C89" s="3">
        <v>1</v>
      </c>
      <c r="D89" s="5">
        <v>48</v>
      </c>
      <c r="E89" s="3">
        <v>100053387</v>
      </c>
      <c r="F89" s="2" t="s">
        <v>111</v>
      </c>
      <c r="G89" s="6" t="s">
        <v>141</v>
      </c>
      <c r="H89" s="2" t="s">
        <v>228</v>
      </c>
      <c r="I89" s="2" t="s">
        <v>229</v>
      </c>
      <c r="J89" s="2" t="s">
        <v>19</v>
      </c>
      <c r="K89" s="2" t="s">
        <v>338</v>
      </c>
      <c r="L89" s="7" t="str">
        <f t="shared" si="0"/>
        <v xml:space="preserve">http://slimages.macys.com/is/image/MCY/13829477 </v>
      </c>
    </row>
    <row r="90" spans="1:12" ht="24.75" x14ac:dyDescent="0.25">
      <c r="A90" s="4" t="s">
        <v>2241</v>
      </c>
      <c r="B90" s="2" t="s">
        <v>355</v>
      </c>
      <c r="C90" s="3">
        <v>2</v>
      </c>
      <c r="D90" s="5">
        <v>48</v>
      </c>
      <c r="E90" s="3">
        <v>100053387</v>
      </c>
      <c r="F90" s="2" t="s">
        <v>111</v>
      </c>
      <c r="G90" s="6" t="s">
        <v>58</v>
      </c>
      <c r="H90" s="2" t="s">
        <v>228</v>
      </c>
      <c r="I90" s="2" t="s">
        <v>229</v>
      </c>
      <c r="J90" s="2" t="s">
        <v>19</v>
      </c>
      <c r="K90" s="2" t="s">
        <v>338</v>
      </c>
      <c r="L90" s="7" t="str">
        <f t="shared" si="0"/>
        <v xml:space="preserve">http://slimages.macys.com/is/image/MCY/13829477 </v>
      </c>
    </row>
    <row r="91" spans="1:12" ht="24.75" x14ac:dyDescent="0.25">
      <c r="A91" s="4" t="s">
        <v>357</v>
      </c>
      <c r="B91" s="2" t="s">
        <v>355</v>
      </c>
      <c r="C91" s="3">
        <v>3</v>
      </c>
      <c r="D91" s="5">
        <v>48</v>
      </c>
      <c r="E91" s="3">
        <v>100053387</v>
      </c>
      <c r="F91" s="2" t="s">
        <v>111</v>
      </c>
      <c r="G91" s="6" t="s">
        <v>16</v>
      </c>
      <c r="H91" s="2" t="s">
        <v>228</v>
      </c>
      <c r="I91" s="2" t="s">
        <v>229</v>
      </c>
      <c r="J91" s="2" t="s">
        <v>19</v>
      </c>
      <c r="K91" s="2" t="s">
        <v>338</v>
      </c>
      <c r="L91" s="7" t="str">
        <f t="shared" si="0"/>
        <v xml:space="preserve">http://slimages.macys.com/is/image/MCY/13829477 </v>
      </c>
    </row>
    <row r="92" spans="1:12" ht="24.75" x14ac:dyDescent="0.25">
      <c r="A92" s="4" t="s">
        <v>4498</v>
      </c>
      <c r="B92" s="2" t="s">
        <v>359</v>
      </c>
      <c r="C92" s="3">
        <v>1</v>
      </c>
      <c r="D92" s="5">
        <v>59.5</v>
      </c>
      <c r="E92" s="3" t="s">
        <v>360</v>
      </c>
      <c r="F92" s="2" t="s">
        <v>26</v>
      </c>
      <c r="G92" s="6" t="s">
        <v>934</v>
      </c>
      <c r="H92" s="2" t="s">
        <v>127</v>
      </c>
      <c r="I92" s="2" t="s">
        <v>128</v>
      </c>
      <c r="J92" s="2" t="s">
        <v>19</v>
      </c>
      <c r="K92" s="2" t="s">
        <v>361</v>
      </c>
      <c r="L92" s="7" t="str">
        <f>HYPERLINK("http://slimages.macys.com/is/image/MCY/10890960 ")</f>
        <v xml:space="preserve">http://slimages.macys.com/is/image/MCY/10890960 </v>
      </c>
    </row>
    <row r="93" spans="1:12" ht="24.75" x14ac:dyDescent="0.25">
      <c r="A93" s="4" t="s">
        <v>4499</v>
      </c>
      <c r="B93" s="2" t="s">
        <v>359</v>
      </c>
      <c r="C93" s="3">
        <v>1</v>
      </c>
      <c r="D93" s="5">
        <v>59.5</v>
      </c>
      <c r="E93" s="3" t="s">
        <v>360</v>
      </c>
      <c r="F93" s="2" t="s">
        <v>26</v>
      </c>
      <c r="G93" s="6" t="s">
        <v>336</v>
      </c>
      <c r="H93" s="2" t="s">
        <v>127</v>
      </c>
      <c r="I93" s="2" t="s">
        <v>128</v>
      </c>
      <c r="J93" s="2" t="s">
        <v>19</v>
      </c>
      <c r="K93" s="2" t="s">
        <v>361</v>
      </c>
      <c r="L93" s="7" t="str">
        <f>HYPERLINK("http://slimages.macys.com/is/image/MCY/10890960 ")</f>
        <v xml:space="preserve">http://slimages.macys.com/is/image/MCY/10890960 </v>
      </c>
    </row>
    <row r="94" spans="1:12" ht="36.75" x14ac:dyDescent="0.25">
      <c r="A94" s="4" t="s">
        <v>4500</v>
      </c>
      <c r="B94" s="2" t="s">
        <v>4501</v>
      </c>
      <c r="C94" s="3">
        <v>1</v>
      </c>
      <c r="D94" s="5">
        <v>49.5</v>
      </c>
      <c r="E94" s="3" t="s">
        <v>4502</v>
      </c>
      <c r="F94" s="2" t="s">
        <v>170</v>
      </c>
      <c r="G94" s="6" t="s">
        <v>22</v>
      </c>
      <c r="H94" s="2" t="s">
        <v>246</v>
      </c>
      <c r="I94" s="2" t="s">
        <v>189</v>
      </c>
      <c r="J94" s="2" t="s">
        <v>19</v>
      </c>
      <c r="K94" s="2" t="s">
        <v>395</v>
      </c>
      <c r="L94" s="7" t="str">
        <f>HYPERLINK("http://slimages.macys.com/is/image/MCY/10676321 ")</f>
        <v xml:space="preserve">http://slimages.macys.com/is/image/MCY/10676321 </v>
      </c>
    </row>
    <row r="95" spans="1:12" ht="24.75" x14ac:dyDescent="0.25">
      <c r="A95" s="4" t="s">
        <v>4503</v>
      </c>
      <c r="B95" s="2" t="s">
        <v>4504</v>
      </c>
      <c r="C95" s="3">
        <v>1</v>
      </c>
      <c r="D95" s="5">
        <v>52.13</v>
      </c>
      <c r="E95" s="3" t="s">
        <v>4505</v>
      </c>
      <c r="F95" s="2" t="s">
        <v>64</v>
      </c>
      <c r="G95" s="6" t="s">
        <v>156</v>
      </c>
      <c r="H95" s="2" t="s">
        <v>246</v>
      </c>
      <c r="I95" s="2" t="s">
        <v>189</v>
      </c>
      <c r="J95" s="2" t="s">
        <v>19</v>
      </c>
      <c r="K95" s="2" t="s">
        <v>803</v>
      </c>
      <c r="L95" s="7" t="str">
        <f>HYPERLINK("http://slimages.macys.com/is/image/MCY/11884231 ")</f>
        <v xml:space="preserve">http://slimages.macys.com/is/image/MCY/11884231 </v>
      </c>
    </row>
    <row r="96" spans="1:12" ht="24.75" x14ac:dyDescent="0.25">
      <c r="A96" s="4" t="s">
        <v>4506</v>
      </c>
      <c r="B96" s="2" t="s">
        <v>4507</v>
      </c>
      <c r="C96" s="3">
        <v>2</v>
      </c>
      <c r="D96" s="5">
        <v>52.13</v>
      </c>
      <c r="E96" s="3" t="s">
        <v>4508</v>
      </c>
      <c r="F96" s="2" t="s">
        <v>74</v>
      </c>
      <c r="G96" s="6" t="s">
        <v>238</v>
      </c>
      <c r="H96" s="2" t="s">
        <v>188</v>
      </c>
      <c r="I96" s="2" t="s">
        <v>189</v>
      </c>
      <c r="J96" s="2" t="s">
        <v>19</v>
      </c>
      <c r="K96" s="2" t="s">
        <v>409</v>
      </c>
      <c r="L96" s="7" t="str">
        <f>HYPERLINK("http://slimages.macys.com/is/image/MCY/11272326 ")</f>
        <v xml:space="preserve">http://slimages.macys.com/is/image/MCY/11272326 </v>
      </c>
    </row>
    <row r="97" spans="1:12" ht="24.75" x14ac:dyDescent="0.25">
      <c r="A97" s="4" t="s">
        <v>4509</v>
      </c>
      <c r="B97" s="2" t="s">
        <v>3393</v>
      </c>
      <c r="C97" s="3">
        <v>1</v>
      </c>
      <c r="D97" s="5">
        <v>48.38</v>
      </c>
      <c r="E97" s="3" t="s">
        <v>3394</v>
      </c>
      <c r="F97" s="2" t="s">
        <v>252</v>
      </c>
      <c r="G97" s="6" t="s">
        <v>16</v>
      </c>
      <c r="H97" s="2" t="s">
        <v>213</v>
      </c>
      <c r="I97" s="2" t="s">
        <v>214</v>
      </c>
      <c r="J97" s="2" t="s">
        <v>19</v>
      </c>
      <c r="K97" s="2" t="s">
        <v>353</v>
      </c>
      <c r="L97" s="7" t="str">
        <f>HYPERLINK("http://slimages.macys.com/is/image/MCY/11503421 ")</f>
        <v xml:space="preserve">http://slimages.macys.com/is/image/MCY/11503421 </v>
      </c>
    </row>
    <row r="98" spans="1:12" ht="24.75" x14ac:dyDescent="0.25">
      <c r="A98" s="4" t="s">
        <v>4510</v>
      </c>
      <c r="B98" s="2" t="s">
        <v>4511</v>
      </c>
      <c r="C98" s="3">
        <v>1</v>
      </c>
      <c r="D98" s="5">
        <v>49</v>
      </c>
      <c r="E98" s="3" t="s">
        <v>4512</v>
      </c>
      <c r="F98" s="2" t="s">
        <v>89</v>
      </c>
      <c r="G98" s="6" t="s">
        <v>245</v>
      </c>
      <c r="H98" s="2" t="s">
        <v>95</v>
      </c>
      <c r="I98" s="2" t="s">
        <v>96</v>
      </c>
      <c r="J98" s="2" t="s">
        <v>19</v>
      </c>
      <c r="K98" s="2" t="s">
        <v>160</v>
      </c>
      <c r="L98" s="7" t="str">
        <f>HYPERLINK("http://slimages.macys.com/is/image/MCY/13292520 ")</f>
        <v xml:space="preserve">http://slimages.macys.com/is/image/MCY/13292520 </v>
      </c>
    </row>
    <row r="99" spans="1:12" ht="24.75" x14ac:dyDescent="0.25">
      <c r="A99" s="4" t="s">
        <v>4513</v>
      </c>
      <c r="B99" s="2" t="s">
        <v>374</v>
      </c>
      <c r="C99" s="3">
        <v>1</v>
      </c>
      <c r="D99" s="5">
        <v>52.13</v>
      </c>
      <c r="E99" s="3" t="s">
        <v>375</v>
      </c>
      <c r="F99" s="2" t="s">
        <v>331</v>
      </c>
      <c r="G99" s="6" t="s">
        <v>58</v>
      </c>
      <c r="H99" s="2" t="s">
        <v>246</v>
      </c>
      <c r="I99" s="2" t="s">
        <v>189</v>
      </c>
      <c r="J99" s="2" t="s">
        <v>19</v>
      </c>
      <c r="K99" s="2" t="s">
        <v>361</v>
      </c>
      <c r="L99" s="7" t="str">
        <f>HYPERLINK("http://slimages.macys.com/is/image/MCY/10676355 ")</f>
        <v xml:space="preserve">http://slimages.macys.com/is/image/MCY/10676355 </v>
      </c>
    </row>
    <row r="100" spans="1:12" ht="24.75" x14ac:dyDescent="0.25">
      <c r="A100" s="4" t="s">
        <v>4514</v>
      </c>
      <c r="B100" s="2" t="s">
        <v>4515</v>
      </c>
      <c r="C100" s="3">
        <v>1</v>
      </c>
      <c r="D100" s="5">
        <v>52.13</v>
      </c>
      <c r="E100" s="3" t="s">
        <v>4516</v>
      </c>
      <c r="F100" s="2" t="s">
        <v>64</v>
      </c>
      <c r="G100" s="6" t="s">
        <v>156</v>
      </c>
      <c r="H100" s="2" t="s">
        <v>246</v>
      </c>
      <c r="I100" s="2" t="s">
        <v>189</v>
      </c>
      <c r="J100" s="2" t="s">
        <v>19</v>
      </c>
      <c r="K100" s="2" t="s">
        <v>332</v>
      </c>
      <c r="L100" s="7" t="str">
        <f>HYPERLINK("http://slimages.macys.com/is/image/MCY/12936606 ")</f>
        <v xml:space="preserve">http://slimages.macys.com/is/image/MCY/12936606 </v>
      </c>
    </row>
    <row r="101" spans="1:12" ht="24.75" x14ac:dyDescent="0.25">
      <c r="A101" s="4" t="s">
        <v>4517</v>
      </c>
      <c r="B101" s="2" t="s">
        <v>405</v>
      </c>
      <c r="C101" s="3">
        <v>1</v>
      </c>
      <c r="D101" s="5">
        <v>44.63</v>
      </c>
      <c r="E101" s="3" t="s">
        <v>406</v>
      </c>
      <c r="F101" s="2" t="s">
        <v>74</v>
      </c>
      <c r="G101" s="6" t="s">
        <v>2456</v>
      </c>
      <c r="H101" s="2" t="s">
        <v>349</v>
      </c>
      <c r="I101" s="2" t="s">
        <v>408</v>
      </c>
      <c r="J101" s="2" t="s">
        <v>19</v>
      </c>
      <c r="K101" s="2" t="s">
        <v>409</v>
      </c>
      <c r="L101" s="7" t="str">
        <f>HYPERLINK("http://slimages.macys.com/is/image/MCY/13534846 ")</f>
        <v xml:space="preserve">http://slimages.macys.com/is/image/MCY/13534846 </v>
      </c>
    </row>
    <row r="102" spans="1:12" ht="24.75" x14ac:dyDescent="0.25">
      <c r="A102" s="4" t="s">
        <v>4518</v>
      </c>
      <c r="B102" s="2" t="s">
        <v>4519</v>
      </c>
      <c r="C102" s="3">
        <v>1</v>
      </c>
      <c r="D102" s="5">
        <v>59.5</v>
      </c>
      <c r="E102" s="3" t="s">
        <v>4520</v>
      </c>
      <c r="F102" s="2" t="s">
        <v>170</v>
      </c>
      <c r="G102" s="6"/>
      <c r="H102" s="2" t="s">
        <v>127</v>
      </c>
      <c r="I102" s="2" t="s">
        <v>128</v>
      </c>
      <c r="J102" s="2" t="s">
        <v>19</v>
      </c>
      <c r="K102" s="2" t="s">
        <v>34</v>
      </c>
      <c r="L102" s="7" t="str">
        <f>HYPERLINK("http://slimages.macys.com/is/image/MCY/11946031 ")</f>
        <v xml:space="preserve">http://slimages.macys.com/is/image/MCY/11946031 </v>
      </c>
    </row>
    <row r="103" spans="1:12" ht="24.75" x14ac:dyDescent="0.25">
      <c r="A103" s="4" t="s">
        <v>4521</v>
      </c>
      <c r="B103" s="2" t="s">
        <v>4519</v>
      </c>
      <c r="C103" s="3">
        <v>1</v>
      </c>
      <c r="D103" s="5">
        <v>69.5</v>
      </c>
      <c r="E103" s="3" t="s">
        <v>4522</v>
      </c>
      <c r="F103" s="2" t="s">
        <v>887</v>
      </c>
      <c r="G103" s="6"/>
      <c r="H103" s="2" t="s">
        <v>127</v>
      </c>
      <c r="I103" s="2" t="s">
        <v>128</v>
      </c>
      <c r="J103" s="2" t="s">
        <v>19</v>
      </c>
      <c r="K103" s="2" t="s">
        <v>34</v>
      </c>
      <c r="L103" s="7" t="str">
        <f>HYPERLINK("http://slimages.macys.com/is/image/MCY/12793514 ")</f>
        <v xml:space="preserve">http://slimages.macys.com/is/image/MCY/12793514 </v>
      </c>
    </row>
    <row r="104" spans="1:12" ht="24.75" x14ac:dyDescent="0.25">
      <c r="A104" s="4" t="s">
        <v>4523</v>
      </c>
      <c r="B104" s="2" t="s">
        <v>4524</v>
      </c>
      <c r="C104" s="3">
        <v>1</v>
      </c>
      <c r="D104" s="5">
        <v>69.5</v>
      </c>
      <c r="E104" s="3">
        <v>100058473</v>
      </c>
      <c r="F104" s="2" t="s">
        <v>331</v>
      </c>
      <c r="G104" s="6" t="s">
        <v>58</v>
      </c>
      <c r="H104" s="2" t="s">
        <v>386</v>
      </c>
      <c r="I104" s="2" t="s">
        <v>207</v>
      </c>
      <c r="J104" s="2" t="s">
        <v>19</v>
      </c>
      <c r="K104" s="2" t="s">
        <v>338</v>
      </c>
      <c r="L104" s="7" t="str">
        <f>HYPERLINK("http://slimages.macys.com/is/image/MCY/11540446 ")</f>
        <v xml:space="preserve">http://slimages.macys.com/is/image/MCY/11540446 </v>
      </c>
    </row>
    <row r="105" spans="1:12" x14ac:dyDescent="0.25">
      <c r="A105" s="4" t="s">
        <v>4525</v>
      </c>
      <c r="B105" s="2" t="s">
        <v>4526</v>
      </c>
      <c r="C105" s="3">
        <v>1</v>
      </c>
      <c r="D105" s="5">
        <v>79.5</v>
      </c>
      <c r="E105" s="3" t="s">
        <v>4527</v>
      </c>
      <c r="F105" s="2" t="s">
        <v>15</v>
      </c>
      <c r="G105" s="6" t="s">
        <v>802</v>
      </c>
      <c r="H105" s="2" t="s">
        <v>206</v>
      </c>
      <c r="I105" s="2" t="s">
        <v>207</v>
      </c>
      <c r="J105" s="2" t="s">
        <v>19</v>
      </c>
      <c r="K105" s="2" t="s">
        <v>160</v>
      </c>
      <c r="L105" s="7" t="str">
        <f>HYPERLINK("http://slimages.macys.com/is/image/MCY/12953444 ")</f>
        <v xml:space="preserve">http://slimages.macys.com/is/image/MCY/12953444 </v>
      </c>
    </row>
    <row r="106" spans="1:12" ht="24.75" x14ac:dyDescent="0.25">
      <c r="A106" s="4" t="s">
        <v>4528</v>
      </c>
      <c r="B106" s="2" t="s">
        <v>4529</v>
      </c>
      <c r="C106" s="3">
        <v>1</v>
      </c>
      <c r="D106" s="5">
        <v>47.5</v>
      </c>
      <c r="E106" s="3" t="s">
        <v>4530</v>
      </c>
      <c r="F106" s="2" t="s">
        <v>64</v>
      </c>
      <c r="G106" s="6" t="s">
        <v>181</v>
      </c>
      <c r="H106" s="2" t="s">
        <v>246</v>
      </c>
      <c r="I106" s="2" t="s">
        <v>189</v>
      </c>
      <c r="J106" s="2" t="s">
        <v>19</v>
      </c>
      <c r="K106" s="2" t="s">
        <v>803</v>
      </c>
      <c r="L106" s="7" t="str">
        <f>HYPERLINK("http://slimages.macys.com/is/image/MCY/11832772 ")</f>
        <v xml:space="preserve">http://slimages.macys.com/is/image/MCY/11832772 </v>
      </c>
    </row>
    <row r="107" spans="1:12" x14ac:dyDescent="0.25">
      <c r="A107" s="4" t="s">
        <v>4531</v>
      </c>
      <c r="B107" s="2" t="s">
        <v>2265</v>
      </c>
      <c r="C107" s="3">
        <v>1</v>
      </c>
      <c r="D107" s="5">
        <v>79.5</v>
      </c>
      <c r="E107" s="3">
        <v>100060510</v>
      </c>
      <c r="F107" s="2" t="s">
        <v>74</v>
      </c>
      <c r="G107" s="6" t="s">
        <v>141</v>
      </c>
      <c r="H107" s="2" t="s">
        <v>386</v>
      </c>
      <c r="I107" s="2" t="s">
        <v>207</v>
      </c>
      <c r="J107" s="2" t="s">
        <v>19</v>
      </c>
      <c r="K107" s="2" t="s">
        <v>353</v>
      </c>
      <c r="L107" s="7" t="str">
        <f>HYPERLINK("http://slimages.macys.com/is/image/MCY/12792713 ")</f>
        <v xml:space="preserve">http://slimages.macys.com/is/image/MCY/12792713 </v>
      </c>
    </row>
    <row r="108" spans="1:12" x14ac:dyDescent="0.25">
      <c r="A108" s="4" t="s">
        <v>4532</v>
      </c>
      <c r="B108" s="2" t="s">
        <v>2265</v>
      </c>
      <c r="C108" s="3">
        <v>1</v>
      </c>
      <c r="D108" s="5">
        <v>79.5</v>
      </c>
      <c r="E108" s="3">
        <v>100060510</v>
      </c>
      <c r="F108" s="2" t="s">
        <v>74</v>
      </c>
      <c r="G108" s="6" t="s">
        <v>65</v>
      </c>
      <c r="H108" s="2" t="s">
        <v>386</v>
      </c>
      <c r="I108" s="2" t="s">
        <v>207</v>
      </c>
      <c r="J108" s="2" t="s">
        <v>19</v>
      </c>
      <c r="K108" s="2" t="s">
        <v>353</v>
      </c>
      <c r="L108" s="7" t="str">
        <f>HYPERLINK("http://slimages.macys.com/is/image/MCY/12792713 ")</f>
        <v xml:space="preserve">http://slimages.macys.com/is/image/MCY/12792713 </v>
      </c>
    </row>
    <row r="109" spans="1:12" ht="24.75" x14ac:dyDescent="0.25">
      <c r="A109" s="4" t="s">
        <v>4533</v>
      </c>
      <c r="B109" s="2" t="s">
        <v>432</v>
      </c>
      <c r="C109" s="3">
        <v>1</v>
      </c>
      <c r="D109" s="5">
        <v>44.63</v>
      </c>
      <c r="E109" s="3" t="s">
        <v>433</v>
      </c>
      <c r="F109" s="2" t="s">
        <v>331</v>
      </c>
      <c r="G109" s="6" t="s">
        <v>746</v>
      </c>
      <c r="H109" s="2" t="s">
        <v>349</v>
      </c>
      <c r="I109" s="2" t="s">
        <v>408</v>
      </c>
      <c r="J109" s="2" t="s">
        <v>19</v>
      </c>
      <c r="K109" s="2" t="s">
        <v>409</v>
      </c>
      <c r="L109" s="7" t="str">
        <f>HYPERLINK("http://slimages.macys.com/is/image/MCY/12672592 ")</f>
        <v xml:space="preserve">http://slimages.macys.com/is/image/MCY/12672592 </v>
      </c>
    </row>
    <row r="110" spans="1:12" ht="24.75" x14ac:dyDescent="0.25">
      <c r="A110" s="4" t="s">
        <v>4534</v>
      </c>
      <c r="B110" s="2" t="s">
        <v>4535</v>
      </c>
      <c r="C110" s="3">
        <v>1</v>
      </c>
      <c r="D110" s="5">
        <v>48.38</v>
      </c>
      <c r="E110" s="3" t="s">
        <v>4536</v>
      </c>
      <c r="F110" s="2" t="s">
        <v>79</v>
      </c>
      <c r="G110" s="6" t="s">
        <v>245</v>
      </c>
      <c r="H110" s="2" t="s">
        <v>246</v>
      </c>
      <c r="I110" s="2" t="s">
        <v>189</v>
      </c>
      <c r="J110" s="2" t="s">
        <v>19</v>
      </c>
      <c r="K110" s="2" t="s">
        <v>2180</v>
      </c>
      <c r="L110" s="7" t="str">
        <f>HYPERLINK("http://slimages.macys.com/is/image/MCY/10892102 ")</f>
        <v xml:space="preserve">http://slimages.macys.com/is/image/MCY/10892102 </v>
      </c>
    </row>
    <row r="111" spans="1:12" ht="24.75" x14ac:dyDescent="0.25">
      <c r="A111" s="4" t="s">
        <v>4537</v>
      </c>
      <c r="B111" s="2" t="s">
        <v>2268</v>
      </c>
      <c r="C111" s="3">
        <v>2</v>
      </c>
      <c r="D111" s="5">
        <v>44.63</v>
      </c>
      <c r="E111" s="3" t="s">
        <v>2269</v>
      </c>
      <c r="F111" s="2" t="s">
        <v>94</v>
      </c>
      <c r="G111" s="6" t="s">
        <v>746</v>
      </c>
      <c r="H111" s="2" t="s">
        <v>349</v>
      </c>
      <c r="I111" s="2" t="s">
        <v>285</v>
      </c>
      <c r="J111" s="2" t="s">
        <v>19</v>
      </c>
      <c r="K111" s="2" t="s">
        <v>160</v>
      </c>
      <c r="L111" s="7" t="str">
        <f>HYPERLINK("http://slimages.macys.com/is/image/MCY/13039993 ")</f>
        <v xml:space="preserve">http://slimages.macys.com/is/image/MCY/13039993 </v>
      </c>
    </row>
    <row r="112" spans="1:12" ht="36.75" x14ac:dyDescent="0.25">
      <c r="A112" s="4" t="s">
        <v>4538</v>
      </c>
      <c r="B112" s="2" t="s">
        <v>4539</v>
      </c>
      <c r="C112" s="3">
        <v>1</v>
      </c>
      <c r="D112" s="5">
        <v>44.63</v>
      </c>
      <c r="E112" s="3" t="s">
        <v>4540</v>
      </c>
      <c r="F112" s="2" t="s">
        <v>26</v>
      </c>
      <c r="G112" s="6" t="s">
        <v>245</v>
      </c>
      <c r="H112" s="2" t="s">
        <v>194</v>
      </c>
      <c r="I112" s="2" t="s">
        <v>195</v>
      </c>
      <c r="J112" s="2" t="s">
        <v>19</v>
      </c>
      <c r="K112" s="2" t="s">
        <v>4541</v>
      </c>
      <c r="L112" s="7" t="str">
        <f>HYPERLINK("http://slimages.macys.com/is/image/MCY/12064109 ")</f>
        <v xml:space="preserve">http://slimages.macys.com/is/image/MCY/12064109 </v>
      </c>
    </row>
    <row r="113" spans="1:12" ht="24.75" x14ac:dyDescent="0.25">
      <c r="A113" s="4" t="s">
        <v>452</v>
      </c>
      <c r="B113" s="2" t="s">
        <v>453</v>
      </c>
      <c r="C113" s="3">
        <v>1</v>
      </c>
      <c r="D113" s="5">
        <v>44.63</v>
      </c>
      <c r="E113" s="3" t="s">
        <v>454</v>
      </c>
      <c r="F113" s="2" t="s">
        <v>74</v>
      </c>
      <c r="G113" s="6" t="s">
        <v>348</v>
      </c>
      <c r="H113" s="2" t="s">
        <v>349</v>
      </c>
      <c r="I113" s="2" t="s">
        <v>285</v>
      </c>
      <c r="J113" s="2" t="s">
        <v>19</v>
      </c>
      <c r="K113" s="2" t="s">
        <v>323</v>
      </c>
      <c r="L113" s="7" t="str">
        <f>HYPERLINK("http://slimages.macys.com/is/image/MCY/12343071 ")</f>
        <v xml:space="preserve">http://slimages.macys.com/is/image/MCY/12343071 </v>
      </c>
    </row>
    <row r="114" spans="1:12" ht="24.75" x14ac:dyDescent="0.25">
      <c r="A114" s="4" t="s">
        <v>4542</v>
      </c>
      <c r="B114" s="2" t="s">
        <v>4543</v>
      </c>
      <c r="C114" s="3">
        <v>1</v>
      </c>
      <c r="D114" s="5">
        <v>34.99</v>
      </c>
      <c r="E114" s="3" t="s">
        <v>4544</v>
      </c>
      <c r="F114" s="2" t="s">
        <v>572</v>
      </c>
      <c r="G114" s="6" t="s">
        <v>4545</v>
      </c>
      <c r="H114" s="2" t="s">
        <v>349</v>
      </c>
      <c r="I114" s="2" t="s">
        <v>408</v>
      </c>
      <c r="J114" s="2" t="s">
        <v>19</v>
      </c>
      <c r="K114" s="2" t="s">
        <v>409</v>
      </c>
      <c r="L114" s="7" t="str">
        <f>HYPERLINK("http://slimages.macys.com/is/image/MCY/13468658 ")</f>
        <v xml:space="preserve">http://slimages.macys.com/is/image/MCY/13468658 </v>
      </c>
    </row>
    <row r="115" spans="1:12" ht="24.75" x14ac:dyDescent="0.25">
      <c r="A115" s="4" t="s">
        <v>455</v>
      </c>
      <c r="B115" s="2" t="s">
        <v>456</v>
      </c>
      <c r="C115" s="3">
        <v>7</v>
      </c>
      <c r="D115" s="5">
        <v>44.63</v>
      </c>
      <c r="E115" s="3" t="s">
        <v>457</v>
      </c>
      <c r="F115" s="2" t="s">
        <v>26</v>
      </c>
      <c r="G115" s="6" t="s">
        <v>348</v>
      </c>
      <c r="H115" s="2" t="s">
        <v>349</v>
      </c>
      <c r="I115" s="2" t="s">
        <v>458</v>
      </c>
      <c r="J115" s="2" t="s">
        <v>19</v>
      </c>
      <c r="K115" s="2" t="s">
        <v>459</v>
      </c>
      <c r="L115" s="7" t="str">
        <f>HYPERLINK("http://slimages.macys.com/is/image/MCY/11030035 ")</f>
        <v xml:space="preserve">http://slimages.macys.com/is/image/MCY/11030035 </v>
      </c>
    </row>
    <row r="116" spans="1:12" ht="24.75" x14ac:dyDescent="0.25">
      <c r="A116" s="4" t="s">
        <v>4546</v>
      </c>
      <c r="B116" s="2" t="s">
        <v>456</v>
      </c>
      <c r="C116" s="3">
        <v>1</v>
      </c>
      <c r="D116" s="5">
        <v>44.63</v>
      </c>
      <c r="E116" s="3" t="s">
        <v>457</v>
      </c>
      <c r="F116" s="2" t="s">
        <v>26</v>
      </c>
      <c r="G116" s="6" t="s">
        <v>746</v>
      </c>
      <c r="H116" s="2" t="s">
        <v>349</v>
      </c>
      <c r="I116" s="2" t="s">
        <v>458</v>
      </c>
      <c r="J116" s="2" t="s">
        <v>19</v>
      </c>
      <c r="K116" s="2" t="s">
        <v>459</v>
      </c>
      <c r="L116" s="7" t="str">
        <f>HYPERLINK("http://slimages.macys.com/is/image/MCY/11030035 ")</f>
        <v xml:space="preserve">http://slimages.macys.com/is/image/MCY/11030035 </v>
      </c>
    </row>
    <row r="117" spans="1:12" ht="24.75" x14ac:dyDescent="0.25">
      <c r="A117" s="4" t="s">
        <v>4547</v>
      </c>
      <c r="B117" s="2" t="s">
        <v>4548</v>
      </c>
      <c r="C117" s="3">
        <v>1</v>
      </c>
      <c r="D117" s="5">
        <v>64.5</v>
      </c>
      <c r="E117" s="3" t="s">
        <v>4549</v>
      </c>
      <c r="F117" s="2" t="s">
        <v>15</v>
      </c>
      <c r="G117" s="6"/>
      <c r="H117" s="2" t="s">
        <v>206</v>
      </c>
      <c r="I117" s="2" t="s">
        <v>207</v>
      </c>
      <c r="J117" s="2" t="s">
        <v>19</v>
      </c>
      <c r="K117" s="2" t="s">
        <v>4550</v>
      </c>
      <c r="L117" s="7" t="str">
        <f>HYPERLINK("http://slimages.macys.com/is/image/MCY/11943045 ")</f>
        <v xml:space="preserve">http://slimages.macys.com/is/image/MCY/11943045 </v>
      </c>
    </row>
    <row r="118" spans="1:12" ht="36.75" x14ac:dyDescent="0.25">
      <c r="A118" s="4" t="s">
        <v>2277</v>
      </c>
      <c r="B118" s="2" t="s">
        <v>2278</v>
      </c>
      <c r="C118" s="3">
        <v>1</v>
      </c>
      <c r="D118" s="5">
        <v>44.5</v>
      </c>
      <c r="E118" s="3" t="s">
        <v>2279</v>
      </c>
      <c r="F118" s="2" t="s">
        <v>956</v>
      </c>
      <c r="G118" s="6" t="s">
        <v>181</v>
      </c>
      <c r="H118" s="2" t="s">
        <v>194</v>
      </c>
      <c r="I118" s="2" t="s">
        <v>195</v>
      </c>
      <c r="J118" s="2" t="s">
        <v>19</v>
      </c>
      <c r="K118" s="2" t="s">
        <v>2280</v>
      </c>
      <c r="L118" s="7" t="str">
        <f>HYPERLINK("http://slimages.macys.com/is/image/MCY/11804478 ")</f>
        <v xml:space="preserve">http://slimages.macys.com/is/image/MCY/11804478 </v>
      </c>
    </row>
    <row r="119" spans="1:12" ht="24.75" x14ac:dyDescent="0.25">
      <c r="A119" s="4" t="s">
        <v>4551</v>
      </c>
      <c r="B119" s="2" t="s">
        <v>3418</v>
      </c>
      <c r="C119" s="3">
        <v>1</v>
      </c>
      <c r="D119" s="5">
        <v>59.5</v>
      </c>
      <c r="E119" s="3" t="s">
        <v>3419</v>
      </c>
      <c r="F119" s="2" t="s">
        <v>74</v>
      </c>
      <c r="G119" s="6"/>
      <c r="H119" s="2" t="s">
        <v>127</v>
      </c>
      <c r="I119" s="2" t="s">
        <v>128</v>
      </c>
      <c r="J119" s="2" t="s">
        <v>19</v>
      </c>
      <c r="K119" s="2" t="s">
        <v>160</v>
      </c>
      <c r="L119" s="7" t="str">
        <f>HYPERLINK("http://slimages.macys.com/is/image/MCY/13786793 ")</f>
        <v xml:space="preserve">http://slimages.macys.com/is/image/MCY/13786793 </v>
      </c>
    </row>
    <row r="120" spans="1:12" ht="24.75" x14ac:dyDescent="0.25">
      <c r="A120" s="4" t="s">
        <v>4552</v>
      </c>
      <c r="B120" s="2" t="s">
        <v>535</v>
      </c>
      <c r="C120" s="3">
        <v>1</v>
      </c>
      <c r="D120" s="5">
        <v>52.13</v>
      </c>
      <c r="E120" s="3" t="s">
        <v>4553</v>
      </c>
      <c r="F120" s="2" t="s">
        <v>64</v>
      </c>
      <c r="G120" s="6"/>
      <c r="H120" s="2" t="s">
        <v>188</v>
      </c>
      <c r="I120" s="2" t="s">
        <v>189</v>
      </c>
      <c r="J120" s="2" t="s">
        <v>19</v>
      </c>
      <c r="K120" s="2" t="s">
        <v>537</v>
      </c>
      <c r="L120" s="7" t="str">
        <f>HYPERLINK("http://slimages.macys.com/is/image/MCY/11884246 ")</f>
        <v xml:space="preserve">http://slimages.macys.com/is/image/MCY/11884246 </v>
      </c>
    </row>
    <row r="121" spans="1:12" ht="24.75" x14ac:dyDescent="0.25">
      <c r="A121" s="4" t="s">
        <v>4554</v>
      </c>
      <c r="B121" s="2" t="s">
        <v>485</v>
      </c>
      <c r="C121" s="3">
        <v>1</v>
      </c>
      <c r="D121" s="5">
        <v>44.63</v>
      </c>
      <c r="E121" s="3" t="s">
        <v>486</v>
      </c>
      <c r="F121" s="2" t="s">
        <v>26</v>
      </c>
      <c r="G121" s="6" t="s">
        <v>16</v>
      </c>
      <c r="H121" s="2" t="s">
        <v>246</v>
      </c>
      <c r="I121" s="2" t="s">
        <v>487</v>
      </c>
      <c r="J121" s="2" t="s">
        <v>19</v>
      </c>
      <c r="K121" s="2" t="s">
        <v>409</v>
      </c>
      <c r="L121" s="7" t="str">
        <f>HYPERLINK("http://slimages.macys.com/is/image/MCY/11806851 ")</f>
        <v xml:space="preserve">http://slimages.macys.com/is/image/MCY/11806851 </v>
      </c>
    </row>
    <row r="122" spans="1:12" ht="24.75" x14ac:dyDescent="0.25">
      <c r="A122" s="4" t="s">
        <v>4555</v>
      </c>
      <c r="B122" s="2" t="s">
        <v>764</v>
      </c>
      <c r="C122" s="3">
        <v>2</v>
      </c>
      <c r="D122" s="5">
        <v>44.63</v>
      </c>
      <c r="E122" s="3" t="s">
        <v>2283</v>
      </c>
      <c r="F122" s="2" t="s">
        <v>376</v>
      </c>
      <c r="G122" s="6" t="s">
        <v>348</v>
      </c>
      <c r="H122" s="2" t="s">
        <v>349</v>
      </c>
      <c r="I122" s="2" t="s">
        <v>458</v>
      </c>
      <c r="J122" s="2" t="s">
        <v>19</v>
      </c>
      <c r="K122" s="2" t="s">
        <v>459</v>
      </c>
      <c r="L122" s="7" t="str">
        <f>HYPERLINK("http://slimages.macys.com/is/image/MCY/13041071 ")</f>
        <v xml:space="preserve">http://slimages.macys.com/is/image/MCY/13041071 </v>
      </c>
    </row>
    <row r="123" spans="1:12" ht="24.75" x14ac:dyDescent="0.25">
      <c r="A123" s="4" t="s">
        <v>4556</v>
      </c>
      <c r="B123" s="2" t="s">
        <v>764</v>
      </c>
      <c r="C123" s="3">
        <v>1</v>
      </c>
      <c r="D123" s="5">
        <v>44.63</v>
      </c>
      <c r="E123" s="3" t="s">
        <v>2283</v>
      </c>
      <c r="F123" s="2" t="s">
        <v>376</v>
      </c>
      <c r="G123" s="6" t="s">
        <v>746</v>
      </c>
      <c r="H123" s="2" t="s">
        <v>349</v>
      </c>
      <c r="I123" s="2" t="s">
        <v>458</v>
      </c>
      <c r="J123" s="2" t="s">
        <v>19</v>
      </c>
      <c r="K123" s="2" t="s">
        <v>459</v>
      </c>
      <c r="L123" s="7" t="str">
        <f>HYPERLINK("http://slimages.macys.com/is/image/MCY/13041071 ")</f>
        <v xml:space="preserve">http://slimages.macys.com/is/image/MCY/13041071 </v>
      </c>
    </row>
    <row r="124" spans="1:12" ht="24.75" x14ac:dyDescent="0.25">
      <c r="A124" s="4" t="s">
        <v>2282</v>
      </c>
      <c r="B124" s="2" t="s">
        <v>764</v>
      </c>
      <c r="C124" s="3">
        <v>1</v>
      </c>
      <c r="D124" s="5">
        <v>44.63</v>
      </c>
      <c r="E124" s="3" t="s">
        <v>2283</v>
      </c>
      <c r="F124" s="2" t="s">
        <v>376</v>
      </c>
      <c r="G124" s="6" t="s">
        <v>2276</v>
      </c>
      <c r="H124" s="2" t="s">
        <v>349</v>
      </c>
      <c r="I124" s="2" t="s">
        <v>458</v>
      </c>
      <c r="J124" s="2" t="s">
        <v>19</v>
      </c>
      <c r="K124" s="2" t="s">
        <v>459</v>
      </c>
      <c r="L124" s="7" t="str">
        <f>HYPERLINK("http://slimages.macys.com/is/image/MCY/13041071 ")</f>
        <v xml:space="preserve">http://slimages.macys.com/is/image/MCY/13041071 </v>
      </c>
    </row>
    <row r="125" spans="1:12" ht="24.75" x14ac:dyDescent="0.25">
      <c r="A125" s="4" t="s">
        <v>4557</v>
      </c>
      <c r="B125" s="2" t="s">
        <v>764</v>
      </c>
      <c r="C125" s="3">
        <v>1</v>
      </c>
      <c r="D125" s="5">
        <v>44.63</v>
      </c>
      <c r="E125" s="3" t="s">
        <v>2283</v>
      </c>
      <c r="F125" s="2" t="s">
        <v>376</v>
      </c>
      <c r="G125" s="6"/>
      <c r="H125" s="2" t="s">
        <v>349</v>
      </c>
      <c r="I125" s="2" t="s">
        <v>458</v>
      </c>
      <c r="J125" s="2" t="s">
        <v>19</v>
      </c>
      <c r="K125" s="2" t="s">
        <v>459</v>
      </c>
      <c r="L125" s="7" t="str">
        <f>HYPERLINK("http://slimages.macys.com/is/image/MCY/13041071 ")</f>
        <v xml:space="preserve">http://slimages.macys.com/is/image/MCY/13041071 </v>
      </c>
    </row>
    <row r="126" spans="1:12" ht="24.75" x14ac:dyDescent="0.25">
      <c r="A126" s="4" t="s">
        <v>4558</v>
      </c>
      <c r="B126" s="2" t="s">
        <v>492</v>
      </c>
      <c r="C126" s="3">
        <v>1</v>
      </c>
      <c r="D126" s="5">
        <v>44.5</v>
      </c>
      <c r="E126" s="3" t="s">
        <v>493</v>
      </c>
      <c r="F126" s="2" t="s">
        <v>494</v>
      </c>
      <c r="G126" s="6" t="s">
        <v>156</v>
      </c>
      <c r="H126" s="2" t="s">
        <v>194</v>
      </c>
      <c r="I126" s="2" t="s">
        <v>195</v>
      </c>
      <c r="J126" s="2" t="s">
        <v>19</v>
      </c>
      <c r="K126" s="2" t="s">
        <v>495</v>
      </c>
      <c r="L126" s="7" t="str">
        <f>HYPERLINK("http://slimages.macys.com/is/image/MCY/11937857 ")</f>
        <v xml:space="preserve">http://slimages.macys.com/is/image/MCY/11937857 </v>
      </c>
    </row>
    <row r="127" spans="1:12" ht="36.75" x14ac:dyDescent="0.25">
      <c r="A127" s="4" t="s">
        <v>4559</v>
      </c>
      <c r="B127" s="2" t="s">
        <v>497</v>
      </c>
      <c r="C127" s="3">
        <v>1</v>
      </c>
      <c r="D127" s="5">
        <v>43.5</v>
      </c>
      <c r="E127" s="3" t="s">
        <v>498</v>
      </c>
      <c r="F127" s="2" t="s">
        <v>64</v>
      </c>
      <c r="G127" s="6"/>
      <c r="H127" s="2" t="s">
        <v>349</v>
      </c>
      <c r="I127" s="2" t="s">
        <v>408</v>
      </c>
      <c r="J127" s="2" t="s">
        <v>19</v>
      </c>
      <c r="K127" s="2" t="s">
        <v>500</v>
      </c>
      <c r="L127" s="7" t="str">
        <f>HYPERLINK("http://slimages.macys.com/is/image/MCY/9468308 ")</f>
        <v xml:space="preserve">http://slimages.macys.com/is/image/MCY/9468308 </v>
      </c>
    </row>
    <row r="128" spans="1:12" ht="24.75" x14ac:dyDescent="0.25">
      <c r="A128" s="4" t="s">
        <v>2289</v>
      </c>
      <c r="B128" s="2" t="s">
        <v>2290</v>
      </c>
      <c r="C128" s="3">
        <v>1</v>
      </c>
      <c r="D128" s="5">
        <v>44.63</v>
      </c>
      <c r="E128" s="3" t="s">
        <v>2291</v>
      </c>
      <c r="F128" s="2" t="s">
        <v>26</v>
      </c>
      <c r="G128" s="6" t="s">
        <v>181</v>
      </c>
      <c r="H128" s="2" t="s">
        <v>284</v>
      </c>
      <c r="I128" s="2" t="s">
        <v>285</v>
      </c>
      <c r="J128" s="2" t="s">
        <v>19</v>
      </c>
      <c r="K128" s="2" t="s">
        <v>160</v>
      </c>
      <c r="L128" s="7" t="str">
        <f>HYPERLINK("http://slimages.macys.com/is/image/MCY/12271124 ")</f>
        <v xml:space="preserve">http://slimages.macys.com/is/image/MCY/12271124 </v>
      </c>
    </row>
    <row r="129" spans="1:12" ht="24.75" x14ac:dyDescent="0.25">
      <c r="A129" s="4" t="s">
        <v>4560</v>
      </c>
      <c r="B129" s="2" t="s">
        <v>2290</v>
      </c>
      <c r="C129" s="3">
        <v>1</v>
      </c>
      <c r="D129" s="5">
        <v>44.63</v>
      </c>
      <c r="E129" s="3" t="s">
        <v>2291</v>
      </c>
      <c r="F129" s="2" t="s">
        <v>26</v>
      </c>
      <c r="G129" s="6" t="s">
        <v>156</v>
      </c>
      <c r="H129" s="2" t="s">
        <v>284</v>
      </c>
      <c r="I129" s="2" t="s">
        <v>285</v>
      </c>
      <c r="J129" s="2" t="s">
        <v>19</v>
      </c>
      <c r="K129" s="2" t="s">
        <v>160</v>
      </c>
      <c r="L129" s="7" t="str">
        <f>HYPERLINK("http://slimages.macys.com/is/image/MCY/12271124 ")</f>
        <v xml:space="preserve">http://slimages.macys.com/is/image/MCY/12271124 </v>
      </c>
    </row>
    <row r="130" spans="1:12" ht="24.75" x14ac:dyDescent="0.25">
      <c r="A130" s="4" t="s">
        <v>4561</v>
      </c>
      <c r="B130" s="2" t="s">
        <v>4562</v>
      </c>
      <c r="C130" s="3">
        <v>1</v>
      </c>
      <c r="D130" s="5">
        <v>69.5</v>
      </c>
      <c r="E130" s="3">
        <v>100055751</v>
      </c>
      <c r="F130" s="2" t="s">
        <v>64</v>
      </c>
      <c r="G130" s="6" t="s">
        <v>39</v>
      </c>
      <c r="H130" s="2" t="s">
        <v>386</v>
      </c>
      <c r="I130" s="2" t="s">
        <v>391</v>
      </c>
      <c r="J130" s="2" t="s">
        <v>19</v>
      </c>
      <c r="K130" s="2" t="s">
        <v>392</v>
      </c>
      <c r="L130" s="7" t="str">
        <f>HYPERLINK("http://slimages.macys.com/is/image/MCY/11535499 ")</f>
        <v xml:space="preserve">http://slimages.macys.com/is/image/MCY/11535499 </v>
      </c>
    </row>
    <row r="131" spans="1:12" ht="24.75" x14ac:dyDescent="0.25">
      <c r="A131" s="4" t="s">
        <v>4563</v>
      </c>
      <c r="B131" s="2" t="s">
        <v>4564</v>
      </c>
      <c r="C131" s="3">
        <v>1</v>
      </c>
      <c r="D131" s="5">
        <v>52.13</v>
      </c>
      <c r="E131" s="3" t="s">
        <v>4565</v>
      </c>
      <c r="F131" s="2" t="s">
        <v>1584</v>
      </c>
      <c r="G131" s="6" t="s">
        <v>234</v>
      </c>
      <c r="H131" s="2" t="s">
        <v>246</v>
      </c>
      <c r="I131" s="2" t="s">
        <v>189</v>
      </c>
      <c r="J131" s="2" t="s">
        <v>19</v>
      </c>
      <c r="K131" s="2" t="s">
        <v>3423</v>
      </c>
      <c r="L131" s="7" t="str">
        <f>HYPERLINK("http://slimages.macys.com/is/image/MCY/10673233 ")</f>
        <v xml:space="preserve">http://slimages.macys.com/is/image/MCY/10673233 </v>
      </c>
    </row>
    <row r="132" spans="1:12" ht="24.75" x14ac:dyDescent="0.25">
      <c r="A132" s="4" t="s">
        <v>4566</v>
      </c>
      <c r="B132" s="2" t="s">
        <v>4562</v>
      </c>
      <c r="C132" s="3">
        <v>1</v>
      </c>
      <c r="D132" s="5">
        <v>69.5</v>
      </c>
      <c r="E132" s="3">
        <v>100055753</v>
      </c>
      <c r="F132" s="2" t="s">
        <v>74</v>
      </c>
      <c r="G132" s="6" t="s">
        <v>2208</v>
      </c>
      <c r="H132" s="2" t="s">
        <v>386</v>
      </c>
      <c r="I132" s="2" t="s">
        <v>391</v>
      </c>
      <c r="J132" s="2" t="s">
        <v>19</v>
      </c>
      <c r="K132" s="2" t="s">
        <v>392</v>
      </c>
      <c r="L132" s="7" t="str">
        <f>HYPERLINK("http://slimages.macys.com/is/image/MCY/11535499 ")</f>
        <v xml:space="preserve">http://slimages.macys.com/is/image/MCY/11535499 </v>
      </c>
    </row>
    <row r="133" spans="1:12" ht="24.75" x14ac:dyDescent="0.25">
      <c r="A133" s="4" t="s">
        <v>4567</v>
      </c>
      <c r="B133" s="2" t="s">
        <v>2202</v>
      </c>
      <c r="C133" s="3">
        <v>1</v>
      </c>
      <c r="D133" s="5">
        <v>40.880000000000003</v>
      </c>
      <c r="E133" s="3" t="s">
        <v>4568</v>
      </c>
      <c r="F133" s="2" t="s">
        <v>15</v>
      </c>
      <c r="G133" s="6" t="s">
        <v>181</v>
      </c>
      <c r="H133" s="2" t="s">
        <v>284</v>
      </c>
      <c r="I133" s="2" t="s">
        <v>285</v>
      </c>
      <c r="J133" s="2" t="s">
        <v>19</v>
      </c>
      <c r="K133" s="2" t="s">
        <v>323</v>
      </c>
      <c r="L133" s="7" t="str">
        <f>HYPERLINK("http://slimages.macys.com/is/image/MCY/11858249 ")</f>
        <v xml:space="preserve">http://slimages.macys.com/is/image/MCY/11858249 </v>
      </c>
    </row>
    <row r="134" spans="1:12" ht="36.75" x14ac:dyDescent="0.25">
      <c r="A134" s="4" t="s">
        <v>4569</v>
      </c>
      <c r="B134" s="2" t="s">
        <v>502</v>
      </c>
      <c r="C134" s="3">
        <v>1</v>
      </c>
      <c r="D134" s="5">
        <v>40.880000000000003</v>
      </c>
      <c r="E134" s="3">
        <v>100047671</v>
      </c>
      <c r="F134" s="2" t="s">
        <v>506</v>
      </c>
      <c r="G134" s="6" t="s">
        <v>27</v>
      </c>
      <c r="H134" s="2" t="s">
        <v>194</v>
      </c>
      <c r="I134" s="2" t="s">
        <v>503</v>
      </c>
      <c r="J134" s="2" t="s">
        <v>19</v>
      </c>
      <c r="K134" s="2" t="s">
        <v>504</v>
      </c>
      <c r="L134" s="7" t="str">
        <f>HYPERLINK("http://slimages.macys.com/is/image/MCY/11937756 ")</f>
        <v xml:space="preserve">http://slimages.macys.com/is/image/MCY/11937756 </v>
      </c>
    </row>
    <row r="135" spans="1:12" ht="24.75" x14ac:dyDescent="0.25">
      <c r="A135" s="4" t="s">
        <v>4570</v>
      </c>
      <c r="B135" s="2" t="s">
        <v>2295</v>
      </c>
      <c r="C135" s="3">
        <v>1</v>
      </c>
      <c r="D135" s="5">
        <v>40.880000000000003</v>
      </c>
      <c r="E135" s="3" t="s">
        <v>2296</v>
      </c>
      <c r="F135" s="2" t="s">
        <v>26</v>
      </c>
      <c r="G135" s="6" t="s">
        <v>200</v>
      </c>
      <c r="H135" s="2" t="s">
        <v>284</v>
      </c>
      <c r="I135" s="2" t="s">
        <v>408</v>
      </c>
      <c r="J135" s="2" t="s">
        <v>19</v>
      </c>
      <c r="K135" s="2" t="s">
        <v>409</v>
      </c>
      <c r="L135" s="7" t="str">
        <f>HYPERLINK("http://slimages.macys.com/is/image/MCY/12807933 ")</f>
        <v xml:space="preserve">http://slimages.macys.com/is/image/MCY/12807933 </v>
      </c>
    </row>
    <row r="136" spans="1:12" ht="24.75" x14ac:dyDescent="0.25">
      <c r="A136" s="4" t="s">
        <v>4571</v>
      </c>
      <c r="B136" s="2" t="s">
        <v>4572</v>
      </c>
      <c r="C136" s="3">
        <v>3</v>
      </c>
      <c r="D136" s="5">
        <v>48.38</v>
      </c>
      <c r="E136" s="3" t="s">
        <v>4573</v>
      </c>
      <c r="F136" s="2" t="s">
        <v>64</v>
      </c>
      <c r="G136" s="6"/>
      <c r="H136" s="2" t="s">
        <v>188</v>
      </c>
      <c r="I136" s="2" t="s">
        <v>189</v>
      </c>
      <c r="J136" s="2" t="s">
        <v>19</v>
      </c>
      <c r="K136" s="2" t="s">
        <v>4574</v>
      </c>
      <c r="L136" s="7" t="str">
        <f>HYPERLINK("http://slimages.macys.com/is/image/MCY/12894516 ")</f>
        <v xml:space="preserve">http://slimages.macys.com/is/image/MCY/12894516 </v>
      </c>
    </row>
    <row r="137" spans="1:12" ht="24.75" x14ac:dyDescent="0.25">
      <c r="A137" s="4" t="s">
        <v>4575</v>
      </c>
      <c r="B137" s="2" t="s">
        <v>4576</v>
      </c>
      <c r="C137" s="3">
        <v>1</v>
      </c>
      <c r="D137" s="5">
        <v>49.5</v>
      </c>
      <c r="E137" s="3" t="s">
        <v>4577</v>
      </c>
      <c r="F137" s="2" t="s">
        <v>74</v>
      </c>
      <c r="G137" s="6"/>
      <c r="H137" s="2" t="s">
        <v>127</v>
      </c>
      <c r="I137" s="2" t="s">
        <v>128</v>
      </c>
      <c r="J137" s="2" t="s">
        <v>19</v>
      </c>
      <c r="K137" s="2" t="s">
        <v>160</v>
      </c>
      <c r="L137" s="7" t="str">
        <f>HYPERLINK("http://slimages.macys.com/is/image/MCY/12070670 ")</f>
        <v xml:space="preserve">http://slimages.macys.com/is/image/MCY/12070670 </v>
      </c>
    </row>
    <row r="138" spans="1:12" ht="24.75" x14ac:dyDescent="0.25">
      <c r="A138" s="4" t="s">
        <v>4578</v>
      </c>
      <c r="B138" s="2" t="s">
        <v>4576</v>
      </c>
      <c r="C138" s="3">
        <v>1</v>
      </c>
      <c r="D138" s="5">
        <v>49.5</v>
      </c>
      <c r="E138" s="3" t="s">
        <v>4577</v>
      </c>
      <c r="F138" s="2" t="s">
        <v>74</v>
      </c>
      <c r="G138" s="6"/>
      <c r="H138" s="2" t="s">
        <v>127</v>
      </c>
      <c r="I138" s="2" t="s">
        <v>128</v>
      </c>
      <c r="J138" s="2" t="s">
        <v>19</v>
      </c>
      <c r="K138" s="2" t="s">
        <v>160</v>
      </c>
      <c r="L138" s="7" t="str">
        <f>HYPERLINK("http://slimages.macys.com/is/image/MCY/12070670 ")</f>
        <v xml:space="preserve">http://slimages.macys.com/is/image/MCY/12070670 </v>
      </c>
    </row>
    <row r="139" spans="1:12" ht="24.75" x14ac:dyDescent="0.25">
      <c r="A139" s="4" t="s">
        <v>4579</v>
      </c>
      <c r="B139" s="2" t="s">
        <v>4576</v>
      </c>
      <c r="C139" s="3">
        <v>1</v>
      </c>
      <c r="D139" s="5">
        <v>49.5</v>
      </c>
      <c r="E139" s="3" t="s">
        <v>4577</v>
      </c>
      <c r="F139" s="2" t="s">
        <v>74</v>
      </c>
      <c r="G139" s="6"/>
      <c r="H139" s="2" t="s">
        <v>127</v>
      </c>
      <c r="I139" s="2" t="s">
        <v>128</v>
      </c>
      <c r="J139" s="2" t="s">
        <v>19</v>
      </c>
      <c r="K139" s="2" t="s">
        <v>160</v>
      </c>
      <c r="L139" s="7" t="str">
        <f>HYPERLINK("http://slimages.macys.com/is/image/MCY/12070670 ")</f>
        <v xml:space="preserve">http://slimages.macys.com/is/image/MCY/12070670 </v>
      </c>
    </row>
    <row r="140" spans="1:12" ht="36.75" x14ac:dyDescent="0.25">
      <c r="A140" s="4" t="s">
        <v>3445</v>
      </c>
      <c r="B140" s="2" t="s">
        <v>519</v>
      </c>
      <c r="C140" s="3">
        <v>1</v>
      </c>
      <c r="D140" s="5">
        <v>44.63</v>
      </c>
      <c r="E140" s="3" t="s">
        <v>520</v>
      </c>
      <c r="F140" s="2" t="s">
        <v>15</v>
      </c>
      <c r="G140" s="6" t="s">
        <v>156</v>
      </c>
      <c r="H140" s="2" t="s">
        <v>194</v>
      </c>
      <c r="I140" s="2" t="s">
        <v>195</v>
      </c>
      <c r="J140" s="2" t="s">
        <v>19</v>
      </c>
      <c r="K140" s="2" t="s">
        <v>521</v>
      </c>
      <c r="L140" s="7" t="str">
        <f>HYPERLINK("http://slimages.macys.com/is/image/MCY/12279320 ")</f>
        <v xml:space="preserve">http://slimages.macys.com/is/image/MCY/12279320 </v>
      </c>
    </row>
    <row r="141" spans="1:12" ht="36.75" x14ac:dyDescent="0.25">
      <c r="A141" s="4" t="s">
        <v>2309</v>
      </c>
      <c r="B141" s="2" t="s">
        <v>519</v>
      </c>
      <c r="C141" s="3">
        <v>1</v>
      </c>
      <c r="D141" s="5">
        <v>44.63</v>
      </c>
      <c r="E141" s="3" t="s">
        <v>520</v>
      </c>
      <c r="F141" s="2" t="s">
        <v>15</v>
      </c>
      <c r="G141" s="6" t="s">
        <v>181</v>
      </c>
      <c r="H141" s="2" t="s">
        <v>194</v>
      </c>
      <c r="I141" s="2" t="s">
        <v>195</v>
      </c>
      <c r="J141" s="2" t="s">
        <v>19</v>
      </c>
      <c r="K141" s="2" t="s">
        <v>521</v>
      </c>
      <c r="L141" s="7" t="str">
        <f>HYPERLINK("http://slimages.macys.com/is/image/MCY/12279320 ")</f>
        <v xml:space="preserve">http://slimages.macys.com/is/image/MCY/12279320 </v>
      </c>
    </row>
    <row r="142" spans="1:12" ht="36.75" x14ac:dyDescent="0.25">
      <c r="A142" s="4" t="s">
        <v>2306</v>
      </c>
      <c r="B142" s="2" t="s">
        <v>519</v>
      </c>
      <c r="C142" s="3">
        <v>1</v>
      </c>
      <c r="D142" s="5">
        <v>44.63</v>
      </c>
      <c r="E142" s="3" t="s">
        <v>520</v>
      </c>
      <c r="F142" s="2" t="s">
        <v>26</v>
      </c>
      <c r="G142" s="6" t="s">
        <v>181</v>
      </c>
      <c r="H142" s="2" t="s">
        <v>194</v>
      </c>
      <c r="I142" s="2" t="s">
        <v>195</v>
      </c>
      <c r="J142" s="2" t="s">
        <v>19</v>
      </c>
      <c r="K142" s="2" t="s">
        <v>521</v>
      </c>
      <c r="L142" s="7" t="str">
        <f>HYPERLINK("http://slimages.macys.com/is/image/MCY/12279320 ")</f>
        <v xml:space="preserve">http://slimages.macys.com/is/image/MCY/12279320 </v>
      </c>
    </row>
    <row r="143" spans="1:12" ht="36.75" x14ac:dyDescent="0.25">
      <c r="A143" s="4" t="s">
        <v>3446</v>
      </c>
      <c r="B143" s="2" t="s">
        <v>519</v>
      </c>
      <c r="C143" s="3">
        <v>2</v>
      </c>
      <c r="D143" s="5">
        <v>44.63</v>
      </c>
      <c r="E143" s="3" t="s">
        <v>520</v>
      </c>
      <c r="F143" s="2" t="s">
        <v>15</v>
      </c>
      <c r="G143" s="6" t="s">
        <v>234</v>
      </c>
      <c r="H143" s="2" t="s">
        <v>194</v>
      </c>
      <c r="I143" s="2" t="s">
        <v>195</v>
      </c>
      <c r="J143" s="2" t="s">
        <v>19</v>
      </c>
      <c r="K143" s="2" t="s">
        <v>521</v>
      </c>
      <c r="L143" s="7" t="str">
        <f>HYPERLINK("http://slimages.macys.com/is/image/MCY/12279320 ")</f>
        <v xml:space="preserve">http://slimages.macys.com/is/image/MCY/12279320 </v>
      </c>
    </row>
    <row r="144" spans="1:12" ht="36.75" x14ac:dyDescent="0.25">
      <c r="A144" s="4" t="s">
        <v>2310</v>
      </c>
      <c r="B144" s="2" t="s">
        <v>519</v>
      </c>
      <c r="C144" s="3">
        <v>2</v>
      </c>
      <c r="D144" s="5">
        <v>44.63</v>
      </c>
      <c r="E144" s="3" t="s">
        <v>520</v>
      </c>
      <c r="F144" s="2" t="s">
        <v>15</v>
      </c>
      <c r="G144" s="6" t="s">
        <v>154</v>
      </c>
      <c r="H144" s="2" t="s">
        <v>194</v>
      </c>
      <c r="I144" s="2" t="s">
        <v>195</v>
      </c>
      <c r="J144" s="2" t="s">
        <v>19</v>
      </c>
      <c r="K144" s="2" t="s">
        <v>521</v>
      </c>
      <c r="L144" s="7" t="str">
        <f>HYPERLINK("http://slimages.macys.com/is/image/MCY/12279320 ")</f>
        <v xml:space="preserve">http://slimages.macys.com/is/image/MCY/12279320 </v>
      </c>
    </row>
    <row r="145" spans="1:12" ht="24.75" x14ac:dyDescent="0.25">
      <c r="A145" s="4" t="s">
        <v>4580</v>
      </c>
      <c r="B145" s="2" t="s">
        <v>4581</v>
      </c>
      <c r="C145" s="3">
        <v>1</v>
      </c>
      <c r="D145" s="5">
        <v>49</v>
      </c>
      <c r="E145" s="3" t="s">
        <v>4582</v>
      </c>
      <c r="F145" s="2" t="s">
        <v>15</v>
      </c>
      <c r="G145" s="6" t="s">
        <v>181</v>
      </c>
      <c r="H145" s="2" t="s">
        <v>17</v>
      </c>
      <c r="I145" s="2" t="s">
        <v>145</v>
      </c>
      <c r="J145" s="2" t="s">
        <v>19</v>
      </c>
      <c r="K145" s="2" t="s">
        <v>442</v>
      </c>
      <c r="L145" s="7" t="str">
        <f>HYPERLINK("http://slimages.macys.com/is/image/MCY/11690489 ")</f>
        <v xml:space="preserve">http://slimages.macys.com/is/image/MCY/11690489 </v>
      </c>
    </row>
    <row r="146" spans="1:12" ht="24.75" x14ac:dyDescent="0.25">
      <c r="A146" s="4" t="s">
        <v>526</v>
      </c>
      <c r="B146" s="2" t="s">
        <v>527</v>
      </c>
      <c r="C146" s="3">
        <v>1</v>
      </c>
      <c r="D146" s="5">
        <v>48.38</v>
      </c>
      <c r="E146" s="3" t="s">
        <v>528</v>
      </c>
      <c r="F146" s="2" t="s">
        <v>417</v>
      </c>
      <c r="G146" s="6"/>
      <c r="H146" s="2" t="s">
        <v>349</v>
      </c>
      <c r="I146" s="2" t="s">
        <v>285</v>
      </c>
      <c r="J146" s="2" t="s">
        <v>19</v>
      </c>
      <c r="K146" s="2" t="s">
        <v>160</v>
      </c>
      <c r="L146" s="7" t="str">
        <f>HYPERLINK("http://slimages.macys.com/is/image/MCY/12715708 ")</f>
        <v xml:space="preserve">http://slimages.macys.com/is/image/MCY/12715708 </v>
      </c>
    </row>
    <row r="147" spans="1:12" ht="24.75" x14ac:dyDescent="0.25">
      <c r="A147" s="4" t="s">
        <v>3450</v>
      </c>
      <c r="B147" s="2" t="s">
        <v>527</v>
      </c>
      <c r="C147" s="3">
        <v>1</v>
      </c>
      <c r="D147" s="5">
        <v>48.38</v>
      </c>
      <c r="E147" s="3" t="s">
        <v>528</v>
      </c>
      <c r="F147" s="2" t="s">
        <v>417</v>
      </c>
      <c r="G147" s="6" t="s">
        <v>348</v>
      </c>
      <c r="H147" s="2" t="s">
        <v>349</v>
      </c>
      <c r="I147" s="2" t="s">
        <v>285</v>
      </c>
      <c r="J147" s="2" t="s">
        <v>19</v>
      </c>
      <c r="K147" s="2" t="s">
        <v>160</v>
      </c>
      <c r="L147" s="7" t="str">
        <f>HYPERLINK("http://slimages.macys.com/is/image/MCY/12715708 ")</f>
        <v xml:space="preserve">http://slimages.macys.com/is/image/MCY/12715708 </v>
      </c>
    </row>
    <row r="148" spans="1:12" ht="24.75" x14ac:dyDescent="0.25">
      <c r="A148" s="4" t="s">
        <v>4583</v>
      </c>
      <c r="B148" s="2" t="s">
        <v>527</v>
      </c>
      <c r="C148" s="3">
        <v>1</v>
      </c>
      <c r="D148" s="5">
        <v>48.38</v>
      </c>
      <c r="E148" s="3" t="s">
        <v>528</v>
      </c>
      <c r="F148" s="2" t="s">
        <v>417</v>
      </c>
      <c r="G148" s="6" t="s">
        <v>746</v>
      </c>
      <c r="H148" s="2" t="s">
        <v>349</v>
      </c>
      <c r="I148" s="2" t="s">
        <v>285</v>
      </c>
      <c r="J148" s="2" t="s">
        <v>19</v>
      </c>
      <c r="K148" s="2" t="s">
        <v>160</v>
      </c>
      <c r="L148" s="7" t="str">
        <f>HYPERLINK("http://slimages.macys.com/is/image/MCY/12715708 ")</f>
        <v xml:space="preserve">http://slimages.macys.com/is/image/MCY/12715708 </v>
      </c>
    </row>
    <row r="149" spans="1:12" ht="24.75" x14ac:dyDescent="0.25">
      <c r="A149" s="4" t="s">
        <v>3451</v>
      </c>
      <c r="B149" s="2" t="s">
        <v>527</v>
      </c>
      <c r="C149" s="3">
        <v>1</v>
      </c>
      <c r="D149" s="5">
        <v>48.38</v>
      </c>
      <c r="E149" s="3" t="s">
        <v>528</v>
      </c>
      <c r="F149" s="2" t="s">
        <v>417</v>
      </c>
      <c r="G149" s="6" t="s">
        <v>2276</v>
      </c>
      <c r="H149" s="2" t="s">
        <v>349</v>
      </c>
      <c r="I149" s="2" t="s">
        <v>285</v>
      </c>
      <c r="J149" s="2" t="s">
        <v>19</v>
      </c>
      <c r="K149" s="2" t="s">
        <v>160</v>
      </c>
      <c r="L149" s="7" t="str">
        <f>HYPERLINK("http://slimages.macys.com/is/image/MCY/12715708 ")</f>
        <v xml:space="preserve">http://slimages.macys.com/is/image/MCY/12715708 </v>
      </c>
    </row>
    <row r="150" spans="1:12" x14ac:dyDescent="0.25">
      <c r="A150" s="4" t="s">
        <v>4584</v>
      </c>
      <c r="B150" s="2" t="s">
        <v>4585</v>
      </c>
      <c r="C150" s="3">
        <v>1</v>
      </c>
      <c r="D150" s="5">
        <v>48.38</v>
      </c>
      <c r="E150" s="3" t="s">
        <v>4586</v>
      </c>
      <c r="F150" s="2" t="s">
        <v>15</v>
      </c>
      <c r="G150" s="6"/>
      <c r="H150" s="2" t="s">
        <v>349</v>
      </c>
      <c r="I150" s="2" t="s">
        <v>285</v>
      </c>
      <c r="J150" s="2" t="s">
        <v>19</v>
      </c>
      <c r="K150" s="2" t="s">
        <v>201</v>
      </c>
      <c r="L150" s="7" t="str">
        <f>HYPERLINK("http://slimages.macys.com/is/image/MCY/9639881 ")</f>
        <v xml:space="preserve">http://slimages.macys.com/is/image/MCY/9639881 </v>
      </c>
    </row>
    <row r="151" spans="1:12" ht="24.75" x14ac:dyDescent="0.25">
      <c r="A151" s="4" t="s">
        <v>2320</v>
      </c>
      <c r="B151" s="2" t="s">
        <v>530</v>
      </c>
      <c r="C151" s="3">
        <v>1</v>
      </c>
      <c r="D151" s="5">
        <v>44.63</v>
      </c>
      <c r="E151" s="3" t="s">
        <v>531</v>
      </c>
      <c r="F151" s="2" t="s">
        <v>532</v>
      </c>
      <c r="G151" s="6" t="s">
        <v>154</v>
      </c>
      <c r="H151" s="2" t="s">
        <v>194</v>
      </c>
      <c r="I151" s="2" t="s">
        <v>195</v>
      </c>
      <c r="J151" s="2" t="s">
        <v>19</v>
      </c>
      <c r="K151" s="2" t="s">
        <v>533</v>
      </c>
      <c r="L151" s="7" t="str">
        <f>HYPERLINK("http://slimages.macys.com/is/image/MCY/12316730 ")</f>
        <v xml:space="preserve">http://slimages.macys.com/is/image/MCY/12316730 </v>
      </c>
    </row>
    <row r="152" spans="1:12" ht="24.75" x14ac:dyDescent="0.25">
      <c r="A152" s="4" t="s">
        <v>2315</v>
      </c>
      <c r="B152" s="2" t="s">
        <v>530</v>
      </c>
      <c r="C152" s="3">
        <v>1</v>
      </c>
      <c r="D152" s="5">
        <v>44.63</v>
      </c>
      <c r="E152" s="3" t="s">
        <v>531</v>
      </c>
      <c r="F152" s="2" t="s">
        <v>532</v>
      </c>
      <c r="G152" s="6" t="s">
        <v>234</v>
      </c>
      <c r="H152" s="2" t="s">
        <v>194</v>
      </c>
      <c r="I152" s="2" t="s">
        <v>195</v>
      </c>
      <c r="J152" s="2" t="s">
        <v>19</v>
      </c>
      <c r="K152" s="2" t="s">
        <v>533</v>
      </c>
      <c r="L152" s="7" t="str">
        <f>HYPERLINK("http://slimages.macys.com/is/image/MCY/12316730 ")</f>
        <v xml:space="preserve">http://slimages.macys.com/is/image/MCY/12316730 </v>
      </c>
    </row>
    <row r="153" spans="1:12" ht="24.75" x14ac:dyDescent="0.25">
      <c r="A153" s="4" t="s">
        <v>4587</v>
      </c>
      <c r="B153" s="2" t="s">
        <v>530</v>
      </c>
      <c r="C153" s="3">
        <v>1</v>
      </c>
      <c r="D153" s="5">
        <v>44.63</v>
      </c>
      <c r="E153" s="3" t="s">
        <v>531</v>
      </c>
      <c r="F153" s="2" t="s">
        <v>532</v>
      </c>
      <c r="G153" s="6" t="s">
        <v>200</v>
      </c>
      <c r="H153" s="2" t="s">
        <v>194</v>
      </c>
      <c r="I153" s="2" t="s">
        <v>195</v>
      </c>
      <c r="J153" s="2" t="s">
        <v>19</v>
      </c>
      <c r="K153" s="2" t="s">
        <v>533</v>
      </c>
      <c r="L153" s="7" t="str">
        <f>HYPERLINK("http://slimages.macys.com/is/image/MCY/12316730 ")</f>
        <v xml:space="preserve">http://slimages.macys.com/is/image/MCY/12316730 </v>
      </c>
    </row>
    <row r="154" spans="1:12" ht="24.75" x14ac:dyDescent="0.25">
      <c r="A154" s="4" t="s">
        <v>4588</v>
      </c>
      <c r="B154" s="2" t="s">
        <v>2322</v>
      </c>
      <c r="C154" s="3">
        <v>1</v>
      </c>
      <c r="D154" s="5">
        <v>44.63</v>
      </c>
      <c r="E154" s="3">
        <v>100062919</v>
      </c>
      <c r="F154" s="2" t="s">
        <v>74</v>
      </c>
      <c r="G154" s="6" t="s">
        <v>156</v>
      </c>
      <c r="H154" s="2" t="s">
        <v>194</v>
      </c>
      <c r="I154" s="2" t="s">
        <v>195</v>
      </c>
      <c r="J154" s="2" t="s">
        <v>19</v>
      </c>
      <c r="K154" s="2" t="s">
        <v>610</v>
      </c>
      <c r="L154" s="7" t="str">
        <f>HYPERLINK("http://slimages.macys.com/is/image/MCY/11937752 ")</f>
        <v xml:space="preserve">http://slimages.macys.com/is/image/MCY/11937752 </v>
      </c>
    </row>
    <row r="155" spans="1:12" ht="24.75" x14ac:dyDescent="0.25">
      <c r="A155" s="4" t="s">
        <v>3454</v>
      </c>
      <c r="B155" s="2" t="s">
        <v>2322</v>
      </c>
      <c r="C155" s="3">
        <v>1</v>
      </c>
      <c r="D155" s="5">
        <v>44.63</v>
      </c>
      <c r="E155" s="3">
        <v>100062919</v>
      </c>
      <c r="F155" s="2" t="s">
        <v>74</v>
      </c>
      <c r="G155" s="6" t="s">
        <v>200</v>
      </c>
      <c r="H155" s="2" t="s">
        <v>194</v>
      </c>
      <c r="I155" s="2" t="s">
        <v>195</v>
      </c>
      <c r="J155" s="2" t="s">
        <v>19</v>
      </c>
      <c r="K155" s="2" t="s">
        <v>610</v>
      </c>
      <c r="L155" s="7" t="str">
        <f>HYPERLINK("http://slimages.macys.com/is/image/MCY/11937752 ")</f>
        <v xml:space="preserve">http://slimages.macys.com/is/image/MCY/11937752 </v>
      </c>
    </row>
    <row r="156" spans="1:12" ht="24.75" x14ac:dyDescent="0.25">
      <c r="A156" s="4" t="s">
        <v>2321</v>
      </c>
      <c r="B156" s="2" t="s">
        <v>2322</v>
      </c>
      <c r="C156" s="3">
        <v>1</v>
      </c>
      <c r="D156" s="5">
        <v>44.63</v>
      </c>
      <c r="E156" s="3">
        <v>100062919</v>
      </c>
      <c r="F156" s="2" t="s">
        <v>74</v>
      </c>
      <c r="G156" s="6" t="s">
        <v>181</v>
      </c>
      <c r="H156" s="2" t="s">
        <v>194</v>
      </c>
      <c r="I156" s="2" t="s">
        <v>195</v>
      </c>
      <c r="J156" s="2" t="s">
        <v>19</v>
      </c>
      <c r="K156" s="2" t="s">
        <v>610</v>
      </c>
      <c r="L156" s="7" t="str">
        <f>HYPERLINK("http://slimages.macys.com/is/image/MCY/11937752 ")</f>
        <v xml:space="preserve">http://slimages.macys.com/is/image/MCY/11937752 </v>
      </c>
    </row>
    <row r="157" spans="1:12" ht="24.75" x14ac:dyDescent="0.25">
      <c r="A157" s="4" t="s">
        <v>3453</v>
      </c>
      <c r="B157" s="2" t="s">
        <v>2322</v>
      </c>
      <c r="C157" s="3">
        <v>1</v>
      </c>
      <c r="D157" s="5">
        <v>44.63</v>
      </c>
      <c r="E157" s="3">
        <v>100062919</v>
      </c>
      <c r="F157" s="2" t="s">
        <v>74</v>
      </c>
      <c r="G157" s="6" t="s">
        <v>154</v>
      </c>
      <c r="H157" s="2" t="s">
        <v>194</v>
      </c>
      <c r="I157" s="2" t="s">
        <v>195</v>
      </c>
      <c r="J157" s="2" t="s">
        <v>19</v>
      </c>
      <c r="K157" s="2" t="s">
        <v>610</v>
      </c>
      <c r="L157" s="7" t="str">
        <f>HYPERLINK("http://slimages.macys.com/is/image/MCY/11937752 ")</f>
        <v xml:space="preserve">http://slimages.macys.com/is/image/MCY/11937752 </v>
      </c>
    </row>
    <row r="158" spans="1:12" ht="48.75" x14ac:dyDescent="0.25">
      <c r="A158" s="4" t="s">
        <v>4589</v>
      </c>
      <c r="B158" s="2" t="s">
        <v>4590</v>
      </c>
      <c r="C158" s="3">
        <v>1</v>
      </c>
      <c r="D158" s="5">
        <v>37.130000000000003</v>
      </c>
      <c r="E158" s="3" t="s">
        <v>4591</v>
      </c>
      <c r="F158" s="2" t="s">
        <v>74</v>
      </c>
      <c r="G158" s="6" t="s">
        <v>181</v>
      </c>
      <c r="H158" s="2" t="s">
        <v>284</v>
      </c>
      <c r="I158" s="2" t="s">
        <v>408</v>
      </c>
      <c r="J158" s="2" t="s">
        <v>19</v>
      </c>
      <c r="K158" s="2" t="s">
        <v>3515</v>
      </c>
      <c r="L158" s="7" t="str">
        <f>HYPERLINK("http://slimages.macys.com/is/image/MCY/12342823 ")</f>
        <v xml:space="preserve">http://slimages.macys.com/is/image/MCY/12342823 </v>
      </c>
    </row>
    <row r="159" spans="1:12" ht="24.75" x14ac:dyDescent="0.25">
      <c r="A159" s="4" t="s">
        <v>4592</v>
      </c>
      <c r="B159" s="2" t="s">
        <v>548</v>
      </c>
      <c r="C159" s="3">
        <v>1</v>
      </c>
      <c r="D159" s="5">
        <v>44.5</v>
      </c>
      <c r="E159" s="3" t="s">
        <v>549</v>
      </c>
      <c r="F159" s="2" t="s">
        <v>252</v>
      </c>
      <c r="G159" s="6" t="s">
        <v>200</v>
      </c>
      <c r="H159" s="2" t="s">
        <v>194</v>
      </c>
      <c r="I159" s="2" t="s">
        <v>195</v>
      </c>
      <c r="J159" s="2" t="s">
        <v>19</v>
      </c>
      <c r="K159" s="2" t="s">
        <v>34</v>
      </c>
      <c r="L159" s="7" t="str">
        <f>HYPERLINK("http://slimages.macys.com/is/image/MCY/11527016 ")</f>
        <v xml:space="preserve">http://slimages.macys.com/is/image/MCY/11527016 </v>
      </c>
    </row>
    <row r="160" spans="1:12" ht="24.75" x14ac:dyDescent="0.25">
      <c r="A160" s="4" t="s">
        <v>4593</v>
      </c>
      <c r="B160" s="2" t="s">
        <v>2334</v>
      </c>
      <c r="C160" s="3">
        <v>1</v>
      </c>
      <c r="D160" s="5">
        <v>59.5</v>
      </c>
      <c r="E160" s="3" t="s">
        <v>2335</v>
      </c>
      <c r="F160" s="2" t="s">
        <v>74</v>
      </c>
      <c r="G160" s="6"/>
      <c r="H160" s="2" t="s">
        <v>127</v>
      </c>
      <c r="I160" s="2" t="s">
        <v>128</v>
      </c>
      <c r="J160" s="2" t="s">
        <v>19</v>
      </c>
      <c r="K160" s="2" t="s">
        <v>160</v>
      </c>
      <c r="L160" s="7" t="str">
        <f>HYPERLINK("http://slimages.macys.com/is/image/MCY/9599934 ")</f>
        <v xml:space="preserve">http://slimages.macys.com/is/image/MCY/9599934 </v>
      </c>
    </row>
    <row r="161" spans="1:12" ht="24.75" x14ac:dyDescent="0.25">
      <c r="A161" s="4" t="s">
        <v>2333</v>
      </c>
      <c r="B161" s="2" t="s">
        <v>2334</v>
      </c>
      <c r="C161" s="3">
        <v>1</v>
      </c>
      <c r="D161" s="5">
        <v>59.5</v>
      </c>
      <c r="E161" s="3" t="s">
        <v>2335</v>
      </c>
      <c r="F161" s="2" t="s">
        <v>74</v>
      </c>
      <c r="G161" s="6" t="s">
        <v>187</v>
      </c>
      <c r="H161" s="2" t="s">
        <v>127</v>
      </c>
      <c r="I161" s="2" t="s">
        <v>128</v>
      </c>
      <c r="J161" s="2" t="s">
        <v>19</v>
      </c>
      <c r="K161" s="2" t="s">
        <v>160</v>
      </c>
      <c r="L161" s="7" t="str">
        <f>HYPERLINK("http://slimages.macys.com/is/image/MCY/9599934 ")</f>
        <v xml:space="preserve">http://slimages.macys.com/is/image/MCY/9599934 </v>
      </c>
    </row>
    <row r="162" spans="1:12" ht="24.75" x14ac:dyDescent="0.25">
      <c r="A162" s="4" t="s">
        <v>4594</v>
      </c>
      <c r="B162" s="2" t="s">
        <v>2334</v>
      </c>
      <c r="C162" s="3">
        <v>1</v>
      </c>
      <c r="D162" s="5">
        <v>59.5</v>
      </c>
      <c r="E162" s="3" t="s">
        <v>2335</v>
      </c>
      <c r="F162" s="2" t="s">
        <v>74</v>
      </c>
      <c r="G162" s="6" t="s">
        <v>219</v>
      </c>
      <c r="H162" s="2" t="s">
        <v>127</v>
      </c>
      <c r="I162" s="2" t="s">
        <v>128</v>
      </c>
      <c r="J162" s="2" t="s">
        <v>19</v>
      </c>
      <c r="K162" s="2" t="s">
        <v>160</v>
      </c>
      <c r="L162" s="7" t="str">
        <f>HYPERLINK("http://slimages.macys.com/is/image/MCY/9599934 ")</f>
        <v xml:space="preserve">http://slimages.macys.com/is/image/MCY/9599934 </v>
      </c>
    </row>
    <row r="163" spans="1:12" ht="24.75" x14ac:dyDescent="0.25">
      <c r="A163" s="4" t="s">
        <v>4595</v>
      </c>
      <c r="B163" s="2" t="s">
        <v>570</v>
      </c>
      <c r="C163" s="3">
        <v>1</v>
      </c>
      <c r="D163" s="5">
        <v>40.880000000000003</v>
      </c>
      <c r="E163" s="3" t="s">
        <v>571</v>
      </c>
      <c r="F163" s="2" t="s">
        <v>680</v>
      </c>
      <c r="G163" s="6" t="s">
        <v>141</v>
      </c>
      <c r="H163" s="2" t="s">
        <v>246</v>
      </c>
      <c r="I163" s="2" t="s">
        <v>525</v>
      </c>
      <c r="J163" s="2" t="s">
        <v>19</v>
      </c>
      <c r="K163" s="2" t="s">
        <v>338</v>
      </c>
      <c r="L163" s="7" t="str">
        <f>HYPERLINK("http://slimages.macys.com/is/image/MCY/11746434 ")</f>
        <v xml:space="preserve">http://slimages.macys.com/is/image/MCY/11746434 </v>
      </c>
    </row>
    <row r="164" spans="1:12" ht="24.75" x14ac:dyDescent="0.25">
      <c r="A164" s="4" t="s">
        <v>589</v>
      </c>
      <c r="B164" s="2" t="s">
        <v>590</v>
      </c>
      <c r="C164" s="3">
        <v>1</v>
      </c>
      <c r="D164" s="5">
        <v>44.25</v>
      </c>
      <c r="E164" s="3">
        <v>100037392</v>
      </c>
      <c r="F164" s="2" t="s">
        <v>74</v>
      </c>
      <c r="G164" s="6" t="s">
        <v>27</v>
      </c>
      <c r="H164" s="2" t="s">
        <v>228</v>
      </c>
      <c r="I164" s="2" t="s">
        <v>229</v>
      </c>
      <c r="J164" s="2" t="s">
        <v>19</v>
      </c>
      <c r="K164" s="2" t="s">
        <v>338</v>
      </c>
      <c r="L164" s="7" t="str">
        <f>HYPERLINK("http://slimages.macys.com/is/image/MCY/10888725 ")</f>
        <v xml:space="preserve">http://slimages.macys.com/is/image/MCY/10888725 </v>
      </c>
    </row>
    <row r="165" spans="1:12" ht="24.75" x14ac:dyDescent="0.25">
      <c r="A165" s="4" t="s">
        <v>4596</v>
      </c>
      <c r="B165" s="2" t="s">
        <v>2223</v>
      </c>
      <c r="C165" s="3">
        <v>1</v>
      </c>
      <c r="D165" s="5">
        <v>40.880000000000003</v>
      </c>
      <c r="E165" s="3" t="s">
        <v>4597</v>
      </c>
      <c r="F165" s="2" t="s">
        <v>26</v>
      </c>
      <c r="G165" s="6" t="s">
        <v>156</v>
      </c>
      <c r="H165" s="2" t="s">
        <v>284</v>
      </c>
      <c r="I165" s="2" t="s">
        <v>285</v>
      </c>
      <c r="J165" s="2" t="s">
        <v>19</v>
      </c>
      <c r="K165" s="2" t="s">
        <v>323</v>
      </c>
      <c r="L165" s="7" t="str">
        <f>HYPERLINK("http://slimages.macys.com/is/image/MCY/12285170 ")</f>
        <v xml:space="preserve">http://slimages.macys.com/is/image/MCY/12285170 </v>
      </c>
    </row>
    <row r="166" spans="1:12" ht="48.75" x14ac:dyDescent="0.25">
      <c r="A166" s="4" t="s">
        <v>603</v>
      </c>
      <c r="B166" s="2" t="s">
        <v>599</v>
      </c>
      <c r="C166" s="3">
        <v>1</v>
      </c>
      <c r="D166" s="5">
        <v>37.130000000000003</v>
      </c>
      <c r="E166" s="3" t="s">
        <v>600</v>
      </c>
      <c r="F166" s="2" t="s">
        <v>125</v>
      </c>
      <c r="G166" s="6" t="s">
        <v>154</v>
      </c>
      <c r="H166" s="2" t="s">
        <v>194</v>
      </c>
      <c r="I166" s="2" t="s">
        <v>195</v>
      </c>
      <c r="J166" s="2" t="s">
        <v>19</v>
      </c>
      <c r="K166" s="2" t="s">
        <v>601</v>
      </c>
      <c r="L166" s="7" t="str">
        <f>HYPERLINK("http://slimages.macys.com/is/image/MCY/12734338 ")</f>
        <v xml:space="preserve">http://slimages.macys.com/is/image/MCY/12734338 </v>
      </c>
    </row>
    <row r="167" spans="1:12" ht="48.75" x14ac:dyDescent="0.25">
      <c r="A167" s="4" t="s">
        <v>4598</v>
      </c>
      <c r="B167" s="2" t="s">
        <v>599</v>
      </c>
      <c r="C167" s="3">
        <v>1</v>
      </c>
      <c r="D167" s="5">
        <v>37.130000000000003</v>
      </c>
      <c r="E167" s="3" t="s">
        <v>600</v>
      </c>
      <c r="F167" s="2" t="s">
        <v>125</v>
      </c>
      <c r="G167" s="6" t="s">
        <v>200</v>
      </c>
      <c r="H167" s="2" t="s">
        <v>194</v>
      </c>
      <c r="I167" s="2" t="s">
        <v>195</v>
      </c>
      <c r="J167" s="2" t="s">
        <v>19</v>
      </c>
      <c r="K167" s="2" t="s">
        <v>601</v>
      </c>
      <c r="L167" s="7" t="str">
        <f>HYPERLINK("http://slimages.macys.com/is/image/MCY/12734338 ")</f>
        <v xml:space="preserve">http://slimages.macys.com/is/image/MCY/12734338 </v>
      </c>
    </row>
    <row r="168" spans="1:12" ht="48.75" x14ac:dyDescent="0.25">
      <c r="A168" s="4" t="s">
        <v>4599</v>
      </c>
      <c r="B168" s="2" t="s">
        <v>599</v>
      </c>
      <c r="C168" s="3">
        <v>1</v>
      </c>
      <c r="D168" s="5">
        <v>37.130000000000003</v>
      </c>
      <c r="E168" s="3" t="s">
        <v>600</v>
      </c>
      <c r="F168" s="2" t="s">
        <v>15</v>
      </c>
      <c r="G168" s="6" t="s">
        <v>200</v>
      </c>
      <c r="H168" s="2" t="s">
        <v>194</v>
      </c>
      <c r="I168" s="2" t="s">
        <v>195</v>
      </c>
      <c r="J168" s="2" t="s">
        <v>19</v>
      </c>
      <c r="K168" s="2" t="s">
        <v>601</v>
      </c>
      <c r="L168" s="7" t="str">
        <f>HYPERLINK("http://slimages.macys.com/is/image/MCY/12734338 ")</f>
        <v xml:space="preserve">http://slimages.macys.com/is/image/MCY/12734338 </v>
      </c>
    </row>
    <row r="169" spans="1:12" ht="24.75" x14ac:dyDescent="0.25">
      <c r="A169" s="4" t="s">
        <v>4600</v>
      </c>
      <c r="B169" s="2" t="s">
        <v>606</v>
      </c>
      <c r="C169" s="3">
        <v>1</v>
      </c>
      <c r="D169" s="5">
        <v>37.130000000000003</v>
      </c>
      <c r="E169" s="3">
        <v>100054430</v>
      </c>
      <c r="F169" s="2" t="s">
        <v>15</v>
      </c>
      <c r="G169" s="6" t="s">
        <v>16</v>
      </c>
      <c r="H169" s="2" t="s">
        <v>194</v>
      </c>
      <c r="I169" s="2" t="s">
        <v>503</v>
      </c>
      <c r="J169" s="2" t="s">
        <v>19</v>
      </c>
      <c r="K169" s="2" t="s">
        <v>607</v>
      </c>
      <c r="L169" s="7" t="str">
        <f>HYPERLINK("http://slimages.macys.com/is/image/MCY/12063680 ")</f>
        <v xml:space="preserve">http://slimages.macys.com/is/image/MCY/12063680 </v>
      </c>
    </row>
    <row r="170" spans="1:12" ht="36.75" x14ac:dyDescent="0.25">
      <c r="A170" s="4" t="s">
        <v>4601</v>
      </c>
      <c r="B170" s="2" t="s">
        <v>4602</v>
      </c>
      <c r="C170" s="3">
        <v>1</v>
      </c>
      <c r="D170" s="5">
        <v>69.5</v>
      </c>
      <c r="E170" s="3">
        <v>100052087</v>
      </c>
      <c r="F170" s="2" t="s">
        <v>64</v>
      </c>
      <c r="G170" s="6" t="s">
        <v>65</v>
      </c>
      <c r="H170" s="2" t="s">
        <v>386</v>
      </c>
      <c r="I170" s="2" t="s">
        <v>337</v>
      </c>
      <c r="J170" s="2" t="s">
        <v>19</v>
      </c>
      <c r="K170" s="2" t="s">
        <v>4603</v>
      </c>
      <c r="L170" s="7" t="str">
        <f>HYPERLINK("http://slimages.macys.com/is/image/MCY/11647055 ")</f>
        <v xml:space="preserve">http://slimages.macys.com/is/image/MCY/11647055 </v>
      </c>
    </row>
    <row r="171" spans="1:12" ht="24.75" x14ac:dyDescent="0.25">
      <c r="A171" s="4" t="s">
        <v>4604</v>
      </c>
      <c r="B171" s="2" t="s">
        <v>609</v>
      </c>
      <c r="C171" s="3">
        <v>1</v>
      </c>
      <c r="D171" s="5">
        <v>44.63</v>
      </c>
      <c r="E171" s="3">
        <v>100015690</v>
      </c>
      <c r="F171" s="2" t="s">
        <v>74</v>
      </c>
      <c r="G171" s="6" t="s">
        <v>154</v>
      </c>
      <c r="H171" s="2" t="s">
        <v>194</v>
      </c>
      <c r="I171" s="2" t="s">
        <v>195</v>
      </c>
      <c r="J171" s="2" t="s">
        <v>19</v>
      </c>
      <c r="K171" s="2" t="s">
        <v>610</v>
      </c>
      <c r="L171" s="7" t="str">
        <f>HYPERLINK("http://slimages.macys.com/is/image/MCY/9508600 ")</f>
        <v xml:space="preserve">http://slimages.macys.com/is/image/MCY/9508600 </v>
      </c>
    </row>
    <row r="172" spans="1:12" ht="24.75" x14ac:dyDescent="0.25">
      <c r="A172" s="4" t="s">
        <v>2348</v>
      </c>
      <c r="B172" s="2" t="s">
        <v>612</v>
      </c>
      <c r="C172" s="3">
        <v>1</v>
      </c>
      <c r="D172" s="5">
        <v>37.130000000000003</v>
      </c>
      <c r="E172" s="3">
        <v>100042366</v>
      </c>
      <c r="F172" s="2" t="s">
        <v>111</v>
      </c>
      <c r="G172" s="6" t="s">
        <v>181</v>
      </c>
      <c r="H172" s="2" t="s">
        <v>194</v>
      </c>
      <c r="I172" s="2" t="s">
        <v>195</v>
      </c>
      <c r="J172" s="2" t="s">
        <v>19</v>
      </c>
      <c r="K172" s="2" t="s">
        <v>546</v>
      </c>
      <c r="L172" s="7" t="str">
        <f>HYPERLINK("http://slimages.macys.com/is/image/MCY/12734278 ")</f>
        <v xml:space="preserve">http://slimages.macys.com/is/image/MCY/12734278 </v>
      </c>
    </row>
    <row r="173" spans="1:12" x14ac:dyDescent="0.25">
      <c r="A173" s="4" t="s">
        <v>4605</v>
      </c>
      <c r="B173" s="2" t="s">
        <v>4606</v>
      </c>
      <c r="C173" s="3">
        <v>1</v>
      </c>
      <c r="D173" s="5">
        <v>79.5</v>
      </c>
      <c r="E173" s="3" t="s">
        <v>4607</v>
      </c>
      <c r="F173" s="2" t="s">
        <v>464</v>
      </c>
      <c r="G173" s="6"/>
      <c r="H173" s="2" t="s">
        <v>206</v>
      </c>
      <c r="I173" s="2" t="s">
        <v>207</v>
      </c>
      <c r="J173" s="2" t="s">
        <v>19</v>
      </c>
      <c r="K173" s="2" t="s">
        <v>34</v>
      </c>
      <c r="L173" s="7" t="str">
        <f>HYPERLINK("http://slimages.macys.com/is/image/MCY/13585330 ")</f>
        <v xml:space="preserve">http://slimages.macys.com/is/image/MCY/13585330 </v>
      </c>
    </row>
    <row r="174" spans="1:12" ht="24.75" x14ac:dyDescent="0.25">
      <c r="A174" s="4" t="s">
        <v>620</v>
      </c>
      <c r="B174" s="2" t="s">
        <v>617</v>
      </c>
      <c r="C174" s="3">
        <v>1</v>
      </c>
      <c r="D174" s="5">
        <v>44.63</v>
      </c>
      <c r="E174" s="3">
        <v>100054444</v>
      </c>
      <c r="F174" s="2" t="s">
        <v>111</v>
      </c>
      <c r="G174" s="6" t="s">
        <v>181</v>
      </c>
      <c r="H174" s="2" t="s">
        <v>194</v>
      </c>
      <c r="I174" s="2" t="s">
        <v>195</v>
      </c>
      <c r="J174" s="2" t="s">
        <v>19</v>
      </c>
      <c r="K174" s="2" t="s">
        <v>546</v>
      </c>
      <c r="L174" s="7" t="str">
        <f>HYPERLINK("http://slimages.macys.com/is/image/MCY/12279794 ")</f>
        <v xml:space="preserve">http://slimages.macys.com/is/image/MCY/12279794 </v>
      </c>
    </row>
    <row r="175" spans="1:12" ht="48.75" x14ac:dyDescent="0.25">
      <c r="A175" s="4" t="s">
        <v>4608</v>
      </c>
      <c r="B175" s="2" t="s">
        <v>3478</v>
      </c>
      <c r="C175" s="3">
        <v>1</v>
      </c>
      <c r="D175" s="5">
        <v>79.5</v>
      </c>
      <c r="E175" s="3" t="s">
        <v>3479</v>
      </c>
      <c r="F175" s="2" t="s">
        <v>74</v>
      </c>
      <c r="G175" s="6" t="s">
        <v>219</v>
      </c>
      <c r="H175" s="2" t="s">
        <v>206</v>
      </c>
      <c r="I175" s="2" t="s">
        <v>207</v>
      </c>
      <c r="J175" s="2" t="s">
        <v>19</v>
      </c>
      <c r="K175" s="2" t="s">
        <v>3484</v>
      </c>
      <c r="L175" s="7" t="str">
        <f>HYPERLINK("http://slimages.macys.com/is/image/MCY/9043583 ")</f>
        <v xml:space="preserve">http://slimages.macys.com/is/image/MCY/9043583 </v>
      </c>
    </row>
    <row r="176" spans="1:12" ht="24.75" x14ac:dyDescent="0.25">
      <c r="A176" s="4" t="s">
        <v>4609</v>
      </c>
      <c r="B176" s="2" t="s">
        <v>4610</v>
      </c>
      <c r="C176" s="3">
        <v>1</v>
      </c>
      <c r="D176" s="5">
        <v>69.5</v>
      </c>
      <c r="E176" s="3">
        <v>100061462</v>
      </c>
      <c r="F176" s="2" t="s">
        <v>64</v>
      </c>
      <c r="G176" s="6" t="s">
        <v>27</v>
      </c>
      <c r="H176" s="2" t="s">
        <v>386</v>
      </c>
      <c r="I176" s="2" t="s">
        <v>207</v>
      </c>
      <c r="J176" s="2" t="s">
        <v>19</v>
      </c>
      <c r="K176" s="2" t="s">
        <v>338</v>
      </c>
      <c r="L176" s="7" t="str">
        <f>HYPERLINK("http://slimages.macys.com/is/image/MCY/11943173 ")</f>
        <v xml:space="preserve">http://slimages.macys.com/is/image/MCY/11943173 </v>
      </c>
    </row>
    <row r="177" spans="1:12" ht="24.75" x14ac:dyDescent="0.25">
      <c r="A177" s="4" t="s">
        <v>4611</v>
      </c>
      <c r="B177" s="2" t="s">
        <v>626</v>
      </c>
      <c r="C177" s="3">
        <v>1</v>
      </c>
      <c r="D177" s="5">
        <v>40.880000000000003</v>
      </c>
      <c r="E177" s="3" t="s">
        <v>627</v>
      </c>
      <c r="F177" s="2" t="s">
        <v>74</v>
      </c>
      <c r="G177" s="6" t="s">
        <v>141</v>
      </c>
      <c r="H177" s="2" t="s">
        <v>246</v>
      </c>
      <c r="I177" s="2" t="s">
        <v>525</v>
      </c>
      <c r="J177" s="2" t="s">
        <v>19</v>
      </c>
      <c r="K177" s="2" t="s">
        <v>628</v>
      </c>
      <c r="L177" s="7" t="str">
        <f>HYPERLINK("http://slimages.macys.com/is/image/MCY/11620905 ")</f>
        <v xml:space="preserve">http://slimages.macys.com/is/image/MCY/11620905 </v>
      </c>
    </row>
    <row r="178" spans="1:12" ht="24.75" x14ac:dyDescent="0.25">
      <c r="A178" s="4" t="s">
        <v>4612</v>
      </c>
      <c r="B178" s="2" t="s">
        <v>2351</v>
      </c>
      <c r="C178" s="3">
        <v>1</v>
      </c>
      <c r="D178" s="5">
        <v>37.130000000000003</v>
      </c>
      <c r="E178" s="3" t="s">
        <v>2352</v>
      </c>
      <c r="F178" s="2" t="s">
        <v>111</v>
      </c>
      <c r="G178" s="6" t="s">
        <v>234</v>
      </c>
      <c r="H178" s="2" t="s">
        <v>194</v>
      </c>
      <c r="I178" s="2" t="s">
        <v>195</v>
      </c>
      <c r="J178" s="2" t="s">
        <v>19</v>
      </c>
      <c r="K178" s="2" t="s">
        <v>438</v>
      </c>
      <c r="L178" s="7" t="str">
        <f>HYPERLINK("http://slimages.macys.com/is/image/MCY/12667948 ")</f>
        <v xml:space="preserve">http://slimages.macys.com/is/image/MCY/12667948 </v>
      </c>
    </row>
    <row r="179" spans="1:12" ht="24.75" x14ac:dyDescent="0.25">
      <c r="A179" s="4" t="s">
        <v>4613</v>
      </c>
      <c r="B179" s="2" t="s">
        <v>2351</v>
      </c>
      <c r="C179" s="3">
        <v>1</v>
      </c>
      <c r="D179" s="5">
        <v>37.130000000000003</v>
      </c>
      <c r="E179" s="3" t="s">
        <v>2352</v>
      </c>
      <c r="F179" s="2" t="s">
        <v>417</v>
      </c>
      <c r="G179" s="6" t="s">
        <v>234</v>
      </c>
      <c r="H179" s="2" t="s">
        <v>194</v>
      </c>
      <c r="I179" s="2" t="s">
        <v>195</v>
      </c>
      <c r="J179" s="2" t="s">
        <v>19</v>
      </c>
      <c r="K179" s="2" t="s">
        <v>438</v>
      </c>
      <c r="L179" s="7" t="str">
        <f>HYPERLINK("http://slimages.macys.com/is/image/MCY/12667948 ")</f>
        <v xml:space="preserve">http://slimages.macys.com/is/image/MCY/12667948 </v>
      </c>
    </row>
    <row r="180" spans="1:12" ht="24.75" x14ac:dyDescent="0.25">
      <c r="A180" s="4" t="s">
        <v>4614</v>
      </c>
      <c r="B180" s="2" t="s">
        <v>3486</v>
      </c>
      <c r="C180" s="3">
        <v>2</v>
      </c>
      <c r="D180" s="5">
        <v>44.63</v>
      </c>
      <c r="E180" s="3" t="s">
        <v>3487</v>
      </c>
      <c r="F180" s="2" t="s">
        <v>74</v>
      </c>
      <c r="G180" s="6" t="s">
        <v>181</v>
      </c>
      <c r="H180" s="2" t="s">
        <v>284</v>
      </c>
      <c r="I180" s="2" t="s">
        <v>285</v>
      </c>
      <c r="J180" s="2" t="s">
        <v>19</v>
      </c>
      <c r="K180" s="2" t="s">
        <v>160</v>
      </c>
      <c r="L180" s="7" t="str">
        <f>HYPERLINK("http://slimages.macys.com/is/image/MCY/12285227 ")</f>
        <v xml:space="preserve">http://slimages.macys.com/is/image/MCY/12285227 </v>
      </c>
    </row>
    <row r="181" spans="1:12" ht="48.75" x14ac:dyDescent="0.25">
      <c r="A181" s="4" t="s">
        <v>3489</v>
      </c>
      <c r="B181" s="2" t="s">
        <v>3490</v>
      </c>
      <c r="C181" s="3">
        <v>1</v>
      </c>
      <c r="D181" s="5">
        <v>37.130000000000003</v>
      </c>
      <c r="E181" s="3" t="s">
        <v>3491</v>
      </c>
      <c r="F181" s="2" t="s">
        <v>15</v>
      </c>
      <c r="G181" s="6" t="s">
        <v>181</v>
      </c>
      <c r="H181" s="2" t="s">
        <v>194</v>
      </c>
      <c r="I181" s="2" t="s">
        <v>307</v>
      </c>
      <c r="J181" s="2" t="s">
        <v>19</v>
      </c>
      <c r="K181" s="2" t="s">
        <v>3499</v>
      </c>
      <c r="L181" s="7" t="str">
        <f>HYPERLINK("http://slimages.macys.com/is/image/MCY/12143810 ")</f>
        <v xml:space="preserve">http://slimages.macys.com/is/image/MCY/12143810 </v>
      </c>
    </row>
    <row r="182" spans="1:12" ht="48.75" x14ac:dyDescent="0.25">
      <c r="A182" s="4" t="s">
        <v>4615</v>
      </c>
      <c r="B182" s="2" t="s">
        <v>3490</v>
      </c>
      <c r="C182" s="3">
        <v>1</v>
      </c>
      <c r="D182" s="5">
        <v>37.130000000000003</v>
      </c>
      <c r="E182" s="3" t="s">
        <v>3491</v>
      </c>
      <c r="F182" s="2" t="s">
        <v>15</v>
      </c>
      <c r="G182" s="6" t="s">
        <v>234</v>
      </c>
      <c r="H182" s="2" t="s">
        <v>194</v>
      </c>
      <c r="I182" s="2" t="s">
        <v>307</v>
      </c>
      <c r="J182" s="2" t="s">
        <v>19</v>
      </c>
      <c r="K182" s="2" t="s">
        <v>3499</v>
      </c>
      <c r="L182" s="7" t="str">
        <f>HYPERLINK("http://slimages.macys.com/is/image/MCY/12143810 ")</f>
        <v xml:space="preserve">http://slimages.macys.com/is/image/MCY/12143810 </v>
      </c>
    </row>
    <row r="183" spans="1:12" ht="24.75" x14ac:dyDescent="0.25">
      <c r="A183" s="4" t="s">
        <v>4616</v>
      </c>
      <c r="B183" s="2" t="s">
        <v>4617</v>
      </c>
      <c r="C183" s="3">
        <v>1</v>
      </c>
      <c r="D183" s="5">
        <v>40.880000000000003</v>
      </c>
      <c r="E183" s="3" t="s">
        <v>4618</v>
      </c>
      <c r="F183" s="2" t="s">
        <v>413</v>
      </c>
      <c r="G183" s="6" t="s">
        <v>234</v>
      </c>
      <c r="H183" s="2" t="s">
        <v>194</v>
      </c>
      <c r="I183" s="2" t="s">
        <v>195</v>
      </c>
      <c r="J183" s="2" t="s">
        <v>19</v>
      </c>
      <c r="K183" s="2" t="s">
        <v>438</v>
      </c>
      <c r="L183" s="7" t="str">
        <f>HYPERLINK("http://slimages.macys.com/is/image/MCY/12404897 ")</f>
        <v xml:space="preserve">http://slimages.macys.com/is/image/MCY/12404897 </v>
      </c>
    </row>
    <row r="184" spans="1:12" ht="24.75" x14ac:dyDescent="0.25">
      <c r="A184" s="4" t="s">
        <v>4619</v>
      </c>
      <c r="B184" s="2" t="s">
        <v>4620</v>
      </c>
      <c r="C184" s="3">
        <v>1</v>
      </c>
      <c r="D184" s="5">
        <v>69.5</v>
      </c>
      <c r="E184" s="3" t="s">
        <v>4621</v>
      </c>
      <c r="F184" s="2" t="s">
        <v>676</v>
      </c>
      <c r="G184" s="6" t="s">
        <v>187</v>
      </c>
      <c r="H184" s="2" t="s">
        <v>127</v>
      </c>
      <c r="I184" s="2" t="s">
        <v>128</v>
      </c>
      <c r="J184" s="2" t="s">
        <v>19</v>
      </c>
      <c r="K184" s="2" t="s">
        <v>34</v>
      </c>
      <c r="L184" s="7" t="str">
        <f>HYPERLINK("http://slimages.macys.com/is/image/MCY/11589259 ")</f>
        <v xml:space="preserve">http://slimages.macys.com/is/image/MCY/11589259 </v>
      </c>
    </row>
    <row r="185" spans="1:12" ht="24.75" x14ac:dyDescent="0.25">
      <c r="A185" s="4" t="s">
        <v>4622</v>
      </c>
      <c r="B185" s="2" t="s">
        <v>3494</v>
      </c>
      <c r="C185" s="3">
        <v>1</v>
      </c>
      <c r="D185" s="5">
        <v>39.99</v>
      </c>
      <c r="E185" s="3" t="s">
        <v>3495</v>
      </c>
      <c r="F185" s="2" t="s">
        <v>48</v>
      </c>
      <c r="G185" s="6" t="s">
        <v>156</v>
      </c>
      <c r="H185" s="2" t="s">
        <v>246</v>
      </c>
      <c r="I185" s="2" t="s">
        <v>3504</v>
      </c>
      <c r="J185" s="2" t="s">
        <v>19</v>
      </c>
      <c r="K185" s="2" t="s">
        <v>34</v>
      </c>
      <c r="L185" s="7" t="str">
        <f>HYPERLINK("http://slimages.macys.com/is/image/MCY/12061217 ")</f>
        <v xml:space="preserve">http://slimages.macys.com/is/image/MCY/12061217 </v>
      </c>
    </row>
    <row r="186" spans="1:12" ht="24.75" x14ac:dyDescent="0.25">
      <c r="A186" s="4" t="s">
        <v>3503</v>
      </c>
      <c r="B186" s="2" t="s">
        <v>641</v>
      </c>
      <c r="C186" s="3">
        <v>1</v>
      </c>
      <c r="D186" s="5">
        <v>34.99</v>
      </c>
      <c r="E186" s="3" t="s">
        <v>642</v>
      </c>
      <c r="F186" s="2" t="s">
        <v>64</v>
      </c>
      <c r="G186" s="6" t="s">
        <v>2276</v>
      </c>
      <c r="H186" s="2" t="s">
        <v>349</v>
      </c>
      <c r="I186" s="2" t="s">
        <v>408</v>
      </c>
      <c r="J186" s="2" t="s">
        <v>19</v>
      </c>
      <c r="K186" s="2" t="s">
        <v>409</v>
      </c>
      <c r="L186" s="7" t="str">
        <f>HYPERLINK("http://slimages.macys.com/is/image/MCY/9297288 ")</f>
        <v xml:space="preserve">http://slimages.macys.com/is/image/MCY/9297288 </v>
      </c>
    </row>
    <row r="187" spans="1:12" ht="24.75" x14ac:dyDescent="0.25">
      <c r="A187" s="4" t="s">
        <v>649</v>
      </c>
      <c r="B187" s="2" t="s">
        <v>650</v>
      </c>
      <c r="C187" s="3">
        <v>1</v>
      </c>
      <c r="D187" s="5">
        <v>44.63</v>
      </c>
      <c r="E187" s="3" t="s">
        <v>651</v>
      </c>
      <c r="F187" s="2" t="s">
        <v>74</v>
      </c>
      <c r="G187" s="6" t="s">
        <v>181</v>
      </c>
      <c r="H187" s="2" t="s">
        <v>194</v>
      </c>
      <c r="I187" s="2" t="s">
        <v>580</v>
      </c>
      <c r="J187" s="2" t="s">
        <v>19</v>
      </c>
      <c r="K187" s="2" t="s">
        <v>247</v>
      </c>
      <c r="L187" s="7" t="str">
        <f>HYPERLINK("http://slimages.macys.com/is/image/MCY/12316645 ")</f>
        <v xml:space="preserve">http://slimages.macys.com/is/image/MCY/12316645 </v>
      </c>
    </row>
    <row r="188" spans="1:12" ht="36.75" x14ac:dyDescent="0.25">
      <c r="A188" s="4" t="s">
        <v>4623</v>
      </c>
      <c r="B188" s="2" t="s">
        <v>4624</v>
      </c>
      <c r="C188" s="3">
        <v>1</v>
      </c>
      <c r="D188" s="5">
        <v>37.130000000000003</v>
      </c>
      <c r="E188" s="3" t="s">
        <v>4625</v>
      </c>
      <c r="F188" s="2" t="s">
        <v>74</v>
      </c>
      <c r="G188" s="6" t="s">
        <v>234</v>
      </c>
      <c r="H188" s="2" t="s">
        <v>284</v>
      </c>
      <c r="I188" s="2" t="s">
        <v>285</v>
      </c>
      <c r="J188" s="2" t="s">
        <v>19</v>
      </c>
      <c r="K188" s="2" t="s">
        <v>3296</v>
      </c>
      <c r="L188" s="7" t="str">
        <f>HYPERLINK("http://slimages.macys.com/is/image/MCY/11858257 ")</f>
        <v xml:space="preserve">http://slimages.macys.com/is/image/MCY/11858257 </v>
      </c>
    </row>
    <row r="189" spans="1:12" ht="24.75" x14ac:dyDescent="0.25">
      <c r="A189" s="4" t="s">
        <v>4626</v>
      </c>
      <c r="B189" s="2" t="s">
        <v>4627</v>
      </c>
      <c r="C189" s="3">
        <v>1</v>
      </c>
      <c r="D189" s="5">
        <v>44.5</v>
      </c>
      <c r="E189" s="3" t="s">
        <v>4628</v>
      </c>
      <c r="F189" s="2" t="s">
        <v>680</v>
      </c>
      <c r="G189" s="6"/>
      <c r="H189" s="2" t="s">
        <v>213</v>
      </c>
      <c r="I189" s="2" t="s">
        <v>214</v>
      </c>
      <c r="J189" s="2" t="s">
        <v>19</v>
      </c>
      <c r="K189" s="2" t="s">
        <v>253</v>
      </c>
      <c r="L189" s="7" t="str">
        <f>HYPERLINK("http://slimages.macys.com/is/image/MCY/1913331 ")</f>
        <v xml:space="preserve">http://slimages.macys.com/is/image/MCY/1913331 </v>
      </c>
    </row>
    <row r="190" spans="1:12" ht="24.75" x14ac:dyDescent="0.25">
      <c r="A190" s="4" t="s">
        <v>4629</v>
      </c>
      <c r="B190" s="2" t="s">
        <v>2542</v>
      </c>
      <c r="C190" s="3">
        <v>1</v>
      </c>
      <c r="D190" s="5">
        <v>59.5</v>
      </c>
      <c r="E190" s="3">
        <v>100061927</v>
      </c>
      <c r="F190" s="2" t="s">
        <v>252</v>
      </c>
      <c r="G190" s="6" t="s">
        <v>27</v>
      </c>
      <c r="H190" s="2" t="s">
        <v>386</v>
      </c>
      <c r="I190" s="2" t="s">
        <v>207</v>
      </c>
      <c r="J190" s="2" t="s">
        <v>19</v>
      </c>
      <c r="K190" s="2" t="s">
        <v>1251</v>
      </c>
      <c r="L190" s="7" t="str">
        <f>HYPERLINK("http://slimages.macys.com/is/image/MCY/11963036 ")</f>
        <v xml:space="preserve">http://slimages.macys.com/is/image/MCY/11963036 </v>
      </c>
    </row>
    <row r="191" spans="1:12" ht="24.75" x14ac:dyDescent="0.25">
      <c r="A191" s="4" t="s">
        <v>3516</v>
      </c>
      <c r="B191" s="2" t="s">
        <v>660</v>
      </c>
      <c r="C191" s="3">
        <v>2</v>
      </c>
      <c r="D191" s="5">
        <v>37.130000000000003</v>
      </c>
      <c r="E191" s="3" t="s">
        <v>661</v>
      </c>
      <c r="F191" s="2" t="s">
        <v>33</v>
      </c>
      <c r="G191" s="6" t="s">
        <v>234</v>
      </c>
      <c r="H191" s="2" t="s">
        <v>194</v>
      </c>
      <c r="I191" s="2" t="s">
        <v>503</v>
      </c>
      <c r="J191" s="2" t="s">
        <v>19</v>
      </c>
      <c r="K191" s="2" t="s">
        <v>546</v>
      </c>
      <c r="L191" s="7" t="str">
        <f>HYPERLINK("http://slimages.macys.com/is/image/MCY/12316768 ")</f>
        <v xml:space="preserve">http://slimages.macys.com/is/image/MCY/12316768 </v>
      </c>
    </row>
    <row r="192" spans="1:12" ht="24.75" x14ac:dyDescent="0.25">
      <c r="A192" s="4" t="s">
        <v>4630</v>
      </c>
      <c r="B192" s="2" t="s">
        <v>4631</v>
      </c>
      <c r="C192" s="3">
        <v>1</v>
      </c>
      <c r="D192" s="5">
        <v>40.880000000000003</v>
      </c>
      <c r="E192" s="3" t="s">
        <v>4632</v>
      </c>
      <c r="F192" s="2" t="s">
        <v>125</v>
      </c>
      <c r="G192" s="6" t="s">
        <v>154</v>
      </c>
      <c r="H192" s="2" t="s">
        <v>194</v>
      </c>
      <c r="I192" s="2" t="s">
        <v>195</v>
      </c>
      <c r="J192" s="2" t="s">
        <v>19</v>
      </c>
      <c r="K192" s="2" t="s">
        <v>107</v>
      </c>
      <c r="L192" s="7" t="str">
        <f>HYPERLINK("http://slimages.macys.com/is/image/MCY/12279952 ")</f>
        <v xml:space="preserve">http://slimages.macys.com/is/image/MCY/12279952 </v>
      </c>
    </row>
    <row r="193" spans="1:12" ht="24.75" x14ac:dyDescent="0.25">
      <c r="A193" s="4" t="s">
        <v>4633</v>
      </c>
      <c r="B193" s="2" t="s">
        <v>663</v>
      </c>
      <c r="C193" s="3">
        <v>1</v>
      </c>
      <c r="D193" s="5">
        <v>29.99</v>
      </c>
      <c r="E193" s="3" t="s">
        <v>664</v>
      </c>
      <c r="F193" s="2" t="s">
        <v>15</v>
      </c>
      <c r="G193" s="6" t="s">
        <v>181</v>
      </c>
      <c r="H193" s="2" t="s">
        <v>284</v>
      </c>
      <c r="I193" s="2" t="s">
        <v>408</v>
      </c>
      <c r="J193" s="2" t="s">
        <v>19</v>
      </c>
      <c r="K193" s="2" t="s">
        <v>409</v>
      </c>
      <c r="L193" s="7" t="str">
        <f>HYPERLINK("http://slimages.macys.com/is/image/MCY/13397153 ")</f>
        <v xml:space="preserve">http://slimages.macys.com/is/image/MCY/13397153 </v>
      </c>
    </row>
    <row r="194" spans="1:12" ht="24.75" x14ac:dyDescent="0.25">
      <c r="A194" s="4" t="s">
        <v>662</v>
      </c>
      <c r="B194" s="2" t="s">
        <v>663</v>
      </c>
      <c r="C194" s="3">
        <v>1</v>
      </c>
      <c r="D194" s="5">
        <v>29.99</v>
      </c>
      <c r="E194" s="3" t="s">
        <v>664</v>
      </c>
      <c r="F194" s="2" t="s">
        <v>15</v>
      </c>
      <c r="G194" s="6" t="s">
        <v>154</v>
      </c>
      <c r="H194" s="2" t="s">
        <v>284</v>
      </c>
      <c r="I194" s="2" t="s">
        <v>408</v>
      </c>
      <c r="J194" s="2" t="s">
        <v>19</v>
      </c>
      <c r="K194" s="2" t="s">
        <v>409</v>
      </c>
      <c r="L194" s="7" t="str">
        <f>HYPERLINK("http://slimages.macys.com/is/image/MCY/13397153 ")</f>
        <v xml:space="preserve">http://slimages.macys.com/is/image/MCY/13397153 </v>
      </c>
    </row>
    <row r="195" spans="1:12" ht="24.75" x14ac:dyDescent="0.25">
      <c r="A195" s="4" t="s">
        <v>4634</v>
      </c>
      <c r="B195" s="2" t="s">
        <v>4635</v>
      </c>
      <c r="C195" s="3">
        <v>1</v>
      </c>
      <c r="D195" s="5">
        <v>68</v>
      </c>
      <c r="E195" s="3" t="s">
        <v>4636</v>
      </c>
      <c r="F195" s="2" t="s">
        <v>464</v>
      </c>
      <c r="G195" s="6" t="s">
        <v>446</v>
      </c>
      <c r="H195" s="2" t="s">
        <v>447</v>
      </c>
      <c r="I195" s="2" t="s">
        <v>792</v>
      </c>
      <c r="J195" s="2" t="s">
        <v>19</v>
      </c>
      <c r="K195" s="2" t="s">
        <v>160</v>
      </c>
      <c r="L195" s="7" t="str">
        <f>HYPERLINK("http://slimages.macys.com/is/image/MCY/11703532 ")</f>
        <v xml:space="preserve">http://slimages.macys.com/is/image/MCY/11703532 </v>
      </c>
    </row>
    <row r="196" spans="1:12" ht="24.75" x14ac:dyDescent="0.25">
      <c r="A196" s="4" t="s">
        <v>4637</v>
      </c>
      <c r="B196" s="2" t="s">
        <v>4638</v>
      </c>
      <c r="C196" s="3">
        <v>1</v>
      </c>
      <c r="D196" s="5">
        <v>37.130000000000003</v>
      </c>
      <c r="E196" s="3" t="s">
        <v>4639</v>
      </c>
      <c r="F196" s="2" t="s">
        <v>74</v>
      </c>
      <c r="G196" s="6" t="s">
        <v>234</v>
      </c>
      <c r="H196" s="2" t="s">
        <v>284</v>
      </c>
      <c r="I196" s="2" t="s">
        <v>458</v>
      </c>
      <c r="J196" s="2" t="s">
        <v>19</v>
      </c>
      <c r="K196" s="2" t="s">
        <v>4640</v>
      </c>
      <c r="L196" s="7" t="str">
        <f>HYPERLINK("http://slimages.macys.com/is/image/MCY/13081231 ")</f>
        <v xml:space="preserve">http://slimages.macys.com/is/image/MCY/13081231 </v>
      </c>
    </row>
    <row r="197" spans="1:12" ht="36.75" x14ac:dyDescent="0.25">
      <c r="A197" s="4" t="s">
        <v>4641</v>
      </c>
      <c r="B197" s="2" t="s">
        <v>685</v>
      </c>
      <c r="C197" s="3">
        <v>1</v>
      </c>
      <c r="D197" s="5">
        <v>49.99</v>
      </c>
      <c r="E197" s="3" t="s">
        <v>686</v>
      </c>
      <c r="F197" s="2" t="s">
        <v>676</v>
      </c>
      <c r="G197" s="6" t="s">
        <v>205</v>
      </c>
      <c r="H197" s="2" t="s">
        <v>127</v>
      </c>
      <c r="I197" s="2" t="s">
        <v>541</v>
      </c>
      <c r="J197" s="2" t="s">
        <v>19</v>
      </c>
      <c r="K197" s="2" t="s">
        <v>687</v>
      </c>
      <c r="L197" s="7" t="str">
        <f>HYPERLINK("http://slimages.macys.com/is/image/MCY/10315366 ")</f>
        <v xml:space="preserve">http://slimages.macys.com/is/image/MCY/10315366 </v>
      </c>
    </row>
    <row r="198" spans="1:12" ht="36.75" x14ac:dyDescent="0.25">
      <c r="A198" s="4" t="s">
        <v>4642</v>
      </c>
      <c r="B198" s="2" t="s">
        <v>685</v>
      </c>
      <c r="C198" s="3">
        <v>1</v>
      </c>
      <c r="D198" s="5">
        <v>49.99</v>
      </c>
      <c r="E198" s="3" t="s">
        <v>4643</v>
      </c>
      <c r="F198" s="2" t="s">
        <v>820</v>
      </c>
      <c r="G198" s="6" t="s">
        <v>165</v>
      </c>
      <c r="H198" s="2" t="s">
        <v>127</v>
      </c>
      <c r="I198" s="2" t="s">
        <v>541</v>
      </c>
      <c r="J198" s="2" t="s">
        <v>19</v>
      </c>
      <c r="K198" s="2" t="s">
        <v>500</v>
      </c>
      <c r="L198" s="7" t="str">
        <f>HYPERLINK("http://slimages.macys.com/is/image/MCY/11470604 ")</f>
        <v xml:space="preserve">http://slimages.macys.com/is/image/MCY/11470604 </v>
      </c>
    </row>
    <row r="199" spans="1:12" ht="24.75" x14ac:dyDescent="0.25">
      <c r="A199" s="4" t="s">
        <v>4644</v>
      </c>
      <c r="B199" s="2" t="s">
        <v>689</v>
      </c>
      <c r="C199" s="3">
        <v>1</v>
      </c>
      <c r="D199" s="5">
        <v>40.880000000000003</v>
      </c>
      <c r="E199" s="3" t="s">
        <v>690</v>
      </c>
      <c r="F199" s="2" t="s">
        <v>15</v>
      </c>
      <c r="G199" s="6" t="s">
        <v>234</v>
      </c>
      <c r="H199" s="2" t="s">
        <v>194</v>
      </c>
      <c r="I199" s="2" t="s">
        <v>195</v>
      </c>
      <c r="J199" s="2" t="s">
        <v>19</v>
      </c>
      <c r="K199" s="2" t="s">
        <v>691</v>
      </c>
      <c r="L199" s="7" t="str">
        <f>HYPERLINK("http://slimages.macys.com/is/image/MCY/12279956 ")</f>
        <v xml:space="preserve">http://slimages.macys.com/is/image/MCY/12279956 </v>
      </c>
    </row>
    <row r="200" spans="1:12" ht="48.75" x14ac:dyDescent="0.25">
      <c r="A200" s="4" t="s">
        <v>4645</v>
      </c>
      <c r="B200" s="2" t="s">
        <v>432</v>
      </c>
      <c r="C200" s="3">
        <v>2</v>
      </c>
      <c r="D200" s="5">
        <v>37.130000000000003</v>
      </c>
      <c r="E200" s="3" t="s">
        <v>4646</v>
      </c>
      <c r="F200" s="2" t="s">
        <v>26</v>
      </c>
      <c r="G200" s="6" t="s">
        <v>200</v>
      </c>
      <c r="H200" s="2" t="s">
        <v>284</v>
      </c>
      <c r="I200" s="2" t="s">
        <v>408</v>
      </c>
      <c r="J200" s="2" t="s">
        <v>19</v>
      </c>
      <c r="K200" s="2" t="s">
        <v>775</v>
      </c>
      <c r="L200" s="7" t="str">
        <f>HYPERLINK("http://slimages.macys.com/is/image/MCY/12672509 ")</f>
        <v xml:space="preserve">http://slimages.macys.com/is/image/MCY/12672509 </v>
      </c>
    </row>
    <row r="201" spans="1:12" ht="48.75" x14ac:dyDescent="0.25">
      <c r="A201" s="4" t="s">
        <v>4647</v>
      </c>
      <c r="B201" s="2" t="s">
        <v>432</v>
      </c>
      <c r="C201" s="3">
        <v>1</v>
      </c>
      <c r="D201" s="5">
        <v>37.130000000000003</v>
      </c>
      <c r="E201" s="3" t="s">
        <v>4646</v>
      </c>
      <c r="F201" s="2" t="s">
        <v>26</v>
      </c>
      <c r="G201" s="6" t="s">
        <v>154</v>
      </c>
      <c r="H201" s="2" t="s">
        <v>284</v>
      </c>
      <c r="I201" s="2" t="s">
        <v>408</v>
      </c>
      <c r="J201" s="2" t="s">
        <v>19</v>
      </c>
      <c r="K201" s="2" t="s">
        <v>775</v>
      </c>
      <c r="L201" s="7" t="str">
        <f>HYPERLINK("http://slimages.macys.com/is/image/MCY/12672509 ")</f>
        <v xml:space="preserve">http://slimages.macys.com/is/image/MCY/12672509 </v>
      </c>
    </row>
    <row r="202" spans="1:12" ht="24.75" x14ac:dyDescent="0.25">
      <c r="A202" s="4" t="s">
        <v>4648</v>
      </c>
      <c r="B202" s="2" t="s">
        <v>4649</v>
      </c>
      <c r="C202" s="3">
        <v>1</v>
      </c>
      <c r="D202" s="5">
        <v>69.5</v>
      </c>
      <c r="E202" s="3" t="s">
        <v>4650</v>
      </c>
      <c r="F202" s="2" t="s">
        <v>887</v>
      </c>
      <c r="G202" s="6"/>
      <c r="H202" s="2" t="s">
        <v>206</v>
      </c>
      <c r="I202" s="2" t="s">
        <v>207</v>
      </c>
      <c r="J202" s="2" t="s">
        <v>19</v>
      </c>
      <c r="K202" s="2" t="s">
        <v>648</v>
      </c>
      <c r="L202" s="7" t="str">
        <f>HYPERLINK("http://slimages.macys.com/is/image/MCY/11963692 ")</f>
        <v xml:space="preserve">http://slimages.macys.com/is/image/MCY/11963692 </v>
      </c>
    </row>
    <row r="203" spans="1:12" ht="24.75" x14ac:dyDescent="0.25">
      <c r="A203" s="4" t="s">
        <v>2389</v>
      </c>
      <c r="B203" s="2" t="s">
        <v>707</v>
      </c>
      <c r="C203" s="3">
        <v>1</v>
      </c>
      <c r="D203" s="5">
        <v>40.880000000000003</v>
      </c>
      <c r="E203" s="3">
        <v>100047657</v>
      </c>
      <c r="F203" s="2" t="s">
        <v>376</v>
      </c>
      <c r="G203" s="6" t="s">
        <v>16</v>
      </c>
      <c r="H203" s="2" t="s">
        <v>194</v>
      </c>
      <c r="I203" s="2" t="s">
        <v>195</v>
      </c>
      <c r="J203" s="2" t="s">
        <v>19</v>
      </c>
      <c r="K203" s="2" t="s">
        <v>546</v>
      </c>
      <c r="L203" s="7" t="str">
        <f>HYPERLINK("http://slimages.macys.com/is/image/MCY/12143636 ")</f>
        <v xml:space="preserve">http://slimages.macys.com/is/image/MCY/12143636 </v>
      </c>
    </row>
    <row r="204" spans="1:12" ht="24.75" x14ac:dyDescent="0.25">
      <c r="A204" s="4" t="s">
        <v>2384</v>
      </c>
      <c r="B204" s="2" t="s">
        <v>2385</v>
      </c>
      <c r="C204" s="3">
        <v>1</v>
      </c>
      <c r="D204" s="5">
        <v>39.5</v>
      </c>
      <c r="E204" s="3" t="s">
        <v>2386</v>
      </c>
      <c r="F204" s="2" t="s">
        <v>417</v>
      </c>
      <c r="G204" s="6" t="s">
        <v>181</v>
      </c>
      <c r="H204" s="2" t="s">
        <v>194</v>
      </c>
      <c r="I204" s="2" t="s">
        <v>195</v>
      </c>
      <c r="J204" s="2" t="s">
        <v>19</v>
      </c>
      <c r="K204" s="2" t="s">
        <v>201</v>
      </c>
      <c r="L204" s="7" t="str">
        <f>HYPERLINK("http://slimages.macys.com/is/image/MCY/12034726 ")</f>
        <v xml:space="preserve">http://slimages.macys.com/is/image/MCY/12034726 </v>
      </c>
    </row>
    <row r="205" spans="1:12" ht="24.75" x14ac:dyDescent="0.25">
      <c r="A205" s="4" t="s">
        <v>4651</v>
      </c>
      <c r="B205" s="2" t="s">
        <v>2385</v>
      </c>
      <c r="C205" s="3">
        <v>1</v>
      </c>
      <c r="D205" s="5">
        <v>39.5</v>
      </c>
      <c r="E205" s="3" t="s">
        <v>2386</v>
      </c>
      <c r="F205" s="2" t="s">
        <v>26</v>
      </c>
      <c r="G205" s="6" t="s">
        <v>154</v>
      </c>
      <c r="H205" s="2" t="s">
        <v>194</v>
      </c>
      <c r="I205" s="2" t="s">
        <v>195</v>
      </c>
      <c r="J205" s="2" t="s">
        <v>19</v>
      </c>
      <c r="K205" s="2" t="s">
        <v>201</v>
      </c>
      <c r="L205" s="7" t="str">
        <f>HYPERLINK("http://slimages.macys.com/is/image/MCY/12034726 ")</f>
        <v xml:space="preserve">http://slimages.macys.com/is/image/MCY/12034726 </v>
      </c>
    </row>
    <row r="206" spans="1:12" ht="36.75" x14ac:dyDescent="0.25">
      <c r="A206" s="4" t="s">
        <v>4652</v>
      </c>
      <c r="B206" s="2" t="s">
        <v>4653</v>
      </c>
      <c r="C206" s="3">
        <v>1</v>
      </c>
      <c r="D206" s="5">
        <v>37.130000000000003</v>
      </c>
      <c r="E206" s="3" t="s">
        <v>4654</v>
      </c>
      <c r="F206" s="2" t="s">
        <v>26</v>
      </c>
      <c r="G206" s="6" t="s">
        <v>156</v>
      </c>
      <c r="H206" s="2" t="s">
        <v>284</v>
      </c>
      <c r="I206" s="2" t="s">
        <v>408</v>
      </c>
      <c r="J206" s="2" t="s">
        <v>19</v>
      </c>
      <c r="K206" s="2" t="s">
        <v>500</v>
      </c>
      <c r="L206" s="7" t="str">
        <f>HYPERLINK("http://slimages.macys.com/is/image/MCY/12672239 ")</f>
        <v xml:space="preserve">http://slimages.macys.com/is/image/MCY/12672239 </v>
      </c>
    </row>
    <row r="207" spans="1:12" ht="36.75" x14ac:dyDescent="0.25">
      <c r="A207" s="4" t="s">
        <v>4655</v>
      </c>
      <c r="B207" s="2" t="s">
        <v>4653</v>
      </c>
      <c r="C207" s="3">
        <v>1</v>
      </c>
      <c r="D207" s="5">
        <v>37.130000000000003</v>
      </c>
      <c r="E207" s="3" t="s">
        <v>4654</v>
      </c>
      <c r="F207" s="2" t="s">
        <v>26</v>
      </c>
      <c r="G207" s="6" t="s">
        <v>154</v>
      </c>
      <c r="H207" s="2" t="s">
        <v>284</v>
      </c>
      <c r="I207" s="2" t="s">
        <v>408</v>
      </c>
      <c r="J207" s="2" t="s">
        <v>19</v>
      </c>
      <c r="K207" s="2" t="s">
        <v>500</v>
      </c>
      <c r="L207" s="7" t="str">
        <f>HYPERLINK("http://slimages.macys.com/is/image/MCY/12672239 ")</f>
        <v xml:space="preserve">http://slimages.macys.com/is/image/MCY/12672239 </v>
      </c>
    </row>
    <row r="208" spans="1:12" ht="36.75" x14ac:dyDescent="0.25">
      <c r="A208" s="4" t="s">
        <v>4656</v>
      </c>
      <c r="B208" s="2" t="s">
        <v>4653</v>
      </c>
      <c r="C208" s="3">
        <v>1</v>
      </c>
      <c r="D208" s="5">
        <v>37.130000000000003</v>
      </c>
      <c r="E208" s="3" t="s">
        <v>4654</v>
      </c>
      <c r="F208" s="2" t="s">
        <v>26</v>
      </c>
      <c r="G208" s="6" t="s">
        <v>245</v>
      </c>
      <c r="H208" s="2" t="s">
        <v>284</v>
      </c>
      <c r="I208" s="2" t="s">
        <v>408</v>
      </c>
      <c r="J208" s="2" t="s">
        <v>19</v>
      </c>
      <c r="K208" s="2" t="s">
        <v>500</v>
      </c>
      <c r="L208" s="7" t="str">
        <f>HYPERLINK("http://slimages.macys.com/is/image/MCY/12672239 ")</f>
        <v xml:space="preserve">http://slimages.macys.com/is/image/MCY/12672239 </v>
      </c>
    </row>
    <row r="209" spans="1:12" ht="36.75" x14ac:dyDescent="0.25">
      <c r="A209" s="4" t="s">
        <v>4657</v>
      </c>
      <c r="B209" s="2" t="s">
        <v>4653</v>
      </c>
      <c r="C209" s="3">
        <v>1</v>
      </c>
      <c r="D209" s="5">
        <v>37.130000000000003</v>
      </c>
      <c r="E209" s="3" t="s">
        <v>4654</v>
      </c>
      <c r="F209" s="2" t="s">
        <v>26</v>
      </c>
      <c r="G209" s="6" t="s">
        <v>234</v>
      </c>
      <c r="H209" s="2" t="s">
        <v>284</v>
      </c>
      <c r="I209" s="2" t="s">
        <v>408</v>
      </c>
      <c r="J209" s="2" t="s">
        <v>19</v>
      </c>
      <c r="K209" s="2" t="s">
        <v>500</v>
      </c>
      <c r="L209" s="7" t="str">
        <f>HYPERLINK("http://slimages.macys.com/is/image/MCY/12672239 ")</f>
        <v xml:space="preserve">http://slimages.macys.com/is/image/MCY/12672239 </v>
      </c>
    </row>
    <row r="210" spans="1:12" ht="24.75" x14ac:dyDescent="0.25">
      <c r="A210" s="4" t="s">
        <v>2398</v>
      </c>
      <c r="B210" s="2" t="s">
        <v>453</v>
      </c>
      <c r="C210" s="3">
        <v>3</v>
      </c>
      <c r="D210" s="5">
        <v>37.130000000000003</v>
      </c>
      <c r="E210" s="3" t="s">
        <v>721</v>
      </c>
      <c r="F210" s="2" t="s">
        <v>417</v>
      </c>
      <c r="G210" s="6" t="s">
        <v>181</v>
      </c>
      <c r="H210" s="2" t="s">
        <v>284</v>
      </c>
      <c r="I210" s="2" t="s">
        <v>285</v>
      </c>
      <c r="J210" s="2" t="s">
        <v>19</v>
      </c>
      <c r="K210" s="2" t="s">
        <v>323</v>
      </c>
      <c r="L210" s="7" t="str">
        <f>HYPERLINK("http://slimages.macys.com/is/image/MCY/9678668 ")</f>
        <v xml:space="preserve">http://slimages.macys.com/is/image/MCY/9678668 </v>
      </c>
    </row>
    <row r="211" spans="1:12" ht="24.75" x14ac:dyDescent="0.25">
      <c r="A211" s="4" t="s">
        <v>722</v>
      </c>
      <c r="B211" s="2" t="s">
        <v>453</v>
      </c>
      <c r="C211" s="3">
        <v>5</v>
      </c>
      <c r="D211" s="5">
        <v>37.130000000000003</v>
      </c>
      <c r="E211" s="3" t="s">
        <v>721</v>
      </c>
      <c r="F211" s="2" t="s">
        <v>417</v>
      </c>
      <c r="G211" s="6" t="s">
        <v>154</v>
      </c>
      <c r="H211" s="2" t="s">
        <v>284</v>
      </c>
      <c r="I211" s="2" t="s">
        <v>285</v>
      </c>
      <c r="J211" s="2" t="s">
        <v>19</v>
      </c>
      <c r="K211" s="2" t="s">
        <v>323</v>
      </c>
      <c r="L211" s="7" t="str">
        <f>HYPERLINK("http://slimages.macys.com/is/image/MCY/9678668 ")</f>
        <v xml:space="preserve">http://slimages.macys.com/is/image/MCY/9678668 </v>
      </c>
    </row>
    <row r="212" spans="1:12" ht="24.75" x14ac:dyDescent="0.25">
      <c r="A212" s="4" t="s">
        <v>720</v>
      </c>
      <c r="B212" s="2" t="s">
        <v>453</v>
      </c>
      <c r="C212" s="3">
        <v>5</v>
      </c>
      <c r="D212" s="5">
        <v>37.130000000000003</v>
      </c>
      <c r="E212" s="3" t="s">
        <v>721</v>
      </c>
      <c r="F212" s="2" t="s">
        <v>417</v>
      </c>
      <c r="G212" s="6" t="s">
        <v>234</v>
      </c>
      <c r="H212" s="2" t="s">
        <v>284</v>
      </c>
      <c r="I212" s="2" t="s">
        <v>285</v>
      </c>
      <c r="J212" s="2" t="s">
        <v>19</v>
      </c>
      <c r="K212" s="2" t="s">
        <v>323</v>
      </c>
      <c r="L212" s="7" t="str">
        <f>HYPERLINK("http://slimages.macys.com/is/image/MCY/9678668 ")</f>
        <v xml:space="preserve">http://slimages.macys.com/is/image/MCY/9678668 </v>
      </c>
    </row>
    <row r="213" spans="1:12" ht="24.75" x14ac:dyDescent="0.25">
      <c r="A213" s="4" t="s">
        <v>2399</v>
      </c>
      <c r="B213" s="2" t="s">
        <v>453</v>
      </c>
      <c r="C213" s="3">
        <v>2</v>
      </c>
      <c r="D213" s="5">
        <v>37.130000000000003</v>
      </c>
      <c r="E213" s="3" t="s">
        <v>721</v>
      </c>
      <c r="F213" s="2" t="s">
        <v>417</v>
      </c>
      <c r="G213" s="6" t="s">
        <v>156</v>
      </c>
      <c r="H213" s="2" t="s">
        <v>284</v>
      </c>
      <c r="I213" s="2" t="s">
        <v>285</v>
      </c>
      <c r="J213" s="2" t="s">
        <v>19</v>
      </c>
      <c r="K213" s="2" t="s">
        <v>323</v>
      </c>
      <c r="L213" s="7" t="str">
        <f>HYPERLINK("http://slimages.macys.com/is/image/MCY/9678668 ")</f>
        <v xml:space="preserve">http://slimages.macys.com/is/image/MCY/9678668 </v>
      </c>
    </row>
    <row r="214" spans="1:12" ht="24.75" x14ac:dyDescent="0.25">
      <c r="A214" s="4" t="s">
        <v>4658</v>
      </c>
      <c r="B214" s="2" t="s">
        <v>693</v>
      </c>
      <c r="C214" s="3">
        <v>1</v>
      </c>
      <c r="D214" s="5">
        <v>29.99</v>
      </c>
      <c r="E214" s="3" t="s">
        <v>2401</v>
      </c>
      <c r="F214" s="2" t="s">
        <v>53</v>
      </c>
      <c r="G214" s="6" t="s">
        <v>234</v>
      </c>
      <c r="H214" s="2" t="s">
        <v>284</v>
      </c>
      <c r="I214" s="2" t="s">
        <v>408</v>
      </c>
      <c r="J214" s="2" t="s">
        <v>19</v>
      </c>
      <c r="K214" s="2" t="s">
        <v>409</v>
      </c>
      <c r="L214" s="7" t="str">
        <f>HYPERLINK("http://slimages.macys.com/is/image/MCY/13397153 ")</f>
        <v xml:space="preserve">http://slimages.macys.com/is/image/MCY/13397153 </v>
      </c>
    </row>
    <row r="215" spans="1:12" ht="24.75" x14ac:dyDescent="0.25">
      <c r="A215" s="4" t="s">
        <v>4659</v>
      </c>
      <c r="B215" s="2" t="s">
        <v>693</v>
      </c>
      <c r="C215" s="3">
        <v>1</v>
      </c>
      <c r="D215" s="5">
        <v>29.99</v>
      </c>
      <c r="E215" s="3" t="s">
        <v>2401</v>
      </c>
      <c r="F215" s="2" t="s">
        <v>53</v>
      </c>
      <c r="G215" s="6" t="s">
        <v>156</v>
      </c>
      <c r="H215" s="2" t="s">
        <v>284</v>
      </c>
      <c r="I215" s="2" t="s">
        <v>408</v>
      </c>
      <c r="J215" s="2" t="s">
        <v>19</v>
      </c>
      <c r="K215" s="2" t="s">
        <v>409</v>
      </c>
      <c r="L215" s="7" t="str">
        <f>HYPERLINK("http://slimages.macys.com/is/image/MCY/13397153 ")</f>
        <v xml:space="preserve">http://slimages.macys.com/is/image/MCY/13397153 </v>
      </c>
    </row>
    <row r="216" spans="1:12" ht="24.75" x14ac:dyDescent="0.25">
      <c r="A216" s="4" t="s">
        <v>4660</v>
      </c>
      <c r="B216" s="2" t="s">
        <v>693</v>
      </c>
      <c r="C216" s="3">
        <v>1</v>
      </c>
      <c r="D216" s="5">
        <v>29.99</v>
      </c>
      <c r="E216" s="3" t="s">
        <v>2401</v>
      </c>
      <c r="F216" s="2" t="s">
        <v>53</v>
      </c>
      <c r="G216" s="6" t="s">
        <v>200</v>
      </c>
      <c r="H216" s="2" t="s">
        <v>284</v>
      </c>
      <c r="I216" s="2" t="s">
        <v>408</v>
      </c>
      <c r="J216" s="2" t="s">
        <v>19</v>
      </c>
      <c r="K216" s="2" t="s">
        <v>409</v>
      </c>
      <c r="L216" s="7" t="str">
        <f>HYPERLINK("http://slimages.macys.com/is/image/MCY/13397153 ")</f>
        <v xml:space="preserve">http://slimages.macys.com/is/image/MCY/13397153 </v>
      </c>
    </row>
    <row r="217" spans="1:12" ht="24.75" x14ac:dyDescent="0.25">
      <c r="A217" s="4" t="s">
        <v>4661</v>
      </c>
      <c r="B217" s="2" t="s">
        <v>4662</v>
      </c>
      <c r="C217" s="3">
        <v>1</v>
      </c>
      <c r="D217" s="5">
        <v>42.38</v>
      </c>
      <c r="E217" s="3" t="s">
        <v>4663</v>
      </c>
      <c r="F217" s="2" t="s">
        <v>15</v>
      </c>
      <c r="G217" s="6"/>
      <c r="H217" s="2" t="s">
        <v>349</v>
      </c>
      <c r="I217" s="2" t="s">
        <v>2548</v>
      </c>
      <c r="J217" s="2" t="s">
        <v>19</v>
      </c>
      <c r="K217" s="2" t="s">
        <v>34</v>
      </c>
      <c r="L217" s="7" t="str">
        <f>HYPERLINK("http://slimages.macys.com/is/image/MCY/9919297 ")</f>
        <v xml:space="preserve">http://slimages.macys.com/is/image/MCY/9919297 </v>
      </c>
    </row>
    <row r="218" spans="1:12" ht="24.75" x14ac:dyDescent="0.25">
      <c r="A218" s="4" t="s">
        <v>4664</v>
      </c>
      <c r="B218" s="2" t="s">
        <v>709</v>
      </c>
      <c r="C218" s="3">
        <v>1</v>
      </c>
      <c r="D218" s="5">
        <v>44.63</v>
      </c>
      <c r="E218" s="3" t="s">
        <v>4665</v>
      </c>
      <c r="F218" s="2" t="s">
        <v>15</v>
      </c>
      <c r="G218" s="6"/>
      <c r="H218" s="2" t="s">
        <v>632</v>
      </c>
      <c r="I218" s="2" t="s">
        <v>285</v>
      </c>
      <c r="J218" s="2" t="s">
        <v>19</v>
      </c>
      <c r="K218" s="2" t="s">
        <v>160</v>
      </c>
      <c r="L218" s="7" t="str">
        <f>HYPERLINK("http://slimages.macys.com/is/image/MCY/12671663 ")</f>
        <v xml:space="preserve">http://slimages.macys.com/is/image/MCY/12671663 </v>
      </c>
    </row>
    <row r="219" spans="1:12" ht="24.75" x14ac:dyDescent="0.25">
      <c r="A219" s="4" t="s">
        <v>4666</v>
      </c>
      <c r="B219" s="2" t="s">
        <v>4667</v>
      </c>
      <c r="C219" s="3">
        <v>1</v>
      </c>
      <c r="D219" s="5">
        <v>40.880000000000003</v>
      </c>
      <c r="E219" s="3" t="s">
        <v>4668</v>
      </c>
      <c r="F219" s="2" t="s">
        <v>417</v>
      </c>
      <c r="G219" s="6" t="s">
        <v>245</v>
      </c>
      <c r="H219" s="2" t="s">
        <v>194</v>
      </c>
      <c r="I219" s="2" t="s">
        <v>195</v>
      </c>
      <c r="J219" s="2" t="s">
        <v>19</v>
      </c>
      <c r="K219" s="2" t="s">
        <v>495</v>
      </c>
      <c r="L219" s="7" t="str">
        <f>HYPERLINK("http://slimages.macys.com/is/image/MCY/12143862 ")</f>
        <v xml:space="preserve">http://slimages.macys.com/is/image/MCY/12143862 </v>
      </c>
    </row>
    <row r="220" spans="1:12" ht="24.75" x14ac:dyDescent="0.25">
      <c r="A220" s="4" t="s">
        <v>4669</v>
      </c>
      <c r="B220" s="2" t="s">
        <v>4667</v>
      </c>
      <c r="C220" s="3">
        <v>1</v>
      </c>
      <c r="D220" s="5">
        <v>40.880000000000003</v>
      </c>
      <c r="E220" s="3" t="s">
        <v>4668</v>
      </c>
      <c r="F220" s="2" t="s">
        <v>417</v>
      </c>
      <c r="G220" s="6" t="s">
        <v>200</v>
      </c>
      <c r="H220" s="2" t="s">
        <v>194</v>
      </c>
      <c r="I220" s="2" t="s">
        <v>195</v>
      </c>
      <c r="J220" s="2" t="s">
        <v>19</v>
      </c>
      <c r="K220" s="2" t="s">
        <v>495</v>
      </c>
      <c r="L220" s="7" t="str">
        <f>HYPERLINK("http://slimages.macys.com/is/image/MCY/12143862 ")</f>
        <v xml:space="preserve">http://slimages.macys.com/is/image/MCY/12143862 </v>
      </c>
    </row>
    <row r="221" spans="1:12" ht="24.75" x14ac:dyDescent="0.25">
      <c r="A221" s="4" t="s">
        <v>4670</v>
      </c>
      <c r="B221" s="2" t="s">
        <v>4671</v>
      </c>
      <c r="C221" s="3">
        <v>1</v>
      </c>
      <c r="D221" s="5">
        <v>39</v>
      </c>
      <c r="E221" s="3" t="s">
        <v>4672</v>
      </c>
      <c r="F221" s="2" t="s">
        <v>74</v>
      </c>
      <c r="G221" s="6"/>
      <c r="H221" s="2" t="s">
        <v>716</v>
      </c>
      <c r="I221" s="2" t="s">
        <v>717</v>
      </c>
      <c r="J221" s="2" t="s">
        <v>19</v>
      </c>
      <c r="K221" s="2" t="s">
        <v>353</v>
      </c>
      <c r="L221" s="7" t="str">
        <f>HYPERLINK("http://slimages.macys.com/is/image/MCY/11524727 ")</f>
        <v xml:space="preserve">http://slimages.macys.com/is/image/MCY/11524727 </v>
      </c>
    </row>
    <row r="222" spans="1:12" ht="24.75" x14ac:dyDescent="0.25">
      <c r="A222" s="4" t="s">
        <v>4673</v>
      </c>
      <c r="B222" s="2" t="s">
        <v>4674</v>
      </c>
      <c r="C222" s="3">
        <v>1</v>
      </c>
      <c r="D222" s="5">
        <v>34.5</v>
      </c>
      <c r="E222" s="3" t="s">
        <v>4675</v>
      </c>
      <c r="F222" s="2" t="s">
        <v>417</v>
      </c>
      <c r="G222" s="6" t="s">
        <v>3671</v>
      </c>
      <c r="H222" s="2" t="s">
        <v>228</v>
      </c>
      <c r="I222" s="2" t="s">
        <v>863</v>
      </c>
      <c r="J222" s="2" t="s">
        <v>19</v>
      </c>
      <c r="K222" s="2" t="s">
        <v>253</v>
      </c>
      <c r="L222" s="7" t="str">
        <f>HYPERLINK("http://slimages.macys.com/is/image/MCY/3650197 ")</f>
        <v xml:space="preserve">http://slimages.macys.com/is/image/MCY/3650197 </v>
      </c>
    </row>
    <row r="223" spans="1:12" ht="36.75" x14ac:dyDescent="0.25">
      <c r="A223" s="4" t="s">
        <v>4676</v>
      </c>
      <c r="B223" s="2" t="s">
        <v>764</v>
      </c>
      <c r="C223" s="3">
        <v>2</v>
      </c>
      <c r="D223" s="5">
        <v>37.130000000000003</v>
      </c>
      <c r="E223" s="3" t="s">
        <v>765</v>
      </c>
      <c r="F223" s="2" t="s">
        <v>566</v>
      </c>
      <c r="G223" s="6" t="s">
        <v>234</v>
      </c>
      <c r="H223" s="2" t="s">
        <v>284</v>
      </c>
      <c r="I223" s="2" t="s">
        <v>458</v>
      </c>
      <c r="J223" s="2" t="s">
        <v>19</v>
      </c>
      <c r="K223" s="2" t="s">
        <v>514</v>
      </c>
      <c r="L223" s="7" t="str">
        <f>HYPERLINK("http://slimages.macys.com/is/image/MCY/13804604 ")</f>
        <v xml:space="preserve">http://slimages.macys.com/is/image/MCY/13804604 </v>
      </c>
    </row>
    <row r="224" spans="1:12" ht="36.75" x14ac:dyDescent="0.25">
      <c r="A224" s="4" t="s">
        <v>4677</v>
      </c>
      <c r="B224" s="2" t="s">
        <v>4678</v>
      </c>
      <c r="C224" s="3">
        <v>1</v>
      </c>
      <c r="D224" s="5">
        <v>40.880000000000003</v>
      </c>
      <c r="E224" s="3" t="s">
        <v>4679</v>
      </c>
      <c r="F224" s="2" t="s">
        <v>3267</v>
      </c>
      <c r="G224" s="6" t="s">
        <v>181</v>
      </c>
      <c r="H224" s="2" t="s">
        <v>284</v>
      </c>
      <c r="I224" s="2" t="s">
        <v>285</v>
      </c>
      <c r="J224" s="2" t="s">
        <v>19</v>
      </c>
      <c r="K224" s="2" t="s">
        <v>4680</v>
      </c>
      <c r="L224" s="7" t="str">
        <f>HYPERLINK("http://slimages.macys.com/is/image/MCY/11856920 ")</f>
        <v xml:space="preserve">http://slimages.macys.com/is/image/MCY/11856920 </v>
      </c>
    </row>
    <row r="225" spans="1:12" ht="36.75" x14ac:dyDescent="0.25">
      <c r="A225" s="4" t="s">
        <v>4681</v>
      </c>
      <c r="B225" s="2" t="s">
        <v>895</v>
      </c>
      <c r="C225" s="3">
        <v>1</v>
      </c>
      <c r="D225" s="5">
        <v>44.99</v>
      </c>
      <c r="E225" s="3" t="s">
        <v>4682</v>
      </c>
      <c r="F225" s="2" t="s">
        <v>164</v>
      </c>
      <c r="G225" s="6" t="s">
        <v>934</v>
      </c>
      <c r="H225" s="2" t="s">
        <v>127</v>
      </c>
      <c r="I225" s="2" t="s">
        <v>541</v>
      </c>
      <c r="J225" s="2" t="s">
        <v>19</v>
      </c>
      <c r="K225" s="2" t="s">
        <v>500</v>
      </c>
      <c r="L225" s="7" t="str">
        <f>HYPERLINK("http://slimages.macys.com/is/image/MCY/16583426 ")</f>
        <v xml:space="preserve">http://slimages.macys.com/is/image/MCY/16583426 </v>
      </c>
    </row>
    <row r="226" spans="1:12" ht="48.75" x14ac:dyDescent="0.25">
      <c r="A226" s="4" t="s">
        <v>4683</v>
      </c>
      <c r="B226" s="2" t="s">
        <v>750</v>
      </c>
      <c r="C226" s="3">
        <v>1</v>
      </c>
      <c r="D226" s="5">
        <v>44.63</v>
      </c>
      <c r="E226" s="3" t="s">
        <v>770</v>
      </c>
      <c r="F226" s="2" t="s">
        <v>752</v>
      </c>
      <c r="G226" s="6"/>
      <c r="H226" s="2" t="s">
        <v>312</v>
      </c>
      <c r="I226" s="2" t="s">
        <v>195</v>
      </c>
      <c r="J226" s="2" t="s">
        <v>19</v>
      </c>
      <c r="K226" s="2" t="s">
        <v>771</v>
      </c>
      <c r="L226" s="7" t="str">
        <f>HYPERLINK("http://slimages.macys.com/is/image/MCY/12734332 ")</f>
        <v xml:space="preserve">http://slimages.macys.com/is/image/MCY/12734332 </v>
      </c>
    </row>
    <row r="227" spans="1:12" ht="48.75" x14ac:dyDescent="0.25">
      <c r="A227" s="4" t="s">
        <v>3561</v>
      </c>
      <c r="B227" s="2" t="s">
        <v>750</v>
      </c>
      <c r="C227" s="3">
        <v>5</v>
      </c>
      <c r="D227" s="5">
        <v>44.63</v>
      </c>
      <c r="E227" s="3" t="s">
        <v>770</v>
      </c>
      <c r="F227" s="2" t="s">
        <v>752</v>
      </c>
      <c r="G227" s="6"/>
      <c r="H227" s="2" t="s">
        <v>312</v>
      </c>
      <c r="I227" s="2" t="s">
        <v>195</v>
      </c>
      <c r="J227" s="2" t="s">
        <v>19</v>
      </c>
      <c r="K227" s="2" t="s">
        <v>771</v>
      </c>
      <c r="L227" s="7" t="str">
        <f>HYPERLINK("http://slimages.macys.com/is/image/MCY/12734332 ")</f>
        <v xml:space="preserve">http://slimages.macys.com/is/image/MCY/12734332 </v>
      </c>
    </row>
    <row r="228" spans="1:12" ht="24.75" x14ac:dyDescent="0.25">
      <c r="A228" s="4" t="s">
        <v>3565</v>
      </c>
      <c r="B228" s="2" t="s">
        <v>768</v>
      </c>
      <c r="C228" s="3">
        <v>1</v>
      </c>
      <c r="D228" s="5">
        <v>34.880000000000003</v>
      </c>
      <c r="E228" s="3" t="s">
        <v>2414</v>
      </c>
      <c r="F228" s="2" t="s">
        <v>64</v>
      </c>
      <c r="G228" s="6" t="s">
        <v>934</v>
      </c>
      <c r="H228" s="2" t="s">
        <v>312</v>
      </c>
      <c r="I228" s="2" t="s">
        <v>195</v>
      </c>
      <c r="J228" s="2" t="s">
        <v>19</v>
      </c>
      <c r="K228" s="2" t="s">
        <v>546</v>
      </c>
      <c r="L228" s="7" t="str">
        <f>HYPERLINK("http://slimages.macys.com/is/image/MCY/12850455 ")</f>
        <v xml:space="preserve">http://slimages.macys.com/is/image/MCY/12850455 </v>
      </c>
    </row>
    <row r="229" spans="1:12" ht="36.75" x14ac:dyDescent="0.25">
      <c r="A229" s="4" t="s">
        <v>4684</v>
      </c>
      <c r="B229" s="2" t="s">
        <v>4685</v>
      </c>
      <c r="C229" s="3">
        <v>4</v>
      </c>
      <c r="D229" s="5">
        <v>36.99</v>
      </c>
      <c r="E229" s="3" t="s">
        <v>4686</v>
      </c>
      <c r="F229" s="2" t="s">
        <v>74</v>
      </c>
      <c r="G229" s="6" t="s">
        <v>234</v>
      </c>
      <c r="H229" s="2" t="s">
        <v>284</v>
      </c>
      <c r="I229" s="2" t="s">
        <v>285</v>
      </c>
      <c r="J229" s="2" t="s">
        <v>19</v>
      </c>
      <c r="K229" s="2" t="s">
        <v>4687</v>
      </c>
      <c r="L229" s="7" t="str">
        <f>HYPERLINK("http://slimages.macys.com/is/image/MCY/13291017 ")</f>
        <v xml:space="preserve">http://slimages.macys.com/is/image/MCY/13291017 </v>
      </c>
    </row>
    <row r="230" spans="1:12" ht="24.75" x14ac:dyDescent="0.25">
      <c r="A230" s="4" t="s">
        <v>2415</v>
      </c>
      <c r="B230" s="2" t="s">
        <v>777</v>
      </c>
      <c r="C230" s="3">
        <v>1</v>
      </c>
      <c r="D230" s="5">
        <v>34.880000000000003</v>
      </c>
      <c r="E230" s="3" t="s">
        <v>778</v>
      </c>
      <c r="F230" s="2" t="s">
        <v>74</v>
      </c>
      <c r="G230" s="6"/>
      <c r="H230" s="2" t="s">
        <v>312</v>
      </c>
      <c r="I230" s="2" t="s">
        <v>503</v>
      </c>
      <c r="J230" s="2" t="s">
        <v>19</v>
      </c>
      <c r="K230" s="2" t="s">
        <v>353</v>
      </c>
      <c r="L230" s="7" t="str">
        <f>HYPERLINK("http://slimages.macys.com/is/image/MCY/11146051 ")</f>
        <v xml:space="preserve">http://slimages.macys.com/is/image/MCY/11146051 </v>
      </c>
    </row>
    <row r="231" spans="1:12" ht="24.75" x14ac:dyDescent="0.25">
      <c r="A231" s="4" t="s">
        <v>4688</v>
      </c>
      <c r="B231" s="2" t="s">
        <v>777</v>
      </c>
      <c r="C231" s="3">
        <v>1</v>
      </c>
      <c r="D231" s="5">
        <v>34.880000000000003</v>
      </c>
      <c r="E231" s="3" t="s">
        <v>778</v>
      </c>
      <c r="F231" s="2" t="s">
        <v>74</v>
      </c>
      <c r="G231" s="6"/>
      <c r="H231" s="2" t="s">
        <v>312</v>
      </c>
      <c r="I231" s="2" t="s">
        <v>503</v>
      </c>
      <c r="J231" s="2" t="s">
        <v>19</v>
      </c>
      <c r="K231" s="2" t="s">
        <v>353</v>
      </c>
      <c r="L231" s="7" t="str">
        <f>HYPERLINK("http://slimages.macys.com/is/image/MCY/11146051 ")</f>
        <v xml:space="preserve">http://slimages.macys.com/is/image/MCY/11146051 </v>
      </c>
    </row>
    <row r="232" spans="1:12" ht="24.75" x14ac:dyDescent="0.25">
      <c r="A232" s="4" t="s">
        <v>4689</v>
      </c>
      <c r="B232" s="2" t="s">
        <v>777</v>
      </c>
      <c r="C232" s="3">
        <v>1</v>
      </c>
      <c r="D232" s="5">
        <v>34.880000000000003</v>
      </c>
      <c r="E232" s="3" t="s">
        <v>778</v>
      </c>
      <c r="F232" s="2" t="s">
        <v>506</v>
      </c>
      <c r="G232" s="6"/>
      <c r="H232" s="2" t="s">
        <v>312</v>
      </c>
      <c r="I232" s="2" t="s">
        <v>503</v>
      </c>
      <c r="J232" s="2" t="s">
        <v>19</v>
      </c>
      <c r="K232" s="2" t="s">
        <v>353</v>
      </c>
      <c r="L232" s="7" t="str">
        <f>HYPERLINK("http://slimages.macys.com/is/image/MCY/11146051 ")</f>
        <v xml:space="preserve">http://slimages.macys.com/is/image/MCY/11146051 </v>
      </c>
    </row>
    <row r="233" spans="1:12" ht="24.75" x14ac:dyDescent="0.25">
      <c r="A233" s="4" t="s">
        <v>4690</v>
      </c>
      <c r="B233" s="2" t="s">
        <v>4691</v>
      </c>
      <c r="C233" s="3">
        <v>1</v>
      </c>
      <c r="D233" s="5">
        <v>36.75</v>
      </c>
      <c r="E233" s="3" t="s">
        <v>4692</v>
      </c>
      <c r="F233" s="2" t="s">
        <v>89</v>
      </c>
      <c r="G233" s="6" t="s">
        <v>802</v>
      </c>
      <c r="H233" s="2" t="s">
        <v>426</v>
      </c>
      <c r="I233" s="2" t="s">
        <v>229</v>
      </c>
      <c r="J233" s="2" t="s">
        <v>19</v>
      </c>
      <c r="K233" s="2" t="s">
        <v>230</v>
      </c>
      <c r="L233" s="7" t="str">
        <f>HYPERLINK("http://slimages.macys.com/is/image/MCY/12316602 ")</f>
        <v xml:space="preserve">http://slimages.macys.com/is/image/MCY/12316602 </v>
      </c>
    </row>
    <row r="234" spans="1:12" ht="24.75" x14ac:dyDescent="0.25">
      <c r="A234" s="4" t="s">
        <v>805</v>
      </c>
      <c r="B234" s="2" t="s">
        <v>800</v>
      </c>
      <c r="C234" s="3">
        <v>1</v>
      </c>
      <c r="D234" s="5">
        <v>37.130000000000003</v>
      </c>
      <c r="E234" s="3" t="s">
        <v>801</v>
      </c>
      <c r="F234" s="2" t="s">
        <v>64</v>
      </c>
      <c r="G234" s="6" t="s">
        <v>165</v>
      </c>
      <c r="H234" s="2" t="s">
        <v>188</v>
      </c>
      <c r="I234" s="2" t="s">
        <v>189</v>
      </c>
      <c r="J234" s="2" t="s">
        <v>19</v>
      </c>
      <c r="K234" s="2" t="s">
        <v>803</v>
      </c>
      <c r="L234" s="7" t="str">
        <f>HYPERLINK("http://slimages.macys.com/is/image/MCY/9484269 ")</f>
        <v xml:space="preserve">http://slimages.macys.com/is/image/MCY/9484269 </v>
      </c>
    </row>
    <row r="235" spans="1:12" ht="24.75" x14ac:dyDescent="0.25">
      <c r="A235" s="4" t="s">
        <v>4693</v>
      </c>
      <c r="B235" s="2" t="s">
        <v>4694</v>
      </c>
      <c r="C235" s="3">
        <v>1</v>
      </c>
      <c r="D235" s="5">
        <v>41.65</v>
      </c>
      <c r="E235" s="3" t="s">
        <v>4695</v>
      </c>
      <c r="F235" s="2" t="s">
        <v>48</v>
      </c>
      <c r="G235" s="6" t="s">
        <v>156</v>
      </c>
      <c r="H235" s="2" t="s">
        <v>182</v>
      </c>
      <c r="I235" s="2" t="s">
        <v>183</v>
      </c>
      <c r="J235" s="2" t="s">
        <v>19</v>
      </c>
      <c r="K235" s="2" t="s">
        <v>4696</v>
      </c>
      <c r="L235" s="7" t="str">
        <f>HYPERLINK("http://slimages.macys.com/is/image/MCY/11853710 ")</f>
        <v xml:space="preserve">http://slimages.macys.com/is/image/MCY/11853710 </v>
      </c>
    </row>
    <row r="236" spans="1:12" ht="24.75" x14ac:dyDescent="0.25">
      <c r="A236" s="4" t="s">
        <v>813</v>
      </c>
      <c r="B236" s="2" t="s">
        <v>811</v>
      </c>
      <c r="C236" s="3">
        <v>2</v>
      </c>
      <c r="D236" s="5">
        <v>37.130000000000003</v>
      </c>
      <c r="E236" s="3" t="s">
        <v>812</v>
      </c>
      <c r="F236" s="2" t="s">
        <v>170</v>
      </c>
      <c r="G236" s="6" t="s">
        <v>154</v>
      </c>
      <c r="H236" s="2" t="s">
        <v>194</v>
      </c>
      <c r="I236" s="2" t="s">
        <v>195</v>
      </c>
      <c r="J236" s="2" t="s">
        <v>19</v>
      </c>
      <c r="K236" s="2" t="s">
        <v>160</v>
      </c>
      <c r="L236" s="7" t="str">
        <f>HYPERLINK("http://slimages.macys.com/is/image/MCY/11804348 ")</f>
        <v xml:space="preserve">http://slimages.macys.com/is/image/MCY/11804348 </v>
      </c>
    </row>
    <row r="237" spans="1:12" ht="24.75" x14ac:dyDescent="0.25">
      <c r="A237" s="4" t="s">
        <v>4697</v>
      </c>
      <c r="B237" s="2" t="s">
        <v>811</v>
      </c>
      <c r="C237" s="3">
        <v>1</v>
      </c>
      <c r="D237" s="5">
        <v>37.130000000000003</v>
      </c>
      <c r="E237" s="3" t="s">
        <v>812</v>
      </c>
      <c r="F237" s="2" t="s">
        <v>170</v>
      </c>
      <c r="G237" s="6" t="s">
        <v>234</v>
      </c>
      <c r="H237" s="2" t="s">
        <v>194</v>
      </c>
      <c r="I237" s="2" t="s">
        <v>195</v>
      </c>
      <c r="J237" s="2" t="s">
        <v>19</v>
      </c>
      <c r="K237" s="2" t="s">
        <v>160</v>
      </c>
      <c r="L237" s="7" t="str">
        <f>HYPERLINK("http://slimages.macys.com/is/image/MCY/11804348 ")</f>
        <v xml:space="preserve">http://slimages.macys.com/is/image/MCY/11804348 </v>
      </c>
    </row>
    <row r="238" spans="1:12" ht="24.75" x14ac:dyDescent="0.25">
      <c r="A238" s="4" t="s">
        <v>822</v>
      </c>
      <c r="B238" s="2" t="s">
        <v>818</v>
      </c>
      <c r="C238" s="3">
        <v>1</v>
      </c>
      <c r="D238" s="5">
        <v>36.5</v>
      </c>
      <c r="E238" s="3" t="s">
        <v>819</v>
      </c>
      <c r="F238" s="2" t="s">
        <v>820</v>
      </c>
      <c r="G238" s="6" t="s">
        <v>156</v>
      </c>
      <c r="H238" s="2" t="s">
        <v>194</v>
      </c>
      <c r="I238" s="2" t="s">
        <v>195</v>
      </c>
      <c r="J238" s="2" t="s">
        <v>19</v>
      </c>
      <c r="K238" s="2" t="s">
        <v>201</v>
      </c>
      <c r="L238" s="7" t="str">
        <f>HYPERLINK("http://slimages.macys.com/is/image/MCY/11935616 ")</f>
        <v xml:space="preserve">http://slimages.macys.com/is/image/MCY/11935616 </v>
      </c>
    </row>
    <row r="239" spans="1:12" ht="24.75" x14ac:dyDescent="0.25">
      <c r="A239" s="4" t="s">
        <v>821</v>
      </c>
      <c r="B239" s="2" t="s">
        <v>818</v>
      </c>
      <c r="C239" s="3">
        <v>2</v>
      </c>
      <c r="D239" s="5">
        <v>36.5</v>
      </c>
      <c r="E239" s="3" t="s">
        <v>819</v>
      </c>
      <c r="F239" s="2" t="s">
        <v>820</v>
      </c>
      <c r="G239" s="6" t="s">
        <v>154</v>
      </c>
      <c r="H239" s="2" t="s">
        <v>194</v>
      </c>
      <c r="I239" s="2" t="s">
        <v>195</v>
      </c>
      <c r="J239" s="2" t="s">
        <v>19</v>
      </c>
      <c r="K239" s="2" t="s">
        <v>201</v>
      </c>
      <c r="L239" s="7" t="str">
        <f>HYPERLINK("http://slimages.macys.com/is/image/MCY/11935616 ")</f>
        <v xml:space="preserve">http://slimages.macys.com/is/image/MCY/11935616 </v>
      </c>
    </row>
    <row r="240" spans="1:12" ht="24.75" x14ac:dyDescent="0.25">
      <c r="A240" s="4" t="s">
        <v>2432</v>
      </c>
      <c r="B240" s="2" t="s">
        <v>818</v>
      </c>
      <c r="C240" s="3">
        <v>2</v>
      </c>
      <c r="D240" s="5">
        <v>36.5</v>
      </c>
      <c r="E240" s="3" t="s">
        <v>819</v>
      </c>
      <c r="F240" s="2" t="s">
        <v>820</v>
      </c>
      <c r="G240" s="6" t="s">
        <v>181</v>
      </c>
      <c r="H240" s="2" t="s">
        <v>194</v>
      </c>
      <c r="I240" s="2" t="s">
        <v>195</v>
      </c>
      <c r="J240" s="2" t="s">
        <v>19</v>
      </c>
      <c r="K240" s="2" t="s">
        <v>201</v>
      </c>
      <c r="L240" s="7" t="str">
        <f>HYPERLINK("http://slimages.macys.com/is/image/MCY/11935616 ")</f>
        <v xml:space="preserve">http://slimages.macys.com/is/image/MCY/11935616 </v>
      </c>
    </row>
    <row r="241" spans="1:12" ht="24.75" x14ac:dyDescent="0.25">
      <c r="A241" s="4" t="s">
        <v>4698</v>
      </c>
      <c r="B241" s="2" t="s">
        <v>4699</v>
      </c>
      <c r="C241" s="3">
        <v>1</v>
      </c>
      <c r="D241" s="5">
        <v>37.130000000000003</v>
      </c>
      <c r="E241" s="3" t="s">
        <v>4700</v>
      </c>
      <c r="F241" s="2" t="s">
        <v>74</v>
      </c>
      <c r="G241" s="6" t="s">
        <v>154</v>
      </c>
      <c r="H241" s="2" t="s">
        <v>194</v>
      </c>
      <c r="I241" s="2" t="s">
        <v>195</v>
      </c>
      <c r="J241" s="2" t="s">
        <v>19</v>
      </c>
      <c r="K241" s="2" t="s">
        <v>160</v>
      </c>
      <c r="L241" s="7" t="str">
        <f>HYPERLINK("http://slimages.macys.com/is/image/MCY/12034921 ")</f>
        <v xml:space="preserve">http://slimages.macys.com/is/image/MCY/12034921 </v>
      </c>
    </row>
    <row r="242" spans="1:12" ht="24.75" x14ac:dyDescent="0.25">
      <c r="A242" s="4" t="s">
        <v>4701</v>
      </c>
      <c r="B242" s="2" t="s">
        <v>4699</v>
      </c>
      <c r="C242" s="3">
        <v>1</v>
      </c>
      <c r="D242" s="5">
        <v>37.130000000000003</v>
      </c>
      <c r="E242" s="3" t="s">
        <v>4700</v>
      </c>
      <c r="F242" s="2" t="s">
        <v>74</v>
      </c>
      <c r="G242" s="6" t="s">
        <v>181</v>
      </c>
      <c r="H242" s="2" t="s">
        <v>194</v>
      </c>
      <c r="I242" s="2" t="s">
        <v>195</v>
      </c>
      <c r="J242" s="2" t="s">
        <v>19</v>
      </c>
      <c r="K242" s="2" t="s">
        <v>160</v>
      </c>
      <c r="L242" s="7" t="str">
        <f>HYPERLINK("http://slimages.macys.com/is/image/MCY/12034921 ")</f>
        <v xml:space="preserve">http://slimages.macys.com/is/image/MCY/12034921 </v>
      </c>
    </row>
    <row r="243" spans="1:12" ht="24.75" x14ac:dyDescent="0.25">
      <c r="A243" s="4" t="s">
        <v>4702</v>
      </c>
      <c r="B243" s="2" t="s">
        <v>4703</v>
      </c>
      <c r="C243" s="3">
        <v>1</v>
      </c>
      <c r="D243" s="5">
        <v>36.5</v>
      </c>
      <c r="E243" s="3" t="s">
        <v>4704</v>
      </c>
      <c r="F243" s="2" t="s">
        <v>998</v>
      </c>
      <c r="G243" s="6" t="s">
        <v>154</v>
      </c>
      <c r="H243" s="2" t="s">
        <v>194</v>
      </c>
      <c r="I243" s="2" t="s">
        <v>195</v>
      </c>
      <c r="J243" s="2" t="s">
        <v>19</v>
      </c>
      <c r="K243" s="2" t="s">
        <v>4705</v>
      </c>
      <c r="L243" s="7" t="str">
        <f>HYPERLINK("http://slimages.macys.com/is/image/MCY/12034984 ")</f>
        <v xml:space="preserve">http://slimages.macys.com/is/image/MCY/12034984 </v>
      </c>
    </row>
    <row r="244" spans="1:12" ht="24.75" x14ac:dyDescent="0.25">
      <c r="A244" s="4" t="s">
        <v>4706</v>
      </c>
      <c r="B244" s="2" t="s">
        <v>4703</v>
      </c>
      <c r="C244" s="3">
        <v>1</v>
      </c>
      <c r="D244" s="5">
        <v>36.5</v>
      </c>
      <c r="E244" s="3" t="s">
        <v>4704</v>
      </c>
      <c r="F244" s="2" t="s">
        <v>998</v>
      </c>
      <c r="G244" s="6" t="s">
        <v>181</v>
      </c>
      <c r="H244" s="2" t="s">
        <v>194</v>
      </c>
      <c r="I244" s="2" t="s">
        <v>195</v>
      </c>
      <c r="J244" s="2" t="s">
        <v>19</v>
      </c>
      <c r="K244" s="2" t="s">
        <v>4705</v>
      </c>
      <c r="L244" s="7" t="str">
        <f>HYPERLINK("http://slimages.macys.com/is/image/MCY/12034984 ")</f>
        <v xml:space="preserve">http://slimages.macys.com/is/image/MCY/12034984 </v>
      </c>
    </row>
    <row r="245" spans="1:12" x14ac:dyDescent="0.25">
      <c r="A245" s="4" t="s">
        <v>4707</v>
      </c>
      <c r="B245" s="2" t="s">
        <v>4708</v>
      </c>
      <c r="C245" s="3">
        <v>1</v>
      </c>
      <c r="D245" s="5">
        <v>59.5</v>
      </c>
      <c r="E245" s="3" t="s">
        <v>4709</v>
      </c>
      <c r="F245" s="2" t="s">
        <v>998</v>
      </c>
      <c r="G245" s="6"/>
      <c r="H245" s="2" t="s">
        <v>206</v>
      </c>
      <c r="I245" s="2" t="s">
        <v>207</v>
      </c>
      <c r="J245" s="2" t="s">
        <v>19</v>
      </c>
      <c r="K245" s="2" t="s">
        <v>1480</v>
      </c>
      <c r="L245" s="7" t="str">
        <f>HYPERLINK("http://slimages.macys.com/is/image/MCY/10202328 ")</f>
        <v xml:space="preserve">http://slimages.macys.com/is/image/MCY/10202328 </v>
      </c>
    </row>
    <row r="246" spans="1:12" ht="24.75" x14ac:dyDescent="0.25">
      <c r="A246" s="4" t="s">
        <v>4710</v>
      </c>
      <c r="B246" s="2" t="s">
        <v>3593</v>
      </c>
      <c r="C246" s="3">
        <v>1</v>
      </c>
      <c r="D246" s="5">
        <v>36.5</v>
      </c>
      <c r="E246" s="3" t="s">
        <v>3594</v>
      </c>
      <c r="F246" s="2" t="s">
        <v>15</v>
      </c>
      <c r="G246" s="6" t="s">
        <v>200</v>
      </c>
      <c r="H246" s="2" t="s">
        <v>194</v>
      </c>
      <c r="I246" s="2" t="s">
        <v>195</v>
      </c>
      <c r="J246" s="2" t="s">
        <v>19</v>
      </c>
      <c r="K246" s="2" t="s">
        <v>3598</v>
      </c>
      <c r="L246" s="7" t="str">
        <f>HYPERLINK("http://slimages.macys.com/is/image/MCY/11764603 ")</f>
        <v xml:space="preserve">http://slimages.macys.com/is/image/MCY/11764603 </v>
      </c>
    </row>
    <row r="247" spans="1:12" ht="24.75" x14ac:dyDescent="0.25">
      <c r="A247" s="4" t="s">
        <v>4711</v>
      </c>
      <c r="B247" s="2" t="s">
        <v>827</v>
      </c>
      <c r="C247" s="3">
        <v>2</v>
      </c>
      <c r="D247" s="5">
        <v>37.130000000000003</v>
      </c>
      <c r="E247" s="3">
        <v>100009535</v>
      </c>
      <c r="F247" s="2" t="s">
        <v>15</v>
      </c>
      <c r="G247" s="6" t="s">
        <v>16</v>
      </c>
      <c r="H247" s="2" t="s">
        <v>194</v>
      </c>
      <c r="I247" s="2" t="s">
        <v>503</v>
      </c>
      <c r="J247" s="2" t="s">
        <v>19</v>
      </c>
      <c r="K247" s="2" t="s">
        <v>353</v>
      </c>
      <c r="L247" s="7" t="str">
        <f>HYPERLINK("http://slimages.macys.com/is/image/MCY/9340634 ")</f>
        <v xml:space="preserve">http://slimages.macys.com/is/image/MCY/9340634 </v>
      </c>
    </row>
    <row r="248" spans="1:12" ht="24.75" x14ac:dyDescent="0.25">
      <c r="A248" s="4" t="s">
        <v>4712</v>
      </c>
      <c r="B248" s="2" t="s">
        <v>2439</v>
      </c>
      <c r="C248" s="3">
        <v>1</v>
      </c>
      <c r="D248" s="5">
        <v>44.63</v>
      </c>
      <c r="E248" s="3" t="s">
        <v>2440</v>
      </c>
      <c r="F248" s="2" t="s">
        <v>956</v>
      </c>
      <c r="G248" s="6" t="s">
        <v>234</v>
      </c>
      <c r="H248" s="2" t="s">
        <v>194</v>
      </c>
      <c r="I248" s="2" t="s">
        <v>195</v>
      </c>
      <c r="J248" s="2" t="s">
        <v>19</v>
      </c>
      <c r="K248" s="2" t="s">
        <v>34</v>
      </c>
      <c r="L248" s="7" t="str">
        <f>HYPERLINK("http://slimages.macys.com/is/image/MCY/11527019 ")</f>
        <v xml:space="preserve">http://slimages.macys.com/is/image/MCY/11527019 </v>
      </c>
    </row>
    <row r="249" spans="1:12" ht="24.75" x14ac:dyDescent="0.25">
      <c r="A249" s="4" t="s">
        <v>4713</v>
      </c>
      <c r="B249" s="2" t="s">
        <v>827</v>
      </c>
      <c r="C249" s="3">
        <v>1</v>
      </c>
      <c r="D249" s="5">
        <v>37.130000000000003</v>
      </c>
      <c r="E249" s="3">
        <v>100009535</v>
      </c>
      <c r="F249" s="2" t="s">
        <v>566</v>
      </c>
      <c r="G249" s="6" t="s">
        <v>65</v>
      </c>
      <c r="H249" s="2" t="s">
        <v>194</v>
      </c>
      <c r="I249" s="2" t="s">
        <v>503</v>
      </c>
      <c r="J249" s="2" t="s">
        <v>19</v>
      </c>
      <c r="K249" s="2" t="s">
        <v>353</v>
      </c>
      <c r="L249" s="7" t="str">
        <f>HYPERLINK("http://slimages.macys.com/is/image/MCY/9340634 ")</f>
        <v xml:space="preserve">http://slimages.macys.com/is/image/MCY/9340634 </v>
      </c>
    </row>
    <row r="250" spans="1:12" ht="24.75" x14ac:dyDescent="0.25">
      <c r="A250" s="4" t="s">
        <v>4714</v>
      </c>
      <c r="B250" s="2" t="s">
        <v>2447</v>
      </c>
      <c r="C250" s="3">
        <v>1</v>
      </c>
      <c r="D250" s="5">
        <v>37.130000000000003</v>
      </c>
      <c r="E250" s="3">
        <v>100015637</v>
      </c>
      <c r="F250" s="2" t="s">
        <v>74</v>
      </c>
      <c r="G250" s="6" t="s">
        <v>245</v>
      </c>
      <c r="H250" s="2" t="s">
        <v>194</v>
      </c>
      <c r="I250" s="2" t="s">
        <v>195</v>
      </c>
      <c r="J250" s="2" t="s">
        <v>19</v>
      </c>
      <c r="K250" s="2" t="s">
        <v>247</v>
      </c>
      <c r="L250" s="7" t="str">
        <f>HYPERLINK("http://slimages.macys.com/is/image/MCY/9557664 ")</f>
        <v xml:space="preserve">http://slimages.macys.com/is/image/MCY/9557664 </v>
      </c>
    </row>
    <row r="251" spans="1:12" ht="24.75" x14ac:dyDescent="0.25">
      <c r="A251" s="4" t="s">
        <v>4715</v>
      </c>
      <c r="B251" s="2" t="s">
        <v>837</v>
      </c>
      <c r="C251" s="3">
        <v>1</v>
      </c>
      <c r="D251" s="5">
        <v>40.880000000000003</v>
      </c>
      <c r="E251" s="3" t="s">
        <v>838</v>
      </c>
      <c r="F251" s="2" t="s">
        <v>57</v>
      </c>
      <c r="G251" s="6" t="s">
        <v>363</v>
      </c>
      <c r="H251" s="2" t="s">
        <v>188</v>
      </c>
      <c r="I251" s="2" t="s">
        <v>189</v>
      </c>
      <c r="J251" s="2" t="s">
        <v>19</v>
      </c>
      <c r="K251" s="2" t="s">
        <v>839</v>
      </c>
      <c r="L251" s="7" t="str">
        <f>HYPERLINK("http://slimages.macys.com/is/image/MCY/11940229 ")</f>
        <v xml:space="preserve">http://slimages.macys.com/is/image/MCY/11940229 </v>
      </c>
    </row>
    <row r="252" spans="1:12" ht="48.75" x14ac:dyDescent="0.25">
      <c r="A252" s="4" t="s">
        <v>2454</v>
      </c>
      <c r="B252" s="2" t="s">
        <v>841</v>
      </c>
      <c r="C252" s="3">
        <v>1</v>
      </c>
      <c r="D252" s="5">
        <v>34.99</v>
      </c>
      <c r="E252" s="3" t="s">
        <v>842</v>
      </c>
      <c r="F252" s="2" t="s">
        <v>26</v>
      </c>
      <c r="G252" s="6" t="s">
        <v>499</v>
      </c>
      <c r="H252" s="2" t="s">
        <v>349</v>
      </c>
      <c r="I252" s="2" t="s">
        <v>408</v>
      </c>
      <c r="J252" s="2" t="s">
        <v>19</v>
      </c>
      <c r="K252" s="2" t="s">
        <v>787</v>
      </c>
      <c r="L252" s="7" t="str">
        <f>HYPERLINK("http://slimages.macys.com/is/image/MCY/3935281 ")</f>
        <v xml:space="preserve">http://slimages.macys.com/is/image/MCY/3935281 </v>
      </c>
    </row>
    <row r="253" spans="1:12" ht="48.75" x14ac:dyDescent="0.25">
      <c r="A253" s="4" t="s">
        <v>2455</v>
      </c>
      <c r="B253" s="2" t="s">
        <v>841</v>
      </c>
      <c r="C253" s="3">
        <v>1</v>
      </c>
      <c r="D253" s="5">
        <v>34.99</v>
      </c>
      <c r="E253" s="3" t="s">
        <v>842</v>
      </c>
      <c r="F253" s="2" t="s">
        <v>26</v>
      </c>
      <c r="G253" s="6" t="s">
        <v>2456</v>
      </c>
      <c r="H253" s="2" t="s">
        <v>349</v>
      </c>
      <c r="I253" s="2" t="s">
        <v>408</v>
      </c>
      <c r="J253" s="2" t="s">
        <v>19</v>
      </c>
      <c r="K253" s="2" t="s">
        <v>787</v>
      </c>
      <c r="L253" s="7" t="str">
        <f>HYPERLINK("http://slimages.macys.com/is/image/MCY/3935281 ")</f>
        <v xml:space="preserve">http://slimages.macys.com/is/image/MCY/3935281 </v>
      </c>
    </row>
    <row r="254" spans="1:12" ht="48.75" x14ac:dyDescent="0.25">
      <c r="A254" s="4" t="s">
        <v>2457</v>
      </c>
      <c r="B254" s="2" t="s">
        <v>841</v>
      </c>
      <c r="C254" s="3">
        <v>1</v>
      </c>
      <c r="D254" s="5">
        <v>34.99</v>
      </c>
      <c r="E254" s="3" t="s">
        <v>842</v>
      </c>
      <c r="F254" s="2" t="s">
        <v>26</v>
      </c>
      <c r="G254" s="6" t="s">
        <v>2458</v>
      </c>
      <c r="H254" s="2" t="s">
        <v>349</v>
      </c>
      <c r="I254" s="2" t="s">
        <v>408</v>
      </c>
      <c r="J254" s="2" t="s">
        <v>19</v>
      </c>
      <c r="K254" s="2" t="s">
        <v>787</v>
      </c>
      <c r="L254" s="7" t="str">
        <f>HYPERLINK("http://slimages.macys.com/is/image/MCY/3935281 ")</f>
        <v xml:space="preserve">http://slimages.macys.com/is/image/MCY/3935281 </v>
      </c>
    </row>
    <row r="255" spans="1:12" ht="24.75" x14ac:dyDescent="0.25">
      <c r="A255" s="4" t="s">
        <v>4716</v>
      </c>
      <c r="B255" s="2" t="s">
        <v>856</v>
      </c>
      <c r="C255" s="3">
        <v>1</v>
      </c>
      <c r="D255" s="5">
        <v>48</v>
      </c>
      <c r="E255" s="3">
        <v>100013497</v>
      </c>
      <c r="F255" s="2" t="s">
        <v>252</v>
      </c>
      <c r="G255" s="6" t="s">
        <v>106</v>
      </c>
      <c r="H255" s="2" t="s">
        <v>228</v>
      </c>
      <c r="I255" s="2" t="s">
        <v>857</v>
      </c>
      <c r="J255" s="2" t="s">
        <v>19</v>
      </c>
      <c r="K255" s="2" t="s">
        <v>387</v>
      </c>
      <c r="L255" s="7" t="str">
        <f>HYPERLINK("http://slimages.macys.com/is/image/MCY/9478981 ")</f>
        <v xml:space="preserve">http://slimages.macys.com/is/image/MCY/9478981 </v>
      </c>
    </row>
    <row r="256" spans="1:12" ht="24.75" x14ac:dyDescent="0.25">
      <c r="A256" s="4" t="s">
        <v>3604</v>
      </c>
      <c r="B256" s="2" t="s">
        <v>856</v>
      </c>
      <c r="C256" s="3">
        <v>1</v>
      </c>
      <c r="D256" s="5">
        <v>48</v>
      </c>
      <c r="E256" s="3">
        <v>100013497</v>
      </c>
      <c r="F256" s="2" t="s">
        <v>252</v>
      </c>
      <c r="G256" s="6" t="s">
        <v>58</v>
      </c>
      <c r="H256" s="2" t="s">
        <v>228</v>
      </c>
      <c r="I256" s="2" t="s">
        <v>857</v>
      </c>
      <c r="J256" s="2" t="s">
        <v>19</v>
      </c>
      <c r="K256" s="2" t="s">
        <v>387</v>
      </c>
      <c r="L256" s="7" t="str">
        <f>HYPERLINK("http://slimages.macys.com/is/image/MCY/9478981 ")</f>
        <v xml:space="preserve">http://slimages.macys.com/is/image/MCY/9478981 </v>
      </c>
    </row>
    <row r="257" spans="1:12" ht="24.75" x14ac:dyDescent="0.25">
      <c r="A257" s="4" t="s">
        <v>2464</v>
      </c>
      <c r="B257" s="2" t="s">
        <v>818</v>
      </c>
      <c r="C257" s="3">
        <v>1</v>
      </c>
      <c r="D257" s="5">
        <v>36.5</v>
      </c>
      <c r="E257" s="3" t="s">
        <v>2465</v>
      </c>
      <c r="F257" s="2" t="s">
        <v>26</v>
      </c>
      <c r="G257" s="6" t="s">
        <v>181</v>
      </c>
      <c r="H257" s="2" t="s">
        <v>194</v>
      </c>
      <c r="I257" s="2" t="s">
        <v>195</v>
      </c>
      <c r="J257" s="2" t="s">
        <v>19</v>
      </c>
      <c r="K257" s="2" t="s">
        <v>247</v>
      </c>
      <c r="L257" s="7" t="str">
        <f>HYPERLINK("http://slimages.macys.com/is/image/MCY/11764566 ")</f>
        <v xml:space="preserve">http://slimages.macys.com/is/image/MCY/11764566 </v>
      </c>
    </row>
    <row r="258" spans="1:12" ht="24.75" x14ac:dyDescent="0.25">
      <c r="A258" s="4" t="s">
        <v>855</v>
      </c>
      <c r="B258" s="2" t="s">
        <v>856</v>
      </c>
      <c r="C258" s="3">
        <v>1</v>
      </c>
      <c r="D258" s="5">
        <v>48</v>
      </c>
      <c r="E258" s="3">
        <v>100013497</v>
      </c>
      <c r="F258" s="2" t="s">
        <v>252</v>
      </c>
      <c r="G258" s="6" t="s">
        <v>16</v>
      </c>
      <c r="H258" s="2" t="s">
        <v>228</v>
      </c>
      <c r="I258" s="2" t="s">
        <v>857</v>
      </c>
      <c r="J258" s="2" t="s">
        <v>19</v>
      </c>
      <c r="K258" s="2" t="s">
        <v>387</v>
      </c>
      <c r="L258" s="7" t="str">
        <f>HYPERLINK("http://slimages.macys.com/is/image/MCY/9478981 ")</f>
        <v xml:space="preserve">http://slimages.macys.com/is/image/MCY/9478981 </v>
      </c>
    </row>
    <row r="259" spans="1:12" ht="24.75" x14ac:dyDescent="0.25">
      <c r="A259" s="4" t="s">
        <v>3603</v>
      </c>
      <c r="B259" s="2" t="s">
        <v>856</v>
      </c>
      <c r="C259" s="3">
        <v>4</v>
      </c>
      <c r="D259" s="5">
        <v>48</v>
      </c>
      <c r="E259" s="3">
        <v>100013497</v>
      </c>
      <c r="F259" s="2" t="s">
        <v>252</v>
      </c>
      <c r="G259" s="6" t="s">
        <v>27</v>
      </c>
      <c r="H259" s="2" t="s">
        <v>228</v>
      </c>
      <c r="I259" s="2" t="s">
        <v>857</v>
      </c>
      <c r="J259" s="2" t="s">
        <v>19</v>
      </c>
      <c r="K259" s="2" t="s">
        <v>387</v>
      </c>
      <c r="L259" s="7" t="str">
        <f>HYPERLINK("http://slimages.macys.com/is/image/MCY/9478981 ")</f>
        <v xml:space="preserve">http://slimages.macys.com/is/image/MCY/9478981 </v>
      </c>
    </row>
    <row r="260" spans="1:12" ht="24.75" x14ac:dyDescent="0.25">
      <c r="A260" s="4" t="s">
        <v>2463</v>
      </c>
      <c r="B260" s="2" t="s">
        <v>856</v>
      </c>
      <c r="C260" s="3">
        <v>1</v>
      </c>
      <c r="D260" s="5">
        <v>48</v>
      </c>
      <c r="E260" s="3">
        <v>100013497</v>
      </c>
      <c r="F260" s="2" t="s">
        <v>252</v>
      </c>
      <c r="G260" s="6" t="s">
        <v>22</v>
      </c>
      <c r="H260" s="2" t="s">
        <v>228</v>
      </c>
      <c r="I260" s="2" t="s">
        <v>857</v>
      </c>
      <c r="J260" s="2" t="s">
        <v>19</v>
      </c>
      <c r="K260" s="2" t="s">
        <v>387</v>
      </c>
      <c r="L260" s="7" t="str">
        <f>HYPERLINK("http://slimages.macys.com/is/image/MCY/9478981 ")</f>
        <v xml:space="preserve">http://slimages.macys.com/is/image/MCY/9478981 </v>
      </c>
    </row>
    <row r="261" spans="1:12" ht="24.75" x14ac:dyDescent="0.25">
      <c r="A261" s="4" t="s">
        <v>4717</v>
      </c>
      <c r="B261" s="2" t="s">
        <v>861</v>
      </c>
      <c r="C261" s="3">
        <v>1</v>
      </c>
      <c r="D261" s="5">
        <v>34.5</v>
      </c>
      <c r="E261" s="3" t="s">
        <v>862</v>
      </c>
      <c r="F261" s="2" t="s">
        <v>64</v>
      </c>
      <c r="G261" s="6" t="s">
        <v>22</v>
      </c>
      <c r="H261" s="2" t="s">
        <v>228</v>
      </c>
      <c r="I261" s="2" t="s">
        <v>863</v>
      </c>
      <c r="J261" s="2" t="s">
        <v>19</v>
      </c>
      <c r="K261" s="2" t="s">
        <v>253</v>
      </c>
      <c r="L261" s="7" t="str">
        <f>HYPERLINK("http://slimages.macys.com/is/image/MCY/3650197 ")</f>
        <v xml:space="preserve">http://slimages.macys.com/is/image/MCY/3650197 </v>
      </c>
    </row>
    <row r="262" spans="1:12" ht="24.75" x14ac:dyDescent="0.25">
      <c r="A262" s="4" t="s">
        <v>4718</v>
      </c>
      <c r="B262" s="2" t="s">
        <v>2472</v>
      </c>
      <c r="C262" s="3">
        <v>1</v>
      </c>
      <c r="D262" s="5">
        <v>45</v>
      </c>
      <c r="E262" s="3" t="s">
        <v>2473</v>
      </c>
      <c r="F262" s="2" t="s">
        <v>15</v>
      </c>
      <c r="G262" s="6" t="s">
        <v>791</v>
      </c>
      <c r="H262" s="2" t="s">
        <v>447</v>
      </c>
      <c r="I262" s="2" t="s">
        <v>792</v>
      </c>
      <c r="J262" s="2" t="s">
        <v>2474</v>
      </c>
      <c r="K262" s="2" t="s">
        <v>160</v>
      </c>
      <c r="L262" s="7" t="str">
        <f>HYPERLINK("http://slimages.macys.com/is/image/MCY/12258294 ")</f>
        <v xml:space="preserve">http://slimages.macys.com/is/image/MCY/12258294 </v>
      </c>
    </row>
    <row r="263" spans="1:12" ht="24.75" x14ac:dyDescent="0.25">
      <c r="A263" s="4" t="s">
        <v>4719</v>
      </c>
      <c r="B263" s="2" t="s">
        <v>861</v>
      </c>
      <c r="C263" s="3">
        <v>1</v>
      </c>
      <c r="D263" s="5">
        <v>34.5</v>
      </c>
      <c r="E263" s="3" t="s">
        <v>862</v>
      </c>
      <c r="F263" s="2" t="s">
        <v>64</v>
      </c>
      <c r="G263" s="6" t="s">
        <v>27</v>
      </c>
      <c r="H263" s="2" t="s">
        <v>228</v>
      </c>
      <c r="I263" s="2" t="s">
        <v>863</v>
      </c>
      <c r="J263" s="2" t="s">
        <v>19</v>
      </c>
      <c r="K263" s="2" t="s">
        <v>253</v>
      </c>
      <c r="L263" s="7" t="str">
        <f>HYPERLINK("http://slimages.macys.com/is/image/MCY/3650197 ")</f>
        <v xml:space="preserve">http://slimages.macys.com/is/image/MCY/3650197 </v>
      </c>
    </row>
    <row r="264" spans="1:12" ht="24.75" x14ac:dyDescent="0.25">
      <c r="A264" s="4" t="s">
        <v>4720</v>
      </c>
      <c r="B264" s="2" t="s">
        <v>861</v>
      </c>
      <c r="C264" s="3">
        <v>1</v>
      </c>
      <c r="D264" s="5">
        <v>34.5</v>
      </c>
      <c r="E264" s="3" t="s">
        <v>862</v>
      </c>
      <c r="F264" s="2" t="s">
        <v>64</v>
      </c>
      <c r="G264" s="6"/>
      <c r="H264" s="2" t="s">
        <v>228</v>
      </c>
      <c r="I264" s="2" t="s">
        <v>863</v>
      </c>
      <c r="J264" s="2" t="s">
        <v>19</v>
      </c>
      <c r="K264" s="2" t="s">
        <v>253</v>
      </c>
      <c r="L264" s="7" t="str">
        <f>HYPERLINK("http://slimages.macys.com/is/image/MCY/3650197 ")</f>
        <v xml:space="preserve">http://slimages.macys.com/is/image/MCY/3650197 </v>
      </c>
    </row>
    <row r="265" spans="1:12" ht="24.75" x14ac:dyDescent="0.25">
      <c r="A265" s="4" t="s">
        <v>3613</v>
      </c>
      <c r="B265" s="2" t="s">
        <v>2476</v>
      </c>
      <c r="C265" s="3">
        <v>1</v>
      </c>
      <c r="D265" s="5">
        <v>40.880000000000003</v>
      </c>
      <c r="E265" s="3" t="s">
        <v>2477</v>
      </c>
      <c r="F265" s="2" t="s">
        <v>752</v>
      </c>
      <c r="G265" s="6" t="s">
        <v>156</v>
      </c>
      <c r="H265" s="2" t="s">
        <v>194</v>
      </c>
      <c r="I265" s="2" t="s">
        <v>195</v>
      </c>
      <c r="J265" s="2" t="s">
        <v>19</v>
      </c>
      <c r="K265" s="2" t="s">
        <v>34</v>
      </c>
      <c r="L265" s="7" t="str">
        <f>HYPERLINK("http://slimages.macys.com/is/image/MCY/12279885 ")</f>
        <v xml:space="preserve">http://slimages.macys.com/is/image/MCY/12279885 </v>
      </c>
    </row>
    <row r="266" spans="1:12" ht="24.75" x14ac:dyDescent="0.25">
      <c r="A266" s="4" t="s">
        <v>3614</v>
      </c>
      <c r="B266" s="2" t="s">
        <v>2476</v>
      </c>
      <c r="C266" s="3">
        <v>1</v>
      </c>
      <c r="D266" s="5">
        <v>40.880000000000003</v>
      </c>
      <c r="E266" s="3" t="s">
        <v>2479</v>
      </c>
      <c r="F266" s="2" t="s">
        <v>1614</v>
      </c>
      <c r="G266" s="6" t="s">
        <v>234</v>
      </c>
      <c r="H266" s="2" t="s">
        <v>194</v>
      </c>
      <c r="I266" s="2" t="s">
        <v>195</v>
      </c>
      <c r="J266" s="2" t="s">
        <v>19</v>
      </c>
      <c r="K266" s="2" t="s">
        <v>34</v>
      </c>
      <c r="L266" s="7" t="str">
        <f>HYPERLINK("http://slimages.macys.com/is/image/MCY/11526932 ")</f>
        <v xml:space="preserve">http://slimages.macys.com/is/image/MCY/11526932 </v>
      </c>
    </row>
    <row r="267" spans="1:12" ht="24.75" x14ac:dyDescent="0.25">
      <c r="A267" s="4" t="s">
        <v>3618</v>
      </c>
      <c r="B267" s="2" t="s">
        <v>876</v>
      </c>
      <c r="C267" s="3">
        <v>1</v>
      </c>
      <c r="D267" s="5">
        <v>34.5</v>
      </c>
      <c r="E267" s="3" t="s">
        <v>877</v>
      </c>
      <c r="F267" s="2" t="s">
        <v>878</v>
      </c>
      <c r="G267" s="6" t="s">
        <v>336</v>
      </c>
      <c r="H267" s="2" t="s">
        <v>426</v>
      </c>
      <c r="I267" s="2" t="s">
        <v>229</v>
      </c>
      <c r="J267" s="2" t="s">
        <v>19</v>
      </c>
      <c r="K267" s="2" t="s">
        <v>253</v>
      </c>
      <c r="L267" s="7" t="str">
        <f>HYPERLINK("http://slimages.macys.com/is/image/MCY/1290325 ")</f>
        <v xml:space="preserve">http://slimages.macys.com/is/image/MCY/1290325 </v>
      </c>
    </row>
    <row r="268" spans="1:12" ht="24.75" x14ac:dyDescent="0.25">
      <c r="A268" s="4" t="s">
        <v>884</v>
      </c>
      <c r="B268" s="2" t="s">
        <v>876</v>
      </c>
      <c r="C268" s="3">
        <v>1</v>
      </c>
      <c r="D268" s="5">
        <v>34.5</v>
      </c>
      <c r="E268" s="3" t="s">
        <v>877</v>
      </c>
      <c r="F268" s="2" t="s">
        <v>878</v>
      </c>
      <c r="G268" s="6" t="s">
        <v>165</v>
      </c>
      <c r="H268" s="2" t="s">
        <v>426</v>
      </c>
      <c r="I268" s="2" t="s">
        <v>229</v>
      </c>
      <c r="J268" s="2" t="s">
        <v>19</v>
      </c>
      <c r="K268" s="2" t="s">
        <v>253</v>
      </c>
      <c r="L268" s="7" t="str">
        <f>HYPERLINK("http://slimages.macys.com/is/image/MCY/1290325 ")</f>
        <v xml:space="preserve">http://slimages.macys.com/is/image/MCY/1290325 </v>
      </c>
    </row>
    <row r="269" spans="1:12" ht="24.75" x14ac:dyDescent="0.25">
      <c r="A269" s="4" t="s">
        <v>875</v>
      </c>
      <c r="B269" s="2" t="s">
        <v>876</v>
      </c>
      <c r="C269" s="3">
        <v>1</v>
      </c>
      <c r="D269" s="5">
        <v>34.5</v>
      </c>
      <c r="E269" s="3" t="s">
        <v>877</v>
      </c>
      <c r="F269" s="2" t="s">
        <v>878</v>
      </c>
      <c r="G269" s="6" t="s">
        <v>802</v>
      </c>
      <c r="H269" s="2" t="s">
        <v>426</v>
      </c>
      <c r="I269" s="2" t="s">
        <v>229</v>
      </c>
      <c r="J269" s="2" t="s">
        <v>19</v>
      </c>
      <c r="K269" s="2" t="s">
        <v>253</v>
      </c>
      <c r="L269" s="7" t="str">
        <f>HYPERLINK("http://slimages.macys.com/is/image/MCY/1290325 ")</f>
        <v xml:space="preserve">http://slimages.macys.com/is/image/MCY/1290325 </v>
      </c>
    </row>
    <row r="270" spans="1:12" ht="24.75" x14ac:dyDescent="0.25">
      <c r="A270" s="4" t="s">
        <v>4721</v>
      </c>
      <c r="B270" s="2" t="s">
        <v>880</v>
      </c>
      <c r="C270" s="3">
        <v>1</v>
      </c>
      <c r="D270" s="5">
        <v>34.5</v>
      </c>
      <c r="E270" s="3" t="s">
        <v>4722</v>
      </c>
      <c r="F270" s="2" t="s">
        <v>252</v>
      </c>
      <c r="G270" s="6" t="s">
        <v>4723</v>
      </c>
      <c r="H270" s="2" t="s">
        <v>228</v>
      </c>
      <c r="I270" s="2" t="s">
        <v>229</v>
      </c>
      <c r="J270" s="2" t="s">
        <v>19</v>
      </c>
      <c r="K270" s="2" t="s">
        <v>230</v>
      </c>
      <c r="L270" s="7" t="str">
        <f>HYPERLINK("http://slimages.macys.com/is/image/MCY/3650189 ")</f>
        <v xml:space="preserve">http://slimages.macys.com/is/image/MCY/3650189 </v>
      </c>
    </row>
    <row r="271" spans="1:12" ht="24.75" x14ac:dyDescent="0.25">
      <c r="A271" s="4" t="s">
        <v>4724</v>
      </c>
      <c r="B271" s="2" t="s">
        <v>880</v>
      </c>
      <c r="C271" s="3">
        <v>1</v>
      </c>
      <c r="D271" s="5">
        <v>34.5</v>
      </c>
      <c r="E271" s="3" t="s">
        <v>881</v>
      </c>
      <c r="F271" s="2" t="s">
        <v>111</v>
      </c>
      <c r="G271" s="6" t="s">
        <v>22</v>
      </c>
      <c r="H271" s="2" t="s">
        <v>228</v>
      </c>
      <c r="I271" s="2" t="s">
        <v>229</v>
      </c>
      <c r="J271" s="2" t="s">
        <v>19</v>
      </c>
      <c r="K271" s="2" t="s">
        <v>253</v>
      </c>
      <c r="L271" s="7" t="str">
        <f>HYPERLINK("http://slimages.macys.com/is/image/MCY/9867135 ")</f>
        <v xml:space="preserve">http://slimages.macys.com/is/image/MCY/9867135 </v>
      </c>
    </row>
    <row r="272" spans="1:12" ht="24.75" x14ac:dyDescent="0.25">
      <c r="A272" s="4" t="s">
        <v>3627</v>
      </c>
      <c r="B272" s="2" t="s">
        <v>811</v>
      </c>
      <c r="C272" s="3">
        <v>1</v>
      </c>
      <c r="D272" s="5">
        <v>36.5</v>
      </c>
      <c r="E272" s="3" t="s">
        <v>3628</v>
      </c>
      <c r="F272" s="2" t="s">
        <v>15</v>
      </c>
      <c r="G272" s="6" t="s">
        <v>154</v>
      </c>
      <c r="H272" s="2" t="s">
        <v>194</v>
      </c>
      <c r="I272" s="2" t="s">
        <v>195</v>
      </c>
      <c r="J272" s="2" t="s">
        <v>19</v>
      </c>
      <c r="K272" s="2" t="s">
        <v>160</v>
      </c>
      <c r="L272" s="7" t="str">
        <f>HYPERLINK("http://slimages.macys.com/is/image/MCY/11764562 ")</f>
        <v xml:space="preserve">http://slimages.macys.com/is/image/MCY/11764562 </v>
      </c>
    </row>
    <row r="273" spans="1:12" ht="24.75" x14ac:dyDescent="0.25">
      <c r="A273" s="4" t="s">
        <v>3632</v>
      </c>
      <c r="B273" s="2" t="s">
        <v>2483</v>
      </c>
      <c r="C273" s="3">
        <v>1</v>
      </c>
      <c r="D273" s="5">
        <v>34.880000000000003</v>
      </c>
      <c r="E273" s="3">
        <v>100058189</v>
      </c>
      <c r="F273" s="2" t="s">
        <v>15</v>
      </c>
      <c r="G273" s="6" t="s">
        <v>58</v>
      </c>
      <c r="H273" s="2" t="s">
        <v>194</v>
      </c>
      <c r="I273" s="2" t="s">
        <v>195</v>
      </c>
      <c r="J273" s="2" t="s">
        <v>19</v>
      </c>
      <c r="K273" s="2" t="s">
        <v>648</v>
      </c>
      <c r="L273" s="7" t="str">
        <f>HYPERLINK("http://slimages.macys.com/is/image/MCY/12802459 ")</f>
        <v xml:space="preserve">http://slimages.macys.com/is/image/MCY/12802459 </v>
      </c>
    </row>
    <row r="274" spans="1:12" ht="24.75" x14ac:dyDescent="0.25">
      <c r="A274" s="4" t="s">
        <v>2482</v>
      </c>
      <c r="B274" s="2" t="s">
        <v>2483</v>
      </c>
      <c r="C274" s="3">
        <v>2</v>
      </c>
      <c r="D274" s="5">
        <v>34.880000000000003</v>
      </c>
      <c r="E274" s="3">
        <v>100058189</v>
      </c>
      <c r="F274" s="2" t="s">
        <v>15</v>
      </c>
      <c r="G274" s="6" t="s">
        <v>27</v>
      </c>
      <c r="H274" s="2" t="s">
        <v>194</v>
      </c>
      <c r="I274" s="2" t="s">
        <v>195</v>
      </c>
      <c r="J274" s="2" t="s">
        <v>19</v>
      </c>
      <c r="K274" s="2" t="s">
        <v>648</v>
      </c>
      <c r="L274" s="7" t="str">
        <f>HYPERLINK("http://slimages.macys.com/is/image/MCY/12802459 ")</f>
        <v xml:space="preserve">http://slimages.macys.com/is/image/MCY/12802459 </v>
      </c>
    </row>
    <row r="275" spans="1:12" ht="24.75" x14ac:dyDescent="0.25">
      <c r="A275" s="4" t="s">
        <v>4725</v>
      </c>
      <c r="B275" s="2" t="s">
        <v>926</v>
      </c>
      <c r="C275" s="3">
        <v>1</v>
      </c>
      <c r="D275" s="5">
        <v>37.130000000000003</v>
      </c>
      <c r="E275" s="3">
        <v>100009311</v>
      </c>
      <c r="F275" s="2" t="s">
        <v>64</v>
      </c>
      <c r="G275" s="6" t="s">
        <v>27</v>
      </c>
      <c r="H275" s="2" t="s">
        <v>194</v>
      </c>
      <c r="I275" s="2" t="s">
        <v>928</v>
      </c>
      <c r="J275" s="2" t="s">
        <v>19</v>
      </c>
      <c r="K275" s="2" t="s">
        <v>929</v>
      </c>
      <c r="L275" s="7" t="str">
        <f>HYPERLINK("http://slimages.macys.com/is/image/MCY/10249270 ")</f>
        <v xml:space="preserve">http://slimages.macys.com/is/image/MCY/10249270 </v>
      </c>
    </row>
    <row r="276" spans="1:12" ht="24.75" x14ac:dyDescent="0.25">
      <c r="A276" s="4" t="s">
        <v>2484</v>
      </c>
      <c r="B276" s="2" t="s">
        <v>926</v>
      </c>
      <c r="C276" s="3">
        <v>1</v>
      </c>
      <c r="D276" s="5">
        <v>37.130000000000003</v>
      </c>
      <c r="E276" s="3">
        <v>100009311</v>
      </c>
      <c r="F276" s="2" t="s">
        <v>64</v>
      </c>
      <c r="G276" s="6" t="s">
        <v>16</v>
      </c>
      <c r="H276" s="2" t="s">
        <v>194</v>
      </c>
      <c r="I276" s="2" t="s">
        <v>928</v>
      </c>
      <c r="J276" s="2" t="s">
        <v>19</v>
      </c>
      <c r="K276" s="2" t="s">
        <v>929</v>
      </c>
      <c r="L276" s="7" t="str">
        <f>HYPERLINK("http://slimages.macys.com/is/image/MCY/10249270 ")</f>
        <v xml:space="preserve">http://slimages.macys.com/is/image/MCY/10249270 </v>
      </c>
    </row>
    <row r="277" spans="1:12" ht="24.75" x14ac:dyDescent="0.25">
      <c r="A277" s="4" t="s">
        <v>4726</v>
      </c>
      <c r="B277" s="2" t="s">
        <v>890</v>
      </c>
      <c r="C277" s="3">
        <v>1</v>
      </c>
      <c r="D277" s="5">
        <v>34.5</v>
      </c>
      <c r="E277" s="3" t="s">
        <v>891</v>
      </c>
      <c r="F277" s="2" t="s">
        <v>64</v>
      </c>
      <c r="G277" s="6" t="s">
        <v>58</v>
      </c>
      <c r="H277" s="2" t="s">
        <v>228</v>
      </c>
      <c r="I277" s="2" t="s">
        <v>229</v>
      </c>
      <c r="J277" s="2" t="s">
        <v>19</v>
      </c>
      <c r="K277" s="2" t="s">
        <v>253</v>
      </c>
      <c r="L277" s="7" t="str">
        <f>HYPERLINK("http://slimages.macys.com/is/image/MCY/3623510 ")</f>
        <v xml:space="preserve">http://slimages.macys.com/is/image/MCY/3623510 </v>
      </c>
    </row>
    <row r="278" spans="1:12" ht="24.75" x14ac:dyDescent="0.25">
      <c r="A278" s="4" t="s">
        <v>4727</v>
      </c>
      <c r="B278" s="2" t="s">
        <v>4728</v>
      </c>
      <c r="C278" s="3">
        <v>1</v>
      </c>
      <c r="D278" s="5">
        <v>36.75</v>
      </c>
      <c r="E278" s="3">
        <v>100066375</v>
      </c>
      <c r="F278" s="2" t="s">
        <v>89</v>
      </c>
      <c r="G278" s="6" t="s">
        <v>156</v>
      </c>
      <c r="H278" s="2" t="s">
        <v>228</v>
      </c>
      <c r="I278" s="2" t="s">
        <v>229</v>
      </c>
      <c r="J278" s="2" t="s">
        <v>19</v>
      </c>
      <c r="K278" s="2" t="s">
        <v>230</v>
      </c>
      <c r="L278" s="7" t="str">
        <f>HYPERLINK("http://slimages.macys.com/is/image/MCY/12316776 ")</f>
        <v xml:space="preserve">http://slimages.macys.com/is/image/MCY/12316776 </v>
      </c>
    </row>
    <row r="279" spans="1:12" ht="24.75" x14ac:dyDescent="0.25">
      <c r="A279" s="4" t="s">
        <v>2488</v>
      </c>
      <c r="B279" s="2" t="s">
        <v>901</v>
      </c>
      <c r="C279" s="3">
        <v>1</v>
      </c>
      <c r="D279" s="5">
        <v>39.5</v>
      </c>
      <c r="E279" s="3" t="s">
        <v>902</v>
      </c>
      <c r="F279" s="2" t="s">
        <v>417</v>
      </c>
      <c r="G279" s="6" t="s">
        <v>181</v>
      </c>
      <c r="H279" s="2" t="s">
        <v>194</v>
      </c>
      <c r="I279" s="2" t="s">
        <v>195</v>
      </c>
      <c r="J279" s="2" t="s">
        <v>19</v>
      </c>
      <c r="K279" s="2" t="s">
        <v>438</v>
      </c>
      <c r="L279" s="7" t="str">
        <f>HYPERLINK("http://slimages.macys.com/is/image/MCY/12143757 ")</f>
        <v xml:space="preserve">http://slimages.macys.com/is/image/MCY/12143757 </v>
      </c>
    </row>
    <row r="280" spans="1:12" ht="24.75" x14ac:dyDescent="0.25">
      <c r="A280" s="4" t="s">
        <v>4729</v>
      </c>
      <c r="B280" s="2" t="s">
        <v>898</v>
      </c>
      <c r="C280" s="3">
        <v>1</v>
      </c>
      <c r="D280" s="5">
        <v>37.130000000000003</v>
      </c>
      <c r="E280" s="3">
        <v>100009193</v>
      </c>
      <c r="F280" s="2" t="s">
        <v>170</v>
      </c>
      <c r="G280" s="6" t="s">
        <v>22</v>
      </c>
      <c r="H280" s="2" t="s">
        <v>194</v>
      </c>
      <c r="I280" s="2" t="s">
        <v>503</v>
      </c>
      <c r="J280" s="2" t="s">
        <v>19</v>
      </c>
      <c r="K280" s="2" t="s">
        <v>353</v>
      </c>
      <c r="L280" s="7" t="str">
        <f>HYPERLINK("http://slimages.macys.com/is/image/MCY/11804644 ")</f>
        <v xml:space="preserve">http://slimages.macys.com/is/image/MCY/11804644 </v>
      </c>
    </row>
    <row r="281" spans="1:12" ht="24.75" x14ac:dyDescent="0.25">
      <c r="A281" s="4" t="s">
        <v>4730</v>
      </c>
      <c r="B281" s="2" t="s">
        <v>904</v>
      </c>
      <c r="C281" s="3">
        <v>1</v>
      </c>
      <c r="D281" s="5">
        <v>34.5</v>
      </c>
      <c r="E281" s="3" t="s">
        <v>905</v>
      </c>
      <c r="F281" s="2" t="s">
        <v>74</v>
      </c>
      <c r="G281" s="6" t="s">
        <v>245</v>
      </c>
      <c r="H281" s="2" t="s">
        <v>228</v>
      </c>
      <c r="I281" s="2" t="s">
        <v>229</v>
      </c>
      <c r="J281" s="2" t="s">
        <v>19</v>
      </c>
      <c r="K281" s="2" t="s">
        <v>253</v>
      </c>
      <c r="L281" s="7" t="str">
        <f>HYPERLINK("http://slimages.macys.com/is/image/MCY/12794164 ")</f>
        <v xml:space="preserve">http://slimages.macys.com/is/image/MCY/12794164 </v>
      </c>
    </row>
    <row r="282" spans="1:12" ht="24.75" x14ac:dyDescent="0.25">
      <c r="A282" s="4" t="s">
        <v>903</v>
      </c>
      <c r="B282" s="2" t="s">
        <v>904</v>
      </c>
      <c r="C282" s="3">
        <v>1</v>
      </c>
      <c r="D282" s="5">
        <v>34.5</v>
      </c>
      <c r="E282" s="3" t="s">
        <v>905</v>
      </c>
      <c r="F282" s="2" t="s">
        <v>74</v>
      </c>
      <c r="G282" s="6" t="s">
        <v>234</v>
      </c>
      <c r="H282" s="2" t="s">
        <v>228</v>
      </c>
      <c r="I282" s="2" t="s">
        <v>229</v>
      </c>
      <c r="J282" s="2" t="s">
        <v>19</v>
      </c>
      <c r="K282" s="2" t="s">
        <v>253</v>
      </c>
      <c r="L282" s="7" t="str">
        <f>HYPERLINK("http://slimages.macys.com/is/image/MCY/12794164 ")</f>
        <v xml:space="preserve">http://slimages.macys.com/is/image/MCY/12794164 </v>
      </c>
    </row>
    <row r="283" spans="1:12" ht="24.75" x14ac:dyDescent="0.25">
      <c r="A283" s="4" t="s">
        <v>4731</v>
      </c>
      <c r="B283" s="2" t="s">
        <v>904</v>
      </c>
      <c r="C283" s="3">
        <v>1</v>
      </c>
      <c r="D283" s="5">
        <v>34.5</v>
      </c>
      <c r="E283" s="3" t="s">
        <v>907</v>
      </c>
      <c r="F283" s="2" t="s">
        <v>26</v>
      </c>
      <c r="G283" s="6" t="s">
        <v>181</v>
      </c>
      <c r="H283" s="2" t="s">
        <v>228</v>
      </c>
      <c r="I283" s="2" t="s">
        <v>229</v>
      </c>
      <c r="J283" s="2" t="s">
        <v>19</v>
      </c>
      <c r="K283" s="2" t="s">
        <v>253</v>
      </c>
      <c r="L283" s="7" t="str">
        <f>HYPERLINK("http://slimages.macys.com/is/image/MCY/12794164 ")</f>
        <v xml:space="preserve">http://slimages.macys.com/is/image/MCY/12794164 </v>
      </c>
    </row>
    <row r="284" spans="1:12" ht="24.75" x14ac:dyDescent="0.25">
      <c r="A284" s="4" t="s">
        <v>4732</v>
      </c>
      <c r="B284" s="2" t="s">
        <v>909</v>
      </c>
      <c r="C284" s="3">
        <v>1</v>
      </c>
      <c r="D284" s="5">
        <v>40.880000000000003</v>
      </c>
      <c r="E284" s="3" t="s">
        <v>910</v>
      </c>
      <c r="F284" s="2" t="s">
        <v>1584</v>
      </c>
      <c r="G284" s="6" t="s">
        <v>16</v>
      </c>
      <c r="H284" s="2" t="s">
        <v>246</v>
      </c>
      <c r="I284" s="2" t="s">
        <v>189</v>
      </c>
      <c r="J284" s="2" t="s">
        <v>19</v>
      </c>
      <c r="K284" s="2" t="s">
        <v>648</v>
      </c>
      <c r="L284" s="7" t="str">
        <f>HYPERLINK("http://slimages.macys.com/is/image/MCY/11940216 ")</f>
        <v xml:space="preserve">http://slimages.macys.com/is/image/MCY/11940216 </v>
      </c>
    </row>
    <row r="285" spans="1:12" ht="24.75" x14ac:dyDescent="0.25">
      <c r="A285" s="4" t="s">
        <v>4733</v>
      </c>
      <c r="B285" s="2" t="s">
        <v>909</v>
      </c>
      <c r="C285" s="3">
        <v>1</v>
      </c>
      <c r="D285" s="5">
        <v>40.880000000000003</v>
      </c>
      <c r="E285" s="3" t="s">
        <v>910</v>
      </c>
      <c r="F285" s="2" t="s">
        <v>911</v>
      </c>
      <c r="G285" s="6" t="s">
        <v>27</v>
      </c>
      <c r="H285" s="2" t="s">
        <v>246</v>
      </c>
      <c r="I285" s="2" t="s">
        <v>189</v>
      </c>
      <c r="J285" s="2" t="s">
        <v>19</v>
      </c>
      <c r="K285" s="2" t="s">
        <v>648</v>
      </c>
      <c r="L285" s="7" t="str">
        <f>HYPERLINK("http://slimages.macys.com/is/image/MCY/11940216 ")</f>
        <v xml:space="preserve">http://slimages.macys.com/is/image/MCY/11940216 </v>
      </c>
    </row>
    <row r="286" spans="1:12" ht="24.75" x14ac:dyDescent="0.25">
      <c r="A286" s="4" t="s">
        <v>4734</v>
      </c>
      <c r="B286" s="2" t="s">
        <v>4735</v>
      </c>
      <c r="C286" s="3">
        <v>1</v>
      </c>
      <c r="D286" s="5">
        <v>59.5</v>
      </c>
      <c r="E286" s="3" t="s">
        <v>4736</v>
      </c>
      <c r="F286" s="2" t="s">
        <v>15</v>
      </c>
      <c r="G286" s="6" t="s">
        <v>106</v>
      </c>
      <c r="H286" s="2" t="s">
        <v>386</v>
      </c>
      <c r="I286" s="2" t="s">
        <v>207</v>
      </c>
      <c r="J286" s="2" t="s">
        <v>19</v>
      </c>
      <c r="K286" s="2" t="s">
        <v>338</v>
      </c>
      <c r="L286" s="7" t="str">
        <f>HYPERLINK("http://slimages.macys.com/is/image/MCY/9477976 ")</f>
        <v xml:space="preserve">http://slimages.macys.com/is/image/MCY/9477976 </v>
      </c>
    </row>
    <row r="287" spans="1:12" ht="24.75" x14ac:dyDescent="0.25">
      <c r="A287" s="4" t="s">
        <v>4737</v>
      </c>
      <c r="B287" s="2" t="s">
        <v>917</v>
      </c>
      <c r="C287" s="3">
        <v>1</v>
      </c>
      <c r="D287" s="5">
        <v>37.130000000000003</v>
      </c>
      <c r="E287" s="3" t="s">
        <v>918</v>
      </c>
      <c r="F287" s="2" t="s">
        <v>376</v>
      </c>
      <c r="G287" s="6"/>
      <c r="H287" s="2" t="s">
        <v>312</v>
      </c>
      <c r="I287" s="2" t="s">
        <v>919</v>
      </c>
      <c r="J287" s="2" t="s">
        <v>19</v>
      </c>
      <c r="K287" s="2" t="s">
        <v>409</v>
      </c>
      <c r="L287" s="7" t="str">
        <f>HYPERLINK("http://slimages.macys.com/is/image/MCY/11144334 ")</f>
        <v xml:space="preserve">http://slimages.macys.com/is/image/MCY/11144334 </v>
      </c>
    </row>
    <row r="288" spans="1:12" ht="24.75" x14ac:dyDescent="0.25">
      <c r="A288" s="4" t="s">
        <v>924</v>
      </c>
      <c r="B288" s="2" t="s">
        <v>917</v>
      </c>
      <c r="C288" s="3">
        <v>1</v>
      </c>
      <c r="D288" s="5">
        <v>37.130000000000003</v>
      </c>
      <c r="E288" s="3" t="s">
        <v>918</v>
      </c>
      <c r="F288" s="2" t="s">
        <v>376</v>
      </c>
      <c r="G288" s="6"/>
      <c r="H288" s="2" t="s">
        <v>312</v>
      </c>
      <c r="I288" s="2" t="s">
        <v>919</v>
      </c>
      <c r="J288" s="2" t="s">
        <v>19</v>
      </c>
      <c r="K288" s="2" t="s">
        <v>409</v>
      </c>
      <c r="L288" s="7" t="str">
        <f>HYPERLINK("http://slimages.macys.com/is/image/MCY/11144334 ")</f>
        <v xml:space="preserve">http://slimages.macys.com/is/image/MCY/11144334 </v>
      </c>
    </row>
    <row r="289" spans="1:12" ht="24.75" x14ac:dyDescent="0.25">
      <c r="A289" s="4" t="s">
        <v>4738</v>
      </c>
      <c r="B289" s="2" t="s">
        <v>936</v>
      </c>
      <c r="C289" s="3">
        <v>1</v>
      </c>
      <c r="D289" s="5">
        <v>34.5</v>
      </c>
      <c r="E289" s="3">
        <v>100025268</v>
      </c>
      <c r="F289" s="2" t="s">
        <v>417</v>
      </c>
      <c r="G289" s="6" t="s">
        <v>16</v>
      </c>
      <c r="H289" s="2" t="s">
        <v>228</v>
      </c>
      <c r="I289" s="2" t="s">
        <v>229</v>
      </c>
      <c r="J289" s="2" t="s">
        <v>19</v>
      </c>
      <c r="K289" s="2" t="s">
        <v>230</v>
      </c>
      <c r="L289" s="7" t="str">
        <f>HYPERLINK("http://slimages.macys.com/is/image/MCY/10985237 ")</f>
        <v xml:space="preserve">http://slimages.macys.com/is/image/MCY/10985237 </v>
      </c>
    </row>
    <row r="290" spans="1:12" ht="24.75" x14ac:dyDescent="0.25">
      <c r="A290" s="4" t="s">
        <v>3654</v>
      </c>
      <c r="B290" s="2" t="s">
        <v>3655</v>
      </c>
      <c r="C290" s="3">
        <v>1</v>
      </c>
      <c r="D290" s="5">
        <v>37.130000000000003</v>
      </c>
      <c r="E290" s="3" t="s">
        <v>3656</v>
      </c>
      <c r="F290" s="2" t="s">
        <v>64</v>
      </c>
      <c r="G290" s="6"/>
      <c r="H290" s="2" t="s">
        <v>188</v>
      </c>
      <c r="I290" s="2" t="s">
        <v>189</v>
      </c>
      <c r="J290" s="2" t="s">
        <v>19</v>
      </c>
      <c r="K290" s="2" t="s">
        <v>107</v>
      </c>
      <c r="L290" s="7" t="str">
        <f>HYPERLINK("http://slimages.macys.com/is/image/MCY/12649415 ")</f>
        <v xml:space="preserve">http://slimages.macys.com/is/image/MCY/12649415 </v>
      </c>
    </row>
    <row r="291" spans="1:12" ht="24.75" x14ac:dyDescent="0.25">
      <c r="A291" s="4" t="s">
        <v>4739</v>
      </c>
      <c r="B291" s="2" t="s">
        <v>941</v>
      </c>
      <c r="C291" s="3">
        <v>1</v>
      </c>
      <c r="D291" s="5">
        <v>40.880000000000003</v>
      </c>
      <c r="E291" s="3" t="s">
        <v>942</v>
      </c>
      <c r="F291" s="2" t="s">
        <v>74</v>
      </c>
      <c r="G291" s="6" t="s">
        <v>126</v>
      </c>
      <c r="H291" s="2" t="s">
        <v>188</v>
      </c>
      <c r="I291" s="2" t="s">
        <v>214</v>
      </c>
      <c r="J291" s="2" t="s">
        <v>19</v>
      </c>
      <c r="K291" s="2" t="s">
        <v>387</v>
      </c>
      <c r="L291" s="7" t="str">
        <f>HYPERLINK("http://slimages.macys.com/is/image/MCY/11699651 ")</f>
        <v xml:space="preserve">http://slimages.macys.com/is/image/MCY/11699651 </v>
      </c>
    </row>
    <row r="292" spans="1:12" ht="48.75" x14ac:dyDescent="0.25">
      <c r="A292" s="4" t="s">
        <v>4740</v>
      </c>
      <c r="B292" s="2" t="s">
        <v>984</v>
      </c>
      <c r="C292" s="3">
        <v>1</v>
      </c>
      <c r="D292" s="5">
        <v>44.63</v>
      </c>
      <c r="E292" s="3" t="s">
        <v>985</v>
      </c>
      <c r="F292" s="2" t="s">
        <v>132</v>
      </c>
      <c r="G292" s="6" t="s">
        <v>112</v>
      </c>
      <c r="H292" s="2" t="s">
        <v>246</v>
      </c>
      <c r="I292" s="2" t="s">
        <v>487</v>
      </c>
      <c r="J292" s="2" t="s">
        <v>19</v>
      </c>
      <c r="K292" s="2" t="s">
        <v>787</v>
      </c>
      <c r="L292" s="7" t="str">
        <f>HYPERLINK("http://slimages.macys.com/is/image/MCY/11808679 ")</f>
        <v xml:space="preserve">http://slimages.macys.com/is/image/MCY/11808679 </v>
      </c>
    </row>
    <row r="293" spans="1:12" ht="24.75" x14ac:dyDescent="0.25">
      <c r="A293" s="4" t="s">
        <v>4741</v>
      </c>
      <c r="B293" s="2" t="s">
        <v>945</v>
      </c>
      <c r="C293" s="3">
        <v>1</v>
      </c>
      <c r="D293" s="5">
        <v>44.63</v>
      </c>
      <c r="E293" s="3" t="s">
        <v>946</v>
      </c>
      <c r="F293" s="2" t="s">
        <v>74</v>
      </c>
      <c r="G293" s="6"/>
      <c r="H293" s="2" t="s">
        <v>312</v>
      </c>
      <c r="I293" s="2" t="s">
        <v>195</v>
      </c>
      <c r="J293" s="2" t="s">
        <v>19</v>
      </c>
      <c r="K293" s="2" t="s">
        <v>247</v>
      </c>
      <c r="L293" s="7" t="str">
        <f>HYPERLINK("http://slimages.macys.com/is/image/MCY/8963902 ")</f>
        <v xml:space="preserve">http://slimages.macys.com/is/image/MCY/8963902 </v>
      </c>
    </row>
    <row r="294" spans="1:12" ht="24.75" x14ac:dyDescent="0.25">
      <c r="A294" s="4" t="s">
        <v>4742</v>
      </c>
      <c r="B294" s="2" t="s">
        <v>4743</v>
      </c>
      <c r="C294" s="3">
        <v>1</v>
      </c>
      <c r="D294" s="5">
        <v>40.880000000000003</v>
      </c>
      <c r="E294" s="3">
        <v>100013714</v>
      </c>
      <c r="F294" s="2" t="s">
        <v>413</v>
      </c>
      <c r="G294" s="6" t="s">
        <v>234</v>
      </c>
      <c r="H294" s="2" t="s">
        <v>284</v>
      </c>
      <c r="I294" s="2" t="s">
        <v>285</v>
      </c>
      <c r="J294" s="2" t="s">
        <v>19</v>
      </c>
      <c r="K294" s="2" t="s">
        <v>160</v>
      </c>
      <c r="L294" s="7" t="str">
        <f>HYPERLINK("http://slimages.macys.com/is/image/MCY/9357589 ")</f>
        <v xml:space="preserve">http://slimages.macys.com/is/image/MCY/9357589 </v>
      </c>
    </row>
    <row r="295" spans="1:12" ht="24.75" x14ac:dyDescent="0.25">
      <c r="A295" s="4" t="s">
        <v>2501</v>
      </c>
      <c r="B295" s="2" t="s">
        <v>948</v>
      </c>
      <c r="C295" s="3">
        <v>1</v>
      </c>
      <c r="D295" s="5">
        <v>34.880000000000003</v>
      </c>
      <c r="E295" s="3">
        <v>100038962</v>
      </c>
      <c r="F295" s="2" t="s">
        <v>376</v>
      </c>
      <c r="G295" s="6" t="s">
        <v>58</v>
      </c>
      <c r="H295" s="2" t="s">
        <v>194</v>
      </c>
      <c r="I295" s="2" t="s">
        <v>195</v>
      </c>
      <c r="J295" s="2" t="s">
        <v>19</v>
      </c>
      <c r="K295" s="2" t="s">
        <v>353</v>
      </c>
      <c r="L295" s="7" t="str">
        <f>HYPERLINK("http://slimages.macys.com/is/image/MCY/11145019 ")</f>
        <v xml:space="preserve">http://slimages.macys.com/is/image/MCY/11145019 </v>
      </c>
    </row>
    <row r="296" spans="1:12" ht="36.75" x14ac:dyDescent="0.25">
      <c r="A296" s="4" t="s">
        <v>4744</v>
      </c>
      <c r="B296" s="2" t="s">
        <v>961</v>
      </c>
      <c r="C296" s="3">
        <v>1</v>
      </c>
      <c r="D296" s="5">
        <v>40.880000000000003</v>
      </c>
      <c r="E296" s="3">
        <v>100026212</v>
      </c>
      <c r="F296" s="2" t="s">
        <v>15</v>
      </c>
      <c r="G296" s="6" t="s">
        <v>154</v>
      </c>
      <c r="H296" s="2" t="s">
        <v>194</v>
      </c>
      <c r="I296" s="2" t="s">
        <v>195</v>
      </c>
      <c r="J296" s="2" t="s">
        <v>19</v>
      </c>
      <c r="K296" s="2" t="s">
        <v>962</v>
      </c>
      <c r="L296" s="7" t="str">
        <f>HYPERLINK("http://slimages.macys.com/is/image/MCY/10139221 ")</f>
        <v xml:space="preserve">http://slimages.macys.com/is/image/MCY/10139221 </v>
      </c>
    </row>
    <row r="297" spans="1:12" ht="24.75" x14ac:dyDescent="0.25">
      <c r="A297" s="4" t="s">
        <v>4745</v>
      </c>
      <c r="B297" s="2" t="s">
        <v>4746</v>
      </c>
      <c r="C297" s="3">
        <v>1</v>
      </c>
      <c r="D297" s="5">
        <v>36.5</v>
      </c>
      <c r="E297" s="3" t="s">
        <v>4747</v>
      </c>
      <c r="F297" s="2" t="s">
        <v>74</v>
      </c>
      <c r="G297" s="6" t="s">
        <v>156</v>
      </c>
      <c r="H297" s="2" t="s">
        <v>284</v>
      </c>
      <c r="I297" s="2" t="s">
        <v>408</v>
      </c>
      <c r="J297" s="2" t="s">
        <v>19</v>
      </c>
      <c r="K297" s="2" t="s">
        <v>409</v>
      </c>
      <c r="L297" s="7" t="str">
        <f>HYPERLINK("http://slimages.macys.com/is/image/MCY/11957298 ")</f>
        <v xml:space="preserve">http://slimages.macys.com/is/image/MCY/11957298 </v>
      </c>
    </row>
    <row r="298" spans="1:12" ht="24.75" x14ac:dyDescent="0.25">
      <c r="A298" s="4" t="s">
        <v>4748</v>
      </c>
      <c r="B298" s="2" t="s">
        <v>744</v>
      </c>
      <c r="C298" s="3">
        <v>1</v>
      </c>
      <c r="D298" s="5">
        <v>34.99</v>
      </c>
      <c r="E298" s="3" t="s">
        <v>4749</v>
      </c>
      <c r="F298" s="2" t="s">
        <v>64</v>
      </c>
      <c r="G298" s="6" t="s">
        <v>181</v>
      </c>
      <c r="H298" s="2" t="s">
        <v>284</v>
      </c>
      <c r="I298" s="2" t="s">
        <v>285</v>
      </c>
      <c r="J298" s="2" t="s">
        <v>19</v>
      </c>
      <c r="K298" s="2" t="s">
        <v>34</v>
      </c>
      <c r="L298" s="7" t="str">
        <f>HYPERLINK("http://slimages.macys.com/is/image/MCY/9723880 ")</f>
        <v xml:space="preserve">http://slimages.macys.com/is/image/MCY/9723880 </v>
      </c>
    </row>
    <row r="299" spans="1:12" ht="24.75" x14ac:dyDescent="0.25">
      <c r="A299" s="4" t="s">
        <v>3681</v>
      </c>
      <c r="B299" s="2" t="s">
        <v>641</v>
      </c>
      <c r="C299" s="3">
        <v>1</v>
      </c>
      <c r="D299" s="5">
        <v>29.99</v>
      </c>
      <c r="E299" s="3" t="s">
        <v>2506</v>
      </c>
      <c r="F299" s="2" t="s">
        <v>26</v>
      </c>
      <c r="G299" s="6" t="s">
        <v>181</v>
      </c>
      <c r="H299" s="2" t="s">
        <v>284</v>
      </c>
      <c r="I299" s="2" t="s">
        <v>408</v>
      </c>
      <c r="J299" s="2" t="s">
        <v>19</v>
      </c>
      <c r="K299" s="2" t="s">
        <v>409</v>
      </c>
      <c r="L299" s="7" t="str">
        <f>HYPERLINK("http://slimages.macys.com/is/image/MCY/9387631 ")</f>
        <v xml:space="preserve">http://slimages.macys.com/is/image/MCY/9387631 </v>
      </c>
    </row>
    <row r="300" spans="1:12" ht="24.75" x14ac:dyDescent="0.25">
      <c r="A300" s="4" t="s">
        <v>4750</v>
      </c>
      <c r="B300" s="2" t="s">
        <v>641</v>
      </c>
      <c r="C300" s="3">
        <v>1</v>
      </c>
      <c r="D300" s="5">
        <v>29.99</v>
      </c>
      <c r="E300" s="3" t="s">
        <v>2506</v>
      </c>
      <c r="F300" s="2" t="s">
        <v>26</v>
      </c>
      <c r="G300" s="6" t="s">
        <v>200</v>
      </c>
      <c r="H300" s="2" t="s">
        <v>284</v>
      </c>
      <c r="I300" s="2" t="s">
        <v>408</v>
      </c>
      <c r="J300" s="2" t="s">
        <v>19</v>
      </c>
      <c r="K300" s="2" t="s">
        <v>409</v>
      </c>
      <c r="L300" s="7" t="str">
        <f>HYPERLINK("http://slimages.macys.com/is/image/MCY/9387631 ")</f>
        <v xml:space="preserve">http://slimages.macys.com/is/image/MCY/9387631 </v>
      </c>
    </row>
    <row r="301" spans="1:12" ht="24.75" x14ac:dyDescent="0.25">
      <c r="A301" s="4" t="s">
        <v>4751</v>
      </c>
      <c r="B301" s="2" t="s">
        <v>4752</v>
      </c>
      <c r="C301" s="3">
        <v>1</v>
      </c>
      <c r="D301" s="5">
        <v>44</v>
      </c>
      <c r="E301" s="3" t="s">
        <v>4753</v>
      </c>
      <c r="F301" s="2" t="s">
        <v>74</v>
      </c>
      <c r="G301" s="6" t="s">
        <v>794</v>
      </c>
      <c r="H301" s="2" t="s">
        <v>447</v>
      </c>
      <c r="I301" s="2" t="s">
        <v>792</v>
      </c>
      <c r="J301" s="2" t="s">
        <v>19</v>
      </c>
      <c r="K301" s="2" t="s">
        <v>409</v>
      </c>
      <c r="L301" s="7" t="str">
        <f>HYPERLINK("http://slimages.macys.com/is/image/MCY/14876516 ")</f>
        <v xml:space="preserve">http://slimages.macys.com/is/image/MCY/14876516 </v>
      </c>
    </row>
    <row r="302" spans="1:12" ht="24.75" x14ac:dyDescent="0.25">
      <c r="A302" s="4" t="s">
        <v>4754</v>
      </c>
      <c r="B302" s="2" t="s">
        <v>4752</v>
      </c>
      <c r="C302" s="3">
        <v>1</v>
      </c>
      <c r="D302" s="5">
        <v>44</v>
      </c>
      <c r="E302" s="3" t="s">
        <v>4753</v>
      </c>
      <c r="F302" s="2" t="s">
        <v>74</v>
      </c>
      <c r="G302" s="6"/>
      <c r="H302" s="2" t="s">
        <v>447</v>
      </c>
      <c r="I302" s="2" t="s">
        <v>792</v>
      </c>
      <c r="J302" s="2" t="s">
        <v>19</v>
      </c>
      <c r="K302" s="2" t="s">
        <v>409</v>
      </c>
      <c r="L302" s="7" t="str">
        <f>HYPERLINK("http://slimages.macys.com/is/image/MCY/14876516 ")</f>
        <v xml:space="preserve">http://slimages.macys.com/is/image/MCY/14876516 </v>
      </c>
    </row>
    <row r="303" spans="1:12" ht="24.75" x14ac:dyDescent="0.25">
      <c r="A303" s="4" t="s">
        <v>4755</v>
      </c>
      <c r="B303" s="2" t="s">
        <v>4756</v>
      </c>
      <c r="C303" s="3">
        <v>1</v>
      </c>
      <c r="D303" s="5">
        <v>44</v>
      </c>
      <c r="E303" s="3" t="s">
        <v>4757</v>
      </c>
      <c r="F303" s="2" t="s">
        <v>331</v>
      </c>
      <c r="G303" s="6" t="s">
        <v>446</v>
      </c>
      <c r="H303" s="2" t="s">
        <v>447</v>
      </c>
      <c r="I303" s="2" t="s">
        <v>792</v>
      </c>
      <c r="J303" s="2" t="s">
        <v>19</v>
      </c>
      <c r="K303" s="2" t="s">
        <v>160</v>
      </c>
      <c r="L303" s="7" t="str">
        <f>HYPERLINK("http://slimages.macys.com/is/image/MCY/14875672 ")</f>
        <v xml:space="preserve">http://slimages.macys.com/is/image/MCY/14875672 </v>
      </c>
    </row>
    <row r="304" spans="1:12" ht="24.75" x14ac:dyDescent="0.25">
      <c r="A304" s="4" t="s">
        <v>4758</v>
      </c>
      <c r="B304" s="2" t="s">
        <v>4752</v>
      </c>
      <c r="C304" s="3">
        <v>1</v>
      </c>
      <c r="D304" s="5">
        <v>44</v>
      </c>
      <c r="E304" s="3" t="s">
        <v>4753</v>
      </c>
      <c r="F304" s="2" t="s">
        <v>74</v>
      </c>
      <c r="G304" s="6" t="s">
        <v>446</v>
      </c>
      <c r="H304" s="2" t="s">
        <v>447</v>
      </c>
      <c r="I304" s="2" t="s">
        <v>792</v>
      </c>
      <c r="J304" s="2" t="s">
        <v>19</v>
      </c>
      <c r="K304" s="2" t="s">
        <v>409</v>
      </c>
      <c r="L304" s="7" t="str">
        <f>HYPERLINK("http://slimages.macys.com/is/image/MCY/14876516 ")</f>
        <v xml:space="preserve">http://slimages.macys.com/is/image/MCY/14876516 </v>
      </c>
    </row>
    <row r="305" spans="1:12" ht="24.75" x14ac:dyDescent="0.25">
      <c r="A305" s="4" t="s">
        <v>4759</v>
      </c>
      <c r="B305" s="2" t="s">
        <v>4756</v>
      </c>
      <c r="C305" s="3">
        <v>1</v>
      </c>
      <c r="D305" s="5">
        <v>44</v>
      </c>
      <c r="E305" s="3" t="s">
        <v>4757</v>
      </c>
      <c r="F305" s="2" t="s">
        <v>331</v>
      </c>
      <c r="G305" s="6"/>
      <c r="H305" s="2" t="s">
        <v>447</v>
      </c>
      <c r="I305" s="2" t="s">
        <v>792</v>
      </c>
      <c r="J305" s="2" t="s">
        <v>19</v>
      </c>
      <c r="K305" s="2" t="s">
        <v>160</v>
      </c>
      <c r="L305" s="7" t="str">
        <f>HYPERLINK("http://slimages.macys.com/is/image/MCY/14875672 ")</f>
        <v xml:space="preserve">http://slimages.macys.com/is/image/MCY/14875672 </v>
      </c>
    </row>
    <row r="306" spans="1:12" ht="24.75" x14ac:dyDescent="0.25">
      <c r="A306" s="4" t="s">
        <v>4760</v>
      </c>
      <c r="B306" s="2" t="s">
        <v>3688</v>
      </c>
      <c r="C306" s="3">
        <v>1</v>
      </c>
      <c r="D306" s="5">
        <v>59.5</v>
      </c>
      <c r="E306" s="3" t="s">
        <v>3689</v>
      </c>
      <c r="F306" s="2" t="s">
        <v>252</v>
      </c>
      <c r="G306" s="6" t="s">
        <v>336</v>
      </c>
      <c r="H306" s="2" t="s">
        <v>206</v>
      </c>
      <c r="I306" s="2" t="s">
        <v>207</v>
      </c>
      <c r="J306" s="2" t="s">
        <v>19</v>
      </c>
      <c r="K306" s="2" t="s">
        <v>338</v>
      </c>
      <c r="L306" s="7" t="str">
        <f>HYPERLINK("http://slimages.macys.com/is/image/MCY/11782534 ")</f>
        <v xml:space="preserve">http://slimages.macys.com/is/image/MCY/11782534 </v>
      </c>
    </row>
    <row r="307" spans="1:12" ht="48.75" x14ac:dyDescent="0.25">
      <c r="A307" s="4" t="s">
        <v>4761</v>
      </c>
      <c r="B307" s="2" t="s">
        <v>984</v>
      </c>
      <c r="C307" s="3">
        <v>1</v>
      </c>
      <c r="D307" s="5">
        <v>44.63</v>
      </c>
      <c r="E307" s="3" t="s">
        <v>985</v>
      </c>
      <c r="F307" s="2" t="s">
        <v>74</v>
      </c>
      <c r="G307" s="6" t="s">
        <v>22</v>
      </c>
      <c r="H307" s="2" t="s">
        <v>246</v>
      </c>
      <c r="I307" s="2" t="s">
        <v>487</v>
      </c>
      <c r="J307" s="2" t="s">
        <v>19</v>
      </c>
      <c r="K307" s="2" t="s">
        <v>787</v>
      </c>
      <c r="L307" s="7" t="str">
        <f>HYPERLINK("http://slimages.macys.com/is/image/MCY/9213839 ")</f>
        <v xml:space="preserve">http://slimages.macys.com/is/image/MCY/9213839 </v>
      </c>
    </row>
    <row r="308" spans="1:12" ht="24.75" x14ac:dyDescent="0.25">
      <c r="A308" s="4" t="s">
        <v>4762</v>
      </c>
      <c r="B308" s="2" t="s">
        <v>4763</v>
      </c>
      <c r="C308" s="3">
        <v>2</v>
      </c>
      <c r="D308" s="5">
        <v>34.5</v>
      </c>
      <c r="E308" s="3" t="s">
        <v>4764</v>
      </c>
      <c r="F308" s="2" t="s">
        <v>417</v>
      </c>
      <c r="G308" s="6"/>
      <c r="H308" s="2" t="s">
        <v>426</v>
      </c>
      <c r="I308" s="2" t="s">
        <v>229</v>
      </c>
      <c r="J308" s="2" t="s">
        <v>19</v>
      </c>
      <c r="K308" s="2" t="s">
        <v>215</v>
      </c>
      <c r="L308" s="7" t="str">
        <f>HYPERLINK("http://slimages.macys.com/is/image/MCY/9326670 ")</f>
        <v xml:space="preserve">http://slimages.macys.com/is/image/MCY/9326670 </v>
      </c>
    </row>
    <row r="309" spans="1:12" ht="24.75" x14ac:dyDescent="0.25">
      <c r="A309" s="4" t="s">
        <v>3692</v>
      </c>
      <c r="B309" s="2" t="s">
        <v>926</v>
      </c>
      <c r="C309" s="3">
        <v>2</v>
      </c>
      <c r="D309" s="5">
        <v>37.130000000000003</v>
      </c>
      <c r="E309" s="3">
        <v>100009311</v>
      </c>
      <c r="F309" s="2" t="s">
        <v>79</v>
      </c>
      <c r="G309" s="6" t="s">
        <v>22</v>
      </c>
      <c r="H309" s="2" t="s">
        <v>194</v>
      </c>
      <c r="I309" s="2" t="s">
        <v>928</v>
      </c>
      <c r="J309" s="2" t="s">
        <v>19</v>
      </c>
      <c r="K309" s="2" t="s">
        <v>929</v>
      </c>
      <c r="L309" s="7" t="str">
        <f>HYPERLINK("http://slimages.macys.com/is/image/MCY/10249272 ")</f>
        <v xml:space="preserve">http://slimages.macys.com/is/image/MCY/10249272 </v>
      </c>
    </row>
    <row r="310" spans="1:12" ht="24.75" x14ac:dyDescent="0.25">
      <c r="A310" s="4" t="s">
        <v>4765</v>
      </c>
      <c r="B310" s="2" t="s">
        <v>4766</v>
      </c>
      <c r="C310" s="3">
        <v>1</v>
      </c>
      <c r="D310" s="5">
        <v>40.880000000000003</v>
      </c>
      <c r="E310" s="3" t="s">
        <v>4767</v>
      </c>
      <c r="F310" s="2" t="s">
        <v>413</v>
      </c>
      <c r="G310" s="6" t="s">
        <v>181</v>
      </c>
      <c r="H310" s="2" t="s">
        <v>284</v>
      </c>
      <c r="I310" s="2" t="s">
        <v>285</v>
      </c>
      <c r="J310" s="2" t="s">
        <v>19</v>
      </c>
      <c r="K310" s="2" t="s">
        <v>160</v>
      </c>
      <c r="L310" s="7" t="str">
        <f>HYPERLINK("http://slimages.macys.com/is/image/MCY/12337265 ")</f>
        <v xml:space="preserve">http://slimages.macys.com/is/image/MCY/12337265 </v>
      </c>
    </row>
    <row r="311" spans="1:12" ht="24.75" x14ac:dyDescent="0.25">
      <c r="A311" s="4" t="s">
        <v>3694</v>
      </c>
      <c r="B311" s="2" t="s">
        <v>964</v>
      </c>
      <c r="C311" s="3">
        <v>1</v>
      </c>
      <c r="D311" s="5">
        <v>36.5</v>
      </c>
      <c r="E311" s="3" t="s">
        <v>3695</v>
      </c>
      <c r="F311" s="2" t="s">
        <v>956</v>
      </c>
      <c r="G311" s="6"/>
      <c r="H311" s="2" t="s">
        <v>312</v>
      </c>
      <c r="I311" s="2" t="s">
        <v>195</v>
      </c>
      <c r="J311" s="2" t="s">
        <v>19</v>
      </c>
      <c r="K311" s="2" t="s">
        <v>3699</v>
      </c>
      <c r="L311" s="7" t="str">
        <f>HYPERLINK("http://slimages.macys.com/is/image/MCY/9711318 ")</f>
        <v xml:space="preserve">http://slimages.macys.com/is/image/MCY/9711318 </v>
      </c>
    </row>
    <row r="312" spans="1:12" ht="24.75" x14ac:dyDescent="0.25">
      <c r="A312" s="4" t="s">
        <v>4768</v>
      </c>
      <c r="B312" s="2" t="s">
        <v>964</v>
      </c>
      <c r="C312" s="3">
        <v>1</v>
      </c>
      <c r="D312" s="5">
        <v>37.130000000000003</v>
      </c>
      <c r="E312" s="3" t="s">
        <v>3695</v>
      </c>
      <c r="F312" s="2" t="s">
        <v>15</v>
      </c>
      <c r="G312" s="6"/>
      <c r="H312" s="2" t="s">
        <v>312</v>
      </c>
      <c r="I312" s="2" t="s">
        <v>195</v>
      </c>
      <c r="J312" s="2" t="s">
        <v>19</v>
      </c>
      <c r="K312" s="2" t="s">
        <v>3699</v>
      </c>
      <c r="L312" s="7" t="str">
        <f>HYPERLINK("http://slimages.macys.com/is/image/MCY/12668240 ")</f>
        <v xml:space="preserve">http://slimages.macys.com/is/image/MCY/12668240 </v>
      </c>
    </row>
    <row r="313" spans="1:12" ht="24.75" x14ac:dyDescent="0.25">
      <c r="A313" s="4" t="s">
        <v>4769</v>
      </c>
      <c r="B313" s="2" t="s">
        <v>964</v>
      </c>
      <c r="C313" s="3">
        <v>1</v>
      </c>
      <c r="D313" s="5">
        <v>37.130000000000003</v>
      </c>
      <c r="E313" s="3" t="s">
        <v>3695</v>
      </c>
      <c r="F313" s="2" t="s">
        <v>15</v>
      </c>
      <c r="G313" s="6"/>
      <c r="H313" s="2" t="s">
        <v>312</v>
      </c>
      <c r="I313" s="2" t="s">
        <v>195</v>
      </c>
      <c r="J313" s="2" t="s">
        <v>19</v>
      </c>
      <c r="K313" s="2" t="s">
        <v>3699</v>
      </c>
      <c r="L313" s="7" t="str">
        <f>HYPERLINK("http://slimages.macys.com/is/image/MCY/12668240 ")</f>
        <v xml:space="preserve">http://slimages.macys.com/is/image/MCY/12668240 </v>
      </c>
    </row>
    <row r="314" spans="1:12" ht="24.75" x14ac:dyDescent="0.25">
      <c r="A314" s="4" t="s">
        <v>1000</v>
      </c>
      <c r="B314" s="2" t="s">
        <v>904</v>
      </c>
      <c r="C314" s="3">
        <v>1</v>
      </c>
      <c r="D314" s="5">
        <v>34.5</v>
      </c>
      <c r="E314" s="3" t="s">
        <v>997</v>
      </c>
      <c r="F314" s="2" t="s">
        <v>998</v>
      </c>
      <c r="G314" s="6" t="s">
        <v>187</v>
      </c>
      <c r="H314" s="2" t="s">
        <v>426</v>
      </c>
      <c r="I314" s="2" t="s">
        <v>229</v>
      </c>
      <c r="J314" s="2" t="s">
        <v>19</v>
      </c>
      <c r="K314" s="2" t="s">
        <v>353</v>
      </c>
      <c r="L314" s="7" t="str">
        <f>HYPERLINK("http://slimages.macys.com/is/image/MCY/11934830 ")</f>
        <v xml:space="preserve">http://slimages.macys.com/is/image/MCY/11934830 </v>
      </c>
    </row>
    <row r="315" spans="1:12" ht="24.75" x14ac:dyDescent="0.25">
      <c r="A315" s="4" t="s">
        <v>4770</v>
      </c>
      <c r="B315" s="2" t="s">
        <v>992</v>
      </c>
      <c r="C315" s="3">
        <v>1</v>
      </c>
      <c r="D315" s="5">
        <v>34.5</v>
      </c>
      <c r="E315" s="3" t="s">
        <v>993</v>
      </c>
      <c r="F315" s="2" t="s">
        <v>74</v>
      </c>
      <c r="G315" s="6"/>
      <c r="H315" s="2" t="s">
        <v>426</v>
      </c>
      <c r="I315" s="2" t="s">
        <v>229</v>
      </c>
      <c r="J315" s="2" t="s">
        <v>19</v>
      </c>
      <c r="K315" s="2" t="s">
        <v>353</v>
      </c>
      <c r="L315" s="7" t="str">
        <f>HYPERLINK("http://slimages.macys.com/is/image/MCY/11934830 ")</f>
        <v xml:space="preserve">http://slimages.macys.com/is/image/MCY/11934830 </v>
      </c>
    </row>
    <row r="316" spans="1:12" ht="24.75" x14ac:dyDescent="0.25">
      <c r="A316" s="4" t="s">
        <v>999</v>
      </c>
      <c r="B316" s="2" t="s">
        <v>992</v>
      </c>
      <c r="C316" s="3">
        <v>1</v>
      </c>
      <c r="D316" s="5">
        <v>34.5</v>
      </c>
      <c r="E316" s="3" t="s">
        <v>993</v>
      </c>
      <c r="F316" s="2" t="s">
        <v>74</v>
      </c>
      <c r="G316" s="6" t="s">
        <v>794</v>
      </c>
      <c r="H316" s="2" t="s">
        <v>426</v>
      </c>
      <c r="I316" s="2" t="s">
        <v>229</v>
      </c>
      <c r="J316" s="2" t="s">
        <v>19</v>
      </c>
      <c r="K316" s="2" t="s">
        <v>353</v>
      </c>
      <c r="L316" s="7" t="str">
        <f>HYPERLINK("http://slimages.macys.com/is/image/MCY/11934830 ")</f>
        <v xml:space="preserve">http://slimages.macys.com/is/image/MCY/11934830 </v>
      </c>
    </row>
    <row r="317" spans="1:12" ht="24.75" x14ac:dyDescent="0.25">
      <c r="A317" s="4" t="s">
        <v>4771</v>
      </c>
      <c r="B317" s="2" t="s">
        <v>904</v>
      </c>
      <c r="C317" s="3">
        <v>1</v>
      </c>
      <c r="D317" s="5">
        <v>34.5</v>
      </c>
      <c r="E317" s="3" t="s">
        <v>997</v>
      </c>
      <c r="F317" s="2" t="s">
        <v>998</v>
      </c>
      <c r="G317" s="6"/>
      <c r="H317" s="2" t="s">
        <v>426</v>
      </c>
      <c r="I317" s="2" t="s">
        <v>229</v>
      </c>
      <c r="J317" s="2" t="s">
        <v>19</v>
      </c>
      <c r="K317" s="2" t="s">
        <v>353</v>
      </c>
      <c r="L317" s="7" t="str">
        <f>HYPERLINK("http://slimages.macys.com/is/image/MCY/11934830 ")</f>
        <v xml:space="preserve">http://slimages.macys.com/is/image/MCY/11934830 </v>
      </c>
    </row>
    <row r="318" spans="1:12" ht="24.75" x14ac:dyDescent="0.25">
      <c r="A318" s="4" t="s">
        <v>4772</v>
      </c>
      <c r="B318" s="2" t="s">
        <v>1002</v>
      </c>
      <c r="C318" s="3">
        <v>1</v>
      </c>
      <c r="D318" s="5">
        <v>44.63</v>
      </c>
      <c r="E318" s="3" t="s">
        <v>1003</v>
      </c>
      <c r="F318" s="2" t="s">
        <v>15</v>
      </c>
      <c r="G318" s="6"/>
      <c r="H318" s="2" t="s">
        <v>312</v>
      </c>
      <c r="I318" s="2" t="s">
        <v>195</v>
      </c>
      <c r="J318" s="2" t="s">
        <v>19</v>
      </c>
      <c r="K318" s="2" t="s">
        <v>247</v>
      </c>
      <c r="L318" s="7" t="str">
        <f>HYPERLINK("http://slimages.macys.com/is/image/MCY/9653304 ")</f>
        <v xml:space="preserve">http://slimages.macys.com/is/image/MCY/9653304 </v>
      </c>
    </row>
    <row r="319" spans="1:12" ht="24.75" x14ac:dyDescent="0.25">
      <c r="A319" s="4" t="s">
        <v>4773</v>
      </c>
      <c r="B319" s="2" t="s">
        <v>2515</v>
      </c>
      <c r="C319" s="3">
        <v>1</v>
      </c>
      <c r="D319" s="5">
        <v>37.130000000000003</v>
      </c>
      <c r="E319" s="3" t="s">
        <v>2516</v>
      </c>
      <c r="F319" s="2" t="s">
        <v>26</v>
      </c>
      <c r="G319" s="6" t="s">
        <v>126</v>
      </c>
      <c r="H319" s="2" t="s">
        <v>188</v>
      </c>
      <c r="I319" s="2" t="s">
        <v>214</v>
      </c>
      <c r="J319" s="2" t="s">
        <v>19</v>
      </c>
      <c r="K319" s="2" t="s">
        <v>353</v>
      </c>
      <c r="L319" s="7" t="str">
        <f>HYPERLINK("http://slimages.macys.com/is/image/MCY/10679372 ")</f>
        <v xml:space="preserve">http://slimages.macys.com/is/image/MCY/10679372 </v>
      </c>
    </row>
    <row r="320" spans="1:12" ht="24.75" x14ac:dyDescent="0.25">
      <c r="A320" s="4" t="s">
        <v>4774</v>
      </c>
      <c r="B320" s="2" t="s">
        <v>1012</v>
      </c>
      <c r="C320" s="3">
        <v>1</v>
      </c>
      <c r="D320" s="5">
        <v>37.130000000000003</v>
      </c>
      <c r="E320" s="3" t="s">
        <v>1013</v>
      </c>
      <c r="F320" s="2" t="s">
        <v>70</v>
      </c>
      <c r="G320" s="6" t="s">
        <v>141</v>
      </c>
      <c r="H320" s="2" t="s">
        <v>246</v>
      </c>
      <c r="I320" s="2" t="s">
        <v>214</v>
      </c>
      <c r="J320" s="2" t="s">
        <v>19</v>
      </c>
      <c r="K320" s="2" t="s">
        <v>253</v>
      </c>
      <c r="L320" s="7" t="str">
        <f>HYPERLINK("http://slimages.macys.com/is/image/MCY/10679372 ")</f>
        <v xml:space="preserve">http://slimages.macys.com/is/image/MCY/10679372 </v>
      </c>
    </row>
    <row r="321" spans="1:12" ht="24.75" x14ac:dyDescent="0.25">
      <c r="A321" s="4" t="s">
        <v>4775</v>
      </c>
      <c r="B321" s="2" t="s">
        <v>1008</v>
      </c>
      <c r="C321" s="3">
        <v>1</v>
      </c>
      <c r="D321" s="5">
        <v>49.5</v>
      </c>
      <c r="E321" s="3" t="s">
        <v>1009</v>
      </c>
      <c r="F321" s="2" t="s">
        <v>74</v>
      </c>
      <c r="G321" s="6" t="s">
        <v>363</v>
      </c>
      <c r="H321" s="2" t="s">
        <v>206</v>
      </c>
      <c r="I321" s="2" t="s">
        <v>1010</v>
      </c>
      <c r="J321" s="2" t="s">
        <v>19</v>
      </c>
      <c r="K321" s="2" t="s">
        <v>409</v>
      </c>
      <c r="L321" s="7" t="str">
        <f>HYPERLINK("http://slimages.macys.com/is/image/MCY/9044823 ")</f>
        <v xml:space="preserve">http://slimages.macys.com/is/image/MCY/9044823 </v>
      </c>
    </row>
    <row r="322" spans="1:12" ht="24.75" x14ac:dyDescent="0.25">
      <c r="A322" s="4" t="s">
        <v>4776</v>
      </c>
      <c r="B322" s="2" t="s">
        <v>4777</v>
      </c>
      <c r="C322" s="3">
        <v>1</v>
      </c>
      <c r="D322" s="5">
        <v>49.5</v>
      </c>
      <c r="E322" s="3" t="s">
        <v>4778</v>
      </c>
      <c r="F322" s="2" t="s">
        <v>2619</v>
      </c>
      <c r="G322" s="6" t="s">
        <v>802</v>
      </c>
      <c r="H322" s="2" t="s">
        <v>206</v>
      </c>
      <c r="I322" s="2" t="s">
        <v>1010</v>
      </c>
      <c r="J322" s="2" t="s">
        <v>19</v>
      </c>
      <c r="K322" s="2" t="s">
        <v>409</v>
      </c>
      <c r="L322" s="7" t="str">
        <f>HYPERLINK("http://slimages.macys.com/is/image/MCY/9165600 ")</f>
        <v xml:space="preserve">http://slimages.macys.com/is/image/MCY/9165600 </v>
      </c>
    </row>
    <row r="323" spans="1:12" ht="24.75" x14ac:dyDescent="0.25">
      <c r="A323" s="4" t="s">
        <v>4779</v>
      </c>
      <c r="B323" s="2" t="s">
        <v>1008</v>
      </c>
      <c r="C323" s="3">
        <v>1</v>
      </c>
      <c r="D323" s="5">
        <v>49.5</v>
      </c>
      <c r="E323" s="3" t="s">
        <v>1009</v>
      </c>
      <c r="F323" s="2" t="s">
        <v>74</v>
      </c>
      <c r="G323" s="6" t="s">
        <v>336</v>
      </c>
      <c r="H323" s="2" t="s">
        <v>206</v>
      </c>
      <c r="I323" s="2" t="s">
        <v>1010</v>
      </c>
      <c r="J323" s="2" t="s">
        <v>19</v>
      </c>
      <c r="K323" s="2" t="s">
        <v>409</v>
      </c>
      <c r="L323" s="7" t="str">
        <f>HYPERLINK("http://slimages.macys.com/is/image/MCY/9044823 ")</f>
        <v xml:space="preserve">http://slimages.macys.com/is/image/MCY/9044823 </v>
      </c>
    </row>
    <row r="324" spans="1:12" ht="24.75" x14ac:dyDescent="0.25">
      <c r="A324" s="4" t="s">
        <v>4780</v>
      </c>
      <c r="B324" s="2" t="s">
        <v>744</v>
      </c>
      <c r="C324" s="3">
        <v>1</v>
      </c>
      <c r="D324" s="5">
        <v>34.99</v>
      </c>
      <c r="E324" s="3" t="s">
        <v>4781</v>
      </c>
      <c r="F324" s="2" t="s">
        <v>252</v>
      </c>
      <c r="G324" s="6" t="s">
        <v>156</v>
      </c>
      <c r="H324" s="2" t="s">
        <v>284</v>
      </c>
      <c r="I324" s="2" t="s">
        <v>285</v>
      </c>
      <c r="J324" s="2" t="s">
        <v>19</v>
      </c>
      <c r="K324" s="2" t="s">
        <v>34</v>
      </c>
      <c r="L324" s="7" t="str">
        <f>HYPERLINK("http://slimages.macys.com/is/image/MCY/9723880 ")</f>
        <v xml:space="preserve">http://slimages.macys.com/is/image/MCY/9723880 </v>
      </c>
    </row>
    <row r="325" spans="1:12" ht="24.75" x14ac:dyDescent="0.25">
      <c r="A325" s="4" t="s">
        <v>1020</v>
      </c>
      <c r="B325" s="2" t="s">
        <v>1012</v>
      </c>
      <c r="C325" s="3">
        <v>1</v>
      </c>
      <c r="D325" s="5">
        <v>37.130000000000003</v>
      </c>
      <c r="E325" s="3" t="s">
        <v>1013</v>
      </c>
      <c r="F325" s="2" t="s">
        <v>494</v>
      </c>
      <c r="G325" s="6" t="s">
        <v>22</v>
      </c>
      <c r="H325" s="2" t="s">
        <v>246</v>
      </c>
      <c r="I325" s="2" t="s">
        <v>214</v>
      </c>
      <c r="J325" s="2" t="s">
        <v>19</v>
      </c>
      <c r="K325" s="2" t="s">
        <v>253</v>
      </c>
      <c r="L325" s="7" t="str">
        <f>HYPERLINK("http://slimages.macys.com/is/image/MCY/10679372 ")</f>
        <v xml:space="preserve">http://slimages.macys.com/is/image/MCY/10679372 </v>
      </c>
    </row>
    <row r="326" spans="1:12" ht="24.75" x14ac:dyDescent="0.25">
      <c r="A326" s="4" t="s">
        <v>4782</v>
      </c>
      <c r="B326" s="2" t="s">
        <v>2530</v>
      </c>
      <c r="C326" s="3">
        <v>1</v>
      </c>
      <c r="D326" s="5">
        <v>34.5</v>
      </c>
      <c r="E326" s="3">
        <v>100054339</v>
      </c>
      <c r="F326" s="2" t="s">
        <v>26</v>
      </c>
      <c r="G326" s="6" t="s">
        <v>245</v>
      </c>
      <c r="H326" s="2" t="s">
        <v>228</v>
      </c>
      <c r="I326" s="2" t="s">
        <v>857</v>
      </c>
      <c r="J326" s="2" t="s">
        <v>19</v>
      </c>
      <c r="K326" s="2" t="s">
        <v>338</v>
      </c>
      <c r="L326" s="7" t="str">
        <f>HYPERLINK("http://slimages.macys.com/is/image/MCY/12144139 ")</f>
        <v xml:space="preserve">http://slimages.macys.com/is/image/MCY/12144139 </v>
      </c>
    </row>
    <row r="327" spans="1:12" ht="24.75" x14ac:dyDescent="0.25">
      <c r="A327" s="4" t="s">
        <v>4783</v>
      </c>
      <c r="B327" s="2" t="s">
        <v>4784</v>
      </c>
      <c r="C327" s="3">
        <v>1</v>
      </c>
      <c r="D327" s="5">
        <v>37.130000000000003</v>
      </c>
      <c r="E327" s="3" t="s">
        <v>4785</v>
      </c>
      <c r="F327" s="2" t="s">
        <v>74</v>
      </c>
      <c r="G327" s="6" t="s">
        <v>181</v>
      </c>
      <c r="H327" s="2" t="s">
        <v>284</v>
      </c>
      <c r="I327" s="2" t="s">
        <v>285</v>
      </c>
      <c r="J327" s="2" t="s">
        <v>19</v>
      </c>
      <c r="K327" s="2" t="s">
        <v>160</v>
      </c>
      <c r="L327" s="7" t="str">
        <f>HYPERLINK("http://slimages.macys.com/is/image/MCY/9863547 ")</f>
        <v xml:space="preserve">http://slimages.macys.com/is/image/MCY/9863547 </v>
      </c>
    </row>
    <row r="328" spans="1:12" ht="24.75" x14ac:dyDescent="0.25">
      <c r="A328" s="4" t="s">
        <v>3718</v>
      </c>
      <c r="B328" s="2" t="s">
        <v>2530</v>
      </c>
      <c r="C328" s="3">
        <v>1</v>
      </c>
      <c r="D328" s="5">
        <v>34.5</v>
      </c>
      <c r="E328" s="3">
        <v>100054339</v>
      </c>
      <c r="F328" s="2" t="s">
        <v>26</v>
      </c>
      <c r="G328" s="6" t="s">
        <v>181</v>
      </c>
      <c r="H328" s="2" t="s">
        <v>228</v>
      </c>
      <c r="I328" s="2" t="s">
        <v>857</v>
      </c>
      <c r="J328" s="2" t="s">
        <v>19</v>
      </c>
      <c r="K328" s="2" t="s">
        <v>338</v>
      </c>
      <c r="L328" s="7" t="str">
        <f>HYPERLINK("http://slimages.macys.com/is/image/MCY/12144139 ")</f>
        <v xml:space="preserve">http://slimages.macys.com/is/image/MCY/12144139 </v>
      </c>
    </row>
    <row r="329" spans="1:12" ht="24.75" x14ac:dyDescent="0.25">
      <c r="A329" s="4" t="s">
        <v>4786</v>
      </c>
      <c r="B329" s="2" t="s">
        <v>4787</v>
      </c>
      <c r="C329" s="3">
        <v>1</v>
      </c>
      <c r="D329" s="5">
        <v>40.880000000000003</v>
      </c>
      <c r="E329" s="3" t="s">
        <v>4788</v>
      </c>
      <c r="F329" s="2" t="s">
        <v>74</v>
      </c>
      <c r="G329" s="6" t="s">
        <v>154</v>
      </c>
      <c r="H329" s="2" t="s">
        <v>284</v>
      </c>
      <c r="I329" s="2" t="s">
        <v>285</v>
      </c>
      <c r="J329" s="2" t="s">
        <v>19</v>
      </c>
      <c r="K329" s="2" t="s">
        <v>160</v>
      </c>
      <c r="L329" s="7" t="str">
        <f>HYPERLINK("http://slimages.macys.com/is/image/MCY/12285062 ")</f>
        <v xml:space="preserve">http://slimages.macys.com/is/image/MCY/12285062 </v>
      </c>
    </row>
    <row r="330" spans="1:12" ht="24.75" x14ac:dyDescent="0.25">
      <c r="A330" s="4" t="s">
        <v>4789</v>
      </c>
      <c r="B330" s="2" t="s">
        <v>4790</v>
      </c>
      <c r="C330" s="3">
        <v>1</v>
      </c>
      <c r="D330" s="5">
        <v>44.63</v>
      </c>
      <c r="E330" s="3" t="s">
        <v>4791</v>
      </c>
      <c r="F330" s="2" t="s">
        <v>53</v>
      </c>
      <c r="G330" s="6" t="s">
        <v>156</v>
      </c>
      <c r="H330" s="2" t="s">
        <v>246</v>
      </c>
      <c r="I330" s="2" t="s">
        <v>189</v>
      </c>
      <c r="J330" s="2" t="s">
        <v>19</v>
      </c>
      <c r="K330" s="2" t="s">
        <v>160</v>
      </c>
      <c r="L330" s="7" t="str">
        <f>HYPERLINK("http://slimages.macys.com/is/image/MCY/10679667 ")</f>
        <v xml:space="preserve">http://slimages.macys.com/is/image/MCY/10679667 </v>
      </c>
    </row>
    <row r="331" spans="1:12" ht="24.75" x14ac:dyDescent="0.25">
      <c r="A331" s="4" t="s">
        <v>4792</v>
      </c>
      <c r="B331" s="2" t="s">
        <v>1028</v>
      </c>
      <c r="C331" s="3">
        <v>1</v>
      </c>
      <c r="D331" s="5">
        <v>37.130000000000003</v>
      </c>
      <c r="E331" s="3" t="s">
        <v>2532</v>
      </c>
      <c r="F331" s="2" t="s">
        <v>26</v>
      </c>
      <c r="G331" s="6"/>
      <c r="H331" s="2" t="s">
        <v>632</v>
      </c>
      <c r="I331" s="2" t="s">
        <v>408</v>
      </c>
      <c r="J331" s="2" t="s">
        <v>19</v>
      </c>
      <c r="K331" s="2" t="s">
        <v>409</v>
      </c>
      <c r="L331" s="7" t="str">
        <f>HYPERLINK("http://slimages.macys.com/is/image/MCY/8191312 ")</f>
        <v xml:space="preserve">http://slimages.macys.com/is/image/MCY/8191312 </v>
      </c>
    </row>
    <row r="332" spans="1:12" ht="24.75" x14ac:dyDescent="0.25">
      <c r="A332" s="4" t="s">
        <v>4793</v>
      </c>
      <c r="B332" s="2" t="s">
        <v>1028</v>
      </c>
      <c r="C332" s="3">
        <v>1</v>
      </c>
      <c r="D332" s="5">
        <v>37.130000000000003</v>
      </c>
      <c r="E332" s="3" t="s">
        <v>2532</v>
      </c>
      <c r="F332" s="2" t="s">
        <v>26</v>
      </c>
      <c r="G332" s="6" t="s">
        <v>187</v>
      </c>
      <c r="H332" s="2" t="s">
        <v>632</v>
      </c>
      <c r="I332" s="2" t="s">
        <v>408</v>
      </c>
      <c r="J332" s="2" t="s">
        <v>19</v>
      </c>
      <c r="K332" s="2" t="s">
        <v>409</v>
      </c>
      <c r="L332" s="7" t="str">
        <f>HYPERLINK("http://slimages.macys.com/is/image/MCY/8191312 ")</f>
        <v xml:space="preserve">http://slimages.macys.com/is/image/MCY/8191312 </v>
      </c>
    </row>
    <row r="333" spans="1:12" ht="24.75" x14ac:dyDescent="0.25">
      <c r="A333" s="4" t="s">
        <v>3730</v>
      </c>
      <c r="B333" s="2" t="s">
        <v>1036</v>
      </c>
      <c r="C333" s="3">
        <v>2</v>
      </c>
      <c r="D333" s="5">
        <v>36.5</v>
      </c>
      <c r="E333" s="3" t="s">
        <v>1037</v>
      </c>
      <c r="F333" s="2" t="s">
        <v>998</v>
      </c>
      <c r="G333" s="6" t="s">
        <v>181</v>
      </c>
      <c r="H333" s="2" t="s">
        <v>194</v>
      </c>
      <c r="I333" s="2" t="s">
        <v>195</v>
      </c>
      <c r="J333" s="2" t="s">
        <v>19</v>
      </c>
      <c r="K333" s="2" t="s">
        <v>137</v>
      </c>
      <c r="L333" s="7" t="str">
        <f>HYPERLINK("http://slimages.macys.com/is/image/MCY/11526970 ")</f>
        <v xml:space="preserve">http://slimages.macys.com/is/image/MCY/11526970 </v>
      </c>
    </row>
    <row r="334" spans="1:12" ht="24.75" x14ac:dyDescent="0.25">
      <c r="A334" s="4" t="s">
        <v>4794</v>
      </c>
      <c r="B334" s="2" t="s">
        <v>4795</v>
      </c>
      <c r="C334" s="3">
        <v>1</v>
      </c>
      <c r="D334" s="5">
        <v>37.130000000000003</v>
      </c>
      <c r="E334" s="3" t="s">
        <v>4796</v>
      </c>
      <c r="F334" s="2" t="s">
        <v>57</v>
      </c>
      <c r="G334" s="6"/>
      <c r="H334" s="2" t="s">
        <v>188</v>
      </c>
      <c r="I334" s="2" t="s">
        <v>189</v>
      </c>
      <c r="J334" s="2" t="s">
        <v>19</v>
      </c>
      <c r="K334" s="2" t="s">
        <v>4797</v>
      </c>
      <c r="L334" s="7" t="str">
        <f>HYPERLINK("http://slimages.macys.com/is/image/MCY/13367335 ")</f>
        <v xml:space="preserve">http://slimages.macys.com/is/image/MCY/13367335 </v>
      </c>
    </row>
    <row r="335" spans="1:12" ht="24.75" x14ac:dyDescent="0.25">
      <c r="A335" s="4" t="s">
        <v>1038</v>
      </c>
      <c r="B335" s="2" t="s">
        <v>1036</v>
      </c>
      <c r="C335" s="3">
        <v>1</v>
      </c>
      <c r="D335" s="5">
        <v>36.5</v>
      </c>
      <c r="E335" s="3" t="s">
        <v>1037</v>
      </c>
      <c r="F335" s="2" t="s">
        <v>998</v>
      </c>
      <c r="G335" s="6" t="s">
        <v>154</v>
      </c>
      <c r="H335" s="2" t="s">
        <v>194</v>
      </c>
      <c r="I335" s="2" t="s">
        <v>195</v>
      </c>
      <c r="J335" s="2" t="s">
        <v>19</v>
      </c>
      <c r="K335" s="2" t="s">
        <v>137</v>
      </c>
      <c r="L335" s="7" t="str">
        <f>HYPERLINK("http://slimages.macys.com/is/image/MCY/11526970 ")</f>
        <v xml:space="preserve">http://slimages.macys.com/is/image/MCY/11526970 </v>
      </c>
    </row>
    <row r="336" spans="1:12" ht="24.75" x14ac:dyDescent="0.25">
      <c r="A336" s="4" t="s">
        <v>4798</v>
      </c>
      <c r="B336" s="2" t="s">
        <v>1047</v>
      </c>
      <c r="C336" s="3">
        <v>1</v>
      </c>
      <c r="D336" s="5">
        <v>34.880000000000003</v>
      </c>
      <c r="E336" s="3">
        <v>100009312</v>
      </c>
      <c r="F336" s="2" t="s">
        <v>506</v>
      </c>
      <c r="G336" s="6" t="s">
        <v>181</v>
      </c>
      <c r="H336" s="2" t="s">
        <v>194</v>
      </c>
      <c r="I336" s="2" t="s">
        <v>195</v>
      </c>
      <c r="J336" s="2" t="s">
        <v>19</v>
      </c>
      <c r="K336" s="2" t="s">
        <v>353</v>
      </c>
      <c r="L336" s="7" t="str">
        <f>HYPERLINK("http://slimages.macys.com/is/image/MCY/9603701 ")</f>
        <v xml:space="preserve">http://slimages.macys.com/is/image/MCY/9603701 </v>
      </c>
    </row>
    <row r="337" spans="1:12" ht="24.75" x14ac:dyDescent="0.25">
      <c r="A337" s="4" t="s">
        <v>4799</v>
      </c>
      <c r="B337" s="2" t="s">
        <v>1047</v>
      </c>
      <c r="C337" s="3">
        <v>2</v>
      </c>
      <c r="D337" s="5">
        <v>34.880000000000003</v>
      </c>
      <c r="E337" s="3">
        <v>100009312</v>
      </c>
      <c r="F337" s="2" t="s">
        <v>506</v>
      </c>
      <c r="G337" s="6" t="s">
        <v>154</v>
      </c>
      <c r="H337" s="2" t="s">
        <v>194</v>
      </c>
      <c r="I337" s="2" t="s">
        <v>195</v>
      </c>
      <c r="J337" s="2" t="s">
        <v>19</v>
      </c>
      <c r="K337" s="2" t="s">
        <v>353</v>
      </c>
      <c r="L337" s="7" t="str">
        <f>HYPERLINK("http://slimages.macys.com/is/image/MCY/9603701 ")</f>
        <v xml:space="preserve">http://slimages.macys.com/is/image/MCY/9603701 </v>
      </c>
    </row>
    <row r="338" spans="1:12" ht="24.75" x14ac:dyDescent="0.25">
      <c r="A338" s="4" t="s">
        <v>4800</v>
      </c>
      <c r="B338" s="2" t="s">
        <v>4787</v>
      </c>
      <c r="C338" s="3">
        <v>1</v>
      </c>
      <c r="D338" s="5">
        <v>40.880000000000003</v>
      </c>
      <c r="E338" s="3" t="s">
        <v>4801</v>
      </c>
      <c r="F338" s="2" t="s">
        <v>74</v>
      </c>
      <c r="G338" s="6" t="s">
        <v>794</v>
      </c>
      <c r="H338" s="2" t="s">
        <v>632</v>
      </c>
      <c r="I338" s="2" t="s">
        <v>285</v>
      </c>
      <c r="J338" s="2" t="s">
        <v>19</v>
      </c>
      <c r="K338" s="2" t="s">
        <v>160</v>
      </c>
      <c r="L338" s="7" t="str">
        <f>HYPERLINK("http://slimages.macys.com/is/image/MCY/12285060 ")</f>
        <v xml:space="preserve">http://slimages.macys.com/is/image/MCY/12285060 </v>
      </c>
    </row>
    <row r="339" spans="1:12" ht="24.75" x14ac:dyDescent="0.25">
      <c r="A339" s="4" t="s">
        <v>4802</v>
      </c>
      <c r="B339" s="2" t="s">
        <v>4803</v>
      </c>
      <c r="C339" s="3">
        <v>1</v>
      </c>
      <c r="D339" s="5">
        <v>35.65</v>
      </c>
      <c r="E339" s="3" t="s">
        <v>4804</v>
      </c>
      <c r="F339" s="2" t="s">
        <v>1914</v>
      </c>
      <c r="G339" s="6" t="s">
        <v>156</v>
      </c>
      <c r="H339" s="2" t="s">
        <v>182</v>
      </c>
      <c r="I339" s="2" t="s">
        <v>183</v>
      </c>
      <c r="J339" s="2" t="s">
        <v>19</v>
      </c>
      <c r="K339" s="2" t="s">
        <v>34</v>
      </c>
      <c r="L339" s="7" t="str">
        <f>HYPERLINK("http://slimages.macys.com/is/image/MCY/12801985 ")</f>
        <v xml:space="preserve">http://slimages.macys.com/is/image/MCY/12801985 </v>
      </c>
    </row>
    <row r="340" spans="1:12" ht="24.75" x14ac:dyDescent="0.25">
      <c r="A340" s="4" t="s">
        <v>4805</v>
      </c>
      <c r="B340" s="2" t="s">
        <v>1054</v>
      </c>
      <c r="C340" s="3">
        <v>1</v>
      </c>
      <c r="D340" s="5">
        <v>36.5</v>
      </c>
      <c r="E340" s="3" t="s">
        <v>1055</v>
      </c>
      <c r="F340" s="2" t="s">
        <v>15</v>
      </c>
      <c r="G340" s="6" t="s">
        <v>154</v>
      </c>
      <c r="H340" s="2" t="s">
        <v>194</v>
      </c>
      <c r="I340" s="2" t="s">
        <v>195</v>
      </c>
      <c r="J340" s="2" t="s">
        <v>19</v>
      </c>
      <c r="K340" s="2" t="s">
        <v>438</v>
      </c>
      <c r="L340" s="7" t="str">
        <f>HYPERLINK("http://slimages.macys.com/is/image/MCY/11764614 ")</f>
        <v xml:space="preserve">http://slimages.macys.com/is/image/MCY/11764614 </v>
      </c>
    </row>
    <row r="341" spans="1:12" ht="36.75" x14ac:dyDescent="0.25">
      <c r="A341" s="4" t="s">
        <v>4806</v>
      </c>
      <c r="B341" s="2" t="s">
        <v>1040</v>
      </c>
      <c r="C341" s="3">
        <v>1</v>
      </c>
      <c r="D341" s="5">
        <v>44.63</v>
      </c>
      <c r="E341" s="3" t="s">
        <v>1041</v>
      </c>
      <c r="F341" s="2" t="s">
        <v>572</v>
      </c>
      <c r="G341" s="6" t="s">
        <v>141</v>
      </c>
      <c r="H341" s="2" t="s">
        <v>246</v>
      </c>
      <c r="I341" s="2" t="s">
        <v>487</v>
      </c>
      <c r="J341" s="2" t="s">
        <v>19</v>
      </c>
      <c r="K341" s="2" t="s">
        <v>500</v>
      </c>
      <c r="L341" s="7" t="str">
        <f>HYPERLINK("http://slimages.macys.com/is/image/MCY/11231757 ")</f>
        <v xml:space="preserve">http://slimages.macys.com/is/image/MCY/11231757 </v>
      </c>
    </row>
    <row r="342" spans="1:12" ht="24.75" x14ac:dyDescent="0.25">
      <c r="A342" s="4" t="s">
        <v>1060</v>
      </c>
      <c r="B342" s="2" t="s">
        <v>1058</v>
      </c>
      <c r="C342" s="3">
        <v>2</v>
      </c>
      <c r="D342" s="5">
        <v>39.5</v>
      </c>
      <c r="E342" s="3" t="s">
        <v>1059</v>
      </c>
      <c r="F342" s="2" t="s">
        <v>15</v>
      </c>
      <c r="G342" s="6"/>
      <c r="H342" s="2" t="s">
        <v>312</v>
      </c>
      <c r="I342" s="2" t="s">
        <v>195</v>
      </c>
      <c r="J342" s="2" t="s">
        <v>19</v>
      </c>
      <c r="K342" s="2" t="s">
        <v>438</v>
      </c>
      <c r="L342" s="7" t="str">
        <f>HYPERLINK("http://slimages.macys.com/is/image/MCY/11935984 ")</f>
        <v xml:space="preserve">http://slimages.macys.com/is/image/MCY/11935984 </v>
      </c>
    </row>
    <row r="343" spans="1:12" ht="24.75" x14ac:dyDescent="0.25">
      <c r="A343" s="4" t="s">
        <v>4807</v>
      </c>
      <c r="B343" s="2" t="s">
        <v>2546</v>
      </c>
      <c r="C343" s="3">
        <v>1</v>
      </c>
      <c r="D343" s="5">
        <v>34.880000000000003</v>
      </c>
      <c r="E343" s="3" t="s">
        <v>2547</v>
      </c>
      <c r="F343" s="2" t="s">
        <v>70</v>
      </c>
      <c r="G343" s="6" t="s">
        <v>200</v>
      </c>
      <c r="H343" s="2" t="s">
        <v>284</v>
      </c>
      <c r="I343" s="2" t="s">
        <v>2548</v>
      </c>
      <c r="J343" s="2" t="s">
        <v>19</v>
      </c>
      <c r="K343" s="2" t="s">
        <v>2549</v>
      </c>
      <c r="L343" s="7" t="str">
        <f>HYPERLINK("http://slimages.macys.com/is/image/MCY/11470470 ")</f>
        <v xml:space="preserve">http://slimages.macys.com/is/image/MCY/11470470 </v>
      </c>
    </row>
    <row r="344" spans="1:12" ht="24.75" x14ac:dyDescent="0.25">
      <c r="A344" s="4" t="s">
        <v>1061</v>
      </c>
      <c r="B344" s="2" t="s">
        <v>1062</v>
      </c>
      <c r="C344" s="3">
        <v>1</v>
      </c>
      <c r="D344" s="5">
        <v>36.5</v>
      </c>
      <c r="E344" s="3" t="s">
        <v>1063</v>
      </c>
      <c r="F344" s="2" t="s">
        <v>26</v>
      </c>
      <c r="G344" s="6" t="s">
        <v>154</v>
      </c>
      <c r="H344" s="2" t="s">
        <v>194</v>
      </c>
      <c r="I344" s="2" t="s">
        <v>195</v>
      </c>
      <c r="J344" s="2" t="s">
        <v>19</v>
      </c>
      <c r="K344" s="2" t="s">
        <v>247</v>
      </c>
      <c r="L344" s="7" t="str">
        <f>HYPERLINK("http://slimages.macys.com/is/image/MCY/11515386 ")</f>
        <v xml:space="preserve">http://slimages.macys.com/is/image/MCY/11515386 </v>
      </c>
    </row>
    <row r="345" spans="1:12" ht="24.75" x14ac:dyDescent="0.25">
      <c r="A345" s="4" t="s">
        <v>2550</v>
      </c>
      <c r="B345" s="2" t="s">
        <v>1062</v>
      </c>
      <c r="C345" s="3">
        <v>1</v>
      </c>
      <c r="D345" s="5">
        <v>36.5</v>
      </c>
      <c r="E345" s="3" t="s">
        <v>1063</v>
      </c>
      <c r="F345" s="2" t="s">
        <v>26</v>
      </c>
      <c r="G345" s="6" t="s">
        <v>156</v>
      </c>
      <c r="H345" s="2" t="s">
        <v>194</v>
      </c>
      <c r="I345" s="2" t="s">
        <v>195</v>
      </c>
      <c r="J345" s="2" t="s">
        <v>19</v>
      </c>
      <c r="K345" s="2" t="s">
        <v>247</v>
      </c>
      <c r="L345" s="7" t="str">
        <f>HYPERLINK("http://slimages.macys.com/is/image/MCY/11515386 ")</f>
        <v xml:space="preserve">http://slimages.macys.com/is/image/MCY/11515386 </v>
      </c>
    </row>
    <row r="346" spans="1:12" ht="48.75" x14ac:dyDescent="0.25">
      <c r="A346" s="4" t="s">
        <v>4808</v>
      </c>
      <c r="B346" s="2" t="s">
        <v>1065</v>
      </c>
      <c r="C346" s="3">
        <v>1</v>
      </c>
      <c r="D346" s="5">
        <v>37.130000000000003</v>
      </c>
      <c r="E346" s="3">
        <v>100016108</v>
      </c>
      <c r="F346" s="2" t="s">
        <v>26</v>
      </c>
      <c r="G346" s="6" t="s">
        <v>200</v>
      </c>
      <c r="H346" s="2" t="s">
        <v>194</v>
      </c>
      <c r="I346" s="2" t="s">
        <v>919</v>
      </c>
      <c r="J346" s="2" t="s">
        <v>19</v>
      </c>
      <c r="K346" s="2" t="s">
        <v>1066</v>
      </c>
      <c r="L346" s="7" t="str">
        <f>HYPERLINK("http://slimages.macys.com/is/image/MCY/9582082 ")</f>
        <v xml:space="preserve">http://slimages.macys.com/is/image/MCY/9582082 </v>
      </c>
    </row>
    <row r="347" spans="1:12" ht="48.75" x14ac:dyDescent="0.25">
      <c r="A347" s="4" t="s">
        <v>4809</v>
      </c>
      <c r="B347" s="2" t="s">
        <v>1065</v>
      </c>
      <c r="C347" s="3">
        <v>1</v>
      </c>
      <c r="D347" s="5">
        <v>37.130000000000003</v>
      </c>
      <c r="E347" s="3">
        <v>100016108</v>
      </c>
      <c r="F347" s="2" t="s">
        <v>26</v>
      </c>
      <c r="G347" s="6" t="s">
        <v>154</v>
      </c>
      <c r="H347" s="2" t="s">
        <v>194</v>
      </c>
      <c r="I347" s="2" t="s">
        <v>919</v>
      </c>
      <c r="J347" s="2" t="s">
        <v>19</v>
      </c>
      <c r="K347" s="2" t="s">
        <v>1066</v>
      </c>
      <c r="L347" s="7" t="str">
        <f>HYPERLINK("http://slimages.macys.com/is/image/MCY/9582082 ")</f>
        <v xml:space="preserve">http://slimages.macys.com/is/image/MCY/9582082 </v>
      </c>
    </row>
    <row r="348" spans="1:12" ht="24.75" x14ac:dyDescent="0.25">
      <c r="A348" s="4" t="s">
        <v>4810</v>
      </c>
      <c r="B348" s="2" t="s">
        <v>4811</v>
      </c>
      <c r="C348" s="3">
        <v>1</v>
      </c>
      <c r="D348" s="5">
        <v>44.63</v>
      </c>
      <c r="E348" s="3" t="s">
        <v>4812</v>
      </c>
      <c r="F348" s="2" t="s">
        <v>15</v>
      </c>
      <c r="G348" s="6"/>
      <c r="H348" s="2" t="s">
        <v>312</v>
      </c>
      <c r="I348" s="2" t="s">
        <v>195</v>
      </c>
      <c r="J348" s="2" t="s">
        <v>19</v>
      </c>
      <c r="K348" s="2" t="s">
        <v>610</v>
      </c>
      <c r="L348" s="7" t="str">
        <f>HYPERLINK("http://slimages.macys.com/is/image/MCY/9821843 ")</f>
        <v xml:space="preserve">http://slimages.macys.com/is/image/MCY/9821843 </v>
      </c>
    </row>
    <row r="349" spans="1:12" ht="24.75" x14ac:dyDescent="0.25">
      <c r="A349" s="4" t="s">
        <v>4813</v>
      </c>
      <c r="B349" s="2" t="s">
        <v>1069</v>
      </c>
      <c r="C349" s="3">
        <v>1</v>
      </c>
      <c r="D349" s="5">
        <v>34.5</v>
      </c>
      <c r="E349" s="3">
        <v>100050028</v>
      </c>
      <c r="F349" s="2" t="s">
        <v>180</v>
      </c>
      <c r="G349" s="6" t="s">
        <v>16</v>
      </c>
      <c r="H349" s="2" t="s">
        <v>228</v>
      </c>
      <c r="I349" s="2" t="s">
        <v>229</v>
      </c>
      <c r="J349" s="2" t="s">
        <v>19</v>
      </c>
      <c r="K349" s="2" t="s">
        <v>353</v>
      </c>
      <c r="L349" s="7" t="str">
        <f>HYPERLINK("http://slimages.macys.com/is/image/MCY/11527150 ")</f>
        <v xml:space="preserve">http://slimages.macys.com/is/image/MCY/11527150 </v>
      </c>
    </row>
    <row r="350" spans="1:12" ht="24.75" x14ac:dyDescent="0.25">
      <c r="A350" s="4" t="s">
        <v>1068</v>
      </c>
      <c r="B350" s="2" t="s">
        <v>1069</v>
      </c>
      <c r="C350" s="3">
        <v>1</v>
      </c>
      <c r="D350" s="5">
        <v>34.5</v>
      </c>
      <c r="E350" s="3">
        <v>100050028</v>
      </c>
      <c r="F350" s="2" t="s">
        <v>180</v>
      </c>
      <c r="G350" s="6" t="s">
        <v>27</v>
      </c>
      <c r="H350" s="2" t="s">
        <v>228</v>
      </c>
      <c r="I350" s="2" t="s">
        <v>229</v>
      </c>
      <c r="J350" s="2" t="s">
        <v>19</v>
      </c>
      <c r="K350" s="2" t="s">
        <v>353</v>
      </c>
      <c r="L350" s="7" t="str">
        <f>HYPERLINK("http://slimages.macys.com/is/image/MCY/11527150 ")</f>
        <v xml:space="preserve">http://slimages.macys.com/is/image/MCY/11527150 </v>
      </c>
    </row>
    <row r="351" spans="1:12" ht="24.75" x14ac:dyDescent="0.25">
      <c r="A351" s="4" t="s">
        <v>1073</v>
      </c>
      <c r="B351" s="2" t="s">
        <v>898</v>
      </c>
      <c r="C351" s="3">
        <v>1</v>
      </c>
      <c r="D351" s="5">
        <v>37.130000000000003</v>
      </c>
      <c r="E351" s="3">
        <v>100009193</v>
      </c>
      <c r="F351" s="2" t="s">
        <v>15</v>
      </c>
      <c r="G351" s="6" t="s">
        <v>65</v>
      </c>
      <c r="H351" s="2" t="s">
        <v>194</v>
      </c>
      <c r="I351" s="2" t="s">
        <v>503</v>
      </c>
      <c r="J351" s="2" t="s">
        <v>19</v>
      </c>
      <c r="K351" s="2" t="s">
        <v>353</v>
      </c>
      <c r="L351" s="7" t="str">
        <f>HYPERLINK("http://slimages.macys.com/is/image/MCY/11804644 ")</f>
        <v xml:space="preserve">http://slimages.macys.com/is/image/MCY/11804644 </v>
      </c>
    </row>
    <row r="352" spans="1:12" ht="24.75" x14ac:dyDescent="0.25">
      <c r="A352" s="4" t="s">
        <v>4814</v>
      </c>
      <c r="B352" s="2" t="s">
        <v>898</v>
      </c>
      <c r="C352" s="3">
        <v>1</v>
      </c>
      <c r="D352" s="5">
        <v>37.130000000000003</v>
      </c>
      <c r="E352" s="3">
        <v>100009193</v>
      </c>
      <c r="F352" s="2" t="s">
        <v>566</v>
      </c>
      <c r="G352" s="6" t="s">
        <v>58</v>
      </c>
      <c r="H352" s="2" t="s">
        <v>194</v>
      </c>
      <c r="I352" s="2" t="s">
        <v>503</v>
      </c>
      <c r="J352" s="2" t="s">
        <v>19</v>
      </c>
      <c r="K352" s="2" t="s">
        <v>353</v>
      </c>
      <c r="L352" s="7" t="str">
        <f>HYPERLINK("http://slimages.macys.com/is/image/MCY/11804644 ")</f>
        <v xml:space="preserve">http://slimages.macys.com/is/image/MCY/11804644 </v>
      </c>
    </row>
    <row r="353" spans="1:12" ht="24.75" x14ac:dyDescent="0.25">
      <c r="A353" s="4" t="s">
        <v>2558</v>
      </c>
      <c r="B353" s="2" t="s">
        <v>898</v>
      </c>
      <c r="C353" s="3">
        <v>1</v>
      </c>
      <c r="D353" s="5">
        <v>37.130000000000003</v>
      </c>
      <c r="E353" s="3">
        <v>100009193</v>
      </c>
      <c r="F353" s="2" t="s">
        <v>15</v>
      </c>
      <c r="G353" s="6" t="s">
        <v>27</v>
      </c>
      <c r="H353" s="2" t="s">
        <v>194</v>
      </c>
      <c r="I353" s="2" t="s">
        <v>503</v>
      </c>
      <c r="J353" s="2" t="s">
        <v>19</v>
      </c>
      <c r="K353" s="2" t="s">
        <v>353</v>
      </c>
      <c r="L353" s="7" t="str">
        <f>HYPERLINK("http://slimages.macys.com/is/image/MCY/11804644 ")</f>
        <v xml:space="preserve">http://slimages.macys.com/is/image/MCY/11804644 </v>
      </c>
    </row>
    <row r="354" spans="1:12" ht="24.75" x14ac:dyDescent="0.25">
      <c r="A354" s="4" t="s">
        <v>2569</v>
      </c>
      <c r="B354" s="2" t="s">
        <v>2566</v>
      </c>
      <c r="C354" s="3">
        <v>1</v>
      </c>
      <c r="D354" s="5">
        <v>34.880000000000003</v>
      </c>
      <c r="E354" s="3" t="s">
        <v>2567</v>
      </c>
      <c r="F354" s="2" t="s">
        <v>15</v>
      </c>
      <c r="G354" s="6" t="s">
        <v>794</v>
      </c>
      <c r="H354" s="2" t="s">
        <v>632</v>
      </c>
      <c r="I354" s="2" t="s">
        <v>2548</v>
      </c>
      <c r="J354" s="2" t="s">
        <v>19</v>
      </c>
      <c r="K354" s="2" t="s">
        <v>34</v>
      </c>
      <c r="L354" s="7" t="str">
        <f>HYPERLINK("http://slimages.macys.com/is/image/MCY/12716939 ")</f>
        <v xml:space="preserve">http://slimages.macys.com/is/image/MCY/12716939 </v>
      </c>
    </row>
    <row r="355" spans="1:12" ht="24.75" x14ac:dyDescent="0.25">
      <c r="A355" s="4" t="s">
        <v>4815</v>
      </c>
      <c r="B355" s="2" t="s">
        <v>2571</v>
      </c>
      <c r="C355" s="3">
        <v>1</v>
      </c>
      <c r="D355" s="5">
        <v>36.5</v>
      </c>
      <c r="E355" s="3" t="s">
        <v>2572</v>
      </c>
      <c r="F355" s="2" t="s">
        <v>74</v>
      </c>
      <c r="G355" s="6" t="s">
        <v>156</v>
      </c>
      <c r="H355" s="2" t="s">
        <v>246</v>
      </c>
      <c r="I355" s="2" t="s">
        <v>189</v>
      </c>
      <c r="J355" s="2" t="s">
        <v>19</v>
      </c>
      <c r="K355" s="2" t="s">
        <v>1230</v>
      </c>
      <c r="L355" s="7" t="str">
        <f>HYPERLINK("http://slimages.macys.com/is/image/MCY/9818614 ")</f>
        <v xml:space="preserve">http://slimages.macys.com/is/image/MCY/9818614 </v>
      </c>
    </row>
    <row r="356" spans="1:12" ht="24.75" x14ac:dyDescent="0.25">
      <c r="A356" s="4" t="s">
        <v>4816</v>
      </c>
      <c r="B356" s="2" t="s">
        <v>2571</v>
      </c>
      <c r="C356" s="3">
        <v>2</v>
      </c>
      <c r="D356" s="5">
        <v>36.5</v>
      </c>
      <c r="E356" s="3" t="s">
        <v>2572</v>
      </c>
      <c r="F356" s="2" t="s">
        <v>74</v>
      </c>
      <c r="G356" s="6" t="s">
        <v>245</v>
      </c>
      <c r="H356" s="2" t="s">
        <v>246</v>
      </c>
      <c r="I356" s="2" t="s">
        <v>189</v>
      </c>
      <c r="J356" s="2" t="s">
        <v>19</v>
      </c>
      <c r="K356" s="2" t="s">
        <v>1230</v>
      </c>
      <c r="L356" s="7" t="str">
        <f>HYPERLINK("http://slimages.macys.com/is/image/MCY/9818614 ")</f>
        <v xml:space="preserve">http://slimages.macys.com/is/image/MCY/9818614 </v>
      </c>
    </row>
    <row r="357" spans="1:12" ht="24.75" x14ac:dyDescent="0.25">
      <c r="A357" s="4" t="s">
        <v>4817</v>
      </c>
      <c r="B357" s="2" t="s">
        <v>890</v>
      </c>
      <c r="C357" s="3">
        <v>1</v>
      </c>
      <c r="D357" s="5">
        <v>34.5</v>
      </c>
      <c r="E357" s="3" t="s">
        <v>4818</v>
      </c>
      <c r="F357" s="2" t="s">
        <v>193</v>
      </c>
      <c r="G357" s="6" t="s">
        <v>16</v>
      </c>
      <c r="H357" s="2" t="s">
        <v>228</v>
      </c>
      <c r="I357" s="2" t="s">
        <v>863</v>
      </c>
      <c r="J357" s="2" t="s">
        <v>19</v>
      </c>
      <c r="K357" s="2" t="s">
        <v>253</v>
      </c>
      <c r="L357" s="7" t="str">
        <f>HYPERLINK("http://slimages.macys.com/is/image/MCY/11804239 ")</f>
        <v xml:space="preserve">http://slimages.macys.com/is/image/MCY/11804239 </v>
      </c>
    </row>
    <row r="358" spans="1:12" ht="24.75" x14ac:dyDescent="0.25">
      <c r="A358" s="4" t="s">
        <v>4819</v>
      </c>
      <c r="B358" s="2" t="s">
        <v>890</v>
      </c>
      <c r="C358" s="3">
        <v>1</v>
      </c>
      <c r="D358" s="5">
        <v>34.5</v>
      </c>
      <c r="E358" s="3" t="s">
        <v>4818</v>
      </c>
      <c r="F358" s="2" t="s">
        <v>193</v>
      </c>
      <c r="G358" s="6" t="s">
        <v>58</v>
      </c>
      <c r="H358" s="2" t="s">
        <v>228</v>
      </c>
      <c r="I358" s="2" t="s">
        <v>863</v>
      </c>
      <c r="J358" s="2" t="s">
        <v>19</v>
      </c>
      <c r="K358" s="2" t="s">
        <v>253</v>
      </c>
      <c r="L358" s="7" t="str">
        <f>HYPERLINK("http://slimages.macys.com/is/image/MCY/11804239 ")</f>
        <v xml:space="preserve">http://slimages.macys.com/is/image/MCY/11804239 </v>
      </c>
    </row>
    <row r="359" spans="1:12" x14ac:dyDescent="0.25">
      <c r="A359" s="4" t="s">
        <v>4820</v>
      </c>
      <c r="B359" s="2" t="s">
        <v>4821</v>
      </c>
      <c r="C359" s="3">
        <v>1</v>
      </c>
      <c r="D359" s="5">
        <v>32.99</v>
      </c>
      <c r="E359" s="3">
        <v>3380470</v>
      </c>
      <c r="F359" s="2" t="s">
        <v>417</v>
      </c>
      <c r="G359" s="6" t="s">
        <v>4401</v>
      </c>
      <c r="H359" s="2" t="s">
        <v>1086</v>
      </c>
      <c r="I359" s="2" t="s">
        <v>1087</v>
      </c>
      <c r="J359" s="2" t="s">
        <v>19</v>
      </c>
      <c r="K359" s="2" t="s">
        <v>353</v>
      </c>
      <c r="L359" s="7" t="str">
        <f>HYPERLINK("http://slimages.macys.com/is/image/MCY/11608549 ")</f>
        <v xml:space="preserve">http://slimages.macys.com/is/image/MCY/11608549 </v>
      </c>
    </row>
    <row r="360" spans="1:12" ht="24.75" x14ac:dyDescent="0.25">
      <c r="A360" s="4" t="s">
        <v>4822</v>
      </c>
      <c r="B360" s="2" t="s">
        <v>4823</v>
      </c>
      <c r="C360" s="3">
        <v>1</v>
      </c>
      <c r="D360" s="5">
        <v>27.99</v>
      </c>
      <c r="E360" s="3" t="s">
        <v>4824</v>
      </c>
      <c r="F360" s="2" t="s">
        <v>506</v>
      </c>
      <c r="G360" s="6" t="s">
        <v>154</v>
      </c>
      <c r="H360" s="2" t="s">
        <v>194</v>
      </c>
      <c r="I360" s="2" t="s">
        <v>919</v>
      </c>
      <c r="J360" s="2" t="s">
        <v>19</v>
      </c>
      <c r="K360" s="2" t="s">
        <v>409</v>
      </c>
      <c r="L360" s="7" t="str">
        <f>HYPERLINK("http://slimages.macys.com/is/image/MCY/3244804 ")</f>
        <v xml:space="preserve">http://slimages.macys.com/is/image/MCY/3244804 </v>
      </c>
    </row>
    <row r="361" spans="1:12" ht="24.75" x14ac:dyDescent="0.25">
      <c r="A361" s="4" t="s">
        <v>4825</v>
      </c>
      <c r="B361" s="2" t="s">
        <v>4826</v>
      </c>
      <c r="C361" s="3">
        <v>1</v>
      </c>
      <c r="D361" s="5">
        <v>37.130000000000003</v>
      </c>
      <c r="E361" s="3">
        <v>100021423</v>
      </c>
      <c r="F361" s="2" t="s">
        <v>64</v>
      </c>
      <c r="G361" s="6" t="s">
        <v>234</v>
      </c>
      <c r="H361" s="2" t="s">
        <v>194</v>
      </c>
      <c r="I361" s="2" t="s">
        <v>195</v>
      </c>
      <c r="J361" s="2" t="s">
        <v>19</v>
      </c>
      <c r="K361" s="2" t="s">
        <v>648</v>
      </c>
      <c r="L361" s="7" t="str">
        <f>HYPERLINK("http://slimages.macys.com/is/image/MCY/12851013 ")</f>
        <v xml:space="preserve">http://slimages.macys.com/is/image/MCY/12851013 </v>
      </c>
    </row>
    <row r="362" spans="1:12" ht="24.75" x14ac:dyDescent="0.25">
      <c r="A362" s="4" t="s">
        <v>4827</v>
      </c>
      <c r="B362" s="2" t="s">
        <v>4828</v>
      </c>
      <c r="C362" s="3">
        <v>1</v>
      </c>
      <c r="D362" s="5">
        <v>37.130000000000003</v>
      </c>
      <c r="E362" s="3" t="s">
        <v>4829</v>
      </c>
      <c r="F362" s="2" t="s">
        <v>74</v>
      </c>
      <c r="G362" s="6" t="s">
        <v>234</v>
      </c>
      <c r="H362" s="2" t="s">
        <v>194</v>
      </c>
      <c r="I362" s="2" t="s">
        <v>195</v>
      </c>
      <c r="J362" s="2" t="s">
        <v>19</v>
      </c>
      <c r="K362" s="2" t="s">
        <v>4830</v>
      </c>
      <c r="L362" s="7" t="str">
        <f>HYPERLINK("http://slimages.macys.com/is/image/MCY/12143855 ")</f>
        <v xml:space="preserve">http://slimages.macys.com/is/image/MCY/12143855 </v>
      </c>
    </row>
    <row r="363" spans="1:12" ht="24.75" x14ac:dyDescent="0.25">
      <c r="A363" s="4" t="s">
        <v>4831</v>
      </c>
      <c r="B363" s="2" t="s">
        <v>1265</v>
      </c>
      <c r="C363" s="3">
        <v>1</v>
      </c>
      <c r="D363" s="5">
        <v>37.130000000000003</v>
      </c>
      <c r="E363" s="3">
        <v>100020742</v>
      </c>
      <c r="F363" s="2" t="s">
        <v>15</v>
      </c>
      <c r="G363" s="6" t="s">
        <v>234</v>
      </c>
      <c r="H363" s="2" t="s">
        <v>194</v>
      </c>
      <c r="I363" s="2" t="s">
        <v>503</v>
      </c>
      <c r="J363" s="2" t="s">
        <v>19</v>
      </c>
      <c r="K363" s="2" t="s">
        <v>201</v>
      </c>
      <c r="L363" s="7" t="str">
        <f>HYPERLINK("http://slimages.macys.com/is/image/MCY/12035316 ")</f>
        <v xml:space="preserve">http://slimages.macys.com/is/image/MCY/12035316 </v>
      </c>
    </row>
    <row r="364" spans="1:12" ht="24.75" x14ac:dyDescent="0.25">
      <c r="A364" s="4" t="s">
        <v>4832</v>
      </c>
      <c r="B364" s="2" t="s">
        <v>1106</v>
      </c>
      <c r="C364" s="3">
        <v>1</v>
      </c>
      <c r="D364" s="5">
        <v>32.5</v>
      </c>
      <c r="E364" s="3" t="s">
        <v>1107</v>
      </c>
      <c r="F364" s="2" t="s">
        <v>15</v>
      </c>
      <c r="G364" s="6" t="s">
        <v>156</v>
      </c>
      <c r="H364" s="2" t="s">
        <v>194</v>
      </c>
      <c r="I364" s="2" t="s">
        <v>195</v>
      </c>
      <c r="J364" s="2" t="s">
        <v>19</v>
      </c>
      <c r="K364" s="2" t="s">
        <v>1108</v>
      </c>
      <c r="L364" s="7" t="str">
        <f>HYPERLINK("http://slimages.macys.com/is/image/MCY/11764459 ")</f>
        <v xml:space="preserve">http://slimages.macys.com/is/image/MCY/11764459 </v>
      </c>
    </row>
    <row r="365" spans="1:12" ht="24.75" x14ac:dyDescent="0.25">
      <c r="A365" s="4" t="s">
        <v>4833</v>
      </c>
      <c r="B365" s="2" t="s">
        <v>1106</v>
      </c>
      <c r="C365" s="3">
        <v>1</v>
      </c>
      <c r="D365" s="5">
        <v>32.5</v>
      </c>
      <c r="E365" s="3" t="s">
        <v>4834</v>
      </c>
      <c r="F365" s="2" t="s">
        <v>74</v>
      </c>
      <c r="G365" s="6" t="s">
        <v>156</v>
      </c>
      <c r="H365" s="2" t="s">
        <v>194</v>
      </c>
      <c r="I365" s="2" t="s">
        <v>195</v>
      </c>
      <c r="J365" s="2" t="s">
        <v>19</v>
      </c>
      <c r="K365" s="2" t="s">
        <v>1108</v>
      </c>
      <c r="L365" s="7" t="str">
        <f>HYPERLINK("http://slimages.macys.com/is/image/MCY/11526915 ")</f>
        <v xml:space="preserve">http://slimages.macys.com/is/image/MCY/11526915 </v>
      </c>
    </row>
    <row r="366" spans="1:12" ht="24.75" x14ac:dyDescent="0.25">
      <c r="A366" s="4" t="s">
        <v>4835</v>
      </c>
      <c r="B366" s="2" t="s">
        <v>4836</v>
      </c>
      <c r="C366" s="3">
        <v>1</v>
      </c>
      <c r="D366" s="5">
        <v>37.130000000000003</v>
      </c>
      <c r="E366" s="3" t="s">
        <v>4837</v>
      </c>
      <c r="F366" s="2" t="s">
        <v>26</v>
      </c>
      <c r="G366" s="6" t="s">
        <v>200</v>
      </c>
      <c r="H366" s="2" t="s">
        <v>194</v>
      </c>
      <c r="I366" s="2" t="s">
        <v>195</v>
      </c>
      <c r="J366" s="2" t="s">
        <v>19</v>
      </c>
      <c r="K366" s="2" t="s">
        <v>648</v>
      </c>
      <c r="L366" s="7" t="str">
        <f>HYPERLINK("http://slimages.macys.com/is/image/MCY/12734350 ")</f>
        <v xml:space="preserve">http://slimages.macys.com/is/image/MCY/12734350 </v>
      </c>
    </row>
    <row r="367" spans="1:12" ht="24.75" x14ac:dyDescent="0.25">
      <c r="A367" s="4" t="s">
        <v>2574</v>
      </c>
      <c r="B367" s="2" t="s">
        <v>2575</v>
      </c>
      <c r="C367" s="3">
        <v>1</v>
      </c>
      <c r="D367" s="5">
        <v>40.880000000000003</v>
      </c>
      <c r="E367" s="3" t="s">
        <v>2576</v>
      </c>
      <c r="F367" s="2" t="s">
        <v>170</v>
      </c>
      <c r="G367" s="6" t="s">
        <v>200</v>
      </c>
      <c r="H367" s="2" t="s">
        <v>284</v>
      </c>
      <c r="I367" s="2" t="s">
        <v>285</v>
      </c>
      <c r="J367" s="2" t="s">
        <v>19</v>
      </c>
      <c r="K367" s="2" t="s">
        <v>160</v>
      </c>
      <c r="L367" s="7" t="str">
        <f>HYPERLINK("http://slimages.macys.com/is/image/MCY/12035382 ")</f>
        <v xml:space="preserve">http://slimages.macys.com/is/image/MCY/12035382 </v>
      </c>
    </row>
    <row r="368" spans="1:12" ht="24.75" x14ac:dyDescent="0.25">
      <c r="A368" s="4" t="s">
        <v>2580</v>
      </c>
      <c r="B368" s="2" t="s">
        <v>1114</v>
      </c>
      <c r="C368" s="3">
        <v>1</v>
      </c>
      <c r="D368" s="5">
        <v>37.130000000000003</v>
      </c>
      <c r="E368" s="3">
        <v>100042369</v>
      </c>
      <c r="F368" s="2" t="s">
        <v>94</v>
      </c>
      <c r="G368" s="6" t="s">
        <v>16</v>
      </c>
      <c r="H368" s="2" t="s">
        <v>194</v>
      </c>
      <c r="I368" s="2" t="s">
        <v>195</v>
      </c>
      <c r="J368" s="2" t="s">
        <v>19</v>
      </c>
      <c r="K368" s="2" t="s">
        <v>353</v>
      </c>
      <c r="L368" s="7" t="str">
        <f>HYPERLINK("http://slimages.macys.com/is/image/MCY/11934953 ")</f>
        <v xml:space="preserve">http://slimages.macys.com/is/image/MCY/11934953 </v>
      </c>
    </row>
    <row r="369" spans="1:12" ht="24.75" x14ac:dyDescent="0.25">
      <c r="A369" s="4" t="s">
        <v>4838</v>
      </c>
      <c r="B369" s="2" t="s">
        <v>1114</v>
      </c>
      <c r="C369" s="3">
        <v>1</v>
      </c>
      <c r="D369" s="5">
        <v>37.130000000000003</v>
      </c>
      <c r="E369" s="3">
        <v>100042369</v>
      </c>
      <c r="F369" s="2" t="s">
        <v>136</v>
      </c>
      <c r="G369" s="6" t="s">
        <v>27</v>
      </c>
      <c r="H369" s="2" t="s">
        <v>194</v>
      </c>
      <c r="I369" s="2" t="s">
        <v>195</v>
      </c>
      <c r="J369" s="2"/>
      <c r="K369" s="2"/>
      <c r="L369" s="7" t="str">
        <f>HYPERLINK("http://slimages.macys.com/is/image/MCY/11934939 ")</f>
        <v xml:space="preserve">http://slimages.macys.com/is/image/MCY/11934939 </v>
      </c>
    </row>
    <row r="370" spans="1:12" ht="24.75" x14ac:dyDescent="0.25">
      <c r="A370" s="4" t="s">
        <v>4839</v>
      </c>
      <c r="B370" s="2" t="s">
        <v>1114</v>
      </c>
      <c r="C370" s="3">
        <v>1</v>
      </c>
      <c r="D370" s="5">
        <v>37.130000000000003</v>
      </c>
      <c r="E370" s="3">
        <v>100042369</v>
      </c>
      <c r="F370" s="2" t="s">
        <v>79</v>
      </c>
      <c r="G370" s="6" t="s">
        <v>58</v>
      </c>
      <c r="H370" s="2" t="s">
        <v>194</v>
      </c>
      <c r="I370" s="2" t="s">
        <v>195</v>
      </c>
      <c r="J370" s="2" t="s">
        <v>19</v>
      </c>
      <c r="K370" s="2" t="s">
        <v>353</v>
      </c>
      <c r="L370" s="7" t="str">
        <f>HYPERLINK("http://slimages.macys.com/is/image/MCY/11934953 ")</f>
        <v xml:space="preserve">http://slimages.macys.com/is/image/MCY/11934953 </v>
      </c>
    </row>
    <row r="371" spans="1:12" ht="24.75" x14ac:dyDescent="0.25">
      <c r="A371" s="4" t="s">
        <v>4840</v>
      </c>
      <c r="B371" s="2" t="s">
        <v>1114</v>
      </c>
      <c r="C371" s="3">
        <v>1</v>
      </c>
      <c r="D371" s="5">
        <v>37.130000000000003</v>
      </c>
      <c r="E371" s="3">
        <v>100042369</v>
      </c>
      <c r="F371" s="2" t="s">
        <v>94</v>
      </c>
      <c r="G371" s="6" t="s">
        <v>106</v>
      </c>
      <c r="H371" s="2" t="s">
        <v>194</v>
      </c>
      <c r="I371" s="2" t="s">
        <v>195</v>
      </c>
      <c r="J371" s="2" t="s">
        <v>19</v>
      </c>
      <c r="K371" s="2" t="s">
        <v>353</v>
      </c>
      <c r="L371" s="7" t="str">
        <f>HYPERLINK("http://slimages.macys.com/is/image/MCY/11934953 ")</f>
        <v xml:space="preserve">http://slimages.macys.com/is/image/MCY/11934953 </v>
      </c>
    </row>
    <row r="372" spans="1:12" ht="24.75" x14ac:dyDescent="0.25">
      <c r="A372" s="4" t="s">
        <v>1124</v>
      </c>
      <c r="B372" s="2" t="s">
        <v>1118</v>
      </c>
      <c r="C372" s="3">
        <v>3</v>
      </c>
      <c r="D372" s="5">
        <v>37.130000000000003</v>
      </c>
      <c r="E372" s="3">
        <v>100070736</v>
      </c>
      <c r="F372" s="2" t="s">
        <v>74</v>
      </c>
      <c r="G372" s="6" t="s">
        <v>234</v>
      </c>
      <c r="H372" s="2" t="s">
        <v>194</v>
      </c>
      <c r="I372" s="2" t="s">
        <v>195</v>
      </c>
      <c r="J372" s="2" t="s">
        <v>19</v>
      </c>
      <c r="K372" s="2" t="s">
        <v>353</v>
      </c>
      <c r="L372" s="7" t="str">
        <f>HYPERLINK("http://slimages.macys.com/is/image/MCY/13120823 ")</f>
        <v xml:space="preserve">http://slimages.macys.com/is/image/MCY/13120823 </v>
      </c>
    </row>
    <row r="373" spans="1:12" ht="24.75" x14ac:dyDescent="0.25">
      <c r="A373" s="4" t="s">
        <v>4841</v>
      </c>
      <c r="B373" s="2" t="s">
        <v>1118</v>
      </c>
      <c r="C373" s="3">
        <v>1</v>
      </c>
      <c r="D373" s="5">
        <v>37.130000000000003</v>
      </c>
      <c r="E373" s="3">
        <v>100070736</v>
      </c>
      <c r="F373" s="2" t="s">
        <v>376</v>
      </c>
      <c r="G373" s="6" t="s">
        <v>200</v>
      </c>
      <c r="H373" s="2" t="s">
        <v>194</v>
      </c>
      <c r="I373" s="2" t="s">
        <v>195</v>
      </c>
      <c r="J373" s="2" t="s">
        <v>19</v>
      </c>
      <c r="K373" s="2" t="s">
        <v>353</v>
      </c>
      <c r="L373" s="7" t="str">
        <f>HYPERLINK("http://slimages.macys.com/is/image/MCY/13120823 ")</f>
        <v xml:space="preserve">http://slimages.macys.com/is/image/MCY/13120823 </v>
      </c>
    </row>
    <row r="374" spans="1:12" ht="24.75" x14ac:dyDescent="0.25">
      <c r="A374" s="4" t="s">
        <v>1121</v>
      </c>
      <c r="B374" s="2" t="s">
        <v>1118</v>
      </c>
      <c r="C374" s="3">
        <v>1</v>
      </c>
      <c r="D374" s="5">
        <v>37.130000000000003</v>
      </c>
      <c r="E374" s="3">
        <v>100070736</v>
      </c>
      <c r="F374" s="2" t="s">
        <v>376</v>
      </c>
      <c r="G374" s="6" t="s">
        <v>234</v>
      </c>
      <c r="H374" s="2" t="s">
        <v>194</v>
      </c>
      <c r="I374" s="2" t="s">
        <v>195</v>
      </c>
      <c r="J374" s="2" t="s">
        <v>19</v>
      </c>
      <c r="K374" s="2" t="s">
        <v>353</v>
      </c>
      <c r="L374" s="7" t="str">
        <f>HYPERLINK("http://slimages.macys.com/is/image/MCY/13120823 ")</f>
        <v xml:space="preserve">http://slimages.macys.com/is/image/MCY/13120823 </v>
      </c>
    </row>
    <row r="375" spans="1:12" ht="24.75" x14ac:dyDescent="0.25">
      <c r="A375" s="4" t="s">
        <v>1120</v>
      </c>
      <c r="B375" s="2" t="s">
        <v>1118</v>
      </c>
      <c r="C375" s="3">
        <v>1</v>
      </c>
      <c r="D375" s="5">
        <v>37.130000000000003</v>
      </c>
      <c r="E375" s="3">
        <v>100070736</v>
      </c>
      <c r="F375" s="2" t="s">
        <v>376</v>
      </c>
      <c r="G375" s="6" t="s">
        <v>154</v>
      </c>
      <c r="H375" s="2" t="s">
        <v>194</v>
      </c>
      <c r="I375" s="2" t="s">
        <v>195</v>
      </c>
      <c r="J375" s="2" t="s">
        <v>19</v>
      </c>
      <c r="K375" s="2" t="s">
        <v>353</v>
      </c>
      <c r="L375" s="7" t="str">
        <f>HYPERLINK("http://slimages.macys.com/is/image/MCY/13120823 ")</f>
        <v xml:space="preserve">http://slimages.macys.com/is/image/MCY/13120823 </v>
      </c>
    </row>
    <row r="376" spans="1:12" ht="24.75" x14ac:dyDescent="0.25">
      <c r="A376" s="4" t="s">
        <v>4842</v>
      </c>
      <c r="B376" s="2" t="s">
        <v>1140</v>
      </c>
      <c r="C376" s="3">
        <v>1</v>
      </c>
      <c r="D376" s="5">
        <v>37.130000000000003</v>
      </c>
      <c r="E376" s="3" t="s">
        <v>1141</v>
      </c>
      <c r="F376" s="2" t="s">
        <v>26</v>
      </c>
      <c r="G376" s="6" t="s">
        <v>181</v>
      </c>
      <c r="H376" s="2" t="s">
        <v>284</v>
      </c>
      <c r="I376" s="2" t="s">
        <v>285</v>
      </c>
      <c r="J376" s="2" t="s">
        <v>19</v>
      </c>
      <c r="K376" s="2" t="s">
        <v>442</v>
      </c>
      <c r="L376" s="7" t="str">
        <f>HYPERLINK("http://slimages.macys.com/is/image/MCY/13466766 ")</f>
        <v xml:space="preserve">http://slimages.macys.com/is/image/MCY/13466766 </v>
      </c>
    </row>
    <row r="377" spans="1:12" ht="24.75" x14ac:dyDescent="0.25">
      <c r="A377" s="4" t="s">
        <v>1135</v>
      </c>
      <c r="B377" s="2" t="s">
        <v>890</v>
      </c>
      <c r="C377" s="3">
        <v>1</v>
      </c>
      <c r="D377" s="5">
        <v>34.5</v>
      </c>
      <c r="E377" s="3" t="s">
        <v>1136</v>
      </c>
      <c r="F377" s="2" t="s">
        <v>252</v>
      </c>
      <c r="G377" s="6" t="s">
        <v>22</v>
      </c>
      <c r="H377" s="2" t="s">
        <v>228</v>
      </c>
      <c r="I377" s="2" t="s">
        <v>863</v>
      </c>
      <c r="J377" s="2" t="s">
        <v>19</v>
      </c>
      <c r="K377" s="2" t="s">
        <v>253</v>
      </c>
      <c r="L377" s="7" t="str">
        <f>HYPERLINK("http://slimages.macys.com/is/image/MCY/11804239 ")</f>
        <v xml:space="preserve">http://slimages.macys.com/is/image/MCY/11804239 </v>
      </c>
    </row>
    <row r="378" spans="1:12" ht="24.75" x14ac:dyDescent="0.25">
      <c r="A378" s="4" t="s">
        <v>1154</v>
      </c>
      <c r="B378" s="2" t="s">
        <v>1155</v>
      </c>
      <c r="C378" s="3">
        <v>1</v>
      </c>
      <c r="D378" s="5">
        <v>37.130000000000003</v>
      </c>
      <c r="E378" s="3" t="s">
        <v>1156</v>
      </c>
      <c r="F378" s="2" t="s">
        <v>417</v>
      </c>
      <c r="G378" s="6" t="s">
        <v>181</v>
      </c>
      <c r="H378" s="2" t="s">
        <v>194</v>
      </c>
      <c r="I378" s="2" t="s">
        <v>195</v>
      </c>
      <c r="J378" s="2" t="s">
        <v>19</v>
      </c>
      <c r="K378" s="2" t="s">
        <v>648</v>
      </c>
      <c r="L378" s="7" t="str">
        <f>HYPERLINK("http://slimages.macys.com/is/image/MCY/13120794 ")</f>
        <v xml:space="preserve">http://slimages.macys.com/is/image/MCY/13120794 </v>
      </c>
    </row>
    <row r="379" spans="1:12" ht="24.75" x14ac:dyDescent="0.25">
      <c r="A379" s="4" t="s">
        <v>1157</v>
      </c>
      <c r="B379" s="2" t="s">
        <v>1152</v>
      </c>
      <c r="C379" s="3">
        <v>1</v>
      </c>
      <c r="D379" s="5">
        <v>37.130000000000003</v>
      </c>
      <c r="E379" s="3" t="s">
        <v>1153</v>
      </c>
      <c r="F379" s="2" t="s">
        <v>94</v>
      </c>
      <c r="G379" s="6" t="s">
        <v>245</v>
      </c>
      <c r="H379" s="2" t="s">
        <v>194</v>
      </c>
      <c r="I379" s="2" t="s">
        <v>195</v>
      </c>
      <c r="J379" s="2" t="s">
        <v>19</v>
      </c>
      <c r="K379" s="2" t="s">
        <v>34</v>
      </c>
      <c r="L379" s="7" t="str">
        <f>HYPERLINK("http://slimages.macys.com/is/image/MCY/12793856 ")</f>
        <v xml:space="preserve">http://slimages.macys.com/is/image/MCY/12793856 </v>
      </c>
    </row>
    <row r="380" spans="1:12" ht="24.75" x14ac:dyDescent="0.25">
      <c r="A380" s="4" t="s">
        <v>4843</v>
      </c>
      <c r="B380" s="2" t="s">
        <v>1155</v>
      </c>
      <c r="C380" s="3">
        <v>1</v>
      </c>
      <c r="D380" s="5">
        <v>37.130000000000003</v>
      </c>
      <c r="E380" s="3" t="s">
        <v>1156</v>
      </c>
      <c r="F380" s="2" t="s">
        <v>417</v>
      </c>
      <c r="G380" s="6" t="s">
        <v>245</v>
      </c>
      <c r="H380" s="2" t="s">
        <v>194</v>
      </c>
      <c r="I380" s="2" t="s">
        <v>195</v>
      </c>
      <c r="J380" s="2" t="s">
        <v>19</v>
      </c>
      <c r="K380" s="2" t="s">
        <v>648</v>
      </c>
      <c r="L380" s="7" t="str">
        <f>HYPERLINK("http://slimages.macys.com/is/image/MCY/13120794 ")</f>
        <v xml:space="preserve">http://slimages.macys.com/is/image/MCY/13120794 </v>
      </c>
    </row>
    <row r="381" spans="1:12" ht="24.75" x14ac:dyDescent="0.25">
      <c r="A381" s="4" t="s">
        <v>4844</v>
      </c>
      <c r="B381" s="2" t="s">
        <v>1160</v>
      </c>
      <c r="C381" s="3">
        <v>1</v>
      </c>
      <c r="D381" s="5">
        <v>69.5</v>
      </c>
      <c r="E381" s="3">
        <v>100055239</v>
      </c>
      <c r="F381" s="2" t="s">
        <v>74</v>
      </c>
      <c r="G381" s="6" t="s">
        <v>39</v>
      </c>
      <c r="H381" s="2" t="s">
        <v>386</v>
      </c>
      <c r="I381" s="2" t="s">
        <v>207</v>
      </c>
      <c r="J381" s="2" t="s">
        <v>19</v>
      </c>
      <c r="K381" s="2" t="s">
        <v>387</v>
      </c>
      <c r="L381" s="7" t="str">
        <f>HYPERLINK("http://slimages.macys.com/is/image/MCY/11535562 ")</f>
        <v xml:space="preserve">http://slimages.macys.com/is/image/MCY/11535562 </v>
      </c>
    </row>
    <row r="382" spans="1:12" ht="24.75" x14ac:dyDescent="0.25">
      <c r="A382" s="4" t="s">
        <v>1159</v>
      </c>
      <c r="B382" s="2" t="s">
        <v>1160</v>
      </c>
      <c r="C382" s="3">
        <v>1</v>
      </c>
      <c r="D382" s="5">
        <v>69.5</v>
      </c>
      <c r="E382" s="3">
        <v>100055239</v>
      </c>
      <c r="F382" s="2" t="s">
        <v>74</v>
      </c>
      <c r="G382" s="6" t="s">
        <v>141</v>
      </c>
      <c r="H382" s="2" t="s">
        <v>386</v>
      </c>
      <c r="I382" s="2" t="s">
        <v>207</v>
      </c>
      <c r="J382" s="2" t="s">
        <v>19</v>
      </c>
      <c r="K382" s="2" t="s">
        <v>387</v>
      </c>
      <c r="L382" s="7" t="str">
        <f>HYPERLINK("http://slimages.macys.com/is/image/MCY/11535562 ")</f>
        <v xml:space="preserve">http://slimages.macys.com/is/image/MCY/11535562 </v>
      </c>
    </row>
    <row r="383" spans="1:12" ht="24.75" x14ac:dyDescent="0.25">
      <c r="A383" s="4" t="s">
        <v>4845</v>
      </c>
      <c r="B383" s="2" t="s">
        <v>1170</v>
      </c>
      <c r="C383" s="3">
        <v>1</v>
      </c>
      <c r="D383" s="5">
        <v>34.5</v>
      </c>
      <c r="E383" s="3" t="s">
        <v>1171</v>
      </c>
      <c r="F383" s="2" t="s">
        <v>417</v>
      </c>
      <c r="G383" s="6"/>
      <c r="H383" s="2" t="s">
        <v>228</v>
      </c>
      <c r="I383" s="2" t="s">
        <v>863</v>
      </c>
      <c r="J383" s="2" t="s">
        <v>19</v>
      </c>
      <c r="K383" s="2" t="s">
        <v>230</v>
      </c>
      <c r="L383" s="7" t="str">
        <f>HYPERLINK("http://slimages.macys.com/is/image/MCY/3623515 ")</f>
        <v xml:space="preserve">http://slimages.macys.com/is/image/MCY/3623515 </v>
      </c>
    </row>
    <row r="384" spans="1:12" ht="24.75" x14ac:dyDescent="0.25">
      <c r="A384" s="4" t="s">
        <v>4846</v>
      </c>
      <c r="B384" s="2" t="s">
        <v>4847</v>
      </c>
      <c r="C384" s="3">
        <v>1</v>
      </c>
      <c r="D384" s="5">
        <v>34.5</v>
      </c>
      <c r="E384" s="3" t="s">
        <v>4848</v>
      </c>
      <c r="F384" s="2" t="s">
        <v>417</v>
      </c>
      <c r="G384" s="6" t="s">
        <v>934</v>
      </c>
      <c r="H384" s="2" t="s">
        <v>426</v>
      </c>
      <c r="I384" s="2" t="s">
        <v>229</v>
      </c>
      <c r="J384" s="2" t="s">
        <v>19</v>
      </c>
      <c r="K384" s="2" t="s">
        <v>383</v>
      </c>
      <c r="L384" s="7" t="str">
        <f>HYPERLINK("http://slimages.macys.com/is/image/MCY/1650222 ")</f>
        <v xml:space="preserve">http://slimages.macys.com/is/image/MCY/1650222 </v>
      </c>
    </row>
    <row r="385" spans="1:12" ht="24.75" x14ac:dyDescent="0.25">
      <c r="A385" s="4" t="s">
        <v>4849</v>
      </c>
      <c r="B385" s="2" t="s">
        <v>1163</v>
      </c>
      <c r="C385" s="3">
        <v>2</v>
      </c>
      <c r="D385" s="5">
        <v>34.5</v>
      </c>
      <c r="E385" s="3" t="s">
        <v>1164</v>
      </c>
      <c r="F385" s="2" t="s">
        <v>74</v>
      </c>
      <c r="G385" s="6" t="s">
        <v>4723</v>
      </c>
      <c r="H385" s="2" t="s">
        <v>228</v>
      </c>
      <c r="I385" s="2" t="s">
        <v>863</v>
      </c>
      <c r="J385" s="2" t="s">
        <v>19</v>
      </c>
      <c r="K385" s="2" t="s">
        <v>230</v>
      </c>
      <c r="L385" s="7" t="str">
        <f>HYPERLINK("http://slimages.macys.com/is/image/MCY/3623515 ")</f>
        <v xml:space="preserve">http://slimages.macys.com/is/image/MCY/3623515 </v>
      </c>
    </row>
    <row r="386" spans="1:12" ht="24.75" x14ac:dyDescent="0.25">
      <c r="A386" s="4" t="s">
        <v>4850</v>
      </c>
      <c r="B386" s="2" t="s">
        <v>1199</v>
      </c>
      <c r="C386" s="3">
        <v>1</v>
      </c>
      <c r="D386" s="5">
        <v>37.130000000000003</v>
      </c>
      <c r="E386" s="3">
        <v>100009324</v>
      </c>
      <c r="F386" s="2" t="s">
        <v>70</v>
      </c>
      <c r="G386" s="6" t="s">
        <v>22</v>
      </c>
      <c r="H386" s="2" t="s">
        <v>194</v>
      </c>
      <c r="I386" s="2" t="s">
        <v>195</v>
      </c>
      <c r="J386" s="2" t="s">
        <v>19</v>
      </c>
      <c r="K386" s="2" t="s">
        <v>353</v>
      </c>
      <c r="L386" s="7" t="str">
        <f>HYPERLINK("http://slimages.macys.com/is/image/MCY/9404224 ")</f>
        <v xml:space="preserve">http://slimages.macys.com/is/image/MCY/9404224 </v>
      </c>
    </row>
    <row r="387" spans="1:12" ht="24.75" x14ac:dyDescent="0.25">
      <c r="A387" s="4" t="s">
        <v>4851</v>
      </c>
      <c r="B387" s="2" t="s">
        <v>1106</v>
      </c>
      <c r="C387" s="3">
        <v>1</v>
      </c>
      <c r="D387" s="5">
        <v>33.380000000000003</v>
      </c>
      <c r="E387" s="3" t="s">
        <v>3775</v>
      </c>
      <c r="F387" s="2" t="s">
        <v>417</v>
      </c>
      <c r="G387" s="6" t="s">
        <v>234</v>
      </c>
      <c r="H387" s="2" t="s">
        <v>194</v>
      </c>
      <c r="I387" s="2" t="s">
        <v>195</v>
      </c>
      <c r="J387" s="2" t="s">
        <v>19</v>
      </c>
      <c r="K387" s="2" t="s">
        <v>1108</v>
      </c>
      <c r="L387" s="7" t="str">
        <f>HYPERLINK("http://slimages.macys.com/is/image/MCY/12034216 ")</f>
        <v xml:space="preserve">http://slimages.macys.com/is/image/MCY/12034216 </v>
      </c>
    </row>
    <row r="388" spans="1:12" ht="24.75" x14ac:dyDescent="0.25">
      <c r="A388" s="4" t="s">
        <v>4852</v>
      </c>
      <c r="B388" s="2" t="s">
        <v>1183</v>
      </c>
      <c r="C388" s="3">
        <v>1</v>
      </c>
      <c r="D388" s="5">
        <v>34.5</v>
      </c>
      <c r="E388" s="3" t="s">
        <v>3777</v>
      </c>
      <c r="F388" s="2" t="s">
        <v>74</v>
      </c>
      <c r="G388" s="6" t="s">
        <v>181</v>
      </c>
      <c r="H388" s="2" t="s">
        <v>228</v>
      </c>
      <c r="I388" s="2" t="s">
        <v>229</v>
      </c>
      <c r="J388" s="2" t="s">
        <v>19</v>
      </c>
      <c r="K388" s="2" t="s">
        <v>253</v>
      </c>
      <c r="L388" s="7" t="str">
        <f>HYPERLINK("http://slimages.macys.com/is/image/MCY/11269044 ")</f>
        <v xml:space="preserve">http://slimages.macys.com/is/image/MCY/11269044 </v>
      </c>
    </row>
    <row r="389" spans="1:12" ht="24.75" x14ac:dyDescent="0.25">
      <c r="A389" s="4" t="s">
        <v>4853</v>
      </c>
      <c r="B389" s="2" t="s">
        <v>4854</v>
      </c>
      <c r="C389" s="3">
        <v>1</v>
      </c>
      <c r="D389" s="5">
        <v>37.130000000000003</v>
      </c>
      <c r="E389" s="3">
        <v>100027424</v>
      </c>
      <c r="F389" s="2" t="s">
        <v>74</v>
      </c>
      <c r="G389" s="6" t="s">
        <v>4855</v>
      </c>
      <c r="H389" s="2" t="s">
        <v>194</v>
      </c>
      <c r="I389" s="2" t="s">
        <v>1112</v>
      </c>
      <c r="J389" s="2" t="s">
        <v>19</v>
      </c>
      <c r="K389" s="2" t="s">
        <v>409</v>
      </c>
      <c r="L389" s="7" t="str">
        <f>HYPERLINK("http://slimages.macys.com/is/image/MCY/8185791 ")</f>
        <v xml:space="preserve">http://slimages.macys.com/is/image/MCY/8185791 </v>
      </c>
    </row>
    <row r="390" spans="1:12" ht="24.75" x14ac:dyDescent="0.25">
      <c r="A390" s="4" t="s">
        <v>2603</v>
      </c>
      <c r="B390" s="2" t="s">
        <v>1183</v>
      </c>
      <c r="C390" s="3">
        <v>1</v>
      </c>
      <c r="D390" s="5">
        <v>34.5</v>
      </c>
      <c r="E390" s="3" t="s">
        <v>2602</v>
      </c>
      <c r="F390" s="2" t="s">
        <v>26</v>
      </c>
      <c r="G390" s="6" t="s">
        <v>154</v>
      </c>
      <c r="H390" s="2" t="s">
        <v>228</v>
      </c>
      <c r="I390" s="2" t="s">
        <v>229</v>
      </c>
      <c r="J390" s="2" t="s">
        <v>19</v>
      </c>
      <c r="K390" s="2" t="s">
        <v>253</v>
      </c>
      <c r="L390" s="7" t="str">
        <f>HYPERLINK("http://slimages.macys.com/is/image/MCY/11269044 ")</f>
        <v xml:space="preserve">http://slimages.macys.com/is/image/MCY/11269044 </v>
      </c>
    </row>
    <row r="391" spans="1:12" ht="24.75" x14ac:dyDescent="0.25">
      <c r="A391" s="4" t="s">
        <v>2604</v>
      </c>
      <c r="B391" s="2" t="s">
        <v>1183</v>
      </c>
      <c r="C391" s="3">
        <v>1</v>
      </c>
      <c r="D391" s="5">
        <v>34.5</v>
      </c>
      <c r="E391" s="3">
        <v>100010006</v>
      </c>
      <c r="F391" s="2" t="s">
        <v>417</v>
      </c>
      <c r="G391" s="6" t="s">
        <v>181</v>
      </c>
      <c r="H391" s="2" t="s">
        <v>228</v>
      </c>
      <c r="I391" s="2" t="s">
        <v>229</v>
      </c>
      <c r="J391" s="2" t="s">
        <v>19</v>
      </c>
      <c r="K391" s="2" t="s">
        <v>253</v>
      </c>
      <c r="L391" s="7" t="str">
        <f>HYPERLINK("http://slimages.macys.com/is/image/MCY/11269044 ")</f>
        <v xml:space="preserve">http://slimages.macys.com/is/image/MCY/11269044 </v>
      </c>
    </row>
    <row r="392" spans="1:12" ht="24.75" x14ac:dyDescent="0.25">
      <c r="A392" s="4" t="s">
        <v>4856</v>
      </c>
      <c r="B392" s="2" t="s">
        <v>1183</v>
      </c>
      <c r="C392" s="3">
        <v>1</v>
      </c>
      <c r="D392" s="5">
        <v>34.5</v>
      </c>
      <c r="E392" s="3">
        <v>100045810</v>
      </c>
      <c r="F392" s="2" t="s">
        <v>111</v>
      </c>
      <c r="G392" s="6" t="s">
        <v>245</v>
      </c>
      <c r="H392" s="2" t="s">
        <v>228</v>
      </c>
      <c r="I392" s="2" t="s">
        <v>229</v>
      </c>
      <c r="J392" s="2" t="s">
        <v>19</v>
      </c>
      <c r="K392" s="2" t="s">
        <v>253</v>
      </c>
      <c r="L392" s="7" t="str">
        <f>HYPERLINK("http://slimages.macys.com/is/image/MCY/11269044 ")</f>
        <v xml:space="preserve">http://slimages.macys.com/is/image/MCY/11269044 </v>
      </c>
    </row>
    <row r="393" spans="1:12" ht="24.75" x14ac:dyDescent="0.25">
      <c r="A393" s="4" t="s">
        <v>4857</v>
      </c>
      <c r="B393" s="2" t="s">
        <v>4858</v>
      </c>
      <c r="C393" s="3">
        <v>1</v>
      </c>
      <c r="D393" s="5">
        <v>37.130000000000003</v>
      </c>
      <c r="E393" s="3" t="s">
        <v>4859</v>
      </c>
      <c r="F393" s="2" t="s">
        <v>26</v>
      </c>
      <c r="G393" s="6" t="s">
        <v>154</v>
      </c>
      <c r="H393" s="2" t="s">
        <v>246</v>
      </c>
      <c r="I393" s="2" t="s">
        <v>189</v>
      </c>
      <c r="J393" s="2" t="s">
        <v>19</v>
      </c>
      <c r="K393" s="2" t="s">
        <v>34</v>
      </c>
      <c r="L393" s="7" t="str">
        <f>HYPERLINK("http://slimages.macys.com/is/image/MCY/12327034 ")</f>
        <v xml:space="preserve">http://slimages.macys.com/is/image/MCY/12327034 </v>
      </c>
    </row>
    <row r="394" spans="1:12" ht="24.75" x14ac:dyDescent="0.25">
      <c r="A394" s="4" t="s">
        <v>4860</v>
      </c>
      <c r="B394" s="2" t="s">
        <v>4858</v>
      </c>
      <c r="C394" s="3">
        <v>1</v>
      </c>
      <c r="D394" s="5">
        <v>37.130000000000003</v>
      </c>
      <c r="E394" s="3" t="s">
        <v>4859</v>
      </c>
      <c r="F394" s="2" t="s">
        <v>26</v>
      </c>
      <c r="G394" s="6" t="s">
        <v>234</v>
      </c>
      <c r="H394" s="2" t="s">
        <v>246</v>
      </c>
      <c r="I394" s="2" t="s">
        <v>189</v>
      </c>
      <c r="J394" s="2" t="s">
        <v>19</v>
      </c>
      <c r="K394" s="2" t="s">
        <v>34</v>
      </c>
      <c r="L394" s="7" t="str">
        <f>HYPERLINK("http://slimages.macys.com/is/image/MCY/12327034 ")</f>
        <v xml:space="preserve">http://slimages.macys.com/is/image/MCY/12327034 </v>
      </c>
    </row>
    <row r="395" spans="1:12" ht="24.75" x14ac:dyDescent="0.25">
      <c r="A395" s="4" t="s">
        <v>4861</v>
      </c>
      <c r="B395" s="2" t="s">
        <v>1183</v>
      </c>
      <c r="C395" s="3">
        <v>1</v>
      </c>
      <c r="D395" s="5">
        <v>34.5</v>
      </c>
      <c r="E395" s="3" t="s">
        <v>4862</v>
      </c>
      <c r="F395" s="2" t="s">
        <v>417</v>
      </c>
      <c r="G395" s="6" t="s">
        <v>154</v>
      </c>
      <c r="H395" s="2" t="s">
        <v>228</v>
      </c>
      <c r="I395" s="2" t="s">
        <v>229</v>
      </c>
      <c r="J395" s="2" t="s">
        <v>19</v>
      </c>
      <c r="K395" s="2" t="s">
        <v>253</v>
      </c>
      <c r="L395" s="7" t="str">
        <f>HYPERLINK("http://slimages.macys.com/is/image/MCY/11269044 ")</f>
        <v xml:space="preserve">http://slimages.macys.com/is/image/MCY/11269044 </v>
      </c>
    </row>
    <row r="396" spans="1:12" ht="24.75" x14ac:dyDescent="0.25">
      <c r="A396" s="4" t="s">
        <v>4863</v>
      </c>
      <c r="B396" s="2" t="s">
        <v>4864</v>
      </c>
      <c r="C396" s="3">
        <v>1</v>
      </c>
      <c r="D396" s="5">
        <v>37.130000000000003</v>
      </c>
      <c r="E396" s="3" t="s">
        <v>4865</v>
      </c>
      <c r="F396" s="2" t="s">
        <v>15</v>
      </c>
      <c r="G396" s="6" t="s">
        <v>154</v>
      </c>
      <c r="H396" s="2" t="s">
        <v>194</v>
      </c>
      <c r="I396" s="2" t="s">
        <v>195</v>
      </c>
      <c r="J396" s="2" t="s">
        <v>19</v>
      </c>
      <c r="K396" s="2" t="s">
        <v>4866</v>
      </c>
      <c r="L396" s="7" t="str">
        <f>HYPERLINK("http://slimages.macys.com/is/image/MCY/12734328 ")</f>
        <v xml:space="preserve">http://slimages.macys.com/is/image/MCY/12734328 </v>
      </c>
    </row>
    <row r="397" spans="1:12" ht="24.75" x14ac:dyDescent="0.25">
      <c r="A397" s="4" t="s">
        <v>4867</v>
      </c>
      <c r="B397" s="2" t="s">
        <v>2614</v>
      </c>
      <c r="C397" s="3">
        <v>1</v>
      </c>
      <c r="D397" s="5">
        <v>34.880000000000003</v>
      </c>
      <c r="E397" s="3" t="s">
        <v>2615</v>
      </c>
      <c r="F397" s="2" t="s">
        <v>15</v>
      </c>
      <c r="G397" s="6" t="s">
        <v>165</v>
      </c>
      <c r="H397" s="2" t="s">
        <v>312</v>
      </c>
      <c r="I397" s="2" t="s">
        <v>195</v>
      </c>
      <c r="J397" s="2" t="s">
        <v>19</v>
      </c>
      <c r="K397" s="2" t="s">
        <v>353</v>
      </c>
      <c r="L397" s="7" t="str">
        <f>HYPERLINK("http://slimages.macys.com/is/image/MCY/8256708 ")</f>
        <v xml:space="preserve">http://slimages.macys.com/is/image/MCY/8256708 </v>
      </c>
    </row>
    <row r="398" spans="1:12" ht="24.75" x14ac:dyDescent="0.25">
      <c r="A398" s="4" t="s">
        <v>4868</v>
      </c>
      <c r="B398" s="2" t="s">
        <v>4869</v>
      </c>
      <c r="C398" s="3">
        <v>1</v>
      </c>
      <c r="D398" s="5">
        <v>37.130000000000003</v>
      </c>
      <c r="E398" s="3">
        <v>100015977</v>
      </c>
      <c r="F398" s="2" t="s">
        <v>26</v>
      </c>
      <c r="G398" s="6" t="s">
        <v>154</v>
      </c>
      <c r="H398" s="2" t="s">
        <v>246</v>
      </c>
      <c r="I398" s="2" t="s">
        <v>189</v>
      </c>
      <c r="J398" s="2" t="s">
        <v>19</v>
      </c>
      <c r="K398" s="2" t="s">
        <v>648</v>
      </c>
      <c r="L398" s="7" t="str">
        <f>HYPERLINK("http://slimages.macys.com/is/image/MCY/9557334 ")</f>
        <v xml:space="preserve">http://slimages.macys.com/is/image/MCY/9557334 </v>
      </c>
    </row>
    <row r="399" spans="1:12" ht="24.75" x14ac:dyDescent="0.25">
      <c r="A399" s="4" t="s">
        <v>4870</v>
      </c>
      <c r="B399" s="2" t="s">
        <v>4871</v>
      </c>
      <c r="C399" s="3">
        <v>1</v>
      </c>
      <c r="D399" s="5">
        <v>34.5</v>
      </c>
      <c r="E399" s="3" t="s">
        <v>4872</v>
      </c>
      <c r="F399" s="2" t="s">
        <v>225</v>
      </c>
      <c r="G399" s="6" t="s">
        <v>4873</v>
      </c>
      <c r="H399" s="2" t="s">
        <v>228</v>
      </c>
      <c r="I399" s="2" t="s">
        <v>229</v>
      </c>
      <c r="J399" s="2" t="s">
        <v>19</v>
      </c>
      <c r="K399" s="2" t="s">
        <v>253</v>
      </c>
      <c r="L399" s="7" t="str">
        <f>HYPERLINK("http://slimages.macys.com/is/image/MCY/3055310 ")</f>
        <v xml:space="preserve">http://slimages.macys.com/is/image/MCY/3055310 </v>
      </c>
    </row>
    <row r="400" spans="1:12" ht="24.75" x14ac:dyDescent="0.25">
      <c r="A400" s="4" t="s">
        <v>4874</v>
      </c>
      <c r="B400" s="2" t="s">
        <v>2629</v>
      </c>
      <c r="C400" s="3">
        <v>1</v>
      </c>
      <c r="D400" s="5">
        <v>37.130000000000003</v>
      </c>
      <c r="E400" s="3" t="s">
        <v>4875</v>
      </c>
      <c r="F400" s="2" t="s">
        <v>417</v>
      </c>
      <c r="G400" s="6" t="s">
        <v>234</v>
      </c>
      <c r="H400" s="2" t="s">
        <v>194</v>
      </c>
      <c r="I400" s="2" t="s">
        <v>580</v>
      </c>
      <c r="J400" s="2" t="s">
        <v>19</v>
      </c>
      <c r="K400" s="2" t="s">
        <v>4876</v>
      </c>
      <c r="L400" s="7" t="str">
        <f>HYPERLINK("http://slimages.macys.com/is/image/MCY/12279933 ")</f>
        <v xml:space="preserve">http://slimages.macys.com/is/image/MCY/12279933 </v>
      </c>
    </row>
    <row r="401" spans="1:12" ht="24.75" x14ac:dyDescent="0.25">
      <c r="A401" s="4" t="s">
        <v>4877</v>
      </c>
      <c r="B401" s="2" t="s">
        <v>4878</v>
      </c>
      <c r="C401" s="3">
        <v>1</v>
      </c>
      <c r="D401" s="5">
        <v>27.99</v>
      </c>
      <c r="E401" s="3" t="s">
        <v>4879</v>
      </c>
      <c r="F401" s="2" t="s">
        <v>33</v>
      </c>
      <c r="G401" s="6" t="s">
        <v>154</v>
      </c>
      <c r="H401" s="2" t="s">
        <v>1522</v>
      </c>
      <c r="I401" s="2" t="s">
        <v>1469</v>
      </c>
      <c r="J401" s="2" t="s">
        <v>19</v>
      </c>
      <c r="K401" s="2" t="s">
        <v>353</v>
      </c>
      <c r="L401" s="7" t="str">
        <f>HYPERLINK("http://slimages.macys.com/is/image/MCY/11774240 ")</f>
        <v xml:space="preserve">http://slimages.macys.com/is/image/MCY/11774240 </v>
      </c>
    </row>
    <row r="402" spans="1:12" ht="24.75" x14ac:dyDescent="0.25">
      <c r="A402" s="4" t="s">
        <v>4880</v>
      </c>
      <c r="B402" s="2" t="s">
        <v>4881</v>
      </c>
      <c r="C402" s="3">
        <v>1</v>
      </c>
      <c r="D402" s="5">
        <v>29.99</v>
      </c>
      <c r="E402" s="3" t="s">
        <v>4882</v>
      </c>
      <c r="F402" s="2" t="s">
        <v>132</v>
      </c>
      <c r="G402" s="6" t="s">
        <v>245</v>
      </c>
      <c r="H402" s="2" t="s">
        <v>246</v>
      </c>
      <c r="I402" s="2" t="s">
        <v>189</v>
      </c>
      <c r="J402" s="2" t="s">
        <v>19</v>
      </c>
      <c r="K402" s="2" t="s">
        <v>160</v>
      </c>
      <c r="L402" s="7" t="str">
        <f>HYPERLINK("http://slimages.macys.com/is/image/MCY/16416994 ")</f>
        <v xml:space="preserve">http://slimages.macys.com/is/image/MCY/16416994 </v>
      </c>
    </row>
    <row r="403" spans="1:12" ht="24.75" x14ac:dyDescent="0.25">
      <c r="A403" s="4" t="s">
        <v>3790</v>
      </c>
      <c r="B403" s="2" t="s">
        <v>1188</v>
      </c>
      <c r="C403" s="3">
        <v>1</v>
      </c>
      <c r="D403" s="5">
        <v>44.63</v>
      </c>
      <c r="E403" s="3" t="s">
        <v>3791</v>
      </c>
      <c r="F403" s="2" t="s">
        <v>125</v>
      </c>
      <c r="G403" s="6"/>
      <c r="H403" s="2" t="s">
        <v>312</v>
      </c>
      <c r="I403" s="2" t="s">
        <v>195</v>
      </c>
      <c r="J403" s="2" t="s">
        <v>19</v>
      </c>
      <c r="K403" s="2" t="s">
        <v>247</v>
      </c>
      <c r="L403" s="7" t="str">
        <f>HYPERLINK("http://slimages.macys.com/is/image/MCY/12280062 ")</f>
        <v xml:space="preserve">http://slimages.macys.com/is/image/MCY/12280062 </v>
      </c>
    </row>
    <row r="404" spans="1:12" ht="24.75" x14ac:dyDescent="0.25">
      <c r="A404" s="4" t="s">
        <v>3799</v>
      </c>
      <c r="B404" s="2" t="s">
        <v>1222</v>
      </c>
      <c r="C404" s="3">
        <v>1</v>
      </c>
      <c r="D404" s="5">
        <v>37.130000000000003</v>
      </c>
      <c r="E404" s="3" t="s">
        <v>1223</v>
      </c>
      <c r="F404" s="2" t="s">
        <v>26</v>
      </c>
      <c r="G404" s="6" t="s">
        <v>156</v>
      </c>
      <c r="H404" s="2" t="s">
        <v>194</v>
      </c>
      <c r="I404" s="2" t="s">
        <v>580</v>
      </c>
      <c r="J404" s="2" t="s">
        <v>19</v>
      </c>
      <c r="K404" s="2" t="s">
        <v>247</v>
      </c>
      <c r="L404" s="7" t="str">
        <f>HYPERLINK("http://slimages.macys.com/is/image/MCY/12950179 ")</f>
        <v xml:space="preserve">http://slimages.macys.com/is/image/MCY/12950179 </v>
      </c>
    </row>
    <row r="405" spans="1:12" ht="24.75" x14ac:dyDescent="0.25">
      <c r="A405" s="4" t="s">
        <v>4883</v>
      </c>
      <c r="B405" s="2" t="s">
        <v>1232</v>
      </c>
      <c r="C405" s="3">
        <v>1</v>
      </c>
      <c r="D405" s="5">
        <v>34.5</v>
      </c>
      <c r="E405" s="3" t="s">
        <v>1236</v>
      </c>
      <c r="F405" s="2" t="s">
        <v>506</v>
      </c>
      <c r="G405" s="6" t="s">
        <v>16</v>
      </c>
      <c r="H405" s="2" t="s">
        <v>194</v>
      </c>
      <c r="I405" s="2" t="s">
        <v>195</v>
      </c>
      <c r="J405" s="2" t="s">
        <v>19</v>
      </c>
      <c r="K405" s="2" t="s">
        <v>353</v>
      </c>
      <c r="L405" s="7" t="str">
        <f>HYPERLINK("http://slimages.macys.com/is/image/MCY/8312314 ")</f>
        <v xml:space="preserve">http://slimages.macys.com/is/image/MCY/8312314 </v>
      </c>
    </row>
    <row r="406" spans="1:12" ht="24.75" x14ac:dyDescent="0.25">
      <c r="A406" s="4" t="s">
        <v>2634</v>
      </c>
      <c r="B406" s="2" t="s">
        <v>1232</v>
      </c>
      <c r="C406" s="3">
        <v>1</v>
      </c>
      <c r="D406" s="5">
        <v>34.5</v>
      </c>
      <c r="E406" s="3" t="s">
        <v>1236</v>
      </c>
      <c r="F406" s="2" t="s">
        <v>506</v>
      </c>
      <c r="G406" s="6" t="s">
        <v>112</v>
      </c>
      <c r="H406" s="2" t="s">
        <v>194</v>
      </c>
      <c r="I406" s="2" t="s">
        <v>195</v>
      </c>
      <c r="J406" s="2" t="s">
        <v>19</v>
      </c>
      <c r="K406" s="2" t="s">
        <v>353</v>
      </c>
      <c r="L406" s="7" t="str">
        <f>HYPERLINK("http://slimages.macys.com/is/image/MCY/8312314 ")</f>
        <v xml:space="preserve">http://slimages.macys.com/is/image/MCY/8312314 </v>
      </c>
    </row>
    <row r="407" spans="1:12" ht="24.75" x14ac:dyDescent="0.25">
      <c r="A407" s="4" t="s">
        <v>4884</v>
      </c>
      <c r="B407" s="2" t="s">
        <v>4885</v>
      </c>
      <c r="C407" s="3">
        <v>1</v>
      </c>
      <c r="D407" s="5">
        <v>32.5</v>
      </c>
      <c r="E407" s="3" t="s">
        <v>4886</v>
      </c>
      <c r="F407" s="2" t="s">
        <v>376</v>
      </c>
      <c r="G407" s="6"/>
      <c r="H407" s="2" t="s">
        <v>312</v>
      </c>
      <c r="I407" s="2" t="s">
        <v>195</v>
      </c>
      <c r="J407" s="2" t="s">
        <v>19</v>
      </c>
      <c r="K407" s="2" t="s">
        <v>1108</v>
      </c>
      <c r="L407" s="7" t="str">
        <f>HYPERLINK("http://slimages.macys.com/is/image/MCY/9248552 ")</f>
        <v xml:space="preserve">http://slimages.macys.com/is/image/MCY/9248552 </v>
      </c>
    </row>
    <row r="408" spans="1:12" ht="24.75" x14ac:dyDescent="0.25">
      <c r="A408" s="4" t="s">
        <v>4887</v>
      </c>
      <c r="B408" s="2" t="s">
        <v>1232</v>
      </c>
      <c r="C408" s="3">
        <v>1</v>
      </c>
      <c r="D408" s="5">
        <v>34.5</v>
      </c>
      <c r="E408" s="3" t="s">
        <v>1236</v>
      </c>
      <c r="F408" s="2" t="s">
        <v>506</v>
      </c>
      <c r="G408" s="6" t="s">
        <v>65</v>
      </c>
      <c r="H408" s="2" t="s">
        <v>194</v>
      </c>
      <c r="I408" s="2" t="s">
        <v>195</v>
      </c>
      <c r="J408" s="2" t="s">
        <v>19</v>
      </c>
      <c r="K408" s="2" t="s">
        <v>353</v>
      </c>
      <c r="L408" s="7" t="str">
        <f>HYPERLINK("http://slimages.macys.com/is/image/MCY/8312314 ")</f>
        <v xml:space="preserve">http://slimages.macys.com/is/image/MCY/8312314 </v>
      </c>
    </row>
    <row r="409" spans="1:12" ht="24.75" x14ac:dyDescent="0.25">
      <c r="A409" s="4" t="s">
        <v>4888</v>
      </c>
      <c r="B409" s="2" t="s">
        <v>4889</v>
      </c>
      <c r="C409" s="3">
        <v>1</v>
      </c>
      <c r="D409" s="5">
        <v>36.5</v>
      </c>
      <c r="E409" s="3">
        <v>100039454</v>
      </c>
      <c r="F409" s="2" t="s">
        <v>74</v>
      </c>
      <c r="G409" s="6" t="s">
        <v>245</v>
      </c>
      <c r="H409" s="2" t="s">
        <v>194</v>
      </c>
      <c r="I409" s="2" t="s">
        <v>195</v>
      </c>
      <c r="J409" s="2" t="s">
        <v>19</v>
      </c>
      <c r="K409" s="2" t="s">
        <v>409</v>
      </c>
      <c r="L409" s="7" t="str">
        <f>HYPERLINK("http://slimages.macys.com/is/image/MCY/11146156 ")</f>
        <v xml:space="preserve">http://slimages.macys.com/is/image/MCY/11146156 </v>
      </c>
    </row>
    <row r="410" spans="1:12" ht="24.75" x14ac:dyDescent="0.25">
      <c r="A410" s="4" t="s">
        <v>4890</v>
      </c>
      <c r="B410" s="2" t="s">
        <v>1259</v>
      </c>
      <c r="C410" s="3">
        <v>1</v>
      </c>
      <c r="D410" s="5">
        <v>34.5</v>
      </c>
      <c r="E410" s="3">
        <v>100046281</v>
      </c>
      <c r="F410" s="2" t="s">
        <v>417</v>
      </c>
      <c r="G410" s="6" t="s">
        <v>106</v>
      </c>
      <c r="H410" s="2" t="s">
        <v>228</v>
      </c>
      <c r="I410" s="2" t="s">
        <v>229</v>
      </c>
      <c r="J410" s="2" t="s">
        <v>19</v>
      </c>
      <c r="K410" s="2" t="s">
        <v>648</v>
      </c>
      <c r="L410" s="7" t="str">
        <f>HYPERLINK("http://slimages.macys.com/is/image/MCY/10340786 ")</f>
        <v xml:space="preserve">http://slimages.macys.com/is/image/MCY/10340786 </v>
      </c>
    </row>
    <row r="411" spans="1:12" ht="24.75" x14ac:dyDescent="0.25">
      <c r="A411" s="4" t="s">
        <v>4891</v>
      </c>
      <c r="B411" s="2" t="s">
        <v>1241</v>
      </c>
      <c r="C411" s="3">
        <v>1</v>
      </c>
      <c r="D411" s="5">
        <v>37.130000000000003</v>
      </c>
      <c r="E411" s="3" t="s">
        <v>1242</v>
      </c>
      <c r="F411" s="2" t="s">
        <v>199</v>
      </c>
      <c r="G411" s="6" t="s">
        <v>336</v>
      </c>
      <c r="H411" s="2" t="s">
        <v>312</v>
      </c>
      <c r="I411" s="2" t="s">
        <v>195</v>
      </c>
      <c r="J411" s="2" t="s">
        <v>19</v>
      </c>
      <c r="K411" s="2" t="s">
        <v>353</v>
      </c>
      <c r="L411" s="7" t="str">
        <f>HYPERLINK("http://slimages.macys.com/is/image/MCY/11934909 ")</f>
        <v xml:space="preserve">http://slimages.macys.com/is/image/MCY/11934909 </v>
      </c>
    </row>
    <row r="412" spans="1:12" ht="24.75" x14ac:dyDescent="0.25">
      <c r="A412" s="4" t="s">
        <v>4892</v>
      </c>
      <c r="B412" s="2" t="s">
        <v>1241</v>
      </c>
      <c r="C412" s="3">
        <v>1</v>
      </c>
      <c r="D412" s="5">
        <v>37.130000000000003</v>
      </c>
      <c r="E412" s="3" t="s">
        <v>1242</v>
      </c>
      <c r="F412" s="2" t="s">
        <v>566</v>
      </c>
      <c r="G412" s="6" t="s">
        <v>126</v>
      </c>
      <c r="H412" s="2" t="s">
        <v>312</v>
      </c>
      <c r="I412" s="2" t="s">
        <v>195</v>
      </c>
      <c r="J412" s="2" t="s">
        <v>19</v>
      </c>
      <c r="K412" s="2" t="s">
        <v>353</v>
      </c>
      <c r="L412" s="7" t="str">
        <f>HYPERLINK("http://slimages.macys.com/is/image/MCY/11934909 ")</f>
        <v xml:space="preserve">http://slimages.macys.com/is/image/MCY/11934909 </v>
      </c>
    </row>
    <row r="413" spans="1:12" ht="24.75" x14ac:dyDescent="0.25">
      <c r="A413" s="4" t="s">
        <v>4893</v>
      </c>
      <c r="B413" s="2" t="s">
        <v>1244</v>
      </c>
      <c r="C413" s="3">
        <v>1</v>
      </c>
      <c r="D413" s="5">
        <v>37.130000000000003</v>
      </c>
      <c r="E413" s="3">
        <v>100058183</v>
      </c>
      <c r="F413" s="2" t="s">
        <v>26</v>
      </c>
      <c r="G413" s="6" t="s">
        <v>106</v>
      </c>
      <c r="H413" s="2" t="s">
        <v>194</v>
      </c>
      <c r="I413" s="2" t="s">
        <v>195</v>
      </c>
      <c r="J413" s="2" t="s">
        <v>19</v>
      </c>
      <c r="K413" s="2" t="s">
        <v>353</v>
      </c>
      <c r="L413" s="7" t="str">
        <f>HYPERLINK("http://slimages.macys.com/is/image/MCY/12793647 ")</f>
        <v xml:space="preserve">http://slimages.macys.com/is/image/MCY/12793647 </v>
      </c>
    </row>
    <row r="414" spans="1:12" ht="24.75" x14ac:dyDescent="0.25">
      <c r="A414" s="4" t="s">
        <v>2644</v>
      </c>
      <c r="B414" s="2" t="s">
        <v>1244</v>
      </c>
      <c r="C414" s="3">
        <v>1</v>
      </c>
      <c r="D414" s="5">
        <v>37.130000000000003</v>
      </c>
      <c r="E414" s="3">
        <v>100058183</v>
      </c>
      <c r="F414" s="2" t="s">
        <v>15</v>
      </c>
      <c r="G414" s="6" t="s">
        <v>27</v>
      </c>
      <c r="H414" s="2" t="s">
        <v>194</v>
      </c>
      <c r="I414" s="2" t="s">
        <v>195</v>
      </c>
      <c r="J414" s="2" t="s">
        <v>19</v>
      </c>
      <c r="K414" s="2" t="s">
        <v>353</v>
      </c>
      <c r="L414" s="7" t="str">
        <f>HYPERLINK("http://slimages.macys.com/is/image/MCY/12793647 ")</f>
        <v xml:space="preserve">http://slimages.macys.com/is/image/MCY/12793647 </v>
      </c>
    </row>
    <row r="415" spans="1:12" ht="24.75" x14ac:dyDescent="0.25">
      <c r="A415" s="4" t="s">
        <v>4894</v>
      </c>
      <c r="B415" s="2" t="s">
        <v>1232</v>
      </c>
      <c r="C415" s="3">
        <v>1</v>
      </c>
      <c r="D415" s="5">
        <v>34.880000000000003</v>
      </c>
      <c r="E415" s="3" t="s">
        <v>4895</v>
      </c>
      <c r="F415" s="2" t="s">
        <v>376</v>
      </c>
      <c r="G415" s="6" t="s">
        <v>205</v>
      </c>
      <c r="H415" s="2" t="s">
        <v>312</v>
      </c>
      <c r="I415" s="2" t="s">
        <v>195</v>
      </c>
      <c r="J415" s="2" t="s">
        <v>19</v>
      </c>
      <c r="K415" s="2" t="s">
        <v>353</v>
      </c>
      <c r="L415" s="7" t="str">
        <f>HYPERLINK("http://slimages.macys.com/is/image/MCY/8256708 ")</f>
        <v xml:space="preserve">http://slimages.macys.com/is/image/MCY/8256708 </v>
      </c>
    </row>
    <row r="416" spans="1:12" ht="24.75" x14ac:dyDescent="0.25">
      <c r="A416" s="4" t="s">
        <v>4896</v>
      </c>
      <c r="B416" s="2" t="s">
        <v>1232</v>
      </c>
      <c r="C416" s="3">
        <v>1</v>
      </c>
      <c r="D416" s="5">
        <v>34.880000000000003</v>
      </c>
      <c r="E416" s="3" t="s">
        <v>4895</v>
      </c>
      <c r="F416" s="2" t="s">
        <v>376</v>
      </c>
      <c r="G416" s="6" t="s">
        <v>126</v>
      </c>
      <c r="H416" s="2" t="s">
        <v>312</v>
      </c>
      <c r="I416" s="2" t="s">
        <v>195</v>
      </c>
      <c r="J416" s="2" t="s">
        <v>19</v>
      </c>
      <c r="K416" s="2" t="s">
        <v>353</v>
      </c>
      <c r="L416" s="7" t="str">
        <f>HYPERLINK("http://slimages.macys.com/is/image/MCY/8256708 ")</f>
        <v xml:space="preserve">http://slimages.macys.com/is/image/MCY/8256708 </v>
      </c>
    </row>
    <row r="417" spans="1:12" ht="24.75" x14ac:dyDescent="0.25">
      <c r="A417" s="4" t="s">
        <v>4897</v>
      </c>
      <c r="B417" s="2" t="s">
        <v>4898</v>
      </c>
      <c r="C417" s="3">
        <v>1</v>
      </c>
      <c r="D417" s="5">
        <v>34.880000000000003</v>
      </c>
      <c r="E417" s="3">
        <v>100052334</v>
      </c>
      <c r="F417" s="2" t="s">
        <v>26</v>
      </c>
      <c r="G417" s="6" t="s">
        <v>181</v>
      </c>
      <c r="H417" s="2" t="s">
        <v>194</v>
      </c>
      <c r="I417" s="2" t="s">
        <v>195</v>
      </c>
      <c r="J417" s="2" t="s">
        <v>19</v>
      </c>
      <c r="K417" s="2" t="s">
        <v>353</v>
      </c>
      <c r="L417" s="7" t="str">
        <f>HYPERLINK("http://slimages.macys.com/is/image/MCY/12279970 ")</f>
        <v xml:space="preserve">http://slimages.macys.com/is/image/MCY/12279970 </v>
      </c>
    </row>
    <row r="418" spans="1:12" ht="36.75" x14ac:dyDescent="0.25">
      <c r="A418" s="4" t="s">
        <v>4899</v>
      </c>
      <c r="B418" s="2" t="s">
        <v>2655</v>
      </c>
      <c r="C418" s="3">
        <v>1</v>
      </c>
      <c r="D418" s="5">
        <v>27.99</v>
      </c>
      <c r="E418" s="3" t="s">
        <v>2656</v>
      </c>
      <c r="F418" s="2" t="s">
        <v>225</v>
      </c>
      <c r="G418" s="6" t="s">
        <v>205</v>
      </c>
      <c r="H418" s="2" t="s">
        <v>312</v>
      </c>
      <c r="I418" s="2" t="s">
        <v>928</v>
      </c>
      <c r="J418" s="2" t="s">
        <v>19</v>
      </c>
      <c r="K418" s="2" t="s">
        <v>2657</v>
      </c>
      <c r="L418" s="7" t="str">
        <f>HYPERLINK("http://slimages.macys.com/is/image/MCY/2910492 ")</f>
        <v xml:space="preserve">http://slimages.macys.com/is/image/MCY/2910492 </v>
      </c>
    </row>
    <row r="419" spans="1:12" ht="24.75" x14ac:dyDescent="0.25">
      <c r="A419" s="4" t="s">
        <v>4900</v>
      </c>
      <c r="B419" s="2" t="s">
        <v>1203</v>
      </c>
      <c r="C419" s="3">
        <v>1</v>
      </c>
      <c r="D419" s="5">
        <v>34.5</v>
      </c>
      <c r="E419" s="3" t="s">
        <v>4901</v>
      </c>
      <c r="F419" s="2" t="s">
        <v>1614</v>
      </c>
      <c r="G419" s="6" t="s">
        <v>165</v>
      </c>
      <c r="H419" s="2" t="s">
        <v>426</v>
      </c>
      <c r="I419" s="2" t="s">
        <v>229</v>
      </c>
      <c r="J419" s="2" t="s">
        <v>19</v>
      </c>
      <c r="K419" s="2" t="s">
        <v>253</v>
      </c>
      <c r="L419" s="7" t="str">
        <f>HYPERLINK("http://slimages.macys.com/is/image/MCY/1290325 ")</f>
        <v xml:space="preserve">http://slimages.macys.com/is/image/MCY/1290325 </v>
      </c>
    </row>
    <row r="420" spans="1:12" ht="24.75" x14ac:dyDescent="0.25">
      <c r="A420" s="4" t="s">
        <v>4902</v>
      </c>
      <c r="B420" s="2" t="s">
        <v>4903</v>
      </c>
      <c r="C420" s="3">
        <v>1</v>
      </c>
      <c r="D420" s="5">
        <v>34.5</v>
      </c>
      <c r="E420" s="3" t="s">
        <v>4904</v>
      </c>
      <c r="F420" s="2" t="s">
        <v>417</v>
      </c>
      <c r="G420" s="6" t="s">
        <v>1335</v>
      </c>
      <c r="H420" s="2" t="s">
        <v>228</v>
      </c>
      <c r="I420" s="2" t="s">
        <v>229</v>
      </c>
      <c r="J420" s="2" t="s">
        <v>19</v>
      </c>
      <c r="K420" s="2" t="s">
        <v>253</v>
      </c>
      <c r="L420" s="7" t="str">
        <f>HYPERLINK("http://slimages.macys.com/is/image/MCY/10749299 ")</f>
        <v xml:space="preserve">http://slimages.macys.com/is/image/MCY/10749299 </v>
      </c>
    </row>
    <row r="421" spans="1:12" ht="24.75" x14ac:dyDescent="0.25">
      <c r="A421" s="4" t="s">
        <v>4905</v>
      </c>
      <c r="B421" s="2" t="s">
        <v>1250</v>
      </c>
      <c r="C421" s="3">
        <v>1</v>
      </c>
      <c r="D421" s="5">
        <v>34.5</v>
      </c>
      <c r="E421" s="3">
        <v>100003653</v>
      </c>
      <c r="F421" s="2" t="s">
        <v>417</v>
      </c>
      <c r="G421" s="6" t="s">
        <v>58</v>
      </c>
      <c r="H421" s="2" t="s">
        <v>228</v>
      </c>
      <c r="I421" s="2" t="s">
        <v>229</v>
      </c>
      <c r="J421" s="2" t="s">
        <v>19</v>
      </c>
      <c r="K421" s="2" t="s">
        <v>1251</v>
      </c>
      <c r="L421" s="7" t="str">
        <f>HYPERLINK("http://slimages.macys.com/is/image/MCY/9100235 ")</f>
        <v xml:space="preserve">http://slimages.macys.com/is/image/MCY/9100235 </v>
      </c>
    </row>
    <row r="422" spans="1:12" ht="24.75" x14ac:dyDescent="0.25">
      <c r="A422" s="4" t="s">
        <v>4906</v>
      </c>
      <c r="B422" s="2" t="s">
        <v>1250</v>
      </c>
      <c r="C422" s="3">
        <v>1</v>
      </c>
      <c r="D422" s="5">
        <v>34.5</v>
      </c>
      <c r="E422" s="3">
        <v>100003653</v>
      </c>
      <c r="F422" s="2" t="s">
        <v>417</v>
      </c>
      <c r="G422" s="6" t="s">
        <v>106</v>
      </c>
      <c r="H422" s="2" t="s">
        <v>228</v>
      </c>
      <c r="I422" s="2" t="s">
        <v>229</v>
      </c>
      <c r="J422" s="2" t="s">
        <v>19</v>
      </c>
      <c r="K422" s="2" t="s">
        <v>1251</v>
      </c>
      <c r="L422" s="7" t="str">
        <f>HYPERLINK("http://slimages.macys.com/is/image/MCY/9100235 ")</f>
        <v xml:space="preserve">http://slimages.macys.com/is/image/MCY/9100235 </v>
      </c>
    </row>
    <row r="423" spans="1:12" ht="24.75" x14ac:dyDescent="0.25">
      <c r="A423" s="4" t="s">
        <v>4907</v>
      </c>
      <c r="B423" s="2" t="s">
        <v>1416</v>
      </c>
      <c r="C423" s="3">
        <v>1</v>
      </c>
      <c r="D423" s="5">
        <v>21.99</v>
      </c>
      <c r="E423" s="3" t="s">
        <v>4908</v>
      </c>
      <c r="F423" s="2" t="s">
        <v>413</v>
      </c>
      <c r="G423" s="6" t="s">
        <v>205</v>
      </c>
      <c r="H423" s="2" t="s">
        <v>312</v>
      </c>
      <c r="I423" s="2" t="s">
        <v>195</v>
      </c>
      <c r="J423" s="2" t="s">
        <v>19</v>
      </c>
      <c r="K423" s="2" t="s">
        <v>353</v>
      </c>
      <c r="L423" s="7" t="str">
        <f>HYPERLINK("http://slimages.macys.com/is/image/MCY/16058397 ")</f>
        <v xml:space="preserve">http://slimages.macys.com/is/image/MCY/16058397 </v>
      </c>
    </row>
    <row r="424" spans="1:12" ht="24.75" x14ac:dyDescent="0.25">
      <c r="A424" s="4" t="s">
        <v>4909</v>
      </c>
      <c r="B424" s="2" t="s">
        <v>1416</v>
      </c>
      <c r="C424" s="3">
        <v>1</v>
      </c>
      <c r="D424" s="5">
        <v>21.99</v>
      </c>
      <c r="E424" s="3" t="s">
        <v>4910</v>
      </c>
      <c r="F424" s="2" t="s">
        <v>70</v>
      </c>
      <c r="G424" s="6" t="s">
        <v>336</v>
      </c>
      <c r="H424" s="2" t="s">
        <v>312</v>
      </c>
      <c r="I424" s="2" t="s">
        <v>195</v>
      </c>
      <c r="J424" s="2" t="s">
        <v>19</v>
      </c>
      <c r="K424" s="2" t="s">
        <v>353</v>
      </c>
      <c r="L424" s="7" t="str">
        <f>HYPERLINK("http://slimages.macys.com/is/image/MCY/16058397 ")</f>
        <v xml:space="preserve">http://slimages.macys.com/is/image/MCY/16058397 </v>
      </c>
    </row>
    <row r="425" spans="1:12" ht="24.75" x14ac:dyDescent="0.25">
      <c r="A425" s="4" t="s">
        <v>4911</v>
      </c>
      <c r="B425" s="2" t="s">
        <v>1416</v>
      </c>
      <c r="C425" s="3">
        <v>1</v>
      </c>
      <c r="D425" s="5">
        <v>21.99</v>
      </c>
      <c r="E425" s="3" t="s">
        <v>3827</v>
      </c>
      <c r="F425" s="2" t="s">
        <v>1584</v>
      </c>
      <c r="G425" s="6" t="s">
        <v>934</v>
      </c>
      <c r="H425" s="2" t="s">
        <v>312</v>
      </c>
      <c r="I425" s="2" t="s">
        <v>195</v>
      </c>
      <c r="J425" s="2" t="s">
        <v>19</v>
      </c>
      <c r="K425" s="2" t="s">
        <v>353</v>
      </c>
      <c r="L425" s="7" t="str">
        <f>HYPERLINK("http://slimages.macys.com/is/image/MCY/16058397 ")</f>
        <v xml:space="preserve">http://slimages.macys.com/is/image/MCY/16058397 </v>
      </c>
    </row>
    <row r="426" spans="1:12" ht="24.75" x14ac:dyDescent="0.25">
      <c r="A426" s="4" t="s">
        <v>4912</v>
      </c>
      <c r="B426" s="2" t="s">
        <v>1416</v>
      </c>
      <c r="C426" s="3">
        <v>1</v>
      </c>
      <c r="D426" s="5">
        <v>21.99</v>
      </c>
      <c r="E426" s="3" t="s">
        <v>3827</v>
      </c>
      <c r="F426" s="2" t="s">
        <v>1584</v>
      </c>
      <c r="G426" s="6" t="s">
        <v>205</v>
      </c>
      <c r="H426" s="2" t="s">
        <v>312</v>
      </c>
      <c r="I426" s="2" t="s">
        <v>195</v>
      </c>
      <c r="J426" s="2" t="s">
        <v>19</v>
      </c>
      <c r="K426" s="2" t="s">
        <v>353</v>
      </c>
      <c r="L426" s="7" t="str">
        <f>HYPERLINK("http://slimages.macys.com/is/image/MCY/16058397 ")</f>
        <v xml:space="preserve">http://slimages.macys.com/is/image/MCY/16058397 </v>
      </c>
    </row>
    <row r="427" spans="1:12" ht="24.75" x14ac:dyDescent="0.25">
      <c r="A427" s="4" t="s">
        <v>4913</v>
      </c>
      <c r="B427" s="2" t="s">
        <v>3830</v>
      </c>
      <c r="C427" s="3">
        <v>1</v>
      </c>
      <c r="D427" s="5">
        <v>36.5</v>
      </c>
      <c r="E427" s="3" t="s">
        <v>3831</v>
      </c>
      <c r="F427" s="2" t="s">
        <v>579</v>
      </c>
      <c r="G427" s="6" t="s">
        <v>156</v>
      </c>
      <c r="H427" s="2" t="s">
        <v>194</v>
      </c>
      <c r="I427" s="2" t="s">
        <v>195</v>
      </c>
      <c r="J427" s="2" t="s">
        <v>19</v>
      </c>
      <c r="K427" s="2" t="s">
        <v>361</v>
      </c>
      <c r="L427" s="7" t="str">
        <f>HYPERLINK("http://slimages.macys.com/is/image/MCY/11937993 ")</f>
        <v xml:space="preserve">http://slimages.macys.com/is/image/MCY/11937993 </v>
      </c>
    </row>
    <row r="428" spans="1:12" ht="24.75" x14ac:dyDescent="0.25">
      <c r="A428" s="4" t="s">
        <v>4914</v>
      </c>
      <c r="B428" s="2" t="s">
        <v>4915</v>
      </c>
      <c r="C428" s="3">
        <v>1</v>
      </c>
      <c r="D428" s="5">
        <v>34.880000000000003</v>
      </c>
      <c r="E428" s="3" t="s">
        <v>4916</v>
      </c>
      <c r="F428" s="2" t="s">
        <v>64</v>
      </c>
      <c r="G428" s="6"/>
      <c r="H428" s="2" t="s">
        <v>312</v>
      </c>
      <c r="I428" s="2" t="s">
        <v>229</v>
      </c>
      <c r="J428" s="2" t="s">
        <v>19</v>
      </c>
      <c r="K428" s="2" t="s">
        <v>253</v>
      </c>
      <c r="L428" s="7" t="str">
        <f>HYPERLINK("http://slimages.macys.com/is/image/MCY/9489387 ")</f>
        <v xml:space="preserve">http://slimages.macys.com/is/image/MCY/9489387 </v>
      </c>
    </row>
    <row r="429" spans="1:12" ht="24.75" x14ac:dyDescent="0.25">
      <c r="A429" s="4" t="s">
        <v>4917</v>
      </c>
      <c r="B429" s="2" t="s">
        <v>4918</v>
      </c>
      <c r="C429" s="3">
        <v>1</v>
      </c>
      <c r="D429" s="5">
        <v>44.63</v>
      </c>
      <c r="E429" s="3" t="s">
        <v>4919</v>
      </c>
      <c r="F429" s="2" t="s">
        <v>64</v>
      </c>
      <c r="G429" s="6" t="s">
        <v>181</v>
      </c>
      <c r="H429" s="2" t="s">
        <v>246</v>
      </c>
      <c r="I429" s="2" t="s">
        <v>189</v>
      </c>
      <c r="J429" s="2" t="s">
        <v>19</v>
      </c>
      <c r="K429" s="2" t="s">
        <v>4920</v>
      </c>
      <c r="L429" s="7" t="str">
        <f>HYPERLINK("http://slimages.macys.com/is/image/MCY/11883951 ")</f>
        <v xml:space="preserve">http://slimages.macys.com/is/image/MCY/11883951 </v>
      </c>
    </row>
    <row r="430" spans="1:12" ht="24.75" x14ac:dyDescent="0.25">
      <c r="A430" s="4" t="s">
        <v>1266</v>
      </c>
      <c r="B430" s="2" t="s">
        <v>1265</v>
      </c>
      <c r="C430" s="3">
        <v>1</v>
      </c>
      <c r="D430" s="5">
        <v>37.130000000000003</v>
      </c>
      <c r="E430" s="3">
        <v>100020742</v>
      </c>
      <c r="F430" s="2" t="s">
        <v>132</v>
      </c>
      <c r="G430" s="6" t="s">
        <v>234</v>
      </c>
      <c r="H430" s="2" t="s">
        <v>194</v>
      </c>
      <c r="I430" s="2" t="s">
        <v>503</v>
      </c>
      <c r="J430" s="2" t="s">
        <v>19</v>
      </c>
      <c r="K430" s="2" t="s">
        <v>201</v>
      </c>
      <c r="L430" s="7" t="str">
        <f>HYPERLINK("http://slimages.macys.com/is/image/MCY/12035316 ")</f>
        <v xml:space="preserve">http://slimages.macys.com/is/image/MCY/12035316 </v>
      </c>
    </row>
    <row r="431" spans="1:12" ht="24.75" x14ac:dyDescent="0.25">
      <c r="A431" s="4" t="s">
        <v>4921</v>
      </c>
      <c r="B431" s="2" t="s">
        <v>4922</v>
      </c>
      <c r="C431" s="3">
        <v>1</v>
      </c>
      <c r="D431" s="5">
        <v>44.63</v>
      </c>
      <c r="E431" s="3">
        <v>100047681</v>
      </c>
      <c r="F431" s="2" t="s">
        <v>74</v>
      </c>
      <c r="G431" s="6" t="s">
        <v>156</v>
      </c>
      <c r="H431" s="2" t="s">
        <v>194</v>
      </c>
      <c r="I431" s="2" t="s">
        <v>195</v>
      </c>
      <c r="J431" s="2" t="s">
        <v>19</v>
      </c>
      <c r="K431" s="2" t="s">
        <v>247</v>
      </c>
      <c r="L431" s="7" t="str">
        <f>HYPERLINK("http://slimages.macys.com/is/image/MCY/11935520 ")</f>
        <v xml:space="preserve">http://slimages.macys.com/is/image/MCY/11935520 </v>
      </c>
    </row>
    <row r="432" spans="1:12" ht="24.75" x14ac:dyDescent="0.25">
      <c r="A432" s="4" t="s">
        <v>1270</v>
      </c>
      <c r="B432" s="2" t="s">
        <v>1271</v>
      </c>
      <c r="C432" s="3">
        <v>1</v>
      </c>
      <c r="D432" s="5">
        <v>33.380000000000003</v>
      </c>
      <c r="E432" s="3" t="s">
        <v>1272</v>
      </c>
      <c r="F432" s="2" t="s">
        <v>26</v>
      </c>
      <c r="G432" s="6" t="s">
        <v>154</v>
      </c>
      <c r="H432" s="2" t="s">
        <v>246</v>
      </c>
      <c r="I432" s="2" t="s">
        <v>189</v>
      </c>
      <c r="J432" s="2" t="s">
        <v>19</v>
      </c>
      <c r="K432" s="2" t="s">
        <v>803</v>
      </c>
      <c r="L432" s="7" t="str">
        <f>HYPERLINK("http://slimages.macys.com/is/image/MCY/11940179 ")</f>
        <v xml:space="preserve">http://slimages.macys.com/is/image/MCY/11940179 </v>
      </c>
    </row>
    <row r="433" spans="1:12" ht="24.75" x14ac:dyDescent="0.25">
      <c r="A433" s="4" t="s">
        <v>1299</v>
      </c>
      <c r="B433" s="2" t="s">
        <v>1279</v>
      </c>
      <c r="C433" s="3">
        <v>1</v>
      </c>
      <c r="D433" s="5">
        <v>27.99</v>
      </c>
      <c r="E433" s="3" t="s">
        <v>1286</v>
      </c>
      <c r="F433" s="2" t="s">
        <v>506</v>
      </c>
      <c r="G433" s="6" t="s">
        <v>156</v>
      </c>
      <c r="H433" s="2" t="s">
        <v>194</v>
      </c>
      <c r="I433" s="2" t="s">
        <v>919</v>
      </c>
      <c r="J433" s="2" t="s">
        <v>19</v>
      </c>
      <c r="K433" s="2" t="s">
        <v>409</v>
      </c>
      <c r="L433" s="7" t="str">
        <f>HYPERLINK("http://slimages.macys.com/is/image/MCY/8185331 ")</f>
        <v xml:space="preserve">http://slimages.macys.com/is/image/MCY/8185331 </v>
      </c>
    </row>
    <row r="434" spans="1:12" ht="24.75" x14ac:dyDescent="0.25">
      <c r="A434" s="4" t="s">
        <v>2667</v>
      </c>
      <c r="B434" s="2" t="s">
        <v>1279</v>
      </c>
      <c r="C434" s="3">
        <v>1</v>
      </c>
      <c r="D434" s="5">
        <v>27.99</v>
      </c>
      <c r="E434" s="3" t="s">
        <v>1286</v>
      </c>
      <c r="F434" s="2" t="s">
        <v>506</v>
      </c>
      <c r="G434" s="6" t="s">
        <v>245</v>
      </c>
      <c r="H434" s="2" t="s">
        <v>194</v>
      </c>
      <c r="I434" s="2" t="s">
        <v>919</v>
      </c>
      <c r="J434" s="2" t="s">
        <v>19</v>
      </c>
      <c r="K434" s="2" t="s">
        <v>409</v>
      </c>
      <c r="L434" s="7" t="str">
        <f>HYPERLINK("http://slimages.macys.com/is/image/MCY/8185331 ")</f>
        <v xml:space="preserve">http://slimages.macys.com/is/image/MCY/8185331 </v>
      </c>
    </row>
    <row r="435" spans="1:12" ht="24.75" x14ac:dyDescent="0.25">
      <c r="A435" s="4" t="s">
        <v>1303</v>
      </c>
      <c r="B435" s="2" t="s">
        <v>1279</v>
      </c>
      <c r="C435" s="3">
        <v>1</v>
      </c>
      <c r="D435" s="5">
        <v>27.99</v>
      </c>
      <c r="E435" s="3" t="s">
        <v>1286</v>
      </c>
      <c r="F435" s="2" t="s">
        <v>506</v>
      </c>
      <c r="G435" s="6" t="s">
        <v>234</v>
      </c>
      <c r="H435" s="2" t="s">
        <v>194</v>
      </c>
      <c r="I435" s="2" t="s">
        <v>919</v>
      </c>
      <c r="J435" s="2" t="s">
        <v>19</v>
      </c>
      <c r="K435" s="2" t="s">
        <v>409</v>
      </c>
      <c r="L435" s="7" t="str">
        <f>HYPERLINK("http://slimages.macys.com/is/image/MCY/8185331 ")</f>
        <v xml:space="preserve">http://slimages.macys.com/is/image/MCY/8185331 </v>
      </c>
    </row>
    <row r="436" spans="1:12" ht="24.75" x14ac:dyDescent="0.25">
      <c r="A436" s="4" t="s">
        <v>1287</v>
      </c>
      <c r="B436" s="2" t="s">
        <v>1279</v>
      </c>
      <c r="C436" s="3">
        <v>1</v>
      </c>
      <c r="D436" s="5">
        <v>27.99</v>
      </c>
      <c r="E436" s="3" t="s">
        <v>1280</v>
      </c>
      <c r="F436" s="2" t="s">
        <v>566</v>
      </c>
      <c r="G436" s="6"/>
      <c r="H436" s="2" t="s">
        <v>312</v>
      </c>
      <c r="I436" s="2" t="s">
        <v>1112</v>
      </c>
      <c r="J436" s="2" t="s">
        <v>19</v>
      </c>
      <c r="K436" s="2" t="s">
        <v>409</v>
      </c>
      <c r="L436" s="7" t="str">
        <f>HYPERLINK("http://slimages.macys.com/is/image/MCY/3832970 ")</f>
        <v xml:space="preserve">http://slimages.macys.com/is/image/MCY/3832970 </v>
      </c>
    </row>
    <row r="437" spans="1:12" ht="24.75" x14ac:dyDescent="0.25">
      <c r="A437" s="4" t="s">
        <v>4923</v>
      </c>
      <c r="B437" s="2" t="s">
        <v>1294</v>
      </c>
      <c r="C437" s="3">
        <v>1</v>
      </c>
      <c r="D437" s="5">
        <v>37.130000000000003</v>
      </c>
      <c r="E437" s="3">
        <v>100002345</v>
      </c>
      <c r="F437" s="2" t="s">
        <v>74</v>
      </c>
      <c r="G437" s="6" t="s">
        <v>234</v>
      </c>
      <c r="H437" s="2" t="s">
        <v>284</v>
      </c>
      <c r="I437" s="2" t="s">
        <v>285</v>
      </c>
      <c r="J437" s="2" t="s">
        <v>19</v>
      </c>
      <c r="K437" s="2" t="s">
        <v>2669</v>
      </c>
      <c r="L437" s="7" t="str">
        <f>HYPERLINK("http://slimages.macys.com/is/image/MCY/8660800 ")</f>
        <v xml:space="preserve">http://slimages.macys.com/is/image/MCY/8660800 </v>
      </c>
    </row>
    <row r="438" spans="1:12" ht="24.75" x14ac:dyDescent="0.25">
      <c r="A438" s="4" t="s">
        <v>4924</v>
      </c>
      <c r="B438" s="2" t="s">
        <v>4925</v>
      </c>
      <c r="C438" s="3">
        <v>1</v>
      </c>
      <c r="D438" s="5">
        <v>37.130000000000003</v>
      </c>
      <c r="E438" s="3" t="s">
        <v>4926</v>
      </c>
      <c r="F438" s="2" t="s">
        <v>74</v>
      </c>
      <c r="G438" s="6" t="s">
        <v>154</v>
      </c>
      <c r="H438" s="2" t="s">
        <v>194</v>
      </c>
      <c r="I438" s="2" t="s">
        <v>195</v>
      </c>
      <c r="J438" s="2" t="s">
        <v>19</v>
      </c>
      <c r="K438" s="2" t="s">
        <v>247</v>
      </c>
      <c r="L438" s="7" t="str">
        <f>HYPERLINK("http://slimages.macys.com/is/image/MCY/3467426 ")</f>
        <v xml:space="preserve">http://slimages.macys.com/is/image/MCY/3467426 </v>
      </c>
    </row>
    <row r="439" spans="1:12" ht="24.75" x14ac:dyDescent="0.25">
      <c r="A439" s="4" t="s">
        <v>1301</v>
      </c>
      <c r="B439" s="2" t="s">
        <v>1279</v>
      </c>
      <c r="C439" s="3">
        <v>1</v>
      </c>
      <c r="D439" s="5">
        <v>27.99</v>
      </c>
      <c r="E439" s="3" t="s">
        <v>1302</v>
      </c>
      <c r="F439" s="2" t="s">
        <v>566</v>
      </c>
      <c r="G439" s="6" t="s">
        <v>154</v>
      </c>
      <c r="H439" s="2" t="s">
        <v>194</v>
      </c>
      <c r="I439" s="2" t="s">
        <v>919</v>
      </c>
      <c r="J439" s="2" t="s">
        <v>19</v>
      </c>
      <c r="K439" s="2" t="s">
        <v>409</v>
      </c>
      <c r="L439" s="7" t="str">
        <f>HYPERLINK("http://slimages.macys.com/is/image/MCY/3244804 ")</f>
        <v xml:space="preserve">http://slimages.macys.com/is/image/MCY/3244804 </v>
      </c>
    </row>
    <row r="440" spans="1:12" ht="24.75" x14ac:dyDescent="0.25">
      <c r="A440" s="4" t="s">
        <v>4927</v>
      </c>
      <c r="B440" s="2" t="s">
        <v>4928</v>
      </c>
      <c r="C440" s="3">
        <v>1</v>
      </c>
      <c r="D440" s="5">
        <v>24.98</v>
      </c>
      <c r="E440" s="3">
        <v>9300</v>
      </c>
      <c r="F440" s="2" t="s">
        <v>74</v>
      </c>
      <c r="G440" s="6" t="s">
        <v>4929</v>
      </c>
      <c r="H440" s="2" t="s">
        <v>447</v>
      </c>
      <c r="I440" s="2" t="s">
        <v>3409</v>
      </c>
      <c r="J440" s="2" t="s">
        <v>19</v>
      </c>
      <c r="K440" s="2" t="s">
        <v>34</v>
      </c>
      <c r="L440" s="7" t="str">
        <f>HYPERLINK("http://slimages.macys.com/is/image/MCY/663496 ")</f>
        <v xml:space="preserve">http://slimages.macys.com/is/image/MCY/663496 </v>
      </c>
    </row>
    <row r="441" spans="1:12" ht="24.75" x14ac:dyDescent="0.25">
      <c r="A441" s="4" t="s">
        <v>1281</v>
      </c>
      <c r="B441" s="2" t="s">
        <v>1279</v>
      </c>
      <c r="C441" s="3">
        <v>1</v>
      </c>
      <c r="D441" s="5">
        <v>27.99</v>
      </c>
      <c r="E441" s="3" t="s">
        <v>1280</v>
      </c>
      <c r="F441" s="2" t="s">
        <v>566</v>
      </c>
      <c r="G441" s="6"/>
      <c r="H441" s="2" t="s">
        <v>312</v>
      </c>
      <c r="I441" s="2" t="s">
        <v>1112</v>
      </c>
      <c r="J441" s="2" t="s">
        <v>19</v>
      </c>
      <c r="K441" s="2" t="s">
        <v>409</v>
      </c>
      <c r="L441" s="7" t="str">
        <f>HYPERLINK("http://slimages.macys.com/is/image/MCY/3832970 ")</f>
        <v xml:space="preserve">http://slimages.macys.com/is/image/MCY/3832970 </v>
      </c>
    </row>
    <row r="442" spans="1:12" ht="24.75" x14ac:dyDescent="0.25">
      <c r="A442" s="4" t="s">
        <v>1300</v>
      </c>
      <c r="B442" s="2" t="s">
        <v>1279</v>
      </c>
      <c r="C442" s="3">
        <v>1</v>
      </c>
      <c r="D442" s="5">
        <v>27.99</v>
      </c>
      <c r="E442" s="3" t="s">
        <v>1286</v>
      </c>
      <c r="F442" s="2" t="s">
        <v>506</v>
      </c>
      <c r="G442" s="6" t="s">
        <v>181</v>
      </c>
      <c r="H442" s="2" t="s">
        <v>194</v>
      </c>
      <c r="I442" s="2" t="s">
        <v>919</v>
      </c>
      <c r="J442" s="2" t="s">
        <v>19</v>
      </c>
      <c r="K442" s="2" t="s">
        <v>409</v>
      </c>
      <c r="L442" s="7" t="str">
        <f>HYPERLINK("http://slimages.macys.com/is/image/MCY/8185331 ")</f>
        <v xml:space="preserve">http://slimages.macys.com/is/image/MCY/8185331 </v>
      </c>
    </row>
    <row r="443" spans="1:12" ht="24.75" x14ac:dyDescent="0.25">
      <c r="A443" s="4" t="s">
        <v>1298</v>
      </c>
      <c r="B443" s="2" t="s">
        <v>1279</v>
      </c>
      <c r="C443" s="3">
        <v>3</v>
      </c>
      <c r="D443" s="5">
        <v>27.99</v>
      </c>
      <c r="E443" s="3" t="s">
        <v>1286</v>
      </c>
      <c r="F443" s="2" t="s">
        <v>506</v>
      </c>
      <c r="G443" s="6" t="s">
        <v>200</v>
      </c>
      <c r="H443" s="2" t="s">
        <v>194</v>
      </c>
      <c r="I443" s="2" t="s">
        <v>919</v>
      </c>
      <c r="J443" s="2" t="s">
        <v>19</v>
      </c>
      <c r="K443" s="2" t="s">
        <v>409</v>
      </c>
      <c r="L443" s="7" t="str">
        <f>HYPERLINK("http://slimages.macys.com/is/image/MCY/8185331 ")</f>
        <v xml:space="preserve">http://slimages.macys.com/is/image/MCY/8185331 </v>
      </c>
    </row>
    <row r="444" spans="1:12" ht="24.75" x14ac:dyDescent="0.25">
      <c r="A444" s="4" t="s">
        <v>1285</v>
      </c>
      <c r="B444" s="2" t="s">
        <v>1279</v>
      </c>
      <c r="C444" s="3">
        <v>2</v>
      </c>
      <c r="D444" s="5">
        <v>27.99</v>
      </c>
      <c r="E444" s="3" t="s">
        <v>1286</v>
      </c>
      <c r="F444" s="2" t="s">
        <v>506</v>
      </c>
      <c r="G444" s="6" t="s">
        <v>154</v>
      </c>
      <c r="H444" s="2" t="s">
        <v>194</v>
      </c>
      <c r="I444" s="2" t="s">
        <v>919</v>
      </c>
      <c r="J444" s="2" t="s">
        <v>19</v>
      </c>
      <c r="K444" s="2" t="s">
        <v>409</v>
      </c>
      <c r="L444" s="7" t="str">
        <f>HYPERLINK("http://slimages.macys.com/is/image/MCY/8185331 ")</f>
        <v xml:space="preserve">http://slimages.macys.com/is/image/MCY/8185331 </v>
      </c>
    </row>
    <row r="445" spans="1:12" ht="24.75" x14ac:dyDescent="0.25">
      <c r="A445" s="4" t="s">
        <v>1304</v>
      </c>
      <c r="B445" s="2" t="s">
        <v>1196</v>
      </c>
      <c r="C445" s="3">
        <v>1</v>
      </c>
      <c r="D445" s="5">
        <v>37.130000000000003</v>
      </c>
      <c r="E445" s="3" t="s">
        <v>1305</v>
      </c>
      <c r="F445" s="2" t="s">
        <v>887</v>
      </c>
      <c r="G445" s="6"/>
      <c r="H445" s="2" t="s">
        <v>312</v>
      </c>
      <c r="I445" s="2" t="s">
        <v>195</v>
      </c>
      <c r="J445" s="2" t="s">
        <v>19</v>
      </c>
      <c r="K445" s="2" t="s">
        <v>990</v>
      </c>
      <c r="L445" s="7" t="str">
        <f>HYPERLINK("http://slimages.macys.com/is/image/MCY/12280097 ")</f>
        <v xml:space="preserve">http://slimages.macys.com/is/image/MCY/12280097 </v>
      </c>
    </row>
    <row r="446" spans="1:12" ht="24.75" x14ac:dyDescent="0.25">
      <c r="A446" s="4" t="s">
        <v>4930</v>
      </c>
      <c r="B446" s="2" t="s">
        <v>1196</v>
      </c>
      <c r="C446" s="3">
        <v>1</v>
      </c>
      <c r="D446" s="5">
        <v>37.130000000000003</v>
      </c>
      <c r="E446" s="3" t="s">
        <v>1305</v>
      </c>
      <c r="F446" s="2" t="s">
        <v>887</v>
      </c>
      <c r="G446" s="6"/>
      <c r="H446" s="2" t="s">
        <v>312</v>
      </c>
      <c r="I446" s="2" t="s">
        <v>195</v>
      </c>
      <c r="J446" s="2" t="s">
        <v>19</v>
      </c>
      <c r="K446" s="2" t="s">
        <v>990</v>
      </c>
      <c r="L446" s="7" t="str">
        <f>HYPERLINK("http://slimages.macys.com/is/image/MCY/12280097 ")</f>
        <v xml:space="preserve">http://slimages.macys.com/is/image/MCY/12280097 </v>
      </c>
    </row>
    <row r="447" spans="1:12" ht="24.75" x14ac:dyDescent="0.25">
      <c r="A447" s="4" t="s">
        <v>4931</v>
      </c>
      <c r="B447" s="2" t="s">
        <v>1196</v>
      </c>
      <c r="C447" s="3">
        <v>1</v>
      </c>
      <c r="D447" s="5">
        <v>37.130000000000003</v>
      </c>
      <c r="E447" s="3" t="s">
        <v>1305</v>
      </c>
      <c r="F447" s="2" t="s">
        <v>887</v>
      </c>
      <c r="G447" s="6"/>
      <c r="H447" s="2" t="s">
        <v>312</v>
      </c>
      <c r="I447" s="2" t="s">
        <v>195</v>
      </c>
      <c r="J447" s="2" t="s">
        <v>19</v>
      </c>
      <c r="K447" s="2" t="s">
        <v>990</v>
      </c>
      <c r="L447" s="7" t="str">
        <f>HYPERLINK("http://slimages.macys.com/is/image/MCY/12280097 ")</f>
        <v xml:space="preserve">http://slimages.macys.com/is/image/MCY/12280097 </v>
      </c>
    </row>
    <row r="448" spans="1:12" ht="24.75" x14ac:dyDescent="0.25">
      <c r="A448" s="4" t="s">
        <v>4932</v>
      </c>
      <c r="B448" s="2" t="s">
        <v>1196</v>
      </c>
      <c r="C448" s="3">
        <v>2</v>
      </c>
      <c r="D448" s="5">
        <v>37.130000000000003</v>
      </c>
      <c r="E448" s="3" t="s">
        <v>1305</v>
      </c>
      <c r="F448" s="2" t="s">
        <v>887</v>
      </c>
      <c r="G448" s="6"/>
      <c r="H448" s="2" t="s">
        <v>312</v>
      </c>
      <c r="I448" s="2" t="s">
        <v>195</v>
      </c>
      <c r="J448" s="2" t="s">
        <v>19</v>
      </c>
      <c r="K448" s="2" t="s">
        <v>990</v>
      </c>
      <c r="L448" s="7" t="str">
        <f>HYPERLINK("http://slimages.macys.com/is/image/MCY/12280097 ")</f>
        <v xml:space="preserve">http://slimages.macys.com/is/image/MCY/12280097 </v>
      </c>
    </row>
    <row r="449" spans="1:12" ht="24.75" x14ac:dyDescent="0.25">
      <c r="A449" s="4" t="s">
        <v>4933</v>
      </c>
      <c r="B449" s="2" t="s">
        <v>1307</v>
      </c>
      <c r="C449" s="3">
        <v>1</v>
      </c>
      <c r="D449" s="5">
        <v>32.5</v>
      </c>
      <c r="E449" s="3" t="s">
        <v>1308</v>
      </c>
      <c r="F449" s="2" t="s">
        <v>193</v>
      </c>
      <c r="G449" s="6" t="s">
        <v>154</v>
      </c>
      <c r="H449" s="2" t="s">
        <v>194</v>
      </c>
      <c r="I449" s="2" t="s">
        <v>195</v>
      </c>
      <c r="J449" s="2" t="s">
        <v>19</v>
      </c>
      <c r="K449" s="2" t="s">
        <v>1108</v>
      </c>
      <c r="L449" s="7" t="str">
        <f>HYPERLINK("http://slimages.macys.com/is/image/MCY/12950211 ")</f>
        <v xml:space="preserve">http://slimages.macys.com/is/image/MCY/12950211 </v>
      </c>
    </row>
    <row r="450" spans="1:12" ht="24.75" x14ac:dyDescent="0.25">
      <c r="A450" s="4" t="s">
        <v>4934</v>
      </c>
      <c r="B450" s="2" t="s">
        <v>1307</v>
      </c>
      <c r="C450" s="3">
        <v>1</v>
      </c>
      <c r="D450" s="5">
        <v>33.380000000000003</v>
      </c>
      <c r="E450" s="3" t="s">
        <v>1308</v>
      </c>
      <c r="F450" s="2" t="s">
        <v>752</v>
      </c>
      <c r="G450" s="6" t="s">
        <v>234</v>
      </c>
      <c r="H450" s="2" t="s">
        <v>194</v>
      </c>
      <c r="I450" s="2" t="s">
        <v>195</v>
      </c>
      <c r="J450" s="2" t="s">
        <v>19</v>
      </c>
      <c r="K450" s="2" t="s">
        <v>1108</v>
      </c>
      <c r="L450" s="7" t="str">
        <f>HYPERLINK("http://slimages.macys.com/is/image/MCY/12950211 ")</f>
        <v xml:space="preserve">http://slimages.macys.com/is/image/MCY/12950211 </v>
      </c>
    </row>
    <row r="451" spans="1:12" ht="24.75" x14ac:dyDescent="0.25">
      <c r="A451" s="4" t="s">
        <v>4935</v>
      </c>
      <c r="B451" s="2" t="s">
        <v>4936</v>
      </c>
      <c r="C451" s="3">
        <v>1</v>
      </c>
      <c r="D451" s="5">
        <v>31.15</v>
      </c>
      <c r="E451" s="3" t="s">
        <v>4937</v>
      </c>
      <c r="F451" s="2" t="s">
        <v>74</v>
      </c>
      <c r="G451" s="6" t="s">
        <v>234</v>
      </c>
      <c r="H451" s="2" t="s">
        <v>194</v>
      </c>
      <c r="I451" s="2" t="s">
        <v>195</v>
      </c>
      <c r="J451" s="2" t="s">
        <v>19</v>
      </c>
      <c r="K451" s="2" t="s">
        <v>137</v>
      </c>
      <c r="L451" s="7" t="str">
        <f>HYPERLINK("http://slimages.macys.com/is/image/MCY/15295092 ")</f>
        <v xml:space="preserve">http://slimages.macys.com/is/image/MCY/15295092 </v>
      </c>
    </row>
    <row r="452" spans="1:12" ht="24.75" x14ac:dyDescent="0.25">
      <c r="A452" s="4" t="s">
        <v>4938</v>
      </c>
      <c r="B452" s="2" t="s">
        <v>1307</v>
      </c>
      <c r="C452" s="3">
        <v>2</v>
      </c>
      <c r="D452" s="5">
        <v>32.5</v>
      </c>
      <c r="E452" s="3" t="s">
        <v>1308</v>
      </c>
      <c r="F452" s="2" t="s">
        <v>193</v>
      </c>
      <c r="G452" s="6" t="s">
        <v>234</v>
      </c>
      <c r="H452" s="2" t="s">
        <v>194</v>
      </c>
      <c r="I452" s="2" t="s">
        <v>195</v>
      </c>
      <c r="J452" s="2" t="s">
        <v>19</v>
      </c>
      <c r="K452" s="2" t="s">
        <v>1108</v>
      </c>
      <c r="L452" s="7" t="str">
        <f>HYPERLINK("http://slimages.macys.com/is/image/MCY/12950211 ")</f>
        <v xml:space="preserve">http://slimages.macys.com/is/image/MCY/12950211 </v>
      </c>
    </row>
    <row r="453" spans="1:12" ht="24.75" x14ac:dyDescent="0.25">
      <c r="A453" s="4" t="s">
        <v>4939</v>
      </c>
      <c r="B453" s="2" t="s">
        <v>1314</v>
      </c>
      <c r="C453" s="3">
        <v>1</v>
      </c>
      <c r="D453" s="5">
        <v>24.99</v>
      </c>
      <c r="E453" s="3">
        <v>100010068</v>
      </c>
      <c r="F453" s="2" t="s">
        <v>252</v>
      </c>
      <c r="G453" s="6" t="s">
        <v>27</v>
      </c>
      <c r="H453" s="2" t="s">
        <v>228</v>
      </c>
      <c r="I453" s="2" t="s">
        <v>863</v>
      </c>
      <c r="J453" s="2" t="s">
        <v>19</v>
      </c>
      <c r="K453" s="2" t="s">
        <v>1315</v>
      </c>
      <c r="L453" s="7" t="str">
        <f>HYPERLINK("http://slimages.macys.com/is/image/MCY/9190991 ")</f>
        <v xml:space="preserve">http://slimages.macys.com/is/image/MCY/9190991 </v>
      </c>
    </row>
    <row r="454" spans="1:12" ht="24.75" x14ac:dyDescent="0.25">
      <c r="A454" s="4" t="s">
        <v>4940</v>
      </c>
      <c r="B454" s="2" t="s">
        <v>1324</v>
      </c>
      <c r="C454" s="3">
        <v>1</v>
      </c>
      <c r="D454" s="5">
        <v>37.130000000000003</v>
      </c>
      <c r="E454" s="3" t="s">
        <v>1325</v>
      </c>
      <c r="F454" s="2" t="s">
        <v>752</v>
      </c>
      <c r="G454" s="6" t="s">
        <v>200</v>
      </c>
      <c r="H454" s="2" t="s">
        <v>194</v>
      </c>
      <c r="I454" s="2" t="s">
        <v>580</v>
      </c>
      <c r="J454" s="2" t="s">
        <v>19</v>
      </c>
      <c r="K454" s="2" t="s">
        <v>160</v>
      </c>
      <c r="L454" s="7" t="str">
        <f>HYPERLINK("http://slimages.macys.com/is/image/MCY/12667972 ")</f>
        <v xml:space="preserve">http://slimages.macys.com/is/image/MCY/12667972 </v>
      </c>
    </row>
    <row r="455" spans="1:12" x14ac:dyDescent="0.25">
      <c r="A455" s="4" t="s">
        <v>4941</v>
      </c>
      <c r="B455" s="2" t="s">
        <v>4942</v>
      </c>
      <c r="C455" s="3">
        <v>1</v>
      </c>
      <c r="D455" s="5">
        <v>59.5</v>
      </c>
      <c r="E455" s="3" t="s">
        <v>4943</v>
      </c>
      <c r="F455" s="2" t="s">
        <v>887</v>
      </c>
      <c r="G455" s="6"/>
      <c r="H455" s="2" t="s">
        <v>206</v>
      </c>
      <c r="I455" s="2" t="s">
        <v>207</v>
      </c>
      <c r="J455" s="2" t="s">
        <v>19</v>
      </c>
      <c r="K455" s="2" t="s">
        <v>160</v>
      </c>
      <c r="L455" s="7" t="str">
        <f>HYPERLINK("http://slimages.macys.com/is/image/MCY/11972791 ")</f>
        <v xml:space="preserve">http://slimages.macys.com/is/image/MCY/11972791 </v>
      </c>
    </row>
    <row r="456" spans="1:12" ht="24.75" x14ac:dyDescent="0.25">
      <c r="A456" s="4" t="s">
        <v>4944</v>
      </c>
      <c r="B456" s="2" t="s">
        <v>1324</v>
      </c>
      <c r="C456" s="3">
        <v>1</v>
      </c>
      <c r="D456" s="5">
        <v>37.130000000000003</v>
      </c>
      <c r="E456" s="3" t="s">
        <v>1325</v>
      </c>
      <c r="F456" s="2" t="s">
        <v>752</v>
      </c>
      <c r="G456" s="6" t="s">
        <v>156</v>
      </c>
      <c r="H456" s="2" t="s">
        <v>194</v>
      </c>
      <c r="I456" s="2" t="s">
        <v>580</v>
      </c>
      <c r="J456" s="2" t="s">
        <v>19</v>
      </c>
      <c r="K456" s="2" t="s">
        <v>160</v>
      </c>
      <c r="L456" s="7" t="str">
        <f>HYPERLINK("http://slimages.macys.com/is/image/MCY/12667972 ")</f>
        <v xml:space="preserve">http://slimages.macys.com/is/image/MCY/12667972 </v>
      </c>
    </row>
    <row r="457" spans="1:12" ht="24.75" x14ac:dyDescent="0.25">
      <c r="A457" s="4" t="s">
        <v>4945</v>
      </c>
      <c r="B457" s="2" t="s">
        <v>4946</v>
      </c>
      <c r="C457" s="3">
        <v>1</v>
      </c>
      <c r="D457" s="5">
        <v>37.130000000000003</v>
      </c>
      <c r="E457" s="3" t="s">
        <v>4947</v>
      </c>
      <c r="F457" s="2" t="s">
        <v>74</v>
      </c>
      <c r="G457" s="6" t="s">
        <v>200</v>
      </c>
      <c r="H457" s="2" t="s">
        <v>284</v>
      </c>
      <c r="I457" s="2" t="s">
        <v>285</v>
      </c>
      <c r="J457" s="2" t="s">
        <v>19</v>
      </c>
      <c r="K457" s="2" t="s">
        <v>160</v>
      </c>
      <c r="L457" s="7" t="str">
        <f>HYPERLINK("http://slimages.macys.com/is/image/MCY/13401017 ")</f>
        <v xml:space="preserve">http://slimages.macys.com/is/image/MCY/13401017 </v>
      </c>
    </row>
    <row r="458" spans="1:12" ht="24.75" x14ac:dyDescent="0.25">
      <c r="A458" s="4" t="s">
        <v>1329</v>
      </c>
      <c r="B458" s="2" t="s">
        <v>1330</v>
      </c>
      <c r="C458" s="3">
        <v>1</v>
      </c>
      <c r="D458" s="5">
        <v>37.130000000000003</v>
      </c>
      <c r="E458" s="3" t="s">
        <v>1331</v>
      </c>
      <c r="F458" s="2" t="s">
        <v>417</v>
      </c>
      <c r="G458" s="6" t="s">
        <v>234</v>
      </c>
      <c r="H458" s="2" t="s">
        <v>194</v>
      </c>
      <c r="I458" s="2" t="s">
        <v>195</v>
      </c>
      <c r="J458" s="2" t="s">
        <v>19</v>
      </c>
      <c r="K458" s="2" t="s">
        <v>247</v>
      </c>
      <c r="L458" s="7" t="str">
        <f>HYPERLINK("http://slimages.macys.com/is/image/MCY/10889638 ")</f>
        <v xml:space="preserve">http://slimages.macys.com/is/image/MCY/10889638 </v>
      </c>
    </row>
    <row r="459" spans="1:12" ht="24.75" x14ac:dyDescent="0.25">
      <c r="A459" s="4" t="s">
        <v>1341</v>
      </c>
      <c r="B459" s="2" t="s">
        <v>1330</v>
      </c>
      <c r="C459" s="3">
        <v>1</v>
      </c>
      <c r="D459" s="5">
        <v>37.130000000000003</v>
      </c>
      <c r="E459" s="3" t="s">
        <v>1331</v>
      </c>
      <c r="F459" s="2" t="s">
        <v>417</v>
      </c>
      <c r="G459" s="6" t="s">
        <v>181</v>
      </c>
      <c r="H459" s="2" t="s">
        <v>194</v>
      </c>
      <c r="I459" s="2" t="s">
        <v>195</v>
      </c>
      <c r="J459" s="2" t="s">
        <v>19</v>
      </c>
      <c r="K459" s="2" t="s">
        <v>247</v>
      </c>
      <c r="L459" s="7" t="str">
        <f>HYPERLINK("http://slimages.macys.com/is/image/MCY/10889638 ")</f>
        <v xml:space="preserve">http://slimages.macys.com/is/image/MCY/10889638 </v>
      </c>
    </row>
    <row r="460" spans="1:12" ht="24.75" x14ac:dyDescent="0.25">
      <c r="A460" s="4" t="s">
        <v>2682</v>
      </c>
      <c r="B460" s="2" t="s">
        <v>2683</v>
      </c>
      <c r="C460" s="3">
        <v>2</v>
      </c>
      <c r="D460" s="5">
        <v>33.380000000000003</v>
      </c>
      <c r="E460" s="3" t="s">
        <v>2684</v>
      </c>
      <c r="F460" s="2" t="s">
        <v>752</v>
      </c>
      <c r="G460" s="6" t="s">
        <v>154</v>
      </c>
      <c r="H460" s="2" t="s">
        <v>194</v>
      </c>
      <c r="I460" s="2" t="s">
        <v>195</v>
      </c>
      <c r="J460" s="2" t="s">
        <v>19</v>
      </c>
      <c r="K460" s="2" t="s">
        <v>247</v>
      </c>
      <c r="L460" s="7" t="str">
        <f>HYPERLINK("http://slimages.macys.com/is/image/MCY/12404928 ")</f>
        <v xml:space="preserve">http://slimages.macys.com/is/image/MCY/12404928 </v>
      </c>
    </row>
    <row r="461" spans="1:12" ht="24.75" x14ac:dyDescent="0.25">
      <c r="A461" s="4" t="s">
        <v>3867</v>
      </c>
      <c r="B461" s="2" t="s">
        <v>2683</v>
      </c>
      <c r="C461" s="3">
        <v>1</v>
      </c>
      <c r="D461" s="5">
        <v>33.380000000000003</v>
      </c>
      <c r="E461" s="3" t="s">
        <v>2684</v>
      </c>
      <c r="F461" s="2" t="s">
        <v>752</v>
      </c>
      <c r="G461" s="6" t="s">
        <v>181</v>
      </c>
      <c r="H461" s="2" t="s">
        <v>194</v>
      </c>
      <c r="I461" s="2" t="s">
        <v>195</v>
      </c>
      <c r="J461" s="2" t="s">
        <v>19</v>
      </c>
      <c r="K461" s="2" t="s">
        <v>247</v>
      </c>
      <c r="L461" s="7" t="str">
        <f>HYPERLINK("http://slimages.macys.com/is/image/MCY/12404928 ")</f>
        <v xml:space="preserve">http://slimages.macys.com/is/image/MCY/12404928 </v>
      </c>
    </row>
    <row r="462" spans="1:12" ht="24.75" x14ac:dyDescent="0.25">
      <c r="A462" s="4" t="s">
        <v>4948</v>
      </c>
      <c r="B462" s="2" t="s">
        <v>2683</v>
      </c>
      <c r="C462" s="3">
        <v>1</v>
      </c>
      <c r="D462" s="5">
        <v>33.380000000000003</v>
      </c>
      <c r="E462" s="3" t="s">
        <v>2684</v>
      </c>
      <c r="F462" s="2" t="s">
        <v>752</v>
      </c>
      <c r="G462" s="6" t="s">
        <v>234</v>
      </c>
      <c r="H462" s="2" t="s">
        <v>194</v>
      </c>
      <c r="I462" s="2" t="s">
        <v>195</v>
      </c>
      <c r="J462" s="2" t="s">
        <v>19</v>
      </c>
      <c r="K462" s="2" t="s">
        <v>247</v>
      </c>
      <c r="L462" s="7" t="str">
        <f>HYPERLINK("http://slimages.macys.com/is/image/MCY/12404928 ")</f>
        <v xml:space="preserve">http://slimages.macys.com/is/image/MCY/12404928 </v>
      </c>
    </row>
    <row r="463" spans="1:12" ht="24.75" x14ac:dyDescent="0.25">
      <c r="A463" s="4" t="s">
        <v>4949</v>
      </c>
      <c r="B463" s="2" t="s">
        <v>2683</v>
      </c>
      <c r="C463" s="3">
        <v>1</v>
      </c>
      <c r="D463" s="5">
        <v>33.380000000000003</v>
      </c>
      <c r="E463" s="3" t="s">
        <v>2684</v>
      </c>
      <c r="F463" s="2" t="s">
        <v>752</v>
      </c>
      <c r="G463" s="6" t="s">
        <v>156</v>
      </c>
      <c r="H463" s="2" t="s">
        <v>194</v>
      </c>
      <c r="I463" s="2" t="s">
        <v>195</v>
      </c>
      <c r="J463" s="2" t="s">
        <v>19</v>
      </c>
      <c r="K463" s="2" t="s">
        <v>247</v>
      </c>
      <c r="L463" s="7" t="str">
        <f>HYPERLINK("http://slimages.macys.com/is/image/MCY/12404928 ")</f>
        <v xml:space="preserve">http://slimages.macys.com/is/image/MCY/12404928 </v>
      </c>
    </row>
    <row r="464" spans="1:12" ht="48.75" x14ac:dyDescent="0.25">
      <c r="A464" s="4" t="s">
        <v>4950</v>
      </c>
      <c r="B464" s="2" t="s">
        <v>1155</v>
      </c>
      <c r="C464" s="3">
        <v>2</v>
      </c>
      <c r="D464" s="5">
        <v>37.130000000000003</v>
      </c>
      <c r="E464" s="3" t="s">
        <v>3875</v>
      </c>
      <c r="F464" s="2" t="s">
        <v>15</v>
      </c>
      <c r="G464" s="6" t="s">
        <v>234</v>
      </c>
      <c r="H464" s="2" t="s">
        <v>194</v>
      </c>
      <c r="I464" s="2" t="s">
        <v>195</v>
      </c>
      <c r="J464" s="2" t="s">
        <v>19</v>
      </c>
      <c r="K464" s="2" t="s">
        <v>3879</v>
      </c>
      <c r="L464" s="7" t="str">
        <f>HYPERLINK("http://slimages.macys.com/is/image/MCY/12404881 ")</f>
        <v xml:space="preserve">http://slimages.macys.com/is/image/MCY/12404881 </v>
      </c>
    </row>
    <row r="465" spans="1:12" ht="48.75" x14ac:dyDescent="0.25">
      <c r="A465" s="4" t="s">
        <v>4951</v>
      </c>
      <c r="B465" s="2" t="s">
        <v>1155</v>
      </c>
      <c r="C465" s="3">
        <v>1</v>
      </c>
      <c r="D465" s="5">
        <v>37.130000000000003</v>
      </c>
      <c r="E465" s="3" t="s">
        <v>3875</v>
      </c>
      <c r="F465" s="2" t="s">
        <v>26</v>
      </c>
      <c r="G465" s="6" t="s">
        <v>234</v>
      </c>
      <c r="H465" s="2" t="s">
        <v>194</v>
      </c>
      <c r="I465" s="2" t="s">
        <v>195</v>
      </c>
      <c r="J465" s="2" t="s">
        <v>19</v>
      </c>
      <c r="K465" s="2" t="s">
        <v>3879</v>
      </c>
      <c r="L465" s="7" t="str">
        <f>HYPERLINK("http://slimages.macys.com/is/image/MCY/12404881 ")</f>
        <v xml:space="preserve">http://slimages.macys.com/is/image/MCY/12404881 </v>
      </c>
    </row>
    <row r="466" spans="1:12" ht="24.75" x14ac:dyDescent="0.25">
      <c r="A466" s="4" t="s">
        <v>4952</v>
      </c>
      <c r="B466" s="2" t="s">
        <v>2686</v>
      </c>
      <c r="C466" s="3">
        <v>1</v>
      </c>
      <c r="D466" s="5">
        <v>34.5</v>
      </c>
      <c r="E466" s="3">
        <v>100062504</v>
      </c>
      <c r="F466" s="2" t="s">
        <v>26</v>
      </c>
      <c r="G466" s="6" t="s">
        <v>22</v>
      </c>
      <c r="H466" s="2" t="s">
        <v>228</v>
      </c>
      <c r="I466" s="2" t="s">
        <v>229</v>
      </c>
      <c r="J466" s="2" t="s">
        <v>19</v>
      </c>
      <c r="K466" s="2" t="s">
        <v>253</v>
      </c>
      <c r="L466" s="7" t="str">
        <f>HYPERLINK("http://slimages.macys.com/is/image/MCY/12849901 ")</f>
        <v xml:space="preserve">http://slimages.macys.com/is/image/MCY/12849901 </v>
      </c>
    </row>
    <row r="467" spans="1:12" ht="24.75" x14ac:dyDescent="0.25">
      <c r="A467" s="4" t="s">
        <v>4953</v>
      </c>
      <c r="B467" s="2" t="s">
        <v>1314</v>
      </c>
      <c r="C467" s="3">
        <v>1</v>
      </c>
      <c r="D467" s="5">
        <v>24.99</v>
      </c>
      <c r="E467" s="3">
        <v>100010068</v>
      </c>
      <c r="F467" s="2" t="s">
        <v>566</v>
      </c>
      <c r="G467" s="6" t="s">
        <v>58</v>
      </c>
      <c r="H467" s="2" t="s">
        <v>228</v>
      </c>
      <c r="I467" s="2" t="s">
        <v>863</v>
      </c>
      <c r="J467" s="2" t="s">
        <v>19</v>
      </c>
      <c r="K467" s="2" t="s">
        <v>1315</v>
      </c>
      <c r="L467" s="7" t="str">
        <f>HYPERLINK("http://slimages.macys.com/is/image/MCY/9190991 ")</f>
        <v xml:space="preserve">http://slimages.macys.com/is/image/MCY/9190991 </v>
      </c>
    </row>
    <row r="468" spans="1:12" ht="24.75" x14ac:dyDescent="0.25">
      <c r="A468" s="4" t="s">
        <v>1350</v>
      </c>
      <c r="B468" s="2" t="s">
        <v>1318</v>
      </c>
      <c r="C468" s="3">
        <v>2</v>
      </c>
      <c r="D468" s="5">
        <v>24.99</v>
      </c>
      <c r="E468" s="3" t="s">
        <v>1321</v>
      </c>
      <c r="F468" s="2" t="s">
        <v>506</v>
      </c>
      <c r="G468" s="6" t="s">
        <v>58</v>
      </c>
      <c r="H468" s="2" t="s">
        <v>228</v>
      </c>
      <c r="I468" s="2" t="s">
        <v>229</v>
      </c>
      <c r="J468" s="2" t="s">
        <v>19</v>
      </c>
      <c r="K468" s="2" t="s">
        <v>253</v>
      </c>
      <c r="L468" s="7" t="str">
        <f>HYPERLINK("http://slimages.macys.com/is/image/MCY/8296032 ")</f>
        <v xml:space="preserve">http://slimages.macys.com/is/image/MCY/8296032 </v>
      </c>
    </row>
    <row r="469" spans="1:12" ht="24.75" x14ac:dyDescent="0.25">
      <c r="A469" s="4" t="s">
        <v>2691</v>
      </c>
      <c r="B469" s="2" t="s">
        <v>1318</v>
      </c>
      <c r="C469" s="3">
        <v>1</v>
      </c>
      <c r="D469" s="5">
        <v>24.99</v>
      </c>
      <c r="E469" s="3" t="s">
        <v>1321</v>
      </c>
      <c r="F469" s="2" t="s">
        <v>506</v>
      </c>
      <c r="G469" s="6" t="s">
        <v>16</v>
      </c>
      <c r="H469" s="2" t="s">
        <v>228</v>
      </c>
      <c r="I469" s="2" t="s">
        <v>229</v>
      </c>
      <c r="J469" s="2" t="s">
        <v>19</v>
      </c>
      <c r="K469" s="2" t="s">
        <v>253</v>
      </c>
      <c r="L469" s="7" t="str">
        <f>HYPERLINK("http://slimages.macys.com/is/image/MCY/8296032 ")</f>
        <v xml:space="preserve">http://slimages.macys.com/is/image/MCY/8296032 </v>
      </c>
    </row>
    <row r="470" spans="1:12" ht="24.75" x14ac:dyDescent="0.25">
      <c r="A470" s="4" t="s">
        <v>3880</v>
      </c>
      <c r="B470" s="2" t="s">
        <v>1318</v>
      </c>
      <c r="C470" s="3">
        <v>2</v>
      </c>
      <c r="D470" s="5">
        <v>24.99</v>
      </c>
      <c r="E470" s="3" t="s">
        <v>1321</v>
      </c>
      <c r="F470" s="2" t="s">
        <v>506</v>
      </c>
      <c r="G470" s="6" t="s">
        <v>27</v>
      </c>
      <c r="H470" s="2" t="s">
        <v>228</v>
      </c>
      <c r="I470" s="2" t="s">
        <v>229</v>
      </c>
      <c r="J470" s="2" t="s">
        <v>19</v>
      </c>
      <c r="K470" s="2" t="s">
        <v>253</v>
      </c>
      <c r="L470" s="7" t="str">
        <f>HYPERLINK("http://slimages.macys.com/is/image/MCY/8296032 ")</f>
        <v xml:space="preserve">http://slimages.macys.com/is/image/MCY/8296032 </v>
      </c>
    </row>
    <row r="471" spans="1:12" ht="24.75" x14ac:dyDescent="0.25">
      <c r="A471" s="4" t="s">
        <v>4954</v>
      </c>
      <c r="B471" s="2" t="s">
        <v>1314</v>
      </c>
      <c r="C471" s="3">
        <v>1</v>
      </c>
      <c r="D471" s="5">
        <v>24.99</v>
      </c>
      <c r="E471" s="3">
        <v>100010068</v>
      </c>
      <c r="F471" s="2" t="s">
        <v>566</v>
      </c>
      <c r="G471" s="6" t="s">
        <v>27</v>
      </c>
      <c r="H471" s="2" t="s">
        <v>228</v>
      </c>
      <c r="I471" s="2" t="s">
        <v>863</v>
      </c>
      <c r="J471" s="2" t="s">
        <v>19</v>
      </c>
      <c r="K471" s="2" t="s">
        <v>1315</v>
      </c>
      <c r="L471" s="7" t="str">
        <f>HYPERLINK("http://slimages.macys.com/is/image/MCY/9190991 ")</f>
        <v xml:space="preserve">http://slimages.macys.com/is/image/MCY/9190991 </v>
      </c>
    </row>
    <row r="472" spans="1:12" ht="24.75" x14ac:dyDescent="0.25">
      <c r="A472" s="4" t="s">
        <v>1352</v>
      </c>
      <c r="B472" s="2" t="s">
        <v>1318</v>
      </c>
      <c r="C472" s="3">
        <v>1</v>
      </c>
      <c r="D472" s="5">
        <v>24.99</v>
      </c>
      <c r="E472" s="3" t="s">
        <v>1321</v>
      </c>
      <c r="F472" s="2" t="s">
        <v>506</v>
      </c>
      <c r="G472" s="6" t="s">
        <v>141</v>
      </c>
      <c r="H472" s="2" t="s">
        <v>228</v>
      </c>
      <c r="I472" s="2" t="s">
        <v>229</v>
      </c>
      <c r="J472" s="2" t="s">
        <v>19</v>
      </c>
      <c r="K472" s="2" t="s">
        <v>253</v>
      </c>
      <c r="L472" s="7" t="str">
        <f>HYPERLINK("http://slimages.macys.com/is/image/MCY/8296032 ")</f>
        <v xml:space="preserve">http://slimages.macys.com/is/image/MCY/8296032 </v>
      </c>
    </row>
    <row r="473" spans="1:12" ht="24.75" x14ac:dyDescent="0.25">
      <c r="A473" s="4" t="s">
        <v>4955</v>
      </c>
      <c r="B473" s="2" t="s">
        <v>1356</v>
      </c>
      <c r="C473" s="3">
        <v>1</v>
      </c>
      <c r="D473" s="5">
        <v>34.5</v>
      </c>
      <c r="E473" s="3" t="s">
        <v>4956</v>
      </c>
      <c r="F473" s="2" t="s">
        <v>111</v>
      </c>
      <c r="G473" s="6" t="s">
        <v>336</v>
      </c>
      <c r="H473" s="2" t="s">
        <v>426</v>
      </c>
      <c r="I473" s="2" t="s">
        <v>229</v>
      </c>
      <c r="J473" s="2" t="s">
        <v>19</v>
      </c>
      <c r="K473" s="2" t="s">
        <v>107</v>
      </c>
      <c r="L473" s="7" t="str">
        <f>HYPERLINK("http://slimages.macys.com/is/image/MCY/16355207 ")</f>
        <v xml:space="preserve">http://slimages.macys.com/is/image/MCY/16355207 </v>
      </c>
    </row>
    <row r="474" spans="1:12" ht="24.75" x14ac:dyDescent="0.25">
      <c r="A474" s="4" t="s">
        <v>4957</v>
      </c>
      <c r="B474" s="2" t="s">
        <v>1356</v>
      </c>
      <c r="C474" s="3">
        <v>1</v>
      </c>
      <c r="D474" s="5">
        <v>34.5</v>
      </c>
      <c r="E474" s="3">
        <v>100045813</v>
      </c>
      <c r="F474" s="2" t="s">
        <v>111</v>
      </c>
      <c r="G474" s="6" t="s">
        <v>106</v>
      </c>
      <c r="H474" s="2" t="s">
        <v>228</v>
      </c>
      <c r="I474" s="2" t="s">
        <v>229</v>
      </c>
      <c r="J474" s="2" t="s">
        <v>19</v>
      </c>
      <c r="K474" s="2" t="s">
        <v>353</v>
      </c>
      <c r="L474" s="7" t="str">
        <f>HYPERLINK("http://slimages.macys.com/is/image/MCY/11936020 ")</f>
        <v xml:space="preserve">http://slimages.macys.com/is/image/MCY/11936020 </v>
      </c>
    </row>
    <row r="475" spans="1:12" ht="24.75" x14ac:dyDescent="0.25">
      <c r="A475" s="4" t="s">
        <v>4958</v>
      </c>
      <c r="B475" s="2" t="s">
        <v>1318</v>
      </c>
      <c r="C475" s="3">
        <v>2</v>
      </c>
      <c r="D475" s="5">
        <v>24.99</v>
      </c>
      <c r="E475" s="3" t="s">
        <v>1321</v>
      </c>
      <c r="F475" s="2" t="s">
        <v>506</v>
      </c>
      <c r="G475" s="6" t="s">
        <v>65</v>
      </c>
      <c r="H475" s="2" t="s">
        <v>228</v>
      </c>
      <c r="I475" s="2" t="s">
        <v>229</v>
      </c>
      <c r="J475" s="2" t="s">
        <v>19</v>
      </c>
      <c r="K475" s="2" t="s">
        <v>253</v>
      </c>
      <c r="L475" s="7" t="str">
        <f>HYPERLINK("http://slimages.macys.com/is/image/MCY/8296032 ")</f>
        <v xml:space="preserve">http://slimages.macys.com/is/image/MCY/8296032 </v>
      </c>
    </row>
    <row r="476" spans="1:12" ht="24.75" x14ac:dyDescent="0.25">
      <c r="A476" s="4" t="s">
        <v>1367</v>
      </c>
      <c r="B476" s="2" t="s">
        <v>1365</v>
      </c>
      <c r="C476" s="3">
        <v>1</v>
      </c>
      <c r="D476" s="5">
        <v>37.130000000000003</v>
      </c>
      <c r="E476" s="3">
        <v>100065803</v>
      </c>
      <c r="F476" s="2" t="s">
        <v>15</v>
      </c>
      <c r="G476" s="6" t="s">
        <v>245</v>
      </c>
      <c r="H476" s="2" t="s">
        <v>194</v>
      </c>
      <c r="I476" s="2" t="s">
        <v>195</v>
      </c>
      <c r="J476" s="2" t="s">
        <v>19</v>
      </c>
      <c r="K476" s="2" t="s">
        <v>353</v>
      </c>
      <c r="L476" s="7" t="str">
        <f t="shared" ref="L476:L482" si="1">HYPERLINK("http://slimages.macys.com/is/image/MCY/12850008 ")</f>
        <v xml:space="preserve">http://slimages.macys.com/is/image/MCY/12850008 </v>
      </c>
    </row>
    <row r="477" spans="1:12" ht="24.75" x14ac:dyDescent="0.25">
      <c r="A477" s="4" t="s">
        <v>3887</v>
      </c>
      <c r="B477" s="2" t="s">
        <v>1365</v>
      </c>
      <c r="C477" s="3">
        <v>2</v>
      </c>
      <c r="D477" s="5">
        <v>37.130000000000003</v>
      </c>
      <c r="E477" s="3">
        <v>100065803</v>
      </c>
      <c r="F477" s="2" t="s">
        <v>74</v>
      </c>
      <c r="G477" s="6" t="s">
        <v>234</v>
      </c>
      <c r="H477" s="2" t="s">
        <v>194</v>
      </c>
      <c r="I477" s="2" t="s">
        <v>195</v>
      </c>
      <c r="J477" s="2" t="s">
        <v>19</v>
      </c>
      <c r="K477" s="2" t="s">
        <v>353</v>
      </c>
      <c r="L477" s="7" t="str">
        <f t="shared" si="1"/>
        <v xml:space="preserve">http://slimages.macys.com/is/image/MCY/12850008 </v>
      </c>
    </row>
    <row r="478" spans="1:12" ht="24.75" x14ac:dyDescent="0.25">
      <c r="A478" s="4" t="s">
        <v>1366</v>
      </c>
      <c r="B478" s="2" t="s">
        <v>1365</v>
      </c>
      <c r="C478" s="3">
        <v>1</v>
      </c>
      <c r="D478" s="5">
        <v>37.130000000000003</v>
      </c>
      <c r="E478" s="3">
        <v>100065803</v>
      </c>
      <c r="F478" s="2" t="s">
        <v>74</v>
      </c>
      <c r="G478" s="6" t="s">
        <v>200</v>
      </c>
      <c r="H478" s="2" t="s">
        <v>194</v>
      </c>
      <c r="I478" s="2" t="s">
        <v>195</v>
      </c>
      <c r="J478" s="2" t="s">
        <v>19</v>
      </c>
      <c r="K478" s="2" t="s">
        <v>353</v>
      </c>
      <c r="L478" s="7" t="str">
        <f t="shared" si="1"/>
        <v xml:space="preserve">http://slimages.macys.com/is/image/MCY/12850008 </v>
      </c>
    </row>
    <row r="479" spans="1:12" ht="24.75" x14ac:dyDescent="0.25">
      <c r="A479" s="4" t="s">
        <v>3888</v>
      </c>
      <c r="B479" s="2" t="s">
        <v>1365</v>
      </c>
      <c r="C479" s="3">
        <v>1</v>
      </c>
      <c r="D479" s="5">
        <v>37.130000000000003</v>
      </c>
      <c r="E479" s="3">
        <v>100065803</v>
      </c>
      <c r="F479" s="2" t="s">
        <v>74</v>
      </c>
      <c r="G479" s="6" t="s">
        <v>154</v>
      </c>
      <c r="H479" s="2" t="s">
        <v>194</v>
      </c>
      <c r="I479" s="2" t="s">
        <v>195</v>
      </c>
      <c r="J479" s="2" t="s">
        <v>19</v>
      </c>
      <c r="K479" s="2" t="s">
        <v>353</v>
      </c>
      <c r="L479" s="7" t="str">
        <f t="shared" si="1"/>
        <v xml:space="preserve">http://slimages.macys.com/is/image/MCY/12850008 </v>
      </c>
    </row>
    <row r="480" spans="1:12" ht="24.75" x14ac:dyDescent="0.25">
      <c r="A480" s="4" t="s">
        <v>4959</v>
      </c>
      <c r="B480" s="2" t="s">
        <v>1365</v>
      </c>
      <c r="C480" s="3">
        <v>1</v>
      </c>
      <c r="D480" s="5">
        <v>37.130000000000003</v>
      </c>
      <c r="E480" s="3">
        <v>100065803</v>
      </c>
      <c r="F480" s="2" t="s">
        <v>15</v>
      </c>
      <c r="G480" s="6" t="s">
        <v>154</v>
      </c>
      <c r="H480" s="2" t="s">
        <v>194</v>
      </c>
      <c r="I480" s="2" t="s">
        <v>195</v>
      </c>
      <c r="J480" s="2" t="s">
        <v>19</v>
      </c>
      <c r="K480" s="2" t="s">
        <v>353</v>
      </c>
      <c r="L480" s="7" t="str">
        <f t="shared" si="1"/>
        <v xml:space="preserve">http://slimages.macys.com/is/image/MCY/12850008 </v>
      </c>
    </row>
    <row r="481" spans="1:12" ht="24.75" x14ac:dyDescent="0.25">
      <c r="A481" s="4" t="s">
        <v>1369</v>
      </c>
      <c r="B481" s="2" t="s">
        <v>1365</v>
      </c>
      <c r="C481" s="3">
        <v>1</v>
      </c>
      <c r="D481" s="5">
        <v>37.130000000000003</v>
      </c>
      <c r="E481" s="3">
        <v>100065803</v>
      </c>
      <c r="F481" s="2" t="s">
        <v>15</v>
      </c>
      <c r="G481" s="6" t="s">
        <v>234</v>
      </c>
      <c r="H481" s="2" t="s">
        <v>194</v>
      </c>
      <c r="I481" s="2" t="s">
        <v>195</v>
      </c>
      <c r="J481" s="2" t="s">
        <v>19</v>
      </c>
      <c r="K481" s="2" t="s">
        <v>353</v>
      </c>
      <c r="L481" s="7" t="str">
        <f t="shared" si="1"/>
        <v xml:space="preserve">http://slimages.macys.com/is/image/MCY/12850008 </v>
      </c>
    </row>
    <row r="482" spans="1:12" ht="24.75" x14ac:dyDescent="0.25">
      <c r="A482" s="4" t="s">
        <v>1370</v>
      </c>
      <c r="B482" s="2" t="s">
        <v>1365</v>
      </c>
      <c r="C482" s="3">
        <v>2</v>
      </c>
      <c r="D482" s="5">
        <v>37.130000000000003</v>
      </c>
      <c r="E482" s="3">
        <v>100065803</v>
      </c>
      <c r="F482" s="2" t="s">
        <v>74</v>
      </c>
      <c r="G482" s="6" t="s">
        <v>156</v>
      </c>
      <c r="H482" s="2" t="s">
        <v>194</v>
      </c>
      <c r="I482" s="2" t="s">
        <v>195</v>
      </c>
      <c r="J482" s="2" t="s">
        <v>19</v>
      </c>
      <c r="K482" s="2" t="s">
        <v>353</v>
      </c>
      <c r="L482" s="7" t="str">
        <f t="shared" si="1"/>
        <v xml:space="preserve">http://slimages.macys.com/is/image/MCY/12850008 </v>
      </c>
    </row>
    <row r="483" spans="1:12" ht="24.75" x14ac:dyDescent="0.25">
      <c r="A483" s="4" t="s">
        <v>1377</v>
      </c>
      <c r="B483" s="2" t="s">
        <v>1330</v>
      </c>
      <c r="C483" s="3">
        <v>1</v>
      </c>
      <c r="D483" s="5">
        <v>37.130000000000003</v>
      </c>
      <c r="E483" s="3" t="s">
        <v>1331</v>
      </c>
      <c r="F483" s="2" t="s">
        <v>125</v>
      </c>
      <c r="G483" s="6" t="s">
        <v>154</v>
      </c>
      <c r="H483" s="2" t="s">
        <v>194</v>
      </c>
      <c r="I483" s="2" t="s">
        <v>195</v>
      </c>
      <c r="J483" s="2" t="s">
        <v>19</v>
      </c>
      <c r="K483" s="2" t="s">
        <v>247</v>
      </c>
      <c r="L483" s="7" t="str">
        <f>HYPERLINK("http://slimages.macys.com/is/image/MCY/10889638 ")</f>
        <v xml:space="preserve">http://slimages.macys.com/is/image/MCY/10889638 </v>
      </c>
    </row>
    <row r="484" spans="1:12" ht="24.75" x14ac:dyDescent="0.25">
      <c r="A484" s="4" t="s">
        <v>2712</v>
      </c>
      <c r="B484" s="2" t="s">
        <v>1381</v>
      </c>
      <c r="C484" s="3">
        <v>1</v>
      </c>
      <c r="D484" s="5">
        <v>37.130000000000003</v>
      </c>
      <c r="E484" s="3" t="s">
        <v>1382</v>
      </c>
      <c r="F484" s="2" t="s">
        <v>170</v>
      </c>
      <c r="G484" s="6" t="s">
        <v>245</v>
      </c>
      <c r="H484" s="2" t="s">
        <v>194</v>
      </c>
      <c r="I484" s="2" t="s">
        <v>195</v>
      </c>
      <c r="J484" s="2" t="s">
        <v>19</v>
      </c>
      <c r="K484" s="2" t="s">
        <v>247</v>
      </c>
      <c r="L484" s="7" t="str">
        <f>HYPERLINK("http://slimages.macys.com/is/image/MCY/12668006 ")</f>
        <v xml:space="preserve">http://slimages.macys.com/is/image/MCY/12668006 </v>
      </c>
    </row>
    <row r="485" spans="1:12" ht="24.75" x14ac:dyDescent="0.25">
      <c r="A485" s="4" t="s">
        <v>2711</v>
      </c>
      <c r="B485" s="2" t="s">
        <v>1381</v>
      </c>
      <c r="C485" s="3">
        <v>2</v>
      </c>
      <c r="D485" s="5">
        <v>37.130000000000003</v>
      </c>
      <c r="E485" s="3" t="s">
        <v>1382</v>
      </c>
      <c r="F485" s="2" t="s">
        <v>170</v>
      </c>
      <c r="G485" s="6" t="s">
        <v>154</v>
      </c>
      <c r="H485" s="2" t="s">
        <v>194</v>
      </c>
      <c r="I485" s="2" t="s">
        <v>195</v>
      </c>
      <c r="J485" s="2" t="s">
        <v>19</v>
      </c>
      <c r="K485" s="2" t="s">
        <v>247</v>
      </c>
      <c r="L485" s="7" t="str">
        <f>HYPERLINK("http://slimages.macys.com/is/image/MCY/12668006 ")</f>
        <v xml:space="preserve">http://slimages.macys.com/is/image/MCY/12668006 </v>
      </c>
    </row>
    <row r="486" spans="1:12" ht="24.75" x14ac:dyDescent="0.25">
      <c r="A486" s="4" t="s">
        <v>4960</v>
      </c>
      <c r="B486" s="2" t="s">
        <v>1373</v>
      </c>
      <c r="C486" s="3">
        <v>1</v>
      </c>
      <c r="D486" s="5">
        <v>37.130000000000003</v>
      </c>
      <c r="E486" s="3" t="s">
        <v>1374</v>
      </c>
      <c r="F486" s="2" t="s">
        <v>125</v>
      </c>
      <c r="G486" s="6" t="s">
        <v>234</v>
      </c>
      <c r="H486" s="2" t="s">
        <v>194</v>
      </c>
      <c r="I486" s="2" t="s">
        <v>195</v>
      </c>
      <c r="J486" s="2" t="s">
        <v>19</v>
      </c>
      <c r="K486" s="2" t="s">
        <v>247</v>
      </c>
      <c r="L486" s="7" t="str">
        <f>HYPERLINK("http://slimages.macys.com/is/image/MCY/12034795 ")</f>
        <v xml:space="preserve">http://slimages.macys.com/is/image/MCY/12034795 </v>
      </c>
    </row>
    <row r="487" spans="1:12" ht="24.75" x14ac:dyDescent="0.25">
      <c r="A487" s="4" t="s">
        <v>1379</v>
      </c>
      <c r="B487" s="2" t="s">
        <v>1330</v>
      </c>
      <c r="C487" s="3">
        <v>1</v>
      </c>
      <c r="D487" s="5">
        <v>37.130000000000003</v>
      </c>
      <c r="E487" s="3" t="s">
        <v>1331</v>
      </c>
      <c r="F487" s="2" t="s">
        <v>125</v>
      </c>
      <c r="G487" s="6" t="s">
        <v>245</v>
      </c>
      <c r="H487" s="2" t="s">
        <v>194</v>
      </c>
      <c r="I487" s="2" t="s">
        <v>195</v>
      </c>
      <c r="J487" s="2" t="s">
        <v>19</v>
      </c>
      <c r="K487" s="2" t="s">
        <v>247</v>
      </c>
      <c r="L487" s="7" t="str">
        <f>HYPERLINK("http://slimages.macys.com/is/image/MCY/10889638 ")</f>
        <v xml:space="preserve">http://slimages.macys.com/is/image/MCY/10889638 </v>
      </c>
    </row>
    <row r="488" spans="1:12" ht="24.75" x14ac:dyDescent="0.25">
      <c r="A488" s="4" t="s">
        <v>1383</v>
      </c>
      <c r="B488" s="2" t="s">
        <v>1381</v>
      </c>
      <c r="C488" s="3">
        <v>3</v>
      </c>
      <c r="D488" s="5">
        <v>37.130000000000003</v>
      </c>
      <c r="E488" s="3" t="s">
        <v>1382</v>
      </c>
      <c r="F488" s="2" t="s">
        <v>170</v>
      </c>
      <c r="G488" s="6" t="s">
        <v>156</v>
      </c>
      <c r="H488" s="2" t="s">
        <v>194</v>
      </c>
      <c r="I488" s="2" t="s">
        <v>195</v>
      </c>
      <c r="J488" s="2" t="s">
        <v>19</v>
      </c>
      <c r="K488" s="2" t="s">
        <v>247</v>
      </c>
      <c r="L488" s="7" t="str">
        <f>HYPERLINK("http://slimages.macys.com/is/image/MCY/12668006 ")</f>
        <v xml:space="preserve">http://slimages.macys.com/is/image/MCY/12668006 </v>
      </c>
    </row>
    <row r="489" spans="1:12" ht="36.75" x14ac:dyDescent="0.25">
      <c r="A489" s="4" t="s">
        <v>4961</v>
      </c>
      <c r="B489" s="2" t="s">
        <v>1388</v>
      </c>
      <c r="C489" s="3">
        <v>2</v>
      </c>
      <c r="D489" s="5">
        <v>29.63</v>
      </c>
      <c r="E489" s="3" t="s">
        <v>1389</v>
      </c>
      <c r="F489" s="2" t="s">
        <v>111</v>
      </c>
      <c r="G489" s="6" t="s">
        <v>234</v>
      </c>
      <c r="H489" s="2" t="s">
        <v>194</v>
      </c>
      <c r="I489" s="2" t="s">
        <v>195</v>
      </c>
      <c r="J489" s="2" t="s">
        <v>19</v>
      </c>
      <c r="K489" s="2" t="s">
        <v>1390</v>
      </c>
      <c r="L489" s="7" t="str">
        <f>HYPERLINK("http://slimages.macys.com/is/image/MCY/12734335 ")</f>
        <v xml:space="preserve">http://slimages.macys.com/is/image/MCY/12734335 </v>
      </c>
    </row>
    <row r="490" spans="1:12" ht="36.75" x14ac:dyDescent="0.25">
      <c r="A490" s="4" t="s">
        <v>2713</v>
      </c>
      <c r="B490" s="2" t="s">
        <v>1388</v>
      </c>
      <c r="C490" s="3">
        <v>1</v>
      </c>
      <c r="D490" s="5">
        <v>29.63</v>
      </c>
      <c r="E490" s="3" t="s">
        <v>1389</v>
      </c>
      <c r="F490" s="2" t="s">
        <v>111</v>
      </c>
      <c r="G490" s="6" t="s">
        <v>245</v>
      </c>
      <c r="H490" s="2" t="s">
        <v>194</v>
      </c>
      <c r="I490" s="2" t="s">
        <v>195</v>
      </c>
      <c r="J490" s="2" t="s">
        <v>19</v>
      </c>
      <c r="K490" s="2" t="s">
        <v>1390</v>
      </c>
      <c r="L490" s="7" t="str">
        <f>HYPERLINK("http://slimages.macys.com/is/image/MCY/12734335 ")</f>
        <v xml:space="preserve">http://slimages.macys.com/is/image/MCY/12734335 </v>
      </c>
    </row>
    <row r="491" spans="1:12" ht="36.75" x14ac:dyDescent="0.25">
      <c r="A491" s="4" t="s">
        <v>4962</v>
      </c>
      <c r="B491" s="2" t="s">
        <v>2351</v>
      </c>
      <c r="C491" s="3">
        <v>1</v>
      </c>
      <c r="D491" s="5">
        <v>29.63</v>
      </c>
      <c r="E491" s="3" t="s">
        <v>4963</v>
      </c>
      <c r="F491" s="2" t="s">
        <v>752</v>
      </c>
      <c r="G491" s="6" t="s">
        <v>234</v>
      </c>
      <c r="H491" s="2" t="s">
        <v>194</v>
      </c>
      <c r="I491" s="2" t="s">
        <v>195</v>
      </c>
      <c r="J491" s="2" t="s">
        <v>19</v>
      </c>
      <c r="K491" s="2" t="s">
        <v>1390</v>
      </c>
      <c r="L491" s="7" t="str">
        <f>HYPERLINK("http://slimages.macys.com/is/image/MCY/12950203 ")</f>
        <v xml:space="preserve">http://slimages.macys.com/is/image/MCY/12950203 </v>
      </c>
    </row>
    <row r="492" spans="1:12" ht="24.75" x14ac:dyDescent="0.25">
      <c r="A492" s="4" t="s">
        <v>4964</v>
      </c>
      <c r="B492" s="2" t="s">
        <v>4965</v>
      </c>
      <c r="C492" s="3">
        <v>1</v>
      </c>
      <c r="D492" s="5">
        <v>29.6</v>
      </c>
      <c r="E492" s="3">
        <v>100028796</v>
      </c>
      <c r="F492" s="2" t="s">
        <v>33</v>
      </c>
      <c r="G492" s="6" t="s">
        <v>156</v>
      </c>
      <c r="H492" s="2" t="s">
        <v>194</v>
      </c>
      <c r="I492" s="2" t="s">
        <v>195</v>
      </c>
      <c r="J492" s="2" t="s">
        <v>19</v>
      </c>
      <c r="K492" s="2" t="s">
        <v>4966</v>
      </c>
      <c r="L492" s="7" t="str">
        <f>HYPERLINK("http://slimages.macys.com/is/image/MCY/9662541 ")</f>
        <v xml:space="preserve">http://slimages.macys.com/is/image/MCY/9662541 </v>
      </c>
    </row>
    <row r="493" spans="1:12" ht="24.75" x14ac:dyDescent="0.25">
      <c r="A493" s="4" t="s">
        <v>4967</v>
      </c>
      <c r="B493" s="2" t="s">
        <v>4968</v>
      </c>
      <c r="C493" s="3">
        <v>1</v>
      </c>
      <c r="D493" s="5">
        <v>37.130000000000003</v>
      </c>
      <c r="E493" s="3" t="s">
        <v>4969</v>
      </c>
      <c r="F493" s="2" t="s">
        <v>15</v>
      </c>
      <c r="G493" s="6" t="s">
        <v>154</v>
      </c>
      <c r="H493" s="2" t="s">
        <v>246</v>
      </c>
      <c r="I493" s="2" t="s">
        <v>189</v>
      </c>
      <c r="J493" s="2" t="s">
        <v>19</v>
      </c>
      <c r="K493" s="2" t="s">
        <v>4970</v>
      </c>
      <c r="L493" s="7" t="str">
        <f>HYPERLINK("http://slimages.macys.com/is/image/MCY/11996174 ")</f>
        <v xml:space="preserve">http://slimages.macys.com/is/image/MCY/11996174 </v>
      </c>
    </row>
    <row r="494" spans="1:12" ht="24.75" x14ac:dyDescent="0.25">
      <c r="A494" s="4" t="s">
        <v>4971</v>
      </c>
      <c r="B494" s="2" t="s">
        <v>1381</v>
      </c>
      <c r="C494" s="3">
        <v>1</v>
      </c>
      <c r="D494" s="5">
        <v>37.130000000000003</v>
      </c>
      <c r="E494" s="3" t="s">
        <v>4972</v>
      </c>
      <c r="F494" s="2" t="s">
        <v>26</v>
      </c>
      <c r="G494" s="6"/>
      <c r="H494" s="2" t="s">
        <v>312</v>
      </c>
      <c r="I494" s="2" t="s">
        <v>195</v>
      </c>
      <c r="J494" s="2" t="s">
        <v>19</v>
      </c>
      <c r="K494" s="2" t="s">
        <v>247</v>
      </c>
      <c r="L494" s="7" t="str">
        <f>HYPERLINK("http://slimages.macys.com/is/image/MCY/12734402 ")</f>
        <v xml:space="preserve">http://slimages.macys.com/is/image/MCY/12734402 </v>
      </c>
    </row>
    <row r="495" spans="1:12" ht="24.75" x14ac:dyDescent="0.25">
      <c r="A495" s="4" t="s">
        <v>4973</v>
      </c>
      <c r="B495" s="2" t="s">
        <v>1397</v>
      </c>
      <c r="C495" s="3">
        <v>1</v>
      </c>
      <c r="D495" s="5">
        <v>29.63</v>
      </c>
      <c r="E495" s="3" t="s">
        <v>4974</v>
      </c>
      <c r="F495" s="2" t="s">
        <v>15</v>
      </c>
      <c r="G495" s="6"/>
      <c r="H495" s="2" t="s">
        <v>312</v>
      </c>
      <c r="I495" s="2" t="s">
        <v>1398</v>
      </c>
      <c r="J495" s="2"/>
      <c r="K495" s="2"/>
      <c r="L495" s="7" t="str">
        <f>HYPERLINK("http://slimages.macys.com/is/image/MCY/9504703 ")</f>
        <v xml:space="preserve">http://slimages.macys.com/is/image/MCY/9504703 </v>
      </c>
    </row>
    <row r="496" spans="1:12" ht="24.75" x14ac:dyDescent="0.25">
      <c r="A496" s="4" t="s">
        <v>4975</v>
      </c>
      <c r="B496" s="2" t="s">
        <v>1402</v>
      </c>
      <c r="C496" s="3">
        <v>2</v>
      </c>
      <c r="D496" s="5">
        <v>37.130000000000003</v>
      </c>
      <c r="E496" s="3" t="s">
        <v>1403</v>
      </c>
      <c r="F496" s="2" t="s">
        <v>376</v>
      </c>
      <c r="G496" s="6" t="s">
        <v>934</v>
      </c>
      <c r="H496" s="2" t="s">
        <v>312</v>
      </c>
      <c r="I496" s="2" t="s">
        <v>195</v>
      </c>
      <c r="J496" s="2" t="s">
        <v>19</v>
      </c>
      <c r="K496" s="2" t="s">
        <v>353</v>
      </c>
      <c r="L496" s="7" t="str">
        <f>HYPERLINK("http://slimages.macys.com/is/image/MCY/11934909 ")</f>
        <v xml:space="preserve">http://slimages.macys.com/is/image/MCY/11934909 </v>
      </c>
    </row>
    <row r="497" spans="1:12" ht="24.75" x14ac:dyDescent="0.25">
      <c r="A497" s="4" t="s">
        <v>1406</v>
      </c>
      <c r="B497" s="2" t="s">
        <v>1405</v>
      </c>
      <c r="C497" s="3">
        <v>1</v>
      </c>
      <c r="D497" s="5">
        <v>34.880000000000003</v>
      </c>
      <c r="E497" s="3">
        <v>100042372</v>
      </c>
      <c r="F497" s="2" t="s">
        <v>94</v>
      </c>
      <c r="G497" s="6" t="s">
        <v>141</v>
      </c>
      <c r="H497" s="2" t="s">
        <v>194</v>
      </c>
      <c r="I497" s="2" t="s">
        <v>195</v>
      </c>
      <c r="J497" s="2" t="s">
        <v>19</v>
      </c>
      <c r="K497" s="2" t="s">
        <v>353</v>
      </c>
      <c r="L497" s="7" t="str">
        <f t="shared" ref="L497:L502" si="2">HYPERLINK("http://slimages.macys.com/is/image/MCY/11935225 ")</f>
        <v xml:space="preserve">http://slimages.macys.com/is/image/MCY/11935225 </v>
      </c>
    </row>
    <row r="498" spans="1:12" ht="24.75" x14ac:dyDescent="0.25">
      <c r="A498" s="4" t="s">
        <v>4976</v>
      </c>
      <c r="B498" s="2" t="s">
        <v>1405</v>
      </c>
      <c r="C498" s="3">
        <v>2</v>
      </c>
      <c r="D498" s="5">
        <v>34.880000000000003</v>
      </c>
      <c r="E498" s="3">
        <v>100042372</v>
      </c>
      <c r="F498" s="2" t="s">
        <v>676</v>
      </c>
      <c r="G498" s="6" t="s">
        <v>112</v>
      </c>
      <c r="H498" s="2" t="s">
        <v>194</v>
      </c>
      <c r="I498" s="2" t="s">
        <v>195</v>
      </c>
      <c r="J498" s="2" t="s">
        <v>19</v>
      </c>
      <c r="K498" s="2" t="s">
        <v>353</v>
      </c>
      <c r="L498" s="7" t="str">
        <f t="shared" si="2"/>
        <v xml:space="preserve">http://slimages.macys.com/is/image/MCY/11935225 </v>
      </c>
    </row>
    <row r="499" spans="1:12" ht="24.75" x14ac:dyDescent="0.25">
      <c r="A499" s="4" t="s">
        <v>2723</v>
      </c>
      <c r="B499" s="2" t="s">
        <v>1405</v>
      </c>
      <c r="C499" s="3">
        <v>1</v>
      </c>
      <c r="D499" s="5">
        <v>34.880000000000003</v>
      </c>
      <c r="E499" s="3">
        <v>100042372</v>
      </c>
      <c r="F499" s="2" t="s">
        <v>676</v>
      </c>
      <c r="G499" s="6" t="s">
        <v>22</v>
      </c>
      <c r="H499" s="2" t="s">
        <v>194</v>
      </c>
      <c r="I499" s="2" t="s">
        <v>195</v>
      </c>
      <c r="J499" s="2" t="s">
        <v>19</v>
      </c>
      <c r="K499" s="2" t="s">
        <v>353</v>
      </c>
      <c r="L499" s="7" t="str">
        <f t="shared" si="2"/>
        <v xml:space="preserve">http://slimages.macys.com/is/image/MCY/11935225 </v>
      </c>
    </row>
    <row r="500" spans="1:12" ht="24.75" x14ac:dyDescent="0.25">
      <c r="A500" s="4" t="s">
        <v>4977</v>
      </c>
      <c r="B500" s="2" t="s">
        <v>1405</v>
      </c>
      <c r="C500" s="3">
        <v>1</v>
      </c>
      <c r="D500" s="5">
        <v>34.880000000000003</v>
      </c>
      <c r="E500" s="3">
        <v>100042372</v>
      </c>
      <c r="F500" s="2" t="s">
        <v>94</v>
      </c>
      <c r="G500" s="6" t="s">
        <v>112</v>
      </c>
      <c r="H500" s="2" t="s">
        <v>194</v>
      </c>
      <c r="I500" s="2" t="s">
        <v>195</v>
      </c>
      <c r="J500" s="2" t="s">
        <v>19</v>
      </c>
      <c r="K500" s="2" t="s">
        <v>353</v>
      </c>
      <c r="L500" s="7" t="str">
        <f t="shared" si="2"/>
        <v xml:space="preserve">http://slimages.macys.com/is/image/MCY/11935225 </v>
      </c>
    </row>
    <row r="501" spans="1:12" ht="24.75" x14ac:dyDescent="0.25">
      <c r="A501" s="4" t="s">
        <v>4978</v>
      </c>
      <c r="B501" s="2" t="s">
        <v>1405</v>
      </c>
      <c r="C501" s="3">
        <v>3</v>
      </c>
      <c r="D501" s="5">
        <v>34.880000000000003</v>
      </c>
      <c r="E501" s="3">
        <v>100042372</v>
      </c>
      <c r="F501" s="2" t="s">
        <v>94</v>
      </c>
      <c r="G501" s="6" t="s">
        <v>27</v>
      </c>
      <c r="H501" s="2" t="s">
        <v>194</v>
      </c>
      <c r="I501" s="2" t="s">
        <v>195</v>
      </c>
      <c r="J501" s="2" t="s">
        <v>19</v>
      </c>
      <c r="K501" s="2" t="s">
        <v>353</v>
      </c>
      <c r="L501" s="7" t="str">
        <f t="shared" si="2"/>
        <v xml:space="preserve">http://slimages.macys.com/is/image/MCY/11935225 </v>
      </c>
    </row>
    <row r="502" spans="1:12" ht="24.75" x14ac:dyDescent="0.25">
      <c r="A502" s="4" t="s">
        <v>4979</v>
      </c>
      <c r="B502" s="2" t="s">
        <v>1405</v>
      </c>
      <c r="C502" s="3">
        <v>1</v>
      </c>
      <c r="D502" s="5">
        <v>34.880000000000003</v>
      </c>
      <c r="E502" s="3">
        <v>100042372</v>
      </c>
      <c r="F502" s="2" t="s">
        <v>94</v>
      </c>
      <c r="G502" s="6" t="s">
        <v>106</v>
      </c>
      <c r="H502" s="2" t="s">
        <v>194</v>
      </c>
      <c r="I502" s="2" t="s">
        <v>195</v>
      </c>
      <c r="J502" s="2" t="s">
        <v>19</v>
      </c>
      <c r="K502" s="2" t="s">
        <v>353</v>
      </c>
      <c r="L502" s="7" t="str">
        <f t="shared" si="2"/>
        <v xml:space="preserve">http://slimages.macys.com/is/image/MCY/11935225 </v>
      </c>
    </row>
    <row r="503" spans="1:12" ht="24.75" x14ac:dyDescent="0.25">
      <c r="A503" s="4" t="s">
        <v>4980</v>
      </c>
      <c r="B503" s="2" t="s">
        <v>3913</v>
      </c>
      <c r="C503" s="3">
        <v>1</v>
      </c>
      <c r="D503" s="5">
        <v>29.63</v>
      </c>
      <c r="E503" s="3" t="s">
        <v>3914</v>
      </c>
      <c r="F503" s="2" t="s">
        <v>15</v>
      </c>
      <c r="G503" s="6" t="s">
        <v>156</v>
      </c>
      <c r="H503" s="2" t="s">
        <v>194</v>
      </c>
      <c r="I503" s="2" t="s">
        <v>195</v>
      </c>
      <c r="J503" s="2" t="s">
        <v>19</v>
      </c>
      <c r="K503" s="2" t="s">
        <v>201</v>
      </c>
      <c r="L503" s="7" t="str">
        <f>HYPERLINK("http://slimages.macys.com/is/image/MCY/12404902 ")</f>
        <v xml:space="preserve">http://slimages.macys.com/is/image/MCY/12404902 </v>
      </c>
    </row>
    <row r="504" spans="1:12" ht="24.75" x14ac:dyDescent="0.25">
      <c r="A504" s="4" t="s">
        <v>4981</v>
      </c>
      <c r="B504" s="2" t="s">
        <v>2729</v>
      </c>
      <c r="C504" s="3">
        <v>1</v>
      </c>
      <c r="D504" s="5">
        <v>33.380000000000003</v>
      </c>
      <c r="E504" s="3" t="s">
        <v>2730</v>
      </c>
      <c r="F504" s="2" t="s">
        <v>26</v>
      </c>
      <c r="G504" s="6" t="s">
        <v>234</v>
      </c>
      <c r="H504" s="2" t="s">
        <v>194</v>
      </c>
      <c r="I504" s="2" t="s">
        <v>195</v>
      </c>
      <c r="J504" s="2" t="s">
        <v>19</v>
      </c>
      <c r="K504" s="2" t="s">
        <v>990</v>
      </c>
      <c r="L504" s="7" t="str">
        <f>HYPERLINK("http://slimages.macys.com/is/image/MCY/12734313 ")</f>
        <v xml:space="preserve">http://slimages.macys.com/is/image/MCY/12734313 </v>
      </c>
    </row>
    <row r="505" spans="1:12" ht="24.75" x14ac:dyDescent="0.25">
      <c r="A505" s="4" t="s">
        <v>4982</v>
      </c>
      <c r="B505" s="2" t="s">
        <v>2729</v>
      </c>
      <c r="C505" s="3">
        <v>1</v>
      </c>
      <c r="D505" s="5">
        <v>33.380000000000003</v>
      </c>
      <c r="E505" s="3" t="s">
        <v>2730</v>
      </c>
      <c r="F505" s="2" t="s">
        <v>26</v>
      </c>
      <c r="G505" s="6" t="s">
        <v>154</v>
      </c>
      <c r="H505" s="2" t="s">
        <v>194</v>
      </c>
      <c r="I505" s="2" t="s">
        <v>195</v>
      </c>
      <c r="J505" s="2" t="s">
        <v>19</v>
      </c>
      <c r="K505" s="2" t="s">
        <v>990</v>
      </c>
      <c r="L505" s="7" t="str">
        <f>HYPERLINK("http://slimages.macys.com/is/image/MCY/12734313 ")</f>
        <v xml:space="preserve">http://slimages.macys.com/is/image/MCY/12734313 </v>
      </c>
    </row>
    <row r="506" spans="1:12" ht="24.75" x14ac:dyDescent="0.25">
      <c r="A506" s="4" t="s">
        <v>3915</v>
      </c>
      <c r="B506" s="2" t="s">
        <v>3913</v>
      </c>
      <c r="C506" s="3">
        <v>1</v>
      </c>
      <c r="D506" s="5">
        <v>29.63</v>
      </c>
      <c r="E506" s="3" t="s">
        <v>3914</v>
      </c>
      <c r="F506" s="2" t="s">
        <v>125</v>
      </c>
      <c r="G506" s="6" t="s">
        <v>181</v>
      </c>
      <c r="H506" s="2" t="s">
        <v>194</v>
      </c>
      <c r="I506" s="2" t="s">
        <v>195</v>
      </c>
      <c r="J506" s="2" t="s">
        <v>19</v>
      </c>
      <c r="K506" s="2" t="s">
        <v>201</v>
      </c>
      <c r="L506" s="7" t="str">
        <f>HYPERLINK("http://slimages.macys.com/is/image/MCY/12404902 ")</f>
        <v xml:space="preserve">http://slimages.macys.com/is/image/MCY/12404902 </v>
      </c>
    </row>
    <row r="507" spans="1:12" ht="36.75" x14ac:dyDescent="0.25">
      <c r="A507" s="4" t="s">
        <v>4983</v>
      </c>
      <c r="B507" s="2" t="s">
        <v>4984</v>
      </c>
      <c r="C507" s="3">
        <v>1</v>
      </c>
      <c r="D507" s="5">
        <v>25.88</v>
      </c>
      <c r="E507" s="3" t="s">
        <v>4985</v>
      </c>
      <c r="F507" s="2" t="s">
        <v>26</v>
      </c>
      <c r="G507" s="6" t="s">
        <v>156</v>
      </c>
      <c r="H507" s="2" t="s">
        <v>194</v>
      </c>
      <c r="I507" s="2" t="s">
        <v>195</v>
      </c>
      <c r="J507" s="2" t="s">
        <v>19</v>
      </c>
      <c r="K507" s="2" t="s">
        <v>4986</v>
      </c>
      <c r="L507" s="7" t="str">
        <f>HYPERLINK("http://slimages.macys.com/is/image/MCY/15522889 ")</f>
        <v xml:space="preserve">http://slimages.macys.com/is/image/MCY/15522889 </v>
      </c>
    </row>
    <row r="508" spans="1:12" ht="24.75" x14ac:dyDescent="0.25">
      <c r="A508" s="4" t="s">
        <v>4987</v>
      </c>
      <c r="B508" s="2" t="s">
        <v>1444</v>
      </c>
      <c r="C508" s="3">
        <v>1</v>
      </c>
      <c r="D508" s="5">
        <v>34.880000000000003</v>
      </c>
      <c r="E508" s="3">
        <v>100042376</v>
      </c>
      <c r="F508" s="2" t="s">
        <v>136</v>
      </c>
      <c r="G508" s="6" t="s">
        <v>22</v>
      </c>
      <c r="H508" s="2" t="s">
        <v>194</v>
      </c>
      <c r="I508" s="2" t="s">
        <v>195</v>
      </c>
      <c r="J508" s="2" t="s">
        <v>19</v>
      </c>
      <c r="K508" s="2" t="s">
        <v>353</v>
      </c>
      <c r="L508" s="7" t="str">
        <f>HYPERLINK("http://slimages.macys.com/is/image/MCY/11764758 ")</f>
        <v xml:space="preserve">http://slimages.macys.com/is/image/MCY/11764758 </v>
      </c>
    </row>
    <row r="509" spans="1:12" ht="24.75" x14ac:dyDescent="0.25">
      <c r="A509" s="4" t="s">
        <v>4988</v>
      </c>
      <c r="B509" s="2" t="s">
        <v>1413</v>
      </c>
      <c r="C509" s="3">
        <v>1</v>
      </c>
      <c r="D509" s="5">
        <v>29.5</v>
      </c>
      <c r="E509" s="3" t="s">
        <v>1414</v>
      </c>
      <c r="F509" s="2" t="s">
        <v>79</v>
      </c>
      <c r="G509" s="6" t="s">
        <v>234</v>
      </c>
      <c r="H509" s="2" t="s">
        <v>194</v>
      </c>
      <c r="I509" s="2" t="s">
        <v>195</v>
      </c>
      <c r="J509" s="2" t="s">
        <v>19</v>
      </c>
      <c r="K509" s="2" t="s">
        <v>247</v>
      </c>
      <c r="L509" s="7" t="str">
        <f>HYPERLINK("http://slimages.macys.com/is/image/MCY/12063860 ")</f>
        <v xml:space="preserve">http://slimages.macys.com/is/image/MCY/12063860 </v>
      </c>
    </row>
    <row r="510" spans="1:12" ht="24.75" x14ac:dyDescent="0.25">
      <c r="A510" s="4" t="s">
        <v>4989</v>
      </c>
      <c r="B510" s="2" t="s">
        <v>1416</v>
      </c>
      <c r="C510" s="3">
        <v>1</v>
      </c>
      <c r="D510" s="5">
        <v>21.99</v>
      </c>
      <c r="E510" s="3" t="s">
        <v>4990</v>
      </c>
      <c r="F510" s="2" t="s">
        <v>506</v>
      </c>
      <c r="G510" s="6" t="s">
        <v>205</v>
      </c>
      <c r="H510" s="2" t="s">
        <v>312</v>
      </c>
      <c r="I510" s="2" t="s">
        <v>195</v>
      </c>
      <c r="J510" s="2" t="s">
        <v>19</v>
      </c>
      <c r="K510" s="2" t="s">
        <v>353</v>
      </c>
      <c r="L510" s="7" t="str">
        <f>HYPERLINK("http://slimages.macys.com/is/image/MCY/16058397 ")</f>
        <v xml:space="preserve">http://slimages.macys.com/is/image/MCY/16058397 </v>
      </c>
    </row>
    <row r="511" spans="1:12" ht="24.75" x14ac:dyDescent="0.25">
      <c r="A511" s="4" t="s">
        <v>4991</v>
      </c>
      <c r="B511" s="2" t="s">
        <v>2734</v>
      </c>
      <c r="C511" s="3">
        <v>1</v>
      </c>
      <c r="D511" s="5">
        <v>29.63</v>
      </c>
      <c r="E511" s="3" t="s">
        <v>2735</v>
      </c>
      <c r="F511" s="2" t="s">
        <v>125</v>
      </c>
      <c r="G511" s="6" t="s">
        <v>181</v>
      </c>
      <c r="H511" s="2" t="s">
        <v>194</v>
      </c>
      <c r="I511" s="2" t="s">
        <v>195</v>
      </c>
      <c r="J511" s="2" t="s">
        <v>19</v>
      </c>
      <c r="K511" s="2" t="s">
        <v>137</v>
      </c>
      <c r="L511" s="7" t="str">
        <f>HYPERLINK("http://slimages.macys.com/is/image/MCY/12279918 ")</f>
        <v xml:space="preserve">http://slimages.macys.com/is/image/MCY/12279918 </v>
      </c>
    </row>
    <row r="512" spans="1:12" ht="24.75" x14ac:dyDescent="0.25">
      <c r="A512" s="4" t="s">
        <v>1436</v>
      </c>
      <c r="B512" s="2" t="s">
        <v>1423</v>
      </c>
      <c r="C512" s="3">
        <v>1</v>
      </c>
      <c r="D512" s="5">
        <v>24.99</v>
      </c>
      <c r="E512" s="3" t="s">
        <v>1424</v>
      </c>
      <c r="F512" s="2" t="s">
        <v>252</v>
      </c>
      <c r="G512" s="6"/>
      <c r="H512" s="2" t="s">
        <v>1425</v>
      </c>
      <c r="I512" s="2" t="s">
        <v>1426</v>
      </c>
      <c r="J512" s="2" t="s">
        <v>19</v>
      </c>
      <c r="K512" s="2" t="s">
        <v>1427</v>
      </c>
      <c r="L512" s="7" t="str">
        <f>HYPERLINK("http://slimages.macys.com/is/image/MCY/11774672 ")</f>
        <v xml:space="preserve">http://slimages.macys.com/is/image/MCY/11774672 </v>
      </c>
    </row>
    <row r="513" spans="1:12" ht="24.75" x14ac:dyDescent="0.25">
      <c r="A513" s="4" t="s">
        <v>4992</v>
      </c>
      <c r="B513" s="2" t="s">
        <v>1444</v>
      </c>
      <c r="C513" s="3">
        <v>1</v>
      </c>
      <c r="D513" s="5">
        <v>34.880000000000003</v>
      </c>
      <c r="E513" s="3">
        <v>100042376</v>
      </c>
      <c r="F513" s="2" t="s">
        <v>257</v>
      </c>
      <c r="G513" s="6" t="s">
        <v>58</v>
      </c>
      <c r="H513" s="2" t="s">
        <v>194</v>
      </c>
      <c r="I513" s="2" t="s">
        <v>195</v>
      </c>
      <c r="J513" s="2" t="s">
        <v>19</v>
      </c>
      <c r="K513" s="2" t="s">
        <v>353</v>
      </c>
      <c r="L513" s="7" t="str">
        <f>HYPERLINK("http://slimages.macys.com/is/image/MCY/11764758 ")</f>
        <v xml:space="preserve">http://slimages.macys.com/is/image/MCY/11764758 </v>
      </c>
    </row>
    <row r="514" spans="1:12" ht="24.75" x14ac:dyDescent="0.25">
      <c r="A514" s="4" t="s">
        <v>3920</v>
      </c>
      <c r="B514" s="2" t="s">
        <v>1416</v>
      </c>
      <c r="C514" s="3">
        <v>1</v>
      </c>
      <c r="D514" s="5">
        <v>21.99</v>
      </c>
      <c r="E514" s="3" t="s">
        <v>1451</v>
      </c>
      <c r="F514" s="2" t="s">
        <v>79</v>
      </c>
      <c r="G514" s="6" t="s">
        <v>16</v>
      </c>
      <c r="H514" s="2" t="s">
        <v>194</v>
      </c>
      <c r="I514" s="2" t="s">
        <v>195</v>
      </c>
      <c r="J514" s="2" t="s">
        <v>19</v>
      </c>
      <c r="K514" s="2" t="s">
        <v>353</v>
      </c>
      <c r="L514" s="7" t="str">
        <f>HYPERLINK("http://slimages.macys.com/is/image/MCY/12033149 ")</f>
        <v xml:space="preserve">http://slimages.macys.com/is/image/MCY/12033149 </v>
      </c>
    </row>
    <row r="515" spans="1:12" ht="24.75" x14ac:dyDescent="0.25">
      <c r="A515" s="4" t="s">
        <v>4993</v>
      </c>
      <c r="B515" s="2" t="s">
        <v>4994</v>
      </c>
      <c r="C515" s="3">
        <v>1</v>
      </c>
      <c r="D515" s="5">
        <v>26.99</v>
      </c>
      <c r="E515" s="3" t="s">
        <v>4995</v>
      </c>
      <c r="F515" s="2" t="s">
        <v>53</v>
      </c>
      <c r="G515" s="6" t="s">
        <v>245</v>
      </c>
      <c r="H515" s="2" t="s">
        <v>1473</v>
      </c>
      <c r="I515" s="2" t="s">
        <v>1426</v>
      </c>
      <c r="J515" s="2" t="s">
        <v>19</v>
      </c>
      <c r="K515" s="2" t="s">
        <v>648</v>
      </c>
      <c r="L515" s="7" t="str">
        <f>HYPERLINK("http://slimages.macys.com/is/image/MCY/12878133 ")</f>
        <v xml:space="preserve">http://slimages.macys.com/is/image/MCY/12878133 </v>
      </c>
    </row>
    <row r="516" spans="1:12" ht="24.75" x14ac:dyDescent="0.25">
      <c r="A516" s="4" t="s">
        <v>4996</v>
      </c>
      <c r="B516" s="2" t="s">
        <v>1482</v>
      </c>
      <c r="C516" s="3">
        <v>1</v>
      </c>
      <c r="D516" s="5">
        <v>29.63</v>
      </c>
      <c r="E516" s="3" t="s">
        <v>4997</v>
      </c>
      <c r="F516" s="2" t="s">
        <v>252</v>
      </c>
      <c r="G516" s="6" t="s">
        <v>234</v>
      </c>
      <c r="H516" s="2" t="s">
        <v>194</v>
      </c>
      <c r="I516" s="2" t="s">
        <v>195</v>
      </c>
      <c r="J516" s="2" t="s">
        <v>19</v>
      </c>
      <c r="K516" s="2" t="s">
        <v>1082</v>
      </c>
      <c r="L516" s="7" t="str">
        <f>HYPERLINK("http://slimages.macys.com/is/image/MCY/12734370 ")</f>
        <v xml:space="preserve">http://slimages.macys.com/is/image/MCY/12734370 </v>
      </c>
    </row>
    <row r="517" spans="1:12" ht="24.75" x14ac:dyDescent="0.25">
      <c r="A517" s="4" t="s">
        <v>4998</v>
      </c>
      <c r="B517" s="2" t="s">
        <v>1482</v>
      </c>
      <c r="C517" s="3">
        <v>1</v>
      </c>
      <c r="D517" s="5">
        <v>29.63</v>
      </c>
      <c r="E517" s="3" t="s">
        <v>4997</v>
      </c>
      <c r="F517" s="2" t="s">
        <v>252</v>
      </c>
      <c r="G517" s="6" t="s">
        <v>156</v>
      </c>
      <c r="H517" s="2" t="s">
        <v>194</v>
      </c>
      <c r="I517" s="2" t="s">
        <v>195</v>
      </c>
      <c r="J517" s="2" t="s">
        <v>19</v>
      </c>
      <c r="K517" s="2" t="s">
        <v>1082</v>
      </c>
      <c r="L517" s="7" t="str">
        <f>HYPERLINK("http://slimages.macys.com/is/image/MCY/12734370 ")</f>
        <v xml:space="preserve">http://slimages.macys.com/is/image/MCY/12734370 </v>
      </c>
    </row>
    <row r="518" spans="1:12" ht="24.75" x14ac:dyDescent="0.25">
      <c r="A518" s="4" t="s">
        <v>2751</v>
      </c>
      <c r="B518" s="2" t="s">
        <v>1465</v>
      </c>
      <c r="C518" s="3">
        <v>1</v>
      </c>
      <c r="D518" s="5">
        <v>34.880000000000003</v>
      </c>
      <c r="E518" s="3">
        <v>100054394</v>
      </c>
      <c r="F518" s="2" t="s">
        <v>566</v>
      </c>
      <c r="G518" s="6" t="s">
        <v>112</v>
      </c>
      <c r="H518" s="2" t="s">
        <v>194</v>
      </c>
      <c r="I518" s="2" t="s">
        <v>195</v>
      </c>
      <c r="J518" s="2" t="s">
        <v>19</v>
      </c>
      <c r="K518" s="2" t="s">
        <v>353</v>
      </c>
      <c r="L518" s="7" t="str">
        <f>HYPERLINK("http://slimages.macys.com/is/image/MCY/12404668 ")</f>
        <v xml:space="preserve">http://slimages.macys.com/is/image/MCY/12404668 </v>
      </c>
    </row>
    <row r="519" spans="1:12" ht="24.75" x14ac:dyDescent="0.25">
      <c r="A519" s="4" t="s">
        <v>4999</v>
      </c>
      <c r="B519" s="2" t="s">
        <v>1465</v>
      </c>
      <c r="C519" s="3">
        <v>1</v>
      </c>
      <c r="D519" s="5">
        <v>34.880000000000003</v>
      </c>
      <c r="E519" s="3">
        <v>100054394</v>
      </c>
      <c r="F519" s="2" t="s">
        <v>74</v>
      </c>
      <c r="G519" s="6" t="s">
        <v>27</v>
      </c>
      <c r="H519" s="2" t="s">
        <v>194</v>
      </c>
      <c r="I519" s="2" t="s">
        <v>195</v>
      </c>
      <c r="J519" s="2" t="s">
        <v>19</v>
      </c>
      <c r="K519" s="2" t="s">
        <v>353</v>
      </c>
      <c r="L519" s="7" t="str">
        <f>HYPERLINK("http://slimages.macys.com/is/image/MCY/12404668 ")</f>
        <v xml:space="preserve">http://slimages.macys.com/is/image/MCY/12404668 </v>
      </c>
    </row>
    <row r="520" spans="1:12" ht="24.75" x14ac:dyDescent="0.25">
      <c r="A520" s="4" t="s">
        <v>5000</v>
      </c>
      <c r="B520" s="2" t="s">
        <v>5001</v>
      </c>
      <c r="C520" s="3">
        <v>1</v>
      </c>
      <c r="D520" s="5">
        <v>29.7</v>
      </c>
      <c r="E520" s="3" t="s">
        <v>5002</v>
      </c>
      <c r="F520" s="2" t="s">
        <v>74</v>
      </c>
      <c r="G520" s="6" t="s">
        <v>746</v>
      </c>
      <c r="H520" s="2" t="s">
        <v>349</v>
      </c>
      <c r="I520" s="2" t="s">
        <v>285</v>
      </c>
      <c r="J520" s="2" t="s">
        <v>19</v>
      </c>
      <c r="K520" s="2" t="s">
        <v>160</v>
      </c>
      <c r="L520" s="7" t="str">
        <f>HYPERLINK("http://slimages.macys.com/is/image/MCY/11489585 ")</f>
        <v xml:space="preserve">http://slimages.macys.com/is/image/MCY/11489585 </v>
      </c>
    </row>
    <row r="521" spans="1:12" ht="24.75" x14ac:dyDescent="0.25">
      <c r="A521" s="4" t="s">
        <v>5003</v>
      </c>
      <c r="B521" s="2" t="s">
        <v>1471</v>
      </c>
      <c r="C521" s="3">
        <v>1</v>
      </c>
      <c r="D521" s="5">
        <v>26.99</v>
      </c>
      <c r="E521" s="3" t="s">
        <v>1472</v>
      </c>
      <c r="F521" s="2" t="s">
        <v>15</v>
      </c>
      <c r="G521" s="6" t="s">
        <v>16</v>
      </c>
      <c r="H521" s="2" t="s">
        <v>1473</v>
      </c>
      <c r="I521" s="2" t="s">
        <v>1426</v>
      </c>
      <c r="J521" s="2" t="s">
        <v>19</v>
      </c>
      <c r="K521" s="2" t="s">
        <v>353</v>
      </c>
      <c r="L521" s="7" t="str">
        <f>HYPERLINK("http://slimages.macys.com/is/image/MCY/11989623 ")</f>
        <v xml:space="preserve">http://slimages.macys.com/is/image/MCY/11989623 </v>
      </c>
    </row>
    <row r="522" spans="1:12" ht="24.75" x14ac:dyDescent="0.25">
      <c r="A522" s="4" t="s">
        <v>5004</v>
      </c>
      <c r="B522" s="2" t="s">
        <v>1471</v>
      </c>
      <c r="C522" s="3">
        <v>2</v>
      </c>
      <c r="D522" s="5">
        <v>26.99</v>
      </c>
      <c r="E522" s="3" t="s">
        <v>1472</v>
      </c>
      <c r="F522" s="2" t="s">
        <v>15</v>
      </c>
      <c r="G522" s="6" t="s">
        <v>27</v>
      </c>
      <c r="H522" s="2" t="s">
        <v>1473</v>
      </c>
      <c r="I522" s="2" t="s">
        <v>1426</v>
      </c>
      <c r="J522" s="2" t="s">
        <v>19</v>
      </c>
      <c r="K522" s="2" t="s">
        <v>353</v>
      </c>
      <c r="L522" s="7" t="str">
        <f>HYPERLINK("http://slimages.macys.com/is/image/MCY/11989623 ")</f>
        <v xml:space="preserve">http://slimages.macys.com/is/image/MCY/11989623 </v>
      </c>
    </row>
    <row r="523" spans="1:12" ht="24.75" x14ac:dyDescent="0.25">
      <c r="A523" s="4" t="s">
        <v>2762</v>
      </c>
      <c r="B523" s="2" t="s">
        <v>2763</v>
      </c>
      <c r="C523" s="3">
        <v>2</v>
      </c>
      <c r="D523" s="5">
        <v>24.99</v>
      </c>
      <c r="E523" s="3" t="s">
        <v>2764</v>
      </c>
      <c r="F523" s="2" t="s">
        <v>74</v>
      </c>
      <c r="G523" s="6"/>
      <c r="H523" s="2" t="s">
        <v>1425</v>
      </c>
      <c r="I523" s="2" t="s">
        <v>1469</v>
      </c>
      <c r="J523" s="2" t="s">
        <v>19</v>
      </c>
      <c r="K523" s="2" t="s">
        <v>495</v>
      </c>
      <c r="L523" s="7" t="str">
        <f>HYPERLINK("http://slimages.macys.com/is/image/MCY/12144707 ")</f>
        <v xml:space="preserve">http://slimages.macys.com/is/image/MCY/12144707 </v>
      </c>
    </row>
    <row r="524" spans="1:12" ht="24.75" x14ac:dyDescent="0.25">
      <c r="A524" s="4" t="s">
        <v>5005</v>
      </c>
      <c r="B524" s="2" t="s">
        <v>5006</v>
      </c>
      <c r="C524" s="3">
        <v>1</v>
      </c>
      <c r="D524" s="5">
        <v>26.99</v>
      </c>
      <c r="E524" s="3" t="s">
        <v>5007</v>
      </c>
      <c r="F524" s="2" t="s">
        <v>15</v>
      </c>
      <c r="G524" s="6" t="s">
        <v>22</v>
      </c>
      <c r="H524" s="2" t="s">
        <v>1473</v>
      </c>
      <c r="I524" s="2" t="s">
        <v>1426</v>
      </c>
      <c r="J524" s="2" t="s">
        <v>19</v>
      </c>
      <c r="K524" s="2" t="s">
        <v>353</v>
      </c>
      <c r="L524" s="7" t="str">
        <f>HYPERLINK("http://slimages.macys.com/is/image/MCY/11027855 ")</f>
        <v xml:space="preserve">http://slimages.macys.com/is/image/MCY/11027855 </v>
      </c>
    </row>
    <row r="525" spans="1:12" ht="24.75" x14ac:dyDescent="0.25">
      <c r="A525" s="4" t="s">
        <v>5008</v>
      </c>
      <c r="B525" s="2" t="s">
        <v>1471</v>
      </c>
      <c r="C525" s="3">
        <v>1</v>
      </c>
      <c r="D525" s="5">
        <v>26.99</v>
      </c>
      <c r="E525" s="3" t="s">
        <v>1472</v>
      </c>
      <c r="F525" s="2" t="s">
        <v>74</v>
      </c>
      <c r="G525" s="6" t="s">
        <v>58</v>
      </c>
      <c r="H525" s="2" t="s">
        <v>1473</v>
      </c>
      <c r="I525" s="2" t="s">
        <v>1426</v>
      </c>
      <c r="J525" s="2" t="s">
        <v>19</v>
      </c>
      <c r="K525" s="2" t="s">
        <v>353</v>
      </c>
      <c r="L525" s="7" t="str">
        <f>HYPERLINK("http://slimages.macys.com/is/image/MCY/11989623 ")</f>
        <v xml:space="preserve">http://slimages.macys.com/is/image/MCY/11989623 </v>
      </c>
    </row>
    <row r="526" spans="1:12" ht="24.75" x14ac:dyDescent="0.25">
      <c r="A526" s="4" t="s">
        <v>5009</v>
      </c>
      <c r="B526" s="2" t="s">
        <v>1467</v>
      </c>
      <c r="C526" s="3">
        <v>1</v>
      </c>
      <c r="D526" s="5">
        <v>24.99</v>
      </c>
      <c r="E526" s="3" t="s">
        <v>1468</v>
      </c>
      <c r="F526" s="2" t="s">
        <v>33</v>
      </c>
      <c r="G526" s="6" t="s">
        <v>187</v>
      </c>
      <c r="H526" s="2" t="s">
        <v>1425</v>
      </c>
      <c r="I526" s="2" t="s">
        <v>1469</v>
      </c>
      <c r="J526" s="2" t="s">
        <v>19</v>
      </c>
      <c r="K526" s="2" t="s">
        <v>495</v>
      </c>
      <c r="L526" s="7" t="str">
        <f>HYPERLINK("http://slimages.macys.com/is/image/MCY/11989539 ")</f>
        <v xml:space="preserve">http://slimages.macys.com/is/image/MCY/11989539 </v>
      </c>
    </row>
    <row r="527" spans="1:12" ht="24.75" x14ac:dyDescent="0.25">
      <c r="A527" s="4" t="s">
        <v>5010</v>
      </c>
      <c r="B527" s="2" t="s">
        <v>1475</v>
      </c>
      <c r="C527" s="3">
        <v>1</v>
      </c>
      <c r="D527" s="5">
        <v>33.380000000000003</v>
      </c>
      <c r="E527" s="3" t="s">
        <v>1476</v>
      </c>
      <c r="F527" s="2" t="s">
        <v>26</v>
      </c>
      <c r="G527" s="6" t="s">
        <v>154</v>
      </c>
      <c r="H527" s="2" t="s">
        <v>246</v>
      </c>
      <c r="I527" s="2" t="s">
        <v>189</v>
      </c>
      <c r="J527" s="2" t="s">
        <v>19</v>
      </c>
      <c r="K527" s="2" t="s">
        <v>160</v>
      </c>
      <c r="L527" s="7" t="str">
        <f>HYPERLINK("http://slimages.macys.com/is/image/MCY/13330738 ")</f>
        <v xml:space="preserve">http://slimages.macys.com/is/image/MCY/13330738 </v>
      </c>
    </row>
    <row r="528" spans="1:12" ht="24.75" x14ac:dyDescent="0.25">
      <c r="A528" s="4" t="s">
        <v>5011</v>
      </c>
      <c r="B528" s="2" t="s">
        <v>1478</v>
      </c>
      <c r="C528" s="3">
        <v>1</v>
      </c>
      <c r="D528" s="5">
        <v>29.99</v>
      </c>
      <c r="E528" s="3" t="s">
        <v>1479</v>
      </c>
      <c r="F528" s="2" t="s">
        <v>1584</v>
      </c>
      <c r="G528" s="6" t="s">
        <v>187</v>
      </c>
      <c r="H528" s="2" t="s">
        <v>188</v>
      </c>
      <c r="I528" s="2" t="s">
        <v>189</v>
      </c>
      <c r="J528" s="2" t="s">
        <v>19</v>
      </c>
      <c r="K528" s="2" t="s">
        <v>1480</v>
      </c>
      <c r="L528" s="7" t="str">
        <f>HYPERLINK("http://slimages.macys.com/is/image/MCY/10048339 ")</f>
        <v xml:space="preserve">http://slimages.macys.com/is/image/MCY/10048339 </v>
      </c>
    </row>
    <row r="529" spans="1:12" ht="36.75" x14ac:dyDescent="0.25">
      <c r="A529" s="4" t="s">
        <v>5012</v>
      </c>
      <c r="B529" s="2" t="s">
        <v>1482</v>
      </c>
      <c r="C529" s="3">
        <v>1</v>
      </c>
      <c r="D529" s="5">
        <v>29.63</v>
      </c>
      <c r="E529" s="3" t="s">
        <v>5013</v>
      </c>
      <c r="F529" s="2" t="s">
        <v>15</v>
      </c>
      <c r="G529" s="6"/>
      <c r="H529" s="2" t="s">
        <v>312</v>
      </c>
      <c r="I529" s="2" t="s">
        <v>195</v>
      </c>
      <c r="J529" s="2" t="s">
        <v>19</v>
      </c>
      <c r="K529" s="2" t="s">
        <v>5014</v>
      </c>
      <c r="L529" s="7" t="str">
        <f>HYPERLINK("http://slimages.macys.com/is/image/MCY/12404964 ")</f>
        <v xml:space="preserve">http://slimages.macys.com/is/image/MCY/12404964 </v>
      </c>
    </row>
    <row r="530" spans="1:12" ht="36.75" x14ac:dyDescent="0.25">
      <c r="A530" s="4" t="s">
        <v>2768</v>
      </c>
      <c r="B530" s="2" t="s">
        <v>1482</v>
      </c>
      <c r="C530" s="3">
        <v>2</v>
      </c>
      <c r="D530" s="5">
        <v>29.63</v>
      </c>
      <c r="E530" s="3" t="s">
        <v>2766</v>
      </c>
      <c r="F530" s="2" t="s">
        <v>252</v>
      </c>
      <c r="G530" s="6"/>
      <c r="H530" s="2" t="s">
        <v>312</v>
      </c>
      <c r="I530" s="2" t="s">
        <v>195</v>
      </c>
      <c r="J530" s="2" t="s">
        <v>19</v>
      </c>
      <c r="K530" s="2" t="s">
        <v>2767</v>
      </c>
      <c r="L530" s="7" t="str">
        <f>HYPERLINK("http://slimages.macys.com/is/image/MCY/12734370 ")</f>
        <v xml:space="preserve">http://slimages.macys.com/is/image/MCY/12734370 </v>
      </c>
    </row>
    <row r="531" spans="1:12" ht="36.75" x14ac:dyDescent="0.25">
      <c r="A531" s="4" t="s">
        <v>5015</v>
      </c>
      <c r="B531" s="2" t="s">
        <v>1482</v>
      </c>
      <c r="C531" s="3">
        <v>1</v>
      </c>
      <c r="D531" s="5">
        <v>29.63</v>
      </c>
      <c r="E531" s="3" t="s">
        <v>5013</v>
      </c>
      <c r="F531" s="2" t="s">
        <v>15</v>
      </c>
      <c r="G531" s="6"/>
      <c r="H531" s="2" t="s">
        <v>312</v>
      </c>
      <c r="I531" s="2" t="s">
        <v>195</v>
      </c>
      <c r="J531" s="2" t="s">
        <v>19</v>
      </c>
      <c r="K531" s="2" t="s">
        <v>5014</v>
      </c>
      <c r="L531" s="7" t="str">
        <f>HYPERLINK("http://slimages.macys.com/is/image/MCY/12404964 ")</f>
        <v xml:space="preserve">http://slimages.macys.com/is/image/MCY/12404964 </v>
      </c>
    </row>
    <row r="532" spans="1:12" ht="36.75" x14ac:dyDescent="0.25">
      <c r="A532" s="4" t="s">
        <v>5016</v>
      </c>
      <c r="B532" s="2" t="s">
        <v>1482</v>
      </c>
      <c r="C532" s="3">
        <v>3</v>
      </c>
      <c r="D532" s="5">
        <v>32.5</v>
      </c>
      <c r="E532" s="3" t="s">
        <v>1483</v>
      </c>
      <c r="F532" s="2" t="s">
        <v>48</v>
      </c>
      <c r="G532" s="6"/>
      <c r="H532" s="2" t="s">
        <v>312</v>
      </c>
      <c r="I532" s="2" t="s">
        <v>195</v>
      </c>
      <c r="J532" s="2" t="s">
        <v>19</v>
      </c>
      <c r="K532" s="2" t="s">
        <v>1484</v>
      </c>
      <c r="L532" s="7" t="str">
        <f>HYPERLINK("http://slimages.macys.com/is/image/MCY/12064112 ")</f>
        <v xml:space="preserve">http://slimages.macys.com/is/image/MCY/12064112 </v>
      </c>
    </row>
    <row r="533" spans="1:12" ht="36.75" x14ac:dyDescent="0.25">
      <c r="A533" s="4" t="s">
        <v>5017</v>
      </c>
      <c r="B533" s="2" t="s">
        <v>1482</v>
      </c>
      <c r="C533" s="3">
        <v>1</v>
      </c>
      <c r="D533" s="5">
        <v>29.63</v>
      </c>
      <c r="E533" s="3" t="s">
        <v>5013</v>
      </c>
      <c r="F533" s="2" t="s">
        <v>15</v>
      </c>
      <c r="G533" s="6"/>
      <c r="H533" s="2" t="s">
        <v>312</v>
      </c>
      <c r="I533" s="2" t="s">
        <v>195</v>
      </c>
      <c r="J533" s="2" t="s">
        <v>19</v>
      </c>
      <c r="K533" s="2" t="s">
        <v>5014</v>
      </c>
      <c r="L533" s="7" t="str">
        <f>HYPERLINK("http://slimages.macys.com/is/image/MCY/12404964 ")</f>
        <v xml:space="preserve">http://slimages.macys.com/is/image/MCY/12404964 </v>
      </c>
    </row>
    <row r="534" spans="1:12" x14ac:dyDescent="0.25">
      <c r="A534" s="4" t="s">
        <v>5018</v>
      </c>
      <c r="B534" s="2" t="s">
        <v>1486</v>
      </c>
      <c r="C534" s="3">
        <v>1</v>
      </c>
      <c r="D534" s="5">
        <v>39.5</v>
      </c>
      <c r="E534" s="3" t="s">
        <v>1487</v>
      </c>
      <c r="F534" s="2" t="s">
        <v>111</v>
      </c>
      <c r="G534" s="6"/>
      <c r="H534" s="2" t="s">
        <v>206</v>
      </c>
      <c r="I534" s="2" t="s">
        <v>207</v>
      </c>
      <c r="J534" s="2" t="s">
        <v>19</v>
      </c>
      <c r="K534" s="2" t="s">
        <v>1488</v>
      </c>
      <c r="L534" s="7" t="str">
        <f>HYPERLINK("http://slimages.macys.com/is/image/MCY/12953073 ")</f>
        <v xml:space="preserve">http://slimages.macys.com/is/image/MCY/12953073 </v>
      </c>
    </row>
    <row r="535" spans="1:12" x14ac:dyDescent="0.25">
      <c r="A535" s="4" t="s">
        <v>5019</v>
      </c>
      <c r="B535" s="2" t="s">
        <v>1486</v>
      </c>
      <c r="C535" s="3">
        <v>1</v>
      </c>
      <c r="D535" s="5">
        <v>39.5</v>
      </c>
      <c r="E535" s="3" t="s">
        <v>1487</v>
      </c>
      <c r="F535" s="2" t="s">
        <v>111</v>
      </c>
      <c r="G535" s="6"/>
      <c r="H535" s="2" t="s">
        <v>206</v>
      </c>
      <c r="I535" s="2" t="s">
        <v>207</v>
      </c>
      <c r="J535" s="2" t="s">
        <v>19</v>
      </c>
      <c r="K535" s="2" t="s">
        <v>1488</v>
      </c>
      <c r="L535" s="7" t="str">
        <f>HYPERLINK("http://slimages.macys.com/is/image/MCY/12953073 ")</f>
        <v xml:space="preserve">http://slimages.macys.com/is/image/MCY/12953073 </v>
      </c>
    </row>
    <row r="536" spans="1:12" x14ac:dyDescent="0.25">
      <c r="A536" s="4" t="s">
        <v>5020</v>
      </c>
      <c r="B536" s="2" t="s">
        <v>1486</v>
      </c>
      <c r="C536" s="3">
        <v>4</v>
      </c>
      <c r="D536" s="5">
        <v>39.5</v>
      </c>
      <c r="E536" s="3" t="s">
        <v>1487</v>
      </c>
      <c r="F536" s="2" t="s">
        <v>752</v>
      </c>
      <c r="G536" s="6"/>
      <c r="H536" s="2" t="s">
        <v>206</v>
      </c>
      <c r="I536" s="2" t="s">
        <v>207</v>
      </c>
      <c r="J536" s="2" t="s">
        <v>19</v>
      </c>
      <c r="K536" s="2" t="s">
        <v>1488</v>
      </c>
      <c r="L536" s="7" t="str">
        <f>HYPERLINK("http://slimages.macys.com/is/image/MCY/12953073 ")</f>
        <v xml:space="preserve">http://slimages.macys.com/is/image/MCY/12953073 </v>
      </c>
    </row>
    <row r="537" spans="1:12" ht="24.75" x14ac:dyDescent="0.25">
      <c r="A537" s="4" t="s">
        <v>5021</v>
      </c>
      <c r="B537" s="2" t="s">
        <v>2775</v>
      </c>
      <c r="C537" s="3">
        <v>1</v>
      </c>
      <c r="D537" s="5">
        <v>34.5</v>
      </c>
      <c r="E537" s="3">
        <v>100053906</v>
      </c>
      <c r="F537" s="2" t="s">
        <v>89</v>
      </c>
      <c r="G537" s="6" t="s">
        <v>141</v>
      </c>
      <c r="H537" s="2" t="s">
        <v>228</v>
      </c>
      <c r="I537" s="2" t="s">
        <v>857</v>
      </c>
      <c r="J537" s="2" t="s">
        <v>19</v>
      </c>
      <c r="K537" s="2" t="s">
        <v>338</v>
      </c>
      <c r="L537" s="7" t="str">
        <f>HYPERLINK("http://slimages.macys.com/is/image/MCY/12143886 ")</f>
        <v xml:space="preserve">http://slimages.macys.com/is/image/MCY/12143886 </v>
      </c>
    </row>
    <row r="538" spans="1:12" ht="24.75" x14ac:dyDescent="0.25">
      <c r="A538" s="4" t="s">
        <v>5022</v>
      </c>
      <c r="B538" s="2" t="s">
        <v>2773</v>
      </c>
      <c r="C538" s="3">
        <v>1</v>
      </c>
      <c r="D538" s="5">
        <v>34.5</v>
      </c>
      <c r="E538" s="3">
        <v>100053907</v>
      </c>
      <c r="F538" s="2" t="s">
        <v>89</v>
      </c>
      <c r="G538" s="6" t="s">
        <v>106</v>
      </c>
      <c r="H538" s="2" t="s">
        <v>228</v>
      </c>
      <c r="I538" s="2" t="s">
        <v>857</v>
      </c>
      <c r="J538" s="2" t="s">
        <v>19</v>
      </c>
      <c r="K538" s="2" t="s">
        <v>338</v>
      </c>
      <c r="L538" s="7" t="str">
        <f>HYPERLINK("http://slimages.macys.com/is/image/MCY/12143886 ")</f>
        <v xml:space="preserve">http://slimages.macys.com/is/image/MCY/12143886 </v>
      </c>
    </row>
    <row r="539" spans="1:12" ht="24.75" x14ac:dyDescent="0.25">
      <c r="A539" s="4" t="s">
        <v>5023</v>
      </c>
      <c r="B539" s="2" t="s">
        <v>1494</v>
      </c>
      <c r="C539" s="3">
        <v>1</v>
      </c>
      <c r="D539" s="5">
        <v>24.99</v>
      </c>
      <c r="E539" s="3">
        <v>100016601</v>
      </c>
      <c r="F539" s="2" t="s">
        <v>252</v>
      </c>
      <c r="G539" s="6" t="s">
        <v>27</v>
      </c>
      <c r="H539" s="2" t="s">
        <v>228</v>
      </c>
      <c r="I539" s="2" t="s">
        <v>857</v>
      </c>
      <c r="J539" s="2" t="s">
        <v>19</v>
      </c>
      <c r="K539" s="2" t="s">
        <v>1495</v>
      </c>
      <c r="L539" s="7" t="str">
        <f>HYPERLINK("http://slimages.macys.com/is/image/MCY/12143827 ")</f>
        <v xml:space="preserve">http://slimages.macys.com/is/image/MCY/12143827 </v>
      </c>
    </row>
    <row r="540" spans="1:12" ht="24.75" x14ac:dyDescent="0.25">
      <c r="A540" s="4" t="s">
        <v>2798</v>
      </c>
      <c r="B540" s="2" t="s">
        <v>1516</v>
      </c>
      <c r="C540" s="3">
        <v>1</v>
      </c>
      <c r="D540" s="5">
        <v>24.99</v>
      </c>
      <c r="E540" s="3" t="s">
        <v>1517</v>
      </c>
      <c r="F540" s="2" t="s">
        <v>998</v>
      </c>
      <c r="G540" s="6" t="s">
        <v>22</v>
      </c>
      <c r="H540" s="2" t="s">
        <v>1473</v>
      </c>
      <c r="I540" s="2" t="s">
        <v>1426</v>
      </c>
      <c r="J540" s="2" t="s">
        <v>19</v>
      </c>
      <c r="K540" s="2" t="s">
        <v>353</v>
      </c>
      <c r="L540" s="7" t="str">
        <f>HYPERLINK("http://slimages.macys.com/is/image/MCY/11029826 ")</f>
        <v xml:space="preserve">http://slimages.macys.com/is/image/MCY/11029826 </v>
      </c>
    </row>
    <row r="541" spans="1:12" ht="24.75" x14ac:dyDescent="0.25">
      <c r="A541" s="4" t="s">
        <v>2795</v>
      </c>
      <c r="B541" s="2" t="s">
        <v>1516</v>
      </c>
      <c r="C541" s="3">
        <v>1</v>
      </c>
      <c r="D541" s="5">
        <v>24.99</v>
      </c>
      <c r="E541" s="3" t="s">
        <v>1517</v>
      </c>
      <c r="F541" s="2" t="s">
        <v>74</v>
      </c>
      <c r="G541" s="6" t="s">
        <v>112</v>
      </c>
      <c r="H541" s="2" t="s">
        <v>1473</v>
      </c>
      <c r="I541" s="2" t="s">
        <v>1426</v>
      </c>
      <c r="J541" s="2" t="s">
        <v>19</v>
      </c>
      <c r="K541" s="2" t="s">
        <v>353</v>
      </c>
      <c r="L541" s="7" t="str">
        <f>HYPERLINK("http://slimages.macys.com/is/image/MCY/11029826 ")</f>
        <v xml:space="preserve">http://slimages.macys.com/is/image/MCY/11029826 </v>
      </c>
    </row>
    <row r="542" spans="1:12" ht="24.75" x14ac:dyDescent="0.25">
      <c r="A542" s="4" t="s">
        <v>5024</v>
      </c>
      <c r="B542" s="2" t="s">
        <v>5025</v>
      </c>
      <c r="C542" s="3">
        <v>1</v>
      </c>
      <c r="D542" s="5">
        <v>30</v>
      </c>
      <c r="E542" s="3" t="s">
        <v>5026</v>
      </c>
      <c r="F542" s="2" t="s">
        <v>199</v>
      </c>
      <c r="G542" s="6" t="s">
        <v>5027</v>
      </c>
      <c r="H542" s="2" t="s">
        <v>716</v>
      </c>
      <c r="I542" s="2" t="s">
        <v>717</v>
      </c>
      <c r="J542" s="2" t="s">
        <v>19</v>
      </c>
      <c r="K542" s="2" t="s">
        <v>648</v>
      </c>
      <c r="L542" s="7" t="str">
        <f>HYPERLINK("http://slimages.macys.com/is/image/MCY/11531926 ")</f>
        <v xml:space="preserve">http://slimages.macys.com/is/image/MCY/11531926 </v>
      </c>
    </row>
    <row r="543" spans="1:12" ht="24.75" x14ac:dyDescent="0.25">
      <c r="A543" s="4" t="s">
        <v>1500</v>
      </c>
      <c r="B543" s="2" t="s">
        <v>1497</v>
      </c>
      <c r="C543" s="3">
        <v>1</v>
      </c>
      <c r="D543" s="5">
        <v>33</v>
      </c>
      <c r="E543" s="3" t="s">
        <v>1498</v>
      </c>
      <c r="F543" s="2" t="s">
        <v>74</v>
      </c>
      <c r="G543" s="6" t="s">
        <v>791</v>
      </c>
      <c r="H543" s="2" t="s">
        <v>447</v>
      </c>
      <c r="I543" s="2" t="s">
        <v>792</v>
      </c>
      <c r="J543" s="2" t="s">
        <v>1499</v>
      </c>
      <c r="K543" s="2" t="s">
        <v>160</v>
      </c>
      <c r="L543" s="7" t="str">
        <f>HYPERLINK("http://slimages.macys.com/is/image/MCY/12738119 ")</f>
        <v xml:space="preserve">http://slimages.macys.com/is/image/MCY/12738119 </v>
      </c>
    </row>
    <row r="544" spans="1:12" ht="24.75" x14ac:dyDescent="0.25">
      <c r="A544" s="4" t="s">
        <v>1496</v>
      </c>
      <c r="B544" s="2" t="s">
        <v>1497</v>
      </c>
      <c r="C544" s="3">
        <v>1</v>
      </c>
      <c r="D544" s="5">
        <v>33</v>
      </c>
      <c r="E544" s="3" t="s">
        <v>1498</v>
      </c>
      <c r="F544" s="2" t="s">
        <v>79</v>
      </c>
      <c r="G544" s="6" t="s">
        <v>791</v>
      </c>
      <c r="H544" s="2" t="s">
        <v>447</v>
      </c>
      <c r="I544" s="2" t="s">
        <v>792</v>
      </c>
      <c r="J544" s="2" t="s">
        <v>1499</v>
      </c>
      <c r="K544" s="2" t="s">
        <v>160</v>
      </c>
      <c r="L544" s="7" t="str">
        <f>HYPERLINK("http://slimages.macys.com/is/image/MCY/12738119 ")</f>
        <v xml:space="preserve">http://slimages.macys.com/is/image/MCY/12738119 </v>
      </c>
    </row>
    <row r="545" spans="1:12" ht="24.75" x14ac:dyDescent="0.25">
      <c r="A545" s="4" t="s">
        <v>5028</v>
      </c>
      <c r="B545" s="2" t="s">
        <v>5029</v>
      </c>
      <c r="C545" s="3">
        <v>1</v>
      </c>
      <c r="D545" s="5">
        <v>24.99</v>
      </c>
      <c r="E545" s="3" t="s">
        <v>5030</v>
      </c>
      <c r="F545" s="2" t="s">
        <v>33</v>
      </c>
      <c r="G545" s="6" t="s">
        <v>234</v>
      </c>
      <c r="H545" s="2" t="s">
        <v>1522</v>
      </c>
      <c r="I545" s="2" t="s">
        <v>1469</v>
      </c>
      <c r="J545" s="2" t="s">
        <v>19</v>
      </c>
      <c r="K545" s="2" t="s">
        <v>495</v>
      </c>
      <c r="L545" s="7" t="str">
        <f>HYPERLINK("http://slimages.macys.com/is/image/MCY/11312083 ")</f>
        <v xml:space="preserve">http://slimages.macys.com/is/image/MCY/11312083 </v>
      </c>
    </row>
    <row r="546" spans="1:12" ht="24.75" x14ac:dyDescent="0.25">
      <c r="A546" s="4" t="s">
        <v>5031</v>
      </c>
      <c r="B546" s="2" t="s">
        <v>5032</v>
      </c>
      <c r="C546" s="3">
        <v>1</v>
      </c>
      <c r="D546" s="5">
        <v>24.99</v>
      </c>
      <c r="E546" s="3" t="s">
        <v>5033</v>
      </c>
      <c r="F546" s="2" t="s">
        <v>413</v>
      </c>
      <c r="G546" s="6"/>
      <c r="H546" s="2" t="s">
        <v>1425</v>
      </c>
      <c r="I546" s="2" t="s">
        <v>1469</v>
      </c>
      <c r="J546" s="2" t="s">
        <v>19</v>
      </c>
      <c r="K546" s="2" t="s">
        <v>990</v>
      </c>
      <c r="L546" s="7" t="str">
        <f>HYPERLINK("http://slimages.macys.com/is/image/MCY/12645266 ")</f>
        <v xml:space="preserve">http://slimages.macys.com/is/image/MCY/12645266 </v>
      </c>
    </row>
    <row r="547" spans="1:12" ht="24.75" x14ac:dyDescent="0.25">
      <c r="A547" s="4" t="s">
        <v>1501</v>
      </c>
      <c r="B547" s="2" t="s">
        <v>1502</v>
      </c>
      <c r="C547" s="3">
        <v>1</v>
      </c>
      <c r="D547" s="5">
        <v>24.99</v>
      </c>
      <c r="E547" s="3" t="s">
        <v>1503</v>
      </c>
      <c r="F547" s="2" t="s">
        <v>15</v>
      </c>
      <c r="G547" s="6" t="s">
        <v>219</v>
      </c>
      <c r="H547" s="2" t="s">
        <v>1425</v>
      </c>
      <c r="I547" s="2" t="s">
        <v>1469</v>
      </c>
      <c r="J547" s="2" t="s">
        <v>19</v>
      </c>
      <c r="K547" s="2" t="s">
        <v>990</v>
      </c>
      <c r="L547" s="7" t="str">
        <f>HYPERLINK("http://slimages.macys.com/is/image/MCY/13048287 ")</f>
        <v xml:space="preserve">http://slimages.macys.com/is/image/MCY/13048287 </v>
      </c>
    </row>
    <row r="548" spans="1:12" ht="24.75" x14ac:dyDescent="0.25">
      <c r="A548" s="4" t="s">
        <v>3949</v>
      </c>
      <c r="B548" s="2" t="s">
        <v>1516</v>
      </c>
      <c r="C548" s="3">
        <v>1</v>
      </c>
      <c r="D548" s="5">
        <v>24.99</v>
      </c>
      <c r="E548" s="3" t="s">
        <v>1517</v>
      </c>
      <c r="F548" s="2" t="s">
        <v>998</v>
      </c>
      <c r="G548" s="6" t="s">
        <v>106</v>
      </c>
      <c r="H548" s="2" t="s">
        <v>1473</v>
      </c>
      <c r="I548" s="2" t="s">
        <v>1426</v>
      </c>
      <c r="J548" s="2" t="s">
        <v>19</v>
      </c>
      <c r="K548" s="2" t="s">
        <v>353</v>
      </c>
      <c r="L548" s="7" t="str">
        <f>HYPERLINK("http://slimages.macys.com/is/image/MCY/11029826 ")</f>
        <v xml:space="preserve">http://slimages.macys.com/is/image/MCY/11029826 </v>
      </c>
    </row>
    <row r="549" spans="1:12" ht="24.75" x14ac:dyDescent="0.25">
      <c r="A549" s="4" t="s">
        <v>2800</v>
      </c>
      <c r="B549" s="2" t="s">
        <v>1516</v>
      </c>
      <c r="C549" s="3">
        <v>1</v>
      </c>
      <c r="D549" s="5">
        <v>24.99</v>
      </c>
      <c r="E549" s="3" t="s">
        <v>1517</v>
      </c>
      <c r="F549" s="2" t="s">
        <v>998</v>
      </c>
      <c r="G549" s="6" t="s">
        <v>27</v>
      </c>
      <c r="H549" s="2" t="s">
        <v>1473</v>
      </c>
      <c r="I549" s="2" t="s">
        <v>1426</v>
      </c>
      <c r="J549" s="2" t="s">
        <v>19</v>
      </c>
      <c r="K549" s="2" t="s">
        <v>353</v>
      </c>
      <c r="L549" s="7" t="str">
        <f>HYPERLINK("http://slimages.macys.com/is/image/MCY/11029826 ")</f>
        <v xml:space="preserve">http://slimages.macys.com/is/image/MCY/11029826 </v>
      </c>
    </row>
    <row r="550" spans="1:12" ht="24.75" x14ac:dyDescent="0.25">
      <c r="A550" s="4" t="s">
        <v>3939</v>
      </c>
      <c r="B550" s="2" t="s">
        <v>1516</v>
      </c>
      <c r="C550" s="3">
        <v>2</v>
      </c>
      <c r="D550" s="5">
        <v>24.99</v>
      </c>
      <c r="E550" s="3" t="s">
        <v>1517</v>
      </c>
      <c r="F550" s="2" t="s">
        <v>998</v>
      </c>
      <c r="G550" s="6" t="s">
        <v>16</v>
      </c>
      <c r="H550" s="2" t="s">
        <v>1473</v>
      </c>
      <c r="I550" s="2" t="s">
        <v>1426</v>
      </c>
      <c r="J550" s="2" t="s">
        <v>19</v>
      </c>
      <c r="K550" s="2" t="s">
        <v>353</v>
      </c>
      <c r="L550" s="7" t="str">
        <f>HYPERLINK("http://slimages.macys.com/is/image/MCY/11029826 ")</f>
        <v xml:space="preserve">http://slimages.macys.com/is/image/MCY/11029826 </v>
      </c>
    </row>
    <row r="551" spans="1:12" ht="24.75" x14ac:dyDescent="0.25">
      <c r="A551" s="4" t="s">
        <v>1515</v>
      </c>
      <c r="B551" s="2" t="s">
        <v>1516</v>
      </c>
      <c r="C551" s="3">
        <v>1</v>
      </c>
      <c r="D551" s="5">
        <v>24.99</v>
      </c>
      <c r="E551" s="3" t="s">
        <v>1517</v>
      </c>
      <c r="F551" s="2" t="s">
        <v>998</v>
      </c>
      <c r="G551" s="6" t="s">
        <v>58</v>
      </c>
      <c r="H551" s="2" t="s">
        <v>1473</v>
      </c>
      <c r="I551" s="2" t="s">
        <v>1426</v>
      </c>
      <c r="J551" s="2" t="s">
        <v>19</v>
      </c>
      <c r="K551" s="2" t="s">
        <v>353</v>
      </c>
      <c r="L551" s="7" t="str">
        <f>HYPERLINK("http://slimages.macys.com/is/image/MCY/11029826 ")</f>
        <v xml:space="preserve">http://slimages.macys.com/is/image/MCY/11029826 </v>
      </c>
    </row>
    <row r="552" spans="1:12" ht="24.75" x14ac:dyDescent="0.25">
      <c r="A552" s="4" t="s">
        <v>5034</v>
      </c>
      <c r="B552" s="2" t="s">
        <v>1516</v>
      </c>
      <c r="C552" s="3">
        <v>1</v>
      </c>
      <c r="D552" s="5">
        <v>24.99</v>
      </c>
      <c r="E552" s="3" t="s">
        <v>1517</v>
      </c>
      <c r="F552" s="2" t="s">
        <v>998</v>
      </c>
      <c r="G552" s="6" t="s">
        <v>141</v>
      </c>
      <c r="H552" s="2" t="s">
        <v>1473</v>
      </c>
      <c r="I552" s="2" t="s">
        <v>1426</v>
      </c>
      <c r="J552" s="2" t="s">
        <v>19</v>
      </c>
      <c r="K552" s="2" t="s">
        <v>353</v>
      </c>
      <c r="L552" s="7" t="str">
        <f>HYPERLINK("http://slimages.macys.com/is/image/MCY/11029826 ")</f>
        <v xml:space="preserve">http://slimages.macys.com/is/image/MCY/11029826 </v>
      </c>
    </row>
    <row r="553" spans="1:12" ht="24.75" x14ac:dyDescent="0.25">
      <c r="A553" s="4" t="s">
        <v>5035</v>
      </c>
      <c r="B553" s="2" t="s">
        <v>1508</v>
      </c>
      <c r="C553" s="3">
        <v>2</v>
      </c>
      <c r="D553" s="5">
        <v>26.99</v>
      </c>
      <c r="E553" s="3" t="s">
        <v>2789</v>
      </c>
      <c r="F553" s="2" t="s">
        <v>417</v>
      </c>
      <c r="G553" s="6" t="s">
        <v>165</v>
      </c>
      <c r="H553" s="2" t="s">
        <v>1425</v>
      </c>
      <c r="I553" s="2" t="s">
        <v>1426</v>
      </c>
      <c r="J553" s="2" t="s">
        <v>19</v>
      </c>
      <c r="K553" s="2" t="s">
        <v>353</v>
      </c>
      <c r="L553" s="7" t="str">
        <f>HYPERLINK("http://slimages.macys.com/is/image/MCY/11029993 ")</f>
        <v xml:space="preserve">http://slimages.macys.com/is/image/MCY/11029993 </v>
      </c>
    </row>
    <row r="554" spans="1:12" ht="24.75" x14ac:dyDescent="0.25">
      <c r="A554" s="4" t="s">
        <v>5036</v>
      </c>
      <c r="B554" s="2" t="s">
        <v>2779</v>
      </c>
      <c r="C554" s="3">
        <v>1</v>
      </c>
      <c r="D554" s="5">
        <v>29.63</v>
      </c>
      <c r="E554" s="3" t="s">
        <v>2810</v>
      </c>
      <c r="F554" s="2" t="s">
        <v>15</v>
      </c>
      <c r="G554" s="6"/>
      <c r="H554" s="2" t="s">
        <v>312</v>
      </c>
      <c r="I554" s="2" t="s">
        <v>195</v>
      </c>
      <c r="J554" s="2" t="s">
        <v>19</v>
      </c>
      <c r="K554" s="2" t="s">
        <v>247</v>
      </c>
      <c r="L554" s="7" t="str">
        <f>HYPERLINK("http://slimages.macys.com/is/image/MCY/12279859 ")</f>
        <v xml:space="preserve">http://slimages.macys.com/is/image/MCY/12279859 </v>
      </c>
    </row>
    <row r="555" spans="1:12" ht="24.75" x14ac:dyDescent="0.25">
      <c r="A555" s="4" t="s">
        <v>2809</v>
      </c>
      <c r="B555" s="2" t="s">
        <v>2779</v>
      </c>
      <c r="C555" s="3">
        <v>1</v>
      </c>
      <c r="D555" s="5">
        <v>29.63</v>
      </c>
      <c r="E555" s="3" t="s">
        <v>2810</v>
      </c>
      <c r="F555" s="2" t="s">
        <v>15</v>
      </c>
      <c r="G555" s="6"/>
      <c r="H555" s="2" t="s">
        <v>312</v>
      </c>
      <c r="I555" s="2" t="s">
        <v>195</v>
      </c>
      <c r="J555" s="2" t="s">
        <v>19</v>
      </c>
      <c r="K555" s="2" t="s">
        <v>247</v>
      </c>
      <c r="L555" s="7" t="str">
        <f>HYPERLINK("http://slimages.macys.com/is/image/MCY/12279859 ")</f>
        <v xml:space="preserve">http://slimages.macys.com/is/image/MCY/12279859 </v>
      </c>
    </row>
    <row r="556" spans="1:12" ht="24.75" x14ac:dyDescent="0.25">
      <c r="A556" s="4" t="s">
        <v>5037</v>
      </c>
      <c r="B556" s="2" t="s">
        <v>2779</v>
      </c>
      <c r="C556" s="3">
        <v>7</v>
      </c>
      <c r="D556" s="5">
        <v>29.63</v>
      </c>
      <c r="E556" s="3" t="s">
        <v>2810</v>
      </c>
      <c r="F556" s="2" t="s">
        <v>15</v>
      </c>
      <c r="G556" s="6"/>
      <c r="H556" s="2" t="s">
        <v>312</v>
      </c>
      <c r="I556" s="2" t="s">
        <v>195</v>
      </c>
      <c r="J556" s="2" t="s">
        <v>19</v>
      </c>
      <c r="K556" s="2" t="s">
        <v>247</v>
      </c>
      <c r="L556" s="7" t="str">
        <f>HYPERLINK("http://slimages.macys.com/is/image/MCY/12279859 ")</f>
        <v xml:space="preserve">http://slimages.macys.com/is/image/MCY/12279859 </v>
      </c>
    </row>
    <row r="557" spans="1:12" ht="24.75" x14ac:dyDescent="0.25">
      <c r="A557" s="4" t="s">
        <v>5038</v>
      </c>
      <c r="B557" s="2" t="s">
        <v>2779</v>
      </c>
      <c r="C557" s="3">
        <v>1</v>
      </c>
      <c r="D557" s="5">
        <v>29.63</v>
      </c>
      <c r="E557" s="3" t="s">
        <v>2810</v>
      </c>
      <c r="F557" s="2" t="s">
        <v>15</v>
      </c>
      <c r="G557" s="6"/>
      <c r="H557" s="2" t="s">
        <v>312</v>
      </c>
      <c r="I557" s="2" t="s">
        <v>195</v>
      </c>
      <c r="J557" s="2" t="s">
        <v>19</v>
      </c>
      <c r="K557" s="2" t="s">
        <v>247</v>
      </c>
      <c r="L557" s="7" t="str">
        <f>HYPERLINK("http://slimages.macys.com/is/image/MCY/12279859 ")</f>
        <v xml:space="preserve">http://slimages.macys.com/is/image/MCY/12279859 </v>
      </c>
    </row>
    <row r="558" spans="1:12" ht="24.75" x14ac:dyDescent="0.25">
      <c r="A558" s="4" t="s">
        <v>5039</v>
      </c>
      <c r="B558" s="2" t="s">
        <v>5040</v>
      </c>
      <c r="C558" s="3">
        <v>1</v>
      </c>
      <c r="D558" s="5">
        <v>29.63</v>
      </c>
      <c r="E558" s="3">
        <v>100018082</v>
      </c>
      <c r="F558" s="2" t="s">
        <v>15</v>
      </c>
      <c r="G558" s="6" t="s">
        <v>154</v>
      </c>
      <c r="H558" s="2" t="s">
        <v>194</v>
      </c>
      <c r="I558" s="2" t="s">
        <v>195</v>
      </c>
      <c r="J558" s="2" t="s">
        <v>19</v>
      </c>
      <c r="K558" s="2" t="s">
        <v>1082</v>
      </c>
      <c r="L558" s="7" t="str">
        <f>HYPERLINK("http://slimages.macys.com/is/image/MCY/13367475 ")</f>
        <v xml:space="preserve">http://slimages.macys.com/is/image/MCY/13367475 </v>
      </c>
    </row>
    <row r="559" spans="1:12" ht="24.75" x14ac:dyDescent="0.25">
      <c r="A559" s="4" t="s">
        <v>5041</v>
      </c>
      <c r="B559" s="2" t="s">
        <v>5040</v>
      </c>
      <c r="C559" s="3">
        <v>2</v>
      </c>
      <c r="D559" s="5">
        <v>29.63</v>
      </c>
      <c r="E559" s="3">
        <v>100018082</v>
      </c>
      <c r="F559" s="2" t="s">
        <v>15</v>
      </c>
      <c r="G559" s="6" t="s">
        <v>156</v>
      </c>
      <c r="H559" s="2" t="s">
        <v>194</v>
      </c>
      <c r="I559" s="2" t="s">
        <v>195</v>
      </c>
      <c r="J559" s="2" t="s">
        <v>19</v>
      </c>
      <c r="K559" s="2" t="s">
        <v>1082</v>
      </c>
      <c r="L559" s="7" t="str">
        <f>HYPERLINK("http://slimages.macys.com/is/image/MCY/13367475 ")</f>
        <v xml:space="preserve">http://slimages.macys.com/is/image/MCY/13367475 </v>
      </c>
    </row>
    <row r="560" spans="1:12" ht="24.75" x14ac:dyDescent="0.25">
      <c r="A560" s="4" t="s">
        <v>5042</v>
      </c>
      <c r="B560" s="2" t="s">
        <v>2812</v>
      </c>
      <c r="C560" s="3">
        <v>1</v>
      </c>
      <c r="D560" s="5">
        <v>34.5</v>
      </c>
      <c r="E560" s="3">
        <v>100019421</v>
      </c>
      <c r="F560" s="2" t="s">
        <v>417</v>
      </c>
      <c r="G560" s="6" t="s">
        <v>27</v>
      </c>
      <c r="H560" s="2" t="s">
        <v>228</v>
      </c>
      <c r="I560" s="2" t="s">
        <v>229</v>
      </c>
      <c r="J560" s="2" t="s">
        <v>19</v>
      </c>
      <c r="K560" s="2" t="s">
        <v>353</v>
      </c>
      <c r="L560" s="7" t="str">
        <f>HYPERLINK("http://slimages.macys.com/is/image/MCY/11936020 ")</f>
        <v xml:space="preserve">http://slimages.macys.com/is/image/MCY/11936020 </v>
      </c>
    </row>
    <row r="561" spans="1:12" ht="24.75" x14ac:dyDescent="0.25">
      <c r="A561" s="4" t="s">
        <v>1535</v>
      </c>
      <c r="B561" s="2" t="s">
        <v>1533</v>
      </c>
      <c r="C561" s="3">
        <v>1</v>
      </c>
      <c r="D561" s="5">
        <v>37.130000000000003</v>
      </c>
      <c r="E561" s="3" t="s">
        <v>1534</v>
      </c>
      <c r="F561" s="2" t="s">
        <v>15</v>
      </c>
      <c r="G561" s="6"/>
      <c r="H561" s="2" t="s">
        <v>312</v>
      </c>
      <c r="I561" s="2" t="s">
        <v>195</v>
      </c>
      <c r="J561" s="2" t="s">
        <v>19</v>
      </c>
      <c r="K561" s="2" t="s">
        <v>353</v>
      </c>
      <c r="L561" s="7" t="str">
        <f>HYPERLINK("http://slimages.macys.com/is/image/MCY/12035001 ")</f>
        <v xml:space="preserve">http://slimages.macys.com/is/image/MCY/12035001 </v>
      </c>
    </row>
    <row r="562" spans="1:12" ht="24.75" x14ac:dyDescent="0.25">
      <c r="A562" s="4" t="s">
        <v>1543</v>
      </c>
      <c r="B562" s="2" t="s">
        <v>1539</v>
      </c>
      <c r="C562" s="3">
        <v>1</v>
      </c>
      <c r="D562" s="5">
        <v>26.99</v>
      </c>
      <c r="E562" s="3" t="s">
        <v>1540</v>
      </c>
      <c r="F562" s="2" t="s">
        <v>1234</v>
      </c>
      <c r="G562" s="6" t="s">
        <v>22</v>
      </c>
      <c r="H562" s="2" t="s">
        <v>1473</v>
      </c>
      <c r="I562" s="2" t="s">
        <v>1426</v>
      </c>
      <c r="J562" s="2" t="s">
        <v>19</v>
      </c>
      <c r="K562" s="2" t="s">
        <v>353</v>
      </c>
      <c r="L562" s="7" t="str">
        <f>HYPERLINK("http://slimages.macys.com/is/image/MCY/10786732 ")</f>
        <v xml:space="preserve">http://slimages.macys.com/is/image/MCY/10786732 </v>
      </c>
    </row>
    <row r="563" spans="1:12" ht="24.75" x14ac:dyDescent="0.25">
      <c r="A563" s="4" t="s">
        <v>2821</v>
      </c>
      <c r="B563" s="2" t="s">
        <v>1539</v>
      </c>
      <c r="C563" s="3">
        <v>1</v>
      </c>
      <c r="D563" s="5">
        <v>26.99</v>
      </c>
      <c r="E563" s="3" t="s">
        <v>1540</v>
      </c>
      <c r="F563" s="2" t="s">
        <v>998</v>
      </c>
      <c r="G563" s="6" t="s">
        <v>112</v>
      </c>
      <c r="H563" s="2" t="s">
        <v>1473</v>
      </c>
      <c r="I563" s="2" t="s">
        <v>1426</v>
      </c>
      <c r="J563" s="2" t="s">
        <v>19</v>
      </c>
      <c r="K563" s="2" t="s">
        <v>353</v>
      </c>
      <c r="L563" s="7" t="str">
        <f>HYPERLINK("http://slimages.macys.com/is/image/MCY/10786732 ")</f>
        <v xml:space="preserve">http://slimages.macys.com/is/image/MCY/10786732 </v>
      </c>
    </row>
    <row r="564" spans="1:12" ht="24.75" x14ac:dyDescent="0.25">
      <c r="A564" s="4" t="s">
        <v>2830</v>
      </c>
      <c r="B564" s="2" t="s">
        <v>1539</v>
      </c>
      <c r="C564" s="3">
        <v>2</v>
      </c>
      <c r="D564" s="5">
        <v>26.99</v>
      </c>
      <c r="E564" s="3" t="s">
        <v>1548</v>
      </c>
      <c r="F564" s="2" t="s">
        <v>998</v>
      </c>
      <c r="G564" s="6" t="s">
        <v>126</v>
      </c>
      <c r="H564" s="2" t="s">
        <v>1425</v>
      </c>
      <c r="I564" s="2" t="s">
        <v>1426</v>
      </c>
      <c r="J564" s="2" t="s">
        <v>19</v>
      </c>
      <c r="K564" s="2" t="s">
        <v>353</v>
      </c>
      <c r="L564" s="7" t="str">
        <f>HYPERLINK("http://slimages.macys.com/is/image/MCY/11092539 ")</f>
        <v xml:space="preserve">http://slimages.macys.com/is/image/MCY/11092539 </v>
      </c>
    </row>
    <row r="565" spans="1:12" ht="24.75" x14ac:dyDescent="0.25">
      <c r="A565" s="4" t="s">
        <v>3962</v>
      </c>
      <c r="B565" s="2" t="s">
        <v>1539</v>
      </c>
      <c r="C565" s="3">
        <v>1</v>
      </c>
      <c r="D565" s="5">
        <v>26.99</v>
      </c>
      <c r="E565" s="3" t="s">
        <v>1548</v>
      </c>
      <c r="F565" s="2" t="s">
        <v>252</v>
      </c>
      <c r="G565" s="6" t="s">
        <v>934</v>
      </c>
      <c r="H565" s="2" t="s">
        <v>1425</v>
      </c>
      <c r="I565" s="2" t="s">
        <v>1426</v>
      </c>
      <c r="J565" s="2" t="s">
        <v>19</v>
      </c>
      <c r="K565" s="2" t="s">
        <v>353</v>
      </c>
      <c r="L565" s="7" t="str">
        <f>HYPERLINK("http://slimages.macys.com/is/image/MCY/11092539 ")</f>
        <v xml:space="preserve">http://slimages.macys.com/is/image/MCY/11092539 </v>
      </c>
    </row>
    <row r="566" spans="1:12" ht="24.75" x14ac:dyDescent="0.25">
      <c r="A566" s="4" t="s">
        <v>2829</v>
      </c>
      <c r="B566" s="2" t="s">
        <v>1539</v>
      </c>
      <c r="C566" s="3">
        <v>2</v>
      </c>
      <c r="D566" s="5">
        <v>26.99</v>
      </c>
      <c r="E566" s="3" t="s">
        <v>1540</v>
      </c>
      <c r="F566" s="2" t="s">
        <v>70</v>
      </c>
      <c r="G566" s="6" t="s">
        <v>112</v>
      </c>
      <c r="H566" s="2" t="s">
        <v>1473</v>
      </c>
      <c r="I566" s="2" t="s">
        <v>1426</v>
      </c>
      <c r="J566" s="2" t="s">
        <v>19</v>
      </c>
      <c r="K566" s="2" t="s">
        <v>353</v>
      </c>
      <c r="L566" s="7" t="str">
        <f t="shared" ref="L566:L580" si="3">HYPERLINK("http://slimages.macys.com/is/image/MCY/10786732 ")</f>
        <v xml:space="preserve">http://slimages.macys.com/is/image/MCY/10786732 </v>
      </c>
    </row>
    <row r="567" spans="1:12" ht="24.75" x14ac:dyDescent="0.25">
      <c r="A567" s="4" t="s">
        <v>1551</v>
      </c>
      <c r="B567" s="2" t="s">
        <v>1539</v>
      </c>
      <c r="C567" s="3">
        <v>1</v>
      </c>
      <c r="D567" s="5">
        <v>26.99</v>
      </c>
      <c r="E567" s="3" t="s">
        <v>1540</v>
      </c>
      <c r="F567" s="2" t="s">
        <v>74</v>
      </c>
      <c r="G567" s="6" t="s">
        <v>141</v>
      </c>
      <c r="H567" s="2" t="s">
        <v>1473</v>
      </c>
      <c r="I567" s="2" t="s">
        <v>1426</v>
      </c>
      <c r="J567" s="2" t="s">
        <v>19</v>
      </c>
      <c r="K567" s="2" t="s">
        <v>353</v>
      </c>
      <c r="L567" s="7" t="str">
        <f t="shared" si="3"/>
        <v xml:space="preserve">http://slimages.macys.com/is/image/MCY/10786732 </v>
      </c>
    </row>
    <row r="568" spans="1:12" ht="24.75" x14ac:dyDescent="0.25">
      <c r="A568" s="4" t="s">
        <v>1538</v>
      </c>
      <c r="B568" s="2" t="s">
        <v>1539</v>
      </c>
      <c r="C568" s="3">
        <v>1</v>
      </c>
      <c r="D568" s="5">
        <v>26.99</v>
      </c>
      <c r="E568" s="3" t="s">
        <v>1540</v>
      </c>
      <c r="F568" s="2" t="s">
        <v>15</v>
      </c>
      <c r="G568" s="6" t="s">
        <v>22</v>
      </c>
      <c r="H568" s="2" t="s">
        <v>1473</v>
      </c>
      <c r="I568" s="2" t="s">
        <v>1426</v>
      </c>
      <c r="J568" s="2" t="s">
        <v>19</v>
      </c>
      <c r="K568" s="2" t="s">
        <v>353</v>
      </c>
      <c r="L568" s="7" t="str">
        <f t="shared" si="3"/>
        <v xml:space="preserve">http://slimages.macys.com/is/image/MCY/10786732 </v>
      </c>
    </row>
    <row r="569" spans="1:12" ht="24.75" x14ac:dyDescent="0.25">
      <c r="A569" s="4" t="s">
        <v>1541</v>
      </c>
      <c r="B569" s="2" t="s">
        <v>1539</v>
      </c>
      <c r="C569" s="3">
        <v>1</v>
      </c>
      <c r="D569" s="5">
        <v>26.99</v>
      </c>
      <c r="E569" s="3" t="s">
        <v>1540</v>
      </c>
      <c r="F569" s="2" t="s">
        <v>15</v>
      </c>
      <c r="G569" s="6" t="s">
        <v>106</v>
      </c>
      <c r="H569" s="2" t="s">
        <v>1473</v>
      </c>
      <c r="I569" s="2" t="s">
        <v>1426</v>
      </c>
      <c r="J569" s="2" t="s">
        <v>19</v>
      </c>
      <c r="K569" s="2" t="s">
        <v>353</v>
      </c>
      <c r="L569" s="7" t="str">
        <f t="shared" si="3"/>
        <v xml:space="preserve">http://slimages.macys.com/is/image/MCY/10786732 </v>
      </c>
    </row>
    <row r="570" spans="1:12" ht="24.75" x14ac:dyDescent="0.25">
      <c r="A570" s="4" t="s">
        <v>2819</v>
      </c>
      <c r="B570" s="2" t="s">
        <v>1539</v>
      </c>
      <c r="C570" s="3">
        <v>2</v>
      </c>
      <c r="D570" s="5">
        <v>26.99</v>
      </c>
      <c r="E570" s="3" t="s">
        <v>1540</v>
      </c>
      <c r="F570" s="2" t="s">
        <v>74</v>
      </c>
      <c r="G570" s="6" t="s">
        <v>22</v>
      </c>
      <c r="H570" s="2" t="s">
        <v>1473</v>
      </c>
      <c r="I570" s="2" t="s">
        <v>1426</v>
      </c>
      <c r="J570" s="2" t="s">
        <v>19</v>
      </c>
      <c r="K570" s="2" t="s">
        <v>353</v>
      </c>
      <c r="L570" s="7" t="str">
        <f t="shared" si="3"/>
        <v xml:space="preserve">http://slimages.macys.com/is/image/MCY/10786732 </v>
      </c>
    </row>
    <row r="571" spans="1:12" ht="24.75" x14ac:dyDescent="0.25">
      <c r="A571" s="4" t="s">
        <v>1545</v>
      </c>
      <c r="B571" s="2" t="s">
        <v>1539</v>
      </c>
      <c r="C571" s="3">
        <v>2</v>
      </c>
      <c r="D571" s="5">
        <v>26.99</v>
      </c>
      <c r="E571" s="3" t="s">
        <v>1540</v>
      </c>
      <c r="F571" s="2" t="s">
        <v>998</v>
      </c>
      <c r="G571" s="6" t="s">
        <v>58</v>
      </c>
      <c r="H571" s="2" t="s">
        <v>1473</v>
      </c>
      <c r="I571" s="2" t="s">
        <v>1426</v>
      </c>
      <c r="J571" s="2" t="s">
        <v>19</v>
      </c>
      <c r="K571" s="2" t="s">
        <v>353</v>
      </c>
      <c r="L571" s="7" t="str">
        <f t="shared" si="3"/>
        <v xml:space="preserve">http://slimages.macys.com/is/image/MCY/10786732 </v>
      </c>
    </row>
    <row r="572" spans="1:12" ht="24.75" x14ac:dyDescent="0.25">
      <c r="A572" s="4" t="s">
        <v>2826</v>
      </c>
      <c r="B572" s="2" t="s">
        <v>1539</v>
      </c>
      <c r="C572" s="3">
        <v>1</v>
      </c>
      <c r="D572" s="5">
        <v>26.99</v>
      </c>
      <c r="E572" s="3" t="s">
        <v>1540</v>
      </c>
      <c r="F572" s="2" t="s">
        <v>998</v>
      </c>
      <c r="G572" s="6" t="s">
        <v>27</v>
      </c>
      <c r="H572" s="2" t="s">
        <v>1473</v>
      </c>
      <c r="I572" s="2" t="s">
        <v>1426</v>
      </c>
      <c r="J572" s="2" t="s">
        <v>19</v>
      </c>
      <c r="K572" s="2" t="s">
        <v>353</v>
      </c>
      <c r="L572" s="7" t="str">
        <f t="shared" si="3"/>
        <v xml:space="preserve">http://slimages.macys.com/is/image/MCY/10786732 </v>
      </c>
    </row>
    <row r="573" spans="1:12" ht="24.75" x14ac:dyDescent="0.25">
      <c r="A573" s="4" t="s">
        <v>3957</v>
      </c>
      <c r="B573" s="2" t="s">
        <v>1539</v>
      </c>
      <c r="C573" s="3">
        <v>2</v>
      </c>
      <c r="D573" s="5">
        <v>26.99</v>
      </c>
      <c r="E573" s="3" t="s">
        <v>1540</v>
      </c>
      <c r="F573" s="2" t="s">
        <v>70</v>
      </c>
      <c r="G573" s="6" t="s">
        <v>16</v>
      </c>
      <c r="H573" s="2" t="s">
        <v>1473</v>
      </c>
      <c r="I573" s="2" t="s">
        <v>1426</v>
      </c>
      <c r="J573" s="2" t="s">
        <v>19</v>
      </c>
      <c r="K573" s="2" t="s">
        <v>353</v>
      </c>
      <c r="L573" s="7" t="str">
        <f t="shared" si="3"/>
        <v xml:space="preserve">http://slimages.macys.com/is/image/MCY/10786732 </v>
      </c>
    </row>
    <row r="574" spans="1:12" ht="24.75" x14ac:dyDescent="0.25">
      <c r="A574" s="4" t="s">
        <v>5043</v>
      </c>
      <c r="B574" s="2" t="s">
        <v>1539</v>
      </c>
      <c r="C574" s="3">
        <v>2</v>
      </c>
      <c r="D574" s="5">
        <v>26.99</v>
      </c>
      <c r="E574" s="3" t="s">
        <v>1540</v>
      </c>
      <c r="F574" s="2" t="s">
        <v>74</v>
      </c>
      <c r="G574" s="6" t="s">
        <v>106</v>
      </c>
      <c r="H574" s="2" t="s">
        <v>1473</v>
      </c>
      <c r="I574" s="2" t="s">
        <v>1426</v>
      </c>
      <c r="J574" s="2" t="s">
        <v>19</v>
      </c>
      <c r="K574" s="2" t="s">
        <v>353</v>
      </c>
      <c r="L574" s="7" t="str">
        <f t="shared" si="3"/>
        <v xml:space="preserve">http://slimages.macys.com/is/image/MCY/10786732 </v>
      </c>
    </row>
    <row r="575" spans="1:12" ht="24.75" x14ac:dyDescent="0.25">
      <c r="A575" s="4" t="s">
        <v>3958</v>
      </c>
      <c r="B575" s="2" t="s">
        <v>1539</v>
      </c>
      <c r="C575" s="3">
        <v>1</v>
      </c>
      <c r="D575" s="5">
        <v>26.99</v>
      </c>
      <c r="E575" s="3" t="s">
        <v>1540</v>
      </c>
      <c r="F575" s="2" t="s">
        <v>252</v>
      </c>
      <c r="G575" s="6" t="s">
        <v>58</v>
      </c>
      <c r="H575" s="2" t="s">
        <v>1473</v>
      </c>
      <c r="I575" s="2" t="s">
        <v>1426</v>
      </c>
      <c r="J575" s="2" t="s">
        <v>19</v>
      </c>
      <c r="K575" s="2" t="s">
        <v>353</v>
      </c>
      <c r="L575" s="7" t="str">
        <f t="shared" si="3"/>
        <v xml:space="preserve">http://slimages.macys.com/is/image/MCY/10786732 </v>
      </c>
    </row>
    <row r="576" spans="1:12" ht="24.75" x14ac:dyDescent="0.25">
      <c r="A576" s="4" t="s">
        <v>2825</v>
      </c>
      <c r="B576" s="2" t="s">
        <v>1539</v>
      </c>
      <c r="C576" s="3">
        <v>1</v>
      </c>
      <c r="D576" s="5">
        <v>26.99</v>
      </c>
      <c r="E576" s="3" t="s">
        <v>1540</v>
      </c>
      <c r="F576" s="2" t="s">
        <v>252</v>
      </c>
      <c r="G576" s="6" t="s">
        <v>22</v>
      </c>
      <c r="H576" s="2" t="s">
        <v>1473</v>
      </c>
      <c r="I576" s="2" t="s">
        <v>1426</v>
      </c>
      <c r="J576" s="2" t="s">
        <v>19</v>
      </c>
      <c r="K576" s="2" t="s">
        <v>353</v>
      </c>
      <c r="L576" s="7" t="str">
        <f t="shared" si="3"/>
        <v xml:space="preserve">http://slimages.macys.com/is/image/MCY/10786732 </v>
      </c>
    </row>
    <row r="577" spans="1:12" ht="24.75" x14ac:dyDescent="0.25">
      <c r="A577" s="4" t="s">
        <v>3955</v>
      </c>
      <c r="B577" s="2" t="s">
        <v>1539</v>
      </c>
      <c r="C577" s="3">
        <v>1</v>
      </c>
      <c r="D577" s="5">
        <v>26.99</v>
      </c>
      <c r="E577" s="3" t="s">
        <v>1540</v>
      </c>
      <c r="F577" s="2" t="s">
        <v>70</v>
      </c>
      <c r="G577" s="6" t="s">
        <v>27</v>
      </c>
      <c r="H577" s="2" t="s">
        <v>1473</v>
      </c>
      <c r="I577" s="2" t="s">
        <v>1426</v>
      </c>
      <c r="J577" s="2" t="s">
        <v>19</v>
      </c>
      <c r="K577" s="2" t="s">
        <v>353</v>
      </c>
      <c r="L577" s="7" t="str">
        <f t="shared" si="3"/>
        <v xml:space="preserve">http://slimages.macys.com/is/image/MCY/10786732 </v>
      </c>
    </row>
    <row r="578" spans="1:12" ht="24.75" x14ac:dyDescent="0.25">
      <c r="A578" s="4" t="s">
        <v>2823</v>
      </c>
      <c r="B578" s="2" t="s">
        <v>1539</v>
      </c>
      <c r="C578" s="3">
        <v>3</v>
      </c>
      <c r="D578" s="5">
        <v>26.99</v>
      </c>
      <c r="E578" s="3" t="s">
        <v>1540</v>
      </c>
      <c r="F578" s="2" t="s">
        <v>998</v>
      </c>
      <c r="G578" s="6" t="s">
        <v>106</v>
      </c>
      <c r="H578" s="2" t="s">
        <v>1473</v>
      </c>
      <c r="I578" s="2" t="s">
        <v>1426</v>
      </c>
      <c r="J578" s="2" t="s">
        <v>19</v>
      </c>
      <c r="K578" s="2" t="s">
        <v>353</v>
      </c>
      <c r="L578" s="7" t="str">
        <f t="shared" si="3"/>
        <v xml:space="preserve">http://slimages.macys.com/is/image/MCY/10786732 </v>
      </c>
    </row>
    <row r="579" spans="1:12" ht="24.75" x14ac:dyDescent="0.25">
      <c r="A579" s="4" t="s">
        <v>1552</v>
      </c>
      <c r="B579" s="2" t="s">
        <v>1539</v>
      </c>
      <c r="C579" s="3">
        <v>4</v>
      </c>
      <c r="D579" s="5">
        <v>26.99</v>
      </c>
      <c r="E579" s="3" t="s">
        <v>1540</v>
      </c>
      <c r="F579" s="2" t="s">
        <v>998</v>
      </c>
      <c r="G579" s="6" t="s">
        <v>22</v>
      </c>
      <c r="H579" s="2" t="s">
        <v>1473</v>
      </c>
      <c r="I579" s="2" t="s">
        <v>1426</v>
      </c>
      <c r="J579" s="2" t="s">
        <v>19</v>
      </c>
      <c r="K579" s="2" t="s">
        <v>353</v>
      </c>
      <c r="L579" s="7" t="str">
        <f t="shared" si="3"/>
        <v xml:space="preserve">http://slimages.macys.com/is/image/MCY/10786732 </v>
      </c>
    </row>
    <row r="580" spans="1:12" ht="24.75" x14ac:dyDescent="0.25">
      <c r="A580" s="4" t="s">
        <v>2824</v>
      </c>
      <c r="B580" s="2" t="s">
        <v>1539</v>
      </c>
      <c r="C580" s="3">
        <v>1</v>
      </c>
      <c r="D580" s="5">
        <v>26.99</v>
      </c>
      <c r="E580" s="3" t="s">
        <v>1540</v>
      </c>
      <c r="F580" s="2" t="s">
        <v>1234</v>
      </c>
      <c r="G580" s="6" t="s">
        <v>27</v>
      </c>
      <c r="H580" s="2" t="s">
        <v>1473</v>
      </c>
      <c r="I580" s="2" t="s">
        <v>1426</v>
      </c>
      <c r="J580" s="2" t="s">
        <v>19</v>
      </c>
      <c r="K580" s="2" t="s">
        <v>353</v>
      </c>
      <c r="L580" s="7" t="str">
        <f t="shared" si="3"/>
        <v xml:space="preserve">http://slimages.macys.com/is/image/MCY/10786732 </v>
      </c>
    </row>
    <row r="581" spans="1:12" ht="24.75" x14ac:dyDescent="0.25">
      <c r="A581" s="4" t="s">
        <v>5044</v>
      </c>
      <c r="B581" s="2" t="s">
        <v>1539</v>
      </c>
      <c r="C581" s="3">
        <v>1</v>
      </c>
      <c r="D581" s="5">
        <v>26.99</v>
      </c>
      <c r="E581" s="3" t="s">
        <v>1548</v>
      </c>
      <c r="F581" s="2" t="s">
        <v>252</v>
      </c>
      <c r="G581" s="6" t="s">
        <v>165</v>
      </c>
      <c r="H581" s="2" t="s">
        <v>1425</v>
      </c>
      <c r="I581" s="2" t="s">
        <v>1426</v>
      </c>
      <c r="J581" s="2" t="s">
        <v>19</v>
      </c>
      <c r="K581" s="2" t="s">
        <v>353</v>
      </c>
      <c r="L581" s="7" t="str">
        <f>HYPERLINK("http://slimages.macys.com/is/image/MCY/11092539 ")</f>
        <v xml:space="preserve">http://slimages.macys.com/is/image/MCY/11092539 </v>
      </c>
    </row>
    <row r="582" spans="1:12" ht="24.75" x14ac:dyDescent="0.25">
      <c r="A582" s="4" t="s">
        <v>5045</v>
      </c>
      <c r="B582" s="2" t="s">
        <v>1556</v>
      </c>
      <c r="C582" s="3">
        <v>1</v>
      </c>
      <c r="D582" s="5">
        <v>25.88</v>
      </c>
      <c r="E582" s="3">
        <v>100018059</v>
      </c>
      <c r="F582" s="2" t="s">
        <v>64</v>
      </c>
      <c r="G582" s="6" t="s">
        <v>200</v>
      </c>
      <c r="H582" s="2" t="s">
        <v>194</v>
      </c>
      <c r="I582" s="2" t="s">
        <v>195</v>
      </c>
      <c r="J582" s="2" t="s">
        <v>19</v>
      </c>
      <c r="K582" s="2" t="s">
        <v>648</v>
      </c>
      <c r="L582" s="7" t="str">
        <f>HYPERLINK("http://slimages.macys.com/is/image/MCY/9795496 ")</f>
        <v xml:space="preserve">http://slimages.macys.com/is/image/MCY/9795496 </v>
      </c>
    </row>
    <row r="583" spans="1:12" ht="24.75" x14ac:dyDescent="0.25">
      <c r="A583" s="4" t="s">
        <v>5046</v>
      </c>
      <c r="B583" s="2" t="s">
        <v>1559</v>
      </c>
      <c r="C583" s="3">
        <v>1</v>
      </c>
      <c r="D583" s="5">
        <v>24.99</v>
      </c>
      <c r="E583" s="3" t="s">
        <v>3967</v>
      </c>
      <c r="F583" s="2" t="s">
        <v>15</v>
      </c>
      <c r="G583" s="6" t="s">
        <v>154</v>
      </c>
      <c r="H583" s="2" t="s">
        <v>1522</v>
      </c>
      <c r="I583" s="2" t="s">
        <v>1469</v>
      </c>
      <c r="J583" s="2" t="s">
        <v>19</v>
      </c>
      <c r="K583" s="2" t="s">
        <v>353</v>
      </c>
      <c r="L583" s="7" t="str">
        <f>HYPERLINK("http://slimages.macys.com/is/image/MCY/9432476 ")</f>
        <v xml:space="preserve">http://slimages.macys.com/is/image/MCY/9432476 </v>
      </c>
    </row>
    <row r="584" spans="1:12" ht="24.75" x14ac:dyDescent="0.25">
      <c r="A584" s="4" t="s">
        <v>5047</v>
      </c>
      <c r="B584" s="2" t="s">
        <v>1559</v>
      </c>
      <c r="C584" s="3">
        <v>1</v>
      </c>
      <c r="D584" s="5">
        <v>24.99</v>
      </c>
      <c r="E584" s="3" t="s">
        <v>1564</v>
      </c>
      <c r="F584" s="2" t="s">
        <v>15</v>
      </c>
      <c r="G584" s="6"/>
      <c r="H584" s="2" t="s">
        <v>1425</v>
      </c>
      <c r="I584" s="2" t="s">
        <v>1469</v>
      </c>
      <c r="J584" s="2" t="s">
        <v>19</v>
      </c>
      <c r="K584" s="2" t="s">
        <v>353</v>
      </c>
      <c r="L584" s="7" t="str">
        <f>HYPERLINK("http://slimages.macys.com/is/image/MCY/11883694 ")</f>
        <v xml:space="preserve">http://slimages.macys.com/is/image/MCY/11883694 </v>
      </c>
    </row>
    <row r="585" spans="1:12" ht="24.75" x14ac:dyDescent="0.25">
      <c r="A585" s="4" t="s">
        <v>5048</v>
      </c>
      <c r="B585" s="2" t="s">
        <v>1559</v>
      </c>
      <c r="C585" s="3">
        <v>2</v>
      </c>
      <c r="D585" s="5">
        <v>24.99</v>
      </c>
      <c r="E585" s="3" t="s">
        <v>1564</v>
      </c>
      <c r="F585" s="2" t="s">
        <v>26</v>
      </c>
      <c r="G585" s="6"/>
      <c r="H585" s="2" t="s">
        <v>1425</v>
      </c>
      <c r="I585" s="2" t="s">
        <v>1469</v>
      </c>
      <c r="J585" s="2" t="s">
        <v>19</v>
      </c>
      <c r="K585" s="2" t="s">
        <v>353</v>
      </c>
      <c r="L585" s="7" t="str">
        <f>HYPERLINK("http://slimages.macys.com/is/image/MCY/11883694 ")</f>
        <v xml:space="preserve">http://slimages.macys.com/is/image/MCY/11883694 </v>
      </c>
    </row>
    <row r="586" spans="1:12" ht="24.75" x14ac:dyDescent="0.25">
      <c r="A586" s="4" t="s">
        <v>5049</v>
      </c>
      <c r="B586" s="2" t="s">
        <v>1559</v>
      </c>
      <c r="C586" s="3">
        <v>1</v>
      </c>
      <c r="D586" s="5">
        <v>24.99</v>
      </c>
      <c r="E586" s="3" t="s">
        <v>1564</v>
      </c>
      <c r="F586" s="2" t="s">
        <v>26</v>
      </c>
      <c r="G586" s="6"/>
      <c r="H586" s="2" t="s">
        <v>1425</v>
      </c>
      <c r="I586" s="2" t="s">
        <v>1469</v>
      </c>
      <c r="J586" s="2" t="s">
        <v>19</v>
      </c>
      <c r="K586" s="2" t="s">
        <v>353</v>
      </c>
      <c r="L586" s="7" t="str">
        <f>HYPERLINK("http://slimages.macys.com/is/image/MCY/11883694 ")</f>
        <v xml:space="preserve">http://slimages.macys.com/is/image/MCY/11883694 </v>
      </c>
    </row>
    <row r="587" spans="1:12" ht="36.75" x14ac:dyDescent="0.25">
      <c r="A587" s="4" t="s">
        <v>2844</v>
      </c>
      <c r="B587" s="2" t="s">
        <v>2840</v>
      </c>
      <c r="C587" s="3">
        <v>1</v>
      </c>
      <c r="D587" s="5">
        <v>33.380000000000003</v>
      </c>
      <c r="E587" s="3" t="s">
        <v>2841</v>
      </c>
      <c r="F587" s="2" t="s">
        <v>676</v>
      </c>
      <c r="G587" s="6" t="s">
        <v>181</v>
      </c>
      <c r="H587" s="2" t="s">
        <v>194</v>
      </c>
      <c r="I587" s="2" t="s">
        <v>195</v>
      </c>
      <c r="J587" s="2" t="s">
        <v>19</v>
      </c>
      <c r="K587" s="2" t="s">
        <v>2842</v>
      </c>
      <c r="L587" s="7" t="str">
        <f>HYPERLINK("http://slimages.macys.com/is/image/MCY/12143804 ")</f>
        <v xml:space="preserve">http://slimages.macys.com/is/image/MCY/12143804 </v>
      </c>
    </row>
    <row r="588" spans="1:12" ht="36.75" x14ac:dyDescent="0.25">
      <c r="A588" s="4" t="s">
        <v>5050</v>
      </c>
      <c r="B588" s="2" t="s">
        <v>1575</v>
      </c>
      <c r="C588" s="3">
        <v>1</v>
      </c>
      <c r="D588" s="5">
        <v>33.380000000000003</v>
      </c>
      <c r="E588" s="3" t="s">
        <v>1576</v>
      </c>
      <c r="F588" s="2" t="s">
        <v>15</v>
      </c>
      <c r="G588" s="6" t="s">
        <v>156</v>
      </c>
      <c r="H588" s="2" t="s">
        <v>194</v>
      </c>
      <c r="I588" s="2" t="s">
        <v>195</v>
      </c>
      <c r="J588" s="2" t="s">
        <v>19</v>
      </c>
      <c r="K588" s="2" t="s">
        <v>1577</v>
      </c>
      <c r="L588" s="7" t="str">
        <f>HYPERLINK("http://slimages.macys.com/is/image/MCY/12734297 ")</f>
        <v xml:space="preserve">http://slimages.macys.com/is/image/MCY/12734297 </v>
      </c>
    </row>
    <row r="589" spans="1:12" ht="36.75" x14ac:dyDescent="0.25">
      <c r="A589" s="4" t="s">
        <v>3975</v>
      </c>
      <c r="B589" s="2" t="s">
        <v>2840</v>
      </c>
      <c r="C589" s="3">
        <v>3</v>
      </c>
      <c r="D589" s="5">
        <v>33.380000000000003</v>
      </c>
      <c r="E589" s="3" t="s">
        <v>2841</v>
      </c>
      <c r="F589" s="2" t="s">
        <v>676</v>
      </c>
      <c r="G589" s="6" t="s">
        <v>234</v>
      </c>
      <c r="H589" s="2" t="s">
        <v>194</v>
      </c>
      <c r="I589" s="2" t="s">
        <v>195</v>
      </c>
      <c r="J589" s="2" t="s">
        <v>19</v>
      </c>
      <c r="K589" s="2" t="s">
        <v>2842</v>
      </c>
      <c r="L589" s="7" t="str">
        <f>HYPERLINK("http://slimages.macys.com/is/image/MCY/12143804 ")</f>
        <v xml:space="preserve">http://slimages.macys.com/is/image/MCY/12143804 </v>
      </c>
    </row>
    <row r="590" spans="1:12" ht="24.75" x14ac:dyDescent="0.25">
      <c r="A590" s="4" t="s">
        <v>5051</v>
      </c>
      <c r="B590" s="2" t="s">
        <v>1582</v>
      </c>
      <c r="C590" s="3">
        <v>1</v>
      </c>
      <c r="D590" s="5">
        <v>25.89</v>
      </c>
      <c r="E590" s="3" t="s">
        <v>1583</v>
      </c>
      <c r="F590" s="2" t="s">
        <v>74</v>
      </c>
      <c r="G590" s="6" t="s">
        <v>234</v>
      </c>
      <c r="H590" s="2" t="s">
        <v>284</v>
      </c>
      <c r="I590" s="2" t="s">
        <v>285</v>
      </c>
      <c r="J590" s="2" t="s">
        <v>19</v>
      </c>
      <c r="K590" s="2" t="s">
        <v>247</v>
      </c>
      <c r="L590" s="7" t="str">
        <f>HYPERLINK("http://slimages.macys.com/is/image/MCY/13302247 ")</f>
        <v xml:space="preserve">http://slimages.macys.com/is/image/MCY/13302247 </v>
      </c>
    </row>
    <row r="591" spans="1:12" ht="24.75" x14ac:dyDescent="0.25">
      <c r="A591" s="4" t="s">
        <v>2854</v>
      </c>
      <c r="B591" s="2" t="s">
        <v>1586</v>
      </c>
      <c r="C591" s="3">
        <v>1</v>
      </c>
      <c r="D591" s="5">
        <v>21.99</v>
      </c>
      <c r="E591" s="3" t="s">
        <v>1587</v>
      </c>
      <c r="F591" s="2" t="s">
        <v>136</v>
      </c>
      <c r="G591" s="6"/>
      <c r="H591" s="2" t="s">
        <v>1425</v>
      </c>
      <c r="I591" s="2" t="s">
        <v>1426</v>
      </c>
      <c r="J591" s="2" t="s">
        <v>19</v>
      </c>
      <c r="K591" s="2" t="s">
        <v>34</v>
      </c>
      <c r="L591" s="7" t="str">
        <f>HYPERLINK("http://slimages.macys.com/is/image/MCY/11174709 ")</f>
        <v xml:space="preserve">http://slimages.macys.com/is/image/MCY/11174709 </v>
      </c>
    </row>
    <row r="592" spans="1:12" ht="24.75" x14ac:dyDescent="0.25">
      <c r="A592" s="4" t="s">
        <v>5052</v>
      </c>
      <c r="B592" s="2" t="s">
        <v>1600</v>
      </c>
      <c r="C592" s="3">
        <v>1</v>
      </c>
      <c r="D592" s="5">
        <v>21.99</v>
      </c>
      <c r="E592" s="3" t="s">
        <v>1601</v>
      </c>
      <c r="F592" s="2" t="s">
        <v>15</v>
      </c>
      <c r="G592" s="6"/>
      <c r="H592" s="2" t="s">
        <v>1425</v>
      </c>
      <c r="I592" s="2" t="s">
        <v>1426</v>
      </c>
      <c r="J592" s="2"/>
      <c r="K592" s="2"/>
      <c r="L592" s="7" t="str">
        <f>HYPERLINK("http://slimages.macys.com/is/image/MCY/10205122 ")</f>
        <v xml:space="preserve">http://slimages.macys.com/is/image/MCY/10205122 </v>
      </c>
    </row>
    <row r="593" spans="1:12" ht="24.75" x14ac:dyDescent="0.25">
      <c r="A593" s="4" t="s">
        <v>5053</v>
      </c>
      <c r="B593" s="2" t="s">
        <v>1600</v>
      </c>
      <c r="C593" s="3">
        <v>1</v>
      </c>
      <c r="D593" s="5">
        <v>21.99</v>
      </c>
      <c r="E593" s="3" t="s">
        <v>1601</v>
      </c>
      <c r="F593" s="2" t="s">
        <v>15</v>
      </c>
      <c r="G593" s="6"/>
      <c r="H593" s="2" t="s">
        <v>1425</v>
      </c>
      <c r="I593" s="2" t="s">
        <v>1426</v>
      </c>
      <c r="J593" s="2"/>
      <c r="K593" s="2"/>
      <c r="L593" s="7" t="str">
        <f>HYPERLINK("http://slimages.macys.com/is/image/MCY/10205122 ")</f>
        <v xml:space="preserve">http://slimages.macys.com/is/image/MCY/10205122 </v>
      </c>
    </row>
    <row r="594" spans="1:12" ht="24.75" x14ac:dyDescent="0.25">
      <c r="A594" s="4" t="s">
        <v>1589</v>
      </c>
      <c r="B594" s="2" t="s">
        <v>1586</v>
      </c>
      <c r="C594" s="3">
        <v>1</v>
      </c>
      <c r="D594" s="5">
        <v>21.99</v>
      </c>
      <c r="E594" s="3" t="s">
        <v>1587</v>
      </c>
      <c r="F594" s="2" t="s">
        <v>15</v>
      </c>
      <c r="G594" s="6"/>
      <c r="H594" s="2" t="s">
        <v>1425</v>
      </c>
      <c r="I594" s="2" t="s">
        <v>1426</v>
      </c>
      <c r="J594" s="2" t="s">
        <v>19</v>
      </c>
      <c r="K594" s="2" t="s">
        <v>34</v>
      </c>
      <c r="L594" s="7" t="str">
        <f>HYPERLINK("http://slimages.macys.com/is/image/MCY/11174709 ")</f>
        <v xml:space="preserve">http://slimages.macys.com/is/image/MCY/11174709 </v>
      </c>
    </row>
    <row r="595" spans="1:12" ht="24.75" x14ac:dyDescent="0.25">
      <c r="A595" s="4" t="s">
        <v>5054</v>
      </c>
      <c r="B595" s="2" t="s">
        <v>1600</v>
      </c>
      <c r="C595" s="3">
        <v>1</v>
      </c>
      <c r="D595" s="5">
        <v>21.99</v>
      </c>
      <c r="E595" s="3" t="s">
        <v>1601</v>
      </c>
      <c r="F595" s="2" t="s">
        <v>136</v>
      </c>
      <c r="G595" s="6"/>
      <c r="H595" s="2" t="s">
        <v>1425</v>
      </c>
      <c r="I595" s="2" t="s">
        <v>1426</v>
      </c>
      <c r="J595" s="2"/>
      <c r="K595" s="2"/>
      <c r="L595" s="7" t="str">
        <f>HYPERLINK("http://slimages.macys.com/is/image/MCY/10205122 ")</f>
        <v xml:space="preserve">http://slimages.macys.com/is/image/MCY/10205122 </v>
      </c>
    </row>
    <row r="596" spans="1:12" ht="24.75" x14ac:dyDescent="0.25">
      <c r="A596" s="4" t="s">
        <v>5055</v>
      </c>
      <c r="B596" s="2" t="s">
        <v>1586</v>
      </c>
      <c r="C596" s="3">
        <v>1</v>
      </c>
      <c r="D596" s="5">
        <v>21.99</v>
      </c>
      <c r="E596" s="3" t="s">
        <v>1587</v>
      </c>
      <c r="F596" s="2" t="s">
        <v>1234</v>
      </c>
      <c r="G596" s="6" t="s">
        <v>187</v>
      </c>
      <c r="H596" s="2" t="s">
        <v>1425</v>
      </c>
      <c r="I596" s="2" t="s">
        <v>1426</v>
      </c>
      <c r="J596" s="2" t="s">
        <v>19</v>
      </c>
      <c r="K596" s="2" t="s">
        <v>34</v>
      </c>
      <c r="L596" s="7" t="str">
        <f>HYPERLINK("http://slimages.macys.com/is/image/MCY/11174709 ")</f>
        <v xml:space="preserve">http://slimages.macys.com/is/image/MCY/11174709 </v>
      </c>
    </row>
    <row r="597" spans="1:12" ht="24.75" x14ac:dyDescent="0.25">
      <c r="A597" s="4" t="s">
        <v>3985</v>
      </c>
      <c r="B597" s="2" t="s">
        <v>1600</v>
      </c>
      <c r="C597" s="3">
        <v>1</v>
      </c>
      <c r="D597" s="5">
        <v>21.99</v>
      </c>
      <c r="E597" s="3" t="s">
        <v>1601</v>
      </c>
      <c r="F597" s="2" t="s">
        <v>1234</v>
      </c>
      <c r="G597" s="6"/>
      <c r="H597" s="2" t="s">
        <v>1425</v>
      </c>
      <c r="I597" s="2" t="s">
        <v>1426</v>
      </c>
      <c r="J597" s="2"/>
      <c r="K597" s="2"/>
      <c r="L597" s="7" t="str">
        <f>HYPERLINK("http://slimages.macys.com/is/image/MCY/10205122 ")</f>
        <v xml:space="preserve">http://slimages.macys.com/is/image/MCY/10205122 </v>
      </c>
    </row>
    <row r="598" spans="1:12" ht="24.75" x14ac:dyDescent="0.25">
      <c r="A598" s="4" t="s">
        <v>3977</v>
      </c>
      <c r="B598" s="2" t="s">
        <v>1600</v>
      </c>
      <c r="C598" s="3">
        <v>2</v>
      </c>
      <c r="D598" s="5">
        <v>21.99</v>
      </c>
      <c r="E598" s="3" t="s">
        <v>1601</v>
      </c>
      <c r="F598" s="2" t="s">
        <v>136</v>
      </c>
      <c r="G598" s="6"/>
      <c r="H598" s="2" t="s">
        <v>1425</v>
      </c>
      <c r="I598" s="2" t="s">
        <v>1426</v>
      </c>
      <c r="J598" s="2"/>
      <c r="K598" s="2"/>
      <c r="L598" s="7" t="str">
        <f>HYPERLINK("http://slimages.macys.com/is/image/MCY/10205122 ")</f>
        <v xml:space="preserve">http://slimages.macys.com/is/image/MCY/10205122 </v>
      </c>
    </row>
    <row r="599" spans="1:12" ht="24.75" x14ac:dyDescent="0.25">
      <c r="A599" s="4" t="s">
        <v>1625</v>
      </c>
      <c r="B599" s="2" t="s">
        <v>1529</v>
      </c>
      <c r="C599" s="3">
        <v>1</v>
      </c>
      <c r="D599" s="5">
        <v>37.130000000000003</v>
      </c>
      <c r="E599" s="3" t="s">
        <v>1530</v>
      </c>
      <c r="F599" s="2" t="s">
        <v>998</v>
      </c>
      <c r="G599" s="6" t="s">
        <v>126</v>
      </c>
      <c r="H599" s="2" t="s">
        <v>312</v>
      </c>
      <c r="I599" s="2" t="s">
        <v>195</v>
      </c>
      <c r="J599" s="2" t="s">
        <v>19</v>
      </c>
      <c r="K599" s="2" t="s">
        <v>353</v>
      </c>
      <c r="L599" s="7" t="str">
        <f>HYPERLINK("http://slimages.macys.com/is/image/MCY/11938040 ")</f>
        <v xml:space="preserve">http://slimages.macys.com/is/image/MCY/11938040 </v>
      </c>
    </row>
    <row r="600" spans="1:12" ht="24.75" x14ac:dyDescent="0.25">
      <c r="A600" s="4" t="s">
        <v>1622</v>
      </c>
      <c r="B600" s="2" t="s">
        <v>1529</v>
      </c>
      <c r="C600" s="3">
        <v>1</v>
      </c>
      <c r="D600" s="5">
        <v>37.130000000000003</v>
      </c>
      <c r="E600" s="3" t="s">
        <v>1530</v>
      </c>
      <c r="F600" s="2" t="s">
        <v>998</v>
      </c>
      <c r="G600" s="6" t="s">
        <v>802</v>
      </c>
      <c r="H600" s="2" t="s">
        <v>312</v>
      </c>
      <c r="I600" s="2" t="s">
        <v>195</v>
      </c>
      <c r="J600" s="2" t="s">
        <v>19</v>
      </c>
      <c r="K600" s="2" t="s">
        <v>353</v>
      </c>
      <c r="L600" s="7" t="str">
        <f>HYPERLINK("http://slimages.macys.com/is/image/MCY/11938040 ")</f>
        <v xml:space="preserve">http://slimages.macys.com/is/image/MCY/11938040 </v>
      </c>
    </row>
    <row r="601" spans="1:12" ht="24.75" x14ac:dyDescent="0.25">
      <c r="A601" s="4" t="s">
        <v>5056</v>
      </c>
      <c r="B601" s="2" t="s">
        <v>2859</v>
      </c>
      <c r="C601" s="3">
        <v>3</v>
      </c>
      <c r="D601" s="5">
        <v>24.99</v>
      </c>
      <c r="E601" s="3" t="s">
        <v>2860</v>
      </c>
      <c r="F601" s="2" t="s">
        <v>252</v>
      </c>
      <c r="G601" s="6"/>
      <c r="H601" s="2" t="s">
        <v>1425</v>
      </c>
      <c r="I601" s="2" t="s">
        <v>1426</v>
      </c>
      <c r="J601" s="2" t="s">
        <v>19</v>
      </c>
      <c r="K601" s="2" t="s">
        <v>648</v>
      </c>
      <c r="L601" s="7" t="str">
        <f>HYPERLINK("http://slimages.macys.com/is/image/MCY/11915841 ")</f>
        <v xml:space="preserve">http://slimages.macys.com/is/image/MCY/11915841 </v>
      </c>
    </row>
    <row r="602" spans="1:12" ht="24.75" x14ac:dyDescent="0.25">
      <c r="A602" s="4" t="s">
        <v>5057</v>
      </c>
      <c r="B602" s="2" t="s">
        <v>2856</v>
      </c>
      <c r="C602" s="3">
        <v>3</v>
      </c>
      <c r="D602" s="5">
        <v>24.99</v>
      </c>
      <c r="E602" s="3" t="s">
        <v>2857</v>
      </c>
      <c r="F602" s="2" t="s">
        <v>15</v>
      </c>
      <c r="G602" s="6"/>
      <c r="H602" s="2" t="s">
        <v>1425</v>
      </c>
      <c r="I602" s="2" t="s">
        <v>1426</v>
      </c>
      <c r="J602" s="2" t="s">
        <v>19</v>
      </c>
      <c r="K602" s="2" t="s">
        <v>495</v>
      </c>
      <c r="L602" s="7" t="str">
        <f>HYPERLINK("http://slimages.macys.com/is/image/MCY/11831271 ")</f>
        <v xml:space="preserve">http://slimages.macys.com/is/image/MCY/11831271 </v>
      </c>
    </row>
    <row r="603" spans="1:12" ht="24.75" x14ac:dyDescent="0.25">
      <c r="A603" s="4" t="s">
        <v>5058</v>
      </c>
      <c r="B603" s="2" t="s">
        <v>2856</v>
      </c>
      <c r="C603" s="3">
        <v>1</v>
      </c>
      <c r="D603" s="5">
        <v>24.99</v>
      </c>
      <c r="E603" s="3" t="s">
        <v>2857</v>
      </c>
      <c r="F603" s="2" t="s">
        <v>15</v>
      </c>
      <c r="G603" s="6" t="s">
        <v>187</v>
      </c>
      <c r="H603" s="2" t="s">
        <v>1425</v>
      </c>
      <c r="I603" s="2" t="s">
        <v>1426</v>
      </c>
      <c r="J603" s="2" t="s">
        <v>19</v>
      </c>
      <c r="K603" s="2" t="s">
        <v>495</v>
      </c>
      <c r="L603" s="7" t="str">
        <f>HYPERLINK("http://slimages.macys.com/is/image/MCY/11831271 ")</f>
        <v xml:space="preserve">http://slimages.macys.com/is/image/MCY/11831271 </v>
      </c>
    </row>
    <row r="604" spans="1:12" ht="24.75" x14ac:dyDescent="0.25">
      <c r="A604" s="4" t="s">
        <v>5059</v>
      </c>
      <c r="B604" s="2" t="s">
        <v>2856</v>
      </c>
      <c r="C604" s="3">
        <v>2</v>
      </c>
      <c r="D604" s="5">
        <v>24.99</v>
      </c>
      <c r="E604" s="3" t="s">
        <v>2857</v>
      </c>
      <c r="F604" s="2" t="s">
        <v>15</v>
      </c>
      <c r="G604" s="6"/>
      <c r="H604" s="2" t="s">
        <v>1425</v>
      </c>
      <c r="I604" s="2" t="s">
        <v>1426</v>
      </c>
      <c r="J604" s="2" t="s">
        <v>19</v>
      </c>
      <c r="K604" s="2" t="s">
        <v>495</v>
      </c>
      <c r="L604" s="7" t="str">
        <f>HYPERLINK("http://slimages.macys.com/is/image/MCY/11831271 ")</f>
        <v xml:space="preserve">http://slimages.macys.com/is/image/MCY/11831271 </v>
      </c>
    </row>
    <row r="605" spans="1:12" ht="24.75" x14ac:dyDescent="0.25">
      <c r="A605" s="4" t="s">
        <v>5060</v>
      </c>
      <c r="B605" s="2" t="s">
        <v>2856</v>
      </c>
      <c r="C605" s="3">
        <v>2</v>
      </c>
      <c r="D605" s="5">
        <v>24.99</v>
      </c>
      <c r="E605" s="3" t="s">
        <v>2857</v>
      </c>
      <c r="F605" s="2" t="s">
        <v>15</v>
      </c>
      <c r="G605" s="6" t="s">
        <v>219</v>
      </c>
      <c r="H605" s="2" t="s">
        <v>1425</v>
      </c>
      <c r="I605" s="2" t="s">
        <v>1426</v>
      </c>
      <c r="J605" s="2" t="s">
        <v>19</v>
      </c>
      <c r="K605" s="2" t="s">
        <v>495</v>
      </c>
      <c r="L605" s="7" t="str">
        <f>HYPERLINK("http://slimages.macys.com/is/image/MCY/11831271 ")</f>
        <v xml:space="preserve">http://slimages.macys.com/is/image/MCY/11831271 </v>
      </c>
    </row>
    <row r="606" spans="1:12" ht="24.75" x14ac:dyDescent="0.25">
      <c r="A606" s="4" t="s">
        <v>2867</v>
      </c>
      <c r="B606" s="2" t="s">
        <v>1627</v>
      </c>
      <c r="C606" s="3">
        <v>1</v>
      </c>
      <c r="D606" s="5">
        <v>25.88</v>
      </c>
      <c r="E606" s="3" t="s">
        <v>1628</v>
      </c>
      <c r="F606" s="2" t="s">
        <v>70</v>
      </c>
      <c r="G606" s="6" t="s">
        <v>234</v>
      </c>
      <c r="H606" s="2" t="s">
        <v>194</v>
      </c>
      <c r="I606" s="2" t="s">
        <v>195</v>
      </c>
      <c r="J606" s="2" t="s">
        <v>19</v>
      </c>
      <c r="K606" s="2" t="s">
        <v>1629</v>
      </c>
      <c r="L606" s="7" t="str">
        <f>HYPERLINK("http://slimages.macys.com/is/image/MCY/11531058 ")</f>
        <v xml:space="preserve">http://slimages.macys.com/is/image/MCY/11531058 </v>
      </c>
    </row>
    <row r="607" spans="1:12" ht="24.75" x14ac:dyDescent="0.25">
      <c r="A607" s="4" t="s">
        <v>5061</v>
      </c>
      <c r="B607" s="2" t="s">
        <v>1627</v>
      </c>
      <c r="C607" s="3">
        <v>2</v>
      </c>
      <c r="D607" s="5">
        <v>25.88</v>
      </c>
      <c r="E607" s="3" t="s">
        <v>1628</v>
      </c>
      <c r="F607" s="2" t="s">
        <v>70</v>
      </c>
      <c r="G607" s="6" t="s">
        <v>154</v>
      </c>
      <c r="H607" s="2" t="s">
        <v>194</v>
      </c>
      <c r="I607" s="2" t="s">
        <v>195</v>
      </c>
      <c r="J607" s="2" t="s">
        <v>19</v>
      </c>
      <c r="K607" s="2" t="s">
        <v>1629</v>
      </c>
      <c r="L607" s="7" t="str">
        <f>HYPERLINK("http://slimages.macys.com/is/image/MCY/11531058 ")</f>
        <v xml:space="preserve">http://slimages.macys.com/is/image/MCY/11531058 </v>
      </c>
    </row>
    <row r="608" spans="1:12" ht="24.75" x14ac:dyDescent="0.25">
      <c r="A608" s="4" t="s">
        <v>2868</v>
      </c>
      <c r="B608" s="2" t="s">
        <v>1627</v>
      </c>
      <c r="C608" s="3">
        <v>1</v>
      </c>
      <c r="D608" s="5">
        <v>25.88</v>
      </c>
      <c r="E608" s="3" t="s">
        <v>1628</v>
      </c>
      <c r="F608" s="2" t="s">
        <v>70</v>
      </c>
      <c r="G608" s="6" t="s">
        <v>181</v>
      </c>
      <c r="H608" s="2" t="s">
        <v>194</v>
      </c>
      <c r="I608" s="2" t="s">
        <v>195</v>
      </c>
      <c r="J608" s="2" t="s">
        <v>19</v>
      </c>
      <c r="K608" s="2" t="s">
        <v>1629</v>
      </c>
      <c r="L608" s="7" t="str">
        <f>HYPERLINK("http://slimages.macys.com/is/image/MCY/11531058 ")</f>
        <v xml:space="preserve">http://slimages.macys.com/is/image/MCY/11531058 </v>
      </c>
    </row>
    <row r="609" spans="1:12" ht="24.75" x14ac:dyDescent="0.25">
      <c r="A609" s="4" t="s">
        <v>1630</v>
      </c>
      <c r="B609" s="2" t="s">
        <v>1627</v>
      </c>
      <c r="C609" s="3">
        <v>1</v>
      </c>
      <c r="D609" s="5">
        <v>25.88</v>
      </c>
      <c r="E609" s="3" t="s">
        <v>1628</v>
      </c>
      <c r="F609" s="2" t="s">
        <v>70</v>
      </c>
      <c r="G609" s="6" t="s">
        <v>156</v>
      </c>
      <c r="H609" s="2" t="s">
        <v>194</v>
      </c>
      <c r="I609" s="2" t="s">
        <v>195</v>
      </c>
      <c r="J609" s="2" t="s">
        <v>19</v>
      </c>
      <c r="K609" s="2" t="s">
        <v>1629</v>
      </c>
      <c r="L609" s="7" t="str">
        <f>HYPERLINK("http://slimages.macys.com/is/image/MCY/11531058 ")</f>
        <v xml:space="preserve">http://slimages.macys.com/is/image/MCY/11531058 </v>
      </c>
    </row>
    <row r="610" spans="1:12" ht="24.75" x14ac:dyDescent="0.25">
      <c r="A610" s="4" t="s">
        <v>5062</v>
      </c>
      <c r="B610" s="2" t="s">
        <v>5063</v>
      </c>
      <c r="C610" s="3">
        <v>1</v>
      </c>
      <c r="D610" s="5">
        <v>26.99</v>
      </c>
      <c r="E610" s="3" t="s">
        <v>5064</v>
      </c>
      <c r="F610" s="2" t="s">
        <v>15</v>
      </c>
      <c r="G610" s="6" t="s">
        <v>746</v>
      </c>
      <c r="H610" s="2" t="s">
        <v>349</v>
      </c>
      <c r="I610" s="2" t="s">
        <v>285</v>
      </c>
      <c r="J610" s="2" t="s">
        <v>19</v>
      </c>
      <c r="K610" s="2" t="s">
        <v>247</v>
      </c>
      <c r="L610" s="7" t="str">
        <f>HYPERLINK("http://slimages.macys.com/is/image/MCY/13936289 ")</f>
        <v xml:space="preserve">http://slimages.macys.com/is/image/MCY/13936289 </v>
      </c>
    </row>
    <row r="611" spans="1:12" ht="24.75" x14ac:dyDescent="0.25">
      <c r="A611" s="4" t="s">
        <v>5065</v>
      </c>
      <c r="B611" s="2" t="s">
        <v>5066</v>
      </c>
      <c r="C611" s="3">
        <v>1</v>
      </c>
      <c r="D611" s="5">
        <v>21.99</v>
      </c>
      <c r="E611" s="3" t="s">
        <v>5067</v>
      </c>
      <c r="F611" s="2" t="s">
        <v>26</v>
      </c>
      <c r="G611" s="6" t="s">
        <v>245</v>
      </c>
      <c r="H611" s="2" t="s">
        <v>194</v>
      </c>
      <c r="I611" s="2" t="s">
        <v>503</v>
      </c>
      <c r="J611" s="2" t="s">
        <v>19</v>
      </c>
      <c r="K611" s="2" t="s">
        <v>353</v>
      </c>
      <c r="L611" s="7" t="str">
        <f>HYPERLINK("http://slimages.macys.com/is/image/MCY/9824930 ")</f>
        <v xml:space="preserve">http://slimages.macys.com/is/image/MCY/9824930 </v>
      </c>
    </row>
    <row r="612" spans="1:12" ht="24.75" x14ac:dyDescent="0.25">
      <c r="A612" s="4" t="s">
        <v>5068</v>
      </c>
      <c r="B612" s="2" t="s">
        <v>5063</v>
      </c>
      <c r="C612" s="3">
        <v>1</v>
      </c>
      <c r="D612" s="5">
        <v>26.99</v>
      </c>
      <c r="E612" s="3" t="s">
        <v>5064</v>
      </c>
      <c r="F612" s="2" t="s">
        <v>15</v>
      </c>
      <c r="G612" s="6" t="s">
        <v>348</v>
      </c>
      <c r="H612" s="2" t="s">
        <v>349</v>
      </c>
      <c r="I612" s="2" t="s">
        <v>285</v>
      </c>
      <c r="J612" s="2" t="s">
        <v>19</v>
      </c>
      <c r="K612" s="2" t="s">
        <v>247</v>
      </c>
      <c r="L612" s="7" t="str">
        <f>HYPERLINK("http://slimages.macys.com/is/image/MCY/13936289 ")</f>
        <v xml:space="preserve">http://slimages.macys.com/is/image/MCY/13936289 </v>
      </c>
    </row>
    <row r="613" spans="1:12" ht="24.75" x14ac:dyDescent="0.25">
      <c r="A613" s="4" t="s">
        <v>5069</v>
      </c>
      <c r="B613" s="2" t="s">
        <v>1635</v>
      </c>
      <c r="C613" s="3">
        <v>1</v>
      </c>
      <c r="D613" s="5">
        <v>25.88</v>
      </c>
      <c r="E613" s="3">
        <v>100011992</v>
      </c>
      <c r="F613" s="2" t="s">
        <v>57</v>
      </c>
      <c r="G613" s="6" t="s">
        <v>156</v>
      </c>
      <c r="H613" s="2" t="s">
        <v>194</v>
      </c>
      <c r="I613" s="2" t="s">
        <v>195</v>
      </c>
      <c r="J613" s="2" t="s">
        <v>19</v>
      </c>
      <c r="K613" s="2" t="s">
        <v>1617</v>
      </c>
      <c r="L613" s="7" t="str">
        <f t="shared" ref="L613:L619" si="4">HYPERLINK("http://slimages.macys.com/is/image/MCY/13314771 ")</f>
        <v xml:space="preserve">http://slimages.macys.com/is/image/MCY/13314771 </v>
      </c>
    </row>
    <row r="614" spans="1:12" ht="24.75" x14ac:dyDescent="0.25">
      <c r="A614" s="4" t="s">
        <v>2869</v>
      </c>
      <c r="B614" s="2" t="s">
        <v>1635</v>
      </c>
      <c r="C614" s="3">
        <v>1</v>
      </c>
      <c r="D614" s="5">
        <v>25.88</v>
      </c>
      <c r="E614" s="3">
        <v>100011992</v>
      </c>
      <c r="F614" s="2" t="s">
        <v>57</v>
      </c>
      <c r="G614" s="6" t="s">
        <v>154</v>
      </c>
      <c r="H614" s="2" t="s">
        <v>194</v>
      </c>
      <c r="I614" s="2" t="s">
        <v>195</v>
      </c>
      <c r="J614" s="2" t="s">
        <v>19</v>
      </c>
      <c r="K614" s="2" t="s">
        <v>1617</v>
      </c>
      <c r="L614" s="7" t="str">
        <f t="shared" si="4"/>
        <v xml:space="preserve">http://slimages.macys.com/is/image/MCY/13314771 </v>
      </c>
    </row>
    <row r="615" spans="1:12" ht="24.75" x14ac:dyDescent="0.25">
      <c r="A615" s="4" t="s">
        <v>1638</v>
      </c>
      <c r="B615" s="2" t="s">
        <v>1635</v>
      </c>
      <c r="C615" s="3">
        <v>2</v>
      </c>
      <c r="D615" s="5">
        <v>25.88</v>
      </c>
      <c r="E615" s="3">
        <v>100011992</v>
      </c>
      <c r="F615" s="2" t="s">
        <v>53</v>
      </c>
      <c r="G615" s="6" t="s">
        <v>181</v>
      </c>
      <c r="H615" s="2" t="s">
        <v>194</v>
      </c>
      <c r="I615" s="2" t="s">
        <v>195</v>
      </c>
      <c r="J615" s="2" t="s">
        <v>19</v>
      </c>
      <c r="K615" s="2" t="s">
        <v>1617</v>
      </c>
      <c r="L615" s="7" t="str">
        <f t="shared" si="4"/>
        <v xml:space="preserve">http://slimages.macys.com/is/image/MCY/13314771 </v>
      </c>
    </row>
    <row r="616" spans="1:12" ht="24.75" x14ac:dyDescent="0.25">
      <c r="A616" s="4" t="s">
        <v>1634</v>
      </c>
      <c r="B616" s="2" t="s">
        <v>1635</v>
      </c>
      <c r="C616" s="3">
        <v>1</v>
      </c>
      <c r="D616" s="5">
        <v>25.88</v>
      </c>
      <c r="E616" s="3">
        <v>100011992</v>
      </c>
      <c r="F616" s="2" t="s">
        <v>64</v>
      </c>
      <c r="G616" s="6" t="s">
        <v>156</v>
      </c>
      <c r="H616" s="2" t="s">
        <v>194</v>
      </c>
      <c r="I616" s="2" t="s">
        <v>195</v>
      </c>
      <c r="J616" s="2" t="s">
        <v>19</v>
      </c>
      <c r="K616" s="2" t="s">
        <v>1617</v>
      </c>
      <c r="L616" s="7" t="str">
        <f t="shared" si="4"/>
        <v xml:space="preserve">http://slimages.macys.com/is/image/MCY/13314771 </v>
      </c>
    </row>
    <row r="617" spans="1:12" ht="24.75" x14ac:dyDescent="0.25">
      <c r="A617" s="4" t="s">
        <v>1640</v>
      </c>
      <c r="B617" s="2" t="s">
        <v>1635</v>
      </c>
      <c r="C617" s="3">
        <v>1</v>
      </c>
      <c r="D617" s="5">
        <v>25.88</v>
      </c>
      <c r="E617" s="3">
        <v>100011992</v>
      </c>
      <c r="F617" s="2" t="s">
        <v>53</v>
      </c>
      <c r="G617" s="6" t="s">
        <v>234</v>
      </c>
      <c r="H617" s="2" t="s">
        <v>194</v>
      </c>
      <c r="I617" s="2" t="s">
        <v>195</v>
      </c>
      <c r="J617" s="2" t="s">
        <v>19</v>
      </c>
      <c r="K617" s="2" t="s">
        <v>1617</v>
      </c>
      <c r="L617" s="7" t="str">
        <f t="shared" si="4"/>
        <v xml:space="preserve">http://slimages.macys.com/is/image/MCY/13314771 </v>
      </c>
    </row>
    <row r="618" spans="1:12" ht="24.75" x14ac:dyDescent="0.25">
      <c r="A618" s="4" t="s">
        <v>3992</v>
      </c>
      <c r="B618" s="2" t="s">
        <v>1635</v>
      </c>
      <c r="C618" s="3">
        <v>1</v>
      </c>
      <c r="D618" s="5">
        <v>25.88</v>
      </c>
      <c r="E618" s="3">
        <v>100011992</v>
      </c>
      <c r="F618" s="2" t="s">
        <v>57</v>
      </c>
      <c r="G618" s="6" t="s">
        <v>234</v>
      </c>
      <c r="H618" s="2" t="s">
        <v>194</v>
      </c>
      <c r="I618" s="2" t="s">
        <v>195</v>
      </c>
      <c r="J618" s="2" t="s">
        <v>19</v>
      </c>
      <c r="K618" s="2" t="s">
        <v>1617</v>
      </c>
      <c r="L618" s="7" t="str">
        <f t="shared" si="4"/>
        <v xml:space="preserve">http://slimages.macys.com/is/image/MCY/13314771 </v>
      </c>
    </row>
    <row r="619" spans="1:12" ht="24.75" x14ac:dyDescent="0.25">
      <c r="A619" s="4" t="s">
        <v>3991</v>
      </c>
      <c r="B619" s="2" t="s">
        <v>1635</v>
      </c>
      <c r="C619" s="3">
        <v>2</v>
      </c>
      <c r="D619" s="5">
        <v>25.88</v>
      </c>
      <c r="E619" s="3">
        <v>100011992</v>
      </c>
      <c r="F619" s="2" t="s">
        <v>57</v>
      </c>
      <c r="G619" s="6" t="s">
        <v>181</v>
      </c>
      <c r="H619" s="2" t="s">
        <v>194</v>
      </c>
      <c r="I619" s="2" t="s">
        <v>195</v>
      </c>
      <c r="J619" s="2" t="s">
        <v>19</v>
      </c>
      <c r="K619" s="2" t="s">
        <v>1617</v>
      </c>
      <c r="L619" s="7" t="str">
        <f t="shared" si="4"/>
        <v xml:space="preserve">http://slimages.macys.com/is/image/MCY/13314771 </v>
      </c>
    </row>
    <row r="620" spans="1:12" ht="24.75" x14ac:dyDescent="0.25">
      <c r="A620" s="4" t="s">
        <v>5070</v>
      </c>
      <c r="B620" s="2" t="s">
        <v>2878</v>
      </c>
      <c r="C620" s="3">
        <v>1</v>
      </c>
      <c r="D620" s="5">
        <v>29.63</v>
      </c>
      <c r="E620" s="3" t="s">
        <v>2879</v>
      </c>
      <c r="F620" s="2" t="s">
        <v>64</v>
      </c>
      <c r="G620" s="6" t="s">
        <v>154</v>
      </c>
      <c r="H620" s="2" t="s">
        <v>194</v>
      </c>
      <c r="I620" s="2" t="s">
        <v>195</v>
      </c>
      <c r="J620" s="2" t="s">
        <v>19</v>
      </c>
      <c r="K620" s="2" t="s">
        <v>1108</v>
      </c>
      <c r="L620" s="7" t="str">
        <f>HYPERLINK("http://slimages.macys.com/is/image/MCY/12144113 ")</f>
        <v xml:space="preserve">http://slimages.macys.com/is/image/MCY/12144113 </v>
      </c>
    </row>
    <row r="621" spans="1:12" ht="24.75" x14ac:dyDescent="0.25">
      <c r="A621" s="4" t="s">
        <v>1654</v>
      </c>
      <c r="B621" s="2" t="s">
        <v>1645</v>
      </c>
      <c r="C621" s="3">
        <v>1</v>
      </c>
      <c r="D621" s="5">
        <v>19.989999999999998</v>
      </c>
      <c r="E621" s="3" t="s">
        <v>1646</v>
      </c>
      <c r="F621" s="2" t="s">
        <v>74</v>
      </c>
      <c r="G621" s="6" t="s">
        <v>154</v>
      </c>
      <c r="H621" s="2" t="s">
        <v>194</v>
      </c>
      <c r="I621" s="2" t="s">
        <v>195</v>
      </c>
      <c r="J621" s="2" t="s">
        <v>19</v>
      </c>
      <c r="K621" s="2" t="s">
        <v>1647</v>
      </c>
      <c r="L621" s="7" t="str">
        <f>HYPERLINK("http://slimages.macys.com/is/image/MCY/12405276 ")</f>
        <v xml:space="preserve">http://slimages.macys.com/is/image/MCY/12405276 </v>
      </c>
    </row>
    <row r="622" spans="1:12" ht="24.75" x14ac:dyDescent="0.25">
      <c r="A622" s="4" t="s">
        <v>1674</v>
      </c>
      <c r="B622" s="2" t="s">
        <v>1649</v>
      </c>
      <c r="C622" s="3">
        <v>1</v>
      </c>
      <c r="D622" s="5">
        <v>19.989999999999998</v>
      </c>
      <c r="E622" s="3" t="s">
        <v>1650</v>
      </c>
      <c r="F622" s="2" t="s">
        <v>820</v>
      </c>
      <c r="G622" s="6" t="s">
        <v>234</v>
      </c>
      <c r="H622" s="2" t="s">
        <v>194</v>
      </c>
      <c r="I622" s="2" t="s">
        <v>195</v>
      </c>
      <c r="J622" s="2" t="s">
        <v>19</v>
      </c>
      <c r="K622" s="2" t="s">
        <v>247</v>
      </c>
      <c r="L622" s="7" t="str">
        <f>HYPERLINK("http://slimages.macys.com/is/image/MCY/11466486 ")</f>
        <v xml:space="preserve">http://slimages.macys.com/is/image/MCY/11466486 </v>
      </c>
    </row>
    <row r="623" spans="1:12" ht="24.75" x14ac:dyDescent="0.25">
      <c r="A623" s="4" t="s">
        <v>1660</v>
      </c>
      <c r="B623" s="2" t="s">
        <v>1645</v>
      </c>
      <c r="C623" s="3">
        <v>1</v>
      </c>
      <c r="D623" s="5">
        <v>19.989999999999998</v>
      </c>
      <c r="E623" s="3" t="s">
        <v>1646</v>
      </c>
      <c r="F623" s="2" t="s">
        <v>70</v>
      </c>
      <c r="G623" s="6" t="s">
        <v>154</v>
      </c>
      <c r="H623" s="2" t="s">
        <v>194</v>
      </c>
      <c r="I623" s="2" t="s">
        <v>195</v>
      </c>
      <c r="J623" s="2" t="s">
        <v>19</v>
      </c>
      <c r="K623" s="2" t="s">
        <v>1647</v>
      </c>
      <c r="L623" s="7" t="str">
        <f>HYPERLINK("http://slimages.macys.com/is/image/MCY/11701460 ")</f>
        <v xml:space="preserve">http://slimages.macys.com/is/image/MCY/11701460 </v>
      </c>
    </row>
    <row r="624" spans="1:12" ht="24.75" x14ac:dyDescent="0.25">
      <c r="A624" s="4" t="s">
        <v>5071</v>
      </c>
      <c r="B624" s="2" t="s">
        <v>1649</v>
      </c>
      <c r="C624" s="3">
        <v>2</v>
      </c>
      <c r="D624" s="5">
        <v>19.989999999999998</v>
      </c>
      <c r="E624" s="3" t="s">
        <v>1650</v>
      </c>
      <c r="F624" s="2" t="s">
        <v>820</v>
      </c>
      <c r="G624" s="6" t="s">
        <v>200</v>
      </c>
      <c r="H624" s="2" t="s">
        <v>194</v>
      </c>
      <c r="I624" s="2" t="s">
        <v>195</v>
      </c>
      <c r="J624" s="2" t="s">
        <v>19</v>
      </c>
      <c r="K624" s="2" t="s">
        <v>247</v>
      </c>
      <c r="L624" s="7" t="str">
        <f>HYPERLINK("http://slimages.macys.com/is/image/MCY/11466486 ")</f>
        <v xml:space="preserve">http://slimages.macys.com/is/image/MCY/11466486 </v>
      </c>
    </row>
    <row r="625" spans="1:12" ht="24.75" x14ac:dyDescent="0.25">
      <c r="A625" s="4" t="s">
        <v>1665</v>
      </c>
      <c r="B625" s="2" t="s">
        <v>1645</v>
      </c>
      <c r="C625" s="3">
        <v>1</v>
      </c>
      <c r="D625" s="5">
        <v>19.989999999999998</v>
      </c>
      <c r="E625" s="3" t="s">
        <v>1646</v>
      </c>
      <c r="F625" s="2" t="s">
        <v>820</v>
      </c>
      <c r="G625" s="6" t="s">
        <v>154</v>
      </c>
      <c r="H625" s="2" t="s">
        <v>194</v>
      </c>
      <c r="I625" s="2" t="s">
        <v>195</v>
      </c>
      <c r="J625" s="2" t="s">
        <v>19</v>
      </c>
      <c r="K625" s="2" t="s">
        <v>1647</v>
      </c>
      <c r="L625" s="7" t="str">
        <f>HYPERLINK("http://slimages.macys.com/is/image/MCY/12405276 ")</f>
        <v xml:space="preserve">http://slimages.macys.com/is/image/MCY/12405276 </v>
      </c>
    </row>
    <row r="626" spans="1:12" ht="24.75" x14ac:dyDescent="0.25">
      <c r="A626" s="4" t="s">
        <v>1644</v>
      </c>
      <c r="B626" s="2" t="s">
        <v>1645</v>
      </c>
      <c r="C626" s="3">
        <v>1</v>
      </c>
      <c r="D626" s="5">
        <v>19.989999999999998</v>
      </c>
      <c r="E626" s="3" t="s">
        <v>1646</v>
      </c>
      <c r="F626" s="2" t="s">
        <v>70</v>
      </c>
      <c r="G626" s="6" t="s">
        <v>181</v>
      </c>
      <c r="H626" s="2" t="s">
        <v>194</v>
      </c>
      <c r="I626" s="2" t="s">
        <v>195</v>
      </c>
      <c r="J626" s="2" t="s">
        <v>19</v>
      </c>
      <c r="K626" s="2" t="s">
        <v>1647</v>
      </c>
      <c r="L626" s="7" t="str">
        <f>HYPERLINK("http://slimages.macys.com/is/image/MCY/11701460 ")</f>
        <v xml:space="preserve">http://slimages.macys.com/is/image/MCY/11701460 </v>
      </c>
    </row>
    <row r="627" spans="1:12" ht="24.75" x14ac:dyDescent="0.25">
      <c r="A627" s="4" t="s">
        <v>5072</v>
      </c>
      <c r="B627" s="2" t="s">
        <v>1645</v>
      </c>
      <c r="C627" s="3">
        <v>1</v>
      </c>
      <c r="D627" s="5">
        <v>19.989999999999998</v>
      </c>
      <c r="E627" s="3" t="s">
        <v>1646</v>
      </c>
      <c r="F627" s="2" t="s">
        <v>15</v>
      </c>
      <c r="G627" s="6" t="s">
        <v>234</v>
      </c>
      <c r="H627" s="2" t="s">
        <v>194</v>
      </c>
      <c r="I627" s="2" t="s">
        <v>195</v>
      </c>
      <c r="J627" s="2" t="s">
        <v>19</v>
      </c>
      <c r="K627" s="2" t="s">
        <v>1647</v>
      </c>
      <c r="L627" s="7" t="str">
        <f>HYPERLINK("http://slimages.macys.com/is/image/MCY/12405276 ")</f>
        <v xml:space="preserve">http://slimages.macys.com/is/image/MCY/12405276 </v>
      </c>
    </row>
    <row r="628" spans="1:12" ht="24.75" x14ac:dyDescent="0.25">
      <c r="A628" s="4" t="s">
        <v>5073</v>
      </c>
      <c r="B628" s="2" t="s">
        <v>1572</v>
      </c>
      <c r="C628" s="3">
        <v>1</v>
      </c>
      <c r="D628" s="5">
        <v>36.5</v>
      </c>
      <c r="E628" s="3" t="s">
        <v>5074</v>
      </c>
      <c r="F628" s="2" t="s">
        <v>1322</v>
      </c>
      <c r="G628" s="6" t="s">
        <v>154</v>
      </c>
      <c r="H628" s="2" t="s">
        <v>194</v>
      </c>
      <c r="I628" s="2" t="s">
        <v>195</v>
      </c>
      <c r="J628" s="2" t="s">
        <v>19</v>
      </c>
      <c r="K628" s="2" t="s">
        <v>247</v>
      </c>
      <c r="L628" s="7" t="str">
        <f>HYPERLINK("http://slimages.macys.com/is/image/MCY/12063852 ")</f>
        <v xml:space="preserve">http://slimages.macys.com/is/image/MCY/12063852 </v>
      </c>
    </row>
    <row r="629" spans="1:12" ht="24.75" x14ac:dyDescent="0.25">
      <c r="A629" s="4" t="s">
        <v>5075</v>
      </c>
      <c r="B629" s="2" t="s">
        <v>1692</v>
      </c>
      <c r="C629" s="3">
        <v>1</v>
      </c>
      <c r="D629" s="5">
        <v>24.37</v>
      </c>
      <c r="E629" s="3" t="s">
        <v>5076</v>
      </c>
      <c r="F629" s="2" t="s">
        <v>5077</v>
      </c>
      <c r="G629" s="6" t="s">
        <v>234</v>
      </c>
      <c r="H629" s="2" t="s">
        <v>194</v>
      </c>
      <c r="I629" s="2" t="s">
        <v>580</v>
      </c>
      <c r="J629" s="2" t="s">
        <v>19</v>
      </c>
      <c r="K629" s="2" t="s">
        <v>137</v>
      </c>
      <c r="L629" s="7" t="str">
        <f>HYPERLINK("http://slimages.macys.com/is/image/MCY/16404085 ")</f>
        <v xml:space="preserve">http://slimages.macys.com/is/image/MCY/16404085 </v>
      </c>
    </row>
    <row r="630" spans="1:12" ht="24.75" x14ac:dyDescent="0.25">
      <c r="A630" s="4" t="s">
        <v>5078</v>
      </c>
      <c r="B630" s="2" t="s">
        <v>1692</v>
      </c>
      <c r="C630" s="3">
        <v>1</v>
      </c>
      <c r="D630" s="5">
        <v>24.37</v>
      </c>
      <c r="E630" s="3" t="s">
        <v>5076</v>
      </c>
      <c r="F630" s="2" t="s">
        <v>5077</v>
      </c>
      <c r="G630" s="6" t="s">
        <v>156</v>
      </c>
      <c r="H630" s="2" t="s">
        <v>194</v>
      </c>
      <c r="I630" s="2" t="s">
        <v>580</v>
      </c>
      <c r="J630" s="2" t="s">
        <v>19</v>
      </c>
      <c r="K630" s="2" t="s">
        <v>137</v>
      </c>
      <c r="L630" s="7" t="str">
        <f>HYPERLINK("http://slimages.macys.com/is/image/MCY/16404085 ")</f>
        <v xml:space="preserve">http://slimages.macys.com/is/image/MCY/16404085 </v>
      </c>
    </row>
    <row r="631" spans="1:12" ht="24.75" x14ac:dyDescent="0.25">
      <c r="A631" s="4" t="s">
        <v>5079</v>
      </c>
      <c r="B631" s="2" t="s">
        <v>1676</v>
      </c>
      <c r="C631" s="3">
        <v>1</v>
      </c>
      <c r="D631" s="5">
        <v>19.989999999999998</v>
      </c>
      <c r="E631" s="3" t="s">
        <v>5080</v>
      </c>
      <c r="F631" s="2" t="s">
        <v>566</v>
      </c>
      <c r="G631" s="6"/>
      <c r="H631" s="2" t="s">
        <v>312</v>
      </c>
      <c r="I631" s="2" t="s">
        <v>195</v>
      </c>
      <c r="J631" s="2" t="s">
        <v>19</v>
      </c>
      <c r="K631" s="2" t="s">
        <v>247</v>
      </c>
      <c r="L631" s="7" t="str">
        <f>HYPERLINK("http://slimages.macys.com/is/image/MCY/11466457 ")</f>
        <v xml:space="preserve">http://slimages.macys.com/is/image/MCY/11466457 </v>
      </c>
    </row>
    <row r="632" spans="1:12" ht="24.75" x14ac:dyDescent="0.25">
      <c r="A632" s="4" t="s">
        <v>5081</v>
      </c>
      <c r="B632" s="2" t="s">
        <v>1814</v>
      </c>
      <c r="C632" s="3">
        <v>1</v>
      </c>
      <c r="D632" s="5">
        <v>29.7</v>
      </c>
      <c r="E632" s="3" t="s">
        <v>5082</v>
      </c>
      <c r="F632" s="2" t="s">
        <v>26</v>
      </c>
      <c r="G632" s="6" t="s">
        <v>2276</v>
      </c>
      <c r="H632" s="2" t="s">
        <v>349</v>
      </c>
      <c r="I632" s="2" t="s">
        <v>285</v>
      </c>
      <c r="J632" s="2" t="s">
        <v>19</v>
      </c>
      <c r="K632" s="2" t="s">
        <v>160</v>
      </c>
      <c r="L632" s="7" t="str">
        <f>HYPERLINK("http://slimages.macys.com/is/image/MCY/12280519 ")</f>
        <v xml:space="preserve">http://slimages.macys.com/is/image/MCY/12280519 </v>
      </c>
    </row>
    <row r="633" spans="1:12" ht="24.75" x14ac:dyDescent="0.25">
      <c r="A633" s="4" t="s">
        <v>5083</v>
      </c>
      <c r="B633" s="2" t="s">
        <v>1699</v>
      </c>
      <c r="C633" s="3">
        <v>1</v>
      </c>
      <c r="D633" s="5">
        <v>19.989999999999998</v>
      </c>
      <c r="E633" s="3" t="s">
        <v>1700</v>
      </c>
      <c r="F633" s="2" t="s">
        <v>417</v>
      </c>
      <c r="G633" s="6" t="s">
        <v>245</v>
      </c>
      <c r="H633" s="2" t="s">
        <v>1473</v>
      </c>
      <c r="I633" s="2" t="s">
        <v>1426</v>
      </c>
      <c r="J633" s="2" t="s">
        <v>19</v>
      </c>
      <c r="K633" s="2" t="s">
        <v>990</v>
      </c>
      <c r="L633" s="7" t="str">
        <f>HYPERLINK("http://slimages.macys.com/is/image/MCY/11831242 ")</f>
        <v xml:space="preserve">http://slimages.macys.com/is/image/MCY/11831242 </v>
      </c>
    </row>
    <row r="634" spans="1:12" ht="24.75" x14ac:dyDescent="0.25">
      <c r="A634" s="4" t="s">
        <v>5084</v>
      </c>
      <c r="B634" s="2" t="s">
        <v>1699</v>
      </c>
      <c r="C634" s="3">
        <v>2</v>
      </c>
      <c r="D634" s="5">
        <v>19.989999999999998</v>
      </c>
      <c r="E634" s="3" t="s">
        <v>1700</v>
      </c>
      <c r="F634" s="2" t="s">
        <v>74</v>
      </c>
      <c r="G634" s="6" t="s">
        <v>234</v>
      </c>
      <c r="H634" s="2" t="s">
        <v>1473</v>
      </c>
      <c r="I634" s="2" t="s">
        <v>1426</v>
      </c>
      <c r="J634" s="2" t="s">
        <v>19</v>
      </c>
      <c r="K634" s="2" t="s">
        <v>990</v>
      </c>
      <c r="L634" s="7" t="str">
        <f>HYPERLINK("http://slimages.macys.com/is/image/MCY/11831242 ")</f>
        <v xml:space="preserve">http://slimages.macys.com/is/image/MCY/11831242 </v>
      </c>
    </row>
    <row r="635" spans="1:12" ht="24.75" x14ac:dyDescent="0.25">
      <c r="A635" s="4" t="s">
        <v>5085</v>
      </c>
      <c r="B635" s="2" t="s">
        <v>5086</v>
      </c>
      <c r="C635" s="3">
        <v>1</v>
      </c>
      <c r="D635" s="5">
        <v>25.5</v>
      </c>
      <c r="E635" s="3" t="s">
        <v>5087</v>
      </c>
      <c r="F635" s="2" t="s">
        <v>15</v>
      </c>
      <c r="G635" s="6" t="s">
        <v>156</v>
      </c>
      <c r="H635" s="2" t="s">
        <v>194</v>
      </c>
      <c r="I635" s="2" t="s">
        <v>195</v>
      </c>
      <c r="J635" s="2" t="s">
        <v>19</v>
      </c>
      <c r="K635" s="2" t="s">
        <v>1629</v>
      </c>
      <c r="L635" s="7" t="str">
        <f>HYPERLINK("http://slimages.macys.com/is/image/MCY/3276758 ")</f>
        <v xml:space="preserve">http://slimages.macys.com/is/image/MCY/3276758 </v>
      </c>
    </row>
    <row r="636" spans="1:12" ht="24.75" x14ac:dyDescent="0.25">
      <c r="A636" s="4" t="s">
        <v>5088</v>
      </c>
      <c r="B636" s="2" t="s">
        <v>1705</v>
      </c>
      <c r="C636" s="3">
        <v>1</v>
      </c>
      <c r="D636" s="5">
        <v>24.99</v>
      </c>
      <c r="E636" s="3" t="s">
        <v>4023</v>
      </c>
      <c r="F636" s="2" t="s">
        <v>26</v>
      </c>
      <c r="G636" s="6" t="s">
        <v>156</v>
      </c>
      <c r="H636" s="2" t="s">
        <v>1522</v>
      </c>
      <c r="I636" s="2" t="s">
        <v>1469</v>
      </c>
      <c r="J636" s="2" t="s">
        <v>19</v>
      </c>
      <c r="K636" s="2" t="s">
        <v>648</v>
      </c>
      <c r="L636" s="7" t="str">
        <f>HYPERLINK("http://slimages.macys.com/is/image/MCY/9114999 ")</f>
        <v xml:space="preserve">http://slimages.macys.com/is/image/MCY/9114999 </v>
      </c>
    </row>
    <row r="637" spans="1:12" ht="24.75" x14ac:dyDescent="0.25">
      <c r="A637" s="4" t="s">
        <v>1707</v>
      </c>
      <c r="B637" s="2" t="s">
        <v>1705</v>
      </c>
      <c r="C637" s="3">
        <v>1</v>
      </c>
      <c r="D637" s="5">
        <v>24.99</v>
      </c>
      <c r="E637" s="3" t="s">
        <v>1706</v>
      </c>
      <c r="F637" s="2" t="s">
        <v>413</v>
      </c>
      <c r="G637" s="6"/>
      <c r="H637" s="2" t="s">
        <v>1425</v>
      </c>
      <c r="I637" s="2" t="s">
        <v>1469</v>
      </c>
      <c r="J637" s="2" t="s">
        <v>19</v>
      </c>
      <c r="K637" s="2" t="s">
        <v>990</v>
      </c>
      <c r="L637" s="7" t="str">
        <f>HYPERLINK("http://slimages.macys.com/is/image/MCY/9127920 ")</f>
        <v xml:space="preserve">http://slimages.macys.com/is/image/MCY/9127920 </v>
      </c>
    </row>
    <row r="638" spans="1:12" ht="24.75" x14ac:dyDescent="0.25">
      <c r="A638" s="4" t="s">
        <v>5089</v>
      </c>
      <c r="B638" s="2" t="s">
        <v>1712</v>
      </c>
      <c r="C638" s="3">
        <v>1</v>
      </c>
      <c r="D638" s="5">
        <v>19.989999999999998</v>
      </c>
      <c r="E638" s="3" t="s">
        <v>4030</v>
      </c>
      <c r="F638" s="2" t="s">
        <v>417</v>
      </c>
      <c r="G638" s="6" t="s">
        <v>156</v>
      </c>
      <c r="H638" s="2" t="s">
        <v>194</v>
      </c>
      <c r="I638" s="2" t="s">
        <v>195</v>
      </c>
      <c r="J638" s="2" t="s">
        <v>19</v>
      </c>
      <c r="K638" s="2" t="s">
        <v>160</v>
      </c>
      <c r="L638" s="7" t="str">
        <f>HYPERLINK("http://slimages.macys.com/is/image/MCY/13317759 ")</f>
        <v xml:space="preserve">http://slimages.macys.com/is/image/MCY/13317759 </v>
      </c>
    </row>
    <row r="639" spans="1:12" ht="36.75" x14ac:dyDescent="0.25">
      <c r="A639" s="4" t="s">
        <v>5090</v>
      </c>
      <c r="B639" s="2" t="s">
        <v>2911</v>
      </c>
      <c r="C639" s="3">
        <v>2</v>
      </c>
      <c r="D639" s="5">
        <v>25.88</v>
      </c>
      <c r="E639" s="3">
        <v>100015718</v>
      </c>
      <c r="F639" s="2" t="s">
        <v>48</v>
      </c>
      <c r="G639" s="6" t="s">
        <v>234</v>
      </c>
      <c r="H639" s="2" t="s">
        <v>194</v>
      </c>
      <c r="I639" s="2" t="s">
        <v>195</v>
      </c>
      <c r="J639" s="2" t="s">
        <v>19</v>
      </c>
      <c r="K639" s="2" t="s">
        <v>1696</v>
      </c>
      <c r="L639" s="7" t="str">
        <f>HYPERLINK("http://slimages.macys.com/is/image/MCY/9504848 ")</f>
        <v xml:space="preserve">http://slimages.macys.com/is/image/MCY/9504848 </v>
      </c>
    </row>
    <row r="640" spans="1:12" ht="36.75" x14ac:dyDescent="0.25">
      <c r="A640" s="4" t="s">
        <v>5091</v>
      </c>
      <c r="B640" s="2" t="s">
        <v>2911</v>
      </c>
      <c r="C640" s="3">
        <v>3</v>
      </c>
      <c r="D640" s="5">
        <v>25.88</v>
      </c>
      <c r="E640" s="3">
        <v>100015718</v>
      </c>
      <c r="F640" s="2" t="s">
        <v>48</v>
      </c>
      <c r="G640" s="6" t="s">
        <v>156</v>
      </c>
      <c r="H640" s="2" t="s">
        <v>194</v>
      </c>
      <c r="I640" s="2" t="s">
        <v>195</v>
      </c>
      <c r="J640" s="2" t="s">
        <v>19</v>
      </c>
      <c r="K640" s="2" t="s">
        <v>1696</v>
      </c>
      <c r="L640" s="7" t="str">
        <f>HYPERLINK("http://slimages.macys.com/is/image/MCY/9504848 ")</f>
        <v xml:space="preserve">http://slimages.macys.com/is/image/MCY/9504848 </v>
      </c>
    </row>
    <row r="641" spans="1:12" ht="24.75" x14ac:dyDescent="0.25">
      <c r="A641" s="4" t="s">
        <v>5092</v>
      </c>
      <c r="B641" s="2" t="s">
        <v>5093</v>
      </c>
      <c r="C641" s="3">
        <v>1</v>
      </c>
      <c r="D641" s="5">
        <v>29.63</v>
      </c>
      <c r="E641" s="3" t="s">
        <v>5094</v>
      </c>
      <c r="F641" s="2" t="s">
        <v>752</v>
      </c>
      <c r="G641" s="6" t="s">
        <v>200</v>
      </c>
      <c r="H641" s="2" t="s">
        <v>194</v>
      </c>
      <c r="I641" s="2" t="s">
        <v>195</v>
      </c>
      <c r="J641" s="2" t="s">
        <v>19</v>
      </c>
      <c r="K641" s="2" t="s">
        <v>247</v>
      </c>
      <c r="L641" s="7" t="str">
        <f>HYPERLINK("http://slimages.macys.com/is/image/MCY/15299295 ")</f>
        <v xml:space="preserve">http://slimages.macys.com/is/image/MCY/15299295 </v>
      </c>
    </row>
    <row r="642" spans="1:12" ht="24.75" x14ac:dyDescent="0.25">
      <c r="A642" s="4" t="s">
        <v>4036</v>
      </c>
      <c r="B642" s="2" t="s">
        <v>4037</v>
      </c>
      <c r="C642" s="3">
        <v>1</v>
      </c>
      <c r="D642" s="5">
        <v>26.7</v>
      </c>
      <c r="E642" s="3" t="s">
        <v>4038</v>
      </c>
      <c r="F642" s="2" t="s">
        <v>170</v>
      </c>
      <c r="G642" s="6" t="s">
        <v>154</v>
      </c>
      <c r="H642" s="2" t="s">
        <v>284</v>
      </c>
      <c r="I642" s="2" t="s">
        <v>285</v>
      </c>
      <c r="J642" s="2" t="s">
        <v>19</v>
      </c>
      <c r="K642" s="2" t="s">
        <v>160</v>
      </c>
      <c r="L642" s="7" t="str">
        <f>HYPERLINK("http://slimages.macys.com/is/image/MCY/13924288 ")</f>
        <v xml:space="preserve">http://slimages.macys.com/is/image/MCY/13924288 </v>
      </c>
    </row>
    <row r="643" spans="1:12" ht="24.75" x14ac:dyDescent="0.25">
      <c r="A643" s="4" t="s">
        <v>2912</v>
      </c>
      <c r="B643" s="2" t="s">
        <v>2913</v>
      </c>
      <c r="C643" s="3">
        <v>1</v>
      </c>
      <c r="D643" s="5">
        <v>34.880000000000003</v>
      </c>
      <c r="E643" s="3">
        <v>100054399</v>
      </c>
      <c r="F643" s="2" t="s">
        <v>199</v>
      </c>
      <c r="G643" s="6" t="s">
        <v>200</v>
      </c>
      <c r="H643" s="2" t="s">
        <v>194</v>
      </c>
      <c r="I643" s="2" t="s">
        <v>195</v>
      </c>
      <c r="J643" s="2" t="s">
        <v>19</v>
      </c>
      <c r="K643" s="2" t="s">
        <v>607</v>
      </c>
      <c r="L643" s="7" t="str">
        <f>HYPERLINK("http://slimages.macys.com/is/image/MCY/12850736 ")</f>
        <v xml:space="preserve">http://slimages.macys.com/is/image/MCY/12850736 </v>
      </c>
    </row>
    <row r="644" spans="1:12" ht="24.75" x14ac:dyDescent="0.25">
      <c r="A644" s="4" t="s">
        <v>5095</v>
      </c>
      <c r="B644" s="2" t="s">
        <v>2913</v>
      </c>
      <c r="C644" s="3">
        <v>1</v>
      </c>
      <c r="D644" s="5">
        <v>34.880000000000003</v>
      </c>
      <c r="E644" s="3">
        <v>100054399</v>
      </c>
      <c r="F644" s="2" t="s">
        <v>199</v>
      </c>
      <c r="G644" s="6" t="s">
        <v>154</v>
      </c>
      <c r="H644" s="2" t="s">
        <v>194</v>
      </c>
      <c r="I644" s="2" t="s">
        <v>195</v>
      </c>
      <c r="J644" s="2" t="s">
        <v>19</v>
      </c>
      <c r="K644" s="2" t="s">
        <v>607</v>
      </c>
      <c r="L644" s="7" t="str">
        <f>HYPERLINK("http://slimages.macys.com/is/image/MCY/12850736 ")</f>
        <v xml:space="preserve">http://slimages.macys.com/is/image/MCY/12850736 </v>
      </c>
    </row>
    <row r="645" spans="1:12" ht="24.75" x14ac:dyDescent="0.25">
      <c r="A645" s="4" t="s">
        <v>2917</v>
      </c>
      <c r="B645" s="2" t="s">
        <v>2918</v>
      </c>
      <c r="C645" s="3">
        <v>1</v>
      </c>
      <c r="D645" s="5">
        <v>19.989999999999998</v>
      </c>
      <c r="E645" s="3" t="s">
        <v>2919</v>
      </c>
      <c r="F645" s="2" t="s">
        <v>15</v>
      </c>
      <c r="G645" s="6" t="s">
        <v>187</v>
      </c>
      <c r="H645" s="2" t="s">
        <v>1425</v>
      </c>
      <c r="I645" s="2" t="s">
        <v>1426</v>
      </c>
      <c r="J645" s="2" t="s">
        <v>19</v>
      </c>
      <c r="K645" s="2" t="s">
        <v>495</v>
      </c>
      <c r="L645" s="7" t="str">
        <f>HYPERLINK("http://slimages.macys.com/is/image/MCY/12268445 ")</f>
        <v xml:space="preserve">http://slimages.macys.com/is/image/MCY/12268445 </v>
      </c>
    </row>
    <row r="646" spans="1:12" ht="24.75" x14ac:dyDescent="0.25">
      <c r="A646" s="4" t="s">
        <v>5096</v>
      </c>
      <c r="B646" s="2" t="s">
        <v>5097</v>
      </c>
      <c r="C646" s="3">
        <v>1</v>
      </c>
      <c r="D646" s="5">
        <v>21.99</v>
      </c>
      <c r="E646" s="3" t="s">
        <v>5098</v>
      </c>
      <c r="F646" s="2" t="s">
        <v>74</v>
      </c>
      <c r="G646" s="6" t="s">
        <v>187</v>
      </c>
      <c r="H646" s="2" t="s">
        <v>1425</v>
      </c>
      <c r="I646" s="2" t="s">
        <v>1426</v>
      </c>
      <c r="J646" s="2" t="s">
        <v>19</v>
      </c>
      <c r="K646" s="2" t="s">
        <v>495</v>
      </c>
      <c r="L646" s="7" t="str">
        <f>HYPERLINK("http://slimages.macys.com/is/image/MCY/10701243 ")</f>
        <v xml:space="preserve">http://slimages.macys.com/is/image/MCY/10701243 </v>
      </c>
    </row>
    <row r="647" spans="1:12" ht="24.75" x14ac:dyDescent="0.25">
      <c r="A647" s="4" t="s">
        <v>4050</v>
      </c>
      <c r="B647" s="2" t="s">
        <v>1724</v>
      </c>
      <c r="C647" s="3">
        <v>1</v>
      </c>
      <c r="D647" s="5">
        <v>34.880000000000003</v>
      </c>
      <c r="E647" s="3" t="s">
        <v>2925</v>
      </c>
      <c r="F647" s="2" t="s">
        <v>566</v>
      </c>
      <c r="G647" s="6" t="s">
        <v>336</v>
      </c>
      <c r="H647" s="2" t="s">
        <v>312</v>
      </c>
      <c r="I647" s="2" t="s">
        <v>195</v>
      </c>
      <c r="J647" s="2" t="s">
        <v>19</v>
      </c>
      <c r="K647" s="2" t="s">
        <v>353</v>
      </c>
      <c r="L647" s="7" t="str">
        <f>HYPERLINK("http://slimages.macys.com/is/image/MCY/9714189 ")</f>
        <v xml:space="preserve">http://slimages.macys.com/is/image/MCY/9714189 </v>
      </c>
    </row>
    <row r="648" spans="1:12" ht="24.75" x14ac:dyDescent="0.25">
      <c r="A648" s="4" t="s">
        <v>5099</v>
      </c>
      <c r="B648" s="2" t="s">
        <v>1724</v>
      </c>
      <c r="C648" s="3">
        <v>1</v>
      </c>
      <c r="D648" s="5">
        <v>34.880000000000003</v>
      </c>
      <c r="E648" s="3" t="s">
        <v>2925</v>
      </c>
      <c r="F648" s="2" t="s">
        <v>26</v>
      </c>
      <c r="G648" s="6" t="s">
        <v>802</v>
      </c>
      <c r="H648" s="2" t="s">
        <v>312</v>
      </c>
      <c r="I648" s="2" t="s">
        <v>195</v>
      </c>
      <c r="J648" s="2" t="s">
        <v>19</v>
      </c>
      <c r="K648" s="2" t="s">
        <v>353</v>
      </c>
      <c r="L648" s="7" t="str">
        <f>HYPERLINK("http://slimages.macys.com/is/image/MCY/9714189 ")</f>
        <v xml:space="preserve">http://slimages.macys.com/is/image/MCY/9714189 </v>
      </c>
    </row>
    <row r="649" spans="1:12" ht="24.75" x14ac:dyDescent="0.25">
      <c r="A649" s="4" t="s">
        <v>1740</v>
      </c>
      <c r="B649" s="2" t="s">
        <v>1738</v>
      </c>
      <c r="C649" s="3">
        <v>1</v>
      </c>
      <c r="D649" s="5">
        <v>29.63</v>
      </c>
      <c r="E649" s="3" t="s">
        <v>1739</v>
      </c>
      <c r="F649" s="2" t="s">
        <v>15</v>
      </c>
      <c r="G649" s="6" t="s">
        <v>154</v>
      </c>
      <c r="H649" s="2" t="s">
        <v>194</v>
      </c>
      <c r="I649" s="2" t="s">
        <v>195</v>
      </c>
      <c r="J649" s="2" t="s">
        <v>19</v>
      </c>
      <c r="K649" s="2" t="s">
        <v>1108</v>
      </c>
      <c r="L649" s="7" t="str">
        <f>HYPERLINK("http://slimages.macys.com/is/image/MCY/12064042 ")</f>
        <v xml:space="preserve">http://slimages.macys.com/is/image/MCY/12064042 </v>
      </c>
    </row>
    <row r="650" spans="1:12" ht="24.75" x14ac:dyDescent="0.25">
      <c r="A650" s="4" t="s">
        <v>5100</v>
      </c>
      <c r="B650" s="2" t="s">
        <v>1724</v>
      </c>
      <c r="C650" s="3">
        <v>1</v>
      </c>
      <c r="D650" s="5">
        <v>34.880000000000003</v>
      </c>
      <c r="E650" s="3" t="s">
        <v>2925</v>
      </c>
      <c r="F650" s="2" t="s">
        <v>26</v>
      </c>
      <c r="G650" s="6" t="s">
        <v>238</v>
      </c>
      <c r="H650" s="2" t="s">
        <v>312</v>
      </c>
      <c r="I650" s="2" t="s">
        <v>195</v>
      </c>
      <c r="J650" s="2" t="s">
        <v>19</v>
      </c>
      <c r="K650" s="2" t="s">
        <v>353</v>
      </c>
      <c r="L650" s="7" t="str">
        <f>HYPERLINK("http://slimages.macys.com/is/image/MCY/9714189 ")</f>
        <v xml:space="preserve">http://slimages.macys.com/is/image/MCY/9714189 </v>
      </c>
    </row>
    <row r="651" spans="1:12" ht="24.75" x14ac:dyDescent="0.25">
      <c r="A651" s="4" t="s">
        <v>5101</v>
      </c>
      <c r="B651" s="2" t="s">
        <v>1724</v>
      </c>
      <c r="C651" s="3">
        <v>1</v>
      </c>
      <c r="D651" s="5">
        <v>34.880000000000003</v>
      </c>
      <c r="E651" s="3" t="s">
        <v>2925</v>
      </c>
      <c r="F651" s="2" t="s">
        <v>26</v>
      </c>
      <c r="G651" s="6" t="s">
        <v>205</v>
      </c>
      <c r="H651" s="2" t="s">
        <v>312</v>
      </c>
      <c r="I651" s="2" t="s">
        <v>195</v>
      </c>
      <c r="J651" s="2" t="s">
        <v>19</v>
      </c>
      <c r="K651" s="2" t="s">
        <v>353</v>
      </c>
      <c r="L651" s="7" t="str">
        <f>HYPERLINK("http://slimages.macys.com/is/image/MCY/9714189 ")</f>
        <v xml:space="preserve">http://slimages.macys.com/is/image/MCY/9714189 </v>
      </c>
    </row>
    <row r="652" spans="1:12" ht="24.75" x14ac:dyDescent="0.25">
      <c r="A652" s="4" t="s">
        <v>5102</v>
      </c>
      <c r="B652" s="2" t="s">
        <v>1738</v>
      </c>
      <c r="C652" s="3">
        <v>1</v>
      </c>
      <c r="D652" s="5">
        <v>29.63</v>
      </c>
      <c r="E652" s="3" t="s">
        <v>1739</v>
      </c>
      <c r="F652" s="2" t="s">
        <v>15</v>
      </c>
      <c r="G652" s="6" t="s">
        <v>245</v>
      </c>
      <c r="H652" s="2" t="s">
        <v>194</v>
      </c>
      <c r="I652" s="2" t="s">
        <v>195</v>
      </c>
      <c r="J652" s="2" t="s">
        <v>19</v>
      </c>
      <c r="K652" s="2" t="s">
        <v>1108</v>
      </c>
      <c r="L652" s="7" t="str">
        <f>HYPERLINK("http://slimages.macys.com/is/image/MCY/12064042 ")</f>
        <v xml:space="preserve">http://slimages.macys.com/is/image/MCY/12064042 </v>
      </c>
    </row>
    <row r="653" spans="1:12" ht="24.75" x14ac:dyDescent="0.25">
      <c r="A653" s="4" t="s">
        <v>5103</v>
      </c>
      <c r="B653" s="2" t="s">
        <v>2933</v>
      </c>
      <c r="C653" s="3">
        <v>1</v>
      </c>
      <c r="D653" s="5">
        <v>20.99</v>
      </c>
      <c r="E653" s="3" t="s">
        <v>2939</v>
      </c>
      <c r="F653" s="2" t="s">
        <v>64</v>
      </c>
      <c r="G653" s="6" t="s">
        <v>234</v>
      </c>
      <c r="H653" s="2" t="s">
        <v>1473</v>
      </c>
      <c r="I653" s="2" t="s">
        <v>1864</v>
      </c>
      <c r="J653" s="2" t="s">
        <v>19</v>
      </c>
      <c r="K653" s="2" t="s">
        <v>990</v>
      </c>
      <c r="L653" s="7" t="str">
        <f>HYPERLINK("http://slimages.macys.com/is/image/MCY/11515111 ")</f>
        <v xml:space="preserve">http://slimages.macys.com/is/image/MCY/11515111 </v>
      </c>
    </row>
    <row r="654" spans="1:12" ht="24.75" x14ac:dyDescent="0.25">
      <c r="A654" s="4" t="s">
        <v>2935</v>
      </c>
      <c r="B654" s="2" t="s">
        <v>2936</v>
      </c>
      <c r="C654" s="3">
        <v>2</v>
      </c>
      <c r="D654" s="5">
        <v>20.99</v>
      </c>
      <c r="E654" s="3" t="s">
        <v>2937</v>
      </c>
      <c r="F654" s="2" t="s">
        <v>64</v>
      </c>
      <c r="G654" s="6" t="s">
        <v>181</v>
      </c>
      <c r="H654" s="2" t="s">
        <v>1473</v>
      </c>
      <c r="I654" s="2" t="s">
        <v>1864</v>
      </c>
      <c r="J654" s="2" t="s">
        <v>19</v>
      </c>
      <c r="K654" s="2" t="s">
        <v>107</v>
      </c>
      <c r="L654" s="7" t="str">
        <f>HYPERLINK("http://slimages.macys.com/is/image/MCY/12266786 ")</f>
        <v xml:space="preserve">http://slimages.macys.com/is/image/MCY/12266786 </v>
      </c>
    </row>
    <row r="655" spans="1:12" ht="24.75" x14ac:dyDescent="0.25">
      <c r="A655" s="4" t="s">
        <v>4054</v>
      </c>
      <c r="B655" s="2" t="s">
        <v>2936</v>
      </c>
      <c r="C655" s="3">
        <v>1</v>
      </c>
      <c r="D655" s="5">
        <v>20.99</v>
      </c>
      <c r="E655" s="3" t="s">
        <v>2937</v>
      </c>
      <c r="F655" s="2" t="s">
        <v>64</v>
      </c>
      <c r="G655" s="6" t="s">
        <v>154</v>
      </c>
      <c r="H655" s="2" t="s">
        <v>1473</v>
      </c>
      <c r="I655" s="2" t="s">
        <v>1864</v>
      </c>
      <c r="J655" s="2" t="s">
        <v>19</v>
      </c>
      <c r="K655" s="2" t="s">
        <v>107</v>
      </c>
      <c r="L655" s="7" t="str">
        <f>HYPERLINK("http://slimages.macys.com/is/image/MCY/12266786 ")</f>
        <v xml:space="preserve">http://slimages.macys.com/is/image/MCY/12266786 </v>
      </c>
    </row>
    <row r="656" spans="1:12" ht="24.75" x14ac:dyDescent="0.25">
      <c r="A656" s="4" t="s">
        <v>1744</v>
      </c>
      <c r="B656" s="2" t="s">
        <v>1627</v>
      </c>
      <c r="C656" s="3">
        <v>1</v>
      </c>
      <c r="D656" s="5">
        <v>25.88</v>
      </c>
      <c r="E656" s="3" t="s">
        <v>1745</v>
      </c>
      <c r="F656" s="2" t="s">
        <v>506</v>
      </c>
      <c r="G656" s="6"/>
      <c r="H656" s="2" t="s">
        <v>312</v>
      </c>
      <c r="I656" s="2" t="s">
        <v>195</v>
      </c>
      <c r="J656" s="2" t="s">
        <v>19</v>
      </c>
      <c r="K656" s="2" t="s">
        <v>1629</v>
      </c>
      <c r="L656" s="7" t="str">
        <f>HYPERLINK("http://slimages.macys.com/is/image/MCY/3314148 ")</f>
        <v xml:space="preserve">http://slimages.macys.com/is/image/MCY/3314148 </v>
      </c>
    </row>
    <row r="657" spans="1:12" ht="24.75" x14ac:dyDescent="0.25">
      <c r="A657" s="4" t="s">
        <v>5104</v>
      </c>
      <c r="B657" s="2" t="s">
        <v>5105</v>
      </c>
      <c r="C657" s="3">
        <v>1</v>
      </c>
      <c r="D657" s="5">
        <v>19.989999999999998</v>
      </c>
      <c r="E657" s="3">
        <v>100024687</v>
      </c>
      <c r="F657" s="2" t="s">
        <v>64</v>
      </c>
      <c r="G657" s="6" t="s">
        <v>154</v>
      </c>
      <c r="H657" s="2" t="s">
        <v>194</v>
      </c>
      <c r="I657" s="2" t="s">
        <v>195</v>
      </c>
      <c r="J657" s="2" t="s">
        <v>19</v>
      </c>
      <c r="K657" s="2" t="s">
        <v>160</v>
      </c>
      <c r="L657" s="7" t="str">
        <f>HYPERLINK("http://slimages.macys.com/is/image/MCY/13317759 ")</f>
        <v xml:space="preserve">http://slimages.macys.com/is/image/MCY/13317759 </v>
      </c>
    </row>
    <row r="658" spans="1:12" ht="24.75" x14ac:dyDescent="0.25">
      <c r="A658" s="4" t="s">
        <v>5106</v>
      </c>
      <c r="B658" s="2" t="s">
        <v>5107</v>
      </c>
      <c r="C658" s="3">
        <v>1</v>
      </c>
      <c r="D658" s="5">
        <v>19.989999999999998</v>
      </c>
      <c r="E658" s="3" t="s">
        <v>5108</v>
      </c>
      <c r="F658" s="2" t="s">
        <v>1322</v>
      </c>
      <c r="G658" s="6" t="s">
        <v>156</v>
      </c>
      <c r="H658" s="2" t="s">
        <v>1473</v>
      </c>
      <c r="I658" s="2" t="s">
        <v>1426</v>
      </c>
      <c r="J658" s="2" t="s">
        <v>19</v>
      </c>
      <c r="K658" s="2" t="s">
        <v>648</v>
      </c>
      <c r="L658" s="7" t="str">
        <f>HYPERLINK("http://slimages.macys.com/is/image/MCY/11678724 ")</f>
        <v xml:space="preserve">http://slimages.macys.com/is/image/MCY/11678724 </v>
      </c>
    </row>
    <row r="659" spans="1:12" ht="24.75" x14ac:dyDescent="0.25">
      <c r="A659" s="4" t="s">
        <v>2943</v>
      </c>
      <c r="B659" s="2" t="s">
        <v>1747</v>
      </c>
      <c r="C659" s="3">
        <v>3</v>
      </c>
      <c r="D659" s="5">
        <v>17.989999999999998</v>
      </c>
      <c r="E659" s="3" t="s">
        <v>1748</v>
      </c>
      <c r="F659" s="2" t="s">
        <v>70</v>
      </c>
      <c r="G659" s="6" t="s">
        <v>27</v>
      </c>
      <c r="H659" s="2" t="s">
        <v>1473</v>
      </c>
      <c r="I659" s="2" t="s">
        <v>1426</v>
      </c>
      <c r="J659" s="2" t="s">
        <v>19</v>
      </c>
      <c r="K659" s="2" t="s">
        <v>353</v>
      </c>
      <c r="L659" s="7" t="str">
        <f t="shared" ref="L659:L668" si="5">HYPERLINK("http://slimages.macys.com/is/image/MCY/12776597 ")</f>
        <v xml:space="preserve">http://slimages.macys.com/is/image/MCY/12776597 </v>
      </c>
    </row>
    <row r="660" spans="1:12" ht="24.75" x14ac:dyDescent="0.25">
      <c r="A660" s="4" t="s">
        <v>5109</v>
      </c>
      <c r="B660" s="2" t="s">
        <v>1747</v>
      </c>
      <c r="C660" s="3">
        <v>2</v>
      </c>
      <c r="D660" s="5">
        <v>17.989999999999998</v>
      </c>
      <c r="E660" s="3" t="s">
        <v>1748</v>
      </c>
      <c r="F660" s="2" t="s">
        <v>70</v>
      </c>
      <c r="G660" s="6" t="s">
        <v>58</v>
      </c>
      <c r="H660" s="2" t="s">
        <v>1473</v>
      </c>
      <c r="I660" s="2" t="s">
        <v>1426</v>
      </c>
      <c r="J660" s="2" t="s">
        <v>19</v>
      </c>
      <c r="K660" s="2" t="s">
        <v>353</v>
      </c>
      <c r="L660" s="7" t="str">
        <f t="shared" si="5"/>
        <v xml:space="preserve">http://slimages.macys.com/is/image/MCY/12776597 </v>
      </c>
    </row>
    <row r="661" spans="1:12" ht="24.75" x14ac:dyDescent="0.25">
      <c r="A661" s="4" t="s">
        <v>2944</v>
      </c>
      <c r="B661" s="2" t="s">
        <v>1747</v>
      </c>
      <c r="C661" s="3">
        <v>5</v>
      </c>
      <c r="D661" s="5">
        <v>17.989999999999998</v>
      </c>
      <c r="E661" s="3" t="s">
        <v>1748</v>
      </c>
      <c r="F661" s="2" t="s">
        <v>70</v>
      </c>
      <c r="G661" s="6" t="s">
        <v>16</v>
      </c>
      <c r="H661" s="2" t="s">
        <v>1473</v>
      </c>
      <c r="I661" s="2" t="s">
        <v>1426</v>
      </c>
      <c r="J661" s="2" t="s">
        <v>19</v>
      </c>
      <c r="K661" s="2" t="s">
        <v>353</v>
      </c>
      <c r="L661" s="7" t="str">
        <f t="shared" si="5"/>
        <v xml:space="preserve">http://slimages.macys.com/is/image/MCY/12776597 </v>
      </c>
    </row>
    <row r="662" spans="1:12" ht="24.75" x14ac:dyDescent="0.25">
      <c r="A662" s="4" t="s">
        <v>5110</v>
      </c>
      <c r="B662" s="2" t="s">
        <v>1747</v>
      </c>
      <c r="C662" s="3">
        <v>1</v>
      </c>
      <c r="D662" s="5">
        <v>17.989999999999998</v>
      </c>
      <c r="E662" s="3" t="s">
        <v>1748</v>
      </c>
      <c r="F662" s="2" t="s">
        <v>15</v>
      </c>
      <c r="G662" s="6" t="s">
        <v>22</v>
      </c>
      <c r="H662" s="2" t="s">
        <v>1473</v>
      </c>
      <c r="I662" s="2" t="s">
        <v>1426</v>
      </c>
      <c r="J662" s="2" t="s">
        <v>19</v>
      </c>
      <c r="K662" s="2" t="s">
        <v>353</v>
      </c>
      <c r="L662" s="7" t="str">
        <f t="shared" si="5"/>
        <v xml:space="preserve">http://slimages.macys.com/is/image/MCY/12776597 </v>
      </c>
    </row>
    <row r="663" spans="1:12" ht="24.75" x14ac:dyDescent="0.25">
      <c r="A663" s="4" t="s">
        <v>4064</v>
      </c>
      <c r="B663" s="2" t="s">
        <v>1747</v>
      </c>
      <c r="C663" s="3">
        <v>1</v>
      </c>
      <c r="D663" s="5">
        <v>17.989999999999998</v>
      </c>
      <c r="E663" s="3" t="s">
        <v>1748</v>
      </c>
      <c r="F663" s="2" t="s">
        <v>998</v>
      </c>
      <c r="G663" s="6" t="s">
        <v>112</v>
      </c>
      <c r="H663" s="2" t="s">
        <v>1473</v>
      </c>
      <c r="I663" s="2" t="s">
        <v>1426</v>
      </c>
      <c r="J663" s="2" t="s">
        <v>19</v>
      </c>
      <c r="K663" s="2" t="s">
        <v>353</v>
      </c>
      <c r="L663" s="7" t="str">
        <f t="shared" si="5"/>
        <v xml:space="preserve">http://slimages.macys.com/is/image/MCY/12776597 </v>
      </c>
    </row>
    <row r="664" spans="1:12" ht="24.75" x14ac:dyDescent="0.25">
      <c r="A664" s="4" t="s">
        <v>2946</v>
      </c>
      <c r="B664" s="2" t="s">
        <v>1747</v>
      </c>
      <c r="C664" s="3">
        <v>2</v>
      </c>
      <c r="D664" s="5">
        <v>17.989999999999998</v>
      </c>
      <c r="E664" s="3" t="s">
        <v>1748</v>
      </c>
      <c r="F664" s="2" t="s">
        <v>998</v>
      </c>
      <c r="G664" s="6" t="s">
        <v>22</v>
      </c>
      <c r="H664" s="2" t="s">
        <v>1473</v>
      </c>
      <c r="I664" s="2" t="s">
        <v>1426</v>
      </c>
      <c r="J664" s="2" t="s">
        <v>19</v>
      </c>
      <c r="K664" s="2" t="s">
        <v>353</v>
      </c>
      <c r="L664" s="7" t="str">
        <f t="shared" si="5"/>
        <v xml:space="preserve">http://slimages.macys.com/is/image/MCY/12776597 </v>
      </c>
    </row>
    <row r="665" spans="1:12" ht="24.75" x14ac:dyDescent="0.25">
      <c r="A665" s="4" t="s">
        <v>5111</v>
      </c>
      <c r="B665" s="2" t="s">
        <v>1747</v>
      </c>
      <c r="C665" s="3">
        <v>1</v>
      </c>
      <c r="D665" s="5">
        <v>17.989999999999998</v>
      </c>
      <c r="E665" s="3" t="s">
        <v>1748</v>
      </c>
      <c r="F665" s="2" t="s">
        <v>70</v>
      </c>
      <c r="G665" s="6" t="s">
        <v>112</v>
      </c>
      <c r="H665" s="2" t="s">
        <v>1473</v>
      </c>
      <c r="I665" s="2" t="s">
        <v>1426</v>
      </c>
      <c r="J665" s="2" t="s">
        <v>19</v>
      </c>
      <c r="K665" s="2" t="s">
        <v>353</v>
      </c>
      <c r="L665" s="7" t="str">
        <f t="shared" si="5"/>
        <v xml:space="preserve">http://slimages.macys.com/is/image/MCY/12776597 </v>
      </c>
    </row>
    <row r="666" spans="1:12" ht="24.75" x14ac:dyDescent="0.25">
      <c r="A666" s="4" t="s">
        <v>4066</v>
      </c>
      <c r="B666" s="2" t="s">
        <v>1747</v>
      </c>
      <c r="C666" s="3">
        <v>2</v>
      </c>
      <c r="D666" s="5">
        <v>17.989999999999998</v>
      </c>
      <c r="E666" s="3" t="s">
        <v>1748</v>
      </c>
      <c r="F666" s="2" t="s">
        <v>70</v>
      </c>
      <c r="G666" s="6" t="s">
        <v>106</v>
      </c>
      <c r="H666" s="2" t="s">
        <v>1473</v>
      </c>
      <c r="I666" s="2" t="s">
        <v>1426</v>
      </c>
      <c r="J666" s="2" t="s">
        <v>19</v>
      </c>
      <c r="K666" s="2" t="s">
        <v>353</v>
      </c>
      <c r="L666" s="7" t="str">
        <f t="shared" si="5"/>
        <v xml:space="preserve">http://slimages.macys.com/is/image/MCY/12776597 </v>
      </c>
    </row>
    <row r="667" spans="1:12" ht="24.75" x14ac:dyDescent="0.25">
      <c r="A667" s="4" t="s">
        <v>2954</v>
      </c>
      <c r="B667" s="2" t="s">
        <v>1747</v>
      </c>
      <c r="C667" s="3">
        <v>1</v>
      </c>
      <c r="D667" s="5">
        <v>17.989999999999998</v>
      </c>
      <c r="E667" s="3" t="s">
        <v>1748</v>
      </c>
      <c r="F667" s="2" t="s">
        <v>70</v>
      </c>
      <c r="G667" s="6" t="s">
        <v>141</v>
      </c>
      <c r="H667" s="2" t="s">
        <v>1473</v>
      </c>
      <c r="I667" s="2" t="s">
        <v>1426</v>
      </c>
      <c r="J667" s="2" t="s">
        <v>19</v>
      </c>
      <c r="K667" s="2" t="s">
        <v>353</v>
      </c>
      <c r="L667" s="7" t="str">
        <f t="shared" si="5"/>
        <v xml:space="preserve">http://slimages.macys.com/is/image/MCY/12776597 </v>
      </c>
    </row>
    <row r="668" spans="1:12" ht="24.75" x14ac:dyDescent="0.25">
      <c r="A668" s="4" t="s">
        <v>5112</v>
      </c>
      <c r="B668" s="2" t="s">
        <v>1747</v>
      </c>
      <c r="C668" s="3">
        <v>1</v>
      </c>
      <c r="D668" s="5">
        <v>17.989999999999998</v>
      </c>
      <c r="E668" s="3" t="s">
        <v>1748</v>
      </c>
      <c r="F668" s="2" t="s">
        <v>998</v>
      </c>
      <c r="G668" s="6" t="s">
        <v>106</v>
      </c>
      <c r="H668" s="2" t="s">
        <v>1473</v>
      </c>
      <c r="I668" s="2" t="s">
        <v>1426</v>
      </c>
      <c r="J668" s="2" t="s">
        <v>19</v>
      </c>
      <c r="K668" s="2" t="s">
        <v>353</v>
      </c>
      <c r="L668" s="7" t="str">
        <f t="shared" si="5"/>
        <v xml:space="preserve">http://slimages.macys.com/is/image/MCY/12776597 </v>
      </c>
    </row>
    <row r="669" spans="1:12" ht="24.75" x14ac:dyDescent="0.25">
      <c r="A669" s="4" t="s">
        <v>5113</v>
      </c>
      <c r="B669" s="2" t="s">
        <v>5114</v>
      </c>
      <c r="C669" s="3">
        <v>1</v>
      </c>
      <c r="D669" s="5">
        <v>19.989999999999998</v>
      </c>
      <c r="E669" s="3" t="s">
        <v>5115</v>
      </c>
      <c r="F669" s="2" t="s">
        <v>413</v>
      </c>
      <c r="G669" s="6" t="s">
        <v>156</v>
      </c>
      <c r="H669" s="2" t="s">
        <v>1522</v>
      </c>
      <c r="I669" s="2" t="s">
        <v>1469</v>
      </c>
      <c r="J669" s="2" t="s">
        <v>19</v>
      </c>
      <c r="K669" s="2" t="s">
        <v>495</v>
      </c>
      <c r="L669" s="7" t="str">
        <f>HYPERLINK("http://slimages.macys.com/is/image/MCY/10743528 ")</f>
        <v xml:space="preserve">http://slimages.macys.com/is/image/MCY/10743528 </v>
      </c>
    </row>
    <row r="670" spans="1:12" ht="24.75" x14ac:dyDescent="0.25">
      <c r="A670" s="4" t="s">
        <v>2945</v>
      </c>
      <c r="B670" s="2" t="s">
        <v>1747</v>
      </c>
      <c r="C670" s="3">
        <v>4</v>
      </c>
      <c r="D670" s="5">
        <v>17.989999999999998</v>
      </c>
      <c r="E670" s="3" t="s">
        <v>1748</v>
      </c>
      <c r="F670" s="2" t="s">
        <v>70</v>
      </c>
      <c r="G670" s="6" t="s">
        <v>22</v>
      </c>
      <c r="H670" s="2" t="s">
        <v>1473</v>
      </c>
      <c r="I670" s="2" t="s">
        <v>1426</v>
      </c>
      <c r="J670" s="2" t="s">
        <v>19</v>
      </c>
      <c r="K670" s="2" t="s">
        <v>353</v>
      </c>
      <c r="L670" s="7" t="str">
        <f>HYPERLINK("http://slimages.macys.com/is/image/MCY/12776597 ")</f>
        <v xml:space="preserve">http://slimages.macys.com/is/image/MCY/12776597 </v>
      </c>
    </row>
    <row r="671" spans="1:12" ht="24.75" x14ac:dyDescent="0.25">
      <c r="A671" s="4" t="s">
        <v>5116</v>
      </c>
      <c r="B671" s="2" t="s">
        <v>1747</v>
      </c>
      <c r="C671" s="3">
        <v>1</v>
      </c>
      <c r="D671" s="5">
        <v>17.989999999999998</v>
      </c>
      <c r="E671" s="3" t="s">
        <v>1748</v>
      </c>
      <c r="F671" s="2" t="s">
        <v>998</v>
      </c>
      <c r="G671" s="6" t="s">
        <v>141</v>
      </c>
      <c r="H671" s="2" t="s">
        <v>1473</v>
      </c>
      <c r="I671" s="2" t="s">
        <v>1426</v>
      </c>
      <c r="J671" s="2" t="s">
        <v>19</v>
      </c>
      <c r="K671" s="2" t="s">
        <v>353</v>
      </c>
      <c r="L671" s="7" t="str">
        <f>HYPERLINK("http://slimages.macys.com/is/image/MCY/12776597 ")</f>
        <v xml:space="preserve">http://slimages.macys.com/is/image/MCY/12776597 </v>
      </c>
    </row>
    <row r="672" spans="1:12" ht="24.75" x14ac:dyDescent="0.25">
      <c r="A672" s="4" t="s">
        <v>5117</v>
      </c>
      <c r="B672" s="2" t="s">
        <v>1764</v>
      </c>
      <c r="C672" s="3">
        <v>1</v>
      </c>
      <c r="D672" s="5">
        <v>22.13</v>
      </c>
      <c r="E672" s="3" t="s">
        <v>1765</v>
      </c>
      <c r="F672" s="2" t="s">
        <v>38</v>
      </c>
      <c r="G672" s="6" t="s">
        <v>245</v>
      </c>
      <c r="H672" s="2" t="s">
        <v>194</v>
      </c>
      <c r="I672" s="2" t="s">
        <v>1766</v>
      </c>
      <c r="J672" s="2" t="s">
        <v>19</v>
      </c>
      <c r="K672" s="2" t="s">
        <v>1082</v>
      </c>
      <c r="L672" s="7" t="str">
        <f>HYPERLINK("http://slimages.macys.com/is/image/MCY/12143911 ")</f>
        <v xml:space="preserve">http://slimages.macys.com/is/image/MCY/12143911 </v>
      </c>
    </row>
    <row r="673" spans="1:12" ht="24.75" x14ac:dyDescent="0.25">
      <c r="A673" s="4" t="s">
        <v>5118</v>
      </c>
      <c r="B673" s="2" t="s">
        <v>1776</v>
      </c>
      <c r="C673" s="3">
        <v>1</v>
      </c>
      <c r="D673" s="5">
        <v>22.13</v>
      </c>
      <c r="E673" s="3" t="s">
        <v>1779</v>
      </c>
      <c r="F673" s="2" t="s">
        <v>79</v>
      </c>
      <c r="G673" s="6" t="s">
        <v>234</v>
      </c>
      <c r="H673" s="2" t="s">
        <v>194</v>
      </c>
      <c r="I673" s="2" t="s">
        <v>1766</v>
      </c>
      <c r="J673" s="2" t="s">
        <v>19</v>
      </c>
      <c r="K673" s="2" t="s">
        <v>1758</v>
      </c>
      <c r="L673" s="7" t="str">
        <f>HYPERLINK("http://slimages.macys.com/is/image/MCY/12035171 ")</f>
        <v xml:space="preserve">http://slimages.macys.com/is/image/MCY/12035171 </v>
      </c>
    </row>
    <row r="674" spans="1:12" ht="24.75" x14ac:dyDescent="0.25">
      <c r="A674" s="4" t="s">
        <v>5119</v>
      </c>
      <c r="B674" s="2" t="s">
        <v>1761</v>
      </c>
      <c r="C674" s="3">
        <v>1</v>
      </c>
      <c r="D674" s="5">
        <v>22.13</v>
      </c>
      <c r="E674" s="3" t="s">
        <v>1762</v>
      </c>
      <c r="F674" s="2" t="s">
        <v>15</v>
      </c>
      <c r="G674" s="6" t="s">
        <v>156</v>
      </c>
      <c r="H674" s="2" t="s">
        <v>194</v>
      </c>
      <c r="I674" s="2" t="s">
        <v>580</v>
      </c>
      <c r="J674" s="2" t="s">
        <v>19</v>
      </c>
      <c r="K674" s="2" t="s">
        <v>1082</v>
      </c>
      <c r="L674" s="7" t="str">
        <f>HYPERLINK("http://slimages.macys.com/is/image/MCY/12794096 ")</f>
        <v xml:space="preserve">http://slimages.macys.com/is/image/MCY/12794096 </v>
      </c>
    </row>
    <row r="675" spans="1:12" ht="24.75" x14ac:dyDescent="0.25">
      <c r="A675" s="4" t="s">
        <v>5120</v>
      </c>
      <c r="B675" s="2" t="s">
        <v>2878</v>
      </c>
      <c r="C675" s="3">
        <v>1</v>
      </c>
      <c r="D675" s="5">
        <v>29.63</v>
      </c>
      <c r="E675" s="3" t="s">
        <v>5121</v>
      </c>
      <c r="F675" s="2" t="s">
        <v>64</v>
      </c>
      <c r="G675" s="6"/>
      <c r="H675" s="2" t="s">
        <v>312</v>
      </c>
      <c r="I675" s="2" t="s">
        <v>195</v>
      </c>
      <c r="J675" s="2" t="s">
        <v>19</v>
      </c>
      <c r="K675" s="2" t="s">
        <v>1108</v>
      </c>
      <c r="L675" s="7" t="str">
        <f>HYPERLINK("http://slimages.macys.com/is/image/MCY/11606253 ")</f>
        <v xml:space="preserve">http://slimages.macys.com/is/image/MCY/11606253 </v>
      </c>
    </row>
    <row r="676" spans="1:12" ht="24.75" x14ac:dyDescent="0.25">
      <c r="A676" s="4" t="s">
        <v>4071</v>
      </c>
      <c r="B676" s="2" t="s">
        <v>2974</v>
      </c>
      <c r="C676" s="3">
        <v>1</v>
      </c>
      <c r="D676" s="5">
        <v>22.13</v>
      </c>
      <c r="E676" s="3" t="s">
        <v>2975</v>
      </c>
      <c r="F676" s="2" t="s">
        <v>331</v>
      </c>
      <c r="G676" s="6" t="s">
        <v>234</v>
      </c>
      <c r="H676" s="2" t="s">
        <v>194</v>
      </c>
      <c r="I676" s="2" t="s">
        <v>580</v>
      </c>
      <c r="J676" s="2" t="s">
        <v>19</v>
      </c>
      <c r="K676" s="2" t="s">
        <v>1758</v>
      </c>
      <c r="L676" s="7" t="str">
        <f>HYPERLINK("http://slimages.macys.com/is/image/MCY/11937954 ")</f>
        <v xml:space="preserve">http://slimages.macys.com/is/image/MCY/11937954 </v>
      </c>
    </row>
    <row r="677" spans="1:12" ht="24.75" x14ac:dyDescent="0.25">
      <c r="A677" s="4" t="s">
        <v>2963</v>
      </c>
      <c r="B677" s="2" t="s">
        <v>1761</v>
      </c>
      <c r="C677" s="3">
        <v>1</v>
      </c>
      <c r="D677" s="5">
        <v>22.13</v>
      </c>
      <c r="E677" s="3" t="s">
        <v>1768</v>
      </c>
      <c r="F677" s="2" t="s">
        <v>64</v>
      </c>
      <c r="G677" s="6" t="s">
        <v>234</v>
      </c>
      <c r="H677" s="2" t="s">
        <v>194</v>
      </c>
      <c r="I677" s="2" t="s">
        <v>580</v>
      </c>
      <c r="J677" s="2" t="s">
        <v>19</v>
      </c>
      <c r="K677" s="2" t="s">
        <v>1758</v>
      </c>
      <c r="L677" s="7" t="str">
        <f>HYPERLINK("http://slimages.macys.com/is/image/MCY/12799771 ")</f>
        <v xml:space="preserve">http://slimages.macys.com/is/image/MCY/12799771 </v>
      </c>
    </row>
    <row r="678" spans="1:12" ht="24.75" x14ac:dyDescent="0.25">
      <c r="A678" s="4" t="s">
        <v>5122</v>
      </c>
      <c r="B678" s="2" t="s">
        <v>1764</v>
      </c>
      <c r="C678" s="3">
        <v>1</v>
      </c>
      <c r="D678" s="5">
        <v>22.13</v>
      </c>
      <c r="E678" s="3" t="s">
        <v>1765</v>
      </c>
      <c r="F678" s="2" t="s">
        <v>38</v>
      </c>
      <c r="G678" s="6" t="s">
        <v>156</v>
      </c>
      <c r="H678" s="2" t="s">
        <v>194</v>
      </c>
      <c r="I678" s="2" t="s">
        <v>1766</v>
      </c>
      <c r="J678" s="2" t="s">
        <v>19</v>
      </c>
      <c r="K678" s="2" t="s">
        <v>1082</v>
      </c>
      <c r="L678" s="7" t="str">
        <f>HYPERLINK("http://slimages.macys.com/is/image/MCY/12143911 ")</f>
        <v xml:space="preserve">http://slimages.macys.com/is/image/MCY/12143911 </v>
      </c>
    </row>
    <row r="679" spans="1:12" ht="24.75" x14ac:dyDescent="0.25">
      <c r="A679" s="4" t="s">
        <v>2972</v>
      </c>
      <c r="B679" s="2" t="s">
        <v>1761</v>
      </c>
      <c r="C679" s="3">
        <v>1</v>
      </c>
      <c r="D679" s="5">
        <v>22.13</v>
      </c>
      <c r="E679" s="3" t="s">
        <v>1762</v>
      </c>
      <c r="F679" s="2" t="s">
        <v>15</v>
      </c>
      <c r="G679" s="6" t="s">
        <v>234</v>
      </c>
      <c r="H679" s="2" t="s">
        <v>194</v>
      </c>
      <c r="I679" s="2" t="s">
        <v>580</v>
      </c>
      <c r="J679" s="2" t="s">
        <v>19</v>
      </c>
      <c r="K679" s="2" t="s">
        <v>1082</v>
      </c>
      <c r="L679" s="7" t="str">
        <f>HYPERLINK("http://slimages.macys.com/is/image/MCY/12794096 ")</f>
        <v xml:space="preserve">http://slimages.macys.com/is/image/MCY/12794096 </v>
      </c>
    </row>
    <row r="680" spans="1:12" ht="24.75" x14ac:dyDescent="0.25">
      <c r="A680" s="4" t="s">
        <v>5123</v>
      </c>
      <c r="B680" s="2" t="s">
        <v>2967</v>
      </c>
      <c r="C680" s="3">
        <v>1</v>
      </c>
      <c r="D680" s="5">
        <v>22.13</v>
      </c>
      <c r="E680" s="3" t="s">
        <v>2968</v>
      </c>
      <c r="F680" s="2" t="s">
        <v>48</v>
      </c>
      <c r="G680" s="6" t="s">
        <v>245</v>
      </c>
      <c r="H680" s="2" t="s">
        <v>194</v>
      </c>
      <c r="I680" s="2" t="s">
        <v>580</v>
      </c>
      <c r="J680" s="2" t="s">
        <v>19</v>
      </c>
      <c r="K680" s="2" t="s">
        <v>1758</v>
      </c>
      <c r="L680" s="7" t="str">
        <f>HYPERLINK("http://slimages.macys.com/is/image/MCY/11937981 ")</f>
        <v xml:space="preserve">http://slimages.macys.com/is/image/MCY/11937981 </v>
      </c>
    </row>
    <row r="681" spans="1:12" ht="24.75" x14ac:dyDescent="0.25">
      <c r="A681" s="4" t="s">
        <v>5124</v>
      </c>
      <c r="B681" s="2" t="s">
        <v>1808</v>
      </c>
      <c r="C681" s="3">
        <v>1</v>
      </c>
      <c r="D681" s="5">
        <v>22.13</v>
      </c>
      <c r="E681" s="3" t="s">
        <v>5125</v>
      </c>
      <c r="F681" s="2" t="s">
        <v>53</v>
      </c>
      <c r="G681" s="6" t="s">
        <v>181</v>
      </c>
      <c r="H681" s="2" t="s">
        <v>194</v>
      </c>
      <c r="I681" s="2" t="s">
        <v>580</v>
      </c>
      <c r="J681" s="2" t="s">
        <v>19</v>
      </c>
      <c r="K681" s="2" t="s">
        <v>1758</v>
      </c>
      <c r="L681" s="7" t="str">
        <f>HYPERLINK("http://slimages.macys.com/is/image/MCY/12734376 ")</f>
        <v xml:space="preserve">http://slimages.macys.com/is/image/MCY/12734376 </v>
      </c>
    </row>
    <row r="682" spans="1:12" ht="24.75" x14ac:dyDescent="0.25">
      <c r="A682" s="4" t="s">
        <v>5126</v>
      </c>
      <c r="B682" s="2" t="s">
        <v>1761</v>
      </c>
      <c r="C682" s="3">
        <v>1</v>
      </c>
      <c r="D682" s="5">
        <v>22.13</v>
      </c>
      <c r="E682" s="3" t="s">
        <v>5127</v>
      </c>
      <c r="F682" s="2" t="s">
        <v>572</v>
      </c>
      <c r="G682" s="6" t="s">
        <v>234</v>
      </c>
      <c r="H682" s="2" t="s">
        <v>194</v>
      </c>
      <c r="I682" s="2" t="s">
        <v>580</v>
      </c>
      <c r="J682" s="2" t="s">
        <v>19</v>
      </c>
      <c r="K682" s="2" t="s">
        <v>1082</v>
      </c>
      <c r="L682" s="7" t="str">
        <f>HYPERLINK("http://slimages.macys.com/is/image/MCY/12950289 ")</f>
        <v xml:space="preserve">http://slimages.macys.com/is/image/MCY/12950289 </v>
      </c>
    </row>
    <row r="683" spans="1:12" ht="24.75" x14ac:dyDescent="0.25">
      <c r="A683" s="4" t="s">
        <v>1785</v>
      </c>
      <c r="B683" s="2" t="s">
        <v>1786</v>
      </c>
      <c r="C683" s="3">
        <v>1</v>
      </c>
      <c r="D683" s="5">
        <v>45</v>
      </c>
      <c r="E683" s="3" t="s">
        <v>1787</v>
      </c>
      <c r="F683" s="2" t="s">
        <v>1788</v>
      </c>
      <c r="G683" s="6" t="s">
        <v>791</v>
      </c>
      <c r="H683" s="2" t="s">
        <v>447</v>
      </c>
      <c r="I683" s="2" t="s">
        <v>792</v>
      </c>
      <c r="J683" s="2" t="s">
        <v>19</v>
      </c>
      <c r="K683" s="2" t="s">
        <v>160</v>
      </c>
      <c r="L683" s="7" t="str">
        <f>HYPERLINK("http://slimages.macys.com/is/image/MCY/8252064 ")</f>
        <v xml:space="preserve">http://slimages.macys.com/is/image/MCY/8252064 </v>
      </c>
    </row>
    <row r="684" spans="1:12" ht="24.75" x14ac:dyDescent="0.25">
      <c r="A684" s="4" t="s">
        <v>5128</v>
      </c>
      <c r="B684" s="2" t="s">
        <v>1796</v>
      </c>
      <c r="C684" s="3">
        <v>1</v>
      </c>
      <c r="D684" s="5">
        <v>33</v>
      </c>
      <c r="E684" s="3" t="s">
        <v>1797</v>
      </c>
      <c r="F684" s="2" t="s">
        <v>1234</v>
      </c>
      <c r="G684" s="6"/>
      <c r="H684" s="2" t="s">
        <v>447</v>
      </c>
      <c r="I684" s="2" t="s">
        <v>792</v>
      </c>
      <c r="J684" s="2" t="s">
        <v>19</v>
      </c>
      <c r="K684" s="2" t="s">
        <v>160</v>
      </c>
      <c r="L684" s="7" t="str">
        <f>HYPERLINK("http://slimages.macys.com/is/image/MCY/13745636 ")</f>
        <v xml:space="preserve">http://slimages.macys.com/is/image/MCY/13745636 </v>
      </c>
    </row>
    <row r="685" spans="1:12" ht="24.75" x14ac:dyDescent="0.25">
      <c r="A685" s="4" t="s">
        <v>5129</v>
      </c>
      <c r="B685" s="2" t="s">
        <v>1801</v>
      </c>
      <c r="C685" s="3">
        <v>1</v>
      </c>
      <c r="D685" s="5">
        <v>21.5</v>
      </c>
      <c r="E685" s="3" t="s">
        <v>1802</v>
      </c>
      <c r="F685" s="2" t="s">
        <v>566</v>
      </c>
      <c r="G685" s="6"/>
      <c r="H685" s="2" t="s">
        <v>312</v>
      </c>
      <c r="I685" s="2" t="s">
        <v>580</v>
      </c>
      <c r="J685" s="2" t="s">
        <v>19</v>
      </c>
      <c r="K685" s="2" t="s">
        <v>1758</v>
      </c>
      <c r="L685" s="7" t="str">
        <f>HYPERLINK("http://slimages.macys.com/is/image/MCY/11515389 ")</f>
        <v xml:space="preserve">http://slimages.macys.com/is/image/MCY/11515389 </v>
      </c>
    </row>
    <row r="686" spans="1:12" ht="24.75" x14ac:dyDescent="0.25">
      <c r="A686" s="4" t="s">
        <v>2990</v>
      </c>
      <c r="B686" s="2" t="s">
        <v>2988</v>
      </c>
      <c r="C686" s="3">
        <v>1</v>
      </c>
      <c r="D686" s="5">
        <v>20.99</v>
      </c>
      <c r="E686" s="3" t="s">
        <v>2989</v>
      </c>
      <c r="F686" s="2" t="s">
        <v>64</v>
      </c>
      <c r="G686" s="6" t="s">
        <v>154</v>
      </c>
      <c r="H686" s="2" t="s">
        <v>1473</v>
      </c>
      <c r="I686" s="2" t="s">
        <v>1864</v>
      </c>
      <c r="J686" s="2" t="s">
        <v>19</v>
      </c>
      <c r="K686" s="2" t="s">
        <v>990</v>
      </c>
      <c r="L686" s="7" t="str">
        <f>HYPERLINK("http://slimages.macys.com/is/image/MCY/10787778 ")</f>
        <v xml:space="preserve">http://slimages.macys.com/is/image/MCY/10787778 </v>
      </c>
    </row>
    <row r="687" spans="1:12" ht="24.75" x14ac:dyDescent="0.25">
      <c r="A687" s="4" t="s">
        <v>2987</v>
      </c>
      <c r="B687" s="2" t="s">
        <v>2988</v>
      </c>
      <c r="C687" s="3">
        <v>1</v>
      </c>
      <c r="D687" s="5">
        <v>20.99</v>
      </c>
      <c r="E687" s="3" t="s">
        <v>2989</v>
      </c>
      <c r="F687" s="2" t="s">
        <v>64</v>
      </c>
      <c r="G687" s="6" t="s">
        <v>156</v>
      </c>
      <c r="H687" s="2" t="s">
        <v>1473</v>
      </c>
      <c r="I687" s="2" t="s">
        <v>1864</v>
      </c>
      <c r="J687" s="2" t="s">
        <v>19</v>
      </c>
      <c r="K687" s="2" t="s">
        <v>990</v>
      </c>
      <c r="L687" s="7" t="str">
        <f>HYPERLINK("http://slimages.macys.com/is/image/MCY/10787778 ")</f>
        <v xml:space="preserve">http://slimages.macys.com/is/image/MCY/10787778 </v>
      </c>
    </row>
    <row r="688" spans="1:12" ht="24.75" x14ac:dyDescent="0.25">
      <c r="A688" s="4" t="s">
        <v>5130</v>
      </c>
      <c r="B688" s="2" t="s">
        <v>2992</v>
      </c>
      <c r="C688" s="3">
        <v>1</v>
      </c>
      <c r="D688" s="5">
        <v>22.13</v>
      </c>
      <c r="E688" s="3">
        <v>100021693</v>
      </c>
      <c r="F688" s="2" t="s">
        <v>1788</v>
      </c>
      <c r="G688" s="6" t="s">
        <v>156</v>
      </c>
      <c r="H688" s="2" t="s">
        <v>194</v>
      </c>
      <c r="I688" s="2" t="s">
        <v>1766</v>
      </c>
      <c r="J688" s="2" t="s">
        <v>19</v>
      </c>
      <c r="K688" s="2" t="s">
        <v>495</v>
      </c>
      <c r="L688" s="7" t="str">
        <f>HYPERLINK("http://slimages.macys.com/is/image/MCY/9620471 ")</f>
        <v xml:space="preserve">http://slimages.macys.com/is/image/MCY/9620471 </v>
      </c>
    </row>
    <row r="689" spans="1:12" ht="24.75" x14ac:dyDescent="0.25">
      <c r="A689" s="4" t="s">
        <v>5131</v>
      </c>
      <c r="B689" s="2" t="s">
        <v>4092</v>
      </c>
      <c r="C689" s="3">
        <v>1</v>
      </c>
      <c r="D689" s="5">
        <v>19.989999999999998</v>
      </c>
      <c r="E689" s="3" t="s">
        <v>4093</v>
      </c>
      <c r="F689" s="2" t="s">
        <v>74</v>
      </c>
      <c r="G689" s="6" t="s">
        <v>181</v>
      </c>
      <c r="H689" s="2" t="s">
        <v>1473</v>
      </c>
      <c r="I689" s="2" t="s">
        <v>1426</v>
      </c>
      <c r="J689" s="2" t="s">
        <v>19</v>
      </c>
      <c r="K689" s="2" t="s">
        <v>990</v>
      </c>
      <c r="L689" s="7" t="str">
        <f>HYPERLINK("http://slimages.macys.com/is/image/MCY/11915670 ")</f>
        <v xml:space="preserve">http://slimages.macys.com/is/image/MCY/11915670 </v>
      </c>
    </row>
    <row r="690" spans="1:12" ht="24.75" x14ac:dyDescent="0.25">
      <c r="A690" s="4" t="s">
        <v>5132</v>
      </c>
      <c r="B690" s="2" t="s">
        <v>5133</v>
      </c>
      <c r="C690" s="3">
        <v>1</v>
      </c>
      <c r="D690" s="5">
        <v>19.989999999999998</v>
      </c>
      <c r="E690" s="3" t="s">
        <v>5134</v>
      </c>
      <c r="F690" s="2" t="s">
        <v>417</v>
      </c>
      <c r="G690" s="6" t="s">
        <v>245</v>
      </c>
      <c r="H690" s="2" t="s">
        <v>1473</v>
      </c>
      <c r="I690" s="2" t="s">
        <v>1426</v>
      </c>
      <c r="J690" s="2" t="s">
        <v>19</v>
      </c>
      <c r="K690" s="2" t="s">
        <v>495</v>
      </c>
      <c r="L690" s="7" t="str">
        <f>HYPERLINK("http://slimages.macys.com/is/image/MCY/11774906 ")</f>
        <v xml:space="preserve">http://slimages.macys.com/is/image/MCY/11774906 </v>
      </c>
    </row>
    <row r="691" spans="1:12" ht="24.75" x14ac:dyDescent="0.25">
      <c r="A691" s="4" t="s">
        <v>5135</v>
      </c>
      <c r="B691" s="2" t="s">
        <v>4014</v>
      </c>
      <c r="C691" s="3">
        <v>1</v>
      </c>
      <c r="D691" s="5">
        <v>26.7</v>
      </c>
      <c r="E691" s="3" t="s">
        <v>5136</v>
      </c>
      <c r="F691" s="2" t="s">
        <v>15</v>
      </c>
      <c r="G691" s="6" t="s">
        <v>200</v>
      </c>
      <c r="H691" s="2" t="s">
        <v>284</v>
      </c>
      <c r="I691" s="2" t="s">
        <v>285</v>
      </c>
      <c r="J691" s="2" t="s">
        <v>19</v>
      </c>
      <c r="K691" s="2" t="s">
        <v>160</v>
      </c>
      <c r="L691" s="7" t="str">
        <f>HYPERLINK("http://slimages.macys.com/is/image/MCY/12465291 ")</f>
        <v xml:space="preserve">http://slimages.macys.com/is/image/MCY/12465291 </v>
      </c>
    </row>
    <row r="692" spans="1:12" ht="24.75" x14ac:dyDescent="0.25">
      <c r="A692" s="4" t="s">
        <v>5137</v>
      </c>
      <c r="B692" s="2" t="s">
        <v>5138</v>
      </c>
      <c r="C692" s="3">
        <v>1</v>
      </c>
      <c r="D692" s="5">
        <v>19.989999999999998</v>
      </c>
      <c r="E692" s="3" t="s">
        <v>5139</v>
      </c>
      <c r="F692" s="2" t="s">
        <v>74</v>
      </c>
      <c r="G692" s="6" t="s">
        <v>181</v>
      </c>
      <c r="H692" s="2" t="s">
        <v>1473</v>
      </c>
      <c r="I692" s="2" t="s">
        <v>1426</v>
      </c>
      <c r="J692" s="2" t="s">
        <v>19</v>
      </c>
      <c r="K692" s="2" t="s">
        <v>648</v>
      </c>
      <c r="L692" s="7" t="str">
        <f>HYPERLINK("http://slimages.macys.com/is/image/MCY/12774735 ")</f>
        <v xml:space="preserve">http://slimages.macys.com/is/image/MCY/12774735 </v>
      </c>
    </row>
    <row r="693" spans="1:12" ht="24.75" x14ac:dyDescent="0.25">
      <c r="A693" s="4" t="s">
        <v>5140</v>
      </c>
      <c r="B693" s="2" t="s">
        <v>1817</v>
      </c>
      <c r="C693" s="3">
        <v>2</v>
      </c>
      <c r="D693" s="5">
        <v>17.989999999999998</v>
      </c>
      <c r="E693" s="3" t="s">
        <v>1818</v>
      </c>
      <c r="F693" s="2" t="s">
        <v>1234</v>
      </c>
      <c r="G693" s="6" t="s">
        <v>16</v>
      </c>
      <c r="H693" s="2" t="s">
        <v>1473</v>
      </c>
      <c r="I693" s="2" t="s">
        <v>1426</v>
      </c>
      <c r="J693" s="2" t="s">
        <v>19</v>
      </c>
      <c r="K693" s="2" t="s">
        <v>353</v>
      </c>
      <c r="L693" s="7" t="str">
        <f>HYPERLINK("http://slimages.macys.com/is/image/MCY/12070597 ")</f>
        <v xml:space="preserve">http://slimages.macys.com/is/image/MCY/12070597 </v>
      </c>
    </row>
    <row r="694" spans="1:12" ht="24.75" x14ac:dyDescent="0.25">
      <c r="A694" s="4" t="s">
        <v>2995</v>
      </c>
      <c r="B694" s="2" t="s">
        <v>1817</v>
      </c>
      <c r="C694" s="3">
        <v>2</v>
      </c>
      <c r="D694" s="5">
        <v>17.989999999999998</v>
      </c>
      <c r="E694" s="3" t="s">
        <v>1818</v>
      </c>
      <c r="F694" s="2" t="s">
        <v>1234</v>
      </c>
      <c r="G694" s="6" t="s">
        <v>22</v>
      </c>
      <c r="H694" s="2" t="s">
        <v>1473</v>
      </c>
      <c r="I694" s="2" t="s">
        <v>1426</v>
      </c>
      <c r="J694" s="2" t="s">
        <v>19</v>
      </c>
      <c r="K694" s="2" t="s">
        <v>353</v>
      </c>
      <c r="L694" s="7" t="str">
        <f>HYPERLINK("http://slimages.macys.com/is/image/MCY/12070597 ")</f>
        <v xml:space="preserve">http://slimages.macys.com/is/image/MCY/12070597 </v>
      </c>
    </row>
    <row r="695" spans="1:12" ht="24.75" x14ac:dyDescent="0.25">
      <c r="A695" s="4" t="s">
        <v>2994</v>
      </c>
      <c r="B695" s="2" t="s">
        <v>1817</v>
      </c>
      <c r="C695" s="3">
        <v>2</v>
      </c>
      <c r="D695" s="5">
        <v>17.989999999999998</v>
      </c>
      <c r="E695" s="3" t="s">
        <v>1818</v>
      </c>
      <c r="F695" s="2" t="s">
        <v>70</v>
      </c>
      <c r="G695" s="6" t="s">
        <v>22</v>
      </c>
      <c r="H695" s="2" t="s">
        <v>1473</v>
      </c>
      <c r="I695" s="2" t="s">
        <v>1426</v>
      </c>
      <c r="J695" s="2" t="s">
        <v>19</v>
      </c>
      <c r="K695" s="2" t="s">
        <v>353</v>
      </c>
      <c r="L695" s="7" t="str">
        <f>HYPERLINK("http://slimages.macys.com/is/image/MCY/12070597 ")</f>
        <v xml:space="preserve">http://slimages.macys.com/is/image/MCY/12070597 </v>
      </c>
    </row>
    <row r="696" spans="1:12" ht="24.75" x14ac:dyDescent="0.25">
      <c r="A696" s="4" t="s">
        <v>5141</v>
      </c>
      <c r="B696" s="2" t="s">
        <v>1817</v>
      </c>
      <c r="C696" s="3">
        <v>1</v>
      </c>
      <c r="D696" s="5">
        <v>17.989999999999998</v>
      </c>
      <c r="E696" s="3" t="s">
        <v>1818</v>
      </c>
      <c r="F696" s="2" t="s">
        <v>70</v>
      </c>
      <c r="G696" s="6" t="s">
        <v>112</v>
      </c>
      <c r="H696" s="2" t="s">
        <v>1473</v>
      </c>
      <c r="I696" s="2" t="s">
        <v>1426</v>
      </c>
      <c r="J696" s="2" t="s">
        <v>19</v>
      </c>
      <c r="K696" s="2" t="s">
        <v>353</v>
      </c>
      <c r="L696" s="7" t="str">
        <f>HYPERLINK("http://slimages.macys.com/is/image/MCY/12070597 ")</f>
        <v xml:space="preserve">http://slimages.macys.com/is/image/MCY/12070597 </v>
      </c>
    </row>
    <row r="697" spans="1:12" ht="24.75" x14ac:dyDescent="0.25">
      <c r="A697" s="4" t="s">
        <v>5142</v>
      </c>
      <c r="B697" s="2" t="s">
        <v>1817</v>
      </c>
      <c r="C697" s="3">
        <v>3</v>
      </c>
      <c r="D697" s="5">
        <v>17.989999999999998</v>
      </c>
      <c r="E697" s="3" t="s">
        <v>1818</v>
      </c>
      <c r="F697" s="2" t="s">
        <v>70</v>
      </c>
      <c r="G697" s="6" t="s">
        <v>16</v>
      </c>
      <c r="H697" s="2" t="s">
        <v>1473</v>
      </c>
      <c r="I697" s="2" t="s">
        <v>1426</v>
      </c>
      <c r="J697" s="2" t="s">
        <v>19</v>
      </c>
      <c r="K697" s="2" t="s">
        <v>353</v>
      </c>
      <c r="L697" s="7" t="str">
        <f>HYPERLINK("http://slimages.macys.com/is/image/MCY/12070597 ")</f>
        <v xml:space="preserve">http://slimages.macys.com/is/image/MCY/12070597 </v>
      </c>
    </row>
    <row r="698" spans="1:12" ht="24.75" x14ac:dyDescent="0.25">
      <c r="A698" s="4" t="s">
        <v>3007</v>
      </c>
      <c r="B698" s="2" t="s">
        <v>1823</v>
      </c>
      <c r="C698" s="3">
        <v>1</v>
      </c>
      <c r="D698" s="5">
        <v>17.989999999999998</v>
      </c>
      <c r="E698" s="3" t="s">
        <v>1824</v>
      </c>
      <c r="F698" s="2" t="s">
        <v>1322</v>
      </c>
      <c r="G698" s="6" t="s">
        <v>219</v>
      </c>
      <c r="H698" s="2" t="s">
        <v>1425</v>
      </c>
      <c r="I698" s="2" t="s">
        <v>1426</v>
      </c>
      <c r="J698" s="2" t="s">
        <v>19</v>
      </c>
      <c r="K698" s="2" t="s">
        <v>495</v>
      </c>
      <c r="L698" s="7" t="str">
        <f>HYPERLINK("http://slimages.macys.com/is/image/MCY/11831305 ")</f>
        <v xml:space="preserve">http://slimages.macys.com/is/image/MCY/11831305 </v>
      </c>
    </row>
    <row r="699" spans="1:12" ht="24.75" x14ac:dyDescent="0.25">
      <c r="A699" s="4" t="s">
        <v>5143</v>
      </c>
      <c r="B699" s="2" t="s">
        <v>5144</v>
      </c>
      <c r="C699" s="3">
        <v>1</v>
      </c>
      <c r="D699" s="5">
        <v>19.989999999999998</v>
      </c>
      <c r="E699" s="3" t="s">
        <v>5145</v>
      </c>
      <c r="F699" s="2" t="s">
        <v>74</v>
      </c>
      <c r="G699" s="6"/>
      <c r="H699" s="2" t="s">
        <v>1425</v>
      </c>
      <c r="I699" s="2" t="s">
        <v>1426</v>
      </c>
      <c r="J699" s="2" t="s">
        <v>19</v>
      </c>
      <c r="K699" s="2" t="s">
        <v>1108</v>
      </c>
      <c r="L699" s="7" t="str">
        <f>HYPERLINK("http://slimages.macys.com/is/image/MCY/10782750 ")</f>
        <v xml:space="preserve">http://slimages.macys.com/is/image/MCY/10782750 </v>
      </c>
    </row>
    <row r="700" spans="1:12" ht="24.75" x14ac:dyDescent="0.25">
      <c r="A700" s="4" t="s">
        <v>3014</v>
      </c>
      <c r="B700" s="2" t="s">
        <v>3012</v>
      </c>
      <c r="C700" s="3">
        <v>1</v>
      </c>
      <c r="D700" s="5">
        <v>22.13</v>
      </c>
      <c r="E700" s="3" t="s">
        <v>3013</v>
      </c>
      <c r="F700" s="2" t="s">
        <v>752</v>
      </c>
      <c r="G700" s="6" t="s">
        <v>156</v>
      </c>
      <c r="H700" s="2" t="s">
        <v>194</v>
      </c>
      <c r="I700" s="2" t="s">
        <v>195</v>
      </c>
      <c r="J700" s="2" t="s">
        <v>19</v>
      </c>
      <c r="K700" s="2" t="s">
        <v>1082</v>
      </c>
      <c r="L700" s="7" t="str">
        <f>HYPERLINK("http://slimages.macys.com/is/image/MCY/12724768 ")</f>
        <v xml:space="preserve">http://slimages.macys.com/is/image/MCY/12724768 </v>
      </c>
    </row>
    <row r="701" spans="1:12" ht="24.75" x14ac:dyDescent="0.25">
      <c r="A701" s="4" t="s">
        <v>5146</v>
      </c>
      <c r="B701" s="2" t="s">
        <v>3019</v>
      </c>
      <c r="C701" s="3">
        <v>1</v>
      </c>
      <c r="D701" s="5">
        <v>17.989999999999998</v>
      </c>
      <c r="E701" s="3" t="s">
        <v>3020</v>
      </c>
      <c r="F701" s="2" t="s">
        <v>15</v>
      </c>
      <c r="G701" s="6" t="s">
        <v>187</v>
      </c>
      <c r="H701" s="2" t="s">
        <v>1425</v>
      </c>
      <c r="I701" s="2" t="s">
        <v>1426</v>
      </c>
      <c r="J701" s="2" t="s">
        <v>19</v>
      </c>
      <c r="K701" s="2" t="s">
        <v>107</v>
      </c>
      <c r="L701" s="7" t="str">
        <f>HYPERLINK("http://slimages.macys.com/is/image/MCY/11831225 ")</f>
        <v xml:space="preserve">http://slimages.macys.com/is/image/MCY/11831225 </v>
      </c>
    </row>
    <row r="702" spans="1:12" ht="24.75" x14ac:dyDescent="0.25">
      <c r="A702" s="4" t="s">
        <v>5147</v>
      </c>
      <c r="B702" s="2" t="s">
        <v>4113</v>
      </c>
      <c r="C702" s="3">
        <v>1</v>
      </c>
      <c r="D702" s="5">
        <v>19.989999999999998</v>
      </c>
      <c r="E702" s="3" t="s">
        <v>4114</v>
      </c>
      <c r="F702" s="2" t="s">
        <v>331</v>
      </c>
      <c r="G702" s="6" t="s">
        <v>187</v>
      </c>
      <c r="H702" s="2" t="s">
        <v>188</v>
      </c>
      <c r="I702" s="2" t="s">
        <v>189</v>
      </c>
      <c r="J702" s="2" t="s">
        <v>19</v>
      </c>
      <c r="K702" s="2" t="s">
        <v>4121</v>
      </c>
      <c r="L702" s="7" t="str">
        <f>HYPERLINK("http://slimages.macys.com/is/image/MCY/12773731 ")</f>
        <v xml:space="preserve">http://slimages.macys.com/is/image/MCY/12773731 </v>
      </c>
    </row>
    <row r="703" spans="1:12" ht="24.75" x14ac:dyDescent="0.25">
      <c r="A703" s="4" t="s">
        <v>5148</v>
      </c>
      <c r="B703" s="2" t="s">
        <v>4113</v>
      </c>
      <c r="C703" s="3">
        <v>1</v>
      </c>
      <c r="D703" s="5">
        <v>19.989999999999998</v>
      </c>
      <c r="E703" s="3" t="s">
        <v>4114</v>
      </c>
      <c r="F703" s="2" t="s">
        <v>331</v>
      </c>
      <c r="G703" s="6"/>
      <c r="H703" s="2" t="s">
        <v>188</v>
      </c>
      <c r="I703" s="2" t="s">
        <v>189</v>
      </c>
      <c r="J703" s="2" t="s">
        <v>19</v>
      </c>
      <c r="K703" s="2" t="s">
        <v>4121</v>
      </c>
      <c r="L703" s="7" t="str">
        <f>HYPERLINK("http://slimages.macys.com/is/image/MCY/12773731 ")</f>
        <v xml:space="preserve">http://slimages.macys.com/is/image/MCY/12773731 </v>
      </c>
    </row>
    <row r="704" spans="1:12" ht="24.75" x14ac:dyDescent="0.25">
      <c r="A704" s="4" t="s">
        <v>4112</v>
      </c>
      <c r="B704" s="2" t="s">
        <v>4113</v>
      </c>
      <c r="C704" s="3">
        <v>1</v>
      </c>
      <c r="D704" s="5">
        <v>19.989999999999998</v>
      </c>
      <c r="E704" s="3" t="s">
        <v>4114</v>
      </c>
      <c r="F704" s="2" t="s">
        <v>331</v>
      </c>
      <c r="G704" s="6"/>
      <c r="H704" s="2" t="s">
        <v>188</v>
      </c>
      <c r="I704" s="2" t="s">
        <v>189</v>
      </c>
      <c r="J704" s="2" t="s">
        <v>19</v>
      </c>
      <c r="K704" s="2" t="s">
        <v>4121</v>
      </c>
      <c r="L704" s="7" t="str">
        <f>HYPERLINK("http://slimages.macys.com/is/image/MCY/12773731 ")</f>
        <v xml:space="preserve">http://slimages.macys.com/is/image/MCY/12773731 </v>
      </c>
    </row>
    <row r="705" spans="1:12" ht="24.75" x14ac:dyDescent="0.25">
      <c r="A705" s="4" t="s">
        <v>5149</v>
      </c>
      <c r="B705" s="2" t="s">
        <v>4113</v>
      </c>
      <c r="C705" s="3">
        <v>1</v>
      </c>
      <c r="D705" s="5">
        <v>19.989999999999998</v>
      </c>
      <c r="E705" s="3" t="s">
        <v>4114</v>
      </c>
      <c r="F705" s="2" t="s">
        <v>331</v>
      </c>
      <c r="G705" s="6" t="s">
        <v>219</v>
      </c>
      <c r="H705" s="2" t="s">
        <v>188</v>
      </c>
      <c r="I705" s="2" t="s">
        <v>189</v>
      </c>
      <c r="J705" s="2" t="s">
        <v>19</v>
      </c>
      <c r="K705" s="2" t="s">
        <v>4121</v>
      </c>
      <c r="L705" s="7" t="str">
        <f>HYPERLINK("http://slimages.macys.com/is/image/MCY/12773731 ")</f>
        <v xml:space="preserve">http://slimages.macys.com/is/image/MCY/12773731 </v>
      </c>
    </row>
    <row r="706" spans="1:12" ht="24.75" x14ac:dyDescent="0.25">
      <c r="A706" s="4" t="s">
        <v>4115</v>
      </c>
      <c r="B706" s="2" t="s">
        <v>4113</v>
      </c>
      <c r="C706" s="3">
        <v>1</v>
      </c>
      <c r="D706" s="5">
        <v>19.989999999999998</v>
      </c>
      <c r="E706" s="3" t="s">
        <v>4114</v>
      </c>
      <c r="F706" s="2" t="s">
        <v>331</v>
      </c>
      <c r="G706" s="6"/>
      <c r="H706" s="2" t="s">
        <v>188</v>
      </c>
      <c r="I706" s="2" t="s">
        <v>189</v>
      </c>
      <c r="J706" s="2" t="s">
        <v>19</v>
      </c>
      <c r="K706" s="2" t="s">
        <v>4121</v>
      </c>
      <c r="L706" s="7" t="str">
        <f>HYPERLINK("http://slimages.macys.com/is/image/MCY/12773731 ")</f>
        <v xml:space="preserve">http://slimages.macys.com/is/image/MCY/12773731 </v>
      </c>
    </row>
    <row r="707" spans="1:12" ht="24.75" x14ac:dyDescent="0.25">
      <c r="A707" s="4" t="s">
        <v>5150</v>
      </c>
      <c r="B707" s="2" t="s">
        <v>3023</v>
      </c>
      <c r="C707" s="3">
        <v>1</v>
      </c>
      <c r="D707" s="5">
        <v>17.989999999999998</v>
      </c>
      <c r="E707" s="3" t="s">
        <v>5151</v>
      </c>
      <c r="F707" s="2" t="s">
        <v>413</v>
      </c>
      <c r="G707" s="6" t="s">
        <v>181</v>
      </c>
      <c r="H707" s="2" t="s">
        <v>1473</v>
      </c>
      <c r="I707" s="2" t="s">
        <v>1426</v>
      </c>
      <c r="J707" s="2" t="s">
        <v>19</v>
      </c>
      <c r="K707" s="2" t="s">
        <v>495</v>
      </c>
      <c r="L707" s="7" t="str">
        <f>HYPERLINK("http://slimages.macys.com/is/image/MCY/11809174 ")</f>
        <v xml:space="preserve">http://slimages.macys.com/is/image/MCY/11809174 </v>
      </c>
    </row>
    <row r="708" spans="1:12" ht="24.75" x14ac:dyDescent="0.25">
      <c r="A708" s="4" t="s">
        <v>5152</v>
      </c>
      <c r="B708" s="2" t="s">
        <v>4128</v>
      </c>
      <c r="C708" s="3">
        <v>1</v>
      </c>
      <c r="D708" s="5">
        <v>19.989999999999998</v>
      </c>
      <c r="E708" s="3" t="s">
        <v>5153</v>
      </c>
      <c r="F708" s="2" t="s">
        <v>413</v>
      </c>
      <c r="G708" s="6" t="s">
        <v>156</v>
      </c>
      <c r="H708" s="2" t="s">
        <v>1473</v>
      </c>
      <c r="I708" s="2" t="s">
        <v>1426</v>
      </c>
      <c r="J708" s="2" t="s">
        <v>19</v>
      </c>
      <c r="K708" s="2" t="s">
        <v>1108</v>
      </c>
      <c r="L708" s="7" t="str">
        <f>HYPERLINK("http://slimages.macys.com/is/image/MCY/11831179 ")</f>
        <v xml:space="preserve">http://slimages.macys.com/is/image/MCY/11831179 </v>
      </c>
    </row>
    <row r="709" spans="1:12" ht="36.75" x14ac:dyDescent="0.25">
      <c r="A709" s="4" t="s">
        <v>5154</v>
      </c>
      <c r="B709" s="2" t="s">
        <v>1440</v>
      </c>
      <c r="C709" s="3">
        <v>1</v>
      </c>
      <c r="D709" s="5">
        <v>29.5</v>
      </c>
      <c r="E709" s="3" t="s">
        <v>1441</v>
      </c>
      <c r="F709" s="2" t="s">
        <v>74</v>
      </c>
      <c r="G709" s="6"/>
      <c r="H709" s="2" t="s">
        <v>206</v>
      </c>
      <c r="I709" s="2" t="s">
        <v>207</v>
      </c>
      <c r="J709" s="2" t="s">
        <v>19</v>
      </c>
      <c r="K709" s="2" t="s">
        <v>1442</v>
      </c>
      <c r="L709" s="7" t="str">
        <f>HYPERLINK("http://slimages.macys.com/is/image/MCY/9641918 ")</f>
        <v xml:space="preserve">http://slimages.macys.com/is/image/MCY/9641918 </v>
      </c>
    </row>
    <row r="710" spans="1:12" ht="24.75" x14ac:dyDescent="0.25">
      <c r="A710" s="4" t="s">
        <v>5155</v>
      </c>
      <c r="B710" s="2" t="s">
        <v>3026</v>
      </c>
      <c r="C710" s="3">
        <v>1</v>
      </c>
      <c r="D710" s="5">
        <v>21.99</v>
      </c>
      <c r="E710" s="3" t="s">
        <v>5156</v>
      </c>
      <c r="F710" s="2" t="s">
        <v>64</v>
      </c>
      <c r="G710" s="6" t="s">
        <v>156</v>
      </c>
      <c r="H710" s="2" t="s">
        <v>284</v>
      </c>
      <c r="I710" s="2" t="s">
        <v>285</v>
      </c>
      <c r="J710" s="2" t="s">
        <v>19</v>
      </c>
      <c r="K710" s="2" t="s">
        <v>247</v>
      </c>
      <c r="L710" s="7" t="str">
        <f>HYPERLINK("http://slimages.macys.com/is/image/MCY/16393197 ")</f>
        <v xml:space="preserve">http://slimages.macys.com/is/image/MCY/16393197 </v>
      </c>
    </row>
    <row r="711" spans="1:12" ht="24.75" x14ac:dyDescent="0.25">
      <c r="A711" s="4" t="s">
        <v>3025</v>
      </c>
      <c r="B711" s="2" t="s">
        <v>3026</v>
      </c>
      <c r="C711" s="3">
        <v>1</v>
      </c>
      <c r="D711" s="5">
        <v>21.99</v>
      </c>
      <c r="E711" s="3" t="s">
        <v>3027</v>
      </c>
      <c r="F711" s="2" t="s">
        <v>79</v>
      </c>
      <c r="G711" s="6" t="s">
        <v>181</v>
      </c>
      <c r="H711" s="2" t="s">
        <v>284</v>
      </c>
      <c r="I711" s="2" t="s">
        <v>285</v>
      </c>
      <c r="J711" s="2" t="s">
        <v>19</v>
      </c>
      <c r="K711" s="2" t="s">
        <v>247</v>
      </c>
      <c r="L711" s="7" t="str">
        <f>HYPERLINK("http://slimages.macys.com/is/image/MCY/9972026 ")</f>
        <v xml:space="preserve">http://slimages.macys.com/is/image/MCY/9972026 </v>
      </c>
    </row>
    <row r="712" spans="1:12" ht="24.75" x14ac:dyDescent="0.25">
      <c r="A712" s="4" t="s">
        <v>5157</v>
      </c>
      <c r="B712" s="2" t="s">
        <v>3023</v>
      </c>
      <c r="C712" s="3">
        <v>1</v>
      </c>
      <c r="D712" s="5">
        <v>17.989999999999998</v>
      </c>
      <c r="E712" s="3" t="s">
        <v>3024</v>
      </c>
      <c r="F712" s="2" t="s">
        <v>331</v>
      </c>
      <c r="G712" s="6" t="s">
        <v>219</v>
      </c>
      <c r="H712" s="2" t="s">
        <v>1425</v>
      </c>
      <c r="I712" s="2" t="s">
        <v>1426</v>
      </c>
      <c r="J712" s="2" t="s">
        <v>19</v>
      </c>
      <c r="K712" s="2" t="s">
        <v>495</v>
      </c>
      <c r="L712" s="7" t="str">
        <f>HYPERLINK("http://slimages.macys.com/is/image/MCY/11809174 ")</f>
        <v xml:space="preserve">http://slimages.macys.com/is/image/MCY/11809174 </v>
      </c>
    </row>
    <row r="713" spans="1:12" ht="24.75" x14ac:dyDescent="0.25">
      <c r="A713" s="4" t="s">
        <v>5158</v>
      </c>
      <c r="B713" s="2" t="s">
        <v>3023</v>
      </c>
      <c r="C713" s="3">
        <v>1</v>
      </c>
      <c r="D713" s="5">
        <v>17.989999999999998</v>
      </c>
      <c r="E713" s="3" t="s">
        <v>5151</v>
      </c>
      <c r="F713" s="2" t="s">
        <v>413</v>
      </c>
      <c r="G713" s="6" t="s">
        <v>154</v>
      </c>
      <c r="H713" s="2" t="s">
        <v>1473</v>
      </c>
      <c r="I713" s="2" t="s">
        <v>1426</v>
      </c>
      <c r="J713" s="2" t="s">
        <v>19</v>
      </c>
      <c r="K713" s="2" t="s">
        <v>495</v>
      </c>
      <c r="L713" s="7" t="str">
        <f>HYPERLINK("http://slimages.macys.com/is/image/MCY/11809174 ")</f>
        <v xml:space="preserve">http://slimages.macys.com/is/image/MCY/11809174 </v>
      </c>
    </row>
    <row r="714" spans="1:12" ht="24.75" x14ac:dyDescent="0.25">
      <c r="A714" s="4" t="s">
        <v>5159</v>
      </c>
      <c r="B714" s="2" t="s">
        <v>3023</v>
      </c>
      <c r="C714" s="3">
        <v>1</v>
      </c>
      <c r="D714" s="5">
        <v>17.989999999999998</v>
      </c>
      <c r="E714" s="3" t="s">
        <v>3024</v>
      </c>
      <c r="F714" s="2" t="s">
        <v>331</v>
      </c>
      <c r="G714" s="6"/>
      <c r="H714" s="2" t="s">
        <v>1425</v>
      </c>
      <c r="I714" s="2" t="s">
        <v>1426</v>
      </c>
      <c r="J714" s="2" t="s">
        <v>19</v>
      </c>
      <c r="K714" s="2" t="s">
        <v>495</v>
      </c>
      <c r="L714" s="7" t="str">
        <f>HYPERLINK("http://slimages.macys.com/is/image/MCY/11809174 ")</f>
        <v xml:space="preserve">http://slimages.macys.com/is/image/MCY/11809174 </v>
      </c>
    </row>
    <row r="715" spans="1:12" ht="24.75" x14ac:dyDescent="0.25">
      <c r="A715" s="4" t="s">
        <v>5160</v>
      </c>
      <c r="B715" s="2" t="s">
        <v>3026</v>
      </c>
      <c r="C715" s="3">
        <v>1</v>
      </c>
      <c r="D715" s="5">
        <v>21.99</v>
      </c>
      <c r="E715" s="3" t="s">
        <v>3027</v>
      </c>
      <c r="F715" s="2" t="s">
        <v>79</v>
      </c>
      <c r="G715" s="6" t="s">
        <v>234</v>
      </c>
      <c r="H715" s="2" t="s">
        <v>284</v>
      </c>
      <c r="I715" s="2" t="s">
        <v>285</v>
      </c>
      <c r="J715" s="2" t="s">
        <v>19</v>
      </c>
      <c r="K715" s="2" t="s">
        <v>247</v>
      </c>
      <c r="L715" s="7" t="str">
        <f>HYPERLINK("http://slimages.macys.com/is/image/MCY/9972026 ")</f>
        <v xml:space="preserve">http://slimages.macys.com/is/image/MCY/9972026 </v>
      </c>
    </row>
    <row r="716" spans="1:12" ht="24.75" x14ac:dyDescent="0.25">
      <c r="A716" s="4" t="s">
        <v>5161</v>
      </c>
      <c r="B716" s="2" t="s">
        <v>3026</v>
      </c>
      <c r="C716" s="3">
        <v>1</v>
      </c>
      <c r="D716" s="5">
        <v>21.99</v>
      </c>
      <c r="E716" s="3" t="s">
        <v>5156</v>
      </c>
      <c r="F716" s="2" t="s">
        <v>64</v>
      </c>
      <c r="G716" s="6" t="s">
        <v>234</v>
      </c>
      <c r="H716" s="2" t="s">
        <v>284</v>
      </c>
      <c r="I716" s="2" t="s">
        <v>285</v>
      </c>
      <c r="J716" s="2" t="s">
        <v>19</v>
      </c>
      <c r="K716" s="2" t="s">
        <v>247</v>
      </c>
      <c r="L716" s="7" t="str">
        <f>HYPERLINK("http://slimages.macys.com/is/image/MCY/16393197 ")</f>
        <v xml:space="preserve">http://slimages.macys.com/is/image/MCY/16393197 </v>
      </c>
    </row>
    <row r="717" spans="1:12" ht="24.75" x14ac:dyDescent="0.25">
      <c r="A717" s="4" t="s">
        <v>5162</v>
      </c>
      <c r="B717" s="2" t="s">
        <v>3026</v>
      </c>
      <c r="C717" s="3">
        <v>1</v>
      </c>
      <c r="D717" s="5">
        <v>21.99</v>
      </c>
      <c r="E717" s="3" t="s">
        <v>5156</v>
      </c>
      <c r="F717" s="2" t="s">
        <v>64</v>
      </c>
      <c r="G717" s="6" t="s">
        <v>154</v>
      </c>
      <c r="H717" s="2" t="s">
        <v>284</v>
      </c>
      <c r="I717" s="2" t="s">
        <v>285</v>
      </c>
      <c r="J717" s="2" t="s">
        <v>19</v>
      </c>
      <c r="K717" s="2" t="s">
        <v>247</v>
      </c>
      <c r="L717" s="7" t="str">
        <f>HYPERLINK("http://slimages.macys.com/is/image/MCY/16393197 ")</f>
        <v xml:space="preserve">http://slimages.macys.com/is/image/MCY/16393197 </v>
      </c>
    </row>
    <row r="718" spans="1:12" ht="24.75" x14ac:dyDescent="0.25">
      <c r="A718" s="4" t="s">
        <v>5163</v>
      </c>
      <c r="B718" s="2" t="s">
        <v>5164</v>
      </c>
      <c r="C718" s="3">
        <v>1</v>
      </c>
      <c r="D718" s="5">
        <v>34.880000000000003</v>
      </c>
      <c r="E718" s="3" t="s">
        <v>5165</v>
      </c>
      <c r="F718" s="2" t="s">
        <v>74</v>
      </c>
      <c r="G718" s="6" t="s">
        <v>126</v>
      </c>
      <c r="H718" s="2" t="s">
        <v>312</v>
      </c>
      <c r="I718" s="2" t="s">
        <v>195</v>
      </c>
      <c r="J718" s="2" t="s">
        <v>19</v>
      </c>
      <c r="K718" s="2" t="s">
        <v>353</v>
      </c>
      <c r="L718" s="7" t="str">
        <f>HYPERLINK("http://slimages.macys.com/is/image/MCY/9527142 ")</f>
        <v xml:space="preserve">http://slimages.macys.com/is/image/MCY/9527142 </v>
      </c>
    </row>
    <row r="719" spans="1:12" ht="24.75" x14ac:dyDescent="0.25">
      <c r="A719" s="4" t="s">
        <v>5166</v>
      </c>
      <c r="B719" s="2" t="s">
        <v>1833</v>
      </c>
      <c r="C719" s="3">
        <v>1</v>
      </c>
      <c r="D719" s="5">
        <v>14.99</v>
      </c>
      <c r="E719" s="3" t="s">
        <v>4134</v>
      </c>
      <c r="F719" s="2" t="s">
        <v>998</v>
      </c>
      <c r="G719" s="6" t="s">
        <v>234</v>
      </c>
      <c r="H719" s="2" t="s">
        <v>194</v>
      </c>
      <c r="I719" s="2" t="s">
        <v>307</v>
      </c>
      <c r="J719" s="2" t="s">
        <v>19</v>
      </c>
      <c r="K719" s="2" t="s">
        <v>34</v>
      </c>
      <c r="L719" s="7" t="str">
        <f>HYPERLINK("http://slimages.macys.com/is/image/MCY/12668021 ")</f>
        <v xml:space="preserve">http://slimages.macys.com/is/image/MCY/12668021 </v>
      </c>
    </row>
    <row r="720" spans="1:12" ht="24.75" x14ac:dyDescent="0.25">
      <c r="A720" s="4" t="s">
        <v>5167</v>
      </c>
      <c r="B720" s="2" t="s">
        <v>1853</v>
      </c>
      <c r="C720" s="3">
        <v>1</v>
      </c>
      <c r="D720" s="5">
        <v>17.989999999999998</v>
      </c>
      <c r="E720" s="3" t="s">
        <v>1854</v>
      </c>
      <c r="F720" s="2" t="s">
        <v>26</v>
      </c>
      <c r="G720" s="6"/>
      <c r="H720" s="2" t="s">
        <v>1425</v>
      </c>
      <c r="I720" s="2" t="s">
        <v>1469</v>
      </c>
      <c r="J720" s="2" t="s">
        <v>19</v>
      </c>
      <c r="K720" s="2" t="s">
        <v>353</v>
      </c>
      <c r="L720" s="7" t="str">
        <f>HYPERLINK("http://slimages.macys.com/is/image/MCY/2880260 ")</f>
        <v xml:space="preserve">http://slimages.macys.com/is/image/MCY/2880260 </v>
      </c>
    </row>
    <row r="721" spans="1:12" ht="24.75" x14ac:dyDescent="0.25">
      <c r="A721" s="4" t="s">
        <v>5168</v>
      </c>
      <c r="B721" s="2" t="s">
        <v>1853</v>
      </c>
      <c r="C721" s="3">
        <v>1</v>
      </c>
      <c r="D721" s="5">
        <v>17.989999999999998</v>
      </c>
      <c r="E721" s="3" t="s">
        <v>1854</v>
      </c>
      <c r="F721" s="2" t="s">
        <v>26</v>
      </c>
      <c r="G721" s="6" t="s">
        <v>187</v>
      </c>
      <c r="H721" s="2" t="s">
        <v>1425</v>
      </c>
      <c r="I721" s="2" t="s">
        <v>1469</v>
      </c>
      <c r="J721" s="2" t="s">
        <v>19</v>
      </c>
      <c r="K721" s="2" t="s">
        <v>353</v>
      </c>
      <c r="L721" s="7" t="str">
        <f>HYPERLINK("http://slimages.macys.com/is/image/MCY/2880260 ")</f>
        <v xml:space="preserve">http://slimages.macys.com/is/image/MCY/2880260 </v>
      </c>
    </row>
    <row r="722" spans="1:12" ht="24.75" x14ac:dyDescent="0.25">
      <c r="A722" s="4" t="s">
        <v>4135</v>
      </c>
      <c r="B722" s="2" t="s">
        <v>1853</v>
      </c>
      <c r="C722" s="3">
        <v>1</v>
      </c>
      <c r="D722" s="5">
        <v>17.989999999999998</v>
      </c>
      <c r="E722" s="3" t="s">
        <v>1854</v>
      </c>
      <c r="F722" s="2" t="s">
        <v>26</v>
      </c>
      <c r="G722" s="6" t="s">
        <v>219</v>
      </c>
      <c r="H722" s="2" t="s">
        <v>1425</v>
      </c>
      <c r="I722" s="2" t="s">
        <v>1469</v>
      </c>
      <c r="J722" s="2" t="s">
        <v>19</v>
      </c>
      <c r="K722" s="2" t="s">
        <v>353</v>
      </c>
      <c r="L722" s="7" t="str">
        <f>HYPERLINK("http://slimages.macys.com/is/image/MCY/2880260 ")</f>
        <v xml:space="preserve">http://slimages.macys.com/is/image/MCY/2880260 </v>
      </c>
    </row>
    <row r="723" spans="1:12" ht="24.75" x14ac:dyDescent="0.25">
      <c r="A723" s="4" t="s">
        <v>4140</v>
      </c>
      <c r="B723" s="2" t="s">
        <v>1856</v>
      </c>
      <c r="C723" s="3">
        <v>1</v>
      </c>
      <c r="D723" s="5">
        <v>17.989999999999998</v>
      </c>
      <c r="E723" s="3" t="s">
        <v>1857</v>
      </c>
      <c r="F723" s="2" t="s">
        <v>26</v>
      </c>
      <c r="G723" s="6" t="s">
        <v>219</v>
      </c>
      <c r="H723" s="2" t="s">
        <v>1425</v>
      </c>
      <c r="I723" s="2" t="s">
        <v>1469</v>
      </c>
      <c r="J723" s="2" t="s">
        <v>19</v>
      </c>
      <c r="K723" s="2" t="s">
        <v>353</v>
      </c>
      <c r="L723" s="7" t="str">
        <f>HYPERLINK("http://slimages.macys.com/is/image/MCY/11522835 ")</f>
        <v xml:space="preserve">http://slimages.macys.com/is/image/MCY/11522835 </v>
      </c>
    </row>
    <row r="724" spans="1:12" ht="24.75" x14ac:dyDescent="0.25">
      <c r="A724" s="4" t="s">
        <v>4137</v>
      </c>
      <c r="B724" s="2" t="s">
        <v>1856</v>
      </c>
      <c r="C724" s="3">
        <v>1</v>
      </c>
      <c r="D724" s="5">
        <v>17.989999999999998</v>
      </c>
      <c r="E724" s="3" t="s">
        <v>1857</v>
      </c>
      <c r="F724" s="2" t="s">
        <v>26</v>
      </c>
      <c r="G724" s="6"/>
      <c r="H724" s="2" t="s">
        <v>1425</v>
      </c>
      <c r="I724" s="2" t="s">
        <v>1469</v>
      </c>
      <c r="J724" s="2" t="s">
        <v>19</v>
      </c>
      <c r="K724" s="2" t="s">
        <v>353</v>
      </c>
      <c r="L724" s="7" t="str">
        <f>HYPERLINK("http://slimages.macys.com/is/image/MCY/11522835 ")</f>
        <v xml:space="preserve">http://slimages.macys.com/is/image/MCY/11522835 </v>
      </c>
    </row>
    <row r="725" spans="1:12" ht="24.75" x14ac:dyDescent="0.25">
      <c r="A725" s="4" t="s">
        <v>5169</v>
      </c>
      <c r="B725" s="2" t="s">
        <v>1862</v>
      </c>
      <c r="C725" s="3">
        <v>1</v>
      </c>
      <c r="D725" s="5">
        <v>20.99</v>
      </c>
      <c r="E725" s="3" t="s">
        <v>1868</v>
      </c>
      <c r="F725" s="2" t="s">
        <v>70</v>
      </c>
      <c r="G725" s="6" t="s">
        <v>234</v>
      </c>
      <c r="H725" s="2" t="s">
        <v>1473</v>
      </c>
      <c r="I725" s="2" t="s">
        <v>1864</v>
      </c>
      <c r="J725" s="2" t="s">
        <v>19</v>
      </c>
      <c r="K725" s="2" t="s">
        <v>648</v>
      </c>
      <c r="L725" s="7" t="str">
        <f>HYPERLINK("http://slimages.macys.com/is/image/MCY/12267099 ")</f>
        <v xml:space="preserve">http://slimages.macys.com/is/image/MCY/12267099 </v>
      </c>
    </row>
    <row r="726" spans="1:12" ht="24.75" x14ac:dyDescent="0.25">
      <c r="A726" s="4" t="s">
        <v>3045</v>
      </c>
      <c r="B726" s="2" t="s">
        <v>1862</v>
      </c>
      <c r="C726" s="3">
        <v>1</v>
      </c>
      <c r="D726" s="5">
        <v>20.99</v>
      </c>
      <c r="E726" s="3" t="s">
        <v>1868</v>
      </c>
      <c r="F726" s="2" t="s">
        <v>998</v>
      </c>
      <c r="G726" s="6" t="s">
        <v>181</v>
      </c>
      <c r="H726" s="2" t="s">
        <v>1473</v>
      </c>
      <c r="I726" s="2" t="s">
        <v>1864</v>
      </c>
      <c r="J726" s="2" t="s">
        <v>19</v>
      </c>
      <c r="K726" s="2" t="s">
        <v>648</v>
      </c>
      <c r="L726" s="7" t="str">
        <f>HYPERLINK("http://slimages.macys.com/is/image/MCY/12267099 ")</f>
        <v xml:space="preserve">http://slimages.macys.com/is/image/MCY/12267099 </v>
      </c>
    </row>
    <row r="727" spans="1:12" ht="24.75" x14ac:dyDescent="0.25">
      <c r="A727" s="4" t="s">
        <v>3042</v>
      </c>
      <c r="B727" s="2" t="s">
        <v>1862</v>
      </c>
      <c r="C727" s="3">
        <v>1</v>
      </c>
      <c r="D727" s="5">
        <v>20.99</v>
      </c>
      <c r="E727" s="3" t="s">
        <v>1868</v>
      </c>
      <c r="F727" s="2" t="s">
        <v>15</v>
      </c>
      <c r="G727" s="6" t="s">
        <v>245</v>
      </c>
      <c r="H727" s="2" t="s">
        <v>1473</v>
      </c>
      <c r="I727" s="2" t="s">
        <v>1864</v>
      </c>
      <c r="J727" s="2" t="s">
        <v>19</v>
      </c>
      <c r="K727" s="2" t="s">
        <v>648</v>
      </c>
      <c r="L727" s="7" t="str">
        <f>HYPERLINK("http://slimages.macys.com/is/image/MCY/12267099 ")</f>
        <v xml:space="preserve">http://slimages.macys.com/is/image/MCY/12267099 </v>
      </c>
    </row>
    <row r="728" spans="1:12" ht="24.75" x14ac:dyDescent="0.25">
      <c r="A728" s="4" t="s">
        <v>3046</v>
      </c>
      <c r="B728" s="2" t="s">
        <v>1862</v>
      </c>
      <c r="C728" s="3">
        <v>1</v>
      </c>
      <c r="D728" s="5">
        <v>20.99</v>
      </c>
      <c r="E728" s="3" t="s">
        <v>1868</v>
      </c>
      <c r="F728" s="2" t="s">
        <v>998</v>
      </c>
      <c r="G728" s="6" t="s">
        <v>154</v>
      </c>
      <c r="H728" s="2" t="s">
        <v>1473</v>
      </c>
      <c r="I728" s="2" t="s">
        <v>1864</v>
      </c>
      <c r="J728" s="2" t="s">
        <v>19</v>
      </c>
      <c r="K728" s="2" t="s">
        <v>648</v>
      </c>
      <c r="L728" s="7" t="str">
        <f>HYPERLINK("http://slimages.macys.com/is/image/MCY/12267099 ")</f>
        <v xml:space="preserve">http://slimages.macys.com/is/image/MCY/12267099 </v>
      </c>
    </row>
    <row r="729" spans="1:12" ht="24.75" x14ac:dyDescent="0.25">
      <c r="A729" s="4" t="s">
        <v>1870</v>
      </c>
      <c r="B729" s="2" t="s">
        <v>1862</v>
      </c>
      <c r="C729" s="3">
        <v>1</v>
      </c>
      <c r="D729" s="5">
        <v>20.99</v>
      </c>
      <c r="E729" s="3" t="s">
        <v>1868</v>
      </c>
      <c r="F729" s="2" t="s">
        <v>15</v>
      </c>
      <c r="G729" s="6" t="s">
        <v>156</v>
      </c>
      <c r="H729" s="2" t="s">
        <v>1473</v>
      </c>
      <c r="I729" s="2" t="s">
        <v>1864</v>
      </c>
      <c r="J729" s="2" t="s">
        <v>19</v>
      </c>
      <c r="K729" s="2" t="s">
        <v>648</v>
      </c>
      <c r="L729" s="7" t="str">
        <f>HYPERLINK("http://slimages.macys.com/is/image/MCY/12267099 ")</f>
        <v xml:space="preserve">http://slimages.macys.com/is/image/MCY/12267099 </v>
      </c>
    </row>
    <row r="730" spans="1:12" ht="36.75" x14ac:dyDescent="0.25">
      <c r="A730" s="4" t="s">
        <v>5170</v>
      </c>
      <c r="B730" s="2" t="s">
        <v>5171</v>
      </c>
      <c r="C730" s="3">
        <v>1</v>
      </c>
      <c r="D730" s="5">
        <v>17.989999999999998</v>
      </c>
      <c r="E730" s="3" t="s">
        <v>5172</v>
      </c>
      <c r="F730" s="2" t="s">
        <v>413</v>
      </c>
      <c r="G730" s="6" t="s">
        <v>181</v>
      </c>
      <c r="H730" s="2" t="s">
        <v>1473</v>
      </c>
      <c r="I730" s="2" t="s">
        <v>1426</v>
      </c>
      <c r="J730" s="2" t="s">
        <v>19</v>
      </c>
      <c r="K730" s="2" t="s">
        <v>5173</v>
      </c>
      <c r="L730" s="7" t="str">
        <f>HYPERLINK("http://slimages.macys.com/is/image/MCY/12064389 ")</f>
        <v xml:space="preserve">http://slimages.macys.com/is/image/MCY/12064389 </v>
      </c>
    </row>
    <row r="731" spans="1:12" ht="36.75" x14ac:dyDescent="0.25">
      <c r="A731" s="4" t="s">
        <v>4142</v>
      </c>
      <c r="B731" s="2" t="s">
        <v>4143</v>
      </c>
      <c r="C731" s="3">
        <v>1</v>
      </c>
      <c r="D731" s="5">
        <v>17.989999999999998</v>
      </c>
      <c r="E731" s="3" t="s">
        <v>4144</v>
      </c>
      <c r="F731" s="2" t="s">
        <v>70</v>
      </c>
      <c r="G731" s="6" t="s">
        <v>156</v>
      </c>
      <c r="H731" s="2" t="s">
        <v>1473</v>
      </c>
      <c r="I731" s="2" t="s">
        <v>1426</v>
      </c>
      <c r="J731" s="2" t="s">
        <v>19</v>
      </c>
      <c r="K731" s="2" t="s">
        <v>4151</v>
      </c>
      <c r="L731" s="7" t="str">
        <f>HYPERLINK("http://slimages.macys.com/is/image/MCY/12064410 ")</f>
        <v xml:space="preserve">http://slimages.macys.com/is/image/MCY/12064410 </v>
      </c>
    </row>
    <row r="732" spans="1:12" ht="24.75" x14ac:dyDescent="0.25">
      <c r="A732" s="4" t="s">
        <v>5174</v>
      </c>
      <c r="B732" s="2" t="s">
        <v>1876</v>
      </c>
      <c r="C732" s="3">
        <v>1</v>
      </c>
      <c r="D732" s="5">
        <v>17.989999999999998</v>
      </c>
      <c r="E732" s="3" t="s">
        <v>1877</v>
      </c>
      <c r="F732" s="2" t="s">
        <v>74</v>
      </c>
      <c r="G732" s="6" t="s">
        <v>154</v>
      </c>
      <c r="H732" s="2" t="s">
        <v>1473</v>
      </c>
      <c r="I732" s="2" t="s">
        <v>1426</v>
      </c>
      <c r="J732" s="2" t="s">
        <v>19</v>
      </c>
      <c r="K732" s="2" t="s">
        <v>495</v>
      </c>
      <c r="L732" s="7" t="str">
        <f>HYPERLINK("http://slimages.macys.com/is/image/MCY/12672802 ")</f>
        <v xml:space="preserve">http://slimages.macys.com/is/image/MCY/12672802 </v>
      </c>
    </row>
    <row r="733" spans="1:12" ht="24.75" x14ac:dyDescent="0.25">
      <c r="A733" s="4" t="s">
        <v>3066</v>
      </c>
      <c r="B733" s="2" t="s">
        <v>1896</v>
      </c>
      <c r="C733" s="3">
        <v>1</v>
      </c>
      <c r="D733" s="5">
        <v>20.99</v>
      </c>
      <c r="E733" s="3" t="s">
        <v>1899</v>
      </c>
      <c r="F733" s="2" t="s">
        <v>74</v>
      </c>
      <c r="G733" s="6" t="s">
        <v>245</v>
      </c>
      <c r="H733" s="2" t="s">
        <v>1473</v>
      </c>
      <c r="I733" s="2" t="s">
        <v>1864</v>
      </c>
      <c r="J733" s="2" t="s">
        <v>19</v>
      </c>
      <c r="K733" s="2" t="s">
        <v>648</v>
      </c>
      <c r="L733" s="7" t="str">
        <f>HYPERLINK("http://slimages.macys.com/is/image/MCY/10787705 ")</f>
        <v xml:space="preserve">http://slimages.macys.com/is/image/MCY/10787705 </v>
      </c>
    </row>
    <row r="734" spans="1:12" ht="24.75" x14ac:dyDescent="0.25">
      <c r="A734" s="4" t="s">
        <v>3053</v>
      </c>
      <c r="B734" s="2" t="s">
        <v>1896</v>
      </c>
      <c r="C734" s="3">
        <v>1</v>
      </c>
      <c r="D734" s="5">
        <v>20.99</v>
      </c>
      <c r="E734" s="3" t="s">
        <v>1899</v>
      </c>
      <c r="F734" s="2" t="s">
        <v>15</v>
      </c>
      <c r="G734" s="6" t="s">
        <v>234</v>
      </c>
      <c r="H734" s="2" t="s">
        <v>1473</v>
      </c>
      <c r="I734" s="2" t="s">
        <v>1864</v>
      </c>
      <c r="J734" s="2" t="s">
        <v>19</v>
      </c>
      <c r="K734" s="2" t="s">
        <v>648</v>
      </c>
      <c r="L734" s="7" t="str">
        <f>HYPERLINK("http://slimages.macys.com/is/image/MCY/10787705 ")</f>
        <v xml:space="preserve">http://slimages.macys.com/is/image/MCY/10787705 </v>
      </c>
    </row>
    <row r="735" spans="1:12" ht="24.75" x14ac:dyDescent="0.25">
      <c r="A735" s="4" t="s">
        <v>1909</v>
      </c>
      <c r="B735" s="2" t="s">
        <v>1892</v>
      </c>
      <c r="C735" s="3">
        <v>1</v>
      </c>
      <c r="D735" s="5">
        <v>20.99</v>
      </c>
      <c r="E735" s="3" t="s">
        <v>1893</v>
      </c>
      <c r="F735" s="2" t="s">
        <v>15</v>
      </c>
      <c r="G735" s="6"/>
      <c r="H735" s="2" t="s">
        <v>1425</v>
      </c>
      <c r="I735" s="2" t="s">
        <v>1864</v>
      </c>
      <c r="J735" s="2" t="s">
        <v>19</v>
      </c>
      <c r="K735" s="2" t="s">
        <v>1894</v>
      </c>
      <c r="L735" s="7" t="str">
        <f>HYPERLINK("http://slimages.macys.com/is/image/MCY/11689288 ")</f>
        <v xml:space="preserve">http://slimages.macys.com/is/image/MCY/11689288 </v>
      </c>
    </row>
    <row r="736" spans="1:12" ht="24.75" x14ac:dyDescent="0.25">
      <c r="A736" s="4" t="s">
        <v>3057</v>
      </c>
      <c r="B736" s="2" t="s">
        <v>1892</v>
      </c>
      <c r="C736" s="3">
        <v>1</v>
      </c>
      <c r="D736" s="5">
        <v>20.99</v>
      </c>
      <c r="E736" s="3" t="s">
        <v>1901</v>
      </c>
      <c r="F736" s="2" t="s">
        <v>1788</v>
      </c>
      <c r="G736" s="6" t="s">
        <v>154</v>
      </c>
      <c r="H736" s="2" t="s">
        <v>1473</v>
      </c>
      <c r="I736" s="2" t="s">
        <v>1864</v>
      </c>
      <c r="J736" s="2" t="s">
        <v>19</v>
      </c>
      <c r="K736" s="2" t="s">
        <v>648</v>
      </c>
      <c r="L736" s="7" t="str">
        <f>HYPERLINK("http://slimages.macys.com/is/image/MCY/11689284 ")</f>
        <v xml:space="preserve">http://slimages.macys.com/is/image/MCY/11689284 </v>
      </c>
    </row>
    <row r="737" spans="1:12" ht="24.75" x14ac:dyDescent="0.25">
      <c r="A737" s="4" t="s">
        <v>5175</v>
      </c>
      <c r="B737" s="2" t="s">
        <v>1892</v>
      </c>
      <c r="C737" s="3">
        <v>1</v>
      </c>
      <c r="D737" s="5">
        <v>20.99</v>
      </c>
      <c r="E737" s="3" t="s">
        <v>1901</v>
      </c>
      <c r="F737" s="2" t="s">
        <v>74</v>
      </c>
      <c r="G737" s="6" t="s">
        <v>181</v>
      </c>
      <c r="H737" s="2" t="s">
        <v>1473</v>
      </c>
      <c r="I737" s="2" t="s">
        <v>1864</v>
      </c>
      <c r="J737" s="2" t="s">
        <v>19</v>
      </c>
      <c r="K737" s="2" t="s">
        <v>648</v>
      </c>
      <c r="L737" s="7" t="str">
        <f>HYPERLINK("http://slimages.macys.com/is/image/MCY/11689284 ")</f>
        <v xml:space="preserve">http://slimages.macys.com/is/image/MCY/11689284 </v>
      </c>
    </row>
    <row r="738" spans="1:12" ht="24.75" x14ac:dyDescent="0.25">
      <c r="A738" s="4" t="s">
        <v>3059</v>
      </c>
      <c r="B738" s="2" t="s">
        <v>1896</v>
      </c>
      <c r="C738" s="3">
        <v>2</v>
      </c>
      <c r="D738" s="5">
        <v>20.99</v>
      </c>
      <c r="E738" s="3" t="s">
        <v>1899</v>
      </c>
      <c r="F738" s="2" t="s">
        <v>74</v>
      </c>
      <c r="G738" s="6" t="s">
        <v>234</v>
      </c>
      <c r="H738" s="2" t="s">
        <v>1473</v>
      </c>
      <c r="I738" s="2" t="s">
        <v>1864</v>
      </c>
      <c r="J738" s="2" t="s">
        <v>19</v>
      </c>
      <c r="K738" s="2" t="s">
        <v>648</v>
      </c>
      <c r="L738" s="7" t="str">
        <f>HYPERLINK("http://slimages.macys.com/is/image/MCY/10787705 ")</f>
        <v xml:space="preserve">http://slimages.macys.com/is/image/MCY/10787705 </v>
      </c>
    </row>
    <row r="739" spans="1:12" ht="24.75" x14ac:dyDescent="0.25">
      <c r="A739" s="4" t="s">
        <v>1902</v>
      </c>
      <c r="B739" s="2" t="s">
        <v>1896</v>
      </c>
      <c r="C739" s="3">
        <v>1</v>
      </c>
      <c r="D739" s="5">
        <v>20.99</v>
      </c>
      <c r="E739" s="3" t="s">
        <v>1897</v>
      </c>
      <c r="F739" s="2" t="s">
        <v>15</v>
      </c>
      <c r="G739" s="6"/>
      <c r="H739" s="2" t="s">
        <v>1425</v>
      </c>
      <c r="I739" s="2" t="s">
        <v>1864</v>
      </c>
      <c r="J739" s="2" t="s">
        <v>19</v>
      </c>
      <c r="K739" s="2" t="s">
        <v>648</v>
      </c>
      <c r="L739" s="7" t="str">
        <f>HYPERLINK("http://slimages.macys.com/is/image/MCY/10787699 ")</f>
        <v xml:space="preserve">http://slimages.macys.com/is/image/MCY/10787699 </v>
      </c>
    </row>
    <row r="740" spans="1:12" ht="24.75" x14ac:dyDescent="0.25">
      <c r="A740" s="4" t="s">
        <v>3056</v>
      </c>
      <c r="B740" s="2" t="s">
        <v>1892</v>
      </c>
      <c r="C740" s="3">
        <v>1</v>
      </c>
      <c r="D740" s="5">
        <v>20.99</v>
      </c>
      <c r="E740" s="3" t="s">
        <v>1901</v>
      </c>
      <c r="F740" s="2" t="s">
        <v>998</v>
      </c>
      <c r="G740" s="6" t="s">
        <v>234</v>
      </c>
      <c r="H740" s="2" t="s">
        <v>1473</v>
      </c>
      <c r="I740" s="2" t="s">
        <v>1864</v>
      </c>
      <c r="J740" s="2" t="s">
        <v>19</v>
      </c>
      <c r="K740" s="2" t="s">
        <v>648</v>
      </c>
      <c r="L740" s="7" t="str">
        <f>HYPERLINK("http://slimages.macys.com/is/image/MCY/11689284 ")</f>
        <v xml:space="preserve">http://slimages.macys.com/is/image/MCY/11689284 </v>
      </c>
    </row>
    <row r="741" spans="1:12" ht="24.75" x14ac:dyDescent="0.25">
      <c r="A741" s="4" t="s">
        <v>4152</v>
      </c>
      <c r="B741" s="2" t="s">
        <v>1892</v>
      </c>
      <c r="C741" s="3">
        <v>1</v>
      </c>
      <c r="D741" s="5">
        <v>20.99</v>
      </c>
      <c r="E741" s="3" t="s">
        <v>1901</v>
      </c>
      <c r="F741" s="2" t="s">
        <v>15</v>
      </c>
      <c r="G741" s="6" t="s">
        <v>181</v>
      </c>
      <c r="H741" s="2" t="s">
        <v>1473</v>
      </c>
      <c r="I741" s="2" t="s">
        <v>1864</v>
      </c>
      <c r="J741" s="2" t="s">
        <v>19</v>
      </c>
      <c r="K741" s="2" t="s">
        <v>648</v>
      </c>
      <c r="L741" s="7" t="str">
        <f>HYPERLINK("http://slimages.macys.com/is/image/MCY/11689284 ")</f>
        <v xml:space="preserve">http://slimages.macys.com/is/image/MCY/11689284 </v>
      </c>
    </row>
    <row r="742" spans="1:12" ht="24.75" x14ac:dyDescent="0.25">
      <c r="A742" s="4" t="s">
        <v>3068</v>
      </c>
      <c r="B742" s="2" t="s">
        <v>1896</v>
      </c>
      <c r="C742" s="3">
        <v>5</v>
      </c>
      <c r="D742" s="5">
        <v>20.99</v>
      </c>
      <c r="E742" s="3" t="s">
        <v>1899</v>
      </c>
      <c r="F742" s="2" t="s">
        <v>74</v>
      </c>
      <c r="G742" s="6" t="s">
        <v>181</v>
      </c>
      <c r="H742" s="2" t="s">
        <v>1473</v>
      </c>
      <c r="I742" s="2" t="s">
        <v>1864</v>
      </c>
      <c r="J742" s="2" t="s">
        <v>19</v>
      </c>
      <c r="K742" s="2" t="s">
        <v>648</v>
      </c>
      <c r="L742" s="7" t="str">
        <f>HYPERLINK("http://slimages.macys.com/is/image/MCY/10787705 ")</f>
        <v xml:space="preserve">http://slimages.macys.com/is/image/MCY/10787705 </v>
      </c>
    </row>
    <row r="743" spans="1:12" ht="24.75" x14ac:dyDescent="0.25">
      <c r="A743" s="4" t="s">
        <v>1904</v>
      </c>
      <c r="B743" s="2" t="s">
        <v>1892</v>
      </c>
      <c r="C743" s="3">
        <v>1</v>
      </c>
      <c r="D743" s="5">
        <v>20.99</v>
      </c>
      <c r="E743" s="3" t="s">
        <v>1893</v>
      </c>
      <c r="F743" s="2" t="s">
        <v>15</v>
      </c>
      <c r="G743" s="6"/>
      <c r="H743" s="2" t="s">
        <v>1425</v>
      </c>
      <c r="I743" s="2" t="s">
        <v>1864</v>
      </c>
      <c r="J743" s="2" t="s">
        <v>19</v>
      </c>
      <c r="K743" s="2" t="s">
        <v>1894</v>
      </c>
      <c r="L743" s="7" t="str">
        <f>HYPERLINK("http://slimages.macys.com/is/image/MCY/11689288 ")</f>
        <v xml:space="preserve">http://slimages.macys.com/is/image/MCY/11689288 </v>
      </c>
    </row>
    <row r="744" spans="1:12" ht="24.75" x14ac:dyDescent="0.25">
      <c r="A744" s="4" t="s">
        <v>5176</v>
      </c>
      <c r="B744" s="2" t="s">
        <v>1896</v>
      </c>
      <c r="C744" s="3">
        <v>2</v>
      </c>
      <c r="D744" s="5">
        <v>20.99</v>
      </c>
      <c r="E744" s="3" t="s">
        <v>1899</v>
      </c>
      <c r="F744" s="2" t="s">
        <v>252</v>
      </c>
      <c r="G744" s="6" t="s">
        <v>154</v>
      </c>
      <c r="H744" s="2" t="s">
        <v>1473</v>
      </c>
      <c r="I744" s="2" t="s">
        <v>1864</v>
      </c>
      <c r="J744" s="2" t="s">
        <v>19</v>
      </c>
      <c r="K744" s="2" t="s">
        <v>648</v>
      </c>
      <c r="L744" s="7" t="str">
        <f>HYPERLINK("http://slimages.macys.com/is/image/MCY/10787705 ")</f>
        <v xml:space="preserve">http://slimages.macys.com/is/image/MCY/10787705 </v>
      </c>
    </row>
    <row r="745" spans="1:12" ht="24.75" x14ac:dyDescent="0.25">
      <c r="A745" s="4" t="s">
        <v>3055</v>
      </c>
      <c r="B745" s="2" t="s">
        <v>1892</v>
      </c>
      <c r="C745" s="3">
        <v>3</v>
      </c>
      <c r="D745" s="5">
        <v>20.99</v>
      </c>
      <c r="E745" s="3" t="s">
        <v>1901</v>
      </c>
      <c r="F745" s="2" t="s">
        <v>74</v>
      </c>
      <c r="G745" s="6" t="s">
        <v>156</v>
      </c>
      <c r="H745" s="2" t="s">
        <v>1473</v>
      </c>
      <c r="I745" s="2" t="s">
        <v>1864</v>
      </c>
      <c r="J745" s="2" t="s">
        <v>19</v>
      </c>
      <c r="K745" s="2" t="s">
        <v>648</v>
      </c>
      <c r="L745" s="7" t="str">
        <f>HYPERLINK("http://slimages.macys.com/is/image/MCY/11689284 ")</f>
        <v xml:space="preserve">http://slimages.macys.com/is/image/MCY/11689284 </v>
      </c>
    </row>
    <row r="746" spans="1:12" ht="24.75" x14ac:dyDescent="0.25">
      <c r="A746" s="4" t="s">
        <v>3064</v>
      </c>
      <c r="B746" s="2" t="s">
        <v>1896</v>
      </c>
      <c r="C746" s="3">
        <v>2</v>
      </c>
      <c r="D746" s="5">
        <v>20.99</v>
      </c>
      <c r="E746" s="3" t="s">
        <v>1899</v>
      </c>
      <c r="F746" s="2" t="s">
        <v>252</v>
      </c>
      <c r="G746" s="6" t="s">
        <v>156</v>
      </c>
      <c r="H746" s="2" t="s">
        <v>1473</v>
      </c>
      <c r="I746" s="2" t="s">
        <v>1864</v>
      </c>
      <c r="J746" s="2" t="s">
        <v>19</v>
      </c>
      <c r="K746" s="2" t="s">
        <v>648</v>
      </c>
      <c r="L746" s="7" t="str">
        <f>HYPERLINK("http://slimages.macys.com/is/image/MCY/10787705 ")</f>
        <v xml:space="preserve">http://slimages.macys.com/is/image/MCY/10787705 </v>
      </c>
    </row>
    <row r="747" spans="1:12" ht="24.75" x14ac:dyDescent="0.25">
      <c r="A747" s="4" t="s">
        <v>3062</v>
      </c>
      <c r="B747" s="2" t="s">
        <v>1892</v>
      </c>
      <c r="C747" s="3">
        <v>3</v>
      </c>
      <c r="D747" s="5">
        <v>20.99</v>
      </c>
      <c r="E747" s="3" t="s">
        <v>1893</v>
      </c>
      <c r="F747" s="2" t="s">
        <v>15</v>
      </c>
      <c r="G747" s="6" t="s">
        <v>219</v>
      </c>
      <c r="H747" s="2" t="s">
        <v>1425</v>
      </c>
      <c r="I747" s="2" t="s">
        <v>1864</v>
      </c>
      <c r="J747" s="2" t="s">
        <v>19</v>
      </c>
      <c r="K747" s="2" t="s">
        <v>1894</v>
      </c>
      <c r="L747" s="7" t="str">
        <f>HYPERLINK("http://slimages.macys.com/is/image/MCY/11689288 ")</f>
        <v xml:space="preserve">http://slimages.macys.com/is/image/MCY/11689288 </v>
      </c>
    </row>
    <row r="748" spans="1:12" ht="24.75" x14ac:dyDescent="0.25">
      <c r="A748" s="4" t="s">
        <v>1891</v>
      </c>
      <c r="B748" s="2" t="s">
        <v>1892</v>
      </c>
      <c r="C748" s="3">
        <v>2</v>
      </c>
      <c r="D748" s="5">
        <v>20.99</v>
      </c>
      <c r="E748" s="3" t="s">
        <v>1893</v>
      </c>
      <c r="F748" s="2" t="s">
        <v>15</v>
      </c>
      <c r="G748" s="6"/>
      <c r="H748" s="2" t="s">
        <v>1425</v>
      </c>
      <c r="I748" s="2" t="s">
        <v>1864</v>
      </c>
      <c r="J748" s="2" t="s">
        <v>19</v>
      </c>
      <c r="K748" s="2" t="s">
        <v>1894</v>
      </c>
      <c r="L748" s="7" t="str">
        <f>HYPERLINK("http://slimages.macys.com/is/image/MCY/11689288 ")</f>
        <v xml:space="preserve">http://slimages.macys.com/is/image/MCY/11689288 </v>
      </c>
    </row>
    <row r="749" spans="1:12" ht="24.75" x14ac:dyDescent="0.25">
      <c r="A749" s="4" t="s">
        <v>1898</v>
      </c>
      <c r="B749" s="2" t="s">
        <v>1896</v>
      </c>
      <c r="C749" s="3">
        <v>1</v>
      </c>
      <c r="D749" s="5">
        <v>20.99</v>
      </c>
      <c r="E749" s="3" t="s">
        <v>1899</v>
      </c>
      <c r="F749" s="2" t="s">
        <v>74</v>
      </c>
      <c r="G749" s="6" t="s">
        <v>154</v>
      </c>
      <c r="H749" s="2" t="s">
        <v>1473</v>
      </c>
      <c r="I749" s="2" t="s">
        <v>1864</v>
      </c>
      <c r="J749" s="2" t="s">
        <v>19</v>
      </c>
      <c r="K749" s="2" t="s">
        <v>648</v>
      </c>
      <c r="L749" s="7" t="str">
        <f>HYPERLINK("http://slimages.macys.com/is/image/MCY/10787705 ")</f>
        <v xml:space="preserve">http://slimages.macys.com/is/image/MCY/10787705 </v>
      </c>
    </row>
    <row r="750" spans="1:12" ht="24.75" x14ac:dyDescent="0.25">
      <c r="A750" s="4" t="s">
        <v>3070</v>
      </c>
      <c r="B750" s="2" t="s">
        <v>1892</v>
      </c>
      <c r="C750" s="3">
        <v>1</v>
      </c>
      <c r="D750" s="5">
        <v>20.99</v>
      </c>
      <c r="E750" s="3" t="s">
        <v>1901</v>
      </c>
      <c r="F750" s="2" t="s">
        <v>15</v>
      </c>
      <c r="G750" s="6" t="s">
        <v>156</v>
      </c>
      <c r="H750" s="2" t="s">
        <v>1473</v>
      </c>
      <c r="I750" s="2" t="s">
        <v>1864</v>
      </c>
      <c r="J750" s="2" t="s">
        <v>19</v>
      </c>
      <c r="K750" s="2" t="s">
        <v>648</v>
      </c>
      <c r="L750" s="7" t="str">
        <f>HYPERLINK("http://slimages.macys.com/is/image/MCY/11689284 ")</f>
        <v xml:space="preserve">http://slimages.macys.com/is/image/MCY/11689284 </v>
      </c>
    </row>
    <row r="751" spans="1:12" ht="24.75" x14ac:dyDescent="0.25">
      <c r="A751" s="4" t="s">
        <v>3052</v>
      </c>
      <c r="B751" s="2" t="s">
        <v>1896</v>
      </c>
      <c r="C751" s="3">
        <v>2</v>
      </c>
      <c r="D751" s="5">
        <v>20.99</v>
      </c>
      <c r="E751" s="3" t="s">
        <v>1899</v>
      </c>
      <c r="F751" s="2" t="s">
        <v>74</v>
      </c>
      <c r="G751" s="6" t="s">
        <v>156</v>
      </c>
      <c r="H751" s="2" t="s">
        <v>1473</v>
      </c>
      <c r="I751" s="2" t="s">
        <v>1864</v>
      </c>
      <c r="J751" s="2" t="s">
        <v>19</v>
      </c>
      <c r="K751" s="2" t="s">
        <v>648</v>
      </c>
      <c r="L751" s="7" t="str">
        <f>HYPERLINK("http://slimages.macys.com/is/image/MCY/10787705 ")</f>
        <v xml:space="preserve">http://slimages.macys.com/is/image/MCY/10787705 </v>
      </c>
    </row>
    <row r="752" spans="1:12" ht="24.75" x14ac:dyDescent="0.25">
      <c r="A752" s="4" t="s">
        <v>5177</v>
      </c>
      <c r="B752" s="2" t="s">
        <v>1892</v>
      </c>
      <c r="C752" s="3">
        <v>1</v>
      </c>
      <c r="D752" s="5">
        <v>20.99</v>
      </c>
      <c r="E752" s="3" t="s">
        <v>1901</v>
      </c>
      <c r="F752" s="2" t="s">
        <v>74</v>
      </c>
      <c r="G752" s="6" t="s">
        <v>234</v>
      </c>
      <c r="H752" s="2" t="s">
        <v>1473</v>
      </c>
      <c r="I752" s="2" t="s">
        <v>1864</v>
      </c>
      <c r="J752" s="2" t="s">
        <v>19</v>
      </c>
      <c r="K752" s="2" t="s">
        <v>648</v>
      </c>
      <c r="L752" s="7" t="str">
        <f>HYPERLINK("http://slimages.macys.com/is/image/MCY/11689284 ")</f>
        <v xml:space="preserve">http://slimages.macys.com/is/image/MCY/11689284 </v>
      </c>
    </row>
    <row r="753" spans="1:12" x14ac:dyDescent="0.25">
      <c r="A753" s="4" t="s">
        <v>5178</v>
      </c>
      <c r="B753" s="2" t="s">
        <v>3078</v>
      </c>
      <c r="C753" s="3">
        <v>1</v>
      </c>
      <c r="D753" s="5">
        <v>29.5</v>
      </c>
      <c r="E753" s="3" t="s">
        <v>3079</v>
      </c>
      <c r="F753" s="2" t="s">
        <v>132</v>
      </c>
      <c r="G753" s="6"/>
      <c r="H753" s="2" t="s">
        <v>206</v>
      </c>
      <c r="I753" s="2" t="s">
        <v>207</v>
      </c>
      <c r="J753" s="2" t="s">
        <v>19</v>
      </c>
      <c r="K753" s="2" t="s">
        <v>1082</v>
      </c>
      <c r="L753" s="7" t="str">
        <f>HYPERLINK("http://slimages.macys.com/is/image/MCY/11530458 ")</f>
        <v xml:space="preserve">http://slimages.macys.com/is/image/MCY/11530458 </v>
      </c>
    </row>
    <row r="754" spans="1:12" ht="24.75" x14ac:dyDescent="0.25">
      <c r="A754" s="4" t="s">
        <v>5179</v>
      </c>
      <c r="B754" s="2" t="s">
        <v>4170</v>
      </c>
      <c r="C754" s="3">
        <v>1</v>
      </c>
      <c r="D754" s="5">
        <v>14.99</v>
      </c>
      <c r="E754" s="3" t="s">
        <v>4171</v>
      </c>
      <c r="F754" s="2" t="s">
        <v>64</v>
      </c>
      <c r="G754" s="6" t="s">
        <v>154</v>
      </c>
      <c r="H754" s="2" t="s">
        <v>1473</v>
      </c>
      <c r="I754" s="2" t="s">
        <v>1426</v>
      </c>
      <c r="J754" s="2" t="s">
        <v>19</v>
      </c>
      <c r="K754" s="2" t="s">
        <v>495</v>
      </c>
      <c r="L754" s="7" t="str">
        <f>HYPERLINK("http://slimages.macys.com/is/image/MCY/11207448 ")</f>
        <v xml:space="preserve">http://slimages.macys.com/is/image/MCY/11207448 </v>
      </c>
    </row>
    <row r="755" spans="1:12" ht="24.75" x14ac:dyDescent="0.25">
      <c r="A755" s="4" t="s">
        <v>4165</v>
      </c>
      <c r="B755" s="2" t="s">
        <v>4166</v>
      </c>
      <c r="C755" s="3">
        <v>1</v>
      </c>
      <c r="D755" s="5">
        <v>17.989999999999998</v>
      </c>
      <c r="E755" s="3" t="s">
        <v>4167</v>
      </c>
      <c r="F755" s="2" t="s">
        <v>74</v>
      </c>
      <c r="G755" s="6" t="s">
        <v>234</v>
      </c>
      <c r="H755" s="2" t="s">
        <v>1473</v>
      </c>
      <c r="I755" s="2" t="s">
        <v>1426</v>
      </c>
      <c r="J755" s="2" t="s">
        <v>19</v>
      </c>
      <c r="K755" s="2" t="s">
        <v>495</v>
      </c>
      <c r="L755" s="7" t="str">
        <f>HYPERLINK("http://slimages.macys.com/is/image/MCY/12246728 ")</f>
        <v xml:space="preserve">http://slimages.macys.com/is/image/MCY/12246728 </v>
      </c>
    </row>
    <row r="756" spans="1:12" ht="24.75" x14ac:dyDescent="0.25">
      <c r="A756" s="4" t="s">
        <v>5180</v>
      </c>
      <c r="B756" s="2" t="s">
        <v>3081</v>
      </c>
      <c r="C756" s="3">
        <v>1</v>
      </c>
      <c r="D756" s="5">
        <v>17.989999999999998</v>
      </c>
      <c r="E756" s="3" t="s">
        <v>3082</v>
      </c>
      <c r="F756" s="2" t="s">
        <v>1322</v>
      </c>
      <c r="G756" s="6" t="s">
        <v>156</v>
      </c>
      <c r="H756" s="2" t="s">
        <v>1473</v>
      </c>
      <c r="I756" s="2" t="s">
        <v>1426</v>
      </c>
      <c r="J756" s="2" t="s">
        <v>19</v>
      </c>
      <c r="K756" s="2" t="s">
        <v>990</v>
      </c>
      <c r="L756" s="7" t="str">
        <f>HYPERLINK("http://slimages.macys.com/is/image/MCY/11882211 ")</f>
        <v xml:space="preserve">http://slimages.macys.com/is/image/MCY/11882211 </v>
      </c>
    </row>
    <row r="757" spans="1:12" x14ac:dyDescent="0.25">
      <c r="A757" s="4" t="s">
        <v>5181</v>
      </c>
      <c r="B757" s="2" t="s">
        <v>1962</v>
      </c>
      <c r="C757" s="3">
        <v>1</v>
      </c>
      <c r="D757" s="5">
        <v>26.99</v>
      </c>
      <c r="E757" s="3" t="s">
        <v>5182</v>
      </c>
      <c r="F757" s="2" t="s">
        <v>331</v>
      </c>
      <c r="G757" s="6" t="s">
        <v>746</v>
      </c>
      <c r="H757" s="2" t="s">
        <v>349</v>
      </c>
      <c r="I757" s="2" t="s">
        <v>285</v>
      </c>
      <c r="J757" s="2" t="s">
        <v>19</v>
      </c>
      <c r="K757" s="2" t="s">
        <v>247</v>
      </c>
      <c r="L757" s="7" t="str">
        <f>HYPERLINK("http://slimages.macys.com/is/image/MCY/11605722 ")</f>
        <v xml:space="preserve">http://slimages.macys.com/is/image/MCY/11605722 </v>
      </c>
    </row>
    <row r="758" spans="1:12" ht="24.75" x14ac:dyDescent="0.25">
      <c r="A758" s="4" t="s">
        <v>5183</v>
      </c>
      <c r="B758" s="2" t="s">
        <v>5184</v>
      </c>
      <c r="C758" s="3">
        <v>1</v>
      </c>
      <c r="D758" s="5">
        <v>12.98</v>
      </c>
      <c r="E758" s="3">
        <v>100007535</v>
      </c>
      <c r="F758" s="2" t="s">
        <v>566</v>
      </c>
      <c r="G758" s="6" t="s">
        <v>156</v>
      </c>
      <c r="H758" s="2" t="s">
        <v>194</v>
      </c>
      <c r="I758" s="2" t="s">
        <v>195</v>
      </c>
      <c r="J758" s="2" t="s">
        <v>19</v>
      </c>
      <c r="K758" s="2" t="s">
        <v>495</v>
      </c>
      <c r="L758" s="7" t="str">
        <f>HYPERLINK("http://slimages.macys.com/is/image/MCY/8717004 ")</f>
        <v xml:space="preserve">http://slimages.macys.com/is/image/MCY/8717004 </v>
      </c>
    </row>
    <row r="759" spans="1:12" ht="24.75" x14ac:dyDescent="0.25">
      <c r="A759" s="4" t="s">
        <v>3108</v>
      </c>
      <c r="B759" s="2" t="s">
        <v>1927</v>
      </c>
      <c r="C759" s="3">
        <v>1</v>
      </c>
      <c r="D759" s="5">
        <v>17.989999999999998</v>
      </c>
      <c r="E759" s="3" t="s">
        <v>3105</v>
      </c>
      <c r="F759" s="2" t="s">
        <v>15</v>
      </c>
      <c r="G759" s="6"/>
      <c r="H759" s="2" t="s">
        <v>1425</v>
      </c>
      <c r="I759" s="2" t="s">
        <v>1426</v>
      </c>
      <c r="J759" s="2" t="s">
        <v>19</v>
      </c>
      <c r="K759" s="2" t="s">
        <v>803</v>
      </c>
      <c r="L759" s="7" t="str">
        <f>HYPERLINK("http://slimages.macys.com/is/image/MCY/11882201 ")</f>
        <v xml:space="preserve">http://slimages.macys.com/is/image/MCY/11882201 </v>
      </c>
    </row>
    <row r="760" spans="1:12" ht="24.75" x14ac:dyDescent="0.25">
      <c r="A760" s="4" t="s">
        <v>5185</v>
      </c>
      <c r="B760" s="2" t="s">
        <v>1927</v>
      </c>
      <c r="C760" s="3">
        <v>1</v>
      </c>
      <c r="D760" s="5">
        <v>17.989999999999998</v>
      </c>
      <c r="E760" s="3" t="s">
        <v>3105</v>
      </c>
      <c r="F760" s="2" t="s">
        <v>74</v>
      </c>
      <c r="G760" s="6" t="s">
        <v>187</v>
      </c>
      <c r="H760" s="2" t="s">
        <v>1425</v>
      </c>
      <c r="I760" s="2" t="s">
        <v>1426</v>
      </c>
      <c r="J760" s="2" t="s">
        <v>19</v>
      </c>
      <c r="K760" s="2" t="s">
        <v>803</v>
      </c>
      <c r="L760" s="7" t="str">
        <f>HYPERLINK("http://slimages.macys.com/is/image/MCY/11882201 ")</f>
        <v xml:space="preserve">http://slimages.macys.com/is/image/MCY/11882201 </v>
      </c>
    </row>
    <row r="761" spans="1:12" ht="24.75" x14ac:dyDescent="0.25">
      <c r="A761" s="4" t="s">
        <v>1934</v>
      </c>
      <c r="B761" s="2" t="s">
        <v>1932</v>
      </c>
      <c r="C761" s="3">
        <v>1</v>
      </c>
      <c r="D761" s="5">
        <v>16.989999999999998</v>
      </c>
      <c r="E761" s="3" t="s">
        <v>1933</v>
      </c>
      <c r="F761" s="2" t="s">
        <v>15</v>
      </c>
      <c r="G761" s="6" t="s">
        <v>156</v>
      </c>
      <c r="H761" s="2" t="s">
        <v>1473</v>
      </c>
      <c r="I761" s="2" t="s">
        <v>1864</v>
      </c>
      <c r="J761" s="2" t="s">
        <v>19</v>
      </c>
      <c r="K761" s="2" t="s">
        <v>648</v>
      </c>
      <c r="L761" s="7" t="str">
        <f>HYPERLINK("http://slimages.macys.com/is/image/MCY/11634794 ")</f>
        <v xml:space="preserve">http://slimages.macys.com/is/image/MCY/11634794 </v>
      </c>
    </row>
    <row r="762" spans="1:12" ht="24.75" x14ac:dyDescent="0.25">
      <c r="A762" s="4" t="s">
        <v>3116</v>
      </c>
      <c r="B762" s="2" t="s">
        <v>1932</v>
      </c>
      <c r="C762" s="3">
        <v>1</v>
      </c>
      <c r="D762" s="5">
        <v>16.989999999999998</v>
      </c>
      <c r="E762" s="3" t="s">
        <v>1933</v>
      </c>
      <c r="F762" s="2" t="s">
        <v>15</v>
      </c>
      <c r="G762" s="6" t="s">
        <v>154</v>
      </c>
      <c r="H762" s="2" t="s">
        <v>1473</v>
      </c>
      <c r="I762" s="2" t="s">
        <v>1864</v>
      </c>
      <c r="J762" s="2" t="s">
        <v>19</v>
      </c>
      <c r="K762" s="2" t="s">
        <v>648</v>
      </c>
      <c r="L762" s="7" t="str">
        <f>HYPERLINK("http://slimages.macys.com/is/image/MCY/11634794 ")</f>
        <v xml:space="preserve">http://slimages.macys.com/is/image/MCY/11634794 </v>
      </c>
    </row>
    <row r="763" spans="1:12" ht="24.75" x14ac:dyDescent="0.25">
      <c r="A763" s="4" t="s">
        <v>5186</v>
      </c>
      <c r="B763" s="2" t="s">
        <v>1932</v>
      </c>
      <c r="C763" s="3">
        <v>1</v>
      </c>
      <c r="D763" s="5">
        <v>16.989999999999998</v>
      </c>
      <c r="E763" s="3" t="s">
        <v>3113</v>
      </c>
      <c r="F763" s="2" t="s">
        <v>15</v>
      </c>
      <c r="G763" s="6"/>
      <c r="H763" s="2" t="s">
        <v>1425</v>
      </c>
      <c r="I763" s="2" t="s">
        <v>1864</v>
      </c>
      <c r="J763" s="2" t="s">
        <v>19</v>
      </c>
      <c r="K763" s="2" t="s">
        <v>648</v>
      </c>
      <c r="L763" s="7" t="str">
        <f>HYPERLINK("http://slimages.macys.com/is/image/MCY/11634785 ")</f>
        <v xml:space="preserve">http://slimages.macys.com/is/image/MCY/11634785 </v>
      </c>
    </row>
    <row r="764" spans="1:12" ht="24.75" x14ac:dyDescent="0.25">
      <c r="A764" s="4" t="s">
        <v>3112</v>
      </c>
      <c r="B764" s="2" t="s">
        <v>1932</v>
      </c>
      <c r="C764" s="3">
        <v>1</v>
      </c>
      <c r="D764" s="5">
        <v>16.989999999999998</v>
      </c>
      <c r="E764" s="3" t="s">
        <v>3113</v>
      </c>
      <c r="F764" s="2" t="s">
        <v>15</v>
      </c>
      <c r="G764" s="6" t="s">
        <v>219</v>
      </c>
      <c r="H764" s="2" t="s">
        <v>1425</v>
      </c>
      <c r="I764" s="2" t="s">
        <v>1864</v>
      </c>
      <c r="J764" s="2" t="s">
        <v>19</v>
      </c>
      <c r="K764" s="2" t="s">
        <v>648</v>
      </c>
      <c r="L764" s="7" t="str">
        <f>HYPERLINK("http://slimages.macys.com/is/image/MCY/11634785 ")</f>
        <v xml:space="preserve">http://slimages.macys.com/is/image/MCY/11634785 </v>
      </c>
    </row>
    <row r="765" spans="1:12" ht="24.75" x14ac:dyDescent="0.25">
      <c r="A765" s="4" t="s">
        <v>5187</v>
      </c>
      <c r="B765" s="2" t="s">
        <v>5188</v>
      </c>
      <c r="C765" s="3">
        <v>1</v>
      </c>
      <c r="D765" s="5">
        <v>21.99</v>
      </c>
      <c r="E765" s="3" t="s">
        <v>5189</v>
      </c>
      <c r="F765" s="2" t="s">
        <v>15</v>
      </c>
      <c r="G765" s="6" t="s">
        <v>181</v>
      </c>
      <c r="H765" s="2" t="s">
        <v>284</v>
      </c>
      <c r="I765" s="2" t="s">
        <v>285</v>
      </c>
      <c r="J765" s="2" t="s">
        <v>19</v>
      </c>
      <c r="K765" s="2" t="s">
        <v>247</v>
      </c>
      <c r="L765" s="7" t="str">
        <f>HYPERLINK("http://slimages.macys.com/is/image/MCY/12876530 ")</f>
        <v xml:space="preserve">http://slimages.macys.com/is/image/MCY/12876530 </v>
      </c>
    </row>
    <row r="766" spans="1:12" ht="24.75" x14ac:dyDescent="0.25">
      <c r="A766" s="4" t="s">
        <v>5190</v>
      </c>
      <c r="B766" s="2" t="s">
        <v>1937</v>
      </c>
      <c r="C766" s="3">
        <v>1</v>
      </c>
      <c r="D766" s="5">
        <v>19.989999999999998</v>
      </c>
      <c r="E766" s="3" t="s">
        <v>1938</v>
      </c>
      <c r="F766" s="2"/>
      <c r="G766" s="6" t="s">
        <v>234</v>
      </c>
      <c r="H766" s="2" t="s">
        <v>246</v>
      </c>
      <c r="I766" s="2" t="s">
        <v>1939</v>
      </c>
      <c r="J766" s="2" t="s">
        <v>19</v>
      </c>
      <c r="K766" s="2" t="s">
        <v>1940</v>
      </c>
      <c r="L766" s="7" t="str">
        <f>HYPERLINK("http://slimages.macys.com/is/image/MCY/11523112 ")</f>
        <v xml:space="preserve">http://slimages.macys.com/is/image/MCY/11523112 </v>
      </c>
    </row>
    <row r="767" spans="1:12" ht="24.75" x14ac:dyDescent="0.25">
      <c r="A767" s="4" t="s">
        <v>5191</v>
      </c>
      <c r="B767" s="2" t="s">
        <v>4188</v>
      </c>
      <c r="C767" s="3">
        <v>1</v>
      </c>
      <c r="D767" s="5">
        <v>17.989999999999998</v>
      </c>
      <c r="E767" s="3" t="s">
        <v>4189</v>
      </c>
      <c r="F767" s="2" t="s">
        <v>64</v>
      </c>
      <c r="G767" s="6" t="s">
        <v>245</v>
      </c>
      <c r="H767" s="2" t="s">
        <v>1473</v>
      </c>
      <c r="I767" s="2" t="s">
        <v>1426</v>
      </c>
      <c r="J767" s="2" t="s">
        <v>19</v>
      </c>
      <c r="K767" s="2" t="s">
        <v>990</v>
      </c>
      <c r="L767" s="7" t="str">
        <f>HYPERLINK("http://slimages.macys.com/is/image/MCY/12877743 ")</f>
        <v xml:space="preserve">http://slimages.macys.com/is/image/MCY/12877743 </v>
      </c>
    </row>
    <row r="768" spans="1:12" ht="24.75" x14ac:dyDescent="0.25">
      <c r="A768" s="4" t="s">
        <v>5192</v>
      </c>
      <c r="B768" s="2" t="s">
        <v>4188</v>
      </c>
      <c r="C768" s="3">
        <v>1</v>
      </c>
      <c r="D768" s="5">
        <v>17.989999999999998</v>
      </c>
      <c r="E768" s="3" t="s">
        <v>4189</v>
      </c>
      <c r="F768" s="2" t="s">
        <v>70</v>
      </c>
      <c r="G768" s="6" t="s">
        <v>156</v>
      </c>
      <c r="H768" s="2" t="s">
        <v>1473</v>
      </c>
      <c r="I768" s="2" t="s">
        <v>1426</v>
      </c>
      <c r="J768" s="2" t="s">
        <v>19</v>
      </c>
      <c r="K768" s="2" t="s">
        <v>990</v>
      </c>
      <c r="L768" s="7" t="str">
        <f>HYPERLINK("http://slimages.macys.com/is/image/MCY/12877743 ")</f>
        <v xml:space="preserve">http://slimages.macys.com/is/image/MCY/12877743 </v>
      </c>
    </row>
    <row r="769" spans="1:12" ht="24.75" x14ac:dyDescent="0.25">
      <c r="A769" s="4" t="s">
        <v>1944</v>
      </c>
      <c r="B769" s="2" t="s">
        <v>1942</v>
      </c>
      <c r="C769" s="3">
        <v>1</v>
      </c>
      <c r="D769" s="5">
        <v>17.989999999999998</v>
      </c>
      <c r="E769" s="3" t="s">
        <v>1943</v>
      </c>
      <c r="F769" s="2" t="s">
        <v>1945</v>
      </c>
      <c r="G769" s="6" t="s">
        <v>156</v>
      </c>
      <c r="H769" s="2" t="s">
        <v>1522</v>
      </c>
      <c r="I769" s="2" t="s">
        <v>1469</v>
      </c>
      <c r="J769" s="2" t="s">
        <v>19</v>
      </c>
      <c r="K769" s="2" t="s">
        <v>353</v>
      </c>
      <c r="L769" s="7" t="str">
        <f>HYPERLINK("http://slimages.macys.com/is/image/MCY/10743541 ")</f>
        <v xml:space="preserve">http://slimages.macys.com/is/image/MCY/10743541 </v>
      </c>
    </row>
    <row r="770" spans="1:12" ht="24.75" x14ac:dyDescent="0.25">
      <c r="A770" s="4" t="s">
        <v>5193</v>
      </c>
      <c r="B770" s="2" t="s">
        <v>1942</v>
      </c>
      <c r="C770" s="3">
        <v>1</v>
      </c>
      <c r="D770" s="5">
        <v>17.989999999999998</v>
      </c>
      <c r="E770" s="3" t="s">
        <v>1943</v>
      </c>
      <c r="F770" s="2" t="s">
        <v>38</v>
      </c>
      <c r="G770" s="6" t="s">
        <v>156</v>
      </c>
      <c r="H770" s="2" t="s">
        <v>1522</v>
      </c>
      <c r="I770" s="2" t="s">
        <v>1469</v>
      </c>
      <c r="J770" s="2" t="s">
        <v>19</v>
      </c>
      <c r="K770" s="2" t="s">
        <v>353</v>
      </c>
      <c r="L770" s="7" t="str">
        <f>HYPERLINK("http://slimages.macys.com/is/image/MCY/10743541 ")</f>
        <v xml:space="preserve">http://slimages.macys.com/is/image/MCY/10743541 </v>
      </c>
    </row>
    <row r="771" spans="1:12" ht="24.75" x14ac:dyDescent="0.25">
      <c r="A771" s="4" t="s">
        <v>5194</v>
      </c>
      <c r="B771" s="2" t="s">
        <v>3125</v>
      </c>
      <c r="C771" s="3">
        <v>1</v>
      </c>
      <c r="D771" s="5">
        <v>14.99</v>
      </c>
      <c r="E771" s="3" t="s">
        <v>3126</v>
      </c>
      <c r="F771" s="2" t="s">
        <v>331</v>
      </c>
      <c r="G771" s="6" t="s">
        <v>156</v>
      </c>
      <c r="H771" s="2" t="s">
        <v>1522</v>
      </c>
      <c r="I771" s="2" t="s">
        <v>1469</v>
      </c>
      <c r="J771" s="2" t="s">
        <v>19</v>
      </c>
      <c r="K771" s="2" t="s">
        <v>495</v>
      </c>
      <c r="L771" s="7" t="str">
        <f>HYPERLINK("http://slimages.macys.com/is/image/MCY/11028879 ")</f>
        <v xml:space="preserve">http://slimages.macys.com/is/image/MCY/11028879 </v>
      </c>
    </row>
    <row r="772" spans="1:12" ht="24.75" x14ac:dyDescent="0.25">
      <c r="A772" s="4" t="s">
        <v>3151</v>
      </c>
      <c r="B772" s="2" t="s">
        <v>3131</v>
      </c>
      <c r="C772" s="3">
        <v>2</v>
      </c>
      <c r="D772" s="5">
        <v>14.99</v>
      </c>
      <c r="E772" s="3" t="s">
        <v>3132</v>
      </c>
      <c r="F772" s="2" t="s">
        <v>94</v>
      </c>
      <c r="G772" s="6"/>
      <c r="H772" s="2" t="s">
        <v>1425</v>
      </c>
      <c r="I772" s="2" t="s">
        <v>1426</v>
      </c>
      <c r="J772" s="2" t="s">
        <v>19</v>
      </c>
      <c r="K772" s="2" t="s">
        <v>495</v>
      </c>
      <c r="L772" s="7" t="str">
        <f>HYPERLINK("http://slimages.macys.com/is/image/MCY/12673003 ")</f>
        <v xml:space="preserve">http://slimages.macys.com/is/image/MCY/12673003 </v>
      </c>
    </row>
    <row r="773" spans="1:12" ht="24.75" x14ac:dyDescent="0.25">
      <c r="A773" s="4" t="s">
        <v>3130</v>
      </c>
      <c r="B773" s="2" t="s">
        <v>3131</v>
      </c>
      <c r="C773" s="3">
        <v>1</v>
      </c>
      <c r="D773" s="5">
        <v>14.99</v>
      </c>
      <c r="E773" s="3" t="s">
        <v>3132</v>
      </c>
      <c r="F773" s="2" t="s">
        <v>94</v>
      </c>
      <c r="G773" s="6"/>
      <c r="H773" s="2" t="s">
        <v>1425</v>
      </c>
      <c r="I773" s="2" t="s">
        <v>1426</v>
      </c>
      <c r="J773" s="2" t="s">
        <v>19</v>
      </c>
      <c r="K773" s="2" t="s">
        <v>495</v>
      </c>
      <c r="L773" s="7" t="str">
        <f>HYPERLINK("http://slimages.macys.com/is/image/MCY/12673003 ")</f>
        <v xml:space="preserve">http://slimages.macys.com/is/image/MCY/12673003 </v>
      </c>
    </row>
    <row r="774" spans="1:12" ht="24.75" x14ac:dyDescent="0.25">
      <c r="A774" s="4" t="s">
        <v>5195</v>
      </c>
      <c r="B774" s="2" t="s">
        <v>5196</v>
      </c>
      <c r="C774" s="3">
        <v>1</v>
      </c>
      <c r="D774" s="5">
        <v>14.99</v>
      </c>
      <c r="E774" s="3" t="s">
        <v>5197</v>
      </c>
      <c r="F774" s="2" t="s">
        <v>26</v>
      </c>
      <c r="G774" s="6"/>
      <c r="H774" s="2" t="s">
        <v>1425</v>
      </c>
      <c r="I774" s="2" t="s">
        <v>1426</v>
      </c>
      <c r="J774" s="2" t="s">
        <v>19</v>
      </c>
      <c r="K774" s="2" t="s">
        <v>495</v>
      </c>
      <c r="L774" s="7" t="str">
        <f>HYPERLINK("http://slimages.macys.com/is/image/MCY/11882667 ")</f>
        <v xml:space="preserve">http://slimages.macys.com/is/image/MCY/11882667 </v>
      </c>
    </row>
    <row r="775" spans="1:12" ht="24.75" x14ac:dyDescent="0.25">
      <c r="A775" s="4" t="s">
        <v>3127</v>
      </c>
      <c r="B775" s="2" t="s">
        <v>3128</v>
      </c>
      <c r="C775" s="3">
        <v>1</v>
      </c>
      <c r="D775" s="5">
        <v>14.99</v>
      </c>
      <c r="E775" s="3" t="s">
        <v>3129</v>
      </c>
      <c r="F775" s="2" t="s">
        <v>26</v>
      </c>
      <c r="G775" s="6"/>
      <c r="H775" s="2" t="s">
        <v>1425</v>
      </c>
      <c r="I775" s="2" t="s">
        <v>1426</v>
      </c>
      <c r="J775" s="2" t="s">
        <v>19</v>
      </c>
      <c r="K775" s="2" t="s">
        <v>495</v>
      </c>
      <c r="L775" s="7" t="str">
        <f>HYPERLINK("http://slimages.macys.com/is/image/MCY/12064003 ")</f>
        <v xml:space="preserve">http://slimages.macys.com/is/image/MCY/12064003 </v>
      </c>
    </row>
    <row r="776" spans="1:12" ht="24.75" x14ac:dyDescent="0.25">
      <c r="A776" s="4" t="s">
        <v>3161</v>
      </c>
      <c r="B776" s="2" t="s">
        <v>3128</v>
      </c>
      <c r="C776" s="3">
        <v>1</v>
      </c>
      <c r="D776" s="5">
        <v>14.99</v>
      </c>
      <c r="E776" s="3" t="s">
        <v>3129</v>
      </c>
      <c r="F776" s="2" t="s">
        <v>26</v>
      </c>
      <c r="G776" s="6" t="s">
        <v>187</v>
      </c>
      <c r="H776" s="2" t="s">
        <v>1425</v>
      </c>
      <c r="I776" s="2" t="s">
        <v>1426</v>
      </c>
      <c r="J776" s="2" t="s">
        <v>19</v>
      </c>
      <c r="K776" s="2" t="s">
        <v>495</v>
      </c>
      <c r="L776" s="7" t="str">
        <f>HYPERLINK("http://slimages.macys.com/is/image/MCY/12064003 ")</f>
        <v xml:space="preserve">http://slimages.macys.com/is/image/MCY/12064003 </v>
      </c>
    </row>
    <row r="777" spans="1:12" ht="24.75" x14ac:dyDescent="0.25">
      <c r="A777" s="4" t="s">
        <v>5198</v>
      </c>
      <c r="B777" s="2" t="s">
        <v>5199</v>
      </c>
      <c r="C777" s="3">
        <v>1</v>
      </c>
      <c r="D777" s="5">
        <v>14.99</v>
      </c>
      <c r="E777" s="3" t="s">
        <v>5200</v>
      </c>
      <c r="F777" s="2" t="s">
        <v>33</v>
      </c>
      <c r="G777" s="6" t="s">
        <v>187</v>
      </c>
      <c r="H777" s="2" t="s">
        <v>1425</v>
      </c>
      <c r="I777" s="2" t="s">
        <v>1426</v>
      </c>
      <c r="J777" s="2" t="s">
        <v>19</v>
      </c>
      <c r="K777" s="2" t="s">
        <v>495</v>
      </c>
      <c r="L777" s="7" t="str">
        <f>HYPERLINK("http://slimages.macys.com/is/image/MCY/11515155 ")</f>
        <v xml:space="preserve">http://slimages.macys.com/is/image/MCY/11515155 </v>
      </c>
    </row>
    <row r="778" spans="1:12" ht="24.75" x14ac:dyDescent="0.25">
      <c r="A778" s="4" t="s">
        <v>5201</v>
      </c>
      <c r="B778" s="2" t="s">
        <v>3128</v>
      </c>
      <c r="C778" s="3">
        <v>2</v>
      </c>
      <c r="D778" s="5">
        <v>14.99</v>
      </c>
      <c r="E778" s="3" t="s">
        <v>3129</v>
      </c>
      <c r="F778" s="2" t="s">
        <v>26</v>
      </c>
      <c r="G778" s="6"/>
      <c r="H778" s="2" t="s">
        <v>1425</v>
      </c>
      <c r="I778" s="2" t="s">
        <v>1426</v>
      </c>
      <c r="J778" s="2" t="s">
        <v>19</v>
      </c>
      <c r="K778" s="2" t="s">
        <v>495</v>
      </c>
      <c r="L778" s="7" t="str">
        <f>HYPERLINK("http://slimages.macys.com/is/image/MCY/12064003 ")</f>
        <v xml:space="preserve">http://slimages.macys.com/is/image/MCY/12064003 </v>
      </c>
    </row>
    <row r="779" spans="1:12" ht="24.75" x14ac:dyDescent="0.25">
      <c r="A779" s="4" t="s">
        <v>5202</v>
      </c>
      <c r="B779" s="2" t="s">
        <v>4197</v>
      </c>
      <c r="C779" s="3">
        <v>1</v>
      </c>
      <c r="D779" s="5">
        <v>14.99</v>
      </c>
      <c r="E779" s="3" t="s">
        <v>4198</v>
      </c>
      <c r="F779" s="2" t="s">
        <v>331</v>
      </c>
      <c r="G779" s="6" t="s">
        <v>156</v>
      </c>
      <c r="H779" s="2" t="s">
        <v>1473</v>
      </c>
      <c r="I779" s="2" t="s">
        <v>1426</v>
      </c>
      <c r="J779" s="2" t="s">
        <v>19</v>
      </c>
      <c r="K779" s="2" t="s">
        <v>495</v>
      </c>
      <c r="L779" s="7" t="str">
        <f>HYPERLINK("http://slimages.macys.com/is/image/MCY/12936603 ")</f>
        <v xml:space="preserve">http://slimages.macys.com/is/image/MCY/12936603 </v>
      </c>
    </row>
    <row r="780" spans="1:12" x14ac:dyDescent="0.25">
      <c r="A780" s="4" t="s">
        <v>5203</v>
      </c>
      <c r="B780" s="2" t="s">
        <v>3216</v>
      </c>
      <c r="C780" s="3">
        <v>1</v>
      </c>
      <c r="D780" s="5">
        <v>26.99</v>
      </c>
      <c r="E780" s="3" t="s">
        <v>5204</v>
      </c>
      <c r="F780" s="2" t="s">
        <v>1584</v>
      </c>
      <c r="G780" s="6"/>
      <c r="H780" s="2" t="s">
        <v>349</v>
      </c>
      <c r="I780" s="2" t="s">
        <v>285</v>
      </c>
      <c r="J780" s="2" t="s">
        <v>19</v>
      </c>
      <c r="K780" s="2" t="s">
        <v>247</v>
      </c>
      <c r="L780" s="7" t="str">
        <f>HYPERLINK("http://slimages.macys.com/is/image/MCY/13535011 ")</f>
        <v xml:space="preserve">http://slimages.macys.com/is/image/MCY/13535011 </v>
      </c>
    </row>
    <row r="781" spans="1:12" ht="24.75" x14ac:dyDescent="0.25">
      <c r="A781" s="4" t="s">
        <v>5205</v>
      </c>
      <c r="B781" s="2" t="s">
        <v>1954</v>
      </c>
      <c r="C781" s="3">
        <v>1</v>
      </c>
      <c r="D781" s="5">
        <v>18.38</v>
      </c>
      <c r="E781" s="3" t="s">
        <v>5206</v>
      </c>
      <c r="F781" s="2" t="s">
        <v>79</v>
      </c>
      <c r="G781" s="6" t="s">
        <v>234</v>
      </c>
      <c r="H781" s="2" t="s">
        <v>194</v>
      </c>
      <c r="I781" s="2" t="s">
        <v>195</v>
      </c>
      <c r="J781" s="2" t="s">
        <v>19</v>
      </c>
      <c r="K781" s="2" t="s">
        <v>1108</v>
      </c>
      <c r="L781" s="7" t="str">
        <f>HYPERLINK("http://slimages.macys.com/is/image/MCY/13036261 ")</f>
        <v xml:space="preserve">http://slimages.macys.com/is/image/MCY/13036261 </v>
      </c>
    </row>
    <row r="782" spans="1:12" ht="24.75" x14ac:dyDescent="0.25">
      <c r="A782" s="4" t="s">
        <v>5207</v>
      </c>
      <c r="B782" s="2" t="s">
        <v>1921</v>
      </c>
      <c r="C782" s="3">
        <v>1</v>
      </c>
      <c r="D782" s="5">
        <v>14.99</v>
      </c>
      <c r="E782" s="3" t="s">
        <v>5208</v>
      </c>
      <c r="F782" s="2" t="s">
        <v>111</v>
      </c>
      <c r="G782" s="6" t="s">
        <v>181</v>
      </c>
      <c r="H782" s="2" t="s">
        <v>194</v>
      </c>
      <c r="I782" s="2" t="s">
        <v>1922</v>
      </c>
      <c r="J782" s="2" t="s">
        <v>19</v>
      </c>
      <c r="K782" s="2" t="s">
        <v>1108</v>
      </c>
      <c r="L782" s="7" t="str">
        <f>HYPERLINK("http://slimages.macys.com/is/image/MCY/11147951 ")</f>
        <v xml:space="preserve">http://slimages.macys.com/is/image/MCY/11147951 </v>
      </c>
    </row>
    <row r="783" spans="1:12" ht="24.75" x14ac:dyDescent="0.25">
      <c r="A783" s="4" t="s">
        <v>5209</v>
      </c>
      <c r="B783" s="2" t="s">
        <v>1962</v>
      </c>
      <c r="C783" s="3">
        <v>1</v>
      </c>
      <c r="D783" s="5">
        <v>21.99</v>
      </c>
      <c r="E783" s="3">
        <v>100017611</v>
      </c>
      <c r="F783" s="2" t="s">
        <v>956</v>
      </c>
      <c r="G783" s="6" t="s">
        <v>234</v>
      </c>
      <c r="H783" s="2" t="s">
        <v>284</v>
      </c>
      <c r="I783" s="2" t="s">
        <v>285</v>
      </c>
      <c r="J783" s="2" t="s">
        <v>19</v>
      </c>
      <c r="K783" s="2" t="s">
        <v>247</v>
      </c>
      <c r="L783" s="7" t="str">
        <f>HYPERLINK("http://slimages.macys.com/is/image/MCY/14013654 ")</f>
        <v xml:space="preserve">http://slimages.macys.com/is/image/MCY/14013654 </v>
      </c>
    </row>
    <row r="784" spans="1:12" ht="24.75" x14ac:dyDescent="0.25">
      <c r="A784" s="4" t="s">
        <v>1963</v>
      </c>
      <c r="B784" s="2" t="s">
        <v>1964</v>
      </c>
      <c r="C784" s="3">
        <v>1</v>
      </c>
      <c r="D784" s="5">
        <v>19.989999999999998</v>
      </c>
      <c r="E784" s="3" t="s">
        <v>1965</v>
      </c>
      <c r="F784" s="2" t="s">
        <v>70</v>
      </c>
      <c r="G784" s="6" t="s">
        <v>794</v>
      </c>
      <c r="H784" s="2" t="s">
        <v>632</v>
      </c>
      <c r="I784" s="2" t="s">
        <v>285</v>
      </c>
      <c r="J784" s="2" t="s">
        <v>19</v>
      </c>
      <c r="K784" s="2" t="s">
        <v>247</v>
      </c>
      <c r="L784" s="7" t="str">
        <f>HYPERLINK("http://slimages.macys.com/is/image/MCY/9456016 ")</f>
        <v xml:space="preserve">http://slimages.macys.com/is/image/MCY/9456016 </v>
      </c>
    </row>
    <row r="785" spans="1:12" ht="24.75" x14ac:dyDescent="0.25">
      <c r="A785" s="4" t="s">
        <v>5210</v>
      </c>
      <c r="B785" s="2" t="s">
        <v>1970</v>
      </c>
      <c r="C785" s="3">
        <v>1</v>
      </c>
      <c r="D785" s="5">
        <v>14.99</v>
      </c>
      <c r="E785" s="3" t="s">
        <v>1971</v>
      </c>
      <c r="F785" s="2" t="s">
        <v>1945</v>
      </c>
      <c r="G785" s="6" t="s">
        <v>156</v>
      </c>
      <c r="H785" s="2" t="s">
        <v>1522</v>
      </c>
      <c r="I785" s="2" t="s">
        <v>1469</v>
      </c>
      <c r="J785" s="2" t="s">
        <v>19</v>
      </c>
      <c r="K785" s="2" t="s">
        <v>353</v>
      </c>
      <c r="L785" s="7" t="str">
        <f>HYPERLINK("http://slimages.macys.com/is/image/MCY/13741861 ")</f>
        <v xml:space="preserve">http://slimages.macys.com/is/image/MCY/13741861 </v>
      </c>
    </row>
    <row r="786" spans="1:12" ht="24.75" x14ac:dyDescent="0.25">
      <c r="A786" s="4" t="s">
        <v>5211</v>
      </c>
      <c r="B786" s="2" t="s">
        <v>1970</v>
      </c>
      <c r="C786" s="3">
        <v>1</v>
      </c>
      <c r="D786" s="5">
        <v>14.99</v>
      </c>
      <c r="E786" s="3" t="s">
        <v>1971</v>
      </c>
      <c r="F786" s="2" t="s">
        <v>74</v>
      </c>
      <c r="G786" s="6" t="s">
        <v>156</v>
      </c>
      <c r="H786" s="2" t="s">
        <v>1522</v>
      </c>
      <c r="I786" s="2" t="s">
        <v>1469</v>
      </c>
      <c r="J786" s="2" t="s">
        <v>19</v>
      </c>
      <c r="K786" s="2" t="s">
        <v>353</v>
      </c>
      <c r="L786" s="7" t="str">
        <f>HYPERLINK("http://slimages.macys.com/is/image/MCY/13741861 ")</f>
        <v xml:space="preserve">http://slimages.macys.com/is/image/MCY/13741861 </v>
      </c>
    </row>
    <row r="787" spans="1:12" ht="24.75" x14ac:dyDescent="0.25">
      <c r="A787" s="4" t="s">
        <v>3183</v>
      </c>
      <c r="B787" s="2" t="s">
        <v>1970</v>
      </c>
      <c r="C787" s="3">
        <v>1</v>
      </c>
      <c r="D787" s="5">
        <v>14.99</v>
      </c>
      <c r="E787" s="3" t="s">
        <v>1971</v>
      </c>
      <c r="F787" s="2" t="s">
        <v>26</v>
      </c>
      <c r="G787" s="6" t="s">
        <v>181</v>
      </c>
      <c r="H787" s="2" t="s">
        <v>1522</v>
      </c>
      <c r="I787" s="2" t="s">
        <v>1469</v>
      </c>
      <c r="J787" s="2" t="s">
        <v>19</v>
      </c>
      <c r="K787" s="2" t="s">
        <v>353</v>
      </c>
      <c r="L787" s="7" t="str">
        <f>HYPERLINK("http://slimages.macys.com/is/image/MCY/13741861 ")</f>
        <v xml:space="preserve">http://slimages.macys.com/is/image/MCY/13741861 </v>
      </c>
    </row>
    <row r="788" spans="1:12" ht="24.75" x14ac:dyDescent="0.25">
      <c r="A788" s="4" t="s">
        <v>5212</v>
      </c>
      <c r="B788" s="2" t="s">
        <v>3181</v>
      </c>
      <c r="C788" s="3">
        <v>1</v>
      </c>
      <c r="D788" s="5">
        <v>14.99</v>
      </c>
      <c r="E788" s="3" t="s">
        <v>3182</v>
      </c>
      <c r="F788" s="2" t="s">
        <v>64</v>
      </c>
      <c r="G788" s="6"/>
      <c r="H788" s="2" t="s">
        <v>1425</v>
      </c>
      <c r="I788" s="2" t="s">
        <v>1469</v>
      </c>
      <c r="J788" s="2" t="s">
        <v>19</v>
      </c>
      <c r="K788" s="2" t="s">
        <v>353</v>
      </c>
      <c r="L788" s="7" t="str">
        <f>HYPERLINK("http://slimages.macys.com/is/image/MCY/10743852 ")</f>
        <v xml:space="preserve">http://slimages.macys.com/is/image/MCY/10743852 </v>
      </c>
    </row>
    <row r="789" spans="1:12" ht="24.75" x14ac:dyDescent="0.25">
      <c r="A789" s="4" t="s">
        <v>5213</v>
      </c>
      <c r="B789" s="2" t="s">
        <v>3181</v>
      </c>
      <c r="C789" s="3">
        <v>1</v>
      </c>
      <c r="D789" s="5">
        <v>14.99</v>
      </c>
      <c r="E789" s="3" t="s">
        <v>3182</v>
      </c>
      <c r="F789" s="2" t="s">
        <v>74</v>
      </c>
      <c r="G789" s="6" t="s">
        <v>219</v>
      </c>
      <c r="H789" s="2" t="s">
        <v>1425</v>
      </c>
      <c r="I789" s="2" t="s">
        <v>1469</v>
      </c>
      <c r="J789" s="2" t="s">
        <v>19</v>
      </c>
      <c r="K789" s="2" t="s">
        <v>353</v>
      </c>
      <c r="L789" s="7" t="str">
        <f>HYPERLINK("http://slimages.macys.com/is/image/MCY/10743852 ")</f>
        <v xml:space="preserve">http://slimages.macys.com/is/image/MCY/10743852 </v>
      </c>
    </row>
    <row r="790" spans="1:12" ht="24.75" x14ac:dyDescent="0.25">
      <c r="A790" s="4" t="s">
        <v>3195</v>
      </c>
      <c r="B790" s="2" t="s">
        <v>1973</v>
      </c>
      <c r="C790" s="3">
        <v>1</v>
      </c>
      <c r="D790" s="5">
        <v>16.989999999999998</v>
      </c>
      <c r="E790" s="3" t="s">
        <v>1974</v>
      </c>
      <c r="F790" s="2" t="s">
        <v>74</v>
      </c>
      <c r="G790" s="6" t="s">
        <v>181</v>
      </c>
      <c r="H790" s="2" t="s">
        <v>1473</v>
      </c>
      <c r="I790" s="2" t="s">
        <v>1864</v>
      </c>
      <c r="J790" s="2" t="s">
        <v>19</v>
      </c>
      <c r="K790" s="2" t="s">
        <v>648</v>
      </c>
      <c r="L790" s="7" t="str">
        <f>HYPERLINK("http://slimages.macys.com/is/image/MCY/11634794 ")</f>
        <v xml:space="preserve">http://slimages.macys.com/is/image/MCY/11634794 </v>
      </c>
    </row>
    <row r="791" spans="1:12" ht="24.75" x14ac:dyDescent="0.25">
      <c r="A791" s="4" t="s">
        <v>4226</v>
      </c>
      <c r="B791" s="2" t="s">
        <v>1973</v>
      </c>
      <c r="C791" s="3">
        <v>3</v>
      </c>
      <c r="D791" s="5">
        <v>16.989999999999998</v>
      </c>
      <c r="E791" s="3" t="s">
        <v>1974</v>
      </c>
      <c r="F791" s="2" t="s">
        <v>15</v>
      </c>
      <c r="G791" s="6" t="s">
        <v>234</v>
      </c>
      <c r="H791" s="2" t="s">
        <v>1473</v>
      </c>
      <c r="I791" s="2" t="s">
        <v>1864</v>
      </c>
      <c r="J791" s="2" t="s">
        <v>19</v>
      </c>
      <c r="K791" s="2" t="s">
        <v>648</v>
      </c>
      <c r="L791" s="7" t="str">
        <f>HYPERLINK("http://slimages.macys.com/is/image/MCY/11634794 ")</f>
        <v xml:space="preserve">http://slimages.macys.com/is/image/MCY/11634794 </v>
      </c>
    </row>
    <row r="792" spans="1:12" ht="24.75" x14ac:dyDescent="0.25">
      <c r="A792" s="4" t="s">
        <v>3196</v>
      </c>
      <c r="B792" s="2" t="s">
        <v>1973</v>
      </c>
      <c r="C792" s="3">
        <v>1</v>
      </c>
      <c r="D792" s="5">
        <v>16.989999999999998</v>
      </c>
      <c r="E792" s="3" t="s">
        <v>1974</v>
      </c>
      <c r="F792" s="2" t="s">
        <v>15</v>
      </c>
      <c r="G792" s="6" t="s">
        <v>181</v>
      </c>
      <c r="H792" s="2" t="s">
        <v>1473</v>
      </c>
      <c r="I792" s="2" t="s">
        <v>1864</v>
      </c>
      <c r="J792" s="2" t="s">
        <v>19</v>
      </c>
      <c r="K792" s="2" t="s">
        <v>648</v>
      </c>
      <c r="L792" s="7" t="str">
        <f>HYPERLINK("http://slimages.macys.com/is/image/MCY/11634794 ")</f>
        <v xml:space="preserve">http://slimages.macys.com/is/image/MCY/11634794 </v>
      </c>
    </row>
    <row r="793" spans="1:12" ht="24.75" x14ac:dyDescent="0.25">
      <c r="A793" s="4" t="s">
        <v>4228</v>
      </c>
      <c r="B793" s="2" t="s">
        <v>1973</v>
      </c>
      <c r="C793" s="3">
        <v>1</v>
      </c>
      <c r="D793" s="5">
        <v>16.989999999999998</v>
      </c>
      <c r="E793" s="3" t="s">
        <v>1976</v>
      </c>
      <c r="F793" s="2" t="s">
        <v>70</v>
      </c>
      <c r="G793" s="6"/>
      <c r="H793" s="2" t="s">
        <v>1425</v>
      </c>
      <c r="I793" s="2" t="s">
        <v>1864</v>
      </c>
      <c r="J793" s="2" t="s">
        <v>19</v>
      </c>
      <c r="K793" s="2" t="s">
        <v>648</v>
      </c>
      <c r="L793" s="7" t="str">
        <f t="shared" ref="L793:L799" si="6">HYPERLINK("http://slimages.macys.com/is/image/MCY/11634785 ")</f>
        <v xml:space="preserve">http://slimages.macys.com/is/image/MCY/11634785 </v>
      </c>
    </row>
    <row r="794" spans="1:12" ht="24.75" x14ac:dyDescent="0.25">
      <c r="A794" s="4" t="s">
        <v>3188</v>
      </c>
      <c r="B794" s="2" t="s">
        <v>1973</v>
      </c>
      <c r="C794" s="3">
        <v>1</v>
      </c>
      <c r="D794" s="5">
        <v>16.989999999999998</v>
      </c>
      <c r="E794" s="3" t="s">
        <v>1976</v>
      </c>
      <c r="F794" s="2" t="s">
        <v>70</v>
      </c>
      <c r="G794" s="6"/>
      <c r="H794" s="2" t="s">
        <v>1425</v>
      </c>
      <c r="I794" s="2" t="s">
        <v>1864</v>
      </c>
      <c r="J794" s="2" t="s">
        <v>19</v>
      </c>
      <c r="K794" s="2" t="s">
        <v>648</v>
      </c>
      <c r="L794" s="7" t="str">
        <f t="shared" si="6"/>
        <v xml:space="preserve">http://slimages.macys.com/is/image/MCY/11634785 </v>
      </c>
    </row>
    <row r="795" spans="1:12" ht="24.75" x14ac:dyDescent="0.25">
      <c r="A795" s="4" t="s">
        <v>5214</v>
      </c>
      <c r="B795" s="2" t="s">
        <v>1973</v>
      </c>
      <c r="C795" s="3">
        <v>2</v>
      </c>
      <c r="D795" s="5">
        <v>16.989999999999998</v>
      </c>
      <c r="E795" s="3" t="s">
        <v>1976</v>
      </c>
      <c r="F795" s="2" t="s">
        <v>15</v>
      </c>
      <c r="G795" s="6" t="s">
        <v>187</v>
      </c>
      <c r="H795" s="2" t="s">
        <v>1425</v>
      </c>
      <c r="I795" s="2" t="s">
        <v>1864</v>
      </c>
      <c r="J795" s="2" t="s">
        <v>19</v>
      </c>
      <c r="K795" s="2" t="s">
        <v>648</v>
      </c>
      <c r="L795" s="7" t="str">
        <f t="shared" si="6"/>
        <v xml:space="preserve">http://slimages.macys.com/is/image/MCY/11634785 </v>
      </c>
    </row>
    <row r="796" spans="1:12" ht="24.75" x14ac:dyDescent="0.25">
      <c r="A796" s="4" t="s">
        <v>1985</v>
      </c>
      <c r="B796" s="2" t="s">
        <v>1973</v>
      </c>
      <c r="C796" s="3">
        <v>1</v>
      </c>
      <c r="D796" s="5">
        <v>16.989999999999998</v>
      </c>
      <c r="E796" s="3" t="s">
        <v>1976</v>
      </c>
      <c r="F796" s="2" t="s">
        <v>15</v>
      </c>
      <c r="G796" s="6" t="s">
        <v>219</v>
      </c>
      <c r="H796" s="2" t="s">
        <v>1425</v>
      </c>
      <c r="I796" s="2" t="s">
        <v>1864</v>
      </c>
      <c r="J796" s="2" t="s">
        <v>19</v>
      </c>
      <c r="K796" s="2" t="s">
        <v>648</v>
      </c>
      <c r="L796" s="7" t="str">
        <f t="shared" si="6"/>
        <v xml:space="preserve">http://slimages.macys.com/is/image/MCY/11634785 </v>
      </c>
    </row>
    <row r="797" spans="1:12" ht="24.75" x14ac:dyDescent="0.25">
      <c r="A797" s="4" t="s">
        <v>5215</v>
      </c>
      <c r="B797" s="2" t="s">
        <v>1973</v>
      </c>
      <c r="C797" s="3">
        <v>2</v>
      </c>
      <c r="D797" s="5">
        <v>16.989999999999998</v>
      </c>
      <c r="E797" s="3" t="s">
        <v>1976</v>
      </c>
      <c r="F797" s="2" t="s">
        <v>70</v>
      </c>
      <c r="G797" s="6" t="s">
        <v>219</v>
      </c>
      <c r="H797" s="2" t="s">
        <v>1425</v>
      </c>
      <c r="I797" s="2" t="s">
        <v>1864</v>
      </c>
      <c r="J797" s="2" t="s">
        <v>19</v>
      </c>
      <c r="K797" s="2" t="s">
        <v>648</v>
      </c>
      <c r="L797" s="7" t="str">
        <f t="shared" si="6"/>
        <v xml:space="preserve">http://slimages.macys.com/is/image/MCY/11634785 </v>
      </c>
    </row>
    <row r="798" spans="1:12" ht="24.75" x14ac:dyDescent="0.25">
      <c r="A798" s="4" t="s">
        <v>3186</v>
      </c>
      <c r="B798" s="2" t="s">
        <v>1973</v>
      </c>
      <c r="C798" s="3">
        <v>1</v>
      </c>
      <c r="D798" s="5">
        <v>16.989999999999998</v>
      </c>
      <c r="E798" s="3" t="s">
        <v>1976</v>
      </c>
      <c r="F798" s="2" t="s">
        <v>15</v>
      </c>
      <c r="G798" s="6"/>
      <c r="H798" s="2" t="s">
        <v>1425</v>
      </c>
      <c r="I798" s="2" t="s">
        <v>1864</v>
      </c>
      <c r="J798" s="2" t="s">
        <v>19</v>
      </c>
      <c r="K798" s="2" t="s">
        <v>648</v>
      </c>
      <c r="L798" s="7" t="str">
        <f t="shared" si="6"/>
        <v xml:space="preserve">http://slimages.macys.com/is/image/MCY/11634785 </v>
      </c>
    </row>
    <row r="799" spans="1:12" ht="24.75" x14ac:dyDescent="0.25">
      <c r="A799" s="4" t="s">
        <v>3192</v>
      </c>
      <c r="B799" s="2" t="s">
        <v>1973</v>
      </c>
      <c r="C799" s="3">
        <v>1</v>
      </c>
      <c r="D799" s="5">
        <v>16.989999999999998</v>
      </c>
      <c r="E799" s="3" t="s">
        <v>1976</v>
      </c>
      <c r="F799" s="2" t="s">
        <v>70</v>
      </c>
      <c r="G799" s="6"/>
      <c r="H799" s="2" t="s">
        <v>1425</v>
      </c>
      <c r="I799" s="2" t="s">
        <v>1864</v>
      </c>
      <c r="J799" s="2" t="s">
        <v>19</v>
      </c>
      <c r="K799" s="2" t="s">
        <v>648</v>
      </c>
      <c r="L799" s="7" t="str">
        <f t="shared" si="6"/>
        <v xml:space="preserve">http://slimages.macys.com/is/image/MCY/11634785 </v>
      </c>
    </row>
    <row r="800" spans="1:12" ht="24.75" x14ac:dyDescent="0.25">
      <c r="A800" s="4" t="s">
        <v>5216</v>
      </c>
      <c r="B800" s="2" t="s">
        <v>1988</v>
      </c>
      <c r="C800" s="3">
        <v>1</v>
      </c>
      <c r="D800" s="5">
        <v>14.99</v>
      </c>
      <c r="E800" s="3" t="s">
        <v>1989</v>
      </c>
      <c r="F800" s="2" t="s">
        <v>70</v>
      </c>
      <c r="G800" s="6" t="s">
        <v>219</v>
      </c>
      <c r="H800" s="2" t="s">
        <v>1425</v>
      </c>
      <c r="I800" s="2" t="s">
        <v>1426</v>
      </c>
      <c r="J800" s="2" t="s">
        <v>19</v>
      </c>
      <c r="K800" s="2" t="s">
        <v>648</v>
      </c>
      <c r="L800" s="7" t="str">
        <f>HYPERLINK("http://slimages.macys.com/is/image/MCY/11678994 ")</f>
        <v xml:space="preserve">http://slimages.macys.com/is/image/MCY/11678994 </v>
      </c>
    </row>
    <row r="801" spans="1:12" ht="24.75" x14ac:dyDescent="0.25">
      <c r="A801" s="4" t="s">
        <v>1997</v>
      </c>
      <c r="B801" s="2" t="s">
        <v>1988</v>
      </c>
      <c r="C801" s="3">
        <v>1</v>
      </c>
      <c r="D801" s="5">
        <v>14.99</v>
      </c>
      <c r="E801" s="3" t="s">
        <v>1989</v>
      </c>
      <c r="F801" s="2" t="s">
        <v>26</v>
      </c>
      <c r="G801" s="6" t="s">
        <v>219</v>
      </c>
      <c r="H801" s="2" t="s">
        <v>1425</v>
      </c>
      <c r="I801" s="2" t="s">
        <v>1426</v>
      </c>
      <c r="J801" s="2" t="s">
        <v>19</v>
      </c>
      <c r="K801" s="2" t="s">
        <v>648</v>
      </c>
      <c r="L801" s="7" t="str">
        <f>HYPERLINK("http://slimages.macys.com/is/image/MCY/11678994 ")</f>
        <v xml:space="preserve">http://slimages.macys.com/is/image/MCY/11678994 </v>
      </c>
    </row>
    <row r="802" spans="1:12" ht="24.75" x14ac:dyDescent="0.25">
      <c r="A802" s="4" t="s">
        <v>1990</v>
      </c>
      <c r="B802" s="2" t="s">
        <v>1988</v>
      </c>
      <c r="C802" s="3">
        <v>1</v>
      </c>
      <c r="D802" s="5">
        <v>14.99</v>
      </c>
      <c r="E802" s="3" t="s">
        <v>1991</v>
      </c>
      <c r="F802" s="2" t="s">
        <v>33</v>
      </c>
      <c r="G802" s="6" t="s">
        <v>154</v>
      </c>
      <c r="H802" s="2" t="s">
        <v>1473</v>
      </c>
      <c r="I802" s="2" t="s">
        <v>1426</v>
      </c>
      <c r="J802" s="2" t="s">
        <v>19</v>
      </c>
      <c r="K802" s="2" t="s">
        <v>648</v>
      </c>
      <c r="L802" s="7" t="str">
        <f>HYPERLINK("http://slimages.macys.com/is/image/MCY/12767912 ")</f>
        <v xml:space="preserve">http://slimages.macys.com/is/image/MCY/12767912 </v>
      </c>
    </row>
    <row r="803" spans="1:12" ht="24.75" x14ac:dyDescent="0.25">
      <c r="A803" s="4" t="s">
        <v>3214</v>
      </c>
      <c r="B803" s="2" t="s">
        <v>1988</v>
      </c>
      <c r="C803" s="3">
        <v>1</v>
      </c>
      <c r="D803" s="5">
        <v>14.99</v>
      </c>
      <c r="E803" s="3" t="s">
        <v>1991</v>
      </c>
      <c r="F803" s="2" t="s">
        <v>1322</v>
      </c>
      <c r="G803" s="6" t="s">
        <v>154</v>
      </c>
      <c r="H803" s="2" t="s">
        <v>1473</v>
      </c>
      <c r="I803" s="2" t="s">
        <v>1426</v>
      </c>
      <c r="J803" s="2" t="s">
        <v>19</v>
      </c>
      <c r="K803" s="2" t="s">
        <v>648</v>
      </c>
      <c r="L803" s="7" t="str">
        <f>HYPERLINK("http://slimages.macys.com/is/image/MCY/12767912 ")</f>
        <v xml:space="preserve">http://slimages.macys.com/is/image/MCY/12767912 </v>
      </c>
    </row>
    <row r="804" spans="1:12" ht="24.75" x14ac:dyDescent="0.25">
      <c r="A804" s="4" t="s">
        <v>5217</v>
      </c>
      <c r="B804" s="2" t="s">
        <v>1988</v>
      </c>
      <c r="C804" s="3">
        <v>1</v>
      </c>
      <c r="D804" s="5">
        <v>14.99</v>
      </c>
      <c r="E804" s="3" t="s">
        <v>1989</v>
      </c>
      <c r="F804" s="2" t="s">
        <v>413</v>
      </c>
      <c r="G804" s="6"/>
      <c r="H804" s="2" t="s">
        <v>1425</v>
      </c>
      <c r="I804" s="2" t="s">
        <v>1426</v>
      </c>
      <c r="J804" s="2" t="s">
        <v>19</v>
      </c>
      <c r="K804" s="2" t="s">
        <v>648</v>
      </c>
      <c r="L804" s="7" t="str">
        <f>HYPERLINK("http://slimages.macys.com/is/image/MCY/11678994 ")</f>
        <v xml:space="preserve">http://slimages.macys.com/is/image/MCY/11678994 </v>
      </c>
    </row>
    <row r="805" spans="1:12" ht="24.75" x14ac:dyDescent="0.25">
      <c r="A805" s="4" t="s">
        <v>5218</v>
      </c>
      <c r="B805" s="2" t="s">
        <v>2000</v>
      </c>
      <c r="C805" s="3">
        <v>1</v>
      </c>
      <c r="D805" s="5">
        <v>21.99</v>
      </c>
      <c r="E805" s="3">
        <v>100015505</v>
      </c>
      <c r="F805" s="2" t="s">
        <v>956</v>
      </c>
      <c r="G805" s="6" t="s">
        <v>154</v>
      </c>
      <c r="H805" s="2" t="s">
        <v>284</v>
      </c>
      <c r="I805" s="2" t="s">
        <v>285</v>
      </c>
      <c r="J805" s="2" t="s">
        <v>19</v>
      </c>
      <c r="K805" s="2" t="s">
        <v>247</v>
      </c>
      <c r="L805" s="7" t="str">
        <f>HYPERLINK("http://slimages.macys.com/is/image/MCY/16500547 ")</f>
        <v xml:space="preserve">http://slimages.macys.com/is/image/MCY/16500547 </v>
      </c>
    </row>
    <row r="806" spans="1:12" ht="24.75" x14ac:dyDescent="0.25">
      <c r="A806" s="4" t="s">
        <v>5219</v>
      </c>
      <c r="B806" s="2" t="s">
        <v>3216</v>
      </c>
      <c r="C806" s="3">
        <v>1</v>
      </c>
      <c r="D806" s="5">
        <v>21.99</v>
      </c>
      <c r="E806" s="3" t="s">
        <v>4243</v>
      </c>
      <c r="F806" s="2" t="s">
        <v>464</v>
      </c>
      <c r="G806" s="6" t="s">
        <v>200</v>
      </c>
      <c r="H806" s="2" t="s">
        <v>284</v>
      </c>
      <c r="I806" s="2" t="s">
        <v>285</v>
      </c>
      <c r="J806" s="2"/>
      <c r="K806" s="2"/>
      <c r="L806" s="7" t="str">
        <f>HYPERLINK("http://slimages.macys.com/is/image/MCY/9462994 ")</f>
        <v xml:space="preserve">http://slimages.macys.com/is/image/MCY/9462994 </v>
      </c>
    </row>
    <row r="807" spans="1:12" ht="24.75" x14ac:dyDescent="0.25">
      <c r="A807" s="4" t="s">
        <v>5220</v>
      </c>
      <c r="B807" s="2" t="s">
        <v>4245</v>
      </c>
      <c r="C807" s="3">
        <v>2</v>
      </c>
      <c r="D807" s="5">
        <v>12.99</v>
      </c>
      <c r="E807" s="3" t="s">
        <v>4248</v>
      </c>
      <c r="F807" s="2" t="s">
        <v>1322</v>
      </c>
      <c r="G807" s="6" t="s">
        <v>234</v>
      </c>
      <c r="H807" s="2" t="s">
        <v>194</v>
      </c>
      <c r="I807" s="2" t="s">
        <v>195</v>
      </c>
      <c r="J807" s="2" t="s">
        <v>19</v>
      </c>
      <c r="K807" s="2" t="s">
        <v>648</v>
      </c>
      <c r="L807" s="7" t="str">
        <f>HYPERLINK("http://slimages.macys.com/is/image/MCY/11279167 ")</f>
        <v xml:space="preserve">http://slimages.macys.com/is/image/MCY/11279167 </v>
      </c>
    </row>
    <row r="808" spans="1:12" ht="24.75" x14ac:dyDescent="0.25">
      <c r="A808" s="4" t="s">
        <v>5221</v>
      </c>
      <c r="B808" s="2" t="s">
        <v>4245</v>
      </c>
      <c r="C808" s="3">
        <v>1</v>
      </c>
      <c r="D808" s="5">
        <v>12.99</v>
      </c>
      <c r="E808" s="3" t="s">
        <v>5222</v>
      </c>
      <c r="F808" s="2" t="s">
        <v>413</v>
      </c>
      <c r="G808" s="6" t="s">
        <v>156</v>
      </c>
      <c r="H808" s="2" t="s">
        <v>194</v>
      </c>
      <c r="I808" s="2" t="s">
        <v>195</v>
      </c>
      <c r="J808" s="2" t="s">
        <v>19</v>
      </c>
      <c r="K808" s="2" t="s">
        <v>648</v>
      </c>
      <c r="L808" s="7" t="str">
        <f>HYPERLINK("http://slimages.macys.com/is/image/MCY/11279167 ")</f>
        <v xml:space="preserve">http://slimages.macys.com/is/image/MCY/11279167 </v>
      </c>
    </row>
    <row r="809" spans="1:12" ht="24.75" x14ac:dyDescent="0.25">
      <c r="A809" s="4" t="s">
        <v>5223</v>
      </c>
      <c r="B809" s="2" t="s">
        <v>2002</v>
      </c>
      <c r="C809" s="3">
        <v>1</v>
      </c>
      <c r="D809" s="5">
        <v>12.99</v>
      </c>
      <c r="E809" s="3" t="s">
        <v>4250</v>
      </c>
      <c r="F809" s="2" t="s">
        <v>579</v>
      </c>
      <c r="G809" s="6" t="s">
        <v>181</v>
      </c>
      <c r="H809" s="2" t="s">
        <v>194</v>
      </c>
      <c r="I809" s="2" t="s">
        <v>195</v>
      </c>
      <c r="J809" s="2" t="s">
        <v>19</v>
      </c>
      <c r="K809" s="2" t="s">
        <v>990</v>
      </c>
      <c r="L809" s="7" t="str">
        <f>HYPERLINK("http://slimages.macys.com/is/image/MCY/11764453 ")</f>
        <v xml:space="preserve">http://slimages.macys.com/is/image/MCY/11764453 </v>
      </c>
    </row>
    <row r="810" spans="1:12" ht="24.75" x14ac:dyDescent="0.25">
      <c r="A810" s="4" t="s">
        <v>2001</v>
      </c>
      <c r="B810" s="2" t="s">
        <v>2002</v>
      </c>
      <c r="C810" s="3">
        <v>1</v>
      </c>
      <c r="D810" s="5">
        <v>12.99</v>
      </c>
      <c r="E810" s="3" t="s">
        <v>2003</v>
      </c>
      <c r="F810" s="2" t="s">
        <v>33</v>
      </c>
      <c r="G810" s="6" t="s">
        <v>156</v>
      </c>
      <c r="H810" s="2" t="s">
        <v>194</v>
      </c>
      <c r="I810" s="2" t="s">
        <v>195</v>
      </c>
      <c r="J810" s="2" t="s">
        <v>19</v>
      </c>
      <c r="K810" s="2" t="s">
        <v>107</v>
      </c>
      <c r="L810" s="7" t="str">
        <f>HYPERLINK("http://slimages.macys.com/is/image/MCY/12063874 ")</f>
        <v xml:space="preserve">http://slimages.macys.com/is/image/MCY/12063874 </v>
      </c>
    </row>
    <row r="811" spans="1:12" ht="24.75" x14ac:dyDescent="0.25">
      <c r="A811" s="4" t="s">
        <v>5224</v>
      </c>
      <c r="B811" s="2" t="s">
        <v>5225</v>
      </c>
      <c r="C811" s="3">
        <v>1</v>
      </c>
      <c r="D811" s="5">
        <v>12.99</v>
      </c>
      <c r="E811" s="3" t="s">
        <v>5226</v>
      </c>
      <c r="F811" s="2" t="s">
        <v>48</v>
      </c>
      <c r="G811" s="6" t="s">
        <v>245</v>
      </c>
      <c r="H811" s="2" t="s">
        <v>194</v>
      </c>
      <c r="I811" s="2" t="s">
        <v>195</v>
      </c>
      <c r="J811" s="2" t="s">
        <v>19</v>
      </c>
      <c r="K811" s="2" t="s">
        <v>495</v>
      </c>
      <c r="L811" s="7" t="str">
        <f>HYPERLINK("http://slimages.macys.com/is/image/MCY/8523520 ")</f>
        <v xml:space="preserve">http://slimages.macys.com/is/image/MCY/8523520 </v>
      </c>
    </row>
    <row r="812" spans="1:12" ht="24.75" x14ac:dyDescent="0.25">
      <c r="A812" s="4" t="s">
        <v>5227</v>
      </c>
      <c r="B812" s="2" t="s">
        <v>2002</v>
      </c>
      <c r="C812" s="3">
        <v>1</v>
      </c>
      <c r="D812" s="5">
        <v>12.99</v>
      </c>
      <c r="E812" s="3" t="s">
        <v>2003</v>
      </c>
      <c r="F812" s="2" t="s">
        <v>33</v>
      </c>
      <c r="G812" s="6" t="s">
        <v>154</v>
      </c>
      <c r="H812" s="2" t="s">
        <v>194</v>
      </c>
      <c r="I812" s="2" t="s">
        <v>195</v>
      </c>
      <c r="J812" s="2" t="s">
        <v>19</v>
      </c>
      <c r="K812" s="2" t="s">
        <v>107</v>
      </c>
      <c r="L812" s="7" t="str">
        <f>HYPERLINK("http://slimages.macys.com/is/image/MCY/12063874 ")</f>
        <v xml:space="preserve">http://slimages.macys.com/is/image/MCY/12063874 </v>
      </c>
    </row>
    <row r="813" spans="1:12" ht="24.75" x14ac:dyDescent="0.25">
      <c r="A813" s="4" t="s">
        <v>4249</v>
      </c>
      <c r="B813" s="2" t="s">
        <v>2002</v>
      </c>
      <c r="C813" s="3">
        <v>1</v>
      </c>
      <c r="D813" s="5">
        <v>12.99</v>
      </c>
      <c r="E813" s="3" t="s">
        <v>4250</v>
      </c>
      <c r="F813" s="2" t="s">
        <v>579</v>
      </c>
      <c r="G813" s="6" t="s">
        <v>234</v>
      </c>
      <c r="H813" s="2" t="s">
        <v>194</v>
      </c>
      <c r="I813" s="2" t="s">
        <v>195</v>
      </c>
      <c r="J813" s="2" t="s">
        <v>19</v>
      </c>
      <c r="K813" s="2" t="s">
        <v>990</v>
      </c>
      <c r="L813" s="7" t="str">
        <f>HYPERLINK("http://slimages.macys.com/is/image/MCY/11764453 ")</f>
        <v xml:space="preserve">http://slimages.macys.com/is/image/MCY/11764453 </v>
      </c>
    </row>
    <row r="814" spans="1:12" ht="24.75" x14ac:dyDescent="0.25">
      <c r="A814" s="4" t="s">
        <v>3222</v>
      </c>
      <c r="B814" s="2" t="s">
        <v>2005</v>
      </c>
      <c r="C814" s="3">
        <v>1</v>
      </c>
      <c r="D814" s="5">
        <v>14.99</v>
      </c>
      <c r="E814" s="3" t="s">
        <v>2006</v>
      </c>
      <c r="F814" s="2" t="s">
        <v>15</v>
      </c>
      <c r="G814" s="6" t="s">
        <v>154</v>
      </c>
      <c r="H814" s="2" t="s">
        <v>1522</v>
      </c>
      <c r="I814" s="2" t="s">
        <v>1469</v>
      </c>
      <c r="J814" s="2" t="s">
        <v>19</v>
      </c>
      <c r="K814" s="2" t="s">
        <v>353</v>
      </c>
      <c r="L814" s="7" t="str">
        <f t="shared" ref="L814:L822" si="7">HYPERLINK("http://slimages.macys.com/is/image/MCY/10743611 ")</f>
        <v xml:space="preserve">http://slimages.macys.com/is/image/MCY/10743611 </v>
      </c>
    </row>
    <row r="815" spans="1:12" ht="24.75" x14ac:dyDescent="0.25">
      <c r="A815" s="4" t="s">
        <v>5228</v>
      </c>
      <c r="B815" s="2" t="s">
        <v>2005</v>
      </c>
      <c r="C815" s="3">
        <v>1</v>
      </c>
      <c r="D815" s="5">
        <v>14.99</v>
      </c>
      <c r="E815" s="3" t="s">
        <v>2006</v>
      </c>
      <c r="F815" s="2" t="s">
        <v>74</v>
      </c>
      <c r="G815" s="6" t="s">
        <v>154</v>
      </c>
      <c r="H815" s="2" t="s">
        <v>1522</v>
      </c>
      <c r="I815" s="2" t="s">
        <v>1469</v>
      </c>
      <c r="J815" s="2" t="s">
        <v>19</v>
      </c>
      <c r="K815" s="2" t="s">
        <v>353</v>
      </c>
      <c r="L815" s="7" t="str">
        <f t="shared" si="7"/>
        <v xml:space="preserve">http://slimages.macys.com/is/image/MCY/10743611 </v>
      </c>
    </row>
    <row r="816" spans="1:12" ht="24.75" x14ac:dyDescent="0.25">
      <c r="A816" s="4" t="s">
        <v>5229</v>
      </c>
      <c r="B816" s="2" t="s">
        <v>2005</v>
      </c>
      <c r="C816" s="3">
        <v>1</v>
      </c>
      <c r="D816" s="5">
        <v>14.99</v>
      </c>
      <c r="E816" s="3" t="s">
        <v>2006</v>
      </c>
      <c r="F816" s="2" t="s">
        <v>74</v>
      </c>
      <c r="G816" s="6" t="s">
        <v>200</v>
      </c>
      <c r="H816" s="2" t="s">
        <v>1522</v>
      </c>
      <c r="I816" s="2" t="s">
        <v>1469</v>
      </c>
      <c r="J816" s="2" t="s">
        <v>19</v>
      </c>
      <c r="K816" s="2" t="s">
        <v>353</v>
      </c>
      <c r="L816" s="7" t="str">
        <f t="shared" si="7"/>
        <v xml:space="preserve">http://slimages.macys.com/is/image/MCY/10743611 </v>
      </c>
    </row>
    <row r="817" spans="1:12" ht="24.75" x14ac:dyDescent="0.25">
      <c r="A817" s="4" t="s">
        <v>5230</v>
      </c>
      <c r="B817" s="2" t="s">
        <v>2005</v>
      </c>
      <c r="C817" s="3">
        <v>1</v>
      </c>
      <c r="D817" s="5">
        <v>14.99</v>
      </c>
      <c r="E817" s="3" t="s">
        <v>2006</v>
      </c>
      <c r="F817" s="2" t="s">
        <v>26</v>
      </c>
      <c r="G817" s="6" t="s">
        <v>200</v>
      </c>
      <c r="H817" s="2" t="s">
        <v>1522</v>
      </c>
      <c r="I817" s="2" t="s">
        <v>1469</v>
      </c>
      <c r="J817" s="2" t="s">
        <v>19</v>
      </c>
      <c r="K817" s="2" t="s">
        <v>353</v>
      </c>
      <c r="L817" s="7" t="str">
        <f t="shared" si="7"/>
        <v xml:space="preserve">http://slimages.macys.com/is/image/MCY/10743611 </v>
      </c>
    </row>
    <row r="818" spans="1:12" ht="24.75" x14ac:dyDescent="0.25">
      <c r="A818" s="4" t="s">
        <v>3223</v>
      </c>
      <c r="B818" s="2" t="s">
        <v>2005</v>
      </c>
      <c r="C818" s="3">
        <v>1</v>
      </c>
      <c r="D818" s="5">
        <v>14.99</v>
      </c>
      <c r="E818" s="3" t="s">
        <v>2006</v>
      </c>
      <c r="F818" s="2" t="s">
        <v>74</v>
      </c>
      <c r="G818" s="6" t="s">
        <v>234</v>
      </c>
      <c r="H818" s="2" t="s">
        <v>1522</v>
      </c>
      <c r="I818" s="2" t="s">
        <v>1469</v>
      </c>
      <c r="J818" s="2" t="s">
        <v>19</v>
      </c>
      <c r="K818" s="2" t="s">
        <v>353</v>
      </c>
      <c r="L818" s="7" t="str">
        <f t="shared" si="7"/>
        <v xml:space="preserve">http://slimages.macys.com/is/image/MCY/10743611 </v>
      </c>
    </row>
    <row r="819" spans="1:12" ht="24.75" x14ac:dyDescent="0.25">
      <c r="A819" s="4" t="s">
        <v>5231</v>
      </c>
      <c r="B819" s="2" t="s">
        <v>2005</v>
      </c>
      <c r="C819" s="3">
        <v>1</v>
      </c>
      <c r="D819" s="5">
        <v>14.99</v>
      </c>
      <c r="E819" s="3" t="s">
        <v>2006</v>
      </c>
      <c r="F819" s="2" t="s">
        <v>26</v>
      </c>
      <c r="G819" s="6" t="s">
        <v>245</v>
      </c>
      <c r="H819" s="2" t="s">
        <v>1522</v>
      </c>
      <c r="I819" s="2" t="s">
        <v>1469</v>
      </c>
      <c r="J819" s="2" t="s">
        <v>19</v>
      </c>
      <c r="K819" s="2" t="s">
        <v>353</v>
      </c>
      <c r="L819" s="7" t="str">
        <f t="shared" si="7"/>
        <v xml:space="preserve">http://slimages.macys.com/is/image/MCY/10743611 </v>
      </c>
    </row>
    <row r="820" spans="1:12" ht="24.75" x14ac:dyDescent="0.25">
      <c r="A820" s="4" t="s">
        <v>3224</v>
      </c>
      <c r="B820" s="2" t="s">
        <v>2005</v>
      </c>
      <c r="C820" s="3">
        <v>2</v>
      </c>
      <c r="D820" s="5">
        <v>14.99</v>
      </c>
      <c r="E820" s="3" t="s">
        <v>2006</v>
      </c>
      <c r="F820" s="2" t="s">
        <v>64</v>
      </c>
      <c r="G820" s="6" t="s">
        <v>154</v>
      </c>
      <c r="H820" s="2" t="s">
        <v>1522</v>
      </c>
      <c r="I820" s="2" t="s">
        <v>1469</v>
      </c>
      <c r="J820" s="2" t="s">
        <v>19</v>
      </c>
      <c r="K820" s="2" t="s">
        <v>353</v>
      </c>
      <c r="L820" s="7" t="str">
        <f t="shared" si="7"/>
        <v xml:space="preserve">http://slimages.macys.com/is/image/MCY/10743611 </v>
      </c>
    </row>
    <row r="821" spans="1:12" ht="24.75" x14ac:dyDescent="0.25">
      <c r="A821" s="4" t="s">
        <v>5232</v>
      </c>
      <c r="B821" s="2" t="s">
        <v>2005</v>
      </c>
      <c r="C821" s="3">
        <v>4</v>
      </c>
      <c r="D821" s="5">
        <v>14.99</v>
      </c>
      <c r="E821" s="3" t="s">
        <v>2006</v>
      </c>
      <c r="F821" s="2" t="s">
        <v>38</v>
      </c>
      <c r="G821" s="6" t="s">
        <v>154</v>
      </c>
      <c r="H821" s="2" t="s">
        <v>1522</v>
      </c>
      <c r="I821" s="2" t="s">
        <v>1469</v>
      </c>
      <c r="J821" s="2" t="s">
        <v>19</v>
      </c>
      <c r="K821" s="2" t="s">
        <v>353</v>
      </c>
      <c r="L821" s="7" t="str">
        <f t="shared" si="7"/>
        <v xml:space="preserve">http://slimages.macys.com/is/image/MCY/10743611 </v>
      </c>
    </row>
    <row r="822" spans="1:12" ht="24.75" x14ac:dyDescent="0.25">
      <c r="A822" s="4" t="s">
        <v>4256</v>
      </c>
      <c r="B822" s="2" t="s">
        <v>2005</v>
      </c>
      <c r="C822" s="3">
        <v>1</v>
      </c>
      <c r="D822" s="5">
        <v>14.99</v>
      </c>
      <c r="E822" s="3" t="s">
        <v>2006</v>
      </c>
      <c r="F822" s="2" t="s">
        <v>64</v>
      </c>
      <c r="G822" s="6" t="s">
        <v>181</v>
      </c>
      <c r="H822" s="2" t="s">
        <v>1522</v>
      </c>
      <c r="I822" s="2" t="s">
        <v>1469</v>
      </c>
      <c r="J822" s="2" t="s">
        <v>19</v>
      </c>
      <c r="K822" s="2" t="s">
        <v>353</v>
      </c>
      <c r="L822" s="7" t="str">
        <f t="shared" si="7"/>
        <v xml:space="preserve">http://slimages.macys.com/is/image/MCY/10743611 </v>
      </c>
    </row>
    <row r="823" spans="1:12" ht="24.75" x14ac:dyDescent="0.25">
      <c r="A823" s="4" t="s">
        <v>5233</v>
      </c>
      <c r="B823" s="2" t="s">
        <v>3216</v>
      </c>
      <c r="C823" s="3">
        <v>1</v>
      </c>
      <c r="D823" s="5">
        <v>21.99</v>
      </c>
      <c r="E823" s="3" t="s">
        <v>5234</v>
      </c>
      <c r="F823" s="2" t="s">
        <v>64</v>
      </c>
      <c r="G823" s="6"/>
      <c r="H823" s="2" t="s">
        <v>632</v>
      </c>
      <c r="I823" s="2" t="s">
        <v>285</v>
      </c>
      <c r="J823" s="2" t="s">
        <v>19</v>
      </c>
      <c r="K823" s="2" t="s">
        <v>5235</v>
      </c>
      <c r="L823" s="7" t="str">
        <f>HYPERLINK("http://slimages.macys.com/is/image/MCY/9636596 ")</f>
        <v xml:space="preserve">http://slimages.macys.com/is/image/MCY/9636596 </v>
      </c>
    </row>
    <row r="824" spans="1:12" ht="24.75" x14ac:dyDescent="0.25">
      <c r="A824" s="4" t="s">
        <v>4262</v>
      </c>
      <c r="B824" s="2" t="s">
        <v>3226</v>
      </c>
      <c r="C824" s="3">
        <v>1</v>
      </c>
      <c r="D824" s="5">
        <v>12.99</v>
      </c>
      <c r="E824" s="3" t="s">
        <v>3227</v>
      </c>
      <c r="F824" s="2" t="s">
        <v>33</v>
      </c>
      <c r="G824" s="6"/>
      <c r="H824" s="2" t="s">
        <v>312</v>
      </c>
      <c r="I824" s="2" t="s">
        <v>195</v>
      </c>
      <c r="J824" s="2" t="s">
        <v>19</v>
      </c>
      <c r="K824" s="2" t="s">
        <v>648</v>
      </c>
      <c r="L824" s="7" t="str">
        <f>HYPERLINK("http://slimages.macys.com/is/image/MCY/12063878 ")</f>
        <v xml:space="preserve">http://slimages.macys.com/is/image/MCY/12063878 </v>
      </c>
    </row>
    <row r="825" spans="1:12" ht="24.75" x14ac:dyDescent="0.25">
      <c r="A825" s="4" t="s">
        <v>4266</v>
      </c>
      <c r="B825" s="2" t="s">
        <v>3226</v>
      </c>
      <c r="C825" s="3">
        <v>1</v>
      </c>
      <c r="D825" s="5">
        <v>12.99</v>
      </c>
      <c r="E825" s="3" t="s">
        <v>4259</v>
      </c>
      <c r="F825" s="2" t="s">
        <v>752</v>
      </c>
      <c r="G825" s="6"/>
      <c r="H825" s="2" t="s">
        <v>312</v>
      </c>
      <c r="I825" s="2" t="s">
        <v>195</v>
      </c>
      <c r="J825" s="2" t="s">
        <v>19</v>
      </c>
      <c r="K825" s="2" t="s">
        <v>648</v>
      </c>
      <c r="L825" s="7" t="str">
        <f>HYPERLINK("http://slimages.macys.com/is/image/MCY/11764447 ")</f>
        <v xml:space="preserve">http://slimages.macys.com/is/image/MCY/11764447 </v>
      </c>
    </row>
    <row r="826" spans="1:12" ht="24.75" x14ac:dyDescent="0.25">
      <c r="A826" s="4" t="s">
        <v>4257</v>
      </c>
      <c r="B826" s="2" t="s">
        <v>3226</v>
      </c>
      <c r="C826" s="3">
        <v>1</v>
      </c>
      <c r="D826" s="5">
        <v>12.99</v>
      </c>
      <c r="E826" s="3" t="s">
        <v>3227</v>
      </c>
      <c r="F826" s="2" t="s">
        <v>33</v>
      </c>
      <c r="G826" s="6"/>
      <c r="H826" s="2" t="s">
        <v>312</v>
      </c>
      <c r="I826" s="2" t="s">
        <v>195</v>
      </c>
      <c r="J826" s="2" t="s">
        <v>19</v>
      </c>
      <c r="K826" s="2" t="s">
        <v>648</v>
      </c>
      <c r="L826" s="7" t="str">
        <f>HYPERLINK("http://slimages.macys.com/is/image/MCY/12063878 ")</f>
        <v xml:space="preserve">http://slimages.macys.com/is/image/MCY/12063878 </v>
      </c>
    </row>
    <row r="827" spans="1:12" ht="24.75" x14ac:dyDescent="0.25">
      <c r="A827" s="4" t="s">
        <v>5236</v>
      </c>
      <c r="B827" s="2" t="s">
        <v>5237</v>
      </c>
      <c r="C827" s="3">
        <v>1</v>
      </c>
      <c r="D827" s="5">
        <v>12.99</v>
      </c>
      <c r="E827" s="3">
        <v>100007532</v>
      </c>
      <c r="F827" s="2" t="s">
        <v>85</v>
      </c>
      <c r="G827" s="6" t="s">
        <v>234</v>
      </c>
      <c r="H827" s="2" t="s">
        <v>194</v>
      </c>
      <c r="I827" s="2" t="s">
        <v>195</v>
      </c>
      <c r="J827" s="2" t="s">
        <v>19</v>
      </c>
      <c r="K827" s="2" t="s">
        <v>648</v>
      </c>
      <c r="L827" s="7" t="str">
        <f>HYPERLINK("http://slimages.macys.com/is/image/MCY/14887463 ")</f>
        <v xml:space="preserve">http://slimages.macys.com/is/image/MCY/14887463 </v>
      </c>
    </row>
    <row r="828" spans="1:12" ht="24.75" x14ac:dyDescent="0.25">
      <c r="A828" s="4" t="s">
        <v>5238</v>
      </c>
      <c r="B828" s="2" t="s">
        <v>2016</v>
      </c>
      <c r="C828" s="3">
        <v>1</v>
      </c>
      <c r="D828" s="5">
        <v>12.99</v>
      </c>
      <c r="E828" s="3" t="s">
        <v>2017</v>
      </c>
      <c r="F828" s="2" t="s">
        <v>125</v>
      </c>
      <c r="G828" s="6" t="s">
        <v>234</v>
      </c>
      <c r="H828" s="2" t="s">
        <v>194</v>
      </c>
      <c r="I828" s="2" t="s">
        <v>195</v>
      </c>
      <c r="J828" s="2" t="s">
        <v>19</v>
      </c>
      <c r="K828" s="2" t="s">
        <v>648</v>
      </c>
      <c r="L828" s="7" t="str">
        <f>HYPERLINK("http://slimages.macys.com/is/image/MCY/14887463 ")</f>
        <v xml:space="preserve">http://slimages.macys.com/is/image/MCY/14887463 </v>
      </c>
    </row>
    <row r="829" spans="1:12" ht="24.75" x14ac:dyDescent="0.25">
      <c r="A829" s="4" t="s">
        <v>4275</v>
      </c>
      <c r="B829" s="2" t="s">
        <v>2021</v>
      </c>
      <c r="C829" s="3">
        <v>1</v>
      </c>
      <c r="D829" s="5">
        <v>18.38</v>
      </c>
      <c r="E829" s="3">
        <v>100018061</v>
      </c>
      <c r="F829" s="2" t="s">
        <v>15</v>
      </c>
      <c r="G829" s="6" t="s">
        <v>154</v>
      </c>
      <c r="H829" s="2" t="s">
        <v>194</v>
      </c>
      <c r="I829" s="2" t="s">
        <v>195</v>
      </c>
      <c r="J829" s="2" t="s">
        <v>19</v>
      </c>
      <c r="K829" s="2" t="s">
        <v>495</v>
      </c>
      <c r="L829" s="7" t="str">
        <f t="shared" ref="L829:L836" si="8">HYPERLINK("http://slimages.macys.com/is/image/MCY/12950402 ")</f>
        <v xml:space="preserve">http://slimages.macys.com/is/image/MCY/12950402 </v>
      </c>
    </row>
    <row r="830" spans="1:12" ht="24.75" x14ac:dyDescent="0.25">
      <c r="A830" s="4" t="s">
        <v>5239</v>
      </c>
      <c r="B830" s="2" t="s">
        <v>2021</v>
      </c>
      <c r="C830" s="3">
        <v>1</v>
      </c>
      <c r="D830" s="5">
        <v>18.38</v>
      </c>
      <c r="E830" s="3">
        <v>100018061</v>
      </c>
      <c r="F830" s="2" t="s">
        <v>48</v>
      </c>
      <c r="G830" s="6" t="s">
        <v>181</v>
      </c>
      <c r="H830" s="2" t="s">
        <v>194</v>
      </c>
      <c r="I830" s="2" t="s">
        <v>195</v>
      </c>
      <c r="J830" s="2" t="s">
        <v>19</v>
      </c>
      <c r="K830" s="2" t="s">
        <v>495</v>
      </c>
      <c r="L830" s="7" t="str">
        <f t="shared" si="8"/>
        <v xml:space="preserve">http://slimages.macys.com/is/image/MCY/12950402 </v>
      </c>
    </row>
    <row r="831" spans="1:12" ht="24.75" x14ac:dyDescent="0.25">
      <c r="A831" s="4" t="s">
        <v>2023</v>
      </c>
      <c r="B831" s="2" t="s">
        <v>2021</v>
      </c>
      <c r="C831" s="3">
        <v>1</v>
      </c>
      <c r="D831" s="5">
        <v>18.38</v>
      </c>
      <c r="E831" s="3">
        <v>100018061</v>
      </c>
      <c r="F831" s="2" t="s">
        <v>15</v>
      </c>
      <c r="G831" s="6" t="s">
        <v>156</v>
      </c>
      <c r="H831" s="2" t="s">
        <v>194</v>
      </c>
      <c r="I831" s="2" t="s">
        <v>195</v>
      </c>
      <c r="J831" s="2" t="s">
        <v>19</v>
      </c>
      <c r="K831" s="2" t="s">
        <v>495</v>
      </c>
      <c r="L831" s="7" t="str">
        <f t="shared" si="8"/>
        <v xml:space="preserve">http://slimages.macys.com/is/image/MCY/12950402 </v>
      </c>
    </row>
    <row r="832" spans="1:12" ht="24.75" x14ac:dyDescent="0.25">
      <c r="A832" s="4" t="s">
        <v>5240</v>
      </c>
      <c r="B832" s="2" t="s">
        <v>2021</v>
      </c>
      <c r="C832" s="3">
        <v>1</v>
      </c>
      <c r="D832" s="5">
        <v>18.38</v>
      </c>
      <c r="E832" s="3">
        <v>100018061</v>
      </c>
      <c r="F832" s="2" t="s">
        <v>64</v>
      </c>
      <c r="G832" s="6" t="s">
        <v>245</v>
      </c>
      <c r="H832" s="2" t="s">
        <v>194</v>
      </c>
      <c r="I832" s="2" t="s">
        <v>195</v>
      </c>
      <c r="J832" s="2" t="s">
        <v>19</v>
      </c>
      <c r="K832" s="2" t="s">
        <v>495</v>
      </c>
      <c r="L832" s="7" t="str">
        <f t="shared" si="8"/>
        <v xml:space="preserve">http://slimages.macys.com/is/image/MCY/12950402 </v>
      </c>
    </row>
    <row r="833" spans="1:12" ht="24.75" x14ac:dyDescent="0.25">
      <c r="A833" s="4" t="s">
        <v>5241</v>
      </c>
      <c r="B833" s="2" t="s">
        <v>2021</v>
      </c>
      <c r="C833" s="3">
        <v>2</v>
      </c>
      <c r="D833" s="5">
        <v>18.38</v>
      </c>
      <c r="E833" s="3">
        <v>100018061</v>
      </c>
      <c r="F833" s="2" t="s">
        <v>48</v>
      </c>
      <c r="G833" s="6" t="s">
        <v>154</v>
      </c>
      <c r="H833" s="2" t="s">
        <v>194</v>
      </c>
      <c r="I833" s="2" t="s">
        <v>195</v>
      </c>
      <c r="J833" s="2" t="s">
        <v>19</v>
      </c>
      <c r="K833" s="2" t="s">
        <v>495</v>
      </c>
      <c r="L833" s="7" t="str">
        <f t="shared" si="8"/>
        <v xml:space="preserve">http://slimages.macys.com/is/image/MCY/12950402 </v>
      </c>
    </row>
    <row r="834" spans="1:12" ht="24.75" x14ac:dyDescent="0.25">
      <c r="A834" s="4" t="s">
        <v>3235</v>
      </c>
      <c r="B834" s="2" t="s">
        <v>2021</v>
      </c>
      <c r="C834" s="3">
        <v>1</v>
      </c>
      <c r="D834" s="5">
        <v>18.38</v>
      </c>
      <c r="E834" s="3">
        <v>100018061</v>
      </c>
      <c r="F834" s="2" t="s">
        <v>64</v>
      </c>
      <c r="G834" s="6" t="s">
        <v>181</v>
      </c>
      <c r="H834" s="2" t="s">
        <v>194</v>
      </c>
      <c r="I834" s="2" t="s">
        <v>195</v>
      </c>
      <c r="J834" s="2" t="s">
        <v>19</v>
      </c>
      <c r="K834" s="2" t="s">
        <v>495</v>
      </c>
      <c r="L834" s="7" t="str">
        <f t="shared" si="8"/>
        <v xml:space="preserve">http://slimages.macys.com/is/image/MCY/12950402 </v>
      </c>
    </row>
    <row r="835" spans="1:12" ht="24.75" x14ac:dyDescent="0.25">
      <c r="A835" s="4" t="s">
        <v>5242</v>
      </c>
      <c r="B835" s="2" t="s">
        <v>2021</v>
      </c>
      <c r="C835" s="3">
        <v>1</v>
      </c>
      <c r="D835" s="5">
        <v>18.38</v>
      </c>
      <c r="E835" s="3">
        <v>100018061</v>
      </c>
      <c r="F835" s="2" t="s">
        <v>64</v>
      </c>
      <c r="G835" s="6" t="s">
        <v>154</v>
      </c>
      <c r="H835" s="2" t="s">
        <v>194</v>
      </c>
      <c r="I835" s="2" t="s">
        <v>195</v>
      </c>
      <c r="J835" s="2" t="s">
        <v>19</v>
      </c>
      <c r="K835" s="2" t="s">
        <v>495</v>
      </c>
      <c r="L835" s="7" t="str">
        <f t="shared" si="8"/>
        <v xml:space="preserve">http://slimages.macys.com/is/image/MCY/12950402 </v>
      </c>
    </row>
    <row r="836" spans="1:12" ht="24.75" x14ac:dyDescent="0.25">
      <c r="A836" s="4" t="s">
        <v>5243</v>
      </c>
      <c r="B836" s="2" t="s">
        <v>2021</v>
      </c>
      <c r="C836" s="3">
        <v>1</v>
      </c>
      <c r="D836" s="5">
        <v>18.38</v>
      </c>
      <c r="E836" s="3">
        <v>100018061</v>
      </c>
      <c r="F836" s="2" t="s">
        <v>15</v>
      </c>
      <c r="G836" s="6" t="s">
        <v>181</v>
      </c>
      <c r="H836" s="2" t="s">
        <v>194</v>
      </c>
      <c r="I836" s="2" t="s">
        <v>195</v>
      </c>
      <c r="J836" s="2" t="s">
        <v>19</v>
      </c>
      <c r="K836" s="2" t="s">
        <v>495</v>
      </c>
      <c r="L836" s="7" t="str">
        <f t="shared" si="8"/>
        <v xml:space="preserve">http://slimages.macys.com/is/image/MCY/12950402 </v>
      </c>
    </row>
    <row r="837" spans="1:12" ht="24.75" x14ac:dyDescent="0.25">
      <c r="A837" s="4" t="s">
        <v>5244</v>
      </c>
      <c r="B837" s="2" t="s">
        <v>4367</v>
      </c>
      <c r="C837" s="3">
        <v>2</v>
      </c>
      <c r="D837" s="5">
        <v>9.99</v>
      </c>
      <c r="E837" s="3" t="s">
        <v>4368</v>
      </c>
      <c r="F837" s="2" t="s">
        <v>33</v>
      </c>
      <c r="G837" s="6" t="s">
        <v>154</v>
      </c>
      <c r="H837" s="2" t="s">
        <v>194</v>
      </c>
      <c r="I837" s="2" t="s">
        <v>195</v>
      </c>
      <c r="J837" s="2" t="s">
        <v>19</v>
      </c>
      <c r="K837" s="2" t="s">
        <v>247</v>
      </c>
      <c r="L837" s="7" t="str">
        <f>HYPERLINK("http://slimages.macys.com/is/image/MCY/13368198 ")</f>
        <v xml:space="preserve">http://slimages.macys.com/is/image/MCY/13368198 </v>
      </c>
    </row>
    <row r="838" spans="1:12" ht="24.75" x14ac:dyDescent="0.25">
      <c r="A838" s="4" t="s">
        <v>5245</v>
      </c>
      <c r="B838" s="2" t="s">
        <v>4367</v>
      </c>
      <c r="C838" s="3">
        <v>1</v>
      </c>
      <c r="D838" s="5">
        <v>9.99</v>
      </c>
      <c r="E838" s="3" t="s">
        <v>4368</v>
      </c>
      <c r="F838" s="2" t="s">
        <v>33</v>
      </c>
      <c r="G838" s="6" t="s">
        <v>181</v>
      </c>
      <c r="H838" s="2" t="s">
        <v>194</v>
      </c>
      <c r="I838" s="2" t="s">
        <v>195</v>
      </c>
      <c r="J838" s="2" t="s">
        <v>19</v>
      </c>
      <c r="K838" s="2" t="s">
        <v>247</v>
      </c>
      <c r="L838" s="7" t="str">
        <f>HYPERLINK("http://slimages.macys.com/is/image/MCY/13368198 ")</f>
        <v xml:space="preserve">http://slimages.macys.com/is/image/MCY/13368198 </v>
      </c>
    </row>
    <row r="839" spans="1:12" ht="24.75" x14ac:dyDescent="0.25">
      <c r="A839" s="4" t="s">
        <v>5246</v>
      </c>
      <c r="B839" s="2" t="s">
        <v>4367</v>
      </c>
      <c r="C839" s="3">
        <v>1</v>
      </c>
      <c r="D839" s="5">
        <v>9.99</v>
      </c>
      <c r="E839" s="3" t="s">
        <v>5247</v>
      </c>
      <c r="F839" s="2" t="s">
        <v>417</v>
      </c>
      <c r="G839" s="6"/>
      <c r="H839" s="2" t="s">
        <v>312</v>
      </c>
      <c r="I839" s="2" t="s">
        <v>195</v>
      </c>
      <c r="J839" s="2" t="s">
        <v>19</v>
      </c>
      <c r="K839" s="2" t="s">
        <v>247</v>
      </c>
      <c r="L839" s="7" t="str">
        <f>HYPERLINK("http://slimages.macys.com/is/image/MCY/10889443 ")</f>
        <v xml:space="preserve">http://slimages.macys.com/is/image/MCY/10889443 </v>
      </c>
    </row>
    <row r="840" spans="1:12" ht="24.75" x14ac:dyDescent="0.25">
      <c r="A840" s="4" t="s">
        <v>5248</v>
      </c>
      <c r="B840" s="2" t="s">
        <v>4280</v>
      </c>
      <c r="C840" s="3">
        <v>1</v>
      </c>
      <c r="D840" s="5">
        <v>9.99</v>
      </c>
      <c r="E840" s="3" t="s">
        <v>4281</v>
      </c>
      <c r="F840" s="2" t="s">
        <v>70</v>
      </c>
      <c r="G840" s="6" t="s">
        <v>156</v>
      </c>
      <c r="H840" s="2" t="s">
        <v>1473</v>
      </c>
      <c r="I840" s="2" t="s">
        <v>1426</v>
      </c>
      <c r="J840" s="2" t="s">
        <v>19</v>
      </c>
      <c r="K840" s="2" t="s">
        <v>648</v>
      </c>
      <c r="L840" s="7" t="str">
        <f>HYPERLINK("http://slimages.macys.com/is/image/MCY/11456814 ")</f>
        <v xml:space="preserve">http://slimages.macys.com/is/image/MCY/11456814 </v>
      </c>
    </row>
    <row r="841" spans="1:12" ht="24.75" x14ac:dyDescent="0.25">
      <c r="A841" s="4" t="s">
        <v>4285</v>
      </c>
      <c r="B841" s="2" t="s">
        <v>3237</v>
      </c>
      <c r="C841" s="3">
        <v>2</v>
      </c>
      <c r="D841" s="5">
        <v>9.99</v>
      </c>
      <c r="E841" s="3" t="s">
        <v>3238</v>
      </c>
      <c r="F841" s="2" t="s">
        <v>413</v>
      </c>
      <c r="G841" s="6" t="s">
        <v>154</v>
      </c>
      <c r="H841" s="2" t="s">
        <v>194</v>
      </c>
      <c r="I841" s="2" t="s">
        <v>195</v>
      </c>
      <c r="J841" s="2" t="s">
        <v>19</v>
      </c>
      <c r="K841" s="2" t="s">
        <v>247</v>
      </c>
      <c r="L841" s="7" t="str">
        <f>HYPERLINK("http://slimages.macys.com/is/image/MCY/15522855 ")</f>
        <v xml:space="preserve">http://slimages.macys.com/is/image/MCY/15522855 </v>
      </c>
    </row>
    <row r="842" spans="1:12" ht="24.75" x14ac:dyDescent="0.25">
      <c r="A842" s="4" t="s">
        <v>5249</v>
      </c>
      <c r="B842" s="2" t="s">
        <v>3237</v>
      </c>
      <c r="C842" s="3">
        <v>1</v>
      </c>
      <c r="D842" s="5">
        <v>9.99</v>
      </c>
      <c r="E842" s="3" t="s">
        <v>3238</v>
      </c>
      <c r="F842" s="2" t="s">
        <v>170</v>
      </c>
      <c r="G842" s="6" t="s">
        <v>181</v>
      </c>
      <c r="H842" s="2" t="s">
        <v>194</v>
      </c>
      <c r="I842" s="2" t="s">
        <v>195</v>
      </c>
      <c r="J842" s="2" t="s">
        <v>19</v>
      </c>
      <c r="K842" s="2" t="s">
        <v>247</v>
      </c>
      <c r="L842" s="7" t="str">
        <f>HYPERLINK("http://slimages.macys.com/is/image/MCY/15522855 ")</f>
        <v xml:space="preserve">http://slimages.macys.com/is/image/MCY/15522855 </v>
      </c>
    </row>
    <row r="843" spans="1:12" ht="24.75" x14ac:dyDescent="0.25">
      <c r="A843" s="4" t="s">
        <v>5250</v>
      </c>
      <c r="B843" s="2" t="s">
        <v>3237</v>
      </c>
      <c r="C843" s="3">
        <v>1</v>
      </c>
      <c r="D843" s="5">
        <v>9.99</v>
      </c>
      <c r="E843" s="3" t="s">
        <v>3238</v>
      </c>
      <c r="F843" s="2" t="s">
        <v>64</v>
      </c>
      <c r="G843" s="6" t="s">
        <v>200</v>
      </c>
      <c r="H843" s="2" t="s">
        <v>194</v>
      </c>
      <c r="I843" s="2" t="s">
        <v>195</v>
      </c>
      <c r="J843" s="2" t="s">
        <v>19</v>
      </c>
      <c r="K843" s="2" t="s">
        <v>247</v>
      </c>
      <c r="L843" s="7" t="str">
        <f>HYPERLINK("http://slimages.macys.com/is/image/MCY/15522855 ")</f>
        <v xml:space="preserve">http://slimages.macys.com/is/image/MCY/15522855 </v>
      </c>
    </row>
    <row r="844" spans="1:12" ht="24.75" x14ac:dyDescent="0.25">
      <c r="A844" s="4" t="s">
        <v>5251</v>
      </c>
      <c r="B844" s="2" t="s">
        <v>4308</v>
      </c>
      <c r="C844" s="3">
        <v>1</v>
      </c>
      <c r="D844" s="5">
        <v>9.99</v>
      </c>
      <c r="E844" s="3" t="s">
        <v>4309</v>
      </c>
      <c r="F844" s="2" t="s">
        <v>15</v>
      </c>
      <c r="G844" s="6" t="s">
        <v>234</v>
      </c>
      <c r="H844" s="2" t="s">
        <v>1473</v>
      </c>
      <c r="I844" s="2" t="s">
        <v>1426</v>
      </c>
      <c r="J844" s="2" t="s">
        <v>19</v>
      </c>
      <c r="K844" s="2" t="s">
        <v>495</v>
      </c>
      <c r="L844" s="7" t="str">
        <f>HYPERLINK("http://slimages.macys.com/is/image/MCY/10888157 ")</f>
        <v xml:space="preserve">http://slimages.macys.com/is/image/MCY/10888157 </v>
      </c>
    </row>
    <row r="845" spans="1:12" ht="24.75" x14ac:dyDescent="0.25">
      <c r="A845" s="4" t="s">
        <v>5252</v>
      </c>
      <c r="B845" s="2" t="s">
        <v>2045</v>
      </c>
      <c r="C845" s="3">
        <v>1</v>
      </c>
      <c r="D845" s="5">
        <v>9.99</v>
      </c>
      <c r="E845" s="3" t="s">
        <v>5253</v>
      </c>
      <c r="F845" s="2" t="s">
        <v>94</v>
      </c>
      <c r="G845" s="6" t="s">
        <v>219</v>
      </c>
      <c r="H845" s="2" t="s">
        <v>1425</v>
      </c>
      <c r="I845" s="2" t="s">
        <v>1426</v>
      </c>
      <c r="J845" s="2" t="s">
        <v>19</v>
      </c>
      <c r="K845" s="2" t="s">
        <v>495</v>
      </c>
      <c r="L845" s="7" t="str">
        <f>HYPERLINK("http://slimages.macys.com/is/image/MCY/11533691 ")</f>
        <v xml:space="preserve">http://slimages.macys.com/is/image/MCY/11533691 </v>
      </c>
    </row>
    <row r="846" spans="1:12" ht="24.75" x14ac:dyDescent="0.25">
      <c r="A846" s="4" t="s">
        <v>5254</v>
      </c>
      <c r="B846" s="2" t="s">
        <v>2051</v>
      </c>
      <c r="C846" s="3">
        <v>1</v>
      </c>
      <c r="D846" s="5">
        <v>9.99</v>
      </c>
      <c r="E846" s="3" t="s">
        <v>2052</v>
      </c>
      <c r="F846" s="2" t="s">
        <v>1322</v>
      </c>
      <c r="G846" s="6" t="s">
        <v>154</v>
      </c>
      <c r="H846" s="2" t="s">
        <v>1473</v>
      </c>
      <c r="I846" s="2" t="s">
        <v>1426</v>
      </c>
      <c r="J846" s="2" t="s">
        <v>19</v>
      </c>
      <c r="K846" s="2" t="s">
        <v>495</v>
      </c>
      <c r="L846" s="7" t="str">
        <f>HYPERLINK("http://slimages.macys.com/is/image/MCY/12267126 ")</f>
        <v xml:space="preserve">http://slimages.macys.com/is/image/MCY/12267126 </v>
      </c>
    </row>
    <row r="847" spans="1:12" ht="24.75" x14ac:dyDescent="0.25">
      <c r="A847" s="4" t="s">
        <v>5255</v>
      </c>
      <c r="B847" s="2" t="s">
        <v>2051</v>
      </c>
      <c r="C847" s="3">
        <v>1</v>
      </c>
      <c r="D847" s="5">
        <v>9.99</v>
      </c>
      <c r="E847" s="3" t="s">
        <v>2052</v>
      </c>
      <c r="F847" s="2" t="s">
        <v>1322</v>
      </c>
      <c r="G847" s="6" t="s">
        <v>156</v>
      </c>
      <c r="H847" s="2" t="s">
        <v>1473</v>
      </c>
      <c r="I847" s="2" t="s">
        <v>1426</v>
      </c>
      <c r="J847" s="2" t="s">
        <v>19</v>
      </c>
      <c r="K847" s="2" t="s">
        <v>495</v>
      </c>
      <c r="L847" s="7" t="str">
        <f>HYPERLINK("http://slimages.macys.com/is/image/MCY/12267126 ")</f>
        <v xml:space="preserve">http://slimages.macys.com/is/image/MCY/12267126 </v>
      </c>
    </row>
    <row r="848" spans="1:12" ht="24.75" x14ac:dyDescent="0.25">
      <c r="A848" s="4" t="s">
        <v>5256</v>
      </c>
      <c r="B848" s="2" t="s">
        <v>5257</v>
      </c>
      <c r="C848" s="3">
        <v>2</v>
      </c>
      <c r="D848" s="5">
        <v>9.99</v>
      </c>
      <c r="E848" s="3" t="s">
        <v>5258</v>
      </c>
      <c r="F848" s="2" t="s">
        <v>413</v>
      </c>
      <c r="G848" s="6" t="s">
        <v>234</v>
      </c>
      <c r="H848" s="2" t="s">
        <v>1473</v>
      </c>
      <c r="I848" s="2" t="s">
        <v>1426</v>
      </c>
      <c r="J848" s="2" t="s">
        <v>19</v>
      </c>
      <c r="K848" s="2" t="s">
        <v>495</v>
      </c>
      <c r="L848" s="7" t="str">
        <f>HYPERLINK("http://slimages.macys.com/is/image/MCY/11774072 ")</f>
        <v xml:space="preserve">http://slimages.macys.com/is/image/MCY/11774072 </v>
      </c>
    </row>
    <row r="849" spans="1:12" ht="24.75" x14ac:dyDescent="0.25">
      <c r="A849" s="4" t="s">
        <v>5259</v>
      </c>
      <c r="B849" s="2" t="s">
        <v>5257</v>
      </c>
      <c r="C849" s="3">
        <v>1</v>
      </c>
      <c r="D849" s="5">
        <v>9.99</v>
      </c>
      <c r="E849" s="3" t="s">
        <v>5258</v>
      </c>
      <c r="F849" s="2" t="s">
        <v>413</v>
      </c>
      <c r="G849" s="6" t="s">
        <v>156</v>
      </c>
      <c r="H849" s="2" t="s">
        <v>1473</v>
      </c>
      <c r="I849" s="2" t="s">
        <v>1426</v>
      </c>
      <c r="J849" s="2" t="s">
        <v>19</v>
      </c>
      <c r="K849" s="2" t="s">
        <v>495</v>
      </c>
      <c r="L849" s="7" t="str">
        <f>HYPERLINK("http://slimages.macys.com/is/image/MCY/11774072 ")</f>
        <v xml:space="preserve">http://slimages.macys.com/is/image/MCY/11774072 </v>
      </c>
    </row>
    <row r="850" spans="1:12" ht="24.75" x14ac:dyDescent="0.25">
      <c r="A850" s="4" t="s">
        <v>5260</v>
      </c>
      <c r="B850" s="2" t="s">
        <v>5257</v>
      </c>
      <c r="C850" s="3">
        <v>3</v>
      </c>
      <c r="D850" s="5">
        <v>9.99</v>
      </c>
      <c r="E850" s="3" t="s">
        <v>5258</v>
      </c>
      <c r="F850" s="2" t="s">
        <v>413</v>
      </c>
      <c r="G850" s="6" t="s">
        <v>181</v>
      </c>
      <c r="H850" s="2" t="s">
        <v>1473</v>
      </c>
      <c r="I850" s="2" t="s">
        <v>1426</v>
      </c>
      <c r="J850" s="2" t="s">
        <v>19</v>
      </c>
      <c r="K850" s="2" t="s">
        <v>495</v>
      </c>
      <c r="L850" s="7" t="str">
        <f>HYPERLINK("http://slimages.macys.com/is/image/MCY/11774072 ")</f>
        <v xml:space="preserve">http://slimages.macys.com/is/image/MCY/11774072 </v>
      </c>
    </row>
    <row r="851" spans="1:12" ht="24.75" x14ac:dyDescent="0.25">
      <c r="A851" s="4" t="s">
        <v>5261</v>
      </c>
      <c r="B851" s="2" t="s">
        <v>5257</v>
      </c>
      <c r="C851" s="3">
        <v>3</v>
      </c>
      <c r="D851" s="5">
        <v>9.99</v>
      </c>
      <c r="E851" s="3" t="s">
        <v>5258</v>
      </c>
      <c r="F851" s="2" t="s">
        <v>413</v>
      </c>
      <c r="G851" s="6" t="s">
        <v>154</v>
      </c>
      <c r="H851" s="2" t="s">
        <v>1473</v>
      </c>
      <c r="I851" s="2" t="s">
        <v>1426</v>
      </c>
      <c r="J851" s="2" t="s">
        <v>19</v>
      </c>
      <c r="K851" s="2" t="s">
        <v>495</v>
      </c>
      <c r="L851" s="7" t="str">
        <f>HYPERLINK("http://slimages.macys.com/is/image/MCY/11774072 ")</f>
        <v xml:space="preserve">http://slimages.macys.com/is/image/MCY/11774072 </v>
      </c>
    </row>
    <row r="852" spans="1:12" ht="24.75" x14ac:dyDescent="0.25">
      <c r="A852" s="4" t="s">
        <v>5262</v>
      </c>
      <c r="B852" s="2" t="s">
        <v>4295</v>
      </c>
      <c r="C852" s="3">
        <v>3</v>
      </c>
      <c r="D852" s="5">
        <v>9.99</v>
      </c>
      <c r="E852" s="3" t="s">
        <v>4296</v>
      </c>
      <c r="F852" s="2" t="s">
        <v>94</v>
      </c>
      <c r="G852" s="6" t="s">
        <v>154</v>
      </c>
      <c r="H852" s="2" t="s">
        <v>1473</v>
      </c>
      <c r="I852" s="2" t="s">
        <v>1426</v>
      </c>
      <c r="J852" s="2" t="s">
        <v>19</v>
      </c>
      <c r="K852" s="2" t="s">
        <v>495</v>
      </c>
      <c r="L852" s="7" t="str">
        <f>HYPERLINK("http://slimages.macys.com/is/image/MCY/11533706 ")</f>
        <v xml:space="preserve">http://slimages.macys.com/is/image/MCY/11533706 </v>
      </c>
    </row>
    <row r="853" spans="1:12" ht="24.75" x14ac:dyDescent="0.25">
      <c r="A853" s="4" t="s">
        <v>5263</v>
      </c>
      <c r="B853" s="2" t="s">
        <v>4295</v>
      </c>
      <c r="C853" s="3">
        <v>3</v>
      </c>
      <c r="D853" s="5">
        <v>9.99</v>
      </c>
      <c r="E853" s="3" t="s">
        <v>4296</v>
      </c>
      <c r="F853" s="2" t="s">
        <v>94</v>
      </c>
      <c r="G853" s="6" t="s">
        <v>234</v>
      </c>
      <c r="H853" s="2" t="s">
        <v>1473</v>
      </c>
      <c r="I853" s="2" t="s">
        <v>1426</v>
      </c>
      <c r="J853" s="2" t="s">
        <v>19</v>
      </c>
      <c r="K853" s="2" t="s">
        <v>495</v>
      </c>
      <c r="L853" s="7" t="str">
        <f>HYPERLINK("http://slimages.macys.com/is/image/MCY/11533706 ")</f>
        <v xml:space="preserve">http://slimages.macys.com/is/image/MCY/11533706 </v>
      </c>
    </row>
    <row r="854" spans="1:12" ht="24.75" x14ac:dyDescent="0.25">
      <c r="A854" s="4" t="s">
        <v>5264</v>
      </c>
      <c r="B854" s="2" t="s">
        <v>5265</v>
      </c>
      <c r="C854" s="3">
        <v>1</v>
      </c>
      <c r="D854" s="5">
        <v>9.99</v>
      </c>
      <c r="E854" s="3" t="s">
        <v>5266</v>
      </c>
      <c r="F854" s="2" t="s">
        <v>413</v>
      </c>
      <c r="G854" s="6"/>
      <c r="H854" s="2" t="s">
        <v>1425</v>
      </c>
      <c r="I854" s="2" t="s">
        <v>1426</v>
      </c>
      <c r="J854" s="2" t="s">
        <v>19</v>
      </c>
      <c r="K854" s="2" t="s">
        <v>495</v>
      </c>
      <c r="L854" s="7" t="str">
        <f>HYPERLINK("http://slimages.macys.com/is/image/MCY/11830759 ")</f>
        <v xml:space="preserve">http://slimages.macys.com/is/image/MCY/11830759 </v>
      </c>
    </row>
    <row r="855" spans="1:12" ht="24.75" x14ac:dyDescent="0.25">
      <c r="A855" s="4" t="s">
        <v>5267</v>
      </c>
      <c r="B855" s="2" t="s">
        <v>4295</v>
      </c>
      <c r="C855" s="3">
        <v>3</v>
      </c>
      <c r="D855" s="5">
        <v>9.99</v>
      </c>
      <c r="E855" s="3" t="s">
        <v>4296</v>
      </c>
      <c r="F855" s="2" t="s">
        <v>94</v>
      </c>
      <c r="G855" s="6" t="s">
        <v>181</v>
      </c>
      <c r="H855" s="2" t="s">
        <v>1473</v>
      </c>
      <c r="I855" s="2" t="s">
        <v>1426</v>
      </c>
      <c r="J855" s="2" t="s">
        <v>19</v>
      </c>
      <c r="K855" s="2" t="s">
        <v>495</v>
      </c>
      <c r="L855" s="7" t="str">
        <f>HYPERLINK("http://slimages.macys.com/is/image/MCY/11533706 ")</f>
        <v xml:space="preserve">http://slimages.macys.com/is/image/MCY/11533706 </v>
      </c>
    </row>
    <row r="856" spans="1:12" ht="24.75" x14ac:dyDescent="0.25">
      <c r="A856" s="4" t="s">
        <v>5268</v>
      </c>
      <c r="B856" s="2" t="s">
        <v>4295</v>
      </c>
      <c r="C856" s="3">
        <v>1</v>
      </c>
      <c r="D856" s="5">
        <v>9.99</v>
      </c>
      <c r="E856" s="3" t="s">
        <v>4296</v>
      </c>
      <c r="F856" s="2" t="s">
        <v>94</v>
      </c>
      <c r="G856" s="6" t="s">
        <v>200</v>
      </c>
      <c r="H856" s="2" t="s">
        <v>1473</v>
      </c>
      <c r="I856" s="2" t="s">
        <v>1426</v>
      </c>
      <c r="J856" s="2" t="s">
        <v>19</v>
      </c>
      <c r="K856" s="2" t="s">
        <v>495</v>
      </c>
      <c r="L856" s="7" t="str">
        <f>HYPERLINK("http://slimages.macys.com/is/image/MCY/11533706 ")</f>
        <v xml:space="preserve">http://slimages.macys.com/is/image/MCY/11533706 </v>
      </c>
    </row>
    <row r="857" spans="1:12" ht="24.75" x14ac:dyDescent="0.25">
      <c r="A857" s="4" t="s">
        <v>4299</v>
      </c>
      <c r="B857" s="2" t="s">
        <v>4295</v>
      </c>
      <c r="C857" s="3">
        <v>1</v>
      </c>
      <c r="D857" s="5">
        <v>9.99</v>
      </c>
      <c r="E857" s="3" t="s">
        <v>4296</v>
      </c>
      <c r="F857" s="2" t="s">
        <v>33</v>
      </c>
      <c r="G857" s="6" t="s">
        <v>154</v>
      </c>
      <c r="H857" s="2" t="s">
        <v>1473</v>
      </c>
      <c r="I857" s="2" t="s">
        <v>1426</v>
      </c>
      <c r="J857" s="2" t="s">
        <v>19</v>
      </c>
      <c r="K857" s="2" t="s">
        <v>495</v>
      </c>
      <c r="L857" s="7" t="str">
        <f>HYPERLINK("http://slimages.macys.com/is/image/MCY/11533706 ")</f>
        <v xml:space="preserve">http://slimages.macys.com/is/image/MCY/11533706 </v>
      </c>
    </row>
    <row r="858" spans="1:12" ht="24.75" x14ac:dyDescent="0.25">
      <c r="A858" s="4" t="s">
        <v>4298</v>
      </c>
      <c r="B858" s="2" t="s">
        <v>4295</v>
      </c>
      <c r="C858" s="3">
        <v>1</v>
      </c>
      <c r="D858" s="5">
        <v>9.99</v>
      </c>
      <c r="E858" s="3" t="s">
        <v>4296</v>
      </c>
      <c r="F858" s="2" t="s">
        <v>33</v>
      </c>
      <c r="G858" s="6" t="s">
        <v>181</v>
      </c>
      <c r="H858" s="2" t="s">
        <v>1473</v>
      </c>
      <c r="I858" s="2" t="s">
        <v>1426</v>
      </c>
      <c r="J858" s="2" t="s">
        <v>19</v>
      </c>
      <c r="K858" s="2" t="s">
        <v>495</v>
      </c>
      <c r="L858" s="7" t="str">
        <f>HYPERLINK("http://slimages.macys.com/is/image/MCY/11533706 ")</f>
        <v xml:space="preserve">http://slimages.macys.com/is/image/MCY/11533706 </v>
      </c>
    </row>
    <row r="859" spans="1:12" ht="24.75" x14ac:dyDescent="0.25">
      <c r="A859" s="4" t="s">
        <v>2044</v>
      </c>
      <c r="B859" s="2" t="s">
        <v>2045</v>
      </c>
      <c r="C859" s="3">
        <v>1</v>
      </c>
      <c r="D859" s="5">
        <v>9.99</v>
      </c>
      <c r="E859" s="3" t="s">
        <v>2046</v>
      </c>
      <c r="F859" s="2" t="s">
        <v>94</v>
      </c>
      <c r="G859" s="6" t="s">
        <v>154</v>
      </c>
      <c r="H859" s="2" t="s">
        <v>1473</v>
      </c>
      <c r="I859" s="2" t="s">
        <v>1426</v>
      </c>
      <c r="J859" s="2" t="s">
        <v>19</v>
      </c>
      <c r="K859" s="2" t="s">
        <v>495</v>
      </c>
      <c r="L859" s="7" t="str">
        <f>HYPERLINK("http://slimages.macys.com/is/image/MCY/11533691 ")</f>
        <v xml:space="preserve">http://slimages.macys.com/is/image/MCY/11533691 </v>
      </c>
    </row>
    <row r="860" spans="1:12" ht="24.75" x14ac:dyDescent="0.25">
      <c r="A860" s="4" t="s">
        <v>5269</v>
      </c>
      <c r="B860" s="2" t="s">
        <v>2051</v>
      </c>
      <c r="C860" s="3">
        <v>1</v>
      </c>
      <c r="D860" s="5">
        <v>9.99</v>
      </c>
      <c r="E860" s="3" t="s">
        <v>2052</v>
      </c>
      <c r="F860" s="2" t="s">
        <v>1322</v>
      </c>
      <c r="G860" s="6" t="s">
        <v>245</v>
      </c>
      <c r="H860" s="2" t="s">
        <v>1473</v>
      </c>
      <c r="I860" s="2" t="s">
        <v>1426</v>
      </c>
      <c r="J860" s="2" t="s">
        <v>19</v>
      </c>
      <c r="K860" s="2" t="s">
        <v>495</v>
      </c>
      <c r="L860" s="7" t="str">
        <f>HYPERLINK("http://slimages.macys.com/is/image/MCY/12267126 ")</f>
        <v xml:space="preserve">http://slimages.macys.com/is/image/MCY/12267126 </v>
      </c>
    </row>
    <row r="861" spans="1:12" ht="24.75" x14ac:dyDescent="0.25">
      <c r="A861" s="4" t="s">
        <v>5270</v>
      </c>
      <c r="B861" s="2" t="s">
        <v>5271</v>
      </c>
      <c r="C861" s="3">
        <v>1</v>
      </c>
      <c r="D861" s="5">
        <v>12.99</v>
      </c>
      <c r="E861" s="3" t="s">
        <v>5272</v>
      </c>
      <c r="F861" s="2" t="s">
        <v>33</v>
      </c>
      <c r="G861" s="6" t="s">
        <v>234</v>
      </c>
      <c r="H861" s="2" t="s">
        <v>194</v>
      </c>
      <c r="I861" s="2" t="s">
        <v>1922</v>
      </c>
      <c r="J861" s="2" t="s">
        <v>19</v>
      </c>
      <c r="K861" s="2" t="s">
        <v>495</v>
      </c>
      <c r="L861" s="7" t="str">
        <f>HYPERLINK("http://slimages.macys.com/is/image/MCY/9344781 ")</f>
        <v xml:space="preserve">http://slimages.macys.com/is/image/MCY/9344781 </v>
      </c>
    </row>
    <row r="862" spans="1:12" ht="24.75" x14ac:dyDescent="0.25">
      <c r="A862" s="4" t="s">
        <v>5273</v>
      </c>
      <c r="B862" s="2" t="s">
        <v>2033</v>
      </c>
      <c r="C862" s="3">
        <v>1</v>
      </c>
      <c r="D862" s="5">
        <v>9.99</v>
      </c>
      <c r="E862" s="3" t="s">
        <v>5274</v>
      </c>
      <c r="F862" s="2" t="s">
        <v>79</v>
      </c>
      <c r="G862" s="6" t="s">
        <v>181</v>
      </c>
      <c r="H862" s="2" t="s">
        <v>1473</v>
      </c>
      <c r="I862" s="2" t="s">
        <v>1426</v>
      </c>
      <c r="J862" s="2" t="s">
        <v>19</v>
      </c>
      <c r="K862" s="2" t="s">
        <v>990</v>
      </c>
      <c r="L862" s="7" t="str">
        <f>HYPERLINK("http://slimages.macys.com/is/image/MCY/10746490 ")</f>
        <v xml:space="preserve">http://slimages.macys.com/is/image/MCY/10746490 </v>
      </c>
    </row>
    <row r="863" spans="1:12" ht="24.75" x14ac:dyDescent="0.25">
      <c r="A863" s="4" t="s">
        <v>5275</v>
      </c>
      <c r="B863" s="2" t="s">
        <v>2033</v>
      </c>
      <c r="C863" s="3">
        <v>1</v>
      </c>
      <c r="D863" s="5">
        <v>9.99</v>
      </c>
      <c r="E863" s="3" t="s">
        <v>5274</v>
      </c>
      <c r="F863" s="2" t="s">
        <v>79</v>
      </c>
      <c r="G863" s="6" t="s">
        <v>200</v>
      </c>
      <c r="H863" s="2" t="s">
        <v>1473</v>
      </c>
      <c r="I863" s="2" t="s">
        <v>1426</v>
      </c>
      <c r="J863" s="2" t="s">
        <v>19</v>
      </c>
      <c r="K863" s="2" t="s">
        <v>990</v>
      </c>
      <c r="L863" s="7" t="str">
        <f>HYPERLINK("http://slimages.macys.com/is/image/MCY/10746490 ")</f>
        <v xml:space="preserve">http://slimages.macys.com/is/image/MCY/10746490 </v>
      </c>
    </row>
    <row r="864" spans="1:12" ht="24.75" x14ac:dyDescent="0.25">
      <c r="A864" s="4" t="s">
        <v>5276</v>
      </c>
      <c r="B864" s="2" t="s">
        <v>2064</v>
      </c>
      <c r="C864" s="3">
        <v>2</v>
      </c>
      <c r="D864" s="5">
        <v>9.99</v>
      </c>
      <c r="E864" s="3" t="s">
        <v>3279</v>
      </c>
      <c r="F864" s="2" t="s">
        <v>1914</v>
      </c>
      <c r="G864" s="6" t="s">
        <v>181</v>
      </c>
      <c r="H864" s="2" t="s">
        <v>1473</v>
      </c>
      <c r="I864" s="2" t="s">
        <v>1426</v>
      </c>
      <c r="J864" s="2" t="s">
        <v>19</v>
      </c>
      <c r="K864" s="2" t="s">
        <v>990</v>
      </c>
      <c r="L864" s="7" t="str">
        <f>HYPERLINK("http://slimages.macys.com/is/image/MCY/11130625 ")</f>
        <v xml:space="preserve">http://slimages.macys.com/is/image/MCY/11130625 </v>
      </c>
    </row>
    <row r="865" spans="1:12" ht="24.75" x14ac:dyDescent="0.25">
      <c r="A865" s="4" t="s">
        <v>5277</v>
      </c>
      <c r="B865" s="2" t="s">
        <v>2064</v>
      </c>
      <c r="C865" s="3">
        <v>1</v>
      </c>
      <c r="D865" s="5">
        <v>9.99</v>
      </c>
      <c r="E865" s="3" t="s">
        <v>3279</v>
      </c>
      <c r="F865" s="2" t="s">
        <v>1914</v>
      </c>
      <c r="G865" s="6" t="s">
        <v>245</v>
      </c>
      <c r="H865" s="2" t="s">
        <v>1473</v>
      </c>
      <c r="I865" s="2" t="s">
        <v>1426</v>
      </c>
      <c r="J865" s="2" t="s">
        <v>19</v>
      </c>
      <c r="K865" s="2" t="s">
        <v>990</v>
      </c>
      <c r="L865" s="7" t="str">
        <f>HYPERLINK("http://slimages.macys.com/is/image/MCY/11130625 ")</f>
        <v xml:space="preserve">http://slimages.macys.com/is/image/MCY/11130625 </v>
      </c>
    </row>
    <row r="866" spans="1:12" ht="24.75" x14ac:dyDescent="0.25">
      <c r="A866" s="4" t="s">
        <v>5278</v>
      </c>
      <c r="B866" s="2" t="s">
        <v>5279</v>
      </c>
      <c r="C866" s="3">
        <v>1</v>
      </c>
      <c r="D866" s="5">
        <v>9.98</v>
      </c>
      <c r="E866" s="3" t="s">
        <v>5280</v>
      </c>
      <c r="F866" s="2" t="s">
        <v>26</v>
      </c>
      <c r="G866" s="6" t="s">
        <v>154</v>
      </c>
      <c r="H866" s="2" t="s">
        <v>1473</v>
      </c>
      <c r="I866" s="2" t="s">
        <v>1426</v>
      </c>
      <c r="J866" s="2" t="s">
        <v>19</v>
      </c>
      <c r="K866" s="2" t="s">
        <v>648</v>
      </c>
      <c r="L866" s="7" t="str">
        <f>HYPERLINK("http://slimages.macys.com/is/image/MCY/10006106 ")</f>
        <v xml:space="preserve">http://slimages.macys.com/is/image/MCY/10006106 </v>
      </c>
    </row>
    <row r="867" spans="1:12" ht="24.75" x14ac:dyDescent="0.25">
      <c r="A867" s="4" t="s">
        <v>5281</v>
      </c>
      <c r="B867" s="2" t="s">
        <v>4321</v>
      </c>
      <c r="C867" s="3">
        <v>1</v>
      </c>
      <c r="D867" s="5">
        <v>12.99</v>
      </c>
      <c r="E867" s="3" t="s">
        <v>4322</v>
      </c>
      <c r="F867" s="2" t="s">
        <v>887</v>
      </c>
      <c r="G867" s="6"/>
      <c r="H867" s="2" t="s">
        <v>312</v>
      </c>
      <c r="I867" s="2" t="s">
        <v>195</v>
      </c>
      <c r="J867" s="2" t="s">
        <v>19</v>
      </c>
      <c r="K867" s="2" t="s">
        <v>648</v>
      </c>
      <c r="L867" s="7" t="str">
        <f>HYPERLINK("http://slimages.macys.com/is/image/MCY/8157256 ")</f>
        <v xml:space="preserve">http://slimages.macys.com/is/image/MCY/8157256 </v>
      </c>
    </row>
    <row r="868" spans="1:12" ht="24.75" x14ac:dyDescent="0.25">
      <c r="A868" s="4" t="s">
        <v>4323</v>
      </c>
      <c r="B868" s="2" t="s">
        <v>4321</v>
      </c>
      <c r="C868" s="3">
        <v>1</v>
      </c>
      <c r="D868" s="5">
        <v>12.99</v>
      </c>
      <c r="E868" s="3" t="s">
        <v>4322</v>
      </c>
      <c r="F868" s="2" t="s">
        <v>887</v>
      </c>
      <c r="G868" s="6"/>
      <c r="H868" s="2" t="s">
        <v>312</v>
      </c>
      <c r="I868" s="2" t="s">
        <v>195</v>
      </c>
      <c r="J868" s="2" t="s">
        <v>19</v>
      </c>
      <c r="K868" s="2" t="s">
        <v>648</v>
      </c>
      <c r="L868" s="7" t="str">
        <f>HYPERLINK("http://slimages.macys.com/is/image/MCY/8157256 ")</f>
        <v xml:space="preserve">http://slimages.macys.com/is/image/MCY/8157256 </v>
      </c>
    </row>
    <row r="869" spans="1:12" ht="24.75" x14ac:dyDescent="0.25">
      <c r="A869" s="4" t="s">
        <v>5282</v>
      </c>
      <c r="B869" s="2" t="s">
        <v>2072</v>
      </c>
      <c r="C869" s="3">
        <v>1</v>
      </c>
      <c r="D869" s="5">
        <v>9.99</v>
      </c>
      <c r="E869" s="3" t="s">
        <v>2073</v>
      </c>
      <c r="F869" s="2" t="s">
        <v>3267</v>
      </c>
      <c r="G869" s="6"/>
      <c r="H869" s="2" t="s">
        <v>1425</v>
      </c>
      <c r="I869" s="2" t="s">
        <v>1426</v>
      </c>
      <c r="J869" s="2" t="s">
        <v>19</v>
      </c>
      <c r="K869" s="2" t="s">
        <v>990</v>
      </c>
      <c r="L869" s="7" t="str">
        <f>HYPERLINK("http://slimages.macys.com/is/image/MCY/10741444 ")</f>
        <v xml:space="preserve">http://slimages.macys.com/is/image/MCY/10741444 </v>
      </c>
    </row>
    <row r="870" spans="1:12" ht="24.75" x14ac:dyDescent="0.25">
      <c r="A870" s="4" t="s">
        <v>4331</v>
      </c>
      <c r="B870" s="2" t="s">
        <v>2075</v>
      </c>
      <c r="C870" s="3">
        <v>1</v>
      </c>
      <c r="D870" s="5">
        <v>9.99</v>
      </c>
      <c r="E870" s="3" t="s">
        <v>2076</v>
      </c>
      <c r="F870" s="2" t="s">
        <v>1945</v>
      </c>
      <c r="G870" s="6" t="s">
        <v>156</v>
      </c>
      <c r="H870" s="2" t="s">
        <v>1473</v>
      </c>
      <c r="I870" s="2" t="s">
        <v>1426</v>
      </c>
      <c r="J870" s="2" t="s">
        <v>19</v>
      </c>
      <c r="K870" s="2" t="s">
        <v>990</v>
      </c>
      <c r="L870" s="7" t="str">
        <f t="shared" ref="L870:L886" si="9">HYPERLINK("http://slimages.macys.com/is/image/MCY/15161436 ")</f>
        <v xml:space="preserve">http://slimages.macys.com/is/image/MCY/15161436 </v>
      </c>
    </row>
    <row r="871" spans="1:12" ht="24.75" x14ac:dyDescent="0.25">
      <c r="A871" s="4" t="s">
        <v>5283</v>
      </c>
      <c r="B871" s="2" t="s">
        <v>2075</v>
      </c>
      <c r="C871" s="3">
        <v>2</v>
      </c>
      <c r="D871" s="5">
        <v>9.99</v>
      </c>
      <c r="E871" s="3" t="s">
        <v>2076</v>
      </c>
      <c r="F871" s="2" t="s">
        <v>1322</v>
      </c>
      <c r="G871" s="6" t="s">
        <v>156</v>
      </c>
      <c r="H871" s="2" t="s">
        <v>1473</v>
      </c>
      <c r="I871" s="2" t="s">
        <v>1426</v>
      </c>
      <c r="J871" s="2" t="s">
        <v>19</v>
      </c>
      <c r="K871" s="2" t="s">
        <v>990</v>
      </c>
      <c r="L871" s="7" t="str">
        <f t="shared" si="9"/>
        <v xml:space="preserve">http://slimages.macys.com/is/image/MCY/15161436 </v>
      </c>
    </row>
    <row r="872" spans="1:12" ht="24.75" x14ac:dyDescent="0.25">
      <c r="A872" s="4" t="s">
        <v>5284</v>
      </c>
      <c r="B872" s="2" t="s">
        <v>2075</v>
      </c>
      <c r="C872" s="3">
        <v>3</v>
      </c>
      <c r="D872" s="5">
        <v>9.99</v>
      </c>
      <c r="E872" s="3" t="s">
        <v>2076</v>
      </c>
      <c r="F872" s="2" t="s">
        <v>820</v>
      </c>
      <c r="G872" s="6" t="s">
        <v>154</v>
      </c>
      <c r="H872" s="2" t="s">
        <v>1473</v>
      </c>
      <c r="I872" s="2" t="s">
        <v>1426</v>
      </c>
      <c r="J872" s="2" t="s">
        <v>19</v>
      </c>
      <c r="K872" s="2" t="s">
        <v>990</v>
      </c>
      <c r="L872" s="7" t="str">
        <f t="shared" si="9"/>
        <v xml:space="preserve">http://slimages.macys.com/is/image/MCY/15161436 </v>
      </c>
    </row>
    <row r="873" spans="1:12" ht="24.75" x14ac:dyDescent="0.25">
      <c r="A873" s="4" t="s">
        <v>5285</v>
      </c>
      <c r="B873" s="2" t="s">
        <v>2075</v>
      </c>
      <c r="C873" s="3">
        <v>2</v>
      </c>
      <c r="D873" s="5">
        <v>9.99</v>
      </c>
      <c r="E873" s="3" t="s">
        <v>2076</v>
      </c>
      <c r="F873" s="2" t="s">
        <v>820</v>
      </c>
      <c r="G873" s="6" t="s">
        <v>234</v>
      </c>
      <c r="H873" s="2" t="s">
        <v>1473</v>
      </c>
      <c r="I873" s="2" t="s">
        <v>1426</v>
      </c>
      <c r="J873" s="2" t="s">
        <v>19</v>
      </c>
      <c r="K873" s="2" t="s">
        <v>990</v>
      </c>
      <c r="L873" s="7" t="str">
        <f t="shared" si="9"/>
        <v xml:space="preserve">http://slimages.macys.com/is/image/MCY/15161436 </v>
      </c>
    </row>
    <row r="874" spans="1:12" ht="24.75" x14ac:dyDescent="0.25">
      <c r="A874" s="4" t="s">
        <v>5286</v>
      </c>
      <c r="B874" s="2" t="s">
        <v>2075</v>
      </c>
      <c r="C874" s="3">
        <v>2</v>
      </c>
      <c r="D874" s="5">
        <v>9.99</v>
      </c>
      <c r="E874" s="3" t="s">
        <v>2076</v>
      </c>
      <c r="F874" s="2" t="s">
        <v>820</v>
      </c>
      <c r="G874" s="6" t="s">
        <v>156</v>
      </c>
      <c r="H874" s="2" t="s">
        <v>1473</v>
      </c>
      <c r="I874" s="2" t="s">
        <v>1426</v>
      </c>
      <c r="J874" s="2" t="s">
        <v>19</v>
      </c>
      <c r="K874" s="2" t="s">
        <v>990</v>
      </c>
      <c r="L874" s="7" t="str">
        <f t="shared" si="9"/>
        <v xml:space="preserve">http://slimages.macys.com/is/image/MCY/15161436 </v>
      </c>
    </row>
    <row r="875" spans="1:12" ht="24.75" x14ac:dyDescent="0.25">
      <c r="A875" s="4" t="s">
        <v>5287</v>
      </c>
      <c r="B875" s="2" t="s">
        <v>2075</v>
      </c>
      <c r="C875" s="3">
        <v>3</v>
      </c>
      <c r="D875" s="5">
        <v>9.99</v>
      </c>
      <c r="E875" s="3" t="s">
        <v>2076</v>
      </c>
      <c r="F875" s="2" t="s">
        <v>820</v>
      </c>
      <c r="G875" s="6" t="s">
        <v>181</v>
      </c>
      <c r="H875" s="2" t="s">
        <v>1473</v>
      </c>
      <c r="I875" s="2" t="s">
        <v>1426</v>
      </c>
      <c r="J875" s="2" t="s">
        <v>19</v>
      </c>
      <c r="K875" s="2" t="s">
        <v>990</v>
      </c>
      <c r="L875" s="7" t="str">
        <f t="shared" si="9"/>
        <v xml:space="preserve">http://slimages.macys.com/is/image/MCY/15161436 </v>
      </c>
    </row>
    <row r="876" spans="1:12" ht="24.75" x14ac:dyDescent="0.25">
      <c r="A876" s="4" t="s">
        <v>5288</v>
      </c>
      <c r="B876" s="2" t="s">
        <v>2075</v>
      </c>
      <c r="C876" s="3">
        <v>1</v>
      </c>
      <c r="D876" s="5">
        <v>9.99</v>
      </c>
      <c r="E876" s="3" t="s">
        <v>2076</v>
      </c>
      <c r="F876" s="2" t="s">
        <v>820</v>
      </c>
      <c r="G876" s="6" t="s">
        <v>245</v>
      </c>
      <c r="H876" s="2" t="s">
        <v>1473</v>
      </c>
      <c r="I876" s="2" t="s">
        <v>1426</v>
      </c>
      <c r="J876" s="2" t="s">
        <v>19</v>
      </c>
      <c r="K876" s="2" t="s">
        <v>990</v>
      </c>
      <c r="L876" s="7" t="str">
        <f t="shared" si="9"/>
        <v xml:space="preserve">http://slimages.macys.com/is/image/MCY/15161436 </v>
      </c>
    </row>
    <row r="877" spans="1:12" ht="24.75" x14ac:dyDescent="0.25">
      <c r="A877" s="4" t="s">
        <v>5289</v>
      </c>
      <c r="B877" s="2" t="s">
        <v>2075</v>
      </c>
      <c r="C877" s="3">
        <v>1</v>
      </c>
      <c r="D877" s="5">
        <v>9.99</v>
      </c>
      <c r="E877" s="3" t="s">
        <v>2076</v>
      </c>
      <c r="F877" s="2" t="s">
        <v>15</v>
      </c>
      <c r="G877" s="6" t="s">
        <v>200</v>
      </c>
      <c r="H877" s="2" t="s">
        <v>1473</v>
      </c>
      <c r="I877" s="2" t="s">
        <v>1426</v>
      </c>
      <c r="J877" s="2" t="s">
        <v>19</v>
      </c>
      <c r="K877" s="2" t="s">
        <v>990</v>
      </c>
      <c r="L877" s="7" t="str">
        <f t="shared" si="9"/>
        <v xml:space="preserve">http://slimages.macys.com/is/image/MCY/15161436 </v>
      </c>
    </row>
    <row r="878" spans="1:12" ht="24.75" x14ac:dyDescent="0.25">
      <c r="A878" s="4" t="s">
        <v>4333</v>
      </c>
      <c r="B878" s="2" t="s">
        <v>2075</v>
      </c>
      <c r="C878" s="3">
        <v>1</v>
      </c>
      <c r="D878" s="5">
        <v>9.99</v>
      </c>
      <c r="E878" s="3" t="s">
        <v>2076</v>
      </c>
      <c r="F878" s="2" t="s">
        <v>74</v>
      </c>
      <c r="G878" s="6" t="s">
        <v>234</v>
      </c>
      <c r="H878" s="2" t="s">
        <v>1473</v>
      </c>
      <c r="I878" s="2" t="s">
        <v>1426</v>
      </c>
      <c r="J878" s="2" t="s">
        <v>19</v>
      </c>
      <c r="K878" s="2" t="s">
        <v>990</v>
      </c>
      <c r="L878" s="7" t="str">
        <f t="shared" si="9"/>
        <v xml:space="preserve">http://slimages.macys.com/is/image/MCY/15161436 </v>
      </c>
    </row>
    <row r="879" spans="1:12" ht="24.75" x14ac:dyDescent="0.25">
      <c r="A879" s="4" t="s">
        <v>5290</v>
      </c>
      <c r="B879" s="2" t="s">
        <v>2075</v>
      </c>
      <c r="C879" s="3">
        <v>3</v>
      </c>
      <c r="D879" s="5">
        <v>9.99</v>
      </c>
      <c r="E879" s="3" t="s">
        <v>2076</v>
      </c>
      <c r="F879" s="2" t="s">
        <v>1322</v>
      </c>
      <c r="G879" s="6" t="s">
        <v>181</v>
      </c>
      <c r="H879" s="2" t="s">
        <v>1473</v>
      </c>
      <c r="I879" s="2" t="s">
        <v>1426</v>
      </c>
      <c r="J879" s="2" t="s">
        <v>19</v>
      </c>
      <c r="K879" s="2" t="s">
        <v>990</v>
      </c>
      <c r="L879" s="7" t="str">
        <f t="shared" si="9"/>
        <v xml:space="preserve">http://slimages.macys.com/is/image/MCY/15161436 </v>
      </c>
    </row>
    <row r="880" spans="1:12" ht="24.75" x14ac:dyDescent="0.25">
      <c r="A880" s="4" t="s">
        <v>5291</v>
      </c>
      <c r="B880" s="2" t="s">
        <v>2075</v>
      </c>
      <c r="C880" s="3">
        <v>1</v>
      </c>
      <c r="D880" s="5">
        <v>9.99</v>
      </c>
      <c r="E880" s="3" t="s">
        <v>2076</v>
      </c>
      <c r="F880" s="2" t="s">
        <v>15</v>
      </c>
      <c r="G880" s="6" t="s">
        <v>156</v>
      </c>
      <c r="H880" s="2" t="s">
        <v>1473</v>
      </c>
      <c r="I880" s="2" t="s">
        <v>1426</v>
      </c>
      <c r="J880" s="2" t="s">
        <v>19</v>
      </c>
      <c r="K880" s="2" t="s">
        <v>990</v>
      </c>
      <c r="L880" s="7" t="str">
        <f t="shared" si="9"/>
        <v xml:space="preserve">http://slimages.macys.com/is/image/MCY/15161436 </v>
      </c>
    </row>
    <row r="881" spans="1:12" ht="24.75" x14ac:dyDescent="0.25">
      <c r="A881" s="4" t="s">
        <v>2078</v>
      </c>
      <c r="B881" s="2" t="s">
        <v>2075</v>
      </c>
      <c r="C881" s="3">
        <v>4</v>
      </c>
      <c r="D881" s="5">
        <v>9.99</v>
      </c>
      <c r="E881" s="3" t="s">
        <v>2076</v>
      </c>
      <c r="F881" s="2" t="s">
        <v>413</v>
      </c>
      <c r="G881" s="6" t="s">
        <v>181</v>
      </c>
      <c r="H881" s="2" t="s">
        <v>1473</v>
      </c>
      <c r="I881" s="2" t="s">
        <v>1426</v>
      </c>
      <c r="J881" s="2" t="s">
        <v>19</v>
      </c>
      <c r="K881" s="2" t="s">
        <v>990</v>
      </c>
      <c r="L881" s="7" t="str">
        <f t="shared" si="9"/>
        <v xml:space="preserve">http://slimages.macys.com/is/image/MCY/15161436 </v>
      </c>
    </row>
    <row r="882" spans="1:12" ht="24.75" x14ac:dyDescent="0.25">
      <c r="A882" s="4" t="s">
        <v>5292</v>
      </c>
      <c r="B882" s="2" t="s">
        <v>2075</v>
      </c>
      <c r="C882" s="3">
        <v>1</v>
      </c>
      <c r="D882" s="5">
        <v>9.99</v>
      </c>
      <c r="E882" s="3" t="s">
        <v>2076</v>
      </c>
      <c r="F882" s="2" t="s">
        <v>413</v>
      </c>
      <c r="G882" s="6" t="s">
        <v>200</v>
      </c>
      <c r="H882" s="2" t="s">
        <v>1473</v>
      </c>
      <c r="I882" s="2" t="s">
        <v>1426</v>
      </c>
      <c r="J882" s="2" t="s">
        <v>19</v>
      </c>
      <c r="K882" s="2" t="s">
        <v>990</v>
      </c>
      <c r="L882" s="7" t="str">
        <f t="shared" si="9"/>
        <v xml:space="preserve">http://slimages.macys.com/is/image/MCY/15161436 </v>
      </c>
    </row>
    <row r="883" spans="1:12" ht="24.75" x14ac:dyDescent="0.25">
      <c r="A883" s="4" t="s">
        <v>5293</v>
      </c>
      <c r="B883" s="2" t="s">
        <v>2075</v>
      </c>
      <c r="C883" s="3">
        <v>2</v>
      </c>
      <c r="D883" s="5">
        <v>9.99</v>
      </c>
      <c r="E883" s="3" t="s">
        <v>2076</v>
      </c>
      <c r="F883" s="2" t="s">
        <v>15</v>
      </c>
      <c r="G883" s="6" t="s">
        <v>154</v>
      </c>
      <c r="H883" s="2" t="s">
        <v>1473</v>
      </c>
      <c r="I883" s="2" t="s">
        <v>1426</v>
      </c>
      <c r="J883" s="2" t="s">
        <v>19</v>
      </c>
      <c r="K883" s="2" t="s">
        <v>990</v>
      </c>
      <c r="L883" s="7" t="str">
        <f t="shared" si="9"/>
        <v xml:space="preserve">http://slimages.macys.com/is/image/MCY/15161436 </v>
      </c>
    </row>
    <row r="884" spans="1:12" ht="24.75" x14ac:dyDescent="0.25">
      <c r="A884" s="4" t="s">
        <v>5294</v>
      </c>
      <c r="B884" s="2" t="s">
        <v>2075</v>
      </c>
      <c r="C884" s="3">
        <v>2</v>
      </c>
      <c r="D884" s="5">
        <v>9.99</v>
      </c>
      <c r="E884" s="3" t="s">
        <v>2076</v>
      </c>
      <c r="F884" s="2" t="s">
        <v>15</v>
      </c>
      <c r="G884" s="6" t="s">
        <v>234</v>
      </c>
      <c r="H884" s="2" t="s">
        <v>1473</v>
      </c>
      <c r="I884" s="2" t="s">
        <v>1426</v>
      </c>
      <c r="J884" s="2" t="s">
        <v>19</v>
      </c>
      <c r="K884" s="2" t="s">
        <v>990</v>
      </c>
      <c r="L884" s="7" t="str">
        <f t="shared" si="9"/>
        <v xml:space="preserve">http://slimages.macys.com/is/image/MCY/15161436 </v>
      </c>
    </row>
    <row r="885" spans="1:12" ht="24.75" x14ac:dyDescent="0.25">
      <c r="A885" s="4" t="s">
        <v>5295</v>
      </c>
      <c r="B885" s="2" t="s">
        <v>2075</v>
      </c>
      <c r="C885" s="3">
        <v>2</v>
      </c>
      <c r="D885" s="5">
        <v>9.99</v>
      </c>
      <c r="E885" s="3" t="s">
        <v>2076</v>
      </c>
      <c r="F885" s="2" t="s">
        <v>15</v>
      </c>
      <c r="G885" s="6" t="s">
        <v>181</v>
      </c>
      <c r="H885" s="2" t="s">
        <v>1473</v>
      </c>
      <c r="I885" s="2" t="s">
        <v>1426</v>
      </c>
      <c r="J885" s="2" t="s">
        <v>19</v>
      </c>
      <c r="K885" s="2" t="s">
        <v>990</v>
      </c>
      <c r="L885" s="7" t="str">
        <f t="shared" si="9"/>
        <v xml:space="preserve">http://slimages.macys.com/is/image/MCY/15161436 </v>
      </c>
    </row>
    <row r="886" spans="1:12" ht="24.75" x14ac:dyDescent="0.25">
      <c r="A886" s="4" t="s">
        <v>5296</v>
      </c>
      <c r="B886" s="2" t="s">
        <v>2075</v>
      </c>
      <c r="C886" s="3">
        <v>3</v>
      </c>
      <c r="D886" s="5">
        <v>9.99</v>
      </c>
      <c r="E886" s="3" t="s">
        <v>2076</v>
      </c>
      <c r="F886" s="2" t="s">
        <v>413</v>
      </c>
      <c r="G886" s="6" t="s">
        <v>156</v>
      </c>
      <c r="H886" s="2" t="s">
        <v>1473</v>
      </c>
      <c r="I886" s="2" t="s">
        <v>1426</v>
      </c>
      <c r="J886" s="2" t="s">
        <v>19</v>
      </c>
      <c r="K886" s="2" t="s">
        <v>990</v>
      </c>
      <c r="L886" s="7" t="str">
        <f t="shared" si="9"/>
        <v xml:space="preserve">http://slimages.macys.com/is/image/MCY/15161436 </v>
      </c>
    </row>
    <row r="887" spans="1:12" ht="24.75" x14ac:dyDescent="0.25">
      <c r="A887" s="4" t="s">
        <v>5297</v>
      </c>
      <c r="B887" s="2" t="s">
        <v>2083</v>
      </c>
      <c r="C887" s="3">
        <v>1</v>
      </c>
      <c r="D887" s="5">
        <v>9.99</v>
      </c>
      <c r="E887" s="3" t="s">
        <v>3251</v>
      </c>
      <c r="F887" s="2" t="s">
        <v>15</v>
      </c>
      <c r="G887" s="6"/>
      <c r="H887" s="2" t="s">
        <v>1425</v>
      </c>
      <c r="I887" s="2" t="s">
        <v>1426</v>
      </c>
      <c r="J887" s="2" t="s">
        <v>19</v>
      </c>
      <c r="K887" s="2" t="s">
        <v>648</v>
      </c>
      <c r="L887" s="7" t="str">
        <f>HYPERLINK("http://slimages.macys.com/is/image/MCY/12315459 ")</f>
        <v xml:space="preserve">http://slimages.macys.com/is/image/MCY/12315459 </v>
      </c>
    </row>
    <row r="888" spans="1:12" ht="24.75" x14ac:dyDescent="0.25">
      <c r="A888" s="4" t="s">
        <v>5298</v>
      </c>
      <c r="B888" s="2" t="s">
        <v>2083</v>
      </c>
      <c r="C888" s="3">
        <v>1</v>
      </c>
      <c r="D888" s="5">
        <v>9.99</v>
      </c>
      <c r="E888" s="3" t="s">
        <v>2084</v>
      </c>
      <c r="F888" s="2" t="s">
        <v>74</v>
      </c>
      <c r="G888" s="6" t="s">
        <v>154</v>
      </c>
      <c r="H888" s="2" t="s">
        <v>1473</v>
      </c>
      <c r="I888" s="2" t="s">
        <v>1426</v>
      </c>
      <c r="J888" s="2" t="s">
        <v>19</v>
      </c>
      <c r="K888" s="2" t="s">
        <v>648</v>
      </c>
      <c r="L888" s="7" t="str">
        <f t="shared" ref="L888:L893" si="10">HYPERLINK("http://slimages.macys.com/is/image/MCY/10703349 ")</f>
        <v xml:space="preserve">http://slimages.macys.com/is/image/MCY/10703349 </v>
      </c>
    </row>
    <row r="889" spans="1:12" ht="24.75" x14ac:dyDescent="0.25">
      <c r="A889" s="4" t="s">
        <v>5299</v>
      </c>
      <c r="B889" s="2" t="s">
        <v>2083</v>
      </c>
      <c r="C889" s="3">
        <v>1</v>
      </c>
      <c r="D889" s="5">
        <v>9.99</v>
      </c>
      <c r="E889" s="3" t="s">
        <v>2084</v>
      </c>
      <c r="F889" s="2" t="s">
        <v>136</v>
      </c>
      <c r="G889" s="6" t="s">
        <v>234</v>
      </c>
      <c r="H889" s="2" t="s">
        <v>1473</v>
      </c>
      <c r="I889" s="2" t="s">
        <v>1426</v>
      </c>
      <c r="J889" s="2" t="s">
        <v>19</v>
      </c>
      <c r="K889" s="2" t="s">
        <v>648</v>
      </c>
      <c r="L889" s="7" t="str">
        <f t="shared" si="10"/>
        <v xml:space="preserve">http://slimages.macys.com/is/image/MCY/10703349 </v>
      </c>
    </row>
    <row r="890" spans="1:12" ht="24.75" x14ac:dyDescent="0.25">
      <c r="A890" s="4" t="s">
        <v>5300</v>
      </c>
      <c r="B890" s="2" t="s">
        <v>2083</v>
      </c>
      <c r="C890" s="3">
        <v>1</v>
      </c>
      <c r="D890" s="5">
        <v>9.99</v>
      </c>
      <c r="E890" s="3" t="s">
        <v>2084</v>
      </c>
      <c r="F890" s="2" t="s">
        <v>136</v>
      </c>
      <c r="G890" s="6" t="s">
        <v>245</v>
      </c>
      <c r="H890" s="2" t="s">
        <v>1473</v>
      </c>
      <c r="I890" s="2" t="s">
        <v>1426</v>
      </c>
      <c r="J890" s="2" t="s">
        <v>19</v>
      </c>
      <c r="K890" s="2" t="s">
        <v>648</v>
      </c>
      <c r="L890" s="7" t="str">
        <f t="shared" si="10"/>
        <v xml:space="preserve">http://slimages.macys.com/is/image/MCY/10703349 </v>
      </c>
    </row>
    <row r="891" spans="1:12" ht="24.75" x14ac:dyDescent="0.25">
      <c r="A891" s="4" t="s">
        <v>3249</v>
      </c>
      <c r="B891" s="2" t="s">
        <v>2083</v>
      </c>
      <c r="C891" s="3">
        <v>1</v>
      </c>
      <c r="D891" s="5">
        <v>9.99</v>
      </c>
      <c r="E891" s="3" t="s">
        <v>2084</v>
      </c>
      <c r="F891" s="2" t="s">
        <v>417</v>
      </c>
      <c r="G891" s="6" t="s">
        <v>154</v>
      </c>
      <c r="H891" s="2" t="s">
        <v>1473</v>
      </c>
      <c r="I891" s="2" t="s">
        <v>1426</v>
      </c>
      <c r="J891" s="2" t="s">
        <v>19</v>
      </c>
      <c r="K891" s="2" t="s">
        <v>648</v>
      </c>
      <c r="L891" s="7" t="str">
        <f t="shared" si="10"/>
        <v xml:space="preserve">http://slimages.macys.com/is/image/MCY/10703349 </v>
      </c>
    </row>
    <row r="892" spans="1:12" ht="24.75" x14ac:dyDescent="0.25">
      <c r="A892" s="4" t="s">
        <v>4336</v>
      </c>
      <c r="B892" s="2" t="s">
        <v>2083</v>
      </c>
      <c r="C892" s="3">
        <v>2</v>
      </c>
      <c r="D892" s="5">
        <v>9.99</v>
      </c>
      <c r="E892" s="3" t="s">
        <v>2084</v>
      </c>
      <c r="F892" s="2" t="s">
        <v>136</v>
      </c>
      <c r="G892" s="6" t="s">
        <v>154</v>
      </c>
      <c r="H892" s="2" t="s">
        <v>1473</v>
      </c>
      <c r="I892" s="2" t="s">
        <v>1426</v>
      </c>
      <c r="J892" s="2" t="s">
        <v>19</v>
      </c>
      <c r="K892" s="2" t="s">
        <v>648</v>
      </c>
      <c r="L892" s="7" t="str">
        <f t="shared" si="10"/>
        <v xml:space="preserve">http://slimages.macys.com/is/image/MCY/10703349 </v>
      </c>
    </row>
    <row r="893" spans="1:12" ht="24.75" x14ac:dyDescent="0.25">
      <c r="A893" s="4" t="s">
        <v>5301</v>
      </c>
      <c r="B893" s="2" t="s">
        <v>2083</v>
      </c>
      <c r="C893" s="3">
        <v>1</v>
      </c>
      <c r="D893" s="5">
        <v>9.99</v>
      </c>
      <c r="E893" s="3" t="s">
        <v>2084</v>
      </c>
      <c r="F893" s="2" t="s">
        <v>33</v>
      </c>
      <c r="G893" s="6" t="s">
        <v>154</v>
      </c>
      <c r="H893" s="2" t="s">
        <v>1473</v>
      </c>
      <c r="I893" s="2" t="s">
        <v>1426</v>
      </c>
      <c r="J893" s="2" t="s">
        <v>19</v>
      </c>
      <c r="K893" s="2" t="s">
        <v>648</v>
      </c>
      <c r="L893" s="7" t="str">
        <f t="shared" si="10"/>
        <v xml:space="preserve">http://slimages.macys.com/is/image/MCY/10703349 </v>
      </c>
    </row>
    <row r="894" spans="1:12" ht="24.75" x14ac:dyDescent="0.25">
      <c r="A894" s="4" t="s">
        <v>5302</v>
      </c>
      <c r="B894" s="2" t="s">
        <v>2083</v>
      </c>
      <c r="C894" s="3">
        <v>1</v>
      </c>
      <c r="D894" s="5">
        <v>9.99</v>
      </c>
      <c r="E894" s="3" t="s">
        <v>3251</v>
      </c>
      <c r="F894" s="2" t="s">
        <v>33</v>
      </c>
      <c r="G894" s="6" t="s">
        <v>219</v>
      </c>
      <c r="H894" s="2" t="s">
        <v>1425</v>
      </c>
      <c r="I894" s="2" t="s">
        <v>1426</v>
      </c>
      <c r="J894" s="2" t="s">
        <v>19</v>
      </c>
      <c r="K894" s="2" t="s">
        <v>648</v>
      </c>
      <c r="L894" s="7" t="str">
        <f>HYPERLINK("http://slimages.macys.com/is/image/MCY/12315459 ")</f>
        <v xml:space="preserve">http://slimages.macys.com/is/image/MCY/12315459 </v>
      </c>
    </row>
    <row r="895" spans="1:12" ht="24.75" x14ac:dyDescent="0.25">
      <c r="A895" s="4" t="s">
        <v>5303</v>
      </c>
      <c r="B895" s="2" t="s">
        <v>2087</v>
      </c>
      <c r="C895" s="3">
        <v>1</v>
      </c>
      <c r="D895" s="5">
        <v>9.99</v>
      </c>
      <c r="E895" s="3" t="s">
        <v>2088</v>
      </c>
      <c r="F895" s="2" t="s">
        <v>413</v>
      </c>
      <c r="G895" s="6" t="s">
        <v>181</v>
      </c>
      <c r="H895" s="2" t="s">
        <v>1473</v>
      </c>
      <c r="I895" s="2" t="s">
        <v>1426</v>
      </c>
      <c r="J895" s="2" t="s">
        <v>19</v>
      </c>
      <c r="K895" s="2" t="s">
        <v>648</v>
      </c>
      <c r="L895" s="7" t="str">
        <f>HYPERLINK("http://slimages.macys.com/is/image/MCY/3559834 ")</f>
        <v xml:space="preserve">http://slimages.macys.com/is/image/MCY/3559834 </v>
      </c>
    </row>
    <row r="896" spans="1:12" ht="24.75" x14ac:dyDescent="0.25">
      <c r="A896" s="4" t="s">
        <v>5304</v>
      </c>
      <c r="B896" s="2" t="s">
        <v>5305</v>
      </c>
      <c r="C896" s="3">
        <v>1</v>
      </c>
      <c r="D896" s="5">
        <v>9.99</v>
      </c>
      <c r="E896" s="3" t="s">
        <v>5306</v>
      </c>
      <c r="F896" s="2" t="s">
        <v>1322</v>
      </c>
      <c r="G896" s="6" t="s">
        <v>181</v>
      </c>
      <c r="H896" s="2" t="s">
        <v>1473</v>
      </c>
      <c r="I896" s="2" t="s">
        <v>1426</v>
      </c>
      <c r="J896" s="2" t="s">
        <v>19</v>
      </c>
      <c r="K896" s="2" t="s">
        <v>495</v>
      </c>
      <c r="L896" s="7" t="str">
        <f>HYPERLINK("http://slimages.macys.com/is/image/MCY/12326968 ")</f>
        <v xml:space="preserve">http://slimages.macys.com/is/image/MCY/12326968 </v>
      </c>
    </row>
    <row r="897" spans="1:12" ht="24.75" x14ac:dyDescent="0.25">
      <c r="A897" s="4" t="s">
        <v>5307</v>
      </c>
      <c r="B897" s="2" t="s">
        <v>5305</v>
      </c>
      <c r="C897" s="3">
        <v>1</v>
      </c>
      <c r="D897" s="5">
        <v>9.99</v>
      </c>
      <c r="E897" s="3" t="s">
        <v>5306</v>
      </c>
      <c r="F897" s="2" t="s">
        <v>1322</v>
      </c>
      <c r="G897" s="6" t="s">
        <v>156</v>
      </c>
      <c r="H897" s="2" t="s">
        <v>1473</v>
      </c>
      <c r="I897" s="2" t="s">
        <v>1426</v>
      </c>
      <c r="J897" s="2" t="s">
        <v>19</v>
      </c>
      <c r="K897" s="2" t="s">
        <v>495</v>
      </c>
      <c r="L897" s="7" t="str">
        <f>HYPERLINK("http://slimages.macys.com/is/image/MCY/12326968 ")</f>
        <v xml:space="preserve">http://slimages.macys.com/is/image/MCY/12326968 </v>
      </c>
    </row>
    <row r="898" spans="1:12" ht="24.75" x14ac:dyDescent="0.25">
      <c r="A898" s="4" t="s">
        <v>5308</v>
      </c>
      <c r="B898" s="2" t="s">
        <v>5305</v>
      </c>
      <c r="C898" s="3">
        <v>1</v>
      </c>
      <c r="D898" s="5">
        <v>9.99</v>
      </c>
      <c r="E898" s="3" t="s">
        <v>5306</v>
      </c>
      <c r="F898" s="2" t="s">
        <v>15</v>
      </c>
      <c r="G898" s="6" t="s">
        <v>156</v>
      </c>
      <c r="H898" s="2" t="s">
        <v>1473</v>
      </c>
      <c r="I898" s="2" t="s">
        <v>1426</v>
      </c>
      <c r="J898" s="2" t="s">
        <v>19</v>
      </c>
      <c r="K898" s="2" t="s">
        <v>495</v>
      </c>
      <c r="L898" s="7" t="str">
        <f>HYPERLINK("http://slimages.macys.com/is/image/MCY/12326968 ")</f>
        <v xml:space="preserve">http://slimages.macys.com/is/image/MCY/12326968 </v>
      </c>
    </row>
    <row r="899" spans="1:12" ht="24.75" x14ac:dyDescent="0.25">
      <c r="A899" s="4" t="s">
        <v>5309</v>
      </c>
      <c r="B899" s="2" t="s">
        <v>2090</v>
      </c>
      <c r="C899" s="3">
        <v>1</v>
      </c>
      <c r="D899" s="5">
        <v>9.99</v>
      </c>
      <c r="E899" s="3" t="s">
        <v>2091</v>
      </c>
      <c r="F899" s="2" t="s">
        <v>94</v>
      </c>
      <c r="G899" s="6" t="s">
        <v>156</v>
      </c>
      <c r="H899" s="2" t="s">
        <v>1473</v>
      </c>
      <c r="I899" s="2" t="s">
        <v>1426</v>
      </c>
      <c r="J899" s="2" t="s">
        <v>19</v>
      </c>
      <c r="K899" s="2" t="s">
        <v>495</v>
      </c>
      <c r="L899" s="7" t="str">
        <f>HYPERLINK("http://slimages.macys.com/is/image/MCY/11531541 ")</f>
        <v xml:space="preserve">http://slimages.macys.com/is/image/MCY/11531541 </v>
      </c>
    </row>
    <row r="900" spans="1:12" ht="24.75" x14ac:dyDescent="0.25">
      <c r="A900" s="4" t="s">
        <v>5310</v>
      </c>
      <c r="B900" s="2" t="s">
        <v>2083</v>
      </c>
      <c r="C900" s="3">
        <v>1</v>
      </c>
      <c r="D900" s="5">
        <v>9.99</v>
      </c>
      <c r="E900" s="3" t="s">
        <v>3251</v>
      </c>
      <c r="F900" s="2" t="s">
        <v>74</v>
      </c>
      <c r="G900" s="6"/>
      <c r="H900" s="2" t="s">
        <v>1425</v>
      </c>
      <c r="I900" s="2" t="s">
        <v>1426</v>
      </c>
      <c r="J900" s="2" t="s">
        <v>19</v>
      </c>
      <c r="K900" s="2" t="s">
        <v>648</v>
      </c>
      <c r="L900" s="7" t="str">
        <f>HYPERLINK("http://slimages.macys.com/is/image/MCY/12315459 ")</f>
        <v xml:space="preserve">http://slimages.macys.com/is/image/MCY/12315459 </v>
      </c>
    </row>
    <row r="901" spans="1:12" ht="24.75" x14ac:dyDescent="0.25">
      <c r="A901" s="4" t="s">
        <v>5311</v>
      </c>
      <c r="B901" s="2" t="s">
        <v>5312</v>
      </c>
      <c r="C901" s="3">
        <v>1</v>
      </c>
      <c r="D901" s="5">
        <v>9.99</v>
      </c>
      <c r="E901" s="3" t="s">
        <v>5313</v>
      </c>
      <c r="F901" s="2" t="s">
        <v>417</v>
      </c>
      <c r="G901" s="6" t="s">
        <v>156</v>
      </c>
      <c r="H901" s="2" t="s">
        <v>1473</v>
      </c>
      <c r="I901" s="2" t="s">
        <v>1426</v>
      </c>
      <c r="J901" s="2" t="s">
        <v>19</v>
      </c>
      <c r="K901" s="2" t="s">
        <v>495</v>
      </c>
      <c r="L901" s="7" t="str">
        <f>HYPERLINK("http://slimages.macys.com/is/image/MCY/11774945 ")</f>
        <v xml:space="preserve">http://slimages.macys.com/is/image/MCY/11774945 </v>
      </c>
    </row>
    <row r="902" spans="1:12" ht="24.75" x14ac:dyDescent="0.25">
      <c r="A902" s="4" t="s">
        <v>5314</v>
      </c>
      <c r="B902" s="2" t="s">
        <v>4360</v>
      </c>
      <c r="C902" s="3">
        <v>1</v>
      </c>
      <c r="D902" s="5">
        <v>9.99</v>
      </c>
      <c r="E902" s="3" t="s">
        <v>4361</v>
      </c>
      <c r="F902" s="2" t="s">
        <v>15</v>
      </c>
      <c r="G902" s="6" t="s">
        <v>219</v>
      </c>
      <c r="H902" s="2" t="s">
        <v>1425</v>
      </c>
      <c r="I902" s="2" t="s">
        <v>1426</v>
      </c>
      <c r="J902" s="2" t="s">
        <v>19</v>
      </c>
      <c r="K902" s="2" t="s">
        <v>495</v>
      </c>
      <c r="L902" s="7" t="str">
        <f>HYPERLINK("http://slimages.macys.com/is/image/MCY/12269183 ")</f>
        <v xml:space="preserve">http://slimages.macys.com/is/image/MCY/12269183 </v>
      </c>
    </row>
    <row r="903" spans="1:12" ht="24.75" x14ac:dyDescent="0.25">
      <c r="A903" s="4" t="s">
        <v>5315</v>
      </c>
      <c r="B903" s="2" t="s">
        <v>5316</v>
      </c>
      <c r="C903" s="3">
        <v>3</v>
      </c>
      <c r="D903" s="5">
        <v>9.99</v>
      </c>
      <c r="E903" s="3" t="s">
        <v>5317</v>
      </c>
      <c r="F903" s="2" t="s">
        <v>33</v>
      </c>
      <c r="G903" s="6" t="s">
        <v>156</v>
      </c>
      <c r="H903" s="2" t="s">
        <v>1473</v>
      </c>
      <c r="I903" s="2" t="s">
        <v>1426</v>
      </c>
      <c r="J903" s="2" t="s">
        <v>19</v>
      </c>
      <c r="K903" s="2" t="s">
        <v>495</v>
      </c>
      <c r="L903" s="7" t="str">
        <f>HYPERLINK("http://slimages.macys.com/is/image/MCY/12269156 ")</f>
        <v xml:space="preserve">http://slimages.macys.com/is/image/MCY/12269156 </v>
      </c>
    </row>
    <row r="904" spans="1:12" ht="24.75" x14ac:dyDescent="0.25">
      <c r="A904" s="4" t="s">
        <v>5318</v>
      </c>
      <c r="B904" s="2" t="s">
        <v>2110</v>
      </c>
      <c r="C904" s="3">
        <v>1</v>
      </c>
      <c r="D904" s="5">
        <v>9.99</v>
      </c>
      <c r="E904" s="3" t="s">
        <v>2111</v>
      </c>
      <c r="F904" s="2" t="s">
        <v>15</v>
      </c>
      <c r="G904" s="6" t="s">
        <v>156</v>
      </c>
      <c r="H904" s="2" t="s">
        <v>1473</v>
      </c>
      <c r="I904" s="2" t="s">
        <v>1426</v>
      </c>
      <c r="J904" s="2" t="s">
        <v>19</v>
      </c>
      <c r="K904" s="2" t="s">
        <v>648</v>
      </c>
      <c r="L904" s="7" t="str">
        <f>HYPERLINK("http://slimages.macys.com/is/image/MCY/10746456 ")</f>
        <v xml:space="preserve">http://slimages.macys.com/is/image/MCY/10746456 </v>
      </c>
    </row>
    <row r="905" spans="1:12" ht="24.75" x14ac:dyDescent="0.25">
      <c r="A905" s="4" t="s">
        <v>5319</v>
      </c>
      <c r="B905" s="2" t="s">
        <v>4356</v>
      </c>
      <c r="C905" s="3">
        <v>2</v>
      </c>
      <c r="D905" s="5">
        <v>9.99</v>
      </c>
      <c r="E905" s="3" t="s">
        <v>4357</v>
      </c>
      <c r="F905" s="2" t="s">
        <v>15</v>
      </c>
      <c r="G905" s="6" t="s">
        <v>154</v>
      </c>
      <c r="H905" s="2" t="s">
        <v>1473</v>
      </c>
      <c r="I905" s="2" t="s">
        <v>1426</v>
      </c>
      <c r="J905" s="2" t="s">
        <v>19</v>
      </c>
      <c r="K905" s="2" t="s">
        <v>495</v>
      </c>
      <c r="L905" s="7" t="str">
        <f>HYPERLINK("http://slimages.macys.com/is/image/MCY/12269182 ")</f>
        <v xml:space="preserve">http://slimages.macys.com/is/image/MCY/12269182 </v>
      </c>
    </row>
    <row r="906" spans="1:12" ht="24.75" x14ac:dyDescent="0.25">
      <c r="A906" s="4" t="s">
        <v>5320</v>
      </c>
      <c r="B906" s="2" t="s">
        <v>4356</v>
      </c>
      <c r="C906" s="3">
        <v>1</v>
      </c>
      <c r="D906" s="5">
        <v>9.99</v>
      </c>
      <c r="E906" s="3" t="s">
        <v>4357</v>
      </c>
      <c r="F906" s="2" t="s">
        <v>15</v>
      </c>
      <c r="G906" s="6" t="s">
        <v>234</v>
      </c>
      <c r="H906" s="2" t="s">
        <v>1473</v>
      </c>
      <c r="I906" s="2" t="s">
        <v>1426</v>
      </c>
      <c r="J906" s="2" t="s">
        <v>19</v>
      </c>
      <c r="K906" s="2" t="s">
        <v>495</v>
      </c>
      <c r="L906" s="7" t="str">
        <f>HYPERLINK("http://slimages.macys.com/is/image/MCY/12269182 ")</f>
        <v xml:space="preserve">http://slimages.macys.com/is/image/MCY/12269182 </v>
      </c>
    </row>
    <row r="907" spans="1:12" ht="24.75" x14ac:dyDescent="0.25">
      <c r="A907" s="4" t="s">
        <v>4355</v>
      </c>
      <c r="B907" s="2" t="s">
        <v>4356</v>
      </c>
      <c r="C907" s="3">
        <v>2</v>
      </c>
      <c r="D907" s="5">
        <v>9.99</v>
      </c>
      <c r="E907" s="3" t="s">
        <v>4357</v>
      </c>
      <c r="F907" s="2" t="s">
        <v>15</v>
      </c>
      <c r="G907" s="6" t="s">
        <v>181</v>
      </c>
      <c r="H907" s="2" t="s">
        <v>1473</v>
      </c>
      <c r="I907" s="2" t="s">
        <v>1426</v>
      </c>
      <c r="J907" s="2" t="s">
        <v>19</v>
      </c>
      <c r="K907" s="2" t="s">
        <v>495</v>
      </c>
      <c r="L907" s="7" t="str">
        <f>HYPERLINK("http://slimages.macys.com/is/image/MCY/12269182 ")</f>
        <v xml:space="preserve">http://slimages.macys.com/is/image/MCY/12269182 </v>
      </c>
    </row>
    <row r="908" spans="1:12" ht="24.75" x14ac:dyDescent="0.25">
      <c r="A908" s="4" t="s">
        <v>5321</v>
      </c>
      <c r="B908" s="2" t="s">
        <v>3265</v>
      </c>
      <c r="C908" s="3">
        <v>2</v>
      </c>
      <c r="D908" s="5">
        <v>9.99</v>
      </c>
      <c r="E908" s="3" t="s">
        <v>3266</v>
      </c>
      <c r="F908" s="2" t="s">
        <v>3267</v>
      </c>
      <c r="G908" s="6" t="s">
        <v>200</v>
      </c>
      <c r="H908" s="2" t="s">
        <v>1473</v>
      </c>
      <c r="I908" s="2" t="s">
        <v>1426</v>
      </c>
      <c r="J908" s="2" t="s">
        <v>19</v>
      </c>
      <c r="K908" s="2" t="s">
        <v>495</v>
      </c>
      <c r="L908" s="7" t="str">
        <f>HYPERLINK("http://slimages.macys.com/is/image/MCY/11532809 ")</f>
        <v xml:space="preserve">http://slimages.macys.com/is/image/MCY/11532809 </v>
      </c>
    </row>
    <row r="909" spans="1:12" ht="24.75" x14ac:dyDescent="0.25">
      <c r="A909" s="4" t="s">
        <v>3264</v>
      </c>
      <c r="B909" s="2" t="s">
        <v>3265</v>
      </c>
      <c r="C909" s="3">
        <v>3</v>
      </c>
      <c r="D909" s="5">
        <v>9.99</v>
      </c>
      <c r="E909" s="3" t="s">
        <v>3266</v>
      </c>
      <c r="F909" s="2" t="s">
        <v>3267</v>
      </c>
      <c r="G909" s="6" t="s">
        <v>234</v>
      </c>
      <c r="H909" s="2" t="s">
        <v>1473</v>
      </c>
      <c r="I909" s="2" t="s">
        <v>1426</v>
      </c>
      <c r="J909" s="2" t="s">
        <v>19</v>
      </c>
      <c r="K909" s="2" t="s">
        <v>495</v>
      </c>
      <c r="L909" s="7" t="str">
        <f>HYPERLINK("http://slimages.macys.com/is/image/MCY/11532809 ")</f>
        <v xml:space="preserve">http://slimages.macys.com/is/image/MCY/11532809 </v>
      </c>
    </row>
    <row r="910" spans="1:12" ht="24.75" x14ac:dyDescent="0.25">
      <c r="A910" s="4" t="s">
        <v>3273</v>
      </c>
      <c r="B910" s="2" t="s">
        <v>3265</v>
      </c>
      <c r="C910" s="3">
        <v>3</v>
      </c>
      <c r="D910" s="5">
        <v>9.99</v>
      </c>
      <c r="E910" s="3" t="s">
        <v>3266</v>
      </c>
      <c r="F910" s="2" t="s">
        <v>3267</v>
      </c>
      <c r="G910" s="6" t="s">
        <v>154</v>
      </c>
      <c r="H910" s="2" t="s">
        <v>1473</v>
      </c>
      <c r="I910" s="2" t="s">
        <v>1426</v>
      </c>
      <c r="J910" s="2" t="s">
        <v>19</v>
      </c>
      <c r="K910" s="2" t="s">
        <v>495</v>
      </c>
      <c r="L910" s="7" t="str">
        <f>HYPERLINK("http://slimages.macys.com/is/image/MCY/11532809 ")</f>
        <v xml:space="preserve">http://slimages.macys.com/is/image/MCY/11532809 </v>
      </c>
    </row>
    <row r="911" spans="1:12" ht="24.75" x14ac:dyDescent="0.25">
      <c r="A911" s="4" t="s">
        <v>5322</v>
      </c>
      <c r="B911" s="2" t="s">
        <v>5312</v>
      </c>
      <c r="C911" s="3">
        <v>3</v>
      </c>
      <c r="D911" s="5">
        <v>9.99</v>
      </c>
      <c r="E911" s="3" t="s">
        <v>5313</v>
      </c>
      <c r="F911" s="2" t="s">
        <v>417</v>
      </c>
      <c r="G911" s="6" t="s">
        <v>181</v>
      </c>
      <c r="H911" s="2" t="s">
        <v>1473</v>
      </c>
      <c r="I911" s="2" t="s">
        <v>1426</v>
      </c>
      <c r="J911" s="2" t="s">
        <v>19</v>
      </c>
      <c r="K911" s="2" t="s">
        <v>495</v>
      </c>
      <c r="L911" s="7" t="str">
        <f>HYPERLINK("http://slimages.macys.com/is/image/MCY/11774945 ")</f>
        <v xml:space="preserve">http://slimages.macys.com/is/image/MCY/11774945 </v>
      </c>
    </row>
    <row r="912" spans="1:12" ht="24.75" x14ac:dyDescent="0.25">
      <c r="A912" s="4" t="s">
        <v>5323</v>
      </c>
      <c r="B912" s="2" t="s">
        <v>5312</v>
      </c>
      <c r="C912" s="3">
        <v>2</v>
      </c>
      <c r="D912" s="5">
        <v>9.99</v>
      </c>
      <c r="E912" s="3" t="s">
        <v>5313</v>
      </c>
      <c r="F912" s="2" t="s">
        <v>417</v>
      </c>
      <c r="G912" s="6" t="s">
        <v>234</v>
      </c>
      <c r="H912" s="2" t="s">
        <v>1473</v>
      </c>
      <c r="I912" s="2" t="s">
        <v>1426</v>
      </c>
      <c r="J912" s="2" t="s">
        <v>19</v>
      </c>
      <c r="K912" s="2" t="s">
        <v>495</v>
      </c>
      <c r="L912" s="7" t="str">
        <f>HYPERLINK("http://slimages.macys.com/is/image/MCY/11774945 ")</f>
        <v xml:space="preserve">http://slimages.macys.com/is/image/MCY/11774945 </v>
      </c>
    </row>
    <row r="913" spans="1:12" ht="24.75" x14ac:dyDescent="0.25">
      <c r="A913" s="4" t="s">
        <v>5324</v>
      </c>
      <c r="B913" s="2" t="s">
        <v>5316</v>
      </c>
      <c r="C913" s="3">
        <v>3</v>
      </c>
      <c r="D913" s="5">
        <v>9.99</v>
      </c>
      <c r="E913" s="3" t="s">
        <v>5317</v>
      </c>
      <c r="F913" s="2" t="s">
        <v>33</v>
      </c>
      <c r="G913" s="6" t="s">
        <v>154</v>
      </c>
      <c r="H913" s="2" t="s">
        <v>1473</v>
      </c>
      <c r="I913" s="2" t="s">
        <v>1426</v>
      </c>
      <c r="J913" s="2" t="s">
        <v>19</v>
      </c>
      <c r="K913" s="2" t="s">
        <v>495</v>
      </c>
      <c r="L913" s="7" t="str">
        <f>HYPERLINK("http://slimages.macys.com/is/image/MCY/12269156 ")</f>
        <v xml:space="preserve">http://slimages.macys.com/is/image/MCY/12269156 </v>
      </c>
    </row>
    <row r="914" spans="1:12" ht="24.75" x14ac:dyDescent="0.25">
      <c r="A914" s="4" t="s">
        <v>5325</v>
      </c>
      <c r="B914" s="2" t="s">
        <v>5316</v>
      </c>
      <c r="C914" s="3">
        <v>2</v>
      </c>
      <c r="D914" s="5">
        <v>9.99</v>
      </c>
      <c r="E914" s="3" t="s">
        <v>5317</v>
      </c>
      <c r="F914" s="2" t="s">
        <v>33</v>
      </c>
      <c r="G914" s="6" t="s">
        <v>181</v>
      </c>
      <c r="H914" s="2" t="s">
        <v>1473</v>
      </c>
      <c r="I914" s="2" t="s">
        <v>1426</v>
      </c>
      <c r="J914" s="2" t="s">
        <v>19</v>
      </c>
      <c r="K914" s="2" t="s">
        <v>495</v>
      </c>
      <c r="L914" s="7" t="str">
        <f>HYPERLINK("http://slimages.macys.com/is/image/MCY/12269156 ")</f>
        <v xml:space="preserve">http://slimages.macys.com/is/image/MCY/12269156 </v>
      </c>
    </row>
    <row r="915" spans="1:12" ht="24.75" x14ac:dyDescent="0.25">
      <c r="A915" s="4" t="s">
        <v>5326</v>
      </c>
      <c r="B915" s="2" t="s">
        <v>3265</v>
      </c>
      <c r="C915" s="3">
        <v>7</v>
      </c>
      <c r="D915" s="5">
        <v>9.99</v>
      </c>
      <c r="E915" s="3" t="s">
        <v>3266</v>
      </c>
      <c r="F915" s="2" t="s">
        <v>3267</v>
      </c>
      <c r="G915" s="6" t="s">
        <v>181</v>
      </c>
      <c r="H915" s="2" t="s">
        <v>1473</v>
      </c>
      <c r="I915" s="2" t="s">
        <v>1426</v>
      </c>
      <c r="J915" s="2" t="s">
        <v>19</v>
      </c>
      <c r="K915" s="2" t="s">
        <v>495</v>
      </c>
      <c r="L915" s="7" t="str">
        <f>HYPERLINK("http://slimages.macys.com/is/image/MCY/11532809 ")</f>
        <v xml:space="preserve">http://slimages.macys.com/is/image/MCY/11532809 </v>
      </c>
    </row>
    <row r="916" spans="1:12" ht="24.75" x14ac:dyDescent="0.25">
      <c r="A916" s="4" t="s">
        <v>3268</v>
      </c>
      <c r="B916" s="2" t="s">
        <v>3265</v>
      </c>
      <c r="C916" s="3">
        <v>1</v>
      </c>
      <c r="D916" s="5">
        <v>9.99</v>
      </c>
      <c r="E916" s="3" t="s">
        <v>3266</v>
      </c>
      <c r="F916" s="2" t="s">
        <v>3267</v>
      </c>
      <c r="G916" s="6" t="s">
        <v>156</v>
      </c>
      <c r="H916" s="2" t="s">
        <v>1473</v>
      </c>
      <c r="I916" s="2" t="s">
        <v>1426</v>
      </c>
      <c r="J916" s="2" t="s">
        <v>19</v>
      </c>
      <c r="K916" s="2" t="s">
        <v>495</v>
      </c>
      <c r="L916" s="7" t="str">
        <f>HYPERLINK("http://slimages.macys.com/is/image/MCY/11532809 ")</f>
        <v xml:space="preserve">http://slimages.macys.com/is/image/MCY/11532809 </v>
      </c>
    </row>
    <row r="917" spans="1:12" ht="24.75" x14ac:dyDescent="0.25">
      <c r="A917" s="4" t="s">
        <v>5327</v>
      </c>
      <c r="B917" s="2" t="s">
        <v>2113</v>
      </c>
      <c r="C917" s="3">
        <v>1</v>
      </c>
      <c r="D917" s="5">
        <v>9.99</v>
      </c>
      <c r="E917" s="3" t="s">
        <v>2114</v>
      </c>
      <c r="F917" s="2" t="s">
        <v>26</v>
      </c>
      <c r="G917" s="6"/>
      <c r="H917" s="2" t="s">
        <v>1425</v>
      </c>
      <c r="I917" s="2" t="s">
        <v>1426</v>
      </c>
      <c r="J917" s="2" t="s">
        <v>19</v>
      </c>
      <c r="K917" s="2" t="s">
        <v>648</v>
      </c>
      <c r="L917" s="7" t="str">
        <f>HYPERLINK("http://slimages.macys.com/is/image/MCY/10703601 ")</f>
        <v xml:space="preserve">http://slimages.macys.com/is/image/MCY/10703601 </v>
      </c>
    </row>
    <row r="918" spans="1:12" ht="24.75" x14ac:dyDescent="0.25">
      <c r="A918" s="4" t="s">
        <v>5328</v>
      </c>
      <c r="B918" s="2" t="s">
        <v>2113</v>
      </c>
      <c r="C918" s="3">
        <v>1</v>
      </c>
      <c r="D918" s="5">
        <v>9.99</v>
      </c>
      <c r="E918" s="3" t="s">
        <v>2114</v>
      </c>
      <c r="F918" s="2" t="s">
        <v>413</v>
      </c>
      <c r="G918" s="6" t="s">
        <v>187</v>
      </c>
      <c r="H918" s="2" t="s">
        <v>1425</v>
      </c>
      <c r="I918" s="2" t="s">
        <v>1426</v>
      </c>
      <c r="J918" s="2" t="s">
        <v>19</v>
      </c>
      <c r="K918" s="2" t="s">
        <v>648</v>
      </c>
      <c r="L918" s="7" t="str">
        <f>HYPERLINK("http://slimages.macys.com/is/image/MCY/10703601 ")</f>
        <v xml:space="preserve">http://slimages.macys.com/is/image/MCY/10703601 </v>
      </c>
    </row>
    <row r="919" spans="1:12" ht="24.75" x14ac:dyDescent="0.25">
      <c r="A919" s="4" t="s">
        <v>5329</v>
      </c>
      <c r="B919" s="2" t="s">
        <v>2113</v>
      </c>
      <c r="C919" s="3">
        <v>1</v>
      </c>
      <c r="D919" s="5">
        <v>9.99</v>
      </c>
      <c r="E919" s="3" t="s">
        <v>2114</v>
      </c>
      <c r="F919" s="2" t="s">
        <v>33</v>
      </c>
      <c r="G919" s="6"/>
      <c r="H919" s="2" t="s">
        <v>1425</v>
      </c>
      <c r="I919" s="2" t="s">
        <v>1426</v>
      </c>
      <c r="J919" s="2" t="s">
        <v>19</v>
      </c>
      <c r="K919" s="2" t="s">
        <v>648</v>
      </c>
      <c r="L919" s="7" t="str">
        <f>HYPERLINK("http://slimages.macys.com/is/image/MCY/10703601 ")</f>
        <v xml:space="preserve">http://slimages.macys.com/is/image/MCY/10703601 </v>
      </c>
    </row>
    <row r="920" spans="1:12" ht="24.75" x14ac:dyDescent="0.25">
      <c r="A920" s="4" t="s">
        <v>5330</v>
      </c>
      <c r="B920" s="2" t="s">
        <v>2113</v>
      </c>
      <c r="C920" s="3">
        <v>1</v>
      </c>
      <c r="D920" s="5">
        <v>9.99</v>
      </c>
      <c r="E920" s="3" t="s">
        <v>2114</v>
      </c>
      <c r="F920" s="2" t="s">
        <v>74</v>
      </c>
      <c r="G920" s="6"/>
      <c r="H920" s="2" t="s">
        <v>1425</v>
      </c>
      <c r="I920" s="2" t="s">
        <v>1426</v>
      </c>
      <c r="J920" s="2" t="s">
        <v>19</v>
      </c>
      <c r="K920" s="2" t="s">
        <v>648</v>
      </c>
      <c r="L920" s="7" t="str">
        <f>HYPERLINK("http://slimages.macys.com/is/image/MCY/10703601 ")</f>
        <v xml:space="preserve">http://slimages.macys.com/is/image/MCY/10703601 </v>
      </c>
    </row>
    <row r="921" spans="1:12" ht="24.75" x14ac:dyDescent="0.25">
      <c r="A921" s="4" t="s">
        <v>5331</v>
      </c>
      <c r="B921" s="2" t="s">
        <v>5332</v>
      </c>
      <c r="C921" s="3">
        <v>1</v>
      </c>
      <c r="D921" s="5">
        <v>9.99</v>
      </c>
      <c r="E921" s="3" t="s">
        <v>5333</v>
      </c>
      <c r="F921" s="2" t="s">
        <v>74</v>
      </c>
      <c r="G921" s="6" t="s">
        <v>200</v>
      </c>
      <c r="H921" s="2" t="s">
        <v>2029</v>
      </c>
      <c r="I921" s="2" t="s">
        <v>2030</v>
      </c>
      <c r="J921" s="2" t="s">
        <v>19</v>
      </c>
      <c r="K921" s="2" t="s">
        <v>201</v>
      </c>
      <c r="L921" s="7" t="str">
        <f>HYPERLINK("http://slimages.macys.com/is/image/MCY/9567428 ")</f>
        <v xml:space="preserve">http://slimages.macys.com/is/image/MCY/9567428 </v>
      </c>
    </row>
    <row r="922" spans="1:12" ht="24.75" x14ac:dyDescent="0.25">
      <c r="A922" s="4" t="s">
        <v>5334</v>
      </c>
      <c r="B922" s="2" t="s">
        <v>5335</v>
      </c>
      <c r="C922" s="3">
        <v>1</v>
      </c>
      <c r="D922" s="5">
        <v>59.63</v>
      </c>
      <c r="E922" s="3" t="s">
        <v>5336</v>
      </c>
      <c r="F922" s="2" t="s">
        <v>85</v>
      </c>
      <c r="G922" s="6" t="s">
        <v>234</v>
      </c>
      <c r="H922" s="2" t="s">
        <v>246</v>
      </c>
      <c r="I922" s="2" t="s">
        <v>189</v>
      </c>
      <c r="J922" s="2"/>
      <c r="K922" s="2"/>
      <c r="L922" s="7"/>
    </row>
    <row r="923" spans="1:12" ht="24.75" x14ac:dyDescent="0.25">
      <c r="A923" s="4" t="s">
        <v>5337</v>
      </c>
      <c r="B923" s="2" t="s">
        <v>5338</v>
      </c>
      <c r="C923" s="3">
        <v>1</v>
      </c>
      <c r="D923" s="5">
        <v>33.380000000000003</v>
      </c>
      <c r="E923" s="3" t="s">
        <v>5339</v>
      </c>
      <c r="F923" s="2" t="s">
        <v>26</v>
      </c>
      <c r="G923" s="6" t="s">
        <v>154</v>
      </c>
      <c r="H923" s="2" t="s">
        <v>246</v>
      </c>
      <c r="I923" s="2" t="s">
        <v>189</v>
      </c>
      <c r="J923" s="2"/>
      <c r="K923" s="2"/>
      <c r="L923" s="7"/>
    </row>
    <row r="924" spans="1:12" ht="24.75" x14ac:dyDescent="0.25">
      <c r="A924" s="4" t="s">
        <v>5340</v>
      </c>
      <c r="B924" s="2" t="s">
        <v>4367</v>
      </c>
      <c r="C924" s="3">
        <v>1</v>
      </c>
      <c r="D924" s="5">
        <v>9.99</v>
      </c>
      <c r="E924" s="3" t="s">
        <v>4368</v>
      </c>
      <c r="F924" s="2" t="s">
        <v>33</v>
      </c>
      <c r="G924" s="6" t="s">
        <v>200</v>
      </c>
      <c r="H924" s="2" t="s">
        <v>194</v>
      </c>
      <c r="I924" s="2" t="s">
        <v>195</v>
      </c>
      <c r="J924" s="2"/>
      <c r="K924" s="2"/>
      <c r="L924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3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5341</v>
      </c>
      <c r="B2" s="2" t="s">
        <v>5342</v>
      </c>
      <c r="C2" s="3">
        <v>1</v>
      </c>
      <c r="D2" s="5">
        <v>141.75</v>
      </c>
      <c r="E2" s="3" t="s">
        <v>5343</v>
      </c>
      <c r="F2" s="2" t="s">
        <v>417</v>
      </c>
      <c r="G2" s="6" t="s">
        <v>156</v>
      </c>
      <c r="H2" s="2" t="s">
        <v>5344</v>
      </c>
      <c r="I2" s="2" t="s">
        <v>189</v>
      </c>
      <c r="J2" s="2" t="s">
        <v>19</v>
      </c>
      <c r="K2" s="2" t="s">
        <v>5345</v>
      </c>
      <c r="L2" s="7" t="str">
        <f>HYPERLINK("http://slimages.macys.com/is/image/MCY/14442902 ")</f>
        <v xml:space="preserve">http://slimages.macys.com/is/image/MCY/14442902 </v>
      </c>
    </row>
    <row r="3" spans="1:12" ht="24.75" x14ac:dyDescent="0.25">
      <c r="A3" s="4" t="s">
        <v>4369</v>
      </c>
      <c r="B3" s="2" t="s">
        <v>31</v>
      </c>
      <c r="C3" s="3">
        <v>1</v>
      </c>
      <c r="D3" s="5">
        <v>158</v>
      </c>
      <c r="E3" s="3" t="s">
        <v>32</v>
      </c>
      <c r="F3" s="2" t="s">
        <v>33</v>
      </c>
      <c r="G3" s="6" t="s">
        <v>22</v>
      </c>
      <c r="H3" s="2" t="s">
        <v>17</v>
      </c>
      <c r="I3" s="2" t="s">
        <v>18</v>
      </c>
      <c r="J3" s="2" t="s">
        <v>19</v>
      </c>
      <c r="K3" s="2" t="s">
        <v>34</v>
      </c>
      <c r="L3" s="7" t="str">
        <f>HYPERLINK("http://slimages.macys.com/is/image/MCY/13289754 ")</f>
        <v xml:space="preserve">http://slimages.macys.com/is/image/MCY/13289754 </v>
      </c>
    </row>
    <row r="4" spans="1:12" ht="24.75" x14ac:dyDescent="0.25">
      <c r="A4" s="4" t="s">
        <v>5346</v>
      </c>
      <c r="B4" s="2" t="s">
        <v>5347</v>
      </c>
      <c r="C4" s="3">
        <v>1</v>
      </c>
      <c r="D4" s="5">
        <v>178</v>
      </c>
      <c r="E4" s="3" t="s">
        <v>5348</v>
      </c>
      <c r="F4" s="2" t="s">
        <v>1322</v>
      </c>
      <c r="G4" s="6" t="s">
        <v>65</v>
      </c>
      <c r="H4" s="2" t="s">
        <v>17</v>
      </c>
      <c r="I4" s="2" t="s">
        <v>40</v>
      </c>
      <c r="J4" s="2" t="s">
        <v>19</v>
      </c>
      <c r="K4" s="2" t="s">
        <v>66</v>
      </c>
      <c r="L4" s="7" t="str">
        <f>HYPERLINK("http://slimages.macys.com/is/image/MCY/11452172 ")</f>
        <v xml:space="preserve">http://slimages.macys.com/is/image/MCY/11452172 </v>
      </c>
    </row>
    <row r="5" spans="1:12" ht="24.75" x14ac:dyDescent="0.25">
      <c r="A5" s="4" t="s">
        <v>5349</v>
      </c>
      <c r="B5" s="2" t="s">
        <v>55</v>
      </c>
      <c r="C5" s="3">
        <v>1</v>
      </c>
      <c r="D5" s="5">
        <v>138</v>
      </c>
      <c r="E5" s="3" t="s">
        <v>56</v>
      </c>
      <c r="F5" s="2" t="s">
        <v>57</v>
      </c>
      <c r="G5" s="6" t="s">
        <v>27</v>
      </c>
      <c r="H5" s="2" t="s">
        <v>17</v>
      </c>
      <c r="I5" s="2" t="s">
        <v>18</v>
      </c>
      <c r="J5" s="2" t="s">
        <v>19</v>
      </c>
      <c r="K5" s="2" t="s">
        <v>59</v>
      </c>
      <c r="L5" s="7" t="str">
        <f>HYPERLINK("http://slimages.macys.com/is/image/MCY/12231779 ")</f>
        <v xml:space="preserve">http://slimages.macys.com/is/image/MCY/12231779 </v>
      </c>
    </row>
    <row r="6" spans="1:12" ht="24.75" x14ac:dyDescent="0.25">
      <c r="A6" s="4" t="s">
        <v>5350</v>
      </c>
      <c r="B6" s="2" t="s">
        <v>55</v>
      </c>
      <c r="C6" s="3">
        <v>1</v>
      </c>
      <c r="D6" s="5">
        <v>138</v>
      </c>
      <c r="E6" s="3" t="s">
        <v>56</v>
      </c>
      <c r="F6" s="2" t="s">
        <v>57</v>
      </c>
      <c r="G6" s="6" t="s">
        <v>16</v>
      </c>
      <c r="H6" s="2" t="s">
        <v>17</v>
      </c>
      <c r="I6" s="2" t="s">
        <v>18</v>
      </c>
      <c r="J6" s="2" t="s">
        <v>19</v>
      </c>
      <c r="K6" s="2" t="s">
        <v>59</v>
      </c>
      <c r="L6" s="7" t="str">
        <f>HYPERLINK("http://slimages.macys.com/is/image/MCY/12231779 ")</f>
        <v xml:space="preserve">http://slimages.macys.com/is/image/MCY/12231779 </v>
      </c>
    </row>
    <row r="7" spans="1:12" ht="24.75" x14ac:dyDescent="0.25">
      <c r="A7" s="4" t="s">
        <v>3290</v>
      </c>
      <c r="B7" s="2" t="s">
        <v>3291</v>
      </c>
      <c r="C7" s="3">
        <v>1</v>
      </c>
      <c r="D7" s="5">
        <v>148</v>
      </c>
      <c r="E7" s="3" t="s">
        <v>3292</v>
      </c>
      <c r="F7" s="2" t="s">
        <v>3293</v>
      </c>
      <c r="G7" s="6" t="s">
        <v>16</v>
      </c>
      <c r="H7" s="2" t="s">
        <v>17</v>
      </c>
      <c r="I7" s="2" t="s">
        <v>40</v>
      </c>
      <c r="J7" s="2" t="s">
        <v>19</v>
      </c>
      <c r="K7" s="2" t="s">
        <v>66</v>
      </c>
      <c r="L7" s="7" t="str">
        <f>HYPERLINK("http://slimages.macys.com/is/image/MCY/12645894 ")</f>
        <v xml:space="preserve">http://slimages.macys.com/is/image/MCY/12645894 </v>
      </c>
    </row>
    <row r="8" spans="1:12" ht="24.75" x14ac:dyDescent="0.25">
      <c r="A8" s="4" t="s">
        <v>5351</v>
      </c>
      <c r="B8" s="2" t="s">
        <v>87</v>
      </c>
      <c r="C8" s="3">
        <v>1</v>
      </c>
      <c r="D8" s="5">
        <v>128</v>
      </c>
      <c r="E8" s="3" t="s">
        <v>88</v>
      </c>
      <c r="F8" s="2" t="s">
        <v>89</v>
      </c>
      <c r="G8" s="6" t="s">
        <v>16</v>
      </c>
      <c r="H8" s="2" t="s">
        <v>17</v>
      </c>
      <c r="I8" s="2" t="s">
        <v>18</v>
      </c>
      <c r="J8" s="2" t="s">
        <v>19</v>
      </c>
      <c r="K8" s="2" t="s">
        <v>75</v>
      </c>
      <c r="L8" s="7" t="str">
        <f>HYPERLINK("http://slimages.macys.com/is/image/MCY/12877462 ")</f>
        <v xml:space="preserve">http://slimages.macys.com/is/image/MCY/12877462 </v>
      </c>
    </row>
    <row r="9" spans="1:12" ht="24.75" x14ac:dyDescent="0.25">
      <c r="A9" s="4" t="s">
        <v>5352</v>
      </c>
      <c r="B9" s="2" t="s">
        <v>72</v>
      </c>
      <c r="C9" s="3">
        <v>1</v>
      </c>
      <c r="D9" s="5">
        <v>128</v>
      </c>
      <c r="E9" s="3" t="s">
        <v>73</v>
      </c>
      <c r="F9" s="2" t="s">
        <v>53</v>
      </c>
      <c r="G9" s="6" t="s">
        <v>27</v>
      </c>
      <c r="H9" s="2" t="s">
        <v>17</v>
      </c>
      <c r="I9" s="2" t="s">
        <v>18</v>
      </c>
      <c r="J9" s="2" t="s">
        <v>19</v>
      </c>
      <c r="K9" s="2" t="s">
        <v>75</v>
      </c>
      <c r="L9" s="7" t="str">
        <f>HYPERLINK("http://slimages.macys.com/is/image/MCY/12646967 ")</f>
        <v xml:space="preserve">http://slimages.macys.com/is/image/MCY/12646967 </v>
      </c>
    </row>
    <row r="10" spans="1:12" ht="24.75" x14ac:dyDescent="0.25">
      <c r="A10" s="4" t="s">
        <v>5353</v>
      </c>
      <c r="B10" s="2" t="s">
        <v>5354</v>
      </c>
      <c r="C10" s="3">
        <v>1</v>
      </c>
      <c r="D10" s="5">
        <v>119</v>
      </c>
      <c r="E10" s="3" t="s">
        <v>5355</v>
      </c>
      <c r="F10" s="2" t="s">
        <v>57</v>
      </c>
      <c r="G10" s="6" t="s">
        <v>3309</v>
      </c>
      <c r="H10" s="2" t="s">
        <v>17</v>
      </c>
      <c r="I10" s="2" t="s">
        <v>5356</v>
      </c>
      <c r="J10" s="2" t="s">
        <v>19</v>
      </c>
      <c r="K10" s="2" t="s">
        <v>118</v>
      </c>
      <c r="L10" s="7" t="str">
        <f>HYPERLINK("http://slimages.macys.com/is/image/MCY/12936412 ")</f>
        <v xml:space="preserve">http://slimages.macys.com/is/image/MCY/12936412 </v>
      </c>
    </row>
    <row r="11" spans="1:12" ht="24.75" x14ac:dyDescent="0.25">
      <c r="A11" s="4" t="s">
        <v>5357</v>
      </c>
      <c r="B11" s="2" t="s">
        <v>5354</v>
      </c>
      <c r="C11" s="3">
        <v>1</v>
      </c>
      <c r="D11" s="5">
        <v>119</v>
      </c>
      <c r="E11" s="3" t="s">
        <v>5355</v>
      </c>
      <c r="F11" s="2" t="s">
        <v>57</v>
      </c>
      <c r="G11" s="6" t="s">
        <v>4406</v>
      </c>
      <c r="H11" s="2" t="s">
        <v>17</v>
      </c>
      <c r="I11" s="2" t="s">
        <v>5356</v>
      </c>
      <c r="J11" s="2" t="s">
        <v>19</v>
      </c>
      <c r="K11" s="2" t="s">
        <v>118</v>
      </c>
      <c r="L11" s="7" t="str">
        <f>HYPERLINK("http://slimages.macys.com/is/image/MCY/12936412 ")</f>
        <v xml:space="preserve">http://slimages.macys.com/is/image/MCY/12936412 </v>
      </c>
    </row>
    <row r="12" spans="1:12" ht="24.75" x14ac:dyDescent="0.25">
      <c r="A12" s="4" t="s">
        <v>103</v>
      </c>
      <c r="B12" s="2" t="s">
        <v>104</v>
      </c>
      <c r="C12" s="3">
        <v>1</v>
      </c>
      <c r="D12" s="5">
        <v>119</v>
      </c>
      <c r="E12" s="3" t="s">
        <v>105</v>
      </c>
      <c r="F12" s="2" t="s">
        <v>26</v>
      </c>
      <c r="G12" s="6" t="s">
        <v>106</v>
      </c>
      <c r="H12" s="2" t="s">
        <v>17</v>
      </c>
      <c r="I12" s="2" t="s">
        <v>18</v>
      </c>
      <c r="J12" s="2" t="s">
        <v>19</v>
      </c>
      <c r="K12" s="2" t="s">
        <v>107</v>
      </c>
      <c r="L12" s="7" t="str">
        <f>HYPERLINK("http://slimages.macys.com/is/image/MCY/12326948 ")</f>
        <v xml:space="preserve">http://slimages.macys.com/is/image/MCY/12326948 </v>
      </c>
    </row>
    <row r="13" spans="1:12" ht="24.75" x14ac:dyDescent="0.25">
      <c r="A13" s="4" t="s">
        <v>5358</v>
      </c>
      <c r="B13" s="2" t="s">
        <v>5359</v>
      </c>
      <c r="C13" s="3">
        <v>1</v>
      </c>
      <c r="D13" s="5">
        <v>128</v>
      </c>
      <c r="E13" s="3" t="s">
        <v>5360</v>
      </c>
      <c r="F13" s="2" t="s">
        <v>64</v>
      </c>
      <c r="G13" s="6" t="s">
        <v>5361</v>
      </c>
      <c r="H13" s="2" t="s">
        <v>17</v>
      </c>
      <c r="I13" s="2" t="s">
        <v>5356</v>
      </c>
      <c r="J13" s="2" t="s">
        <v>19</v>
      </c>
      <c r="K13" s="2" t="s">
        <v>5362</v>
      </c>
      <c r="L13" s="7" t="str">
        <f>HYPERLINK("http://slimages.macys.com/is/image/MCY/11723889 ")</f>
        <v xml:space="preserve">http://slimages.macys.com/is/image/MCY/11723889 </v>
      </c>
    </row>
    <row r="14" spans="1:12" ht="24.75" x14ac:dyDescent="0.25">
      <c r="A14" s="4" t="s">
        <v>5363</v>
      </c>
      <c r="B14" s="2" t="s">
        <v>5364</v>
      </c>
      <c r="C14" s="3">
        <v>1</v>
      </c>
      <c r="D14" s="5">
        <v>119</v>
      </c>
      <c r="E14" s="3" t="s">
        <v>5365</v>
      </c>
      <c r="F14" s="2" t="s">
        <v>74</v>
      </c>
      <c r="G14" s="6" t="s">
        <v>147</v>
      </c>
      <c r="H14" s="2" t="s">
        <v>17</v>
      </c>
      <c r="I14" s="2" t="s">
        <v>145</v>
      </c>
      <c r="J14" s="2" t="s">
        <v>19</v>
      </c>
      <c r="K14" s="2" t="s">
        <v>160</v>
      </c>
      <c r="L14" s="7" t="str">
        <f>HYPERLINK("http://slimages.macys.com/is/image/MCY/12671451 ")</f>
        <v xml:space="preserve">http://slimages.macys.com/is/image/MCY/12671451 </v>
      </c>
    </row>
    <row r="15" spans="1:12" ht="24.75" x14ac:dyDescent="0.25">
      <c r="A15" s="4" t="s">
        <v>5366</v>
      </c>
      <c r="B15" s="2" t="s">
        <v>2159</v>
      </c>
      <c r="C15" s="3">
        <v>1</v>
      </c>
      <c r="D15" s="5">
        <v>79.5</v>
      </c>
      <c r="E15" s="3">
        <v>10723364</v>
      </c>
      <c r="F15" s="2" t="s">
        <v>15</v>
      </c>
      <c r="G15" s="6" t="s">
        <v>141</v>
      </c>
      <c r="H15" s="2" t="s">
        <v>17</v>
      </c>
      <c r="I15" s="2" t="s">
        <v>121</v>
      </c>
      <c r="J15" s="2" t="s">
        <v>19</v>
      </c>
      <c r="K15" s="2" t="s">
        <v>34</v>
      </c>
      <c r="L15" s="7" t="str">
        <f>HYPERLINK("http://slimages.macys.com/is/image/MCY/12340424 ")</f>
        <v xml:space="preserve">http://slimages.macys.com/is/image/MCY/12340424 </v>
      </c>
    </row>
    <row r="16" spans="1:12" ht="24.75" x14ac:dyDescent="0.25">
      <c r="A16" s="4" t="s">
        <v>152</v>
      </c>
      <c r="B16" s="2" t="s">
        <v>153</v>
      </c>
      <c r="C16" s="3">
        <v>1</v>
      </c>
      <c r="D16" s="5">
        <v>79.5</v>
      </c>
      <c r="E16" s="3">
        <v>10719732</v>
      </c>
      <c r="F16" s="2" t="s">
        <v>33</v>
      </c>
      <c r="G16" s="6" t="s">
        <v>154</v>
      </c>
      <c r="H16" s="2" t="s">
        <v>17</v>
      </c>
      <c r="I16" s="2" t="s">
        <v>121</v>
      </c>
      <c r="J16" s="2" t="s">
        <v>19</v>
      </c>
      <c r="K16" s="2" t="s">
        <v>34</v>
      </c>
      <c r="L16" s="7" t="str">
        <f>HYPERLINK("http://slimages.macys.com/is/image/MCY/10534487 ")</f>
        <v xml:space="preserve">http://slimages.macys.com/is/image/MCY/10534487 </v>
      </c>
    </row>
    <row r="17" spans="1:12" ht="24.75" x14ac:dyDescent="0.25">
      <c r="A17" s="4" t="s">
        <v>5367</v>
      </c>
      <c r="B17" s="2" t="s">
        <v>4420</v>
      </c>
      <c r="C17" s="3">
        <v>1</v>
      </c>
      <c r="D17" s="5">
        <v>79</v>
      </c>
      <c r="E17" s="3" t="s">
        <v>4421</v>
      </c>
      <c r="F17" s="2" t="s">
        <v>94</v>
      </c>
      <c r="G17" s="6" t="s">
        <v>65</v>
      </c>
      <c r="H17" s="2" t="s">
        <v>95</v>
      </c>
      <c r="I17" s="2" t="s">
        <v>96</v>
      </c>
      <c r="J17" s="2" t="s">
        <v>19</v>
      </c>
      <c r="K17" s="2" t="s">
        <v>4422</v>
      </c>
      <c r="L17" s="7" t="str">
        <f>HYPERLINK("http://slimages.macys.com/is/image/MCY/12794393 ")</f>
        <v xml:space="preserve">http://slimages.macys.com/is/image/MCY/12794393 </v>
      </c>
    </row>
    <row r="18" spans="1:12" x14ac:dyDescent="0.25">
      <c r="A18" s="4" t="s">
        <v>5368</v>
      </c>
      <c r="B18" s="2" t="s">
        <v>5369</v>
      </c>
      <c r="C18" s="3">
        <v>1</v>
      </c>
      <c r="D18" s="5">
        <v>119.5</v>
      </c>
      <c r="E18" s="3" t="s">
        <v>5370</v>
      </c>
      <c r="F18" s="2" t="s">
        <v>26</v>
      </c>
      <c r="G18" s="6" t="s">
        <v>219</v>
      </c>
      <c r="H18" s="2" t="s">
        <v>206</v>
      </c>
      <c r="I18" s="2" t="s">
        <v>207</v>
      </c>
      <c r="J18" s="2" t="s">
        <v>19</v>
      </c>
      <c r="K18" s="2" t="s">
        <v>34</v>
      </c>
      <c r="L18" s="7" t="str">
        <f>HYPERLINK("http://slimages.macys.com/is/image/MCY/11942942 ")</f>
        <v xml:space="preserve">http://slimages.macys.com/is/image/MCY/11942942 </v>
      </c>
    </row>
    <row r="19" spans="1:12" ht="24.75" x14ac:dyDescent="0.25">
      <c r="A19" s="4" t="s">
        <v>5371</v>
      </c>
      <c r="B19" s="2" t="s">
        <v>175</v>
      </c>
      <c r="C19" s="3">
        <v>1</v>
      </c>
      <c r="D19" s="5">
        <v>89.5</v>
      </c>
      <c r="E19" s="3" t="s">
        <v>176</v>
      </c>
      <c r="F19" s="2" t="s">
        <v>74</v>
      </c>
      <c r="G19" s="6" t="s">
        <v>205</v>
      </c>
      <c r="H19" s="2" t="s">
        <v>127</v>
      </c>
      <c r="I19" s="2" t="s">
        <v>128</v>
      </c>
      <c r="J19" s="2" t="s">
        <v>19</v>
      </c>
      <c r="K19" s="2" t="s">
        <v>160</v>
      </c>
      <c r="L19" s="7" t="str">
        <f>HYPERLINK("http://slimages.macys.com/is/image/MCY/13290006 ")</f>
        <v xml:space="preserve">http://slimages.macys.com/is/image/MCY/13290006 </v>
      </c>
    </row>
    <row r="20" spans="1:12" ht="24.75" x14ac:dyDescent="0.25">
      <c r="A20" s="4" t="s">
        <v>5372</v>
      </c>
      <c r="B20" s="2" t="s">
        <v>5373</v>
      </c>
      <c r="C20" s="3">
        <v>1</v>
      </c>
      <c r="D20" s="5">
        <v>99.5</v>
      </c>
      <c r="E20" s="3">
        <v>100057478</v>
      </c>
      <c r="F20" s="2" t="s">
        <v>64</v>
      </c>
      <c r="G20" s="6" t="s">
        <v>112</v>
      </c>
      <c r="H20" s="2" t="s">
        <v>386</v>
      </c>
      <c r="I20" s="2" t="s">
        <v>391</v>
      </c>
      <c r="J20" s="2" t="s">
        <v>19</v>
      </c>
      <c r="K20" s="2" t="s">
        <v>338</v>
      </c>
      <c r="L20" s="7" t="str">
        <f>HYPERLINK("http://slimages.macys.com/is/image/MCY/12384895 ")</f>
        <v xml:space="preserve">http://slimages.macys.com/is/image/MCY/12384895 </v>
      </c>
    </row>
    <row r="21" spans="1:12" ht="24.75" x14ac:dyDescent="0.25">
      <c r="A21" s="4" t="s">
        <v>5374</v>
      </c>
      <c r="B21" s="2" t="s">
        <v>5375</v>
      </c>
      <c r="C21" s="3">
        <v>1</v>
      </c>
      <c r="D21" s="5">
        <v>59</v>
      </c>
      <c r="E21" s="3">
        <v>10727424</v>
      </c>
      <c r="F21" s="2" t="s">
        <v>89</v>
      </c>
      <c r="G21" s="6" t="s">
        <v>234</v>
      </c>
      <c r="H21" s="2" t="s">
        <v>2154</v>
      </c>
      <c r="I21" s="2" t="s">
        <v>2155</v>
      </c>
      <c r="J21" s="2" t="s">
        <v>19</v>
      </c>
      <c r="K21" s="2" t="s">
        <v>34</v>
      </c>
      <c r="L21" s="7" t="str">
        <f>HYPERLINK("http://slimages.macys.com/is/image/MCY/12794638 ")</f>
        <v xml:space="preserve">http://slimages.macys.com/is/image/MCY/12794638 </v>
      </c>
    </row>
    <row r="22" spans="1:12" ht="24.75" x14ac:dyDescent="0.25">
      <c r="A22" s="4" t="s">
        <v>3343</v>
      </c>
      <c r="B22" s="2" t="s">
        <v>198</v>
      </c>
      <c r="C22" s="3">
        <v>1</v>
      </c>
      <c r="D22" s="5">
        <v>52.13</v>
      </c>
      <c r="E22" s="3">
        <v>100054438</v>
      </c>
      <c r="F22" s="2" t="s">
        <v>199</v>
      </c>
      <c r="G22" s="6" t="s">
        <v>154</v>
      </c>
      <c r="H22" s="2" t="s">
        <v>194</v>
      </c>
      <c r="I22" s="2" t="s">
        <v>195</v>
      </c>
      <c r="J22" s="2" t="s">
        <v>19</v>
      </c>
      <c r="K22" s="2" t="s">
        <v>201</v>
      </c>
      <c r="L22" s="7" t="str">
        <f>HYPERLINK("http://slimages.macys.com/is/image/MCY/12316594 ")</f>
        <v xml:space="preserve">http://slimages.macys.com/is/image/MCY/12316594 </v>
      </c>
    </row>
    <row r="23" spans="1:12" ht="24.75" x14ac:dyDescent="0.25">
      <c r="A23" s="4" t="s">
        <v>197</v>
      </c>
      <c r="B23" s="2" t="s">
        <v>198</v>
      </c>
      <c r="C23" s="3">
        <v>1</v>
      </c>
      <c r="D23" s="5">
        <v>52.13</v>
      </c>
      <c r="E23" s="3">
        <v>100054438</v>
      </c>
      <c r="F23" s="2" t="s">
        <v>199</v>
      </c>
      <c r="G23" s="6" t="s">
        <v>200</v>
      </c>
      <c r="H23" s="2" t="s">
        <v>194</v>
      </c>
      <c r="I23" s="2" t="s">
        <v>195</v>
      </c>
      <c r="J23" s="2" t="s">
        <v>19</v>
      </c>
      <c r="K23" s="2" t="s">
        <v>201</v>
      </c>
      <c r="L23" s="7" t="str">
        <f>HYPERLINK("http://slimages.macys.com/is/image/MCY/12316594 ")</f>
        <v xml:space="preserve">http://slimages.macys.com/is/image/MCY/12316594 </v>
      </c>
    </row>
    <row r="24" spans="1:12" ht="24.75" x14ac:dyDescent="0.25">
      <c r="A24" s="4" t="s">
        <v>5376</v>
      </c>
      <c r="B24" s="2" t="s">
        <v>5377</v>
      </c>
      <c r="C24" s="3">
        <v>3</v>
      </c>
      <c r="D24" s="5">
        <v>89.5</v>
      </c>
      <c r="E24" s="3" t="s">
        <v>5378</v>
      </c>
      <c r="F24" s="2" t="s">
        <v>33</v>
      </c>
      <c r="G24" s="6" t="s">
        <v>219</v>
      </c>
      <c r="H24" s="2" t="s">
        <v>206</v>
      </c>
      <c r="I24" s="2" t="s">
        <v>207</v>
      </c>
      <c r="J24" s="2" t="s">
        <v>19</v>
      </c>
      <c r="K24" s="2" t="s">
        <v>75</v>
      </c>
      <c r="L24" s="7" t="str">
        <f>HYPERLINK("http://slimages.macys.com/is/image/MCY/12346917 ")</f>
        <v xml:space="preserve">http://slimages.macys.com/is/image/MCY/12346917 </v>
      </c>
    </row>
    <row r="25" spans="1:12" ht="24.75" x14ac:dyDescent="0.25">
      <c r="A25" s="4" t="s">
        <v>5379</v>
      </c>
      <c r="B25" s="2" t="s">
        <v>5377</v>
      </c>
      <c r="C25" s="3">
        <v>1</v>
      </c>
      <c r="D25" s="5">
        <v>89.5</v>
      </c>
      <c r="E25" s="3" t="s">
        <v>5378</v>
      </c>
      <c r="F25" s="2" t="s">
        <v>33</v>
      </c>
      <c r="G25" s="6"/>
      <c r="H25" s="2" t="s">
        <v>206</v>
      </c>
      <c r="I25" s="2" t="s">
        <v>207</v>
      </c>
      <c r="J25" s="2" t="s">
        <v>19</v>
      </c>
      <c r="K25" s="2" t="s">
        <v>75</v>
      </c>
      <c r="L25" s="7" t="str">
        <f>HYPERLINK("http://slimages.macys.com/is/image/MCY/12346917 ")</f>
        <v xml:space="preserve">http://slimages.macys.com/is/image/MCY/12346917 </v>
      </c>
    </row>
    <row r="26" spans="1:12" ht="24.75" x14ac:dyDescent="0.25">
      <c r="A26" s="4" t="s">
        <v>5380</v>
      </c>
      <c r="B26" s="2" t="s">
        <v>5377</v>
      </c>
      <c r="C26" s="3">
        <v>2</v>
      </c>
      <c r="D26" s="5">
        <v>89.5</v>
      </c>
      <c r="E26" s="3" t="s">
        <v>5378</v>
      </c>
      <c r="F26" s="2" t="s">
        <v>33</v>
      </c>
      <c r="G26" s="6"/>
      <c r="H26" s="2" t="s">
        <v>206</v>
      </c>
      <c r="I26" s="2" t="s">
        <v>207</v>
      </c>
      <c r="J26" s="2" t="s">
        <v>19</v>
      </c>
      <c r="K26" s="2" t="s">
        <v>75</v>
      </c>
      <c r="L26" s="7" t="str">
        <f>HYPERLINK("http://slimages.macys.com/is/image/MCY/12346917 ")</f>
        <v xml:space="preserve">http://slimages.macys.com/is/image/MCY/12346917 </v>
      </c>
    </row>
    <row r="27" spans="1:12" ht="24.75" x14ac:dyDescent="0.25">
      <c r="A27" s="4" t="s">
        <v>5381</v>
      </c>
      <c r="B27" s="2" t="s">
        <v>222</v>
      </c>
      <c r="C27" s="3">
        <v>1</v>
      </c>
      <c r="D27" s="5">
        <v>79.5</v>
      </c>
      <c r="E27" s="3" t="s">
        <v>223</v>
      </c>
      <c r="F27" s="2" t="s">
        <v>74</v>
      </c>
      <c r="G27" s="6" t="s">
        <v>363</v>
      </c>
      <c r="H27" s="2" t="s">
        <v>127</v>
      </c>
      <c r="I27" s="2" t="s">
        <v>128</v>
      </c>
      <c r="J27" s="2" t="s">
        <v>19</v>
      </c>
      <c r="K27" s="2" t="s">
        <v>34</v>
      </c>
      <c r="L27" s="7" t="str">
        <f>HYPERLINK("http://slimages.macys.com/is/image/MCY/13838292 ")</f>
        <v xml:space="preserve">http://slimages.macys.com/is/image/MCY/13838292 </v>
      </c>
    </row>
    <row r="28" spans="1:12" ht="24.75" x14ac:dyDescent="0.25">
      <c r="A28" s="4" t="s">
        <v>5382</v>
      </c>
      <c r="B28" s="2" t="s">
        <v>5383</v>
      </c>
      <c r="C28" s="3">
        <v>2</v>
      </c>
      <c r="D28" s="5">
        <v>62.65</v>
      </c>
      <c r="E28" s="3" t="s">
        <v>5384</v>
      </c>
      <c r="F28" s="2" t="s">
        <v>74</v>
      </c>
      <c r="G28" s="6" t="s">
        <v>234</v>
      </c>
      <c r="H28" s="2" t="s">
        <v>182</v>
      </c>
      <c r="I28" s="2" t="s">
        <v>183</v>
      </c>
      <c r="J28" s="2" t="s">
        <v>19</v>
      </c>
      <c r="K28" s="2" t="s">
        <v>75</v>
      </c>
      <c r="L28" s="7" t="str">
        <f>HYPERLINK("http://slimages.macys.com/is/image/MCY/11953390 ")</f>
        <v xml:space="preserve">http://slimages.macys.com/is/image/MCY/11953390 </v>
      </c>
    </row>
    <row r="29" spans="1:12" ht="24.75" x14ac:dyDescent="0.25">
      <c r="A29" s="4" t="s">
        <v>5385</v>
      </c>
      <c r="B29" s="2" t="s">
        <v>5383</v>
      </c>
      <c r="C29" s="3">
        <v>1</v>
      </c>
      <c r="D29" s="5">
        <v>62.65</v>
      </c>
      <c r="E29" s="3" t="s">
        <v>5384</v>
      </c>
      <c r="F29" s="2" t="s">
        <v>74</v>
      </c>
      <c r="G29" s="6" t="s">
        <v>154</v>
      </c>
      <c r="H29" s="2" t="s">
        <v>182</v>
      </c>
      <c r="I29" s="2" t="s">
        <v>183</v>
      </c>
      <c r="J29" s="2" t="s">
        <v>19</v>
      </c>
      <c r="K29" s="2" t="s">
        <v>75</v>
      </c>
      <c r="L29" s="7" t="str">
        <f>HYPERLINK("http://slimages.macys.com/is/image/MCY/11953390 ")</f>
        <v xml:space="preserve">http://slimages.macys.com/is/image/MCY/11953390 </v>
      </c>
    </row>
    <row r="30" spans="1:12" ht="24.75" x14ac:dyDescent="0.25">
      <c r="A30" s="4" t="s">
        <v>5386</v>
      </c>
      <c r="B30" s="2" t="s">
        <v>5387</v>
      </c>
      <c r="C30" s="3">
        <v>1</v>
      </c>
      <c r="D30" s="5">
        <v>52.13</v>
      </c>
      <c r="E30" s="3" t="s">
        <v>5388</v>
      </c>
      <c r="F30" s="2" t="s">
        <v>26</v>
      </c>
      <c r="G30" s="6" t="s">
        <v>154</v>
      </c>
      <c r="H30" s="2" t="s">
        <v>246</v>
      </c>
      <c r="I30" s="2" t="s">
        <v>189</v>
      </c>
      <c r="J30" s="2" t="s">
        <v>19</v>
      </c>
      <c r="K30" s="2" t="s">
        <v>2180</v>
      </c>
      <c r="L30" s="7" t="str">
        <f>HYPERLINK("http://slimages.macys.com/is/image/MCY/11707408 ")</f>
        <v xml:space="preserve">http://slimages.macys.com/is/image/MCY/11707408 </v>
      </c>
    </row>
    <row r="31" spans="1:12" ht="24.75" x14ac:dyDescent="0.25">
      <c r="A31" s="4" t="s">
        <v>5389</v>
      </c>
      <c r="B31" s="2" t="s">
        <v>3358</v>
      </c>
      <c r="C31" s="3">
        <v>1</v>
      </c>
      <c r="D31" s="5">
        <v>52.13</v>
      </c>
      <c r="E31" s="3" t="s">
        <v>3359</v>
      </c>
      <c r="F31" s="2" t="s">
        <v>26</v>
      </c>
      <c r="G31" s="6" t="s">
        <v>156</v>
      </c>
      <c r="H31" s="2" t="s">
        <v>246</v>
      </c>
      <c r="I31" s="2" t="s">
        <v>189</v>
      </c>
      <c r="J31" s="2" t="s">
        <v>19</v>
      </c>
      <c r="K31" s="2" t="s">
        <v>705</v>
      </c>
      <c r="L31" s="7" t="str">
        <f>HYPERLINK("http://slimages.macys.com/is/image/MCY/13300525 ")</f>
        <v xml:space="preserve">http://slimages.macys.com/is/image/MCY/13300525 </v>
      </c>
    </row>
    <row r="32" spans="1:12" ht="24.75" x14ac:dyDescent="0.25">
      <c r="A32" s="4" t="s">
        <v>5390</v>
      </c>
      <c r="B32" s="2" t="s">
        <v>276</v>
      </c>
      <c r="C32" s="3">
        <v>1</v>
      </c>
      <c r="D32" s="5">
        <v>62.65</v>
      </c>
      <c r="E32" s="3" t="s">
        <v>277</v>
      </c>
      <c r="F32" s="2" t="s">
        <v>1914</v>
      </c>
      <c r="G32" s="6" t="s">
        <v>200</v>
      </c>
      <c r="H32" s="2" t="s">
        <v>182</v>
      </c>
      <c r="I32" s="2" t="s">
        <v>183</v>
      </c>
      <c r="J32" s="2" t="s">
        <v>19</v>
      </c>
      <c r="K32" s="2" t="s">
        <v>208</v>
      </c>
      <c r="L32" s="7" t="str">
        <f>HYPERLINK("http://slimages.macys.com/is/image/MCY/12343023 ")</f>
        <v xml:space="preserve">http://slimages.macys.com/is/image/MCY/12343023 </v>
      </c>
    </row>
    <row r="33" spans="1:12" ht="24.75" x14ac:dyDescent="0.25">
      <c r="A33" s="4" t="s">
        <v>5391</v>
      </c>
      <c r="B33" s="2" t="s">
        <v>279</v>
      </c>
      <c r="C33" s="3">
        <v>1</v>
      </c>
      <c r="D33" s="5">
        <v>69.5</v>
      </c>
      <c r="E33" s="3" t="s">
        <v>280</v>
      </c>
      <c r="F33" s="2" t="s">
        <v>70</v>
      </c>
      <c r="G33" s="6"/>
      <c r="H33" s="2" t="s">
        <v>127</v>
      </c>
      <c r="I33" s="2" t="s">
        <v>128</v>
      </c>
      <c r="J33" s="2" t="s">
        <v>19</v>
      </c>
      <c r="K33" s="2" t="s">
        <v>34</v>
      </c>
      <c r="L33" s="7" t="str">
        <f>HYPERLINK("http://slimages.macys.com/is/image/MCY/12549690 ")</f>
        <v xml:space="preserve">http://slimages.macys.com/is/image/MCY/12549690 </v>
      </c>
    </row>
    <row r="34" spans="1:12" ht="24.75" x14ac:dyDescent="0.25">
      <c r="A34" s="4" t="s">
        <v>5392</v>
      </c>
      <c r="B34" s="2" t="s">
        <v>5393</v>
      </c>
      <c r="C34" s="3">
        <v>1</v>
      </c>
      <c r="D34" s="5">
        <v>59.63</v>
      </c>
      <c r="E34" s="3" t="s">
        <v>5394</v>
      </c>
      <c r="F34" s="2" t="s">
        <v>74</v>
      </c>
      <c r="G34" s="6" t="s">
        <v>348</v>
      </c>
      <c r="H34" s="2" t="s">
        <v>349</v>
      </c>
      <c r="I34" s="2" t="s">
        <v>285</v>
      </c>
      <c r="J34" s="2" t="s">
        <v>19</v>
      </c>
      <c r="K34" s="2" t="s">
        <v>75</v>
      </c>
      <c r="L34" s="7" t="str">
        <f>HYPERLINK("http://slimages.macys.com/is/image/MCY/12284907 ")</f>
        <v xml:space="preserve">http://slimages.macys.com/is/image/MCY/12284907 </v>
      </c>
    </row>
    <row r="35" spans="1:12" ht="36.75" x14ac:dyDescent="0.25">
      <c r="A35" s="4" t="s">
        <v>2197</v>
      </c>
      <c r="B35" s="2" t="s">
        <v>2198</v>
      </c>
      <c r="C35" s="3">
        <v>2</v>
      </c>
      <c r="D35" s="5">
        <v>52.13</v>
      </c>
      <c r="E35" s="3">
        <v>100020408</v>
      </c>
      <c r="F35" s="2" t="s">
        <v>26</v>
      </c>
      <c r="G35" s="6" t="s">
        <v>181</v>
      </c>
      <c r="H35" s="2" t="s">
        <v>194</v>
      </c>
      <c r="I35" s="2" t="s">
        <v>195</v>
      </c>
      <c r="J35" s="2" t="s">
        <v>19</v>
      </c>
      <c r="K35" s="2" t="s">
        <v>2199</v>
      </c>
      <c r="L35" s="7" t="str">
        <f>HYPERLINK("http://slimages.macys.com/is/image/MCY/9504840 ")</f>
        <v xml:space="preserve">http://slimages.macys.com/is/image/MCY/9504840 </v>
      </c>
    </row>
    <row r="36" spans="1:12" ht="36.75" x14ac:dyDescent="0.25">
      <c r="A36" s="4" t="s">
        <v>5395</v>
      </c>
      <c r="B36" s="2" t="s">
        <v>2198</v>
      </c>
      <c r="C36" s="3">
        <v>3</v>
      </c>
      <c r="D36" s="5">
        <v>52.13</v>
      </c>
      <c r="E36" s="3">
        <v>100020408</v>
      </c>
      <c r="F36" s="2" t="s">
        <v>26</v>
      </c>
      <c r="G36" s="6" t="s">
        <v>154</v>
      </c>
      <c r="H36" s="2" t="s">
        <v>194</v>
      </c>
      <c r="I36" s="2" t="s">
        <v>195</v>
      </c>
      <c r="J36" s="2" t="s">
        <v>19</v>
      </c>
      <c r="K36" s="2" t="s">
        <v>2199</v>
      </c>
      <c r="L36" s="7" t="str">
        <f>HYPERLINK("http://slimages.macys.com/is/image/MCY/9504840 ")</f>
        <v xml:space="preserve">http://slimages.macys.com/is/image/MCY/9504840 </v>
      </c>
    </row>
    <row r="37" spans="1:12" ht="24.75" x14ac:dyDescent="0.25">
      <c r="A37" s="4" t="s">
        <v>5396</v>
      </c>
      <c r="B37" s="2" t="s">
        <v>5397</v>
      </c>
      <c r="C37" s="3">
        <v>1</v>
      </c>
      <c r="D37" s="5">
        <v>59.63</v>
      </c>
      <c r="E37" s="3" t="s">
        <v>5398</v>
      </c>
      <c r="F37" s="2" t="s">
        <v>15</v>
      </c>
      <c r="G37" s="6" t="s">
        <v>156</v>
      </c>
      <c r="H37" s="2" t="s">
        <v>194</v>
      </c>
      <c r="I37" s="2" t="s">
        <v>195</v>
      </c>
      <c r="J37" s="2" t="s">
        <v>19</v>
      </c>
      <c r="K37" s="2" t="s">
        <v>208</v>
      </c>
      <c r="L37" s="7" t="str">
        <f>HYPERLINK("http://slimages.macys.com/is/image/MCY/3750328 ")</f>
        <v xml:space="preserve">http://slimages.macys.com/is/image/MCY/3750328 </v>
      </c>
    </row>
    <row r="38" spans="1:12" ht="24.75" x14ac:dyDescent="0.25">
      <c r="A38" s="4" t="s">
        <v>302</v>
      </c>
      <c r="B38" s="2" t="s">
        <v>303</v>
      </c>
      <c r="C38" s="3">
        <v>2</v>
      </c>
      <c r="D38" s="5">
        <v>44.63</v>
      </c>
      <c r="E38" s="3">
        <v>100055545</v>
      </c>
      <c r="F38" s="2" t="s">
        <v>225</v>
      </c>
      <c r="G38" s="6" t="s">
        <v>200</v>
      </c>
      <c r="H38" s="2" t="s">
        <v>194</v>
      </c>
      <c r="I38" s="2" t="s">
        <v>195</v>
      </c>
      <c r="J38" s="2" t="s">
        <v>19</v>
      </c>
      <c r="K38" s="2" t="s">
        <v>301</v>
      </c>
      <c r="L38" s="7" t="str">
        <f>HYPERLINK("http://slimages.macys.com/is/image/MCY/12279797 ")</f>
        <v xml:space="preserve">http://slimages.macys.com/is/image/MCY/12279797 </v>
      </c>
    </row>
    <row r="39" spans="1:12" ht="24.75" x14ac:dyDescent="0.25">
      <c r="A39" s="4" t="s">
        <v>5399</v>
      </c>
      <c r="B39" s="2" t="s">
        <v>303</v>
      </c>
      <c r="C39" s="3">
        <v>1</v>
      </c>
      <c r="D39" s="5">
        <v>44.63</v>
      </c>
      <c r="E39" s="3">
        <v>100055545</v>
      </c>
      <c r="F39" s="2" t="s">
        <v>225</v>
      </c>
      <c r="G39" s="6" t="s">
        <v>181</v>
      </c>
      <c r="H39" s="2" t="s">
        <v>194</v>
      </c>
      <c r="I39" s="2" t="s">
        <v>195</v>
      </c>
      <c r="J39" s="2" t="s">
        <v>19</v>
      </c>
      <c r="K39" s="2" t="s">
        <v>301</v>
      </c>
      <c r="L39" s="7" t="str">
        <f>HYPERLINK("http://slimages.macys.com/is/image/MCY/12279797 ")</f>
        <v xml:space="preserve">http://slimages.macys.com/is/image/MCY/12279797 </v>
      </c>
    </row>
    <row r="40" spans="1:12" ht="24.75" x14ac:dyDescent="0.25">
      <c r="A40" s="4" t="s">
        <v>5400</v>
      </c>
      <c r="B40" s="2" t="s">
        <v>303</v>
      </c>
      <c r="C40" s="3">
        <v>1</v>
      </c>
      <c r="D40" s="5">
        <v>44.63</v>
      </c>
      <c r="E40" s="3">
        <v>100055545</v>
      </c>
      <c r="F40" s="2" t="s">
        <v>225</v>
      </c>
      <c r="G40" s="6" t="s">
        <v>154</v>
      </c>
      <c r="H40" s="2" t="s">
        <v>194</v>
      </c>
      <c r="I40" s="2" t="s">
        <v>195</v>
      </c>
      <c r="J40" s="2" t="s">
        <v>19</v>
      </c>
      <c r="K40" s="2" t="s">
        <v>301</v>
      </c>
      <c r="L40" s="7" t="str">
        <f>HYPERLINK("http://slimages.macys.com/is/image/MCY/12279797 ")</f>
        <v xml:space="preserve">http://slimages.macys.com/is/image/MCY/12279797 </v>
      </c>
    </row>
    <row r="41" spans="1:12" ht="24.75" x14ac:dyDescent="0.25">
      <c r="A41" s="4" t="s">
        <v>2205</v>
      </c>
      <c r="B41" s="2" t="s">
        <v>305</v>
      </c>
      <c r="C41" s="3">
        <v>2</v>
      </c>
      <c r="D41" s="5">
        <v>52.13</v>
      </c>
      <c r="E41" s="3" t="s">
        <v>306</v>
      </c>
      <c r="F41" s="2" t="s">
        <v>74</v>
      </c>
      <c r="G41" s="6" t="s">
        <v>234</v>
      </c>
      <c r="H41" s="2" t="s">
        <v>194</v>
      </c>
      <c r="I41" s="2" t="s">
        <v>307</v>
      </c>
      <c r="J41" s="2" t="s">
        <v>19</v>
      </c>
      <c r="K41" s="2" t="s">
        <v>247</v>
      </c>
      <c r="L41" s="7" t="str">
        <f>HYPERLINK("http://slimages.macys.com/is/image/MCY/11937882 ")</f>
        <v xml:space="preserve">http://slimages.macys.com/is/image/MCY/11937882 </v>
      </c>
    </row>
    <row r="42" spans="1:12" ht="36.75" x14ac:dyDescent="0.25">
      <c r="A42" s="4" t="s">
        <v>5401</v>
      </c>
      <c r="B42" s="2" t="s">
        <v>2211</v>
      </c>
      <c r="C42" s="3">
        <v>1</v>
      </c>
      <c r="D42" s="5">
        <v>59.5</v>
      </c>
      <c r="E42" s="3" t="s">
        <v>2212</v>
      </c>
      <c r="F42" s="2" t="s">
        <v>136</v>
      </c>
      <c r="G42" s="6" t="s">
        <v>336</v>
      </c>
      <c r="H42" s="2" t="s">
        <v>127</v>
      </c>
      <c r="I42" s="2" t="s">
        <v>128</v>
      </c>
      <c r="J42" s="2" t="s">
        <v>19</v>
      </c>
      <c r="K42" s="2" t="s">
        <v>2213</v>
      </c>
      <c r="L42" s="7" t="str">
        <f>HYPERLINK("http://slimages.macys.com/is/image/MCY/11074772 ")</f>
        <v xml:space="preserve">http://slimages.macys.com/is/image/MCY/11074772 </v>
      </c>
    </row>
    <row r="43" spans="1:12" ht="36.75" x14ac:dyDescent="0.25">
      <c r="A43" s="4" t="s">
        <v>5402</v>
      </c>
      <c r="B43" s="2" t="s">
        <v>2211</v>
      </c>
      <c r="C43" s="3">
        <v>1</v>
      </c>
      <c r="D43" s="5">
        <v>59.5</v>
      </c>
      <c r="E43" s="3" t="s">
        <v>2212</v>
      </c>
      <c r="F43" s="2" t="s">
        <v>136</v>
      </c>
      <c r="G43" s="6" t="s">
        <v>126</v>
      </c>
      <c r="H43" s="2" t="s">
        <v>127</v>
      </c>
      <c r="I43" s="2" t="s">
        <v>128</v>
      </c>
      <c r="J43" s="2" t="s">
        <v>19</v>
      </c>
      <c r="K43" s="2" t="s">
        <v>2213</v>
      </c>
      <c r="L43" s="7" t="str">
        <f>HYPERLINK("http://slimages.macys.com/is/image/MCY/11074772 ")</f>
        <v xml:space="preserve">http://slimages.macys.com/is/image/MCY/11074772 </v>
      </c>
    </row>
    <row r="44" spans="1:12" ht="24.75" x14ac:dyDescent="0.25">
      <c r="A44" s="4" t="s">
        <v>5403</v>
      </c>
      <c r="B44" s="2" t="s">
        <v>314</v>
      </c>
      <c r="C44" s="3">
        <v>1</v>
      </c>
      <c r="D44" s="5">
        <v>52.13</v>
      </c>
      <c r="E44" s="3" t="s">
        <v>315</v>
      </c>
      <c r="F44" s="2" t="s">
        <v>26</v>
      </c>
      <c r="G44" s="6" t="s">
        <v>58</v>
      </c>
      <c r="H44" s="2" t="s">
        <v>213</v>
      </c>
      <c r="I44" s="2" t="s">
        <v>214</v>
      </c>
      <c r="J44" s="2" t="s">
        <v>19</v>
      </c>
      <c r="K44" s="2" t="s">
        <v>316</v>
      </c>
      <c r="L44" s="7" t="str">
        <f>HYPERLINK("http://slimages.macys.com/is/image/MCY/12402103 ")</f>
        <v xml:space="preserve">http://slimages.macys.com/is/image/MCY/12402103 </v>
      </c>
    </row>
    <row r="45" spans="1:12" ht="36.75" x14ac:dyDescent="0.25">
      <c r="A45" s="4" t="s">
        <v>3378</v>
      </c>
      <c r="B45" s="2" t="s">
        <v>3375</v>
      </c>
      <c r="C45" s="3">
        <v>1</v>
      </c>
      <c r="D45" s="5">
        <v>48.38</v>
      </c>
      <c r="E45" s="3" t="s">
        <v>3376</v>
      </c>
      <c r="F45" s="2" t="s">
        <v>15</v>
      </c>
      <c r="G45" s="6" t="s">
        <v>746</v>
      </c>
      <c r="H45" s="2" t="s">
        <v>349</v>
      </c>
      <c r="I45" s="2" t="s">
        <v>285</v>
      </c>
      <c r="J45" s="2" t="s">
        <v>19</v>
      </c>
      <c r="K45" s="2" t="s">
        <v>274</v>
      </c>
      <c r="L45" s="7" t="str">
        <f>HYPERLINK("http://slimages.macys.com/is/image/MCY/11644713 ")</f>
        <v xml:space="preserve">http://slimages.macys.com/is/image/MCY/11644713 </v>
      </c>
    </row>
    <row r="46" spans="1:12" ht="24.75" x14ac:dyDescent="0.25">
      <c r="A46" s="4" t="s">
        <v>5404</v>
      </c>
      <c r="B46" s="2" t="s">
        <v>322</v>
      </c>
      <c r="C46" s="3">
        <v>1</v>
      </c>
      <c r="D46" s="5">
        <v>67.13</v>
      </c>
      <c r="E46" s="3">
        <v>100021857</v>
      </c>
      <c r="F46" s="2" t="s">
        <v>64</v>
      </c>
      <c r="G46" s="6" t="s">
        <v>156</v>
      </c>
      <c r="H46" s="2" t="s">
        <v>246</v>
      </c>
      <c r="I46" s="2" t="s">
        <v>189</v>
      </c>
      <c r="J46" s="2" t="s">
        <v>19</v>
      </c>
      <c r="K46" s="2" t="s">
        <v>323</v>
      </c>
      <c r="L46" s="7" t="str">
        <f>HYPERLINK("http://slimages.macys.com/is/image/MCY/9484303 ")</f>
        <v xml:space="preserve">http://slimages.macys.com/is/image/MCY/9484303 </v>
      </c>
    </row>
    <row r="47" spans="1:12" ht="24.75" x14ac:dyDescent="0.25">
      <c r="A47" s="4" t="s">
        <v>5405</v>
      </c>
      <c r="B47" s="2" t="s">
        <v>269</v>
      </c>
      <c r="C47" s="3">
        <v>1</v>
      </c>
      <c r="D47" s="5">
        <v>50.65</v>
      </c>
      <c r="E47" s="3" t="s">
        <v>270</v>
      </c>
      <c r="F47" s="2" t="s">
        <v>413</v>
      </c>
      <c r="G47" s="6" t="s">
        <v>154</v>
      </c>
      <c r="H47" s="2" t="s">
        <v>182</v>
      </c>
      <c r="I47" s="2" t="s">
        <v>183</v>
      </c>
      <c r="J47" s="2" t="s">
        <v>19</v>
      </c>
      <c r="K47" s="2" t="s">
        <v>208</v>
      </c>
      <c r="L47" s="7" t="str">
        <f>HYPERLINK("http://slimages.macys.com/is/image/MCY/12465154 ")</f>
        <v xml:space="preserve">http://slimages.macys.com/is/image/MCY/12465154 </v>
      </c>
    </row>
    <row r="48" spans="1:12" ht="24.75" x14ac:dyDescent="0.25">
      <c r="A48" s="4" t="s">
        <v>5406</v>
      </c>
      <c r="B48" s="2" t="s">
        <v>5407</v>
      </c>
      <c r="C48" s="3">
        <v>1</v>
      </c>
      <c r="D48" s="5">
        <v>59.5</v>
      </c>
      <c r="E48" s="3" t="s">
        <v>5408</v>
      </c>
      <c r="F48" s="2" t="s">
        <v>820</v>
      </c>
      <c r="G48" s="6"/>
      <c r="H48" s="2" t="s">
        <v>127</v>
      </c>
      <c r="I48" s="2" t="s">
        <v>128</v>
      </c>
      <c r="J48" s="2" t="s">
        <v>19</v>
      </c>
      <c r="K48" s="2" t="s">
        <v>160</v>
      </c>
      <c r="L48" s="7" t="str">
        <f>HYPERLINK("http://slimages.macys.com/is/image/MCY/11785124 ")</f>
        <v xml:space="preserve">http://slimages.macys.com/is/image/MCY/11785124 </v>
      </c>
    </row>
    <row r="49" spans="1:12" ht="36.75" x14ac:dyDescent="0.25">
      <c r="A49" s="4" t="s">
        <v>2216</v>
      </c>
      <c r="B49" s="2" t="s">
        <v>2217</v>
      </c>
      <c r="C49" s="3">
        <v>1</v>
      </c>
      <c r="D49" s="5">
        <v>48.38</v>
      </c>
      <c r="E49" s="3" t="s">
        <v>2218</v>
      </c>
      <c r="F49" s="2" t="s">
        <v>331</v>
      </c>
      <c r="G49" s="6" t="s">
        <v>348</v>
      </c>
      <c r="H49" s="2" t="s">
        <v>349</v>
      </c>
      <c r="I49" s="2" t="s">
        <v>2219</v>
      </c>
      <c r="J49" s="2" t="s">
        <v>19</v>
      </c>
      <c r="K49" s="2" t="s">
        <v>274</v>
      </c>
      <c r="L49" s="7" t="str">
        <f>HYPERLINK("http://slimages.macys.com/is/image/MCY/12230757 ")</f>
        <v xml:space="preserve">http://slimages.macys.com/is/image/MCY/12230757 </v>
      </c>
    </row>
    <row r="50" spans="1:12" ht="36.75" x14ac:dyDescent="0.25">
      <c r="A50" s="4" t="s">
        <v>5409</v>
      </c>
      <c r="B50" s="2" t="s">
        <v>2217</v>
      </c>
      <c r="C50" s="3">
        <v>1</v>
      </c>
      <c r="D50" s="5">
        <v>48.38</v>
      </c>
      <c r="E50" s="3" t="s">
        <v>2218</v>
      </c>
      <c r="F50" s="2" t="s">
        <v>331</v>
      </c>
      <c r="G50" s="6" t="s">
        <v>746</v>
      </c>
      <c r="H50" s="2" t="s">
        <v>349</v>
      </c>
      <c r="I50" s="2" t="s">
        <v>2219</v>
      </c>
      <c r="J50" s="2" t="s">
        <v>19</v>
      </c>
      <c r="K50" s="2" t="s">
        <v>274</v>
      </c>
      <c r="L50" s="7" t="str">
        <f>HYPERLINK("http://slimages.macys.com/is/image/MCY/12230757 ")</f>
        <v xml:space="preserve">http://slimages.macys.com/is/image/MCY/12230757 </v>
      </c>
    </row>
    <row r="51" spans="1:12" ht="36.75" x14ac:dyDescent="0.25">
      <c r="A51" s="4" t="s">
        <v>5410</v>
      </c>
      <c r="B51" s="2" t="s">
        <v>2223</v>
      </c>
      <c r="C51" s="3">
        <v>1</v>
      </c>
      <c r="D51" s="5">
        <v>48.38</v>
      </c>
      <c r="E51" s="3" t="s">
        <v>2224</v>
      </c>
      <c r="F51" s="2" t="s">
        <v>26</v>
      </c>
      <c r="G51" s="6" t="s">
        <v>2276</v>
      </c>
      <c r="H51" s="2" t="s">
        <v>349</v>
      </c>
      <c r="I51" s="2" t="s">
        <v>285</v>
      </c>
      <c r="J51" s="2" t="s">
        <v>19</v>
      </c>
      <c r="K51" s="2" t="s">
        <v>2225</v>
      </c>
      <c r="L51" s="7" t="str">
        <f>HYPERLINK("http://slimages.macys.com/is/image/MCY/12077740 ")</f>
        <v xml:space="preserve">http://slimages.macys.com/is/image/MCY/12077740 </v>
      </c>
    </row>
    <row r="52" spans="1:12" ht="24.75" x14ac:dyDescent="0.25">
      <c r="A52" s="4" t="s">
        <v>5411</v>
      </c>
      <c r="B52" s="2" t="s">
        <v>5412</v>
      </c>
      <c r="C52" s="3">
        <v>3</v>
      </c>
      <c r="D52" s="5">
        <v>52.13</v>
      </c>
      <c r="E52" s="3" t="s">
        <v>5413</v>
      </c>
      <c r="F52" s="2" t="s">
        <v>64</v>
      </c>
      <c r="G52" s="6" t="s">
        <v>219</v>
      </c>
      <c r="H52" s="2" t="s">
        <v>188</v>
      </c>
      <c r="I52" s="2" t="s">
        <v>189</v>
      </c>
      <c r="J52" s="2" t="s">
        <v>19</v>
      </c>
      <c r="K52" s="2" t="s">
        <v>34</v>
      </c>
      <c r="L52" s="7" t="str">
        <f>HYPERLINK("http://slimages.macys.com/is/image/MCY/12224819 ")</f>
        <v xml:space="preserve">http://slimages.macys.com/is/image/MCY/12224819 </v>
      </c>
    </row>
    <row r="53" spans="1:12" ht="24.75" x14ac:dyDescent="0.25">
      <c r="A53" s="4" t="s">
        <v>5414</v>
      </c>
      <c r="B53" s="2" t="s">
        <v>2236</v>
      </c>
      <c r="C53" s="3">
        <v>1</v>
      </c>
      <c r="D53" s="5">
        <v>48.38</v>
      </c>
      <c r="E53" s="3" t="s">
        <v>2237</v>
      </c>
      <c r="F53" s="2" t="s">
        <v>5415</v>
      </c>
      <c r="G53" s="6" t="s">
        <v>200</v>
      </c>
      <c r="H53" s="2" t="s">
        <v>246</v>
      </c>
      <c r="I53" s="2" t="s">
        <v>189</v>
      </c>
      <c r="J53" s="2" t="s">
        <v>19</v>
      </c>
      <c r="K53" s="2" t="s">
        <v>241</v>
      </c>
      <c r="L53" s="7" t="str">
        <f>HYPERLINK("http://slimages.macys.com/is/image/MCY/11938495 ")</f>
        <v xml:space="preserve">http://slimages.macys.com/is/image/MCY/11938495 </v>
      </c>
    </row>
    <row r="54" spans="1:12" ht="24.75" x14ac:dyDescent="0.25">
      <c r="A54" s="4" t="s">
        <v>357</v>
      </c>
      <c r="B54" s="2" t="s">
        <v>355</v>
      </c>
      <c r="C54" s="3">
        <v>1</v>
      </c>
      <c r="D54" s="5">
        <v>48</v>
      </c>
      <c r="E54" s="3">
        <v>100053387</v>
      </c>
      <c r="F54" s="2" t="s">
        <v>111</v>
      </c>
      <c r="G54" s="6" t="s">
        <v>16</v>
      </c>
      <c r="H54" s="2" t="s">
        <v>228</v>
      </c>
      <c r="I54" s="2" t="s">
        <v>229</v>
      </c>
      <c r="J54" s="2" t="s">
        <v>19</v>
      </c>
      <c r="K54" s="2" t="s">
        <v>338</v>
      </c>
      <c r="L54" s="7" t="str">
        <f>HYPERLINK("http://slimages.macys.com/is/image/MCY/13829477 ")</f>
        <v xml:space="preserve">http://slimages.macys.com/is/image/MCY/13829477 </v>
      </c>
    </row>
    <row r="55" spans="1:12" ht="24.75" x14ac:dyDescent="0.25">
      <c r="A55" s="4" t="s">
        <v>356</v>
      </c>
      <c r="B55" s="2" t="s">
        <v>355</v>
      </c>
      <c r="C55" s="3">
        <v>1</v>
      </c>
      <c r="D55" s="5">
        <v>48</v>
      </c>
      <c r="E55" s="3">
        <v>100053387</v>
      </c>
      <c r="F55" s="2" t="s">
        <v>111</v>
      </c>
      <c r="G55" s="6" t="s">
        <v>65</v>
      </c>
      <c r="H55" s="2" t="s">
        <v>228</v>
      </c>
      <c r="I55" s="2" t="s">
        <v>229</v>
      </c>
      <c r="J55" s="2" t="s">
        <v>19</v>
      </c>
      <c r="K55" s="2" t="s">
        <v>338</v>
      </c>
      <c r="L55" s="7" t="str">
        <f>HYPERLINK("http://slimages.macys.com/is/image/MCY/13829477 ")</f>
        <v xml:space="preserve">http://slimages.macys.com/is/image/MCY/13829477 </v>
      </c>
    </row>
    <row r="56" spans="1:12" ht="24.75" x14ac:dyDescent="0.25">
      <c r="A56" s="4" t="s">
        <v>358</v>
      </c>
      <c r="B56" s="2" t="s">
        <v>359</v>
      </c>
      <c r="C56" s="3">
        <v>1</v>
      </c>
      <c r="D56" s="5">
        <v>59.5</v>
      </c>
      <c r="E56" s="3" t="s">
        <v>360</v>
      </c>
      <c r="F56" s="2" t="s">
        <v>26</v>
      </c>
      <c r="G56" s="6" t="s">
        <v>205</v>
      </c>
      <c r="H56" s="2" t="s">
        <v>127</v>
      </c>
      <c r="I56" s="2" t="s">
        <v>128</v>
      </c>
      <c r="J56" s="2" t="s">
        <v>19</v>
      </c>
      <c r="K56" s="2" t="s">
        <v>361</v>
      </c>
      <c r="L56" s="7" t="str">
        <f>HYPERLINK("http://slimages.macys.com/is/image/MCY/10890960 ")</f>
        <v xml:space="preserve">http://slimages.macys.com/is/image/MCY/10890960 </v>
      </c>
    </row>
    <row r="57" spans="1:12" ht="24.75" x14ac:dyDescent="0.25">
      <c r="A57" s="4" t="s">
        <v>4498</v>
      </c>
      <c r="B57" s="2" t="s">
        <v>359</v>
      </c>
      <c r="C57" s="3">
        <v>1</v>
      </c>
      <c r="D57" s="5">
        <v>59.5</v>
      </c>
      <c r="E57" s="3" t="s">
        <v>360</v>
      </c>
      <c r="F57" s="2" t="s">
        <v>26</v>
      </c>
      <c r="G57" s="6" t="s">
        <v>934</v>
      </c>
      <c r="H57" s="2" t="s">
        <v>127</v>
      </c>
      <c r="I57" s="2" t="s">
        <v>128</v>
      </c>
      <c r="J57" s="2" t="s">
        <v>19</v>
      </c>
      <c r="K57" s="2" t="s">
        <v>361</v>
      </c>
      <c r="L57" s="7" t="str">
        <f>HYPERLINK("http://slimages.macys.com/is/image/MCY/10890960 ")</f>
        <v xml:space="preserve">http://slimages.macys.com/is/image/MCY/10890960 </v>
      </c>
    </row>
    <row r="58" spans="1:12" ht="24.75" x14ac:dyDescent="0.25">
      <c r="A58" s="4" t="s">
        <v>5416</v>
      </c>
      <c r="B58" s="2" t="s">
        <v>2244</v>
      </c>
      <c r="C58" s="3">
        <v>1</v>
      </c>
      <c r="D58" s="5">
        <v>44.63</v>
      </c>
      <c r="E58" s="3" t="s">
        <v>2245</v>
      </c>
      <c r="F58" s="2" t="s">
        <v>125</v>
      </c>
      <c r="G58" s="6" t="s">
        <v>234</v>
      </c>
      <c r="H58" s="2" t="s">
        <v>194</v>
      </c>
      <c r="I58" s="2" t="s">
        <v>195</v>
      </c>
      <c r="J58" s="2" t="s">
        <v>19</v>
      </c>
      <c r="K58" s="2" t="s">
        <v>34</v>
      </c>
      <c r="L58" s="7" t="str">
        <f>HYPERLINK("http://slimages.macys.com/is/image/MCY/12756091 ")</f>
        <v xml:space="preserve">http://slimages.macys.com/is/image/MCY/12756091 </v>
      </c>
    </row>
    <row r="59" spans="1:12" ht="36.75" x14ac:dyDescent="0.25">
      <c r="A59" s="4" t="s">
        <v>5417</v>
      </c>
      <c r="B59" s="2" t="s">
        <v>4501</v>
      </c>
      <c r="C59" s="3">
        <v>1</v>
      </c>
      <c r="D59" s="5">
        <v>49.5</v>
      </c>
      <c r="E59" s="3" t="s">
        <v>4502</v>
      </c>
      <c r="F59" s="2" t="s">
        <v>170</v>
      </c>
      <c r="G59" s="6" t="s">
        <v>16</v>
      </c>
      <c r="H59" s="2" t="s">
        <v>246</v>
      </c>
      <c r="I59" s="2" t="s">
        <v>189</v>
      </c>
      <c r="J59" s="2" t="s">
        <v>19</v>
      </c>
      <c r="K59" s="2" t="s">
        <v>395</v>
      </c>
      <c r="L59" s="7" t="str">
        <f>HYPERLINK("http://slimages.macys.com/is/image/MCY/10676321 ")</f>
        <v xml:space="preserve">http://slimages.macys.com/is/image/MCY/10676321 </v>
      </c>
    </row>
    <row r="60" spans="1:12" ht="24.75" x14ac:dyDescent="0.25">
      <c r="A60" s="4" t="s">
        <v>5418</v>
      </c>
      <c r="B60" s="2" t="s">
        <v>5419</v>
      </c>
      <c r="C60" s="3">
        <v>1</v>
      </c>
      <c r="D60" s="5">
        <v>67.13</v>
      </c>
      <c r="E60" s="3" t="s">
        <v>5420</v>
      </c>
      <c r="F60" s="2" t="s">
        <v>64</v>
      </c>
      <c r="G60" s="6" t="s">
        <v>181</v>
      </c>
      <c r="H60" s="2" t="s">
        <v>246</v>
      </c>
      <c r="I60" s="2" t="s">
        <v>189</v>
      </c>
      <c r="J60" s="2" t="s">
        <v>19</v>
      </c>
      <c r="K60" s="2" t="s">
        <v>3423</v>
      </c>
      <c r="L60" s="7" t="str">
        <f>HYPERLINK("http://slimages.macys.com/is/image/MCY/12649409 ")</f>
        <v xml:space="preserve">http://slimages.macys.com/is/image/MCY/12649409 </v>
      </c>
    </row>
    <row r="61" spans="1:12" ht="24.75" x14ac:dyDescent="0.25">
      <c r="A61" s="4" t="s">
        <v>5421</v>
      </c>
      <c r="B61" s="2" t="s">
        <v>5419</v>
      </c>
      <c r="C61" s="3">
        <v>2</v>
      </c>
      <c r="D61" s="5">
        <v>67.13</v>
      </c>
      <c r="E61" s="3" t="s">
        <v>5420</v>
      </c>
      <c r="F61" s="2" t="s">
        <v>64</v>
      </c>
      <c r="G61" s="6" t="s">
        <v>245</v>
      </c>
      <c r="H61" s="2" t="s">
        <v>246</v>
      </c>
      <c r="I61" s="2" t="s">
        <v>189</v>
      </c>
      <c r="J61" s="2" t="s">
        <v>19</v>
      </c>
      <c r="K61" s="2" t="s">
        <v>3423</v>
      </c>
      <c r="L61" s="7" t="str">
        <f>HYPERLINK("http://slimages.macys.com/is/image/MCY/12649409 ")</f>
        <v xml:space="preserve">http://slimages.macys.com/is/image/MCY/12649409 </v>
      </c>
    </row>
    <row r="62" spans="1:12" ht="24.75" x14ac:dyDescent="0.25">
      <c r="A62" s="4" t="s">
        <v>5422</v>
      </c>
      <c r="B62" s="2" t="s">
        <v>5423</v>
      </c>
      <c r="C62" s="3">
        <v>1</v>
      </c>
      <c r="D62" s="5">
        <v>69.5</v>
      </c>
      <c r="E62" s="3" t="s">
        <v>5424</v>
      </c>
      <c r="F62" s="2" t="s">
        <v>464</v>
      </c>
      <c r="G62" s="6" t="s">
        <v>363</v>
      </c>
      <c r="H62" s="2" t="s">
        <v>127</v>
      </c>
      <c r="I62" s="2" t="s">
        <v>128</v>
      </c>
      <c r="J62" s="2" t="s">
        <v>19</v>
      </c>
      <c r="K62" s="2" t="s">
        <v>361</v>
      </c>
      <c r="L62" s="7" t="str">
        <f>HYPERLINK("http://slimages.macys.com/is/image/MCY/9777982 ")</f>
        <v xml:space="preserve">http://slimages.macys.com/is/image/MCY/9777982 </v>
      </c>
    </row>
    <row r="63" spans="1:12" ht="24.75" x14ac:dyDescent="0.25">
      <c r="A63" s="4" t="s">
        <v>5425</v>
      </c>
      <c r="B63" s="2" t="s">
        <v>5426</v>
      </c>
      <c r="C63" s="3">
        <v>1</v>
      </c>
      <c r="D63" s="5">
        <v>67.13</v>
      </c>
      <c r="E63" s="3" t="s">
        <v>5427</v>
      </c>
      <c r="F63" s="2" t="s">
        <v>64</v>
      </c>
      <c r="G63" s="6" t="s">
        <v>156</v>
      </c>
      <c r="H63" s="2" t="s">
        <v>246</v>
      </c>
      <c r="I63" s="2" t="s">
        <v>189</v>
      </c>
      <c r="J63" s="2" t="s">
        <v>19</v>
      </c>
      <c r="K63" s="2" t="s">
        <v>160</v>
      </c>
      <c r="L63" s="7" t="str">
        <f>HYPERLINK("http://slimages.macys.com/is/image/MCY/12773675 ")</f>
        <v xml:space="preserve">http://slimages.macys.com/is/image/MCY/12773675 </v>
      </c>
    </row>
    <row r="64" spans="1:12" ht="24.75" x14ac:dyDescent="0.25">
      <c r="A64" s="4" t="s">
        <v>5428</v>
      </c>
      <c r="B64" s="2" t="s">
        <v>5429</v>
      </c>
      <c r="C64" s="3">
        <v>1</v>
      </c>
      <c r="D64" s="5">
        <v>79.5</v>
      </c>
      <c r="E64" s="3" t="s">
        <v>5430</v>
      </c>
      <c r="F64" s="2" t="s">
        <v>676</v>
      </c>
      <c r="G64" s="6" t="s">
        <v>3715</v>
      </c>
      <c r="H64" s="2" t="s">
        <v>127</v>
      </c>
      <c r="I64" s="2" t="s">
        <v>128</v>
      </c>
      <c r="J64" s="2" t="s">
        <v>19</v>
      </c>
      <c r="K64" s="2" t="s">
        <v>34</v>
      </c>
      <c r="L64" s="7" t="str">
        <f>HYPERLINK("http://slimages.macys.com/is/image/MCY/14608028 ")</f>
        <v xml:space="preserve">http://slimages.macys.com/is/image/MCY/14608028 </v>
      </c>
    </row>
    <row r="65" spans="1:12" ht="24.75" x14ac:dyDescent="0.25">
      <c r="A65" s="4" t="s">
        <v>5431</v>
      </c>
      <c r="B65" s="2" t="s">
        <v>5423</v>
      </c>
      <c r="C65" s="3">
        <v>1</v>
      </c>
      <c r="D65" s="5">
        <v>69.5</v>
      </c>
      <c r="E65" s="3" t="s">
        <v>5424</v>
      </c>
      <c r="F65" s="2" t="s">
        <v>164</v>
      </c>
      <c r="G65" s="6" t="s">
        <v>165</v>
      </c>
      <c r="H65" s="2" t="s">
        <v>127</v>
      </c>
      <c r="I65" s="2" t="s">
        <v>128</v>
      </c>
      <c r="J65" s="2" t="s">
        <v>19</v>
      </c>
      <c r="K65" s="2" t="s">
        <v>361</v>
      </c>
      <c r="L65" s="7" t="str">
        <f>HYPERLINK("http://slimages.macys.com/is/image/MCY/9784382 ")</f>
        <v xml:space="preserve">http://slimages.macys.com/is/image/MCY/9784382 </v>
      </c>
    </row>
    <row r="66" spans="1:12" ht="24.75" x14ac:dyDescent="0.25">
      <c r="A66" s="4" t="s">
        <v>5432</v>
      </c>
      <c r="B66" s="2" t="s">
        <v>5433</v>
      </c>
      <c r="C66" s="3">
        <v>1</v>
      </c>
      <c r="D66" s="5">
        <v>69.5</v>
      </c>
      <c r="E66" s="3" t="s">
        <v>5434</v>
      </c>
      <c r="F66" s="2" t="s">
        <v>111</v>
      </c>
      <c r="G66" s="6" t="s">
        <v>205</v>
      </c>
      <c r="H66" s="2" t="s">
        <v>127</v>
      </c>
      <c r="I66" s="2" t="s">
        <v>128</v>
      </c>
      <c r="J66" s="2" t="s">
        <v>19</v>
      </c>
      <c r="K66" s="2" t="s">
        <v>409</v>
      </c>
      <c r="L66" s="7" t="str">
        <f>HYPERLINK("http://slimages.macys.com/is/image/MCY/10000265 ")</f>
        <v xml:space="preserve">http://slimages.macys.com/is/image/MCY/10000265 </v>
      </c>
    </row>
    <row r="67" spans="1:12" ht="24.75" x14ac:dyDescent="0.25">
      <c r="A67" s="4" t="s">
        <v>5435</v>
      </c>
      <c r="B67" s="2" t="s">
        <v>5433</v>
      </c>
      <c r="C67" s="3">
        <v>1</v>
      </c>
      <c r="D67" s="5">
        <v>59.5</v>
      </c>
      <c r="E67" s="3" t="s">
        <v>5436</v>
      </c>
      <c r="F67" s="2" t="s">
        <v>74</v>
      </c>
      <c r="G67" s="6" t="s">
        <v>205</v>
      </c>
      <c r="H67" s="2" t="s">
        <v>127</v>
      </c>
      <c r="I67" s="2" t="s">
        <v>128</v>
      </c>
      <c r="J67" s="2"/>
      <c r="K67" s="2"/>
      <c r="L67" s="7" t="str">
        <f>HYPERLINK("http://slimages.macys.com/is/image/MCY/10000265 ")</f>
        <v xml:space="preserve">http://slimages.macys.com/is/image/MCY/10000265 </v>
      </c>
    </row>
    <row r="68" spans="1:12" ht="24.75" x14ac:dyDescent="0.25">
      <c r="A68" s="4" t="s">
        <v>5437</v>
      </c>
      <c r="B68" s="2" t="s">
        <v>5438</v>
      </c>
      <c r="C68" s="3">
        <v>1</v>
      </c>
      <c r="D68" s="5">
        <v>59.5</v>
      </c>
      <c r="E68" s="3">
        <v>100057756</v>
      </c>
      <c r="F68" s="2" t="s">
        <v>64</v>
      </c>
      <c r="G68" s="6" t="s">
        <v>16</v>
      </c>
      <c r="H68" s="2" t="s">
        <v>386</v>
      </c>
      <c r="I68" s="2" t="s">
        <v>207</v>
      </c>
      <c r="J68" s="2" t="s">
        <v>19</v>
      </c>
      <c r="K68" s="2" t="s">
        <v>338</v>
      </c>
      <c r="L68" s="7" t="str">
        <f>HYPERLINK("http://slimages.macys.com/is/image/MCY/11784178 ")</f>
        <v xml:space="preserve">http://slimages.macys.com/is/image/MCY/11784178 </v>
      </c>
    </row>
    <row r="69" spans="1:12" ht="24.75" x14ac:dyDescent="0.25">
      <c r="A69" s="4" t="s">
        <v>5439</v>
      </c>
      <c r="B69" s="2" t="s">
        <v>5440</v>
      </c>
      <c r="C69" s="3">
        <v>1</v>
      </c>
      <c r="D69" s="5">
        <v>59.63</v>
      </c>
      <c r="E69" s="3" t="s">
        <v>5441</v>
      </c>
      <c r="F69" s="2" t="s">
        <v>64</v>
      </c>
      <c r="G69" s="6" t="s">
        <v>181</v>
      </c>
      <c r="H69" s="2" t="s">
        <v>194</v>
      </c>
      <c r="I69" s="2" t="s">
        <v>195</v>
      </c>
      <c r="J69" s="2" t="s">
        <v>19</v>
      </c>
      <c r="K69" s="2" t="s">
        <v>5442</v>
      </c>
      <c r="L69" s="7" t="str">
        <f>HYPERLINK("http://slimages.macys.com/is/image/MCY/12034764 ")</f>
        <v xml:space="preserve">http://slimages.macys.com/is/image/MCY/12034764 </v>
      </c>
    </row>
    <row r="70" spans="1:12" ht="36.75" x14ac:dyDescent="0.25">
      <c r="A70" s="4" t="s">
        <v>5443</v>
      </c>
      <c r="B70" s="2" t="s">
        <v>411</v>
      </c>
      <c r="C70" s="3">
        <v>1</v>
      </c>
      <c r="D70" s="5">
        <v>44.63</v>
      </c>
      <c r="E70" s="3" t="s">
        <v>412</v>
      </c>
      <c r="F70" s="2" t="s">
        <v>413</v>
      </c>
      <c r="G70" s="6" t="s">
        <v>156</v>
      </c>
      <c r="H70" s="2" t="s">
        <v>284</v>
      </c>
      <c r="I70" s="2" t="s">
        <v>285</v>
      </c>
      <c r="J70" s="2" t="s">
        <v>19</v>
      </c>
      <c r="K70" s="2" t="s">
        <v>274</v>
      </c>
      <c r="L70" s="7" t="str">
        <f>HYPERLINK("http://slimages.macys.com/is/image/MCY/12237188 ")</f>
        <v xml:space="preserve">http://slimages.macys.com/is/image/MCY/12237188 </v>
      </c>
    </row>
    <row r="71" spans="1:12" x14ac:dyDescent="0.25">
      <c r="A71" s="4" t="s">
        <v>5444</v>
      </c>
      <c r="B71" s="2" t="s">
        <v>5445</v>
      </c>
      <c r="C71" s="3">
        <v>1</v>
      </c>
      <c r="D71" s="5">
        <v>69.5</v>
      </c>
      <c r="E71" s="3" t="s">
        <v>5446</v>
      </c>
      <c r="F71" s="2" t="s">
        <v>74</v>
      </c>
      <c r="G71" s="6" t="s">
        <v>187</v>
      </c>
      <c r="H71" s="2" t="s">
        <v>206</v>
      </c>
      <c r="I71" s="2" t="s">
        <v>1010</v>
      </c>
      <c r="J71" s="2" t="s">
        <v>19</v>
      </c>
      <c r="K71" s="2" t="s">
        <v>160</v>
      </c>
      <c r="L71" s="7" t="str">
        <f>HYPERLINK("http://slimages.macys.com/is/image/MCY/11524924 ")</f>
        <v xml:space="preserve">http://slimages.macys.com/is/image/MCY/11524924 </v>
      </c>
    </row>
    <row r="72" spans="1:12" ht="24.75" x14ac:dyDescent="0.25">
      <c r="A72" s="4" t="s">
        <v>5447</v>
      </c>
      <c r="B72" s="2" t="s">
        <v>5448</v>
      </c>
      <c r="C72" s="3">
        <v>1</v>
      </c>
      <c r="D72" s="5">
        <v>48.38</v>
      </c>
      <c r="E72" s="3" t="s">
        <v>5449</v>
      </c>
      <c r="F72" s="2" t="s">
        <v>33</v>
      </c>
      <c r="G72" s="6" t="s">
        <v>200</v>
      </c>
      <c r="H72" s="2" t="s">
        <v>246</v>
      </c>
      <c r="I72" s="2" t="s">
        <v>189</v>
      </c>
      <c r="J72" s="2" t="s">
        <v>19</v>
      </c>
      <c r="K72" s="2" t="s">
        <v>2180</v>
      </c>
      <c r="L72" s="7" t="str">
        <f>HYPERLINK("http://slimages.macys.com/is/image/MCY/10678651 ")</f>
        <v xml:space="preserve">http://slimages.macys.com/is/image/MCY/10678651 </v>
      </c>
    </row>
    <row r="73" spans="1:12" x14ac:dyDescent="0.25">
      <c r="A73" s="4" t="s">
        <v>5450</v>
      </c>
      <c r="B73" s="2" t="s">
        <v>440</v>
      </c>
      <c r="C73" s="3">
        <v>1</v>
      </c>
      <c r="D73" s="5">
        <v>41.65</v>
      </c>
      <c r="E73" s="3" t="s">
        <v>441</v>
      </c>
      <c r="F73" s="2" t="s">
        <v>376</v>
      </c>
      <c r="G73" s="6" t="s">
        <v>200</v>
      </c>
      <c r="H73" s="2" t="s">
        <v>182</v>
      </c>
      <c r="I73" s="2" t="s">
        <v>183</v>
      </c>
      <c r="J73" s="2" t="s">
        <v>19</v>
      </c>
      <c r="K73" s="2" t="s">
        <v>442</v>
      </c>
      <c r="L73" s="7" t="str">
        <f>HYPERLINK("http://slimages.macys.com/is/image/MCY/12671298 ")</f>
        <v xml:space="preserve">http://slimages.macys.com/is/image/MCY/12671298 </v>
      </c>
    </row>
    <row r="74" spans="1:12" ht="24.75" x14ac:dyDescent="0.25">
      <c r="A74" s="4" t="s">
        <v>5451</v>
      </c>
      <c r="B74" s="2" t="s">
        <v>5452</v>
      </c>
      <c r="C74" s="3">
        <v>1</v>
      </c>
      <c r="D74" s="5">
        <v>39.5</v>
      </c>
      <c r="E74" s="3">
        <v>100054428</v>
      </c>
      <c r="F74" s="2" t="s">
        <v>74</v>
      </c>
      <c r="G74" s="6" t="s">
        <v>181</v>
      </c>
      <c r="H74" s="2" t="s">
        <v>194</v>
      </c>
      <c r="I74" s="2" t="s">
        <v>503</v>
      </c>
      <c r="J74" s="2" t="s">
        <v>19</v>
      </c>
      <c r="K74" s="2" t="s">
        <v>5453</v>
      </c>
      <c r="L74" s="7" t="str">
        <f>HYPERLINK("http://slimages.macys.com/is/image/MCY/15299160 ")</f>
        <v xml:space="preserve">http://slimages.macys.com/is/image/MCY/15299160 </v>
      </c>
    </row>
    <row r="75" spans="1:12" ht="24.75" x14ac:dyDescent="0.25">
      <c r="A75" s="4" t="s">
        <v>5454</v>
      </c>
      <c r="B75" s="2" t="s">
        <v>5455</v>
      </c>
      <c r="C75" s="3">
        <v>2</v>
      </c>
      <c r="D75" s="5">
        <v>48.38</v>
      </c>
      <c r="E75" s="3" t="s">
        <v>5456</v>
      </c>
      <c r="F75" s="2" t="s">
        <v>5457</v>
      </c>
      <c r="G75" s="6" t="s">
        <v>746</v>
      </c>
      <c r="H75" s="2" t="s">
        <v>349</v>
      </c>
      <c r="I75" s="2" t="s">
        <v>285</v>
      </c>
      <c r="J75" s="2" t="s">
        <v>19</v>
      </c>
      <c r="K75" s="2" t="s">
        <v>160</v>
      </c>
      <c r="L75" s="7" t="str">
        <f>HYPERLINK("http://slimages.macys.com/is/image/MCY/11785229 ")</f>
        <v xml:space="preserve">http://slimages.macys.com/is/image/MCY/11785229 </v>
      </c>
    </row>
    <row r="76" spans="1:12" ht="36.75" x14ac:dyDescent="0.25">
      <c r="A76" s="4" t="s">
        <v>5458</v>
      </c>
      <c r="B76" s="2" t="s">
        <v>5459</v>
      </c>
      <c r="C76" s="3">
        <v>1</v>
      </c>
      <c r="D76" s="5">
        <v>74</v>
      </c>
      <c r="E76" s="3" t="s">
        <v>5460</v>
      </c>
      <c r="F76" s="2" t="s">
        <v>74</v>
      </c>
      <c r="G76" s="6"/>
      <c r="H76" s="2" t="s">
        <v>447</v>
      </c>
      <c r="I76" s="2" t="s">
        <v>448</v>
      </c>
      <c r="J76" s="2" t="s">
        <v>19</v>
      </c>
      <c r="K76" s="2" t="s">
        <v>5461</v>
      </c>
      <c r="L76" s="7" t="str">
        <f>HYPERLINK("http://slimages.macys.com/is/image/MCY/10629164 ")</f>
        <v xml:space="preserve">http://slimages.macys.com/is/image/MCY/10629164 </v>
      </c>
    </row>
    <row r="77" spans="1:12" ht="24.75" x14ac:dyDescent="0.25">
      <c r="A77" s="4" t="s">
        <v>4537</v>
      </c>
      <c r="B77" s="2" t="s">
        <v>2268</v>
      </c>
      <c r="C77" s="3">
        <v>1</v>
      </c>
      <c r="D77" s="5">
        <v>44.63</v>
      </c>
      <c r="E77" s="3" t="s">
        <v>2269</v>
      </c>
      <c r="F77" s="2" t="s">
        <v>94</v>
      </c>
      <c r="G77" s="6" t="s">
        <v>746</v>
      </c>
      <c r="H77" s="2" t="s">
        <v>349</v>
      </c>
      <c r="I77" s="2" t="s">
        <v>285</v>
      </c>
      <c r="J77" s="2" t="s">
        <v>19</v>
      </c>
      <c r="K77" s="2" t="s">
        <v>160</v>
      </c>
      <c r="L77" s="7" t="str">
        <f>HYPERLINK("http://slimages.macys.com/is/image/MCY/13039993 ")</f>
        <v xml:space="preserve">http://slimages.macys.com/is/image/MCY/13039993 </v>
      </c>
    </row>
    <row r="78" spans="1:12" ht="24.75" x14ac:dyDescent="0.25">
      <c r="A78" s="4" t="s">
        <v>5462</v>
      </c>
      <c r="B78" s="2" t="s">
        <v>3405</v>
      </c>
      <c r="C78" s="3">
        <v>1</v>
      </c>
      <c r="D78" s="5">
        <v>44.5</v>
      </c>
      <c r="E78" s="3" t="s">
        <v>3406</v>
      </c>
      <c r="F78" s="2" t="s">
        <v>252</v>
      </c>
      <c r="G78" s="6" t="s">
        <v>234</v>
      </c>
      <c r="H78" s="2" t="s">
        <v>194</v>
      </c>
      <c r="I78" s="2" t="s">
        <v>195</v>
      </c>
      <c r="J78" s="2" t="s">
        <v>19</v>
      </c>
      <c r="K78" s="2" t="s">
        <v>3411</v>
      </c>
      <c r="L78" s="7" t="str">
        <f>HYPERLINK("http://slimages.macys.com/is/image/MCY/11937854 ")</f>
        <v xml:space="preserve">http://slimages.macys.com/is/image/MCY/11937854 </v>
      </c>
    </row>
    <row r="79" spans="1:12" ht="24.75" x14ac:dyDescent="0.25">
      <c r="A79" s="4" t="s">
        <v>5463</v>
      </c>
      <c r="B79" s="2" t="s">
        <v>5464</v>
      </c>
      <c r="C79" s="3">
        <v>1</v>
      </c>
      <c r="D79" s="5">
        <v>52.13</v>
      </c>
      <c r="E79" s="3" t="s">
        <v>5465</v>
      </c>
      <c r="F79" s="2" t="s">
        <v>26</v>
      </c>
      <c r="G79" s="6" t="s">
        <v>348</v>
      </c>
      <c r="H79" s="2" t="s">
        <v>349</v>
      </c>
      <c r="I79" s="2" t="s">
        <v>285</v>
      </c>
      <c r="J79" s="2" t="s">
        <v>19</v>
      </c>
      <c r="K79" s="2" t="s">
        <v>323</v>
      </c>
      <c r="L79" s="7" t="str">
        <f>HYPERLINK("http://slimages.macys.com/is/image/MCY/13535601 ")</f>
        <v xml:space="preserve">http://slimages.macys.com/is/image/MCY/13535601 </v>
      </c>
    </row>
    <row r="80" spans="1:12" ht="24.75" x14ac:dyDescent="0.25">
      <c r="A80" s="4" t="s">
        <v>5466</v>
      </c>
      <c r="B80" s="2" t="s">
        <v>5467</v>
      </c>
      <c r="C80" s="3">
        <v>1</v>
      </c>
      <c r="D80" s="5">
        <v>40.880000000000003</v>
      </c>
      <c r="E80" s="3" t="s">
        <v>5468</v>
      </c>
      <c r="F80" s="2" t="s">
        <v>170</v>
      </c>
      <c r="G80" s="6" t="s">
        <v>181</v>
      </c>
      <c r="H80" s="2" t="s">
        <v>284</v>
      </c>
      <c r="I80" s="2" t="s">
        <v>285</v>
      </c>
      <c r="J80" s="2" t="s">
        <v>19</v>
      </c>
      <c r="K80" s="2" t="s">
        <v>160</v>
      </c>
      <c r="L80" s="7" t="str">
        <f>HYPERLINK("http://slimages.macys.com/is/image/MCY/11785903 ")</f>
        <v xml:space="preserve">http://slimages.macys.com/is/image/MCY/11785903 </v>
      </c>
    </row>
    <row r="81" spans="1:12" ht="24.75" x14ac:dyDescent="0.25">
      <c r="A81" s="4" t="s">
        <v>2273</v>
      </c>
      <c r="B81" s="2" t="s">
        <v>453</v>
      </c>
      <c r="C81" s="3">
        <v>1</v>
      </c>
      <c r="D81" s="5">
        <v>44.63</v>
      </c>
      <c r="E81" s="3" t="s">
        <v>454</v>
      </c>
      <c r="F81" s="2" t="s">
        <v>74</v>
      </c>
      <c r="G81" s="6" t="s">
        <v>746</v>
      </c>
      <c r="H81" s="2" t="s">
        <v>349</v>
      </c>
      <c r="I81" s="2" t="s">
        <v>285</v>
      </c>
      <c r="J81" s="2" t="s">
        <v>19</v>
      </c>
      <c r="K81" s="2" t="s">
        <v>323</v>
      </c>
      <c r="L81" s="7" t="str">
        <f>HYPERLINK("http://slimages.macys.com/is/image/MCY/12343071 ")</f>
        <v xml:space="preserve">http://slimages.macys.com/is/image/MCY/12343071 </v>
      </c>
    </row>
    <row r="82" spans="1:12" ht="24.75" x14ac:dyDescent="0.25">
      <c r="A82" s="4" t="s">
        <v>4542</v>
      </c>
      <c r="B82" s="2" t="s">
        <v>4543</v>
      </c>
      <c r="C82" s="3">
        <v>1</v>
      </c>
      <c r="D82" s="5">
        <v>34.99</v>
      </c>
      <c r="E82" s="3" t="s">
        <v>4544</v>
      </c>
      <c r="F82" s="2" t="s">
        <v>572</v>
      </c>
      <c r="G82" s="6" t="s">
        <v>4545</v>
      </c>
      <c r="H82" s="2" t="s">
        <v>349</v>
      </c>
      <c r="I82" s="2" t="s">
        <v>408</v>
      </c>
      <c r="J82" s="2" t="s">
        <v>19</v>
      </c>
      <c r="K82" s="2" t="s">
        <v>409</v>
      </c>
      <c r="L82" s="7" t="str">
        <f>HYPERLINK("http://slimages.macys.com/is/image/MCY/13468658 ")</f>
        <v xml:space="preserve">http://slimages.macys.com/is/image/MCY/13468658 </v>
      </c>
    </row>
    <row r="83" spans="1:12" ht="24.75" x14ac:dyDescent="0.25">
      <c r="A83" s="4" t="s">
        <v>5469</v>
      </c>
      <c r="B83" s="2" t="s">
        <v>468</v>
      </c>
      <c r="C83" s="3">
        <v>1</v>
      </c>
      <c r="D83" s="5">
        <v>44.63</v>
      </c>
      <c r="E83" s="3" t="s">
        <v>469</v>
      </c>
      <c r="F83" s="2" t="s">
        <v>15</v>
      </c>
      <c r="G83" s="6" t="s">
        <v>106</v>
      </c>
      <c r="H83" s="2" t="s">
        <v>213</v>
      </c>
      <c r="I83" s="2" t="s">
        <v>214</v>
      </c>
      <c r="J83" s="2" t="s">
        <v>19</v>
      </c>
      <c r="K83" s="2" t="s">
        <v>215</v>
      </c>
      <c r="L83" s="7" t="str">
        <f>HYPERLINK("http://slimages.macys.com/is/image/MCY/9910778 ")</f>
        <v xml:space="preserve">http://slimages.macys.com/is/image/MCY/9910778 </v>
      </c>
    </row>
    <row r="84" spans="1:12" ht="36.75" x14ac:dyDescent="0.25">
      <c r="A84" s="4" t="s">
        <v>5470</v>
      </c>
      <c r="B84" s="2" t="s">
        <v>5471</v>
      </c>
      <c r="C84" s="3">
        <v>1</v>
      </c>
      <c r="D84" s="5">
        <v>59.63</v>
      </c>
      <c r="E84" s="3" t="s">
        <v>5472</v>
      </c>
      <c r="F84" s="2" t="s">
        <v>74</v>
      </c>
      <c r="G84" s="6" t="s">
        <v>348</v>
      </c>
      <c r="H84" s="2" t="s">
        <v>349</v>
      </c>
      <c r="I84" s="2" t="s">
        <v>285</v>
      </c>
      <c r="J84" s="2" t="s">
        <v>19</v>
      </c>
      <c r="K84" s="2" t="s">
        <v>2419</v>
      </c>
      <c r="L84" s="7" t="str">
        <f>HYPERLINK("http://slimages.macys.com/is/image/MCY/11624794 ")</f>
        <v xml:space="preserve">http://slimages.macys.com/is/image/MCY/11624794 </v>
      </c>
    </row>
    <row r="85" spans="1:12" ht="24.75" x14ac:dyDescent="0.25">
      <c r="A85" s="4" t="s">
        <v>5473</v>
      </c>
      <c r="B85" s="2" t="s">
        <v>5474</v>
      </c>
      <c r="C85" s="3">
        <v>1</v>
      </c>
      <c r="D85" s="5">
        <v>48.38</v>
      </c>
      <c r="E85" s="3" t="s">
        <v>5475</v>
      </c>
      <c r="F85" s="2" t="s">
        <v>15</v>
      </c>
      <c r="G85" s="6" t="s">
        <v>348</v>
      </c>
      <c r="H85" s="2" t="s">
        <v>349</v>
      </c>
      <c r="I85" s="2" t="s">
        <v>285</v>
      </c>
      <c r="J85" s="2" t="s">
        <v>19</v>
      </c>
      <c r="K85" s="2" t="s">
        <v>5476</v>
      </c>
      <c r="L85" s="7" t="str">
        <f>HYPERLINK("http://slimages.macys.com/is/image/MCY/12672997 ")</f>
        <v xml:space="preserve">http://slimages.macys.com/is/image/MCY/12672997 </v>
      </c>
    </row>
    <row r="86" spans="1:12" ht="24.75" x14ac:dyDescent="0.25">
      <c r="A86" s="4" t="s">
        <v>5477</v>
      </c>
      <c r="B86" s="2" t="s">
        <v>5474</v>
      </c>
      <c r="C86" s="3">
        <v>2</v>
      </c>
      <c r="D86" s="5">
        <v>48.38</v>
      </c>
      <c r="E86" s="3" t="s">
        <v>5475</v>
      </c>
      <c r="F86" s="2" t="s">
        <v>15</v>
      </c>
      <c r="G86" s="6" t="s">
        <v>2276</v>
      </c>
      <c r="H86" s="2" t="s">
        <v>349</v>
      </c>
      <c r="I86" s="2" t="s">
        <v>285</v>
      </c>
      <c r="J86" s="2" t="s">
        <v>19</v>
      </c>
      <c r="K86" s="2" t="s">
        <v>5476</v>
      </c>
      <c r="L86" s="7" t="str">
        <f>HYPERLINK("http://slimages.macys.com/is/image/MCY/12672997 ")</f>
        <v xml:space="preserve">http://slimages.macys.com/is/image/MCY/12672997 </v>
      </c>
    </row>
    <row r="87" spans="1:12" ht="24.75" x14ac:dyDescent="0.25">
      <c r="A87" s="4" t="s">
        <v>5478</v>
      </c>
      <c r="B87" s="2" t="s">
        <v>5474</v>
      </c>
      <c r="C87" s="3">
        <v>1</v>
      </c>
      <c r="D87" s="5">
        <v>48.38</v>
      </c>
      <c r="E87" s="3" t="s">
        <v>5475</v>
      </c>
      <c r="F87" s="2" t="s">
        <v>15</v>
      </c>
      <c r="G87" s="6"/>
      <c r="H87" s="2" t="s">
        <v>349</v>
      </c>
      <c r="I87" s="2" t="s">
        <v>285</v>
      </c>
      <c r="J87" s="2" t="s">
        <v>19</v>
      </c>
      <c r="K87" s="2" t="s">
        <v>5476</v>
      </c>
      <c r="L87" s="7" t="str">
        <f>HYPERLINK("http://slimages.macys.com/is/image/MCY/12672997 ")</f>
        <v xml:space="preserve">http://slimages.macys.com/is/image/MCY/12672997 </v>
      </c>
    </row>
    <row r="88" spans="1:12" ht="24.75" x14ac:dyDescent="0.25">
      <c r="A88" s="4" t="s">
        <v>491</v>
      </c>
      <c r="B88" s="2" t="s">
        <v>492</v>
      </c>
      <c r="C88" s="3">
        <v>2</v>
      </c>
      <c r="D88" s="5">
        <v>44.5</v>
      </c>
      <c r="E88" s="3" t="s">
        <v>493</v>
      </c>
      <c r="F88" s="2" t="s">
        <v>494</v>
      </c>
      <c r="G88" s="6" t="s">
        <v>154</v>
      </c>
      <c r="H88" s="2" t="s">
        <v>194</v>
      </c>
      <c r="I88" s="2" t="s">
        <v>195</v>
      </c>
      <c r="J88" s="2" t="s">
        <v>19</v>
      </c>
      <c r="K88" s="2" t="s">
        <v>495</v>
      </c>
      <c r="L88" s="7" t="str">
        <f>HYPERLINK("http://slimages.macys.com/is/image/MCY/11937857 ")</f>
        <v xml:space="preserve">http://slimages.macys.com/is/image/MCY/11937857 </v>
      </c>
    </row>
    <row r="89" spans="1:12" ht="24.75" x14ac:dyDescent="0.25">
      <c r="A89" s="4" t="s">
        <v>5479</v>
      </c>
      <c r="B89" s="2" t="s">
        <v>492</v>
      </c>
      <c r="C89" s="3">
        <v>1</v>
      </c>
      <c r="D89" s="5">
        <v>44.5</v>
      </c>
      <c r="E89" s="3" t="s">
        <v>493</v>
      </c>
      <c r="F89" s="2" t="s">
        <v>494</v>
      </c>
      <c r="G89" s="6" t="s">
        <v>200</v>
      </c>
      <c r="H89" s="2" t="s">
        <v>194</v>
      </c>
      <c r="I89" s="2" t="s">
        <v>195</v>
      </c>
      <c r="J89" s="2" t="s">
        <v>19</v>
      </c>
      <c r="K89" s="2" t="s">
        <v>495</v>
      </c>
      <c r="L89" s="7" t="str">
        <f>HYPERLINK("http://slimages.macys.com/is/image/MCY/11937857 ")</f>
        <v xml:space="preserve">http://slimages.macys.com/is/image/MCY/11937857 </v>
      </c>
    </row>
    <row r="90" spans="1:12" ht="24.75" x14ac:dyDescent="0.25">
      <c r="A90" s="4" t="s">
        <v>2284</v>
      </c>
      <c r="B90" s="2" t="s">
        <v>492</v>
      </c>
      <c r="C90" s="3">
        <v>1</v>
      </c>
      <c r="D90" s="5">
        <v>44.5</v>
      </c>
      <c r="E90" s="3" t="s">
        <v>493</v>
      </c>
      <c r="F90" s="2" t="s">
        <v>494</v>
      </c>
      <c r="G90" s="6" t="s">
        <v>181</v>
      </c>
      <c r="H90" s="2" t="s">
        <v>194</v>
      </c>
      <c r="I90" s="2" t="s">
        <v>195</v>
      </c>
      <c r="J90" s="2" t="s">
        <v>19</v>
      </c>
      <c r="K90" s="2" t="s">
        <v>495</v>
      </c>
      <c r="L90" s="7" t="str">
        <f>HYPERLINK("http://slimages.macys.com/is/image/MCY/11937857 ")</f>
        <v xml:space="preserve">http://slimages.macys.com/is/image/MCY/11937857 </v>
      </c>
    </row>
    <row r="91" spans="1:12" ht="24.75" x14ac:dyDescent="0.25">
      <c r="A91" s="4" t="s">
        <v>2285</v>
      </c>
      <c r="B91" s="2" t="s">
        <v>492</v>
      </c>
      <c r="C91" s="3">
        <v>1</v>
      </c>
      <c r="D91" s="5">
        <v>44.5</v>
      </c>
      <c r="E91" s="3" t="s">
        <v>493</v>
      </c>
      <c r="F91" s="2" t="s">
        <v>494</v>
      </c>
      <c r="G91" s="6" t="s">
        <v>234</v>
      </c>
      <c r="H91" s="2" t="s">
        <v>194</v>
      </c>
      <c r="I91" s="2" t="s">
        <v>195</v>
      </c>
      <c r="J91" s="2" t="s">
        <v>19</v>
      </c>
      <c r="K91" s="2" t="s">
        <v>495</v>
      </c>
      <c r="L91" s="7" t="str">
        <f>HYPERLINK("http://slimages.macys.com/is/image/MCY/11937857 ")</f>
        <v xml:space="preserve">http://slimages.macys.com/is/image/MCY/11937857 </v>
      </c>
    </row>
    <row r="92" spans="1:12" ht="24.75" x14ac:dyDescent="0.25">
      <c r="A92" s="4" t="s">
        <v>4558</v>
      </c>
      <c r="B92" s="2" t="s">
        <v>492</v>
      </c>
      <c r="C92" s="3">
        <v>1</v>
      </c>
      <c r="D92" s="5">
        <v>44.5</v>
      </c>
      <c r="E92" s="3" t="s">
        <v>493</v>
      </c>
      <c r="F92" s="2" t="s">
        <v>494</v>
      </c>
      <c r="G92" s="6" t="s">
        <v>156</v>
      </c>
      <c r="H92" s="2" t="s">
        <v>194</v>
      </c>
      <c r="I92" s="2" t="s">
        <v>195</v>
      </c>
      <c r="J92" s="2" t="s">
        <v>19</v>
      </c>
      <c r="K92" s="2" t="s">
        <v>495</v>
      </c>
      <c r="L92" s="7" t="str">
        <f>HYPERLINK("http://slimages.macys.com/is/image/MCY/11937857 ")</f>
        <v xml:space="preserve">http://slimages.macys.com/is/image/MCY/11937857 </v>
      </c>
    </row>
    <row r="93" spans="1:12" ht="24.75" x14ac:dyDescent="0.25">
      <c r="A93" s="4" t="s">
        <v>5480</v>
      </c>
      <c r="B93" s="2" t="s">
        <v>3430</v>
      </c>
      <c r="C93" s="3">
        <v>1</v>
      </c>
      <c r="D93" s="5">
        <v>44.63</v>
      </c>
      <c r="E93" s="3" t="s">
        <v>5481</v>
      </c>
      <c r="F93" s="2" t="s">
        <v>26</v>
      </c>
      <c r="G93" s="6" t="s">
        <v>154</v>
      </c>
      <c r="H93" s="2" t="s">
        <v>246</v>
      </c>
      <c r="I93" s="2" t="s">
        <v>189</v>
      </c>
      <c r="J93" s="2" t="s">
        <v>19</v>
      </c>
      <c r="K93" s="2" t="s">
        <v>990</v>
      </c>
      <c r="L93" s="7" t="str">
        <f>HYPERLINK("http://slimages.macys.com/is/image/MCY/9795935 ")</f>
        <v xml:space="preserve">http://slimages.macys.com/is/image/MCY/9795935 </v>
      </c>
    </row>
    <row r="94" spans="1:12" ht="24.75" x14ac:dyDescent="0.25">
      <c r="A94" s="4" t="s">
        <v>5482</v>
      </c>
      <c r="B94" s="2" t="s">
        <v>2290</v>
      </c>
      <c r="C94" s="3">
        <v>1</v>
      </c>
      <c r="D94" s="5">
        <v>44.63</v>
      </c>
      <c r="E94" s="3" t="s">
        <v>2291</v>
      </c>
      <c r="F94" s="2" t="s">
        <v>26</v>
      </c>
      <c r="G94" s="6" t="s">
        <v>154</v>
      </c>
      <c r="H94" s="2" t="s">
        <v>284</v>
      </c>
      <c r="I94" s="2" t="s">
        <v>285</v>
      </c>
      <c r="J94" s="2" t="s">
        <v>19</v>
      </c>
      <c r="K94" s="2" t="s">
        <v>160</v>
      </c>
      <c r="L94" s="7" t="str">
        <f>HYPERLINK("http://slimages.macys.com/is/image/MCY/12271124 ")</f>
        <v xml:space="preserve">http://slimages.macys.com/is/image/MCY/12271124 </v>
      </c>
    </row>
    <row r="95" spans="1:12" ht="24.75" x14ac:dyDescent="0.25">
      <c r="A95" s="4" t="s">
        <v>5483</v>
      </c>
      <c r="B95" s="2" t="s">
        <v>2290</v>
      </c>
      <c r="C95" s="3">
        <v>1</v>
      </c>
      <c r="D95" s="5">
        <v>44.63</v>
      </c>
      <c r="E95" s="3" t="s">
        <v>2291</v>
      </c>
      <c r="F95" s="2" t="s">
        <v>26</v>
      </c>
      <c r="G95" s="6" t="s">
        <v>234</v>
      </c>
      <c r="H95" s="2" t="s">
        <v>284</v>
      </c>
      <c r="I95" s="2" t="s">
        <v>285</v>
      </c>
      <c r="J95" s="2" t="s">
        <v>19</v>
      </c>
      <c r="K95" s="2" t="s">
        <v>160</v>
      </c>
      <c r="L95" s="7" t="str">
        <f>HYPERLINK("http://slimages.macys.com/is/image/MCY/12271124 ")</f>
        <v xml:space="preserve">http://slimages.macys.com/is/image/MCY/12271124 </v>
      </c>
    </row>
    <row r="96" spans="1:12" ht="24.75" x14ac:dyDescent="0.25">
      <c r="A96" s="4" t="s">
        <v>2289</v>
      </c>
      <c r="B96" s="2" t="s">
        <v>2290</v>
      </c>
      <c r="C96" s="3">
        <v>1</v>
      </c>
      <c r="D96" s="5">
        <v>44.63</v>
      </c>
      <c r="E96" s="3" t="s">
        <v>2291</v>
      </c>
      <c r="F96" s="2" t="s">
        <v>26</v>
      </c>
      <c r="G96" s="6" t="s">
        <v>181</v>
      </c>
      <c r="H96" s="2" t="s">
        <v>284</v>
      </c>
      <c r="I96" s="2" t="s">
        <v>285</v>
      </c>
      <c r="J96" s="2" t="s">
        <v>19</v>
      </c>
      <c r="K96" s="2" t="s">
        <v>160</v>
      </c>
      <c r="L96" s="7" t="str">
        <f>HYPERLINK("http://slimages.macys.com/is/image/MCY/12271124 ")</f>
        <v xml:space="preserve">http://slimages.macys.com/is/image/MCY/12271124 </v>
      </c>
    </row>
    <row r="97" spans="1:12" ht="36.75" x14ac:dyDescent="0.25">
      <c r="A97" s="4" t="s">
        <v>507</v>
      </c>
      <c r="B97" s="2" t="s">
        <v>502</v>
      </c>
      <c r="C97" s="3">
        <v>1</v>
      </c>
      <c r="D97" s="5">
        <v>40.880000000000003</v>
      </c>
      <c r="E97" s="3">
        <v>100047671</v>
      </c>
      <c r="F97" s="2" t="s">
        <v>79</v>
      </c>
      <c r="G97" s="6" t="s">
        <v>16</v>
      </c>
      <c r="H97" s="2" t="s">
        <v>194</v>
      </c>
      <c r="I97" s="2" t="s">
        <v>503</v>
      </c>
      <c r="J97" s="2" t="s">
        <v>19</v>
      </c>
      <c r="K97" s="2" t="s">
        <v>504</v>
      </c>
      <c r="L97" s="7" t="str">
        <f>HYPERLINK("http://slimages.macys.com/is/image/MCY/11937756 ")</f>
        <v xml:space="preserve">http://slimages.macys.com/is/image/MCY/11937756 </v>
      </c>
    </row>
    <row r="98" spans="1:12" ht="36.75" x14ac:dyDescent="0.25">
      <c r="A98" s="4" t="s">
        <v>5484</v>
      </c>
      <c r="B98" s="2" t="s">
        <v>502</v>
      </c>
      <c r="C98" s="3">
        <v>1</v>
      </c>
      <c r="D98" s="5">
        <v>40.880000000000003</v>
      </c>
      <c r="E98" s="3">
        <v>100047671</v>
      </c>
      <c r="F98" s="2" t="s">
        <v>506</v>
      </c>
      <c r="G98" s="6" t="s">
        <v>16</v>
      </c>
      <c r="H98" s="2" t="s">
        <v>194</v>
      </c>
      <c r="I98" s="2" t="s">
        <v>503</v>
      </c>
      <c r="J98" s="2" t="s">
        <v>19</v>
      </c>
      <c r="K98" s="2" t="s">
        <v>504</v>
      </c>
      <c r="L98" s="7" t="str">
        <f>HYPERLINK("http://slimages.macys.com/is/image/MCY/11937756 ")</f>
        <v xml:space="preserve">http://slimages.macys.com/is/image/MCY/11937756 </v>
      </c>
    </row>
    <row r="99" spans="1:12" ht="24.75" x14ac:dyDescent="0.25">
      <c r="A99" s="4" t="s">
        <v>4570</v>
      </c>
      <c r="B99" s="2" t="s">
        <v>2295</v>
      </c>
      <c r="C99" s="3">
        <v>1</v>
      </c>
      <c r="D99" s="5">
        <v>40.880000000000003</v>
      </c>
      <c r="E99" s="3" t="s">
        <v>2296</v>
      </c>
      <c r="F99" s="2" t="s">
        <v>26</v>
      </c>
      <c r="G99" s="6" t="s">
        <v>200</v>
      </c>
      <c r="H99" s="2" t="s">
        <v>284</v>
      </c>
      <c r="I99" s="2" t="s">
        <v>408</v>
      </c>
      <c r="J99" s="2" t="s">
        <v>19</v>
      </c>
      <c r="K99" s="2" t="s">
        <v>409</v>
      </c>
      <c r="L99" s="7" t="str">
        <f>HYPERLINK("http://slimages.macys.com/is/image/MCY/12807933 ")</f>
        <v xml:space="preserve">http://slimages.macys.com/is/image/MCY/12807933 </v>
      </c>
    </row>
    <row r="100" spans="1:12" ht="24.75" x14ac:dyDescent="0.25">
      <c r="A100" s="4" t="s">
        <v>5485</v>
      </c>
      <c r="B100" s="2" t="s">
        <v>2295</v>
      </c>
      <c r="C100" s="3">
        <v>1</v>
      </c>
      <c r="D100" s="5">
        <v>40.880000000000003</v>
      </c>
      <c r="E100" s="3" t="s">
        <v>2296</v>
      </c>
      <c r="F100" s="2" t="s">
        <v>26</v>
      </c>
      <c r="G100" s="6" t="s">
        <v>156</v>
      </c>
      <c r="H100" s="2" t="s">
        <v>284</v>
      </c>
      <c r="I100" s="2" t="s">
        <v>408</v>
      </c>
      <c r="J100" s="2" t="s">
        <v>19</v>
      </c>
      <c r="K100" s="2" t="s">
        <v>409</v>
      </c>
      <c r="L100" s="7" t="str">
        <f>HYPERLINK("http://slimages.macys.com/is/image/MCY/12807933 ")</f>
        <v xml:space="preserve">http://slimages.macys.com/is/image/MCY/12807933 </v>
      </c>
    </row>
    <row r="101" spans="1:12" ht="36.75" x14ac:dyDescent="0.25">
      <c r="A101" s="4" t="s">
        <v>5486</v>
      </c>
      <c r="B101" s="2" t="s">
        <v>512</v>
      </c>
      <c r="C101" s="3">
        <v>1</v>
      </c>
      <c r="D101" s="5">
        <v>41.65</v>
      </c>
      <c r="E101" s="3" t="s">
        <v>513</v>
      </c>
      <c r="F101" s="2" t="s">
        <v>33</v>
      </c>
      <c r="G101" s="6" t="s">
        <v>156</v>
      </c>
      <c r="H101" s="2" t="s">
        <v>182</v>
      </c>
      <c r="I101" s="2" t="s">
        <v>183</v>
      </c>
      <c r="J101" s="2" t="s">
        <v>19</v>
      </c>
      <c r="K101" s="2" t="s">
        <v>514</v>
      </c>
      <c r="L101" s="7" t="str">
        <f>HYPERLINK("http://slimages.macys.com/is/image/MCY/13330052 ")</f>
        <v xml:space="preserve">http://slimages.macys.com/is/image/MCY/13330052 </v>
      </c>
    </row>
    <row r="102" spans="1:12" ht="24.75" x14ac:dyDescent="0.25">
      <c r="A102" s="4" t="s">
        <v>5487</v>
      </c>
      <c r="B102" s="2" t="s">
        <v>5488</v>
      </c>
      <c r="C102" s="3">
        <v>1</v>
      </c>
      <c r="D102" s="5">
        <v>44.63</v>
      </c>
      <c r="E102" s="3" t="s">
        <v>5489</v>
      </c>
      <c r="F102" s="2" t="s">
        <v>111</v>
      </c>
      <c r="G102" s="6" t="s">
        <v>154</v>
      </c>
      <c r="H102" s="2" t="s">
        <v>194</v>
      </c>
      <c r="I102" s="2" t="s">
        <v>195</v>
      </c>
      <c r="J102" s="2" t="s">
        <v>19</v>
      </c>
      <c r="K102" s="2" t="s">
        <v>5490</v>
      </c>
      <c r="L102" s="7" t="str">
        <f>HYPERLINK("http://slimages.macys.com/is/image/MCY/12667985 ")</f>
        <v xml:space="preserve">http://slimages.macys.com/is/image/MCY/12667985 </v>
      </c>
    </row>
    <row r="103" spans="1:12" ht="24.75" x14ac:dyDescent="0.25">
      <c r="A103" s="4" t="s">
        <v>5491</v>
      </c>
      <c r="B103" s="2" t="s">
        <v>4572</v>
      </c>
      <c r="C103" s="3">
        <v>1</v>
      </c>
      <c r="D103" s="5">
        <v>48.38</v>
      </c>
      <c r="E103" s="3" t="s">
        <v>4573</v>
      </c>
      <c r="F103" s="2" t="s">
        <v>64</v>
      </c>
      <c r="G103" s="6" t="s">
        <v>219</v>
      </c>
      <c r="H103" s="2" t="s">
        <v>188</v>
      </c>
      <c r="I103" s="2" t="s">
        <v>189</v>
      </c>
      <c r="J103" s="2" t="s">
        <v>19</v>
      </c>
      <c r="K103" s="2" t="s">
        <v>4574</v>
      </c>
      <c r="L103" s="7" t="str">
        <f>HYPERLINK("http://slimages.macys.com/is/image/MCY/12894516 ")</f>
        <v xml:space="preserve">http://slimages.macys.com/is/image/MCY/12894516 </v>
      </c>
    </row>
    <row r="104" spans="1:12" ht="36.75" x14ac:dyDescent="0.25">
      <c r="A104" s="4" t="s">
        <v>5492</v>
      </c>
      <c r="B104" s="2" t="s">
        <v>5493</v>
      </c>
      <c r="C104" s="3">
        <v>1</v>
      </c>
      <c r="D104" s="5">
        <v>37.130000000000003</v>
      </c>
      <c r="E104" s="3" t="s">
        <v>5494</v>
      </c>
      <c r="F104" s="2" t="s">
        <v>15</v>
      </c>
      <c r="G104" s="6" t="s">
        <v>154</v>
      </c>
      <c r="H104" s="2" t="s">
        <v>284</v>
      </c>
      <c r="I104" s="2" t="s">
        <v>285</v>
      </c>
      <c r="J104" s="2" t="s">
        <v>19</v>
      </c>
      <c r="K104" s="2" t="s">
        <v>2419</v>
      </c>
      <c r="L104" s="7" t="str">
        <f>HYPERLINK("http://slimages.macys.com/is/image/MCY/9678472 ")</f>
        <v xml:space="preserve">http://slimages.macys.com/is/image/MCY/9678472 </v>
      </c>
    </row>
    <row r="105" spans="1:12" x14ac:dyDescent="0.25">
      <c r="A105" s="4" t="s">
        <v>5495</v>
      </c>
      <c r="B105" s="2" t="s">
        <v>5496</v>
      </c>
      <c r="C105" s="3">
        <v>1</v>
      </c>
      <c r="D105" s="5">
        <v>79.5</v>
      </c>
      <c r="E105" s="3" t="s">
        <v>5497</v>
      </c>
      <c r="F105" s="2" t="s">
        <v>752</v>
      </c>
      <c r="G105" s="6" t="s">
        <v>934</v>
      </c>
      <c r="H105" s="2" t="s">
        <v>206</v>
      </c>
      <c r="I105" s="2" t="s">
        <v>1010</v>
      </c>
      <c r="J105" s="2" t="s">
        <v>19</v>
      </c>
      <c r="K105" s="2" t="s">
        <v>160</v>
      </c>
      <c r="L105" s="7" t="str">
        <f>HYPERLINK("http://slimages.macys.com/is/image/MCY/10025549 ")</f>
        <v xml:space="preserve">http://slimages.macys.com/is/image/MCY/10025549 </v>
      </c>
    </row>
    <row r="106" spans="1:12" ht="36.75" x14ac:dyDescent="0.25">
      <c r="A106" s="4" t="s">
        <v>3445</v>
      </c>
      <c r="B106" s="2" t="s">
        <v>519</v>
      </c>
      <c r="C106" s="3">
        <v>1</v>
      </c>
      <c r="D106" s="5">
        <v>44.63</v>
      </c>
      <c r="E106" s="3" t="s">
        <v>520</v>
      </c>
      <c r="F106" s="2" t="s">
        <v>15</v>
      </c>
      <c r="G106" s="6" t="s">
        <v>156</v>
      </c>
      <c r="H106" s="2" t="s">
        <v>194</v>
      </c>
      <c r="I106" s="2" t="s">
        <v>195</v>
      </c>
      <c r="J106" s="2" t="s">
        <v>19</v>
      </c>
      <c r="K106" s="2" t="s">
        <v>521</v>
      </c>
      <c r="L106" s="7" t="str">
        <f>HYPERLINK("http://slimages.macys.com/is/image/MCY/12279320 ")</f>
        <v xml:space="preserve">http://slimages.macys.com/is/image/MCY/12279320 </v>
      </c>
    </row>
    <row r="107" spans="1:12" ht="36.75" x14ac:dyDescent="0.25">
      <c r="A107" s="4" t="s">
        <v>2311</v>
      </c>
      <c r="B107" s="2" t="s">
        <v>519</v>
      </c>
      <c r="C107" s="3">
        <v>1</v>
      </c>
      <c r="D107" s="5">
        <v>44.63</v>
      </c>
      <c r="E107" s="3" t="s">
        <v>520</v>
      </c>
      <c r="F107" s="2" t="s">
        <v>26</v>
      </c>
      <c r="G107" s="6" t="s">
        <v>156</v>
      </c>
      <c r="H107" s="2" t="s">
        <v>194</v>
      </c>
      <c r="I107" s="2" t="s">
        <v>195</v>
      </c>
      <c r="J107" s="2" t="s">
        <v>19</v>
      </c>
      <c r="K107" s="2" t="s">
        <v>521</v>
      </c>
      <c r="L107" s="7" t="str">
        <f>HYPERLINK("http://slimages.macys.com/is/image/MCY/12279320 ")</f>
        <v xml:space="preserve">http://slimages.macys.com/is/image/MCY/12279320 </v>
      </c>
    </row>
    <row r="108" spans="1:12" ht="24.75" x14ac:dyDescent="0.25">
      <c r="A108" s="4" t="s">
        <v>3451</v>
      </c>
      <c r="B108" s="2" t="s">
        <v>527</v>
      </c>
      <c r="C108" s="3">
        <v>3</v>
      </c>
      <c r="D108" s="5">
        <v>48.38</v>
      </c>
      <c r="E108" s="3" t="s">
        <v>528</v>
      </c>
      <c r="F108" s="2" t="s">
        <v>417</v>
      </c>
      <c r="G108" s="6" t="s">
        <v>2276</v>
      </c>
      <c r="H108" s="2" t="s">
        <v>349</v>
      </c>
      <c r="I108" s="2" t="s">
        <v>285</v>
      </c>
      <c r="J108" s="2" t="s">
        <v>19</v>
      </c>
      <c r="K108" s="2" t="s">
        <v>160</v>
      </c>
      <c r="L108" s="7" t="str">
        <f>HYPERLINK("http://slimages.macys.com/is/image/MCY/12715708 ")</f>
        <v xml:space="preserve">http://slimages.macys.com/is/image/MCY/12715708 </v>
      </c>
    </row>
    <row r="109" spans="1:12" ht="24.75" x14ac:dyDescent="0.25">
      <c r="A109" s="4" t="s">
        <v>5498</v>
      </c>
      <c r="B109" s="2" t="s">
        <v>5499</v>
      </c>
      <c r="C109" s="3">
        <v>1</v>
      </c>
      <c r="D109" s="5">
        <v>37.130000000000003</v>
      </c>
      <c r="E109" s="3" t="s">
        <v>5500</v>
      </c>
      <c r="F109" s="2" t="s">
        <v>26</v>
      </c>
      <c r="G109" s="6" t="s">
        <v>154</v>
      </c>
      <c r="H109" s="2" t="s">
        <v>284</v>
      </c>
      <c r="I109" s="2" t="s">
        <v>408</v>
      </c>
      <c r="J109" s="2" t="s">
        <v>19</v>
      </c>
      <c r="K109" s="2" t="s">
        <v>409</v>
      </c>
      <c r="L109" s="7" t="str">
        <f>HYPERLINK("http://slimages.macys.com/is/image/MCY/12877285 ")</f>
        <v xml:space="preserve">http://slimages.macys.com/is/image/MCY/12877285 </v>
      </c>
    </row>
    <row r="110" spans="1:12" ht="24.75" x14ac:dyDescent="0.25">
      <c r="A110" s="4" t="s">
        <v>529</v>
      </c>
      <c r="B110" s="2" t="s">
        <v>530</v>
      </c>
      <c r="C110" s="3">
        <v>1</v>
      </c>
      <c r="D110" s="5">
        <v>44.63</v>
      </c>
      <c r="E110" s="3" t="s">
        <v>531</v>
      </c>
      <c r="F110" s="2" t="s">
        <v>532</v>
      </c>
      <c r="G110" s="6" t="s">
        <v>181</v>
      </c>
      <c r="H110" s="2" t="s">
        <v>194</v>
      </c>
      <c r="I110" s="2" t="s">
        <v>195</v>
      </c>
      <c r="J110" s="2" t="s">
        <v>19</v>
      </c>
      <c r="K110" s="2" t="s">
        <v>533</v>
      </c>
      <c r="L110" s="7" t="str">
        <f>HYPERLINK("http://slimages.macys.com/is/image/MCY/12316730 ")</f>
        <v xml:space="preserve">http://slimages.macys.com/is/image/MCY/12316730 </v>
      </c>
    </row>
    <row r="111" spans="1:12" ht="24.75" x14ac:dyDescent="0.25">
      <c r="A111" s="4" t="s">
        <v>2320</v>
      </c>
      <c r="B111" s="2" t="s">
        <v>530</v>
      </c>
      <c r="C111" s="3">
        <v>1</v>
      </c>
      <c r="D111" s="5">
        <v>44.63</v>
      </c>
      <c r="E111" s="3" t="s">
        <v>531</v>
      </c>
      <c r="F111" s="2" t="s">
        <v>532</v>
      </c>
      <c r="G111" s="6" t="s">
        <v>154</v>
      </c>
      <c r="H111" s="2" t="s">
        <v>194</v>
      </c>
      <c r="I111" s="2" t="s">
        <v>195</v>
      </c>
      <c r="J111" s="2" t="s">
        <v>19</v>
      </c>
      <c r="K111" s="2" t="s">
        <v>533</v>
      </c>
      <c r="L111" s="7" t="str">
        <f>HYPERLINK("http://slimages.macys.com/is/image/MCY/12316730 ")</f>
        <v xml:space="preserve">http://slimages.macys.com/is/image/MCY/12316730 </v>
      </c>
    </row>
    <row r="112" spans="1:12" ht="24.75" x14ac:dyDescent="0.25">
      <c r="A112" s="4" t="s">
        <v>3453</v>
      </c>
      <c r="B112" s="2" t="s">
        <v>2322</v>
      </c>
      <c r="C112" s="3">
        <v>1</v>
      </c>
      <c r="D112" s="5">
        <v>44.63</v>
      </c>
      <c r="E112" s="3">
        <v>100062919</v>
      </c>
      <c r="F112" s="2" t="s">
        <v>74</v>
      </c>
      <c r="G112" s="6" t="s">
        <v>154</v>
      </c>
      <c r="H112" s="2" t="s">
        <v>194</v>
      </c>
      <c r="I112" s="2" t="s">
        <v>195</v>
      </c>
      <c r="J112" s="2" t="s">
        <v>19</v>
      </c>
      <c r="K112" s="2" t="s">
        <v>610</v>
      </c>
      <c r="L112" s="7" t="str">
        <f>HYPERLINK("http://slimages.macys.com/is/image/MCY/11937752 ")</f>
        <v xml:space="preserve">http://slimages.macys.com/is/image/MCY/11937752 </v>
      </c>
    </row>
    <row r="113" spans="1:12" ht="48.75" x14ac:dyDescent="0.25">
      <c r="A113" s="4" t="s">
        <v>4589</v>
      </c>
      <c r="B113" s="2" t="s">
        <v>4590</v>
      </c>
      <c r="C113" s="3">
        <v>1</v>
      </c>
      <c r="D113" s="5">
        <v>37.130000000000003</v>
      </c>
      <c r="E113" s="3" t="s">
        <v>4591</v>
      </c>
      <c r="F113" s="2" t="s">
        <v>74</v>
      </c>
      <c r="G113" s="6" t="s">
        <v>181</v>
      </c>
      <c r="H113" s="2" t="s">
        <v>284</v>
      </c>
      <c r="I113" s="2" t="s">
        <v>408</v>
      </c>
      <c r="J113" s="2" t="s">
        <v>19</v>
      </c>
      <c r="K113" s="2" t="s">
        <v>3515</v>
      </c>
      <c r="L113" s="7" t="str">
        <f>HYPERLINK("http://slimages.macys.com/is/image/MCY/12342823 ")</f>
        <v xml:space="preserve">http://slimages.macys.com/is/image/MCY/12342823 </v>
      </c>
    </row>
    <row r="114" spans="1:12" ht="24.75" x14ac:dyDescent="0.25">
      <c r="A114" s="4" t="s">
        <v>2324</v>
      </c>
      <c r="B114" s="2" t="s">
        <v>548</v>
      </c>
      <c r="C114" s="3">
        <v>2</v>
      </c>
      <c r="D114" s="5">
        <v>44.5</v>
      </c>
      <c r="E114" s="3" t="s">
        <v>549</v>
      </c>
      <c r="F114" s="2" t="s">
        <v>252</v>
      </c>
      <c r="G114" s="6" t="s">
        <v>154</v>
      </c>
      <c r="H114" s="2" t="s">
        <v>194</v>
      </c>
      <c r="I114" s="2" t="s">
        <v>195</v>
      </c>
      <c r="J114" s="2" t="s">
        <v>19</v>
      </c>
      <c r="K114" s="2" t="s">
        <v>34</v>
      </c>
      <c r="L114" s="7" t="str">
        <f>HYPERLINK("http://slimages.macys.com/is/image/MCY/11527016 ")</f>
        <v xml:space="preserve">http://slimages.macys.com/is/image/MCY/11527016 </v>
      </c>
    </row>
    <row r="115" spans="1:12" ht="24.75" x14ac:dyDescent="0.25">
      <c r="A115" s="4" t="s">
        <v>2323</v>
      </c>
      <c r="B115" s="2" t="s">
        <v>548</v>
      </c>
      <c r="C115" s="3">
        <v>1</v>
      </c>
      <c r="D115" s="5">
        <v>44.5</v>
      </c>
      <c r="E115" s="3" t="s">
        <v>549</v>
      </c>
      <c r="F115" s="2" t="s">
        <v>252</v>
      </c>
      <c r="G115" s="6" t="s">
        <v>156</v>
      </c>
      <c r="H115" s="2" t="s">
        <v>194</v>
      </c>
      <c r="I115" s="2" t="s">
        <v>195</v>
      </c>
      <c r="J115" s="2" t="s">
        <v>19</v>
      </c>
      <c r="K115" s="2" t="s">
        <v>34</v>
      </c>
      <c r="L115" s="7" t="str">
        <f>HYPERLINK("http://slimages.macys.com/is/image/MCY/11527016 ")</f>
        <v xml:space="preserve">http://slimages.macys.com/is/image/MCY/11527016 </v>
      </c>
    </row>
    <row r="116" spans="1:12" ht="48.75" x14ac:dyDescent="0.25">
      <c r="A116" s="4" t="s">
        <v>5501</v>
      </c>
      <c r="B116" s="2" t="s">
        <v>551</v>
      </c>
      <c r="C116" s="3">
        <v>1</v>
      </c>
      <c r="D116" s="5">
        <v>48</v>
      </c>
      <c r="E116" s="3">
        <v>100053418</v>
      </c>
      <c r="F116" s="2" t="s">
        <v>26</v>
      </c>
      <c r="G116" s="6" t="s">
        <v>234</v>
      </c>
      <c r="H116" s="2" t="s">
        <v>228</v>
      </c>
      <c r="I116" s="2" t="s">
        <v>229</v>
      </c>
      <c r="J116" s="2" t="s">
        <v>19</v>
      </c>
      <c r="K116" s="2" t="s">
        <v>552</v>
      </c>
      <c r="L116" s="7" t="str">
        <f>HYPERLINK("http://slimages.macys.com/is/image/MCY/12158587 ")</f>
        <v xml:space="preserve">http://slimages.macys.com/is/image/MCY/12158587 </v>
      </c>
    </row>
    <row r="117" spans="1:12" ht="24.75" x14ac:dyDescent="0.25">
      <c r="A117" s="4" t="s">
        <v>5502</v>
      </c>
      <c r="B117" s="2" t="s">
        <v>560</v>
      </c>
      <c r="C117" s="3">
        <v>1</v>
      </c>
      <c r="D117" s="5">
        <v>39.5</v>
      </c>
      <c r="E117" s="3" t="s">
        <v>561</v>
      </c>
      <c r="F117" s="2" t="s">
        <v>562</v>
      </c>
      <c r="G117" s="6" t="s">
        <v>234</v>
      </c>
      <c r="H117" s="2" t="s">
        <v>194</v>
      </c>
      <c r="I117" s="2" t="s">
        <v>195</v>
      </c>
      <c r="J117" s="2" t="s">
        <v>19</v>
      </c>
      <c r="K117" s="2" t="s">
        <v>151</v>
      </c>
      <c r="L117" s="7" t="str">
        <f>HYPERLINK("http://slimages.macys.com/is/image/MCY/11937879 ")</f>
        <v xml:space="preserve">http://slimages.macys.com/is/image/MCY/11937879 </v>
      </c>
    </row>
    <row r="118" spans="1:12" ht="24.75" x14ac:dyDescent="0.25">
      <c r="A118" s="4" t="s">
        <v>2333</v>
      </c>
      <c r="B118" s="2" t="s">
        <v>2334</v>
      </c>
      <c r="C118" s="3">
        <v>1</v>
      </c>
      <c r="D118" s="5">
        <v>59.5</v>
      </c>
      <c r="E118" s="3" t="s">
        <v>2335</v>
      </c>
      <c r="F118" s="2" t="s">
        <v>74</v>
      </c>
      <c r="G118" s="6" t="s">
        <v>187</v>
      </c>
      <c r="H118" s="2" t="s">
        <v>127</v>
      </c>
      <c r="I118" s="2" t="s">
        <v>128</v>
      </c>
      <c r="J118" s="2" t="s">
        <v>19</v>
      </c>
      <c r="K118" s="2" t="s">
        <v>160</v>
      </c>
      <c r="L118" s="7" t="str">
        <f>HYPERLINK("http://slimages.macys.com/is/image/MCY/9599934 ")</f>
        <v xml:space="preserve">http://slimages.macys.com/is/image/MCY/9599934 </v>
      </c>
    </row>
    <row r="119" spans="1:12" ht="24.75" x14ac:dyDescent="0.25">
      <c r="A119" s="4" t="s">
        <v>5503</v>
      </c>
      <c r="B119" s="2" t="s">
        <v>5504</v>
      </c>
      <c r="C119" s="3">
        <v>1</v>
      </c>
      <c r="D119" s="5">
        <v>37.130000000000003</v>
      </c>
      <c r="E119" s="3" t="s">
        <v>5505</v>
      </c>
      <c r="F119" s="2" t="s">
        <v>26</v>
      </c>
      <c r="G119" s="6" t="s">
        <v>181</v>
      </c>
      <c r="H119" s="2" t="s">
        <v>284</v>
      </c>
      <c r="I119" s="2" t="s">
        <v>285</v>
      </c>
      <c r="J119" s="2" t="s">
        <v>19</v>
      </c>
      <c r="K119" s="2" t="s">
        <v>34</v>
      </c>
      <c r="L119" s="7" t="str">
        <f>HYPERLINK("http://slimages.macys.com/is/image/MCY/9749643 ")</f>
        <v xml:space="preserve">http://slimages.macys.com/is/image/MCY/9749643 </v>
      </c>
    </row>
    <row r="120" spans="1:12" ht="24.75" x14ac:dyDescent="0.25">
      <c r="A120" s="4" t="s">
        <v>5506</v>
      </c>
      <c r="B120" s="2" t="s">
        <v>5507</v>
      </c>
      <c r="C120" s="3">
        <v>1</v>
      </c>
      <c r="D120" s="5">
        <v>49.99</v>
      </c>
      <c r="E120" s="3" t="s">
        <v>5508</v>
      </c>
      <c r="F120" s="2" t="s">
        <v>1234</v>
      </c>
      <c r="G120" s="6" t="s">
        <v>363</v>
      </c>
      <c r="H120" s="2" t="s">
        <v>127</v>
      </c>
      <c r="I120" s="2" t="s">
        <v>541</v>
      </c>
      <c r="J120" s="2" t="s">
        <v>19</v>
      </c>
      <c r="K120" s="2" t="s">
        <v>137</v>
      </c>
      <c r="L120" s="7" t="str">
        <f>HYPERLINK("http://slimages.macys.com/is/image/MCY/3889830 ")</f>
        <v xml:space="preserve">http://slimages.macys.com/is/image/MCY/3889830 </v>
      </c>
    </row>
    <row r="121" spans="1:12" ht="24.75" x14ac:dyDescent="0.25">
      <c r="A121" s="4" t="s">
        <v>583</v>
      </c>
      <c r="B121" s="2" t="s">
        <v>577</v>
      </c>
      <c r="C121" s="3">
        <v>1</v>
      </c>
      <c r="D121" s="5">
        <v>44.63</v>
      </c>
      <c r="E121" s="3" t="s">
        <v>578</v>
      </c>
      <c r="F121" s="2" t="s">
        <v>15</v>
      </c>
      <c r="G121" s="6" t="s">
        <v>154</v>
      </c>
      <c r="H121" s="2" t="s">
        <v>194</v>
      </c>
      <c r="I121" s="2" t="s">
        <v>580</v>
      </c>
      <c r="J121" s="2" t="s">
        <v>19</v>
      </c>
      <c r="K121" s="2" t="s">
        <v>247</v>
      </c>
      <c r="L121" s="7" t="str">
        <f>HYPERLINK("http://slimages.macys.com/is/image/MCY/12743841 ")</f>
        <v xml:space="preserve">http://slimages.macys.com/is/image/MCY/12743841 </v>
      </c>
    </row>
    <row r="122" spans="1:12" ht="24.75" x14ac:dyDescent="0.25">
      <c r="A122" s="4" t="s">
        <v>3459</v>
      </c>
      <c r="B122" s="2" t="s">
        <v>577</v>
      </c>
      <c r="C122" s="3">
        <v>1</v>
      </c>
      <c r="D122" s="5">
        <v>44.63</v>
      </c>
      <c r="E122" s="3" t="s">
        <v>578</v>
      </c>
      <c r="F122" s="2" t="s">
        <v>579</v>
      </c>
      <c r="G122" s="6" t="s">
        <v>245</v>
      </c>
      <c r="H122" s="2" t="s">
        <v>194</v>
      </c>
      <c r="I122" s="2" t="s">
        <v>580</v>
      </c>
      <c r="J122" s="2" t="s">
        <v>19</v>
      </c>
      <c r="K122" s="2" t="s">
        <v>247</v>
      </c>
      <c r="L122" s="7" t="str">
        <f>HYPERLINK("http://slimages.macys.com/is/image/MCY/12743841 ")</f>
        <v xml:space="preserve">http://slimages.macys.com/is/image/MCY/12743841 </v>
      </c>
    </row>
    <row r="123" spans="1:12" ht="24.75" x14ac:dyDescent="0.25">
      <c r="A123" s="4" t="s">
        <v>5509</v>
      </c>
      <c r="B123" s="2" t="s">
        <v>577</v>
      </c>
      <c r="C123" s="3">
        <v>1</v>
      </c>
      <c r="D123" s="5">
        <v>44.63</v>
      </c>
      <c r="E123" s="3" t="s">
        <v>578</v>
      </c>
      <c r="F123" s="2" t="s">
        <v>15</v>
      </c>
      <c r="G123" s="6" t="s">
        <v>245</v>
      </c>
      <c r="H123" s="2" t="s">
        <v>194</v>
      </c>
      <c r="I123" s="2" t="s">
        <v>580</v>
      </c>
      <c r="J123" s="2" t="s">
        <v>19</v>
      </c>
      <c r="K123" s="2" t="s">
        <v>247</v>
      </c>
      <c r="L123" s="7" t="str">
        <f>HYPERLINK("http://slimages.macys.com/is/image/MCY/12743841 ")</f>
        <v xml:space="preserve">http://slimages.macys.com/is/image/MCY/12743841 </v>
      </c>
    </row>
    <row r="124" spans="1:12" ht="24.75" x14ac:dyDescent="0.25">
      <c r="A124" s="4" t="s">
        <v>5510</v>
      </c>
      <c r="B124" s="2" t="s">
        <v>3461</v>
      </c>
      <c r="C124" s="3">
        <v>1</v>
      </c>
      <c r="D124" s="5">
        <v>40.880000000000003</v>
      </c>
      <c r="E124" s="3" t="s">
        <v>3462</v>
      </c>
      <c r="F124" s="2" t="s">
        <v>26</v>
      </c>
      <c r="G124" s="6" t="s">
        <v>234</v>
      </c>
      <c r="H124" s="2" t="s">
        <v>284</v>
      </c>
      <c r="I124" s="2" t="s">
        <v>285</v>
      </c>
      <c r="J124" s="2" t="s">
        <v>19</v>
      </c>
      <c r="K124" s="2" t="s">
        <v>2204</v>
      </c>
      <c r="L124" s="7" t="str">
        <f>HYPERLINK("http://slimages.macys.com/is/image/MCY/12035057 ")</f>
        <v xml:space="preserve">http://slimages.macys.com/is/image/MCY/12035057 </v>
      </c>
    </row>
    <row r="125" spans="1:12" ht="36.75" x14ac:dyDescent="0.25">
      <c r="A125" s="4" t="s">
        <v>3464</v>
      </c>
      <c r="B125" s="2" t="s">
        <v>614</v>
      </c>
      <c r="C125" s="3">
        <v>2</v>
      </c>
      <c r="D125" s="5">
        <v>40.880000000000003</v>
      </c>
      <c r="E125" s="3" t="s">
        <v>615</v>
      </c>
      <c r="F125" s="2" t="s">
        <v>26</v>
      </c>
      <c r="G125" s="6" t="s">
        <v>181</v>
      </c>
      <c r="H125" s="2" t="s">
        <v>284</v>
      </c>
      <c r="I125" s="2" t="s">
        <v>408</v>
      </c>
      <c r="J125" s="2" t="s">
        <v>19</v>
      </c>
      <c r="K125" s="2" t="s">
        <v>500</v>
      </c>
      <c r="L125" s="7" t="str">
        <f>HYPERLINK("http://slimages.macys.com/is/image/MCY/12672193 ")</f>
        <v xml:space="preserve">http://slimages.macys.com/is/image/MCY/12672193 </v>
      </c>
    </row>
    <row r="126" spans="1:12" ht="36.75" x14ac:dyDescent="0.25">
      <c r="A126" s="4" t="s">
        <v>2338</v>
      </c>
      <c r="B126" s="2" t="s">
        <v>614</v>
      </c>
      <c r="C126" s="3">
        <v>2</v>
      </c>
      <c r="D126" s="5">
        <v>40.880000000000003</v>
      </c>
      <c r="E126" s="3" t="s">
        <v>615</v>
      </c>
      <c r="F126" s="2" t="s">
        <v>26</v>
      </c>
      <c r="G126" s="6" t="s">
        <v>154</v>
      </c>
      <c r="H126" s="2" t="s">
        <v>284</v>
      </c>
      <c r="I126" s="2" t="s">
        <v>408</v>
      </c>
      <c r="J126" s="2" t="s">
        <v>19</v>
      </c>
      <c r="K126" s="2" t="s">
        <v>500</v>
      </c>
      <c r="L126" s="7" t="str">
        <f>HYPERLINK("http://slimages.macys.com/is/image/MCY/12672193 ")</f>
        <v xml:space="preserve">http://slimages.macys.com/is/image/MCY/12672193 </v>
      </c>
    </row>
    <row r="127" spans="1:12" ht="36.75" x14ac:dyDescent="0.25">
      <c r="A127" s="4" t="s">
        <v>2337</v>
      </c>
      <c r="B127" s="2" t="s">
        <v>614</v>
      </c>
      <c r="C127" s="3">
        <v>1</v>
      </c>
      <c r="D127" s="5">
        <v>40.880000000000003</v>
      </c>
      <c r="E127" s="3" t="s">
        <v>615</v>
      </c>
      <c r="F127" s="2" t="s">
        <v>26</v>
      </c>
      <c r="G127" s="6" t="s">
        <v>200</v>
      </c>
      <c r="H127" s="2" t="s">
        <v>284</v>
      </c>
      <c r="I127" s="2" t="s">
        <v>408</v>
      </c>
      <c r="J127" s="2" t="s">
        <v>19</v>
      </c>
      <c r="K127" s="2" t="s">
        <v>500</v>
      </c>
      <c r="L127" s="7" t="str">
        <f>HYPERLINK("http://slimages.macys.com/is/image/MCY/12672193 ")</f>
        <v xml:space="preserve">http://slimages.macys.com/is/image/MCY/12672193 </v>
      </c>
    </row>
    <row r="128" spans="1:12" ht="24.75" x14ac:dyDescent="0.25">
      <c r="A128" s="4" t="s">
        <v>2339</v>
      </c>
      <c r="B128" s="2" t="s">
        <v>2340</v>
      </c>
      <c r="C128" s="3">
        <v>1</v>
      </c>
      <c r="D128" s="5">
        <v>37.130000000000003</v>
      </c>
      <c r="E128" s="3" t="s">
        <v>2341</v>
      </c>
      <c r="F128" s="2" t="s">
        <v>111</v>
      </c>
      <c r="G128" s="6" t="s">
        <v>154</v>
      </c>
      <c r="H128" s="2" t="s">
        <v>194</v>
      </c>
      <c r="I128" s="2" t="s">
        <v>195</v>
      </c>
      <c r="J128" s="2" t="s">
        <v>19</v>
      </c>
      <c r="K128" s="2" t="s">
        <v>201</v>
      </c>
      <c r="L128" s="7" t="str">
        <f>HYPERLINK("http://slimages.macys.com/is/image/MCY/11804343 ")</f>
        <v xml:space="preserve">http://slimages.macys.com/is/image/MCY/11804343 </v>
      </c>
    </row>
    <row r="129" spans="1:12" ht="24.75" x14ac:dyDescent="0.25">
      <c r="A129" s="4" t="s">
        <v>5511</v>
      </c>
      <c r="B129" s="2" t="s">
        <v>5512</v>
      </c>
      <c r="C129" s="3">
        <v>1</v>
      </c>
      <c r="D129" s="5">
        <v>44.63</v>
      </c>
      <c r="E129" s="3" t="s">
        <v>5513</v>
      </c>
      <c r="F129" s="2" t="s">
        <v>64</v>
      </c>
      <c r="G129" s="6" t="s">
        <v>181</v>
      </c>
      <c r="H129" s="2" t="s">
        <v>182</v>
      </c>
      <c r="I129" s="2" t="s">
        <v>5514</v>
      </c>
      <c r="J129" s="2"/>
      <c r="K129" s="2"/>
      <c r="L129" s="7" t="str">
        <f>HYPERLINK("http://slimages.macys.com/is/image/MCY/3040312 ")</f>
        <v xml:space="preserve">http://slimages.macys.com/is/image/MCY/3040312 </v>
      </c>
    </row>
    <row r="130" spans="1:12" ht="48.75" x14ac:dyDescent="0.25">
      <c r="A130" s="4" t="s">
        <v>5515</v>
      </c>
      <c r="B130" s="2" t="s">
        <v>599</v>
      </c>
      <c r="C130" s="3">
        <v>1</v>
      </c>
      <c r="D130" s="5">
        <v>37.130000000000003</v>
      </c>
      <c r="E130" s="3" t="s">
        <v>600</v>
      </c>
      <c r="F130" s="2" t="s">
        <v>125</v>
      </c>
      <c r="G130" s="6" t="s">
        <v>156</v>
      </c>
      <c r="H130" s="2" t="s">
        <v>194</v>
      </c>
      <c r="I130" s="2" t="s">
        <v>195</v>
      </c>
      <c r="J130" s="2" t="s">
        <v>19</v>
      </c>
      <c r="K130" s="2" t="s">
        <v>601</v>
      </c>
      <c r="L130" s="7" t="str">
        <f>HYPERLINK("http://slimages.macys.com/is/image/MCY/12734338 ")</f>
        <v xml:space="preserve">http://slimages.macys.com/is/image/MCY/12734338 </v>
      </c>
    </row>
    <row r="131" spans="1:12" ht="24.75" x14ac:dyDescent="0.25">
      <c r="A131" s="4" t="s">
        <v>5516</v>
      </c>
      <c r="B131" s="2" t="s">
        <v>606</v>
      </c>
      <c r="C131" s="3">
        <v>1</v>
      </c>
      <c r="D131" s="5">
        <v>37.130000000000003</v>
      </c>
      <c r="E131" s="3">
        <v>100054430</v>
      </c>
      <c r="F131" s="2" t="s">
        <v>26</v>
      </c>
      <c r="G131" s="6" t="s">
        <v>106</v>
      </c>
      <c r="H131" s="2" t="s">
        <v>194</v>
      </c>
      <c r="I131" s="2" t="s">
        <v>503</v>
      </c>
      <c r="J131" s="2" t="s">
        <v>19</v>
      </c>
      <c r="K131" s="2" t="s">
        <v>607</v>
      </c>
      <c r="L131" s="7" t="str">
        <f>HYPERLINK("http://slimages.macys.com/is/image/MCY/12063684 ")</f>
        <v xml:space="preserve">http://slimages.macys.com/is/image/MCY/12063684 </v>
      </c>
    </row>
    <row r="132" spans="1:12" ht="48.75" x14ac:dyDescent="0.25">
      <c r="A132" s="4" t="s">
        <v>604</v>
      </c>
      <c r="B132" s="2" t="s">
        <v>599</v>
      </c>
      <c r="C132" s="3">
        <v>1</v>
      </c>
      <c r="D132" s="5">
        <v>37.130000000000003</v>
      </c>
      <c r="E132" s="3" t="s">
        <v>600</v>
      </c>
      <c r="F132" s="2" t="s">
        <v>125</v>
      </c>
      <c r="G132" s="6" t="s">
        <v>234</v>
      </c>
      <c r="H132" s="2" t="s">
        <v>194</v>
      </c>
      <c r="I132" s="2" t="s">
        <v>195</v>
      </c>
      <c r="J132" s="2" t="s">
        <v>19</v>
      </c>
      <c r="K132" s="2" t="s">
        <v>601</v>
      </c>
      <c r="L132" s="7" t="str">
        <f>HYPERLINK("http://slimages.macys.com/is/image/MCY/12734338 ")</f>
        <v xml:space="preserve">http://slimages.macys.com/is/image/MCY/12734338 </v>
      </c>
    </row>
    <row r="133" spans="1:12" ht="24.75" x14ac:dyDescent="0.25">
      <c r="A133" s="4" t="s">
        <v>605</v>
      </c>
      <c r="B133" s="2" t="s">
        <v>606</v>
      </c>
      <c r="C133" s="3">
        <v>1</v>
      </c>
      <c r="D133" s="5">
        <v>37.130000000000003</v>
      </c>
      <c r="E133" s="3">
        <v>100054430</v>
      </c>
      <c r="F133" s="2" t="s">
        <v>15</v>
      </c>
      <c r="G133" s="6" t="s">
        <v>22</v>
      </c>
      <c r="H133" s="2" t="s">
        <v>194</v>
      </c>
      <c r="I133" s="2" t="s">
        <v>503</v>
      </c>
      <c r="J133" s="2" t="s">
        <v>19</v>
      </c>
      <c r="K133" s="2" t="s">
        <v>607</v>
      </c>
      <c r="L133" s="7" t="str">
        <f>HYPERLINK("http://slimages.macys.com/is/image/MCY/12063680 ")</f>
        <v xml:space="preserve">http://slimages.macys.com/is/image/MCY/12063680 </v>
      </c>
    </row>
    <row r="134" spans="1:12" ht="24.75" x14ac:dyDescent="0.25">
      <c r="A134" s="4" t="s">
        <v>2346</v>
      </c>
      <c r="B134" s="2" t="s">
        <v>606</v>
      </c>
      <c r="C134" s="3">
        <v>1</v>
      </c>
      <c r="D134" s="5">
        <v>37.130000000000003</v>
      </c>
      <c r="E134" s="3">
        <v>100054430</v>
      </c>
      <c r="F134" s="2" t="s">
        <v>15</v>
      </c>
      <c r="G134" s="6" t="s">
        <v>112</v>
      </c>
      <c r="H134" s="2" t="s">
        <v>194</v>
      </c>
      <c r="I134" s="2" t="s">
        <v>503</v>
      </c>
      <c r="J134" s="2" t="s">
        <v>19</v>
      </c>
      <c r="K134" s="2" t="s">
        <v>607</v>
      </c>
      <c r="L134" s="7" t="str">
        <f>HYPERLINK("http://slimages.macys.com/is/image/MCY/12063680 ")</f>
        <v xml:space="preserve">http://slimages.macys.com/is/image/MCY/12063680 </v>
      </c>
    </row>
    <row r="135" spans="1:12" ht="24.75" x14ac:dyDescent="0.25">
      <c r="A135" s="4" t="s">
        <v>5517</v>
      </c>
      <c r="B135" s="2" t="s">
        <v>609</v>
      </c>
      <c r="C135" s="3">
        <v>1</v>
      </c>
      <c r="D135" s="5">
        <v>44.63</v>
      </c>
      <c r="E135" s="3">
        <v>100015690</v>
      </c>
      <c r="F135" s="2" t="s">
        <v>74</v>
      </c>
      <c r="G135" s="6" t="s">
        <v>200</v>
      </c>
      <c r="H135" s="2" t="s">
        <v>194</v>
      </c>
      <c r="I135" s="2" t="s">
        <v>195</v>
      </c>
      <c r="J135" s="2" t="s">
        <v>19</v>
      </c>
      <c r="K135" s="2" t="s">
        <v>610</v>
      </c>
      <c r="L135" s="7" t="str">
        <f t="shared" ref="L135:L140" si="0">HYPERLINK("http://slimages.macys.com/is/image/MCY/9508600 ")</f>
        <v xml:space="preserve">http://slimages.macys.com/is/image/MCY/9508600 </v>
      </c>
    </row>
    <row r="136" spans="1:12" ht="24.75" x14ac:dyDescent="0.25">
      <c r="A136" s="4" t="s">
        <v>5518</v>
      </c>
      <c r="B136" s="2" t="s">
        <v>609</v>
      </c>
      <c r="C136" s="3">
        <v>1</v>
      </c>
      <c r="D136" s="5">
        <v>44.63</v>
      </c>
      <c r="E136" s="3">
        <v>100015690</v>
      </c>
      <c r="F136" s="2" t="s">
        <v>74</v>
      </c>
      <c r="G136" s="6" t="s">
        <v>245</v>
      </c>
      <c r="H136" s="2" t="s">
        <v>194</v>
      </c>
      <c r="I136" s="2" t="s">
        <v>195</v>
      </c>
      <c r="J136" s="2" t="s">
        <v>19</v>
      </c>
      <c r="K136" s="2" t="s">
        <v>610</v>
      </c>
      <c r="L136" s="7" t="str">
        <f t="shared" si="0"/>
        <v xml:space="preserve">http://slimages.macys.com/is/image/MCY/9508600 </v>
      </c>
    </row>
    <row r="137" spans="1:12" ht="24.75" x14ac:dyDescent="0.25">
      <c r="A137" s="4" t="s">
        <v>608</v>
      </c>
      <c r="B137" s="2" t="s">
        <v>609</v>
      </c>
      <c r="C137" s="3">
        <v>2</v>
      </c>
      <c r="D137" s="5">
        <v>44.63</v>
      </c>
      <c r="E137" s="3">
        <v>100015690</v>
      </c>
      <c r="F137" s="2" t="s">
        <v>74</v>
      </c>
      <c r="G137" s="6" t="s">
        <v>156</v>
      </c>
      <c r="H137" s="2" t="s">
        <v>194</v>
      </c>
      <c r="I137" s="2" t="s">
        <v>195</v>
      </c>
      <c r="J137" s="2" t="s">
        <v>19</v>
      </c>
      <c r="K137" s="2" t="s">
        <v>610</v>
      </c>
      <c r="L137" s="7" t="str">
        <f t="shared" si="0"/>
        <v xml:space="preserve">http://slimages.macys.com/is/image/MCY/9508600 </v>
      </c>
    </row>
    <row r="138" spans="1:12" ht="24.75" x14ac:dyDescent="0.25">
      <c r="A138" s="4" t="s">
        <v>4604</v>
      </c>
      <c r="B138" s="2" t="s">
        <v>609</v>
      </c>
      <c r="C138" s="3">
        <v>2</v>
      </c>
      <c r="D138" s="5">
        <v>44.63</v>
      </c>
      <c r="E138" s="3">
        <v>100015690</v>
      </c>
      <c r="F138" s="2" t="s">
        <v>74</v>
      </c>
      <c r="G138" s="6" t="s">
        <v>154</v>
      </c>
      <c r="H138" s="2" t="s">
        <v>194</v>
      </c>
      <c r="I138" s="2" t="s">
        <v>195</v>
      </c>
      <c r="J138" s="2" t="s">
        <v>19</v>
      </c>
      <c r="K138" s="2" t="s">
        <v>610</v>
      </c>
      <c r="L138" s="7" t="str">
        <f t="shared" si="0"/>
        <v xml:space="preserve">http://slimages.macys.com/is/image/MCY/9508600 </v>
      </c>
    </row>
    <row r="139" spans="1:12" ht="24.75" x14ac:dyDescent="0.25">
      <c r="A139" s="4" t="s">
        <v>5519</v>
      </c>
      <c r="B139" s="2" t="s">
        <v>609</v>
      </c>
      <c r="C139" s="3">
        <v>2</v>
      </c>
      <c r="D139" s="5">
        <v>44.63</v>
      </c>
      <c r="E139" s="3">
        <v>100015690</v>
      </c>
      <c r="F139" s="2" t="s">
        <v>74</v>
      </c>
      <c r="G139" s="6" t="s">
        <v>181</v>
      </c>
      <c r="H139" s="2" t="s">
        <v>194</v>
      </c>
      <c r="I139" s="2" t="s">
        <v>195</v>
      </c>
      <c r="J139" s="2" t="s">
        <v>19</v>
      </c>
      <c r="K139" s="2" t="s">
        <v>610</v>
      </c>
      <c r="L139" s="7" t="str">
        <f t="shared" si="0"/>
        <v xml:space="preserve">http://slimages.macys.com/is/image/MCY/9508600 </v>
      </c>
    </row>
    <row r="140" spans="1:12" ht="24.75" x14ac:dyDescent="0.25">
      <c r="A140" s="4" t="s">
        <v>5520</v>
      </c>
      <c r="B140" s="2" t="s">
        <v>609</v>
      </c>
      <c r="C140" s="3">
        <v>2</v>
      </c>
      <c r="D140" s="5">
        <v>44.63</v>
      </c>
      <c r="E140" s="3">
        <v>100015690</v>
      </c>
      <c r="F140" s="2" t="s">
        <v>74</v>
      </c>
      <c r="G140" s="6" t="s">
        <v>234</v>
      </c>
      <c r="H140" s="2" t="s">
        <v>194</v>
      </c>
      <c r="I140" s="2" t="s">
        <v>195</v>
      </c>
      <c r="J140" s="2" t="s">
        <v>19</v>
      </c>
      <c r="K140" s="2" t="s">
        <v>610</v>
      </c>
      <c r="L140" s="7" t="str">
        <f t="shared" si="0"/>
        <v xml:space="preserve">http://slimages.macys.com/is/image/MCY/9508600 </v>
      </c>
    </row>
    <row r="141" spans="1:12" ht="24.75" x14ac:dyDescent="0.25">
      <c r="A141" s="4" t="s">
        <v>2348</v>
      </c>
      <c r="B141" s="2" t="s">
        <v>612</v>
      </c>
      <c r="C141" s="3">
        <v>1</v>
      </c>
      <c r="D141" s="5">
        <v>37.130000000000003</v>
      </c>
      <c r="E141" s="3">
        <v>100042366</v>
      </c>
      <c r="F141" s="2" t="s">
        <v>111</v>
      </c>
      <c r="G141" s="6" t="s">
        <v>181</v>
      </c>
      <c r="H141" s="2" t="s">
        <v>194</v>
      </c>
      <c r="I141" s="2" t="s">
        <v>195</v>
      </c>
      <c r="J141" s="2" t="s">
        <v>19</v>
      </c>
      <c r="K141" s="2" t="s">
        <v>546</v>
      </c>
      <c r="L141" s="7" t="str">
        <f>HYPERLINK("http://slimages.macys.com/is/image/MCY/12734278 ")</f>
        <v xml:space="preserve">http://slimages.macys.com/is/image/MCY/12734278 </v>
      </c>
    </row>
    <row r="142" spans="1:12" ht="24.75" x14ac:dyDescent="0.25">
      <c r="A142" s="4" t="s">
        <v>5521</v>
      </c>
      <c r="B142" s="2" t="s">
        <v>612</v>
      </c>
      <c r="C142" s="3">
        <v>3</v>
      </c>
      <c r="D142" s="5">
        <v>37.130000000000003</v>
      </c>
      <c r="E142" s="3">
        <v>100042366</v>
      </c>
      <c r="F142" s="2" t="s">
        <v>111</v>
      </c>
      <c r="G142" s="6" t="s">
        <v>154</v>
      </c>
      <c r="H142" s="2" t="s">
        <v>194</v>
      </c>
      <c r="I142" s="2" t="s">
        <v>195</v>
      </c>
      <c r="J142" s="2" t="s">
        <v>19</v>
      </c>
      <c r="K142" s="2" t="s">
        <v>546</v>
      </c>
      <c r="L142" s="7" t="str">
        <f>HYPERLINK("http://slimages.macys.com/is/image/MCY/12734278 ")</f>
        <v xml:space="preserve">http://slimages.macys.com/is/image/MCY/12734278 </v>
      </c>
    </row>
    <row r="143" spans="1:12" ht="24.75" x14ac:dyDescent="0.25">
      <c r="A143" s="4" t="s">
        <v>616</v>
      </c>
      <c r="B143" s="2" t="s">
        <v>617</v>
      </c>
      <c r="C143" s="3">
        <v>1</v>
      </c>
      <c r="D143" s="5">
        <v>44.63</v>
      </c>
      <c r="E143" s="3">
        <v>100054444</v>
      </c>
      <c r="F143" s="2" t="s">
        <v>111</v>
      </c>
      <c r="G143" s="6" t="s">
        <v>154</v>
      </c>
      <c r="H143" s="2" t="s">
        <v>194</v>
      </c>
      <c r="I143" s="2" t="s">
        <v>195</v>
      </c>
      <c r="J143" s="2" t="s">
        <v>19</v>
      </c>
      <c r="K143" s="2" t="s">
        <v>546</v>
      </c>
      <c r="L143" s="7" t="str">
        <f>HYPERLINK("http://slimages.macys.com/is/image/MCY/12279794 ")</f>
        <v xml:space="preserve">http://slimages.macys.com/is/image/MCY/12279794 </v>
      </c>
    </row>
    <row r="144" spans="1:12" ht="36.75" x14ac:dyDescent="0.25">
      <c r="A144" s="4" t="s">
        <v>5522</v>
      </c>
      <c r="B144" s="2" t="s">
        <v>5523</v>
      </c>
      <c r="C144" s="3">
        <v>1</v>
      </c>
      <c r="D144" s="5">
        <v>39.99</v>
      </c>
      <c r="E144" s="3" t="s">
        <v>5524</v>
      </c>
      <c r="F144" s="2" t="s">
        <v>579</v>
      </c>
      <c r="G144" s="6"/>
      <c r="H144" s="2" t="s">
        <v>188</v>
      </c>
      <c r="I144" s="2" t="s">
        <v>189</v>
      </c>
      <c r="J144" s="2" t="s">
        <v>19</v>
      </c>
      <c r="K144" s="2" t="s">
        <v>5525</v>
      </c>
      <c r="L144" s="7" t="str">
        <f>HYPERLINK("http://slimages.macys.com/is/image/MCY/12649515 ")</f>
        <v xml:space="preserve">http://slimages.macys.com/is/image/MCY/12649515 </v>
      </c>
    </row>
    <row r="145" spans="1:12" ht="24.75" x14ac:dyDescent="0.25">
      <c r="A145" s="4" t="s">
        <v>5526</v>
      </c>
      <c r="B145" s="2" t="s">
        <v>2351</v>
      </c>
      <c r="C145" s="3">
        <v>1</v>
      </c>
      <c r="D145" s="5">
        <v>37.130000000000003</v>
      </c>
      <c r="E145" s="3" t="s">
        <v>2352</v>
      </c>
      <c r="F145" s="2" t="s">
        <v>111</v>
      </c>
      <c r="G145" s="6" t="s">
        <v>156</v>
      </c>
      <c r="H145" s="2" t="s">
        <v>194</v>
      </c>
      <c r="I145" s="2" t="s">
        <v>195</v>
      </c>
      <c r="J145" s="2" t="s">
        <v>19</v>
      </c>
      <c r="K145" s="2" t="s">
        <v>438</v>
      </c>
      <c r="L145" s="7" t="str">
        <f>HYPERLINK("http://slimages.macys.com/is/image/MCY/12667948 ")</f>
        <v xml:space="preserve">http://slimages.macys.com/is/image/MCY/12667948 </v>
      </c>
    </row>
    <row r="146" spans="1:12" ht="24.75" x14ac:dyDescent="0.25">
      <c r="A146" s="4" t="s">
        <v>4613</v>
      </c>
      <c r="B146" s="2" t="s">
        <v>2351</v>
      </c>
      <c r="C146" s="3">
        <v>1</v>
      </c>
      <c r="D146" s="5">
        <v>37.130000000000003</v>
      </c>
      <c r="E146" s="3" t="s">
        <v>2352</v>
      </c>
      <c r="F146" s="2" t="s">
        <v>417</v>
      </c>
      <c r="G146" s="6" t="s">
        <v>234</v>
      </c>
      <c r="H146" s="2" t="s">
        <v>194</v>
      </c>
      <c r="I146" s="2" t="s">
        <v>195</v>
      </c>
      <c r="J146" s="2" t="s">
        <v>19</v>
      </c>
      <c r="K146" s="2" t="s">
        <v>438</v>
      </c>
      <c r="L146" s="7" t="str">
        <f>HYPERLINK("http://slimages.macys.com/is/image/MCY/12667948 ")</f>
        <v xml:space="preserve">http://slimages.macys.com/is/image/MCY/12667948 </v>
      </c>
    </row>
    <row r="147" spans="1:12" ht="24.75" x14ac:dyDescent="0.25">
      <c r="A147" s="4" t="s">
        <v>3485</v>
      </c>
      <c r="B147" s="2" t="s">
        <v>3486</v>
      </c>
      <c r="C147" s="3">
        <v>1</v>
      </c>
      <c r="D147" s="5">
        <v>44.63</v>
      </c>
      <c r="E147" s="3" t="s">
        <v>3487</v>
      </c>
      <c r="F147" s="2" t="s">
        <v>74</v>
      </c>
      <c r="G147" s="6" t="s">
        <v>234</v>
      </c>
      <c r="H147" s="2" t="s">
        <v>284</v>
      </c>
      <c r="I147" s="2" t="s">
        <v>285</v>
      </c>
      <c r="J147" s="2" t="s">
        <v>19</v>
      </c>
      <c r="K147" s="2" t="s">
        <v>160</v>
      </c>
      <c r="L147" s="7" t="str">
        <f>HYPERLINK("http://slimages.macys.com/is/image/MCY/12285227 ")</f>
        <v xml:space="preserve">http://slimages.macys.com/is/image/MCY/12285227 </v>
      </c>
    </row>
    <row r="148" spans="1:12" ht="24.75" x14ac:dyDescent="0.25">
      <c r="A148" s="4" t="s">
        <v>5527</v>
      </c>
      <c r="B148" s="2" t="s">
        <v>2354</v>
      </c>
      <c r="C148" s="3">
        <v>1</v>
      </c>
      <c r="D148" s="5">
        <v>44.63</v>
      </c>
      <c r="E148" s="3" t="s">
        <v>2355</v>
      </c>
      <c r="F148" s="2" t="s">
        <v>26</v>
      </c>
      <c r="G148" s="6" t="s">
        <v>336</v>
      </c>
      <c r="H148" s="2" t="s">
        <v>188</v>
      </c>
      <c r="I148" s="2" t="s">
        <v>214</v>
      </c>
      <c r="J148" s="2" t="s">
        <v>19</v>
      </c>
      <c r="K148" s="2" t="s">
        <v>253</v>
      </c>
      <c r="L148" s="7" t="str">
        <f>HYPERLINK("http://slimages.macys.com/is/image/MCY/9910745 ")</f>
        <v xml:space="preserve">http://slimages.macys.com/is/image/MCY/9910745 </v>
      </c>
    </row>
    <row r="149" spans="1:12" ht="24.75" x14ac:dyDescent="0.25">
      <c r="A149" s="4" t="s">
        <v>5528</v>
      </c>
      <c r="B149" s="2" t="s">
        <v>3486</v>
      </c>
      <c r="C149" s="3">
        <v>2</v>
      </c>
      <c r="D149" s="5">
        <v>44.63</v>
      </c>
      <c r="E149" s="3" t="s">
        <v>3487</v>
      </c>
      <c r="F149" s="2" t="s">
        <v>74</v>
      </c>
      <c r="G149" s="6" t="s">
        <v>200</v>
      </c>
      <c r="H149" s="2" t="s">
        <v>284</v>
      </c>
      <c r="I149" s="2" t="s">
        <v>285</v>
      </c>
      <c r="J149" s="2" t="s">
        <v>19</v>
      </c>
      <c r="K149" s="2" t="s">
        <v>160</v>
      </c>
      <c r="L149" s="7" t="str">
        <f>HYPERLINK("http://slimages.macys.com/is/image/MCY/12285227 ")</f>
        <v xml:space="preserve">http://slimages.macys.com/is/image/MCY/12285227 </v>
      </c>
    </row>
    <row r="150" spans="1:12" ht="24.75" x14ac:dyDescent="0.25">
      <c r="A150" s="4" t="s">
        <v>4614</v>
      </c>
      <c r="B150" s="2" t="s">
        <v>3486</v>
      </c>
      <c r="C150" s="3">
        <v>1</v>
      </c>
      <c r="D150" s="5">
        <v>44.63</v>
      </c>
      <c r="E150" s="3" t="s">
        <v>3487</v>
      </c>
      <c r="F150" s="2" t="s">
        <v>74</v>
      </c>
      <c r="G150" s="6" t="s">
        <v>181</v>
      </c>
      <c r="H150" s="2" t="s">
        <v>284</v>
      </c>
      <c r="I150" s="2" t="s">
        <v>285</v>
      </c>
      <c r="J150" s="2" t="s">
        <v>19</v>
      </c>
      <c r="K150" s="2" t="s">
        <v>160</v>
      </c>
      <c r="L150" s="7" t="str">
        <f>HYPERLINK("http://slimages.macys.com/is/image/MCY/12285227 ")</f>
        <v xml:space="preserve">http://slimages.macys.com/is/image/MCY/12285227 </v>
      </c>
    </row>
    <row r="151" spans="1:12" ht="24.75" x14ac:dyDescent="0.25">
      <c r="A151" s="4" t="s">
        <v>5529</v>
      </c>
      <c r="B151" s="2" t="s">
        <v>3486</v>
      </c>
      <c r="C151" s="3">
        <v>2</v>
      </c>
      <c r="D151" s="5">
        <v>44.63</v>
      </c>
      <c r="E151" s="3" t="s">
        <v>3487</v>
      </c>
      <c r="F151" s="2" t="s">
        <v>74</v>
      </c>
      <c r="G151" s="6" t="s">
        <v>156</v>
      </c>
      <c r="H151" s="2" t="s">
        <v>284</v>
      </c>
      <c r="I151" s="2" t="s">
        <v>285</v>
      </c>
      <c r="J151" s="2" t="s">
        <v>19</v>
      </c>
      <c r="K151" s="2" t="s">
        <v>160</v>
      </c>
      <c r="L151" s="7" t="str">
        <f>HYPERLINK("http://slimages.macys.com/is/image/MCY/12285227 ")</f>
        <v xml:space="preserve">http://slimages.macys.com/is/image/MCY/12285227 </v>
      </c>
    </row>
    <row r="152" spans="1:12" ht="24.75" x14ac:dyDescent="0.25">
      <c r="A152" s="4" t="s">
        <v>5530</v>
      </c>
      <c r="B152" s="2" t="s">
        <v>3486</v>
      </c>
      <c r="C152" s="3">
        <v>1</v>
      </c>
      <c r="D152" s="5">
        <v>44.63</v>
      </c>
      <c r="E152" s="3" t="s">
        <v>3487</v>
      </c>
      <c r="F152" s="2" t="s">
        <v>74</v>
      </c>
      <c r="G152" s="6" t="s">
        <v>154</v>
      </c>
      <c r="H152" s="2" t="s">
        <v>284</v>
      </c>
      <c r="I152" s="2" t="s">
        <v>285</v>
      </c>
      <c r="J152" s="2" t="s">
        <v>19</v>
      </c>
      <c r="K152" s="2" t="s">
        <v>160</v>
      </c>
      <c r="L152" s="7" t="str">
        <f>HYPERLINK("http://slimages.macys.com/is/image/MCY/12285227 ")</f>
        <v xml:space="preserve">http://slimages.macys.com/is/image/MCY/12285227 </v>
      </c>
    </row>
    <row r="153" spans="1:12" ht="24.75" x14ac:dyDescent="0.25">
      <c r="A153" s="4" t="s">
        <v>5531</v>
      </c>
      <c r="B153" s="2" t="s">
        <v>5532</v>
      </c>
      <c r="C153" s="3">
        <v>1</v>
      </c>
      <c r="D153" s="5">
        <v>44.5</v>
      </c>
      <c r="E153" s="3" t="s">
        <v>5533</v>
      </c>
      <c r="F153" s="2" t="s">
        <v>572</v>
      </c>
      <c r="G153" s="6" t="s">
        <v>106</v>
      </c>
      <c r="H153" s="2" t="s">
        <v>213</v>
      </c>
      <c r="I153" s="2" t="s">
        <v>214</v>
      </c>
      <c r="J153" s="2" t="s">
        <v>19</v>
      </c>
      <c r="K153" s="2" t="s">
        <v>215</v>
      </c>
      <c r="L153" s="7" t="str">
        <f>HYPERLINK("http://slimages.macys.com/is/image/MCY/9176401 ")</f>
        <v xml:space="preserve">http://slimages.macys.com/is/image/MCY/9176401 </v>
      </c>
    </row>
    <row r="154" spans="1:12" ht="24.75" x14ac:dyDescent="0.25">
      <c r="A154" s="4" t="s">
        <v>5534</v>
      </c>
      <c r="B154" s="2" t="s">
        <v>2357</v>
      </c>
      <c r="C154" s="3">
        <v>2</v>
      </c>
      <c r="D154" s="5">
        <v>40.880000000000003</v>
      </c>
      <c r="E154" s="3" t="s">
        <v>2358</v>
      </c>
      <c r="F154" s="2" t="s">
        <v>15</v>
      </c>
      <c r="G154" s="6" t="s">
        <v>234</v>
      </c>
      <c r="H154" s="2" t="s">
        <v>284</v>
      </c>
      <c r="I154" s="2" t="s">
        <v>285</v>
      </c>
      <c r="J154" s="2" t="s">
        <v>19</v>
      </c>
      <c r="K154" s="2" t="s">
        <v>160</v>
      </c>
      <c r="L154" s="7" t="str">
        <f>HYPERLINK("http://slimages.macys.com/is/image/MCY/12671658 ")</f>
        <v xml:space="preserve">http://slimages.macys.com/is/image/MCY/12671658 </v>
      </c>
    </row>
    <row r="155" spans="1:12" ht="24.75" x14ac:dyDescent="0.25">
      <c r="A155" s="4" t="s">
        <v>5535</v>
      </c>
      <c r="B155" s="2" t="s">
        <v>5536</v>
      </c>
      <c r="C155" s="3">
        <v>1</v>
      </c>
      <c r="D155" s="5">
        <v>44.25</v>
      </c>
      <c r="E155" s="3">
        <v>100025462</v>
      </c>
      <c r="F155" s="2" t="s">
        <v>15</v>
      </c>
      <c r="G155" s="6" t="s">
        <v>58</v>
      </c>
      <c r="H155" s="2" t="s">
        <v>228</v>
      </c>
      <c r="I155" s="2" t="s">
        <v>229</v>
      </c>
      <c r="J155" s="2" t="s">
        <v>19</v>
      </c>
      <c r="K155" s="2" t="s">
        <v>338</v>
      </c>
      <c r="L155" s="7" t="str">
        <f>HYPERLINK("http://slimages.macys.com/is/image/MCY/9821862 ")</f>
        <v xml:space="preserve">http://slimages.macys.com/is/image/MCY/9821862 </v>
      </c>
    </row>
    <row r="156" spans="1:12" ht="24.75" x14ac:dyDescent="0.25">
      <c r="A156" s="4" t="s">
        <v>3503</v>
      </c>
      <c r="B156" s="2" t="s">
        <v>641</v>
      </c>
      <c r="C156" s="3">
        <v>1</v>
      </c>
      <c r="D156" s="5">
        <v>34.99</v>
      </c>
      <c r="E156" s="3" t="s">
        <v>642</v>
      </c>
      <c r="F156" s="2" t="s">
        <v>64</v>
      </c>
      <c r="G156" s="6" t="s">
        <v>2276</v>
      </c>
      <c r="H156" s="2" t="s">
        <v>349</v>
      </c>
      <c r="I156" s="2" t="s">
        <v>408</v>
      </c>
      <c r="J156" s="2" t="s">
        <v>19</v>
      </c>
      <c r="K156" s="2" t="s">
        <v>409</v>
      </c>
      <c r="L156" s="7" t="str">
        <f>HYPERLINK("http://slimages.macys.com/is/image/MCY/9297288 ")</f>
        <v xml:space="preserve">http://slimages.macys.com/is/image/MCY/9297288 </v>
      </c>
    </row>
    <row r="157" spans="1:12" ht="36.75" x14ac:dyDescent="0.25">
      <c r="A157" s="4" t="s">
        <v>5537</v>
      </c>
      <c r="B157" s="2" t="s">
        <v>5538</v>
      </c>
      <c r="C157" s="3">
        <v>1</v>
      </c>
      <c r="D157" s="5">
        <v>37.130000000000003</v>
      </c>
      <c r="E157" s="3" t="s">
        <v>5539</v>
      </c>
      <c r="F157" s="2" t="s">
        <v>26</v>
      </c>
      <c r="G157" s="6" t="s">
        <v>156</v>
      </c>
      <c r="H157" s="2" t="s">
        <v>284</v>
      </c>
      <c r="I157" s="2" t="s">
        <v>408</v>
      </c>
      <c r="J157" s="2" t="s">
        <v>19</v>
      </c>
      <c r="K157" s="2" t="s">
        <v>5540</v>
      </c>
      <c r="L157" s="7" t="str">
        <f>HYPERLINK("http://slimages.macys.com/is/image/MCY/12343099 ")</f>
        <v xml:space="preserve">http://slimages.macys.com/is/image/MCY/12343099 </v>
      </c>
    </row>
    <row r="158" spans="1:12" ht="24.75" x14ac:dyDescent="0.25">
      <c r="A158" s="4" t="s">
        <v>5541</v>
      </c>
      <c r="B158" s="2" t="s">
        <v>5542</v>
      </c>
      <c r="C158" s="3">
        <v>1</v>
      </c>
      <c r="D158" s="5">
        <v>48.38</v>
      </c>
      <c r="E158" s="3" t="s">
        <v>5543</v>
      </c>
      <c r="F158" s="2" t="s">
        <v>26</v>
      </c>
      <c r="G158" s="6"/>
      <c r="H158" s="2" t="s">
        <v>349</v>
      </c>
      <c r="I158" s="2" t="s">
        <v>285</v>
      </c>
      <c r="J158" s="2" t="s">
        <v>19</v>
      </c>
      <c r="K158" s="2" t="s">
        <v>160</v>
      </c>
      <c r="L158" s="7" t="str">
        <f>HYPERLINK("http://slimages.macys.com/is/image/MCY/12510110 ")</f>
        <v xml:space="preserve">http://slimages.macys.com/is/image/MCY/12510110 </v>
      </c>
    </row>
    <row r="159" spans="1:12" ht="24.75" x14ac:dyDescent="0.25">
      <c r="A159" s="4" t="s">
        <v>5544</v>
      </c>
      <c r="B159" s="2" t="s">
        <v>5545</v>
      </c>
      <c r="C159" s="3">
        <v>1</v>
      </c>
      <c r="D159" s="5">
        <v>40.880000000000003</v>
      </c>
      <c r="E159" s="3" t="s">
        <v>5546</v>
      </c>
      <c r="F159" s="2" t="s">
        <v>74</v>
      </c>
      <c r="G159" s="6" t="s">
        <v>234</v>
      </c>
      <c r="H159" s="2" t="s">
        <v>284</v>
      </c>
      <c r="I159" s="2" t="s">
        <v>285</v>
      </c>
      <c r="J159" s="2" t="s">
        <v>19</v>
      </c>
      <c r="K159" s="2" t="s">
        <v>160</v>
      </c>
      <c r="L159" s="7" t="str">
        <f>HYPERLINK("http://slimages.macys.com/is/image/MCY/12036726 ")</f>
        <v xml:space="preserve">http://slimages.macys.com/is/image/MCY/12036726 </v>
      </c>
    </row>
    <row r="160" spans="1:12" ht="24.75" x14ac:dyDescent="0.25">
      <c r="A160" s="4" t="s">
        <v>5547</v>
      </c>
      <c r="B160" s="2" t="s">
        <v>5548</v>
      </c>
      <c r="C160" s="3">
        <v>1</v>
      </c>
      <c r="D160" s="5">
        <v>40.880000000000003</v>
      </c>
      <c r="E160" s="3" t="s">
        <v>5549</v>
      </c>
      <c r="F160" s="2" t="s">
        <v>413</v>
      </c>
      <c r="G160" s="6" t="s">
        <v>181</v>
      </c>
      <c r="H160" s="2" t="s">
        <v>284</v>
      </c>
      <c r="I160" s="2" t="s">
        <v>285</v>
      </c>
      <c r="J160" s="2" t="s">
        <v>19</v>
      </c>
      <c r="K160" s="2" t="s">
        <v>323</v>
      </c>
      <c r="L160" s="7" t="str">
        <f>HYPERLINK("http://slimages.macys.com/is/image/MCY/12077631 ")</f>
        <v xml:space="preserve">http://slimages.macys.com/is/image/MCY/12077631 </v>
      </c>
    </row>
    <row r="161" spans="1:12" ht="24.75" x14ac:dyDescent="0.25">
      <c r="A161" s="4" t="s">
        <v>5550</v>
      </c>
      <c r="B161" s="2" t="s">
        <v>5548</v>
      </c>
      <c r="C161" s="3">
        <v>1</v>
      </c>
      <c r="D161" s="5">
        <v>40.880000000000003</v>
      </c>
      <c r="E161" s="3" t="s">
        <v>5549</v>
      </c>
      <c r="F161" s="2" t="s">
        <v>26</v>
      </c>
      <c r="G161" s="6" t="s">
        <v>181</v>
      </c>
      <c r="H161" s="2" t="s">
        <v>284</v>
      </c>
      <c r="I161" s="2" t="s">
        <v>285</v>
      </c>
      <c r="J161" s="2" t="s">
        <v>19</v>
      </c>
      <c r="K161" s="2" t="s">
        <v>323</v>
      </c>
      <c r="L161" s="7" t="str">
        <f>HYPERLINK("http://slimages.macys.com/is/image/MCY/12077631 ")</f>
        <v xml:space="preserve">http://slimages.macys.com/is/image/MCY/12077631 </v>
      </c>
    </row>
    <row r="162" spans="1:12" ht="24.75" x14ac:dyDescent="0.25">
      <c r="A162" s="4" t="s">
        <v>656</v>
      </c>
      <c r="B162" s="2" t="s">
        <v>657</v>
      </c>
      <c r="C162" s="3">
        <v>1</v>
      </c>
      <c r="D162" s="5">
        <v>44.63</v>
      </c>
      <c r="E162" s="3" t="s">
        <v>658</v>
      </c>
      <c r="F162" s="2" t="s">
        <v>64</v>
      </c>
      <c r="G162" s="6" t="s">
        <v>65</v>
      </c>
      <c r="H162" s="2" t="s">
        <v>213</v>
      </c>
      <c r="I162" s="2" t="s">
        <v>214</v>
      </c>
      <c r="J162" s="2" t="s">
        <v>19</v>
      </c>
      <c r="K162" s="2" t="s">
        <v>338</v>
      </c>
      <c r="L162" s="7" t="str">
        <f>HYPERLINK("http://slimages.macys.com/is/image/MCY/12284095 ")</f>
        <v xml:space="preserve">http://slimages.macys.com/is/image/MCY/12284095 </v>
      </c>
    </row>
    <row r="163" spans="1:12" ht="24.75" x14ac:dyDescent="0.25">
      <c r="A163" s="4" t="s">
        <v>4633</v>
      </c>
      <c r="B163" s="2" t="s">
        <v>663</v>
      </c>
      <c r="C163" s="3">
        <v>1</v>
      </c>
      <c r="D163" s="5">
        <v>29.99</v>
      </c>
      <c r="E163" s="3" t="s">
        <v>664</v>
      </c>
      <c r="F163" s="2" t="s">
        <v>15</v>
      </c>
      <c r="G163" s="6" t="s">
        <v>181</v>
      </c>
      <c r="H163" s="2" t="s">
        <v>284</v>
      </c>
      <c r="I163" s="2" t="s">
        <v>408</v>
      </c>
      <c r="J163" s="2" t="s">
        <v>19</v>
      </c>
      <c r="K163" s="2" t="s">
        <v>409</v>
      </c>
      <c r="L163" s="7" t="str">
        <f>HYPERLINK("http://slimages.macys.com/is/image/MCY/13397153 ")</f>
        <v xml:space="preserve">http://slimages.macys.com/is/image/MCY/13397153 </v>
      </c>
    </row>
    <row r="164" spans="1:12" ht="24.75" x14ac:dyDescent="0.25">
      <c r="A164" s="4" t="s">
        <v>662</v>
      </c>
      <c r="B164" s="2" t="s">
        <v>663</v>
      </c>
      <c r="C164" s="3">
        <v>1</v>
      </c>
      <c r="D164" s="5">
        <v>29.99</v>
      </c>
      <c r="E164" s="3" t="s">
        <v>664</v>
      </c>
      <c r="F164" s="2" t="s">
        <v>15</v>
      </c>
      <c r="G164" s="6" t="s">
        <v>154</v>
      </c>
      <c r="H164" s="2" t="s">
        <v>284</v>
      </c>
      <c r="I164" s="2" t="s">
        <v>408</v>
      </c>
      <c r="J164" s="2" t="s">
        <v>19</v>
      </c>
      <c r="K164" s="2" t="s">
        <v>409</v>
      </c>
      <c r="L164" s="7" t="str">
        <f>HYPERLINK("http://slimages.macys.com/is/image/MCY/13397153 ")</f>
        <v xml:space="preserve">http://slimages.macys.com/is/image/MCY/13397153 </v>
      </c>
    </row>
    <row r="165" spans="1:12" ht="24.75" x14ac:dyDescent="0.25">
      <c r="A165" s="4" t="s">
        <v>5551</v>
      </c>
      <c r="B165" s="2" t="s">
        <v>663</v>
      </c>
      <c r="C165" s="3">
        <v>1</v>
      </c>
      <c r="D165" s="5">
        <v>29.99</v>
      </c>
      <c r="E165" s="3" t="s">
        <v>664</v>
      </c>
      <c r="F165" s="2" t="s">
        <v>15</v>
      </c>
      <c r="G165" s="6" t="s">
        <v>234</v>
      </c>
      <c r="H165" s="2" t="s">
        <v>284</v>
      </c>
      <c r="I165" s="2" t="s">
        <v>408</v>
      </c>
      <c r="J165" s="2" t="s">
        <v>19</v>
      </c>
      <c r="K165" s="2" t="s">
        <v>409</v>
      </c>
      <c r="L165" s="7" t="str">
        <f>HYPERLINK("http://slimages.macys.com/is/image/MCY/13397153 ")</f>
        <v xml:space="preserve">http://slimages.macys.com/is/image/MCY/13397153 </v>
      </c>
    </row>
    <row r="166" spans="1:12" ht="24.75" x14ac:dyDescent="0.25">
      <c r="A166" s="4" t="s">
        <v>2374</v>
      </c>
      <c r="B166" s="2" t="s">
        <v>2372</v>
      </c>
      <c r="C166" s="3">
        <v>1</v>
      </c>
      <c r="D166" s="5">
        <v>44.5</v>
      </c>
      <c r="E166" s="3" t="s">
        <v>2373</v>
      </c>
      <c r="F166" s="2" t="s">
        <v>26</v>
      </c>
      <c r="G166" s="6"/>
      <c r="H166" s="2" t="s">
        <v>194</v>
      </c>
      <c r="I166" s="2" t="s">
        <v>195</v>
      </c>
      <c r="J166" s="2" t="s">
        <v>19</v>
      </c>
      <c r="K166" s="2" t="s">
        <v>648</v>
      </c>
      <c r="L166" s="7" t="str">
        <f>HYPERLINK("http://slimages.macys.com/is/image/MCY/12667980 ")</f>
        <v xml:space="preserve">http://slimages.macys.com/is/image/MCY/12667980 </v>
      </c>
    </row>
    <row r="167" spans="1:12" ht="24.75" x14ac:dyDescent="0.25">
      <c r="A167" s="4" t="s">
        <v>2371</v>
      </c>
      <c r="B167" s="2" t="s">
        <v>2372</v>
      </c>
      <c r="C167" s="3">
        <v>1</v>
      </c>
      <c r="D167" s="5">
        <v>44.5</v>
      </c>
      <c r="E167" s="3" t="s">
        <v>2373</v>
      </c>
      <c r="F167" s="2" t="s">
        <v>26</v>
      </c>
      <c r="G167" s="6"/>
      <c r="H167" s="2" t="s">
        <v>194</v>
      </c>
      <c r="I167" s="2" t="s">
        <v>195</v>
      </c>
      <c r="J167" s="2" t="s">
        <v>19</v>
      </c>
      <c r="K167" s="2" t="s">
        <v>648</v>
      </c>
      <c r="L167" s="7" t="str">
        <f>HYPERLINK("http://slimages.macys.com/is/image/MCY/12667980 ")</f>
        <v xml:space="preserve">http://slimages.macys.com/is/image/MCY/12667980 </v>
      </c>
    </row>
    <row r="168" spans="1:12" ht="24.75" x14ac:dyDescent="0.25">
      <c r="A168" s="4" t="s">
        <v>5552</v>
      </c>
      <c r="B168" s="2" t="s">
        <v>2376</v>
      </c>
      <c r="C168" s="3">
        <v>2</v>
      </c>
      <c r="D168" s="5">
        <v>40.880000000000003</v>
      </c>
      <c r="E168" s="3" t="s">
        <v>2377</v>
      </c>
      <c r="F168" s="2" t="s">
        <v>26</v>
      </c>
      <c r="G168" s="6" t="s">
        <v>234</v>
      </c>
      <c r="H168" s="2" t="s">
        <v>284</v>
      </c>
      <c r="I168" s="2" t="s">
        <v>285</v>
      </c>
      <c r="J168" s="2" t="s">
        <v>19</v>
      </c>
      <c r="K168" s="2" t="s">
        <v>34</v>
      </c>
      <c r="L168" s="7" t="str">
        <f>HYPERLINK("http://slimages.macys.com/is/image/MCY/12671730 ")</f>
        <v xml:space="preserve">http://slimages.macys.com/is/image/MCY/12671730 </v>
      </c>
    </row>
    <row r="169" spans="1:12" ht="24.75" x14ac:dyDescent="0.25">
      <c r="A169" s="4" t="s">
        <v>5553</v>
      </c>
      <c r="B169" s="2" t="s">
        <v>2376</v>
      </c>
      <c r="C169" s="3">
        <v>1</v>
      </c>
      <c r="D169" s="5">
        <v>40.880000000000003</v>
      </c>
      <c r="E169" s="3" t="s">
        <v>2377</v>
      </c>
      <c r="F169" s="2" t="s">
        <v>26</v>
      </c>
      <c r="G169" s="6" t="s">
        <v>200</v>
      </c>
      <c r="H169" s="2" t="s">
        <v>284</v>
      </c>
      <c r="I169" s="2" t="s">
        <v>285</v>
      </c>
      <c r="J169" s="2" t="s">
        <v>19</v>
      </c>
      <c r="K169" s="2" t="s">
        <v>34</v>
      </c>
      <c r="L169" s="7" t="str">
        <f>HYPERLINK("http://slimages.macys.com/is/image/MCY/12671730 ")</f>
        <v xml:space="preserve">http://slimages.macys.com/is/image/MCY/12671730 </v>
      </c>
    </row>
    <row r="170" spans="1:12" ht="24.75" x14ac:dyDescent="0.25">
      <c r="A170" s="4" t="s">
        <v>5554</v>
      </c>
      <c r="B170" s="2" t="s">
        <v>4638</v>
      </c>
      <c r="C170" s="3">
        <v>1</v>
      </c>
      <c r="D170" s="5">
        <v>37.130000000000003</v>
      </c>
      <c r="E170" s="3" t="s">
        <v>4639</v>
      </c>
      <c r="F170" s="2" t="s">
        <v>74</v>
      </c>
      <c r="G170" s="6" t="s">
        <v>181</v>
      </c>
      <c r="H170" s="2" t="s">
        <v>284</v>
      </c>
      <c r="I170" s="2" t="s">
        <v>458</v>
      </c>
      <c r="J170" s="2" t="s">
        <v>19</v>
      </c>
      <c r="K170" s="2" t="s">
        <v>4640</v>
      </c>
      <c r="L170" s="7" t="str">
        <f>HYPERLINK("http://slimages.macys.com/is/image/MCY/13081231 ")</f>
        <v xml:space="preserve">http://slimages.macys.com/is/image/MCY/13081231 </v>
      </c>
    </row>
    <row r="171" spans="1:12" ht="36.75" x14ac:dyDescent="0.25">
      <c r="A171" s="4" t="s">
        <v>5555</v>
      </c>
      <c r="B171" s="2" t="s">
        <v>5556</v>
      </c>
      <c r="C171" s="3">
        <v>1</v>
      </c>
      <c r="D171" s="5">
        <v>39.99</v>
      </c>
      <c r="E171" s="3">
        <v>100019837</v>
      </c>
      <c r="F171" s="2" t="s">
        <v>887</v>
      </c>
      <c r="G171" s="6" t="s">
        <v>234</v>
      </c>
      <c r="H171" s="2" t="s">
        <v>284</v>
      </c>
      <c r="I171" s="2" t="s">
        <v>285</v>
      </c>
      <c r="J171" s="2" t="s">
        <v>19</v>
      </c>
      <c r="K171" s="2" t="s">
        <v>2419</v>
      </c>
      <c r="L171" s="7" t="str">
        <f>HYPERLINK("http://slimages.macys.com/is/image/MCY/9525533 ")</f>
        <v xml:space="preserve">http://slimages.macys.com/is/image/MCY/9525533 </v>
      </c>
    </row>
    <row r="172" spans="1:12" ht="48.75" x14ac:dyDescent="0.25">
      <c r="A172" s="4" t="s">
        <v>5557</v>
      </c>
      <c r="B172" s="2" t="s">
        <v>432</v>
      </c>
      <c r="C172" s="3">
        <v>1</v>
      </c>
      <c r="D172" s="5">
        <v>37.130000000000003</v>
      </c>
      <c r="E172" s="3" t="s">
        <v>4646</v>
      </c>
      <c r="F172" s="2" t="s">
        <v>26</v>
      </c>
      <c r="G172" s="6" t="s">
        <v>234</v>
      </c>
      <c r="H172" s="2" t="s">
        <v>284</v>
      </c>
      <c r="I172" s="2" t="s">
        <v>408</v>
      </c>
      <c r="J172" s="2" t="s">
        <v>19</v>
      </c>
      <c r="K172" s="2" t="s">
        <v>775</v>
      </c>
      <c r="L172" s="7" t="str">
        <f>HYPERLINK("http://slimages.macys.com/is/image/MCY/12672509 ")</f>
        <v xml:space="preserve">http://slimages.macys.com/is/image/MCY/12672509 </v>
      </c>
    </row>
    <row r="173" spans="1:12" ht="48.75" x14ac:dyDescent="0.25">
      <c r="A173" s="4" t="s">
        <v>4645</v>
      </c>
      <c r="B173" s="2" t="s">
        <v>432</v>
      </c>
      <c r="C173" s="3">
        <v>1</v>
      </c>
      <c r="D173" s="5">
        <v>37.130000000000003</v>
      </c>
      <c r="E173" s="3" t="s">
        <v>4646</v>
      </c>
      <c r="F173" s="2" t="s">
        <v>26</v>
      </c>
      <c r="G173" s="6" t="s">
        <v>200</v>
      </c>
      <c r="H173" s="2" t="s">
        <v>284</v>
      </c>
      <c r="I173" s="2" t="s">
        <v>408</v>
      </c>
      <c r="J173" s="2" t="s">
        <v>19</v>
      </c>
      <c r="K173" s="2" t="s">
        <v>775</v>
      </c>
      <c r="L173" s="7" t="str">
        <f>HYPERLINK("http://slimages.macys.com/is/image/MCY/12672509 ")</f>
        <v xml:space="preserve">http://slimages.macys.com/is/image/MCY/12672509 </v>
      </c>
    </row>
    <row r="174" spans="1:12" ht="24.75" x14ac:dyDescent="0.25">
      <c r="A174" s="4" t="s">
        <v>2383</v>
      </c>
      <c r="B174" s="2" t="s">
        <v>693</v>
      </c>
      <c r="C174" s="3">
        <v>1</v>
      </c>
      <c r="D174" s="5">
        <v>29.99</v>
      </c>
      <c r="E174" s="3" t="s">
        <v>694</v>
      </c>
      <c r="F174" s="2" t="s">
        <v>413</v>
      </c>
      <c r="G174" s="6" t="s">
        <v>200</v>
      </c>
      <c r="H174" s="2" t="s">
        <v>284</v>
      </c>
      <c r="I174" s="2" t="s">
        <v>408</v>
      </c>
      <c r="J174" s="2" t="s">
        <v>19</v>
      </c>
      <c r="K174" s="2" t="s">
        <v>409</v>
      </c>
      <c r="L174" s="7" t="str">
        <f>HYPERLINK("http://slimages.macys.com/is/image/MCY/9387631 ")</f>
        <v xml:space="preserve">http://slimages.macys.com/is/image/MCY/9387631 </v>
      </c>
    </row>
    <row r="175" spans="1:12" ht="24.75" x14ac:dyDescent="0.25">
      <c r="A175" s="4" t="s">
        <v>5558</v>
      </c>
      <c r="B175" s="2" t="s">
        <v>693</v>
      </c>
      <c r="C175" s="3">
        <v>1</v>
      </c>
      <c r="D175" s="5">
        <v>29.99</v>
      </c>
      <c r="E175" s="3" t="s">
        <v>694</v>
      </c>
      <c r="F175" s="2" t="s">
        <v>413</v>
      </c>
      <c r="G175" s="6" t="s">
        <v>156</v>
      </c>
      <c r="H175" s="2" t="s">
        <v>284</v>
      </c>
      <c r="I175" s="2" t="s">
        <v>408</v>
      </c>
      <c r="J175" s="2" t="s">
        <v>19</v>
      </c>
      <c r="K175" s="2" t="s">
        <v>409</v>
      </c>
      <c r="L175" s="7" t="str">
        <f>HYPERLINK("http://slimages.macys.com/is/image/MCY/9387631 ")</f>
        <v xml:space="preserve">http://slimages.macys.com/is/image/MCY/9387631 </v>
      </c>
    </row>
    <row r="176" spans="1:12" ht="24.75" x14ac:dyDescent="0.25">
      <c r="A176" s="4" t="s">
        <v>2382</v>
      </c>
      <c r="B176" s="2" t="s">
        <v>693</v>
      </c>
      <c r="C176" s="3">
        <v>1</v>
      </c>
      <c r="D176" s="5">
        <v>29.99</v>
      </c>
      <c r="E176" s="3" t="s">
        <v>694</v>
      </c>
      <c r="F176" s="2" t="s">
        <v>413</v>
      </c>
      <c r="G176" s="6" t="s">
        <v>154</v>
      </c>
      <c r="H176" s="2" t="s">
        <v>284</v>
      </c>
      <c r="I176" s="2" t="s">
        <v>408</v>
      </c>
      <c r="J176" s="2" t="s">
        <v>19</v>
      </c>
      <c r="K176" s="2" t="s">
        <v>409</v>
      </c>
      <c r="L176" s="7" t="str">
        <f>HYPERLINK("http://slimages.macys.com/is/image/MCY/9387631 ")</f>
        <v xml:space="preserve">http://slimages.macys.com/is/image/MCY/9387631 </v>
      </c>
    </row>
    <row r="177" spans="1:12" ht="24.75" x14ac:dyDescent="0.25">
      <c r="A177" s="4" t="s">
        <v>5559</v>
      </c>
      <c r="B177" s="2" t="s">
        <v>5560</v>
      </c>
      <c r="C177" s="3">
        <v>1</v>
      </c>
      <c r="D177" s="5">
        <v>44.63</v>
      </c>
      <c r="E177" s="3" t="s">
        <v>5561</v>
      </c>
      <c r="F177" s="2" t="s">
        <v>74</v>
      </c>
      <c r="G177" s="6" t="s">
        <v>156</v>
      </c>
      <c r="H177" s="2" t="s">
        <v>194</v>
      </c>
      <c r="I177" s="2" t="s">
        <v>195</v>
      </c>
      <c r="J177" s="2" t="s">
        <v>19</v>
      </c>
      <c r="K177" s="2" t="s">
        <v>990</v>
      </c>
      <c r="L177" s="7" t="str">
        <f>HYPERLINK("http://slimages.macys.com/is/image/MCY/8222091 ")</f>
        <v xml:space="preserve">http://slimages.macys.com/is/image/MCY/8222091 </v>
      </c>
    </row>
    <row r="178" spans="1:12" ht="24.75" x14ac:dyDescent="0.25">
      <c r="A178" s="4" t="s">
        <v>5562</v>
      </c>
      <c r="B178" s="2" t="s">
        <v>5563</v>
      </c>
      <c r="C178" s="3">
        <v>1</v>
      </c>
      <c r="D178" s="5">
        <v>44.5</v>
      </c>
      <c r="E178" s="3" t="s">
        <v>5564</v>
      </c>
      <c r="F178" s="2" t="s">
        <v>74</v>
      </c>
      <c r="G178" s="6" t="s">
        <v>156</v>
      </c>
      <c r="H178" s="2" t="s">
        <v>246</v>
      </c>
      <c r="I178" s="2" t="s">
        <v>189</v>
      </c>
      <c r="J178" s="2" t="s">
        <v>19</v>
      </c>
      <c r="K178" s="2" t="s">
        <v>5565</v>
      </c>
      <c r="L178" s="7" t="str">
        <f>HYPERLINK("http://slimages.macys.com/is/image/MCY/11621920 ")</f>
        <v xml:space="preserve">http://slimages.macys.com/is/image/MCY/11621920 </v>
      </c>
    </row>
    <row r="179" spans="1:12" ht="24.75" x14ac:dyDescent="0.25">
      <c r="A179" s="4" t="s">
        <v>2389</v>
      </c>
      <c r="B179" s="2" t="s">
        <v>707</v>
      </c>
      <c r="C179" s="3">
        <v>1</v>
      </c>
      <c r="D179" s="5">
        <v>40.880000000000003</v>
      </c>
      <c r="E179" s="3">
        <v>100047657</v>
      </c>
      <c r="F179" s="2" t="s">
        <v>376</v>
      </c>
      <c r="G179" s="6" t="s">
        <v>16</v>
      </c>
      <c r="H179" s="2" t="s">
        <v>194</v>
      </c>
      <c r="I179" s="2" t="s">
        <v>195</v>
      </c>
      <c r="J179" s="2" t="s">
        <v>19</v>
      </c>
      <c r="K179" s="2" t="s">
        <v>546</v>
      </c>
      <c r="L179" s="7" t="str">
        <f>HYPERLINK("http://slimages.macys.com/is/image/MCY/12143636 ")</f>
        <v xml:space="preserve">http://slimages.macys.com/is/image/MCY/12143636 </v>
      </c>
    </row>
    <row r="180" spans="1:12" ht="24.75" x14ac:dyDescent="0.25">
      <c r="A180" s="4" t="s">
        <v>2390</v>
      </c>
      <c r="B180" s="2" t="s">
        <v>707</v>
      </c>
      <c r="C180" s="3">
        <v>1</v>
      </c>
      <c r="D180" s="5">
        <v>40.880000000000003</v>
      </c>
      <c r="E180" s="3">
        <v>100047657</v>
      </c>
      <c r="F180" s="2" t="s">
        <v>376</v>
      </c>
      <c r="G180" s="6" t="s">
        <v>65</v>
      </c>
      <c r="H180" s="2" t="s">
        <v>194</v>
      </c>
      <c r="I180" s="2" t="s">
        <v>195</v>
      </c>
      <c r="J180" s="2" t="s">
        <v>19</v>
      </c>
      <c r="K180" s="2" t="s">
        <v>546</v>
      </c>
      <c r="L180" s="7" t="str">
        <f>HYPERLINK("http://slimages.macys.com/is/image/MCY/12143636 ")</f>
        <v xml:space="preserve">http://slimages.macys.com/is/image/MCY/12143636 </v>
      </c>
    </row>
    <row r="181" spans="1:12" ht="24.75" x14ac:dyDescent="0.25">
      <c r="A181" s="4" t="s">
        <v>5566</v>
      </c>
      <c r="B181" s="2" t="s">
        <v>2385</v>
      </c>
      <c r="C181" s="3">
        <v>1</v>
      </c>
      <c r="D181" s="5">
        <v>39.5</v>
      </c>
      <c r="E181" s="3" t="s">
        <v>2386</v>
      </c>
      <c r="F181" s="2" t="s">
        <v>417</v>
      </c>
      <c r="G181" s="6" t="s">
        <v>234</v>
      </c>
      <c r="H181" s="2" t="s">
        <v>194</v>
      </c>
      <c r="I181" s="2" t="s">
        <v>195</v>
      </c>
      <c r="J181" s="2" t="s">
        <v>19</v>
      </c>
      <c r="K181" s="2" t="s">
        <v>201</v>
      </c>
      <c r="L181" s="7" t="str">
        <f>HYPERLINK("http://slimages.macys.com/is/image/MCY/12034726 ")</f>
        <v xml:space="preserve">http://slimages.macys.com/is/image/MCY/12034726 </v>
      </c>
    </row>
    <row r="182" spans="1:12" ht="24.75" x14ac:dyDescent="0.25">
      <c r="A182" s="4" t="s">
        <v>5567</v>
      </c>
      <c r="B182" s="2" t="s">
        <v>707</v>
      </c>
      <c r="C182" s="3">
        <v>1</v>
      </c>
      <c r="D182" s="5">
        <v>40.880000000000003</v>
      </c>
      <c r="E182" s="3">
        <v>100047657</v>
      </c>
      <c r="F182" s="2" t="s">
        <v>376</v>
      </c>
      <c r="G182" s="6" t="s">
        <v>141</v>
      </c>
      <c r="H182" s="2" t="s">
        <v>194</v>
      </c>
      <c r="I182" s="2" t="s">
        <v>195</v>
      </c>
      <c r="J182" s="2" t="s">
        <v>19</v>
      </c>
      <c r="K182" s="2" t="s">
        <v>546</v>
      </c>
      <c r="L182" s="7" t="str">
        <f>HYPERLINK("http://slimages.macys.com/is/image/MCY/12143636 ")</f>
        <v xml:space="preserve">http://slimages.macys.com/is/image/MCY/12143636 </v>
      </c>
    </row>
    <row r="183" spans="1:12" ht="24.75" x14ac:dyDescent="0.25">
      <c r="A183" s="4" t="s">
        <v>5568</v>
      </c>
      <c r="B183" s="2" t="s">
        <v>5569</v>
      </c>
      <c r="C183" s="3">
        <v>1</v>
      </c>
      <c r="D183" s="5">
        <v>40.880000000000003</v>
      </c>
      <c r="E183" s="3" t="s">
        <v>5570</v>
      </c>
      <c r="F183" s="2" t="s">
        <v>74</v>
      </c>
      <c r="G183" s="6" t="s">
        <v>234</v>
      </c>
      <c r="H183" s="2" t="s">
        <v>284</v>
      </c>
      <c r="I183" s="2" t="s">
        <v>285</v>
      </c>
      <c r="J183" s="2" t="s">
        <v>19</v>
      </c>
      <c r="K183" s="2" t="s">
        <v>160</v>
      </c>
      <c r="L183" s="7" t="str">
        <f>HYPERLINK("http://slimages.macys.com/is/image/MCY/11858428 ")</f>
        <v xml:space="preserve">http://slimages.macys.com/is/image/MCY/11858428 </v>
      </c>
    </row>
    <row r="184" spans="1:12" ht="24.75" x14ac:dyDescent="0.25">
      <c r="A184" s="4" t="s">
        <v>2393</v>
      </c>
      <c r="B184" s="2" t="s">
        <v>2394</v>
      </c>
      <c r="C184" s="3">
        <v>1</v>
      </c>
      <c r="D184" s="5">
        <v>40.880000000000003</v>
      </c>
      <c r="E184" s="3" t="s">
        <v>2395</v>
      </c>
      <c r="F184" s="2" t="s">
        <v>33</v>
      </c>
      <c r="G184" s="6" t="s">
        <v>181</v>
      </c>
      <c r="H184" s="2" t="s">
        <v>194</v>
      </c>
      <c r="I184" s="2" t="s">
        <v>195</v>
      </c>
      <c r="J184" s="2" t="s">
        <v>19</v>
      </c>
      <c r="K184" s="2" t="s">
        <v>34</v>
      </c>
      <c r="L184" s="7" t="str">
        <f>HYPERLINK("http://slimages.macys.com/is/image/MCY/12950238 ")</f>
        <v xml:space="preserve">http://slimages.macys.com/is/image/MCY/12950238 </v>
      </c>
    </row>
    <row r="185" spans="1:12" ht="24.75" x14ac:dyDescent="0.25">
      <c r="A185" s="4" t="s">
        <v>723</v>
      </c>
      <c r="B185" s="2" t="s">
        <v>453</v>
      </c>
      <c r="C185" s="3">
        <v>1</v>
      </c>
      <c r="D185" s="5">
        <v>37.130000000000003</v>
      </c>
      <c r="E185" s="3" t="s">
        <v>721</v>
      </c>
      <c r="F185" s="2" t="s">
        <v>417</v>
      </c>
      <c r="G185" s="6" t="s">
        <v>200</v>
      </c>
      <c r="H185" s="2" t="s">
        <v>284</v>
      </c>
      <c r="I185" s="2" t="s">
        <v>285</v>
      </c>
      <c r="J185" s="2" t="s">
        <v>19</v>
      </c>
      <c r="K185" s="2" t="s">
        <v>323</v>
      </c>
      <c r="L185" s="7" t="str">
        <f>HYPERLINK("http://slimages.macys.com/is/image/MCY/9678668 ")</f>
        <v xml:space="preserve">http://slimages.macys.com/is/image/MCY/9678668 </v>
      </c>
    </row>
    <row r="186" spans="1:12" ht="24.75" x14ac:dyDescent="0.25">
      <c r="A186" s="4" t="s">
        <v>2399</v>
      </c>
      <c r="B186" s="2" t="s">
        <v>453</v>
      </c>
      <c r="C186" s="3">
        <v>1</v>
      </c>
      <c r="D186" s="5">
        <v>37.130000000000003</v>
      </c>
      <c r="E186" s="3" t="s">
        <v>721</v>
      </c>
      <c r="F186" s="2" t="s">
        <v>417</v>
      </c>
      <c r="G186" s="6" t="s">
        <v>156</v>
      </c>
      <c r="H186" s="2" t="s">
        <v>284</v>
      </c>
      <c r="I186" s="2" t="s">
        <v>285</v>
      </c>
      <c r="J186" s="2" t="s">
        <v>19</v>
      </c>
      <c r="K186" s="2" t="s">
        <v>323</v>
      </c>
      <c r="L186" s="7" t="str">
        <f>HYPERLINK("http://slimages.macys.com/is/image/MCY/9678668 ")</f>
        <v xml:space="preserve">http://slimages.macys.com/is/image/MCY/9678668 </v>
      </c>
    </row>
    <row r="187" spans="1:12" ht="24.75" x14ac:dyDescent="0.25">
      <c r="A187" s="4" t="s">
        <v>720</v>
      </c>
      <c r="B187" s="2" t="s">
        <v>453</v>
      </c>
      <c r="C187" s="3">
        <v>1</v>
      </c>
      <c r="D187" s="5">
        <v>37.130000000000003</v>
      </c>
      <c r="E187" s="3" t="s">
        <v>721</v>
      </c>
      <c r="F187" s="2" t="s">
        <v>417</v>
      </c>
      <c r="G187" s="6" t="s">
        <v>234</v>
      </c>
      <c r="H187" s="2" t="s">
        <v>284</v>
      </c>
      <c r="I187" s="2" t="s">
        <v>285</v>
      </c>
      <c r="J187" s="2" t="s">
        <v>19</v>
      </c>
      <c r="K187" s="2" t="s">
        <v>323</v>
      </c>
      <c r="L187" s="7" t="str">
        <f>HYPERLINK("http://slimages.macys.com/is/image/MCY/9678668 ")</f>
        <v xml:space="preserve">http://slimages.macys.com/is/image/MCY/9678668 </v>
      </c>
    </row>
    <row r="188" spans="1:12" ht="48.75" x14ac:dyDescent="0.25">
      <c r="A188" s="4" t="s">
        <v>5571</v>
      </c>
      <c r="B188" s="2" t="s">
        <v>3536</v>
      </c>
      <c r="C188" s="3">
        <v>1</v>
      </c>
      <c r="D188" s="5">
        <v>40.880000000000003</v>
      </c>
      <c r="E188" s="3" t="s">
        <v>3537</v>
      </c>
      <c r="F188" s="2" t="s">
        <v>111</v>
      </c>
      <c r="G188" s="6" t="s">
        <v>181</v>
      </c>
      <c r="H188" s="2" t="s">
        <v>284</v>
      </c>
      <c r="I188" s="2" t="s">
        <v>285</v>
      </c>
      <c r="J188" s="2" t="s">
        <v>19</v>
      </c>
      <c r="K188" s="2" t="s">
        <v>3542</v>
      </c>
      <c r="L188" s="7" t="str">
        <f>HYPERLINK("http://slimages.macys.com/is/image/MCY/11858366 ")</f>
        <v xml:space="preserve">http://slimages.macys.com/is/image/MCY/11858366 </v>
      </c>
    </row>
    <row r="189" spans="1:12" ht="24.75" x14ac:dyDescent="0.25">
      <c r="A189" s="4" t="s">
        <v>2398</v>
      </c>
      <c r="B189" s="2" t="s">
        <v>453</v>
      </c>
      <c r="C189" s="3">
        <v>1</v>
      </c>
      <c r="D189" s="5">
        <v>37.130000000000003</v>
      </c>
      <c r="E189" s="3" t="s">
        <v>721</v>
      </c>
      <c r="F189" s="2" t="s">
        <v>417</v>
      </c>
      <c r="G189" s="6" t="s">
        <v>181</v>
      </c>
      <c r="H189" s="2" t="s">
        <v>284</v>
      </c>
      <c r="I189" s="2" t="s">
        <v>285</v>
      </c>
      <c r="J189" s="2" t="s">
        <v>19</v>
      </c>
      <c r="K189" s="2" t="s">
        <v>323</v>
      </c>
      <c r="L189" s="7" t="str">
        <f>HYPERLINK("http://slimages.macys.com/is/image/MCY/9678668 ")</f>
        <v xml:space="preserve">http://slimages.macys.com/is/image/MCY/9678668 </v>
      </c>
    </row>
    <row r="190" spans="1:12" ht="24.75" x14ac:dyDescent="0.25">
      <c r="A190" s="4" t="s">
        <v>5572</v>
      </c>
      <c r="B190" s="2" t="s">
        <v>5573</v>
      </c>
      <c r="C190" s="3">
        <v>1</v>
      </c>
      <c r="D190" s="5">
        <v>40.880000000000003</v>
      </c>
      <c r="E190" s="3" t="s">
        <v>5574</v>
      </c>
      <c r="F190" s="2" t="s">
        <v>26</v>
      </c>
      <c r="G190" s="6"/>
      <c r="H190" s="2" t="s">
        <v>632</v>
      </c>
      <c r="I190" s="2" t="s">
        <v>285</v>
      </c>
      <c r="J190" s="2" t="s">
        <v>19</v>
      </c>
      <c r="K190" s="2" t="s">
        <v>34</v>
      </c>
      <c r="L190" s="7" t="str">
        <f>HYPERLINK("http://slimages.macys.com/is/image/MCY/12285281 ")</f>
        <v xml:space="preserve">http://slimages.macys.com/is/image/MCY/12285281 </v>
      </c>
    </row>
    <row r="191" spans="1:12" ht="24.75" x14ac:dyDescent="0.25">
      <c r="A191" s="4" t="s">
        <v>5575</v>
      </c>
      <c r="B191" s="2" t="s">
        <v>4662</v>
      </c>
      <c r="C191" s="3">
        <v>2</v>
      </c>
      <c r="D191" s="5">
        <v>42.38</v>
      </c>
      <c r="E191" s="3" t="s">
        <v>4663</v>
      </c>
      <c r="F191" s="2" t="s">
        <v>15</v>
      </c>
      <c r="G191" s="6" t="s">
        <v>348</v>
      </c>
      <c r="H191" s="2" t="s">
        <v>349</v>
      </c>
      <c r="I191" s="2" t="s">
        <v>2548</v>
      </c>
      <c r="J191" s="2" t="s">
        <v>19</v>
      </c>
      <c r="K191" s="2" t="s">
        <v>34</v>
      </c>
      <c r="L191" s="7" t="str">
        <f>HYPERLINK("http://slimages.macys.com/is/image/MCY/9919297 ")</f>
        <v xml:space="preserve">http://slimages.macys.com/is/image/MCY/9919297 </v>
      </c>
    </row>
    <row r="192" spans="1:12" ht="24.75" x14ac:dyDescent="0.25">
      <c r="A192" s="4" t="s">
        <v>730</v>
      </c>
      <c r="B192" s="2" t="s">
        <v>456</v>
      </c>
      <c r="C192" s="3">
        <v>1</v>
      </c>
      <c r="D192" s="5">
        <v>37.130000000000003</v>
      </c>
      <c r="E192" s="3" t="s">
        <v>731</v>
      </c>
      <c r="F192" s="2" t="s">
        <v>331</v>
      </c>
      <c r="G192" s="6" t="s">
        <v>154</v>
      </c>
      <c r="H192" s="2" t="s">
        <v>284</v>
      </c>
      <c r="I192" s="2" t="s">
        <v>458</v>
      </c>
      <c r="J192" s="2" t="s">
        <v>19</v>
      </c>
      <c r="K192" s="2" t="s">
        <v>442</v>
      </c>
      <c r="L192" s="7" t="str">
        <f>HYPERLINK("http://slimages.macys.com/is/image/MCY/10242537 ")</f>
        <v xml:space="preserve">http://slimages.macys.com/is/image/MCY/10242537 </v>
      </c>
    </row>
    <row r="193" spans="1:12" ht="24.75" x14ac:dyDescent="0.25">
      <c r="A193" s="4" t="s">
        <v>5576</v>
      </c>
      <c r="B193" s="2" t="s">
        <v>4662</v>
      </c>
      <c r="C193" s="3">
        <v>2</v>
      </c>
      <c r="D193" s="5">
        <v>42.38</v>
      </c>
      <c r="E193" s="3" t="s">
        <v>4663</v>
      </c>
      <c r="F193" s="2" t="s">
        <v>15</v>
      </c>
      <c r="G193" s="6" t="s">
        <v>746</v>
      </c>
      <c r="H193" s="2" t="s">
        <v>349</v>
      </c>
      <c r="I193" s="2" t="s">
        <v>2548</v>
      </c>
      <c r="J193" s="2" t="s">
        <v>19</v>
      </c>
      <c r="K193" s="2" t="s">
        <v>34</v>
      </c>
      <c r="L193" s="7" t="str">
        <f>HYPERLINK("http://slimages.macys.com/is/image/MCY/9919297 ")</f>
        <v xml:space="preserve">http://slimages.macys.com/is/image/MCY/9919297 </v>
      </c>
    </row>
    <row r="194" spans="1:12" ht="24.75" x14ac:dyDescent="0.25">
      <c r="A194" s="4" t="s">
        <v>5577</v>
      </c>
      <c r="B194" s="2" t="s">
        <v>456</v>
      </c>
      <c r="C194" s="3">
        <v>1</v>
      </c>
      <c r="D194" s="5">
        <v>37.130000000000003</v>
      </c>
      <c r="E194" s="3" t="s">
        <v>731</v>
      </c>
      <c r="F194" s="2" t="s">
        <v>417</v>
      </c>
      <c r="G194" s="6" t="s">
        <v>154</v>
      </c>
      <c r="H194" s="2" t="s">
        <v>284</v>
      </c>
      <c r="I194" s="2" t="s">
        <v>458</v>
      </c>
      <c r="J194" s="2" t="s">
        <v>19</v>
      </c>
      <c r="K194" s="2" t="s">
        <v>442</v>
      </c>
      <c r="L194" s="7" t="str">
        <f>HYPERLINK("http://slimages.macys.com/is/image/MCY/10242537 ")</f>
        <v xml:space="preserve">http://slimages.macys.com/is/image/MCY/10242537 </v>
      </c>
    </row>
    <row r="195" spans="1:12" ht="24.75" x14ac:dyDescent="0.25">
      <c r="A195" s="4" t="s">
        <v>5578</v>
      </c>
      <c r="B195" s="2" t="s">
        <v>456</v>
      </c>
      <c r="C195" s="3">
        <v>1</v>
      </c>
      <c r="D195" s="5">
        <v>37.130000000000003</v>
      </c>
      <c r="E195" s="3" t="s">
        <v>731</v>
      </c>
      <c r="F195" s="2" t="s">
        <v>331</v>
      </c>
      <c r="G195" s="6" t="s">
        <v>181</v>
      </c>
      <c r="H195" s="2" t="s">
        <v>284</v>
      </c>
      <c r="I195" s="2" t="s">
        <v>458</v>
      </c>
      <c r="J195" s="2" t="s">
        <v>19</v>
      </c>
      <c r="K195" s="2" t="s">
        <v>442</v>
      </c>
      <c r="L195" s="7" t="str">
        <f>HYPERLINK("http://slimages.macys.com/is/image/MCY/10242537 ")</f>
        <v xml:space="preserve">http://slimages.macys.com/is/image/MCY/10242537 </v>
      </c>
    </row>
    <row r="196" spans="1:12" ht="24.75" x14ac:dyDescent="0.25">
      <c r="A196" s="4" t="s">
        <v>5579</v>
      </c>
      <c r="B196" s="2" t="s">
        <v>4662</v>
      </c>
      <c r="C196" s="3">
        <v>1</v>
      </c>
      <c r="D196" s="5">
        <v>42.38</v>
      </c>
      <c r="E196" s="3" t="s">
        <v>4663</v>
      </c>
      <c r="F196" s="2" t="s">
        <v>15</v>
      </c>
      <c r="G196" s="6" t="s">
        <v>2276</v>
      </c>
      <c r="H196" s="2" t="s">
        <v>349</v>
      </c>
      <c r="I196" s="2" t="s">
        <v>2548</v>
      </c>
      <c r="J196" s="2" t="s">
        <v>19</v>
      </c>
      <c r="K196" s="2" t="s">
        <v>34</v>
      </c>
      <c r="L196" s="7" t="str">
        <f>HYPERLINK("http://slimages.macys.com/is/image/MCY/9919297 ")</f>
        <v xml:space="preserve">http://slimages.macys.com/is/image/MCY/9919297 </v>
      </c>
    </row>
    <row r="197" spans="1:12" ht="24.75" x14ac:dyDescent="0.25">
      <c r="A197" s="4" t="s">
        <v>5580</v>
      </c>
      <c r="B197" s="2" t="s">
        <v>456</v>
      </c>
      <c r="C197" s="3">
        <v>1</v>
      </c>
      <c r="D197" s="5">
        <v>37.130000000000003</v>
      </c>
      <c r="E197" s="3" t="s">
        <v>731</v>
      </c>
      <c r="F197" s="2" t="s">
        <v>417</v>
      </c>
      <c r="G197" s="6" t="s">
        <v>234</v>
      </c>
      <c r="H197" s="2" t="s">
        <v>284</v>
      </c>
      <c r="I197" s="2" t="s">
        <v>458</v>
      </c>
      <c r="J197" s="2" t="s">
        <v>19</v>
      </c>
      <c r="K197" s="2" t="s">
        <v>442</v>
      </c>
      <c r="L197" s="7" t="str">
        <f>HYPERLINK("http://slimages.macys.com/is/image/MCY/10242537 ")</f>
        <v xml:space="preserve">http://slimages.macys.com/is/image/MCY/10242537 </v>
      </c>
    </row>
    <row r="198" spans="1:12" ht="24.75" x14ac:dyDescent="0.25">
      <c r="A198" s="4" t="s">
        <v>4661</v>
      </c>
      <c r="B198" s="2" t="s">
        <v>4662</v>
      </c>
      <c r="C198" s="3">
        <v>1</v>
      </c>
      <c r="D198" s="5">
        <v>42.38</v>
      </c>
      <c r="E198" s="3" t="s">
        <v>4663</v>
      </c>
      <c r="F198" s="2" t="s">
        <v>15</v>
      </c>
      <c r="G198" s="6"/>
      <c r="H198" s="2" t="s">
        <v>349</v>
      </c>
      <c r="I198" s="2" t="s">
        <v>2548</v>
      </c>
      <c r="J198" s="2" t="s">
        <v>19</v>
      </c>
      <c r="K198" s="2" t="s">
        <v>34</v>
      </c>
      <c r="L198" s="7" t="str">
        <f>HYPERLINK("http://slimages.macys.com/is/image/MCY/9919297 ")</f>
        <v xml:space="preserve">http://slimages.macys.com/is/image/MCY/9919297 </v>
      </c>
    </row>
    <row r="199" spans="1:12" ht="24.75" x14ac:dyDescent="0.25">
      <c r="A199" s="4" t="s">
        <v>5581</v>
      </c>
      <c r="B199" s="2" t="s">
        <v>5582</v>
      </c>
      <c r="C199" s="3">
        <v>1</v>
      </c>
      <c r="D199" s="5">
        <v>40.880000000000003</v>
      </c>
      <c r="E199" s="3" t="s">
        <v>5583</v>
      </c>
      <c r="F199" s="2" t="s">
        <v>26</v>
      </c>
      <c r="G199" s="6" t="s">
        <v>200</v>
      </c>
      <c r="H199" s="2" t="s">
        <v>284</v>
      </c>
      <c r="I199" s="2" t="s">
        <v>408</v>
      </c>
      <c r="J199" s="2" t="s">
        <v>19</v>
      </c>
      <c r="K199" s="2" t="s">
        <v>409</v>
      </c>
      <c r="L199" s="7" t="str">
        <f>HYPERLINK("http://slimages.macys.com/is/image/MCY/11708886 ")</f>
        <v xml:space="preserve">http://slimages.macys.com/is/image/MCY/11708886 </v>
      </c>
    </row>
    <row r="200" spans="1:12" ht="24.75" x14ac:dyDescent="0.25">
      <c r="A200" s="4" t="s">
        <v>5584</v>
      </c>
      <c r="B200" s="2" t="s">
        <v>744</v>
      </c>
      <c r="C200" s="3">
        <v>1</v>
      </c>
      <c r="D200" s="5">
        <v>39.99</v>
      </c>
      <c r="E200" s="3" t="s">
        <v>5585</v>
      </c>
      <c r="F200" s="2" t="s">
        <v>74</v>
      </c>
      <c r="G200" s="6" t="s">
        <v>746</v>
      </c>
      <c r="H200" s="2" t="s">
        <v>349</v>
      </c>
      <c r="I200" s="2" t="s">
        <v>285</v>
      </c>
      <c r="J200" s="2" t="s">
        <v>19</v>
      </c>
      <c r="K200" s="2" t="s">
        <v>34</v>
      </c>
      <c r="L200" s="7" t="str">
        <f>HYPERLINK("http://slimages.macys.com/is/image/MCY/13966189 ")</f>
        <v xml:space="preserve">http://slimages.macys.com/is/image/MCY/13966189 </v>
      </c>
    </row>
    <row r="201" spans="1:12" ht="24.75" x14ac:dyDescent="0.25">
      <c r="A201" s="4" t="s">
        <v>5586</v>
      </c>
      <c r="B201" s="2" t="s">
        <v>5587</v>
      </c>
      <c r="C201" s="3">
        <v>1</v>
      </c>
      <c r="D201" s="5">
        <v>44.63</v>
      </c>
      <c r="E201" s="3" t="s">
        <v>5588</v>
      </c>
      <c r="F201" s="2" t="s">
        <v>26</v>
      </c>
      <c r="G201" s="6" t="s">
        <v>154</v>
      </c>
      <c r="H201" s="2" t="s">
        <v>246</v>
      </c>
      <c r="I201" s="2" t="s">
        <v>189</v>
      </c>
      <c r="J201" s="2" t="s">
        <v>19</v>
      </c>
      <c r="K201" s="2" t="s">
        <v>705</v>
      </c>
      <c r="L201" s="7" t="str">
        <f>HYPERLINK("http://slimages.macys.com/is/image/MCY/9630962 ")</f>
        <v xml:space="preserve">http://slimages.macys.com/is/image/MCY/9630962 </v>
      </c>
    </row>
    <row r="202" spans="1:12" ht="24.75" x14ac:dyDescent="0.25">
      <c r="A202" s="4" t="s">
        <v>5589</v>
      </c>
      <c r="B202" s="2" t="s">
        <v>5590</v>
      </c>
      <c r="C202" s="3">
        <v>2</v>
      </c>
      <c r="D202" s="5">
        <v>44.63</v>
      </c>
      <c r="E202" s="3" t="s">
        <v>5591</v>
      </c>
      <c r="F202" s="2" t="s">
        <v>15</v>
      </c>
      <c r="G202" s="6" t="s">
        <v>181</v>
      </c>
      <c r="H202" s="2" t="s">
        <v>284</v>
      </c>
      <c r="I202" s="2" t="s">
        <v>285</v>
      </c>
      <c r="J202" s="2" t="s">
        <v>19</v>
      </c>
      <c r="K202" s="2" t="s">
        <v>160</v>
      </c>
      <c r="L202" s="7" t="str">
        <f>HYPERLINK("http://slimages.macys.com/is/image/MCY/12753570 ")</f>
        <v xml:space="preserve">http://slimages.macys.com/is/image/MCY/12753570 </v>
      </c>
    </row>
    <row r="203" spans="1:12" ht="48.75" x14ac:dyDescent="0.25">
      <c r="A203" s="4" t="s">
        <v>5592</v>
      </c>
      <c r="B203" s="2" t="s">
        <v>750</v>
      </c>
      <c r="C203" s="3">
        <v>1</v>
      </c>
      <c r="D203" s="5">
        <v>44.63</v>
      </c>
      <c r="E203" s="3" t="s">
        <v>751</v>
      </c>
      <c r="F203" s="2" t="s">
        <v>752</v>
      </c>
      <c r="G203" s="6" t="s">
        <v>156</v>
      </c>
      <c r="H203" s="2" t="s">
        <v>194</v>
      </c>
      <c r="I203" s="2" t="s">
        <v>195</v>
      </c>
      <c r="J203" s="2" t="s">
        <v>19</v>
      </c>
      <c r="K203" s="2" t="s">
        <v>753</v>
      </c>
      <c r="L203" s="7" t="str">
        <f>HYPERLINK("http://slimages.macys.com/is/image/MCY/12734332 ")</f>
        <v xml:space="preserve">http://slimages.macys.com/is/image/MCY/12734332 </v>
      </c>
    </row>
    <row r="204" spans="1:12" ht="48.75" x14ac:dyDescent="0.25">
      <c r="A204" s="4" t="s">
        <v>755</v>
      </c>
      <c r="B204" s="2" t="s">
        <v>750</v>
      </c>
      <c r="C204" s="3">
        <v>1</v>
      </c>
      <c r="D204" s="5">
        <v>44.63</v>
      </c>
      <c r="E204" s="3" t="s">
        <v>751</v>
      </c>
      <c r="F204" s="2" t="s">
        <v>752</v>
      </c>
      <c r="G204" s="6" t="s">
        <v>181</v>
      </c>
      <c r="H204" s="2" t="s">
        <v>194</v>
      </c>
      <c r="I204" s="2" t="s">
        <v>195</v>
      </c>
      <c r="J204" s="2" t="s">
        <v>19</v>
      </c>
      <c r="K204" s="2" t="s">
        <v>753</v>
      </c>
      <c r="L204" s="7" t="str">
        <f>HYPERLINK("http://slimages.macys.com/is/image/MCY/12734332 ")</f>
        <v xml:space="preserve">http://slimages.macys.com/is/image/MCY/12734332 </v>
      </c>
    </row>
    <row r="205" spans="1:12" ht="48.75" x14ac:dyDescent="0.25">
      <c r="A205" s="4" t="s">
        <v>749</v>
      </c>
      <c r="B205" s="2" t="s">
        <v>750</v>
      </c>
      <c r="C205" s="3">
        <v>1</v>
      </c>
      <c r="D205" s="5">
        <v>44.63</v>
      </c>
      <c r="E205" s="3" t="s">
        <v>751</v>
      </c>
      <c r="F205" s="2" t="s">
        <v>752</v>
      </c>
      <c r="G205" s="6" t="s">
        <v>154</v>
      </c>
      <c r="H205" s="2" t="s">
        <v>194</v>
      </c>
      <c r="I205" s="2" t="s">
        <v>195</v>
      </c>
      <c r="J205" s="2" t="s">
        <v>19</v>
      </c>
      <c r="K205" s="2" t="s">
        <v>753</v>
      </c>
      <c r="L205" s="7" t="str">
        <f>HYPERLINK("http://slimages.macys.com/is/image/MCY/12734332 ")</f>
        <v xml:space="preserve">http://slimages.macys.com/is/image/MCY/12734332 </v>
      </c>
    </row>
    <row r="206" spans="1:12" ht="48.75" x14ac:dyDescent="0.25">
      <c r="A206" s="4" t="s">
        <v>754</v>
      </c>
      <c r="B206" s="2" t="s">
        <v>750</v>
      </c>
      <c r="C206" s="3">
        <v>1</v>
      </c>
      <c r="D206" s="5">
        <v>44.63</v>
      </c>
      <c r="E206" s="3" t="s">
        <v>751</v>
      </c>
      <c r="F206" s="2" t="s">
        <v>752</v>
      </c>
      <c r="G206" s="6" t="s">
        <v>234</v>
      </c>
      <c r="H206" s="2" t="s">
        <v>194</v>
      </c>
      <c r="I206" s="2" t="s">
        <v>195</v>
      </c>
      <c r="J206" s="2" t="s">
        <v>19</v>
      </c>
      <c r="K206" s="2" t="s">
        <v>753</v>
      </c>
      <c r="L206" s="7" t="str">
        <f>HYPERLINK("http://slimages.macys.com/is/image/MCY/12734332 ")</f>
        <v xml:space="preserve">http://slimages.macys.com/is/image/MCY/12734332 </v>
      </c>
    </row>
    <row r="207" spans="1:12" ht="24.75" x14ac:dyDescent="0.25">
      <c r="A207" s="4" t="s">
        <v>4669</v>
      </c>
      <c r="B207" s="2" t="s">
        <v>4667</v>
      </c>
      <c r="C207" s="3">
        <v>1</v>
      </c>
      <c r="D207" s="5">
        <v>40.880000000000003</v>
      </c>
      <c r="E207" s="3" t="s">
        <v>4668</v>
      </c>
      <c r="F207" s="2" t="s">
        <v>417</v>
      </c>
      <c r="G207" s="6" t="s">
        <v>200</v>
      </c>
      <c r="H207" s="2" t="s">
        <v>194</v>
      </c>
      <c r="I207" s="2" t="s">
        <v>195</v>
      </c>
      <c r="J207" s="2" t="s">
        <v>19</v>
      </c>
      <c r="K207" s="2" t="s">
        <v>495</v>
      </c>
      <c r="L207" s="7" t="str">
        <f>HYPERLINK("http://slimages.macys.com/is/image/MCY/12143862 ")</f>
        <v xml:space="preserve">http://slimages.macys.com/is/image/MCY/12143862 </v>
      </c>
    </row>
    <row r="208" spans="1:12" ht="24.75" x14ac:dyDescent="0.25">
      <c r="A208" s="4" t="s">
        <v>5593</v>
      </c>
      <c r="B208" s="2" t="s">
        <v>757</v>
      </c>
      <c r="C208" s="3">
        <v>2</v>
      </c>
      <c r="D208" s="5">
        <v>37.130000000000003</v>
      </c>
      <c r="E208" s="3" t="s">
        <v>758</v>
      </c>
      <c r="F208" s="2" t="s">
        <v>48</v>
      </c>
      <c r="G208" s="6" t="s">
        <v>181</v>
      </c>
      <c r="H208" s="2" t="s">
        <v>194</v>
      </c>
      <c r="I208" s="2" t="s">
        <v>503</v>
      </c>
      <c r="J208" s="2" t="s">
        <v>19</v>
      </c>
      <c r="K208" s="2" t="s">
        <v>546</v>
      </c>
      <c r="L208" s="7" t="str">
        <f>HYPERLINK("http://slimages.macys.com/is/image/MCY/12851524 ")</f>
        <v xml:space="preserve">http://slimages.macys.com/is/image/MCY/12851524 </v>
      </c>
    </row>
    <row r="209" spans="1:12" ht="24.75" x14ac:dyDescent="0.25">
      <c r="A209" s="4" t="s">
        <v>5594</v>
      </c>
      <c r="B209" s="2" t="s">
        <v>5595</v>
      </c>
      <c r="C209" s="3">
        <v>1</v>
      </c>
      <c r="D209" s="5">
        <v>34.880000000000003</v>
      </c>
      <c r="E209" s="3">
        <v>100038855</v>
      </c>
      <c r="F209" s="2" t="s">
        <v>506</v>
      </c>
      <c r="G209" s="6" t="s">
        <v>16</v>
      </c>
      <c r="H209" s="2" t="s">
        <v>194</v>
      </c>
      <c r="I209" s="2" t="s">
        <v>503</v>
      </c>
      <c r="J209" s="2" t="s">
        <v>19</v>
      </c>
      <c r="K209" s="2" t="s">
        <v>353</v>
      </c>
      <c r="L209" s="7" t="str">
        <f>HYPERLINK("http://slimages.macys.com/is/image/MCY/9325309 ")</f>
        <v xml:space="preserve">http://slimages.macys.com/is/image/MCY/9325309 </v>
      </c>
    </row>
    <row r="210" spans="1:12" ht="24.75" x14ac:dyDescent="0.25">
      <c r="A210" s="4" t="s">
        <v>5596</v>
      </c>
      <c r="B210" s="2" t="s">
        <v>2460</v>
      </c>
      <c r="C210" s="3">
        <v>2</v>
      </c>
      <c r="D210" s="5">
        <v>34.880000000000003</v>
      </c>
      <c r="E210" s="3">
        <v>100009313</v>
      </c>
      <c r="F210" s="2" t="s">
        <v>94</v>
      </c>
      <c r="G210" s="6" t="s">
        <v>27</v>
      </c>
      <c r="H210" s="2" t="s">
        <v>194</v>
      </c>
      <c r="I210" s="2" t="s">
        <v>503</v>
      </c>
      <c r="J210" s="2" t="s">
        <v>19</v>
      </c>
      <c r="K210" s="2" t="s">
        <v>353</v>
      </c>
      <c r="L210" s="7" t="str">
        <f>HYPERLINK("http://slimages.macys.com/is/image/MCY/9340611 ")</f>
        <v xml:space="preserve">http://slimages.macys.com/is/image/MCY/9340611 </v>
      </c>
    </row>
    <row r="211" spans="1:12" ht="24.75" x14ac:dyDescent="0.25">
      <c r="A211" s="4" t="s">
        <v>759</v>
      </c>
      <c r="B211" s="2" t="s">
        <v>757</v>
      </c>
      <c r="C211" s="3">
        <v>1</v>
      </c>
      <c r="D211" s="5">
        <v>37.130000000000003</v>
      </c>
      <c r="E211" s="3" t="s">
        <v>758</v>
      </c>
      <c r="F211" s="2" t="s">
        <v>48</v>
      </c>
      <c r="G211" s="6" t="s">
        <v>234</v>
      </c>
      <c r="H211" s="2" t="s">
        <v>194</v>
      </c>
      <c r="I211" s="2" t="s">
        <v>503</v>
      </c>
      <c r="J211" s="2" t="s">
        <v>19</v>
      </c>
      <c r="K211" s="2" t="s">
        <v>546</v>
      </c>
      <c r="L211" s="7" t="str">
        <f>HYPERLINK("http://slimages.macys.com/is/image/MCY/12851524 ")</f>
        <v xml:space="preserve">http://slimages.macys.com/is/image/MCY/12851524 </v>
      </c>
    </row>
    <row r="212" spans="1:12" ht="24.75" x14ac:dyDescent="0.25">
      <c r="A212" s="4" t="s">
        <v>5597</v>
      </c>
      <c r="B212" s="2" t="s">
        <v>757</v>
      </c>
      <c r="C212" s="3">
        <v>1</v>
      </c>
      <c r="D212" s="5">
        <v>37.130000000000003</v>
      </c>
      <c r="E212" s="3" t="s">
        <v>758</v>
      </c>
      <c r="F212" s="2" t="s">
        <v>48</v>
      </c>
      <c r="G212" s="6" t="s">
        <v>245</v>
      </c>
      <c r="H212" s="2" t="s">
        <v>194</v>
      </c>
      <c r="I212" s="2" t="s">
        <v>503</v>
      </c>
      <c r="J212" s="2" t="s">
        <v>19</v>
      </c>
      <c r="K212" s="2" t="s">
        <v>546</v>
      </c>
      <c r="L212" s="7" t="str">
        <f>HYPERLINK("http://slimages.macys.com/is/image/MCY/12851524 ")</f>
        <v xml:space="preserve">http://slimages.macys.com/is/image/MCY/12851524 </v>
      </c>
    </row>
    <row r="213" spans="1:12" ht="24.75" x14ac:dyDescent="0.25">
      <c r="A213" s="4" t="s">
        <v>5598</v>
      </c>
      <c r="B213" s="2" t="s">
        <v>757</v>
      </c>
      <c r="C213" s="3">
        <v>1</v>
      </c>
      <c r="D213" s="5">
        <v>37.130000000000003</v>
      </c>
      <c r="E213" s="3" t="s">
        <v>758</v>
      </c>
      <c r="F213" s="2" t="s">
        <v>48</v>
      </c>
      <c r="G213" s="6" t="s">
        <v>156</v>
      </c>
      <c r="H213" s="2" t="s">
        <v>194</v>
      </c>
      <c r="I213" s="2" t="s">
        <v>503</v>
      </c>
      <c r="J213" s="2" t="s">
        <v>19</v>
      </c>
      <c r="K213" s="2" t="s">
        <v>546</v>
      </c>
      <c r="L213" s="7" t="str">
        <f>HYPERLINK("http://slimages.macys.com/is/image/MCY/12851524 ")</f>
        <v xml:space="preserve">http://slimages.macys.com/is/image/MCY/12851524 </v>
      </c>
    </row>
    <row r="214" spans="1:12" ht="24.75" x14ac:dyDescent="0.25">
      <c r="A214" s="4" t="s">
        <v>756</v>
      </c>
      <c r="B214" s="2" t="s">
        <v>757</v>
      </c>
      <c r="C214" s="3">
        <v>1</v>
      </c>
      <c r="D214" s="5">
        <v>37.130000000000003</v>
      </c>
      <c r="E214" s="3" t="s">
        <v>758</v>
      </c>
      <c r="F214" s="2" t="s">
        <v>48</v>
      </c>
      <c r="G214" s="6" t="s">
        <v>154</v>
      </c>
      <c r="H214" s="2" t="s">
        <v>194</v>
      </c>
      <c r="I214" s="2" t="s">
        <v>503</v>
      </c>
      <c r="J214" s="2" t="s">
        <v>19</v>
      </c>
      <c r="K214" s="2" t="s">
        <v>546</v>
      </c>
      <c r="L214" s="7" t="str">
        <f>HYPERLINK("http://slimages.macys.com/is/image/MCY/12851524 ")</f>
        <v xml:space="preserve">http://slimages.macys.com/is/image/MCY/12851524 </v>
      </c>
    </row>
    <row r="215" spans="1:12" ht="24.75" x14ac:dyDescent="0.25">
      <c r="A215" s="4" t="s">
        <v>5599</v>
      </c>
      <c r="B215" s="2" t="s">
        <v>2460</v>
      </c>
      <c r="C215" s="3">
        <v>1</v>
      </c>
      <c r="D215" s="5">
        <v>34.880000000000003</v>
      </c>
      <c r="E215" s="3">
        <v>100009313</v>
      </c>
      <c r="F215" s="2" t="s">
        <v>94</v>
      </c>
      <c r="G215" s="6" t="s">
        <v>106</v>
      </c>
      <c r="H215" s="2" t="s">
        <v>194</v>
      </c>
      <c r="I215" s="2" t="s">
        <v>503</v>
      </c>
      <c r="J215" s="2" t="s">
        <v>19</v>
      </c>
      <c r="K215" s="2" t="s">
        <v>353</v>
      </c>
      <c r="L215" s="7" t="str">
        <f>HYPERLINK("http://slimages.macys.com/is/image/MCY/9340611 ")</f>
        <v xml:space="preserve">http://slimages.macys.com/is/image/MCY/9340611 </v>
      </c>
    </row>
    <row r="216" spans="1:12" ht="24.75" x14ac:dyDescent="0.25">
      <c r="A216" s="4" t="s">
        <v>5600</v>
      </c>
      <c r="B216" s="2" t="s">
        <v>4674</v>
      </c>
      <c r="C216" s="3">
        <v>1</v>
      </c>
      <c r="D216" s="5">
        <v>34.5</v>
      </c>
      <c r="E216" s="3" t="s">
        <v>5601</v>
      </c>
      <c r="F216" s="2" t="s">
        <v>64</v>
      </c>
      <c r="G216" s="6" t="s">
        <v>3671</v>
      </c>
      <c r="H216" s="2" t="s">
        <v>228</v>
      </c>
      <c r="I216" s="2" t="s">
        <v>863</v>
      </c>
      <c r="J216" s="2" t="s">
        <v>19</v>
      </c>
      <c r="K216" s="2" t="s">
        <v>253</v>
      </c>
      <c r="L216" s="7" t="str">
        <f>HYPERLINK("http://slimages.macys.com/is/image/MCY/3650197 ")</f>
        <v xml:space="preserve">http://slimages.macys.com/is/image/MCY/3650197 </v>
      </c>
    </row>
    <row r="217" spans="1:12" ht="24.75" x14ac:dyDescent="0.25">
      <c r="A217" s="4" t="s">
        <v>5602</v>
      </c>
      <c r="B217" s="2" t="s">
        <v>768</v>
      </c>
      <c r="C217" s="3">
        <v>1</v>
      </c>
      <c r="D217" s="5">
        <v>34.880000000000003</v>
      </c>
      <c r="E217" s="3">
        <v>100054400</v>
      </c>
      <c r="F217" s="2" t="s">
        <v>64</v>
      </c>
      <c r="G217" s="6" t="s">
        <v>112</v>
      </c>
      <c r="H217" s="2" t="s">
        <v>194</v>
      </c>
      <c r="I217" s="2" t="s">
        <v>195</v>
      </c>
      <c r="J217" s="2" t="s">
        <v>19</v>
      </c>
      <c r="K217" s="2" t="s">
        <v>546</v>
      </c>
      <c r="L217" s="7" t="str">
        <f>HYPERLINK("http://slimages.macys.com/is/image/MCY/12850455 ")</f>
        <v xml:space="preserve">http://slimages.macys.com/is/image/MCY/12850455 </v>
      </c>
    </row>
    <row r="218" spans="1:12" ht="24.75" x14ac:dyDescent="0.25">
      <c r="A218" s="4" t="s">
        <v>767</v>
      </c>
      <c r="B218" s="2" t="s">
        <v>768</v>
      </c>
      <c r="C218" s="3">
        <v>1</v>
      </c>
      <c r="D218" s="5">
        <v>34.880000000000003</v>
      </c>
      <c r="E218" s="3">
        <v>100054400</v>
      </c>
      <c r="F218" s="2" t="s">
        <v>64</v>
      </c>
      <c r="G218" s="6" t="s">
        <v>22</v>
      </c>
      <c r="H218" s="2" t="s">
        <v>194</v>
      </c>
      <c r="I218" s="2" t="s">
        <v>195</v>
      </c>
      <c r="J218" s="2" t="s">
        <v>19</v>
      </c>
      <c r="K218" s="2" t="s">
        <v>546</v>
      </c>
      <c r="L218" s="7" t="str">
        <f>HYPERLINK("http://slimages.macys.com/is/image/MCY/12850455 ")</f>
        <v xml:space="preserve">http://slimages.macys.com/is/image/MCY/12850455 </v>
      </c>
    </row>
    <row r="219" spans="1:12" ht="36.75" x14ac:dyDescent="0.25">
      <c r="A219" s="4" t="s">
        <v>5603</v>
      </c>
      <c r="B219" s="2" t="s">
        <v>895</v>
      </c>
      <c r="C219" s="3">
        <v>1</v>
      </c>
      <c r="D219" s="5">
        <v>44.99</v>
      </c>
      <c r="E219" s="3" t="s">
        <v>4682</v>
      </c>
      <c r="F219" s="2" t="s">
        <v>164</v>
      </c>
      <c r="G219" s="6" t="s">
        <v>165</v>
      </c>
      <c r="H219" s="2" t="s">
        <v>127</v>
      </c>
      <c r="I219" s="2" t="s">
        <v>541</v>
      </c>
      <c r="J219" s="2" t="s">
        <v>19</v>
      </c>
      <c r="K219" s="2" t="s">
        <v>500</v>
      </c>
      <c r="L219" s="7" t="str">
        <f>HYPERLINK("http://slimages.macys.com/is/image/MCY/16583426 ")</f>
        <v xml:space="preserve">http://slimages.macys.com/is/image/MCY/16583426 </v>
      </c>
    </row>
    <row r="220" spans="1:12" ht="24.75" x14ac:dyDescent="0.25">
      <c r="A220" s="4" t="s">
        <v>5604</v>
      </c>
      <c r="B220" s="2" t="s">
        <v>5605</v>
      </c>
      <c r="C220" s="3">
        <v>1</v>
      </c>
      <c r="D220" s="5">
        <v>44.63</v>
      </c>
      <c r="E220" s="3">
        <v>100017009</v>
      </c>
      <c r="F220" s="2" t="s">
        <v>15</v>
      </c>
      <c r="G220" s="6" t="s">
        <v>181</v>
      </c>
      <c r="H220" s="2" t="s">
        <v>284</v>
      </c>
      <c r="I220" s="2" t="s">
        <v>285</v>
      </c>
      <c r="J220" s="2" t="s">
        <v>19</v>
      </c>
      <c r="K220" s="2" t="s">
        <v>160</v>
      </c>
      <c r="L220" s="7" t="str">
        <f>HYPERLINK("http://slimages.macys.com/is/image/MCY/9357820 ")</f>
        <v xml:space="preserve">http://slimages.macys.com/is/image/MCY/9357820 </v>
      </c>
    </row>
    <row r="221" spans="1:12" ht="48.75" x14ac:dyDescent="0.25">
      <c r="A221" s="4" t="s">
        <v>4683</v>
      </c>
      <c r="B221" s="2" t="s">
        <v>750</v>
      </c>
      <c r="C221" s="3">
        <v>1</v>
      </c>
      <c r="D221" s="5">
        <v>44.63</v>
      </c>
      <c r="E221" s="3" t="s">
        <v>770</v>
      </c>
      <c r="F221" s="2" t="s">
        <v>752</v>
      </c>
      <c r="G221" s="6"/>
      <c r="H221" s="2" t="s">
        <v>312</v>
      </c>
      <c r="I221" s="2" t="s">
        <v>195</v>
      </c>
      <c r="J221" s="2" t="s">
        <v>19</v>
      </c>
      <c r="K221" s="2" t="s">
        <v>771</v>
      </c>
      <c r="L221" s="7" t="str">
        <f>HYPERLINK("http://slimages.macys.com/is/image/MCY/12734332 ")</f>
        <v xml:space="preserve">http://slimages.macys.com/is/image/MCY/12734332 </v>
      </c>
    </row>
    <row r="222" spans="1:12" ht="24.75" x14ac:dyDescent="0.25">
      <c r="A222" s="4" t="s">
        <v>5606</v>
      </c>
      <c r="B222" s="2" t="s">
        <v>2411</v>
      </c>
      <c r="C222" s="3">
        <v>1</v>
      </c>
      <c r="D222" s="5">
        <v>48.38</v>
      </c>
      <c r="E222" s="3" t="s">
        <v>2412</v>
      </c>
      <c r="F222" s="2" t="s">
        <v>26</v>
      </c>
      <c r="G222" s="6" t="s">
        <v>2276</v>
      </c>
      <c r="H222" s="2" t="s">
        <v>349</v>
      </c>
      <c r="I222" s="2" t="s">
        <v>285</v>
      </c>
      <c r="J222" s="2" t="s">
        <v>19</v>
      </c>
      <c r="K222" s="2" t="s">
        <v>160</v>
      </c>
      <c r="L222" s="7" t="str">
        <f>HYPERLINK("http://slimages.macys.com/is/image/MCY/12877169 ")</f>
        <v xml:space="preserve">http://slimages.macys.com/is/image/MCY/12877169 </v>
      </c>
    </row>
    <row r="223" spans="1:12" ht="36.75" x14ac:dyDescent="0.25">
      <c r="A223" s="4" t="s">
        <v>5607</v>
      </c>
      <c r="B223" s="2" t="s">
        <v>4685</v>
      </c>
      <c r="C223" s="3">
        <v>1</v>
      </c>
      <c r="D223" s="5">
        <v>36.99</v>
      </c>
      <c r="E223" s="3" t="s">
        <v>4686</v>
      </c>
      <c r="F223" s="2" t="s">
        <v>74</v>
      </c>
      <c r="G223" s="6" t="s">
        <v>156</v>
      </c>
      <c r="H223" s="2" t="s">
        <v>284</v>
      </c>
      <c r="I223" s="2" t="s">
        <v>285</v>
      </c>
      <c r="J223" s="2" t="s">
        <v>19</v>
      </c>
      <c r="K223" s="2" t="s">
        <v>4687</v>
      </c>
      <c r="L223" s="7" t="str">
        <f>HYPERLINK("http://slimages.macys.com/is/image/MCY/13291017 ")</f>
        <v xml:space="preserve">http://slimages.macys.com/is/image/MCY/13291017 </v>
      </c>
    </row>
    <row r="224" spans="1:12" ht="36.75" x14ac:dyDescent="0.25">
      <c r="A224" s="4" t="s">
        <v>5608</v>
      </c>
      <c r="B224" s="2" t="s">
        <v>4685</v>
      </c>
      <c r="C224" s="3">
        <v>1</v>
      </c>
      <c r="D224" s="5">
        <v>36.99</v>
      </c>
      <c r="E224" s="3" t="s">
        <v>4686</v>
      </c>
      <c r="F224" s="2" t="s">
        <v>53</v>
      </c>
      <c r="G224" s="6" t="s">
        <v>181</v>
      </c>
      <c r="H224" s="2" t="s">
        <v>284</v>
      </c>
      <c r="I224" s="2" t="s">
        <v>285</v>
      </c>
      <c r="J224" s="2" t="s">
        <v>19</v>
      </c>
      <c r="K224" s="2" t="s">
        <v>4687</v>
      </c>
      <c r="L224" s="7" t="str">
        <f>HYPERLINK("http://slimages.macys.com/is/image/MCY/13291017 ")</f>
        <v xml:space="preserve">http://slimages.macys.com/is/image/MCY/13291017 </v>
      </c>
    </row>
    <row r="225" spans="1:12" ht="24.75" x14ac:dyDescent="0.25">
      <c r="A225" s="4" t="s">
        <v>5609</v>
      </c>
      <c r="B225" s="2" t="s">
        <v>777</v>
      </c>
      <c r="C225" s="3">
        <v>1</v>
      </c>
      <c r="D225" s="5">
        <v>34.880000000000003</v>
      </c>
      <c r="E225" s="3" t="s">
        <v>778</v>
      </c>
      <c r="F225" s="2" t="s">
        <v>506</v>
      </c>
      <c r="G225" s="6"/>
      <c r="H225" s="2" t="s">
        <v>312</v>
      </c>
      <c r="I225" s="2" t="s">
        <v>503</v>
      </c>
      <c r="J225" s="2" t="s">
        <v>19</v>
      </c>
      <c r="K225" s="2" t="s">
        <v>353</v>
      </c>
      <c r="L225" s="7" t="str">
        <f>HYPERLINK("http://slimages.macys.com/is/image/MCY/11146051 ")</f>
        <v xml:space="preserve">http://slimages.macys.com/is/image/MCY/11146051 </v>
      </c>
    </row>
    <row r="226" spans="1:12" ht="24.75" x14ac:dyDescent="0.25">
      <c r="A226" s="4" t="s">
        <v>5610</v>
      </c>
      <c r="B226" s="2" t="s">
        <v>777</v>
      </c>
      <c r="C226" s="3">
        <v>1</v>
      </c>
      <c r="D226" s="5">
        <v>34.880000000000003</v>
      </c>
      <c r="E226" s="3" t="s">
        <v>778</v>
      </c>
      <c r="F226" s="2" t="s">
        <v>64</v>
      </c>
      <c r="G226" s="6"/>
      <c r="H226" s="2" t="s">
        <v>312</v>
      </c>
      <c r="I226" s="2" t="s">
        <v>503</v>
      </c>
      <c r="J226" s="2" t="s">
        <v>19</v>
      </c>
      <c r="K226" s="2" t="s">
        <v>353</v>
      </c>
      <c r="L226" s="7" t="str">
        <f>HYPERLINK("http://slimages.macys.com/is/image/MCY/11146051 ")</f>
        <v xml:space="preserve">http://slimages.macys.com/is/image/MCY/11146051 </v>
      </c>
    </row>
    <row r="227" spans="1:12" ht="24.75" x14ac:dyDescent="0.25">
      <c r="A227" s="4" t="s">
        <v>5611</v>
      </c>
      <c r="B227" s="2" t="s">
        <v>777</v>
      </c>
      <c r="C227" s="3">
        <v>1</v>
      </c>
      <c r="D227" s="5">
        <v>34.880000000000003</v>
      </c>
      <c r="E227" s="3">
        <v>100042380</v>
      </c>
      <c r="F227" s="2" t="s">
        <v>74</v>
      </c>
      <c r="G227" s="6" t="s">
        <v>200</v>
      </c>
      <c r="H227" s="2" t="s">
        <v>194</v>
      </c>
      <c r="I227" s="2" t="s">
        <v>503</v>
      </c>
      <c r="J227" s="2" t="s">
        <v>19</v>
      </c>
      <c r="K227" s="2" t="s">
        <v>353</v>
      </c>
      <c r="L227" s="7" t="str">
        <f>HYPERLINK("http://slimages.macys.com/is/image/MCY/11145974 ")</f>
        <v xml:space="preserve">http://slimages.macys.com/is/image/MCY/11145974 </v>
      </c>
    </row>
    <row r="228" spans="1:12" ht="24.75" x14ac:dyDescent="0.25">
      <c r="A228" s="4" t="s">
        <v>3570</v>
      </c>
      <c r="B228" s="2" t="s">
        <v>777</v>
      </c>
      <c r="C228" s="3">
        <v>1</v>
      </c>
      <c r="D228" s="5">
        <v>34.880000000000003</v>
      </c>
      <c r="E228" s="3">
        <v>100042380</v>
      </c>
      <c r="F228" s="2" t="s">
        <v>74</v>
      </c>
      <c r="G228" s="6" t="s">
        <v>156</v>
      </c>
      <c r="H228" s="2" t="s">
        <v>194</v>
      </c>
      <c r="I228" s="2" t="s">
        <v>503</v>
      </c>
      <c r="J228" s="2" t="s">
        <v>19</v>
      </c>
      <c r="K228" s="2" t="s">
        <v>353</v>
      </c>
      <c r="L228" s="7" t="str">
        <f>HYPERLINK("http://slimages.macys.com/is/image/MCY/11145974 ")</f>
        <v xml:space="preserve">http://slimages.macys.com/is/image/MCY/11145974 </v>
      </c>
    </row>
    <row r="229" spans="1:12" ht="36.75" x14ac:dyDescent="0.25">
      <c r="A229" s="4" t="s">
        <v>3574</v>
      </c>
      <c r="B229" s="2" t="s">
        <v>3572</v>
      </c>
      <c r="C229" s="3">
        <v>1</v>
      </c>
      <c r="D229" s="5">
        <v>34.979999999999997</v>
      </c>
      <c r="E229" s="3" t="s">
        <v>3573</v>
      </c>
      <c r="F229" s="2" t="s">
        <v>74</v>
      </c>
      <c r="G229" s="6" t="s">
        <v>2456</v>
      </c>
      <c r="H229" s="2" t="s">
        <v>349</v>
      </c>
      <c r="I229" s="2" t="s">
        <v>408</v>
      </c>
      <c r="J229" s="2" t="s">
        <v>19</v>
      </c>
      <c r="K229" s="2" t="s">
        <v>3579</v>
      </c>
      <c r="L229" s="7" t="str">
        <f>HYPERLINK("http://slimages.macys.com/is/image/MCY/1697450 ")</f>
        <v xml:space="preserve">http://slimages.macys.com/is/image/MCY/1697450 </v>
      </c>
    </row>
    <row r="230" spans="1:12" ht="36.75" x14ac:dyDescent="0.25">
      <c r="A230" s="4" t="s">
        <v>5612</v>
      </c>
      <c r="B230" s="2" t="s">
        <v>3572</v>
      </c>
      <c r="C230" s="3">
        <v>1</v>
      </c>
      <c r="D230" s="5">
        <v>34.979999999999997</v>
      </c>
      <c r="E230" s="3" t="s">
        <v>3573</v>
      </c>
      <c r="F230" s="2" t="s">
        <v>417</v>
      </c>
      <c r="G230" s="6" t="s">
        <v>2456</v>
      </c>
      <c r="H230" s="2" t="s">
        <v>349</v>
      </c>
      <c r="I230" s="2" t="s">
        <v>408</v>
      </c>
      <c r="J230" s="2" t="s">
        <v>19</v>
      </c>
      <c r="K230" s="2" t="s">
        <v>3579</v>
      </c>
      <c r="L230" s="7" t="str">
        <f>HYPERLINK("http://slimages.macys.com/is/image/MCY/1697450 ")</f>
        <v xml:space="preserve">http://slimages.macys.com/is/image/MCY/1697450 </v>
      </c>
    </row>
    <row r="231" spans="1:12" ht="36.75" x14ac:dyDescent="0.25">
      <c r="A231" s="4" t="s">
        <v>5613</v>
      </c>
      <c r="B231" s="2" t="s">
        <v>3572</v>
      </c>
      <c r="C231" s="3">
        <v>1</v>
      </c>
      <c r="D231" s="5">
        <v>34.979999999999997</v>
      </c>
      <c r="E231" s="3" t="s">
        <v>3573</v>
      </c>
      <c r="F231" s="2" t="s">
        <v>417</v>
      </c>
      <c r="G231" s="6" t="s">
        <v>407</v>
      </c>
      <c r="H231" s="2" t="s">
        <v>349</v>
      </c>
      <c r="I231" s="2" t="s">
        <v>408</v>
      </c>
      <c r="J231" s="2" t="s">
        <v>19</v>
      </c>
      <c r="K231" s="2" t="s">
        <v>3579</v>
      </c>
      <c r="L231" s="7" t="str">
        <f>HYPERLINK("http://slimages.macys.com/is/image/MCY/1697450 ")</f>
        <v xml:space="preserve">http://slimages.macys.com/is/image/MCY/1697450 </v>
      </c>
    </row>
    <row r="232" spans="1:12" ht="36.75" x14ac:dyDescent="0.25">
      <c r="A232" s="4" t="s">
        <v>5614</v>
      </c>
      <c r="B232" s="2" t="s">
        <v>2417</v>
      </c>
      <c r="C232" s="3">
        <v>1</v>
      </c>
      <c r="D232" s="5">
        <v>45</v>
      </c>
      <c r="E232" s="3" t="s">
        <v>2418</v>
      </c>
      <c r="F232" s="2" t="s">
        <v>752</v>
      </c>
      <c r="G232" s="6" t="s">
        <v>794</v>
      </c>
      <c r="H232" s="2" t="s">
        <v>447</v>
      </c>
      <c r="I232" s="2" t="s">
        <v>792</v>
      </c>
      <c r="J232" s="2" t="s">
        <v>19</v>
      </c>
      <c r="K232" s="2" t="s">
        <v>2419</v>
      </c>
      <c r="L232" s="7" t="str">
        <f>HYPERLINK("http://slimages.macys.com/is/image/MCY/11702378 ")</f>
        <v xml:space="preserve">http://slimages.macys.com/is/image/MCY/11702378 </v>
      </c>
    </row>
    <row r="233" spans="1:12" ht="24.75" x14ac:dyDescent="0.25">
      <c r="A233" s="4" t="s">
        <v>5615</v>
      </c>
      <c r="B233" s="2" t="s">
        <v>4691</v>
      </c>
      <c r="C233" s="3">
        <v>1</v>
      </c>
      <c r="D233" s="5">
        <v>36.75</v>
      </c>
      <c r="E233" s="3" t="s">
        <v>4692</v>
      </c>
      <c r="F233" s="2" t="s">
        <v>89</v>
      </c>
      <c r="G233" s="6" t="s">
        <v>336</v>
      </c>
      <c r="H233" s="2" t="s">
        <v>426</v>
      </c>
      <c r="I233" s="2" t="s">
        <v>229</v>
      </c>
      <c r="J233" s="2" t="s">
        <v>19</v>
      </c>
      <c r="K233" s="2" t="s">
        <v>230</v>
      </c>
      <c r="L233" s="7" t="str">
        <f>HYPERLINK("http://slimages.macys.com/is/image/MCY/12316602 ")</f>
        <v xml:space="preserve">http://slimages.macys.com/is/image/MCY/12316602 </v>
      </c>
    </row>
    <row r="234" spans="1:12" ht="24.75" x14ac:dyDescent="0.25">
      <c r="A234" s="4" t="s">
        <v>804</v>
      </c>
      <c r="B234" s="2" t="s">
        <v>800</v>
      </c>
      <c r="C234" s="3">
        <v>1</v>
      </c>
      <c r="D234" s="5">
        <v>37.130000000000003</v>
      </c>
      <c r="E234" s="3" t="s">
        <v>801</v>
      </c>
      <c r="F234" s="2" t="s">
        <v>64</v>
      </c>
      <c r="G234" s="6" t="s">
        <v>238</v>
      </c>
      <c r="H234" s="2" t="s">
        <v>188</v>
      </c>
      <c r="I234" s="2" t="s">
        <v>189</v>
      </c>
      <c r="J234" s="2" t="s">
        <v>19</v>
      </c>
      <c r="K234" s="2" t="s">
        <v>803</v>
      </c>
      <c r="L234" s="7" t="str">
        <f>HYPERLINK("http://slimages.macys.com/is/image/MCY/9484269 ")</f>
        <v xml:space="preserve">http://slimages.macys.com/is/image/MCY/9484269 </v>
      </c>
    </row>
    <row r="235" spans="1:12" ht="24.75" x14ac:dyDescent="0.25">
      <c r="A235" s="4" t="s">
        <v>813</v>
      </c>
      <c r="B235" s="2" t="s">
        <v>811</v>
      </c>
      <c r="C235" s="3">
        <v>2</v>
      </c>
      <c r="D235" s="5">
        <v>37.130000000000003</v>
      </c>
      <c r="E235" s="3" t="s">
        <v>812</v>
      </c>
      <c r="F235" s="2" t="s">
        <v>170</v>
      </c>
      <c r="G235" s="6" t="s">
        <v>154</v>
      </c>
      <c r="H235" s="2" t="s">
        <v>194</v>
      </c>
      <c r="I235" s="2" t="s">
        <v>195</v>
      </c>
      <c r="J235" s="2" t="s">
        <v>19</v>
      </c>
      <c r="K235" s="2" t="s">
        <v>160</v>
      </c>
      <c r="L235" s="7" t="str">
        <f>HYPERLINK("http://slimages.macys.com/is/image/MCY/11804348 ")</f>
        <v xml:space="preserve">http://slimages.macys.com/is/image/MCY/11804348 </v>
      </c>
    </row>
    <row r="236" spans="1:12" ht="24.75" x14ac:dyDescent="0.25">
      <c r="A236" s="4" t="s">
        <v>4697</v>
      </c>
      <c r="B236" s="2" t="s">
        <v>811</v>
      </c>
      <c r="C236" s="3">
        <v>3</v>
      </c>
      <c r="D236" s="5">
        <v>37.130000000000003</v>
      </c>
      <c r="E236" s="3" t="s">
        <v>812</v>
      </c>
      <c r="F236" s="2" t="s">
        <v>170</v>
      </c>
      <c r="G236" s="6" t="s">
        <v>234</v>
      </c>
      <c r="H236" s="2" t="s">
        <v>194</v>
      </c>
      <c r="I236" s="2" t="s">
        <v>195</v>
      </c>
      <c r="J236" s="2" t="s">
        <v>19</v>
      </c>
      <c r="K236" s="2" t="s">
        <v>160</v>
      </c>
      <c r="L236" s="7" t="str">
        <f>HYPERLINK("http://slimages.macys.com/is/image/MCY/11804348 ")</f>
        <v xml:space="preserve">http://slimages.macys.com/is/image/MCY/11804348 </v>
      </c>
    </row>
    <row r="237" spans="1:12" ht="24.75" x14ac:dyDescent="0.25">
      <c r="A237" s="4" t="s">
        <v>2432</v>
      </c>
      <c r="B237" s="2" t="s">
        <v>818</v>
      </c>
      <c r="C237" s="3">
        <v>2</v>
      </c>
      <c r="D237" s="5">
        <v>36.5</v>
      </c>
      <c r="E237" s="3" t="s">
        <v>819</v>
      </c>
      <c r="F237" s="2" t="s">
        <v>820</v>
      </c>
      <c r="G237" s="6" t="s">
        <v>181</v>
      </c>
      <c r="H237" s="2" t="s">
        <v>194</v>
      </c>
      <c r="I237" s="2" t="s">
        <v>195</v>
      </c>
      <c r="J237" s="2" t="s">
        <v>19</v>
      </c>
      <c r="K237" s="2" t="s">
        <v>201</v>
      </c>
      <c r="L237" s="7" t="str">
        <f>HYPERLINK("http://slimages.macys.com/is/image/MCY/11935616 ")</f>
        <v xml:space="preserve">http://slimages.macys.com/is/image/MCY/11935616 </v>
      </c>
    </row>
    <row r="238" spans="1:12" ht="24.75" x14ac:dyDescent="0.25">
      <c r="A238" s="4" t="s">
        <v>817</v>
      </c>
      <c r="B238" s="2" t="s">
        <v>818</v>
      </c>
      <c r="C238" s="3">
        <v>1</v>
      </c>
      <c r="D238" s="5">
        <v>36.5</v>
      </c>
      <c r="E238" s="3" t="s">
        <v>819</v>
      </c>
      <c r="F238" s="2" t="s">
        <v>820</v>
      </c>
      <c r="G238" s="6" t="s">
        <v>234</v>
      </c>
      <c r="H238" s="2" t="s">
        <v>194</v>
      </c>
      <c r="I238" s="2" t="s">
        <v>195</v>
      </c>
      <c r="J238" s="2" t="s">
        <v>19</v>
      </c>
      <c r="K238" s="2" t="s">
        <v>201</v>
      </c>
      <c r="L238" s="7" t="str">
        <f>HYPERLINK("http://slimages.macys.com/is/image/MCY/11935616 ")</f>
        <v xml:space="preserve">http://slimages.macys.com/is/image/MCY/11935616 </v>
      </c>
    </row>
    <row r="239" spans="1:12" ht="24.75" x14ac:dyDescent="0.25">
      <c r="A239" s="4" t="s">
        <v>4698</v>
      </c>
      <c r="B239" s="2" t="s">
        <v>4699</v>
      </c>
      <c r="C239" s="3">
        <v>2</v>
      </c>
      <c r="D239" s="5">
        <v>37.130000000000003</v>
      </c>
      <c r="E239" s="3" t="s">
        <v>4700</v>
      </c>
      <c r="F239" s="2" t="s">
        <v>74</v>
      </c>
      <c r="G239" s="6" t="s">
        <v>154</v>
      </c>
      <c r="H239" s="2" t="s">
        <v>194</v>
      </c>
      <c r="I239" s="2" t="s">
        <v>195</v>
      </c>
      <c r="J239" s="2" t="s">
        <v>19</v>
      </c>
      <c r="K239" s="2" t="s">
        <v>160</v>
      </c>
      <c r="L239" s="7" t="str">
        <f>HYPERLINK("http://slimages.macys.com/is/image/MCY/12034921 ")</f>
        <v xml:space="preserve">http://slimages.macys.com/is/image/MCY/12034921 </v>
      </c>
    </row>
    <row r="240" spans="1:12" ht="24.75" x14ac:dyDescent="0.25">
      <c r="A240" s="4" t="s">
        <v>5616</v>
      </c>
      <c r="B240" s="2" t="s">
        <v>5617</v>
      </c>
      <c r="C240" s="3">
        <v>1</v>
      </c>
      <c r="D240" s="5">
        <v>37.130000000000003</v>
      </c>
      <c r="E240" s="3" t="s">
        <v>5618</v>
      </c>
      <c r="F240" s="2" t="s">
        <v>64</v>
      </c>
      <c r="G240" s="6" t="s">
        <v>200</v>
      </c>
      <c r="H240" s="2" t="s">
        <v>284</v>
      </c>
      <c r="I240" s="2" t="s">
        <v>285</v>
      </c>
      <c r="J240" s="2" t="s">
        <v>19</v>
      </c>
      <c r="K240" s="2" t="s">
        <v>160</v>
      </c>
      <c r="L240" s="7" t="str">
        <f>HYPERLINK("http://slimages.macys.com/is/image/MCY/12671643 ")</f>
        <v xml:space="preserve">http://slimages.macys.com/is/image/MCY/12671643 </v>
      </c>
    </row>
    <row r="241" spans="1:12" ht="24.75" x14ac:dyDescent="0.25">
      <c r="A241" s="4" t="s">
        <v>3592</v>
      </c>
      <c r="B241" s="2" t="s">
        <v>3593</v>
      </c>
      <c r="C241" s="3">
        <v>1</v>
      </c>
      <c r="D241" s="5">
        <v>36.5</v>
      </c>
      <c r="E241" s="3" t="s">
        <v>3594</v>
      </c>
      <c r="F241" s="2" t="s">
        <v>15</v>
      </c>
      <c r="G241" s="6" t="s">
        <v>154</v>
      </c>
      <c r="H241" s="2" t="s">
        <v>194</v>
      </c>
      <c r="I241" s="2" t="s">
        <v>195</v>
      </c>
      <c r="J241" s="2" t="s">
        <v>19</v>
      </c>
      <c r="K241" s="2" t="s">
        <v>3598</v>
      </c>
      <c r="L241" s="7" t="str">
        <f>HYPERLINK("http://slimages.macys.com/is/image/MCY/11764603 ")</f>
        <v xml:space="preserve">http://slimages.macys.com/is/image/MCY/11764603 </v>
      </c>
    </row>
    <row r="242" spans="1:12" ht="24.75" x14ac:dyDescent="0.25">
      <c r="A242" s="4" t="s">
        <v>4712</v>
      </c>
      <c r="B242" s="2" t="s">
        <v>2439</v>
      </c>
      <c r="C242" s="3">
        <v>1</v>
      </c>
      <c r="D242" s="5">
        <v>44.63</v>
      </c>
      <c r="E242" s="3" t="s">
        <v>2440</v>
      </c>
      <c r="F242" s="2" t="s">
        <v>956</v>
      </c>
      <c r="G242" s="6" t="s">
        <v>234</v>
      </c>
      <c r="H242" s="2" t="s">
        <v>194</v>
      </c>
      <c r="I242" s="2" t="s">
        <v>195</v>
      </c>
      <c r="J242" s="2" t="s">
        <v>19</v>
      </c>
      <c r="K242" s="2" t="s">
        <v>34</v>
      </c>
      <c r="L242" s="7" t="str">
        <f>HYPERLINK("http://slimages.macys.com/is/image/MCY/11527019 ")</f>
        <v xml:space="preserve">http://slimages.macys.com/is/image/MCY/11527019 </v>
      </c>
    </row>
    <row r="243" spans="1:12" ht="24.75" x14ac:dyDescent="0.25">
      <c r="A243" s="4" t="s">
        <v>5619</v>
      </c>
      <c r="B243" s="2" t="s">
        <v>827</v>
      </c>
      <c r="C243" s="3">
        <v>1</v>
      </c>
      <c r="D243" s="5">
        <v>37.130000000000003</v>
      </c>
      <c r="E243" s="3">
        <v>100009535</v>
      </c>
      <c r="F243" s="2" t="s">
        <v>376</v>
      </c>
      <c r="G243" s="6" t="s">
        <v>58</v>
      </c>
      <c r="H243" s="2" t="s">
        <v>194</v>
      </c>
      <c r="I243" s="2" t="s">
        <v>503</v>
      </c>
      <c r="J243" s="2" t="s">
        <v>19</v>
      </c>
      <c r="K243" s="2" t="s">
        <v>353</v>
      </c>
      <c r="L243" s="7" t="str">
        <f>HYPERLINK("http://slimages.macys.com/is/image/MCY/9340634 ")</f>
        <v xml:space="preserve">http://slimages.macys.com/is/image/MCY/9340634 </v>
      </c>
    </row>
    <row r="244" spans="1:12" ht="24.75" x14ac:dyDescent="0.25">
      <c r="A244" s="4" t="s">
        <v>5620</v>
      </c>
      <c r="B244" s="2" t="s">
        <v>827</v>
      </c>
      <c r="C244" s="3">
        <v>1</v>
      </c>
      <c r="D244" s="5">
        <v>37.130000000000003</v>
      </c>
      <c r="E244" s="3">
        <v>100009535</v>
      </c>
      <c r="F244" s="2" t="s">
        <v>64</v>
      </c>
      <c r="G244" s="6" t="s">
        <v>141</v>
      </c>
      <c r="H244" s="2" t="s">
        <v>194</v>
      </c>
      <c r="I244" s="2" t="s">
        <v>503</v>
      </c>
      <c r="J244" s="2" t="s">
        <v>19</v>
      </c>
      <c r="K244" s="2" t="s">
        <v>353</v>
      </c>
      <c r="L244" s="7" t="str">
        <f>HYPERLINK("http://slimages.macys.com/is/image/MCY/9340634 ")</f>
        <v xml:space="preserve">http://slimages.macys.com/is/image/MCY/9340634 </v>
      </c>
    </row>
    <row r="245" spans="1:12" ht="24.75" x14ac:dyDescent="0.25">
      <c r="A245" s="4" t="s">
        <v>4713</v>
      </c>
      <c r="B245" s="2" t="s">
        <v>827</v>
      </c>
      <c r="C245" s="3">
        <v>1</v>
      </c>
      <c r="D245" s="5">
        <v>37.130000000000003</v>
      </c>
      <c r="E245" s="3">
        <v>100009535</v>
      </c>
      <c r="F245" s="2" t="s">
        <v>566</v>
      </c>
      <c r="G245" s="6" t="s">
        <v>65</v>
      </c>
      <c r="H245" s="2" t="s">
        <v>194</v>
      </c>
      <c r="I245" s="2" t="s">
        <v>503</v>
      </c>
      <c r="J245" s="2" t="s">
        <v>19</v>
      </c>
      <c r="K245" s="2" t="s">
        <v>353</v>
      </c>
      <c r="L245" s="7" t="str">
        <f>HYPERLINK("http://slimages.macys.com/is/image/MCY/9340634 ")</f>
        <v xml:space="preserve">http://slimages.macys.com/is/image/MCY/9340634 </v>
      </c>
    </row>
    <row r="246" spans="1:12" ht="24.75" x14ac:dyDescent="0.25">
      <c r="A246" s="4" t="s">
        <v>5621</v>
      </c>
      <c r="B246" s="2" t="s">
        <v>827</v>
      </c>
      <c r="C246" s="3">
        <v>1</v>
      </c>
      <c r="D246" s="5">
        <v>37.130000000000003</v>
      </c>
      <c r="E246" s="3">
        <v>100009535</v>
      </c>
      <c r="F246" s="2" t="s">
        <v>26</v>
      </c>
      <c r="G246" s="6" t="s">
        <v>22</v>
      </c>
      <c r="H246" s="2" t="s">
        <v>194</v>
      </c>
      <c r="I246" s="2" t="s">
        <v>503</v>
      </c>
      <c r="J246" s="2" t="s">
        <v>19</v>
      </c>
      <c r="K246" s="2" t="s">
        <v>353</v>
      </c>
      <c r="L246" s="7" t="str">
        <f>HYPERLINK("http://slimages.macys.com/is/image/MCY/9450411 ")</f>
        <v xml:space="preserve">http://slimages.macys.com/is/image/MCY/9450411 </v>
      </c>
    </row>
    <row r="247" spans="1:12" ht="24.75" x14ac:dyDescent="0.25">
      <c r="A247" s="4" t="s">
        <v>5622</v>
      </c>
      <c r="B247" s="2" t="s">
        <v>827</v>
      </c>
      <c r="C247" s="3">
        <v>1</v>
      </c>
      <c r="D247" s="5">
        <v>37.130000000000003</v>
      </c>
      <c r="E247" s="3">
        <v>100009535</v>
      </c>
      <c r="F247" s="2" t="s">
        <v>170</v>
      </c>
      <c r="G247" s="6" t="s">
        <v>22</v>
      </c>
      <c r="H247" s="2" t="s">
        <v>194</v>
      </c>
      <c r="I247" s="2" t="s">
        <v>503</v>
      </c>
      <c r="J247" s="2" t="s">
        <v>19</v>
      </c>
      <c r="K247" s="2" t="s">
        <v>353</v>
      </c>
      <c r="L247" s="7" t="str">
        <f>HYPERLINK("http://slimages.macys.com/is/image/MCY/9450411 ")</f>
        <v xml:space="preserve">http://slimages.macys.com/is/image/MCY/9450411 </v>
      </c>
    </row>
    <row r="248" spans="1:12" ht="24.75" x14ac:dyDescent="0.25">
      <c r="A248" s="4" t="s">
        <v>5623</v>
      </c>
      <c r="B248" s="2" t="s">
        <v>827</v>
      </c>
      <c r="C248" s="3">
        <v>1</v>
      </c>
      <c r="D248" s="5">
        <v>37.130000000000003</v>
      </c>
      <c r="E248" s="3">
        <v>100009535</v>
      </c>
      <c r="F248" s="2" t="s">
        <v>376</v>
      </c>
      <c r="G248" s="6" t="s">
        <v>16</v>
      </c>
      <c r="H248" s="2" t="s">
        <v>194</v>
      </c>
      <c r="I248" s="2" t="s">
        <v>503</v>
      </c>
      <c r="J248" s="2" t="s">
        <v>19</v>
      </c>
      <c r="K248" s="2" t="s">
        <v>353</v>
      </c>
      <c r="L248" s="7" t="str">
        <f>HYPERLINK("http://slimages.macys.com/is/image/MCY/9340634 ")</f>
        <v xml:space="preserve">http://slimages.macys.com/is/image/MCY/9340634 </v>
      </c>
    </row>
    <row r="249" spans="1:12" ht="24.75" x14ac:dyDescent="0.25">
      <c r="A249" s="4" t="s">
        <v>5624</v>
      </c>
      <c r="B249" s="2" t="s">
        <v>827</v>
      </c>
      <c r="C249" s="3">
        <v>1</v>
      </c>
      <c r="D249" s="5">
        <v>37.130000000000003</v>
      </c>
      <c r="E249" s="3">
        <v>100009535</v>
      </c>
      <c r="F249" s="2" t="s">
        <v>15</v>
      </c>
      <c r="G249" s="6" t="s">
        <v>27</v>
      </c>
      <c r="H249" s="2" t="s">
        <v>194</v>
      </c>
      <c r="I249" s="2" t="s">
        <v>503</v>
      </c>
      <c r="J249" s="2" t="s">
        <v>19</v>
      </c>
      <c r="K249" s="2" t="s">
        <v>353</v>
      </c>
      <c r="L249" s="7" t="str">
        <f>HYPERLINK("http://slimages.macys.com/is/image/MCY/9340634 ")</f>
        <v xml:space="preserve">http://slimages.macys.com/is/image/MCY/9340634 </v>
      </c>
    </row>
    <row r="250" spans="1:12" ht="24.75" x14ac:dyDescent="0.25">
      <c r="A250" s="4" t="s">
        <v>2446</v>
      </c>
      <c r="B250" s="2" t="s">
        <v>2447</v>
      </c>
      <c r="C250" s="3">
        <v>1</v>
      </c>
      <c r="D250" s="5">
        <v>37.130000000000003</v>
      </c>
      <c r="E250" s="3">
        <v>100015637</v>
      </c>
      <c r="F250" s="2" t="s">
        <v>15</v>
      </c>
      <c r="G250" s="6" t="s">
        <v>245</v>
      </c>
      <c r="H250" s="2" t="s">
        <v>194</v>
      </c>
      <c r="I250" s="2" t="s">
        <v>195</v>
      </c>
      <c r="J250" s="2" t="s">
        <v>19</v>
      </c>
      <c r="K250" s="2" t="s">
        <v>247</v>
      </c>
      <c r="L250" s="7" t="str">
        <f>HYPERLINK("http://slimages.macys.com/is/image/MCY/9557664 ")</f>
        <v xml:space="preserve">http://slimages.macys.com/is/image/MCY/9557664 </v>
      </c>
    </row>
    <row r="251" spans="1:12" ht="24.75" x14ac:dyDescent="0.25">
      <c r="A251" s="4" t="s">
        <v>5625</v>
      </c>
      <c r="B251" s="2" t="s">
        <v>5626</v>
      </c>
      <c r="C251" s="3">
        <v>1</v>
      </c>
      <c r="D251" s="5">
        <v>40.880000000000003</v>
      </c>
      <c r="E251" s="3" t="s">
        <v>5627</v>
      </c>
      <c r="F251" s="2" t="s">
        <v>26</v>
      </c>
      <c r="G251" s="6" t="s">
        <v>16</v>
      </c>
      <c r="H251" s="2" t="s">
        <v>246</v>
      </c>
      <c r="I251" s="2" t="s">
        <v>189</v>
      </c>
      <c r="J251" s="2" t="s">
        <v>19</v>
      </c>
      <c r="K251" s="2" t="s">
        <v>839</v>
      </c>
      <c r="L251" s="7" t="str">
        <f>HYPERLINK("http://slimages.macys.com/is/image/MCY/12268105 ")</f>
        <v xml:space="preserve">http://slimages.macys.com/is/image/MCY/12268105 </v>
      </c>
    </row>
    <row r="252" spans="1:12" ht="24.75" x14ac:dyDescent="0.25">
      <c r="A252" s="4" t="s">
        <v>5628</v>
      </c>
      <c r="B252" s="2" t="s">
        <v>837</v>
      </c>
      <c r="C252" s="3">
        <v>1</v>
      </c>
      <c r="D252" s="5">
        <v>40.880000000000003</v>
      </c>
      <c r="E252" s="3" t="s">
        <v>838</v>
      </c>
      <c r="F252" s="2" t="s">
        <v>57</v>
      </c>
      <c r="G252" s="6" t="s">
        <v>336</v>
      </c>
      <c r="H252" s="2" t="s">
        <v>188</v>
      </c>
      <c r="I252" s="2" t="s">
        <v>189</v>
      </c>
      <c r="J252" s="2" t="s">
        <v>19</v>
      </c>
      <c r="K252" s="2" t="s">
        <v>839</v>
      </c>
      <c r="L252" s="7" t="str">
        <f>HYPERLINK("http://slimages.macys.com/is/image/MCY/11940229 ")</f>
        <v xml:space="preserve">http://slimages.macys.com/is/image/MCY/11940229 </v>
      </c>
    </row>
    <row r="253" spans="1:12" ht="48.75" x14ac:dyDescent="0.25">
      <c r="A253" s="4" t="s">
        <v>2454</v>
      </c>
      <c r="B253" s="2" t="s">
        <v>841</v>
      </c>
      <c r="C253" s="3">
        <v>1</v>
      </c>
      <c r="D253" s="5">
        <v>34.99</v>
      </c>
      <c r="E253" s="3" t="s">
        <v>842</v>
      </c>
      <c r="F253" s="2" t="s">
        <v>26</v>
      </c>
      <c r="G253" s="6" t="s">
        <v>499</v>
      </c>
      <c r="H253" s="2" t="s">
        <v>349</v>
      </c>
      <c r="I253" s="2" t="s">
        <v>408</v>
      </c>
      <c r="J253" s="2" t="s">
        <v>19</v>
      </c>
      <c r="K253" s="2" t="s">
        <v>787</v>
      </c>
      <c r="L253" s="7" t="str">
        <f>HYPERLINK("http://slimages.macys.com/is/image/MCY/3935281 ")</f>
        <v xml:space="preserve">http://slimages.macys.com/is/image/MCY/3935281 </v>
      </c>
    </row>
    <row r="254" spans="1:12" ht="24.75" x14ac:dyDescent="0.25">
      <c r="A254" s="4" t="s">
        <v>5629</v>
      </c>
      <c r="B254" s="2" t="s">
        <v>849</v>
      </c>
      <c r="C254" s="3">
        <v>1</v>
      </c>
      <c r="D254" s="5">
        <v>40.65</v>
      </c>
      <c r="E254" s="3" t="s">
        <v>850</v>
      </c>
      <c r="F254" s="2" t="s">
        <v>15</v>
      </c>
      <c r="G254" s="6" t="s">
        <v>200</v>
      </c>
      <c r="H254" s="2" t="s">
        <v>182</v>
      </c>
      <c r="I254" s="2" t="s">
        <v>183</v>
      </c>
      <c r="J254" s="2" t="s">
        <v>19</v>
      </c>
      <c r="K254" s="2" t="s">
        <v>851</v>
      </c>
      <c r="L254" s="7" t="str">
        <f>HYPERLINK("http://slimages.macys.com/is/image/MCY/12851655 ")</f>
        <v xml:space="preserve">http://slimages.macys.com/is/image/MCY/12851655 </v>
      </c>
    </row>
    <row r="255" spans="1:12" ht="24.75" x14ac:dyDescent="0.25">
      <c r="A255" s="4" t="s">
        <v>3603</v>
      </c>
      <c r="B255" s="2" t="s">
        <v>856</v>
      </c>
      <c r="C255" s="3">
        <v>2</v>
      </c>
      <c r="D255" s="5">
        <v>48</v>
      </c>
      <c r="E255" s="3">
        <v>100013497</v>
      </c>
      <c r="F255" s="2" t="s">
        <v>252</v>
      </c>
      <c r="G255" s="6" t="s">
        <v>27</v>
      </c>
      <c r="H255" s="2" t="s">
        <v>228</v>
      </c>
      <c r="I255" s="2" t="s">
        <v>857</v>
      </c>
      <c r="J255" s="2" t="s">
        <v>19</v>
      </c>
      <c r="K255" s="2" t="s">
        <v>387</v>
      </c>
      <c r="L255" s="7" t="str">
        <f>HYPERLINK("http://slimages.macys.com/is/image/MCY/9478981 ")</f>
        <v xml:space="preserve">http://slimages.macys.com/is/image/MCY/9478981 </v>
      </c>
    </row>
    <row r="256" spans="1:12" ht="24.75" x14ac:dyDescent="0.25">
      <c r="A256" s="4" t="s">
        <v>855</v>
      </c>
      <c r="B256" s="2" t="s">
        <v>856</v>
      </c>
      <c r="C256" s="3">
        <v>2</v>
      </c>
      <c r="D256" s="5">
        <v>48</v>
      </c>
      <c r="E256" s="3">
        <v>100013497</v>
      </c>
      <c r="F256" s="2" t="s">
        <v>252</v>
      </c>
      <c r="G256" s="6" t="s">
        <v>16</v>
      </c>
      <c r="H256" s="2" t="s">
        <v>228</v>
      </c>
      <c r="I256" s="2" t="s">
        <v>857</v>
      </c>
      <c r="J256" s="2" t="s">
        <v>19</v>
      </c>
      <c r="K256" s="2" t="s">
        <v>387</v>
      </c>
      <c r="L256" s="7" t="str">
        <f>HYPERLINK("http://slimages.macys.com/is/image/MCY/9478981 ")</f>
        <v xml:space="preserve">http://slimages.macys.com/is/image/MCY/9478981 </v>
      </c>
    </row>
    <row r="257" spans="1:12" ht="24.75" x14ac:dyDescent="0.25">
      <c r="A257" s="4" t="s">
        <v>2467</v>
      </c>
      <c r="B257" s="2" t="s">
        <v>818</v>
      </c>
      <c r="C257" s="3">
        <v>1</v>
      </c>
      <c r="D257" s="5">
        <v>36.5</v>
      </c>
      <c r="E257" s="3" t="s">
        <v>2465</v>
      </c>
      <c r="F257" s="2" t="s">
        <v>26</v>
      </c>
      <c r="G257" s="6" t="s">
        <v>234</v>
      </c>
      <c r="H257" s="2" t="s">
        <v>194</v>
      </c>
      <c r="I257" s="2" t="s">
        <v>195</v>
      </c>
      <c r="J257" s="2" t="s">
        <v>19</v>
      </c>
      <c r="K257" s="2" t="s">
        <v>247</v>
      </c>
      <c r="L257" s="7" t="str">
        <f>HYPERLINK("http://slimages.macys.com/is/image/MCY/11764566 ")</f>
        <v xml:space="preserve">http://slimages.macys.com/is/image/MCY/11764566 </v>
      </c>
    </row>
    <row r="258" spans="1:12" ht="24.75" x14ac:dyDescent="0.25">
      <c r="A258" s="4" t="s">
        <v>2464</v>
      </c>
      <c r="B258" s="2" t="s">
        <v>818</v>
      </c>
      <c r="C258" s="3">
        <v>1</v>
      </c>
      <c r="D258" s="5">
        <v>36.5</v>
      </c>
      <c r="E258" s="3" t="s">
        <v>2465</v>
      </c>
      <c r="F258" s="2" t="s">
        <v>26</v>
      </c>
      <c r="G258" s="6" t="s">
        <v>181</v>
      </c>
      <c r="H258" s="2" t="s">
        <v>194</v>
      </c>
      <c r="I258" s="2" t="s">
        <v>195</v>
      </c>
      <c r="J258" s="2" t="s">
        <v>19</v>
      </c>
      <c r="K258" s="2" t="s">
        <v>247</v>
      </c>
      <c r="L258" s="7" t="str">
        <f>HYPERLINK("http://slimages.macys.com/is/image/MCY/11764566 ")</f>
        <v xml:space="preserve">http://slimages.macys.com/is/image/MCY/11764566 </v>
      </c>
    </row>
    <row r="259" spans="1:12" ht="24.75" x14ac:dyDescent="0.25">
      <c r="A259" s="4" t="s">
        <v>3605</v>
      </c>
      <c r="B259" s="2" t="s">
        <v>818</v>
      </c>
      <c r="C259" s="3">
        <v>2</v>
      </c>
      <c r="D259" s="5">
        <v>36.5</v>
      </c>
      <c r="E259" s="3" t="s">
        <v>2465</v>
      </c>
      <c r="F259" s="2" t="s">
        <v>26</v>
      </c>
      <c r="G259" s="6" t="s">
        <v>154</v>
      </c>
      <c r="H259" s="2" t="s">
        <v>194</v>
      </c>
      <c r="I259" s="2" t="s">
        <v>195</v>
      </c>
      <c r="J259" s="2" t="s">
        <v>19</v>
      </c>
      <c r="K259" s="2" t="s">
        <v>247</v>
      </c>
      <c r="L259" s="7" t="str">
        <f>HYPERLINK("http://slimages.macys.com/is/image/MCY/11764566 ")</f>
        <v xml:space="preserve">http://slimages.macys.com/is/image/MCY/11764566 </v>
      </c>
    </row>
    <row r="260" spans="1:12" ht="24.75" x14ac:dyDescent="0.25">
      <c r="A260" s="4" t="s">
        <v>4719</v>
      </c>
      <c r="B260" s="2" t="s">
        <v>861</v>
      </c>
      <c r="C260" s="3">
        <v>1</v>
      </c>
      <c r="D260" s="5">
        <v>34.5</v>
      </c>
      <c r="E260" s="3" t="s">
        <v>862</v>
      </c>
      <c r="F260" s="2" t="s">
        <v>64</v>
      </c>
      <c r="G260" s="6" t="s">
        <v>27</v>
      </c>
      <c r="H260" s="2" t="s">
        <v>228</v>
      </c>
      <c r="I260" s="2" t="s">
        <v>863</v>
      </c>
      <c r="J260" s="2" t="s">
        <v>19</v>
      </c>
      <c r="K260" s="2" t="s">
        <v>253</v>
      </c>
      <c r="L260" s="7" t="str">
        <f>HYPERLINK("http://slimages.macys.com/is/image/MCY/3650197 ")</f>
        <v xml:space="preserve">http://slimages.macys.com/is/image/MCY/3650197 </v>
      </c>
    </row>
    <row r="261" spans="1:12" ht="24.75" x14ac:dyDescent="0.25">
      <c r="A261" s="4" t="s">
        <v>5630</v>
      </c>
      <c r="B261" s="2" t="s">
        <v>861</v>
      </c>
      <c r="C261" s="3">
        <v>1</v>
      </c>
      <c r="D261" s="5">
        <v>34.5</v>
      </c>
      <c r="E261" s="3" t="s">
        <v>862</v>
      </c>
      <c r="F261" s="2" t="s">
        <v>64</v>
      </c>
      <c r="G261" s="6" t="s">
        <v>16</v>
      </c>
      <c r="H261" s="2" t="s">
        <v>228</v>
      </c>
      <c r="I261" s="2" t="s">
        <v>863</v>
      </c>
      <c r="J261" s="2" t="s">
        <v>19</v>
      </c>
      <c r="K261" s="2" t="s">
        <v>253</v>
      </c>
      <c r="L261" s="7" t="str">
        <f>HYPERLINK("http://slimages.macys.com/is/image/MCY/3650197 ")</f>
        <v xml:space="preserve">http://slimages.macys.com/is/image/MCY/3650197 </v>
      </c>
    </row>
    <row r="262" spans="1:12" ht="36.75" x14ac:dyDescent="0.25">
      <c r="A262" s="4" t="s">
        <v>5631</v>
      </c>
      <c r="B262" s="2" t="s">
        <v>5632</v>
      </c>
      <c r="C262" s="3">
        <v>1</v>
      </c>
      <c r="D262" s="5">
        <v>37.130000000000003</v>
      </c>
      <c r="E262" s="3">
        <v>100022657</v>
      </c>
      <c r="F262" s="2" t="s">
        <v>74</v>
      </c>
      <c r="G262" s="6" t="s">
        <v>181</v>
      </c>
      <c r="H262" s="2" t="s">
        <v>284</v>
      </c>
      <c r="I262" s="2" t="s">
        <v>408</v>
      </c>
      <c r="J262" s="2" t="s">
        <v>19</v>
      </c>
      <c r="K262" s="2" t="s">
        <v>500</v>
      </c>
      <c r="L262" s="7" t="str">
        <f>HYPERLINK("http://slimages.macys.com/is/image/MCY/9449861 ")</f>
        <v xml:space="preserve">http://slimages.macys.com/is/image/MCY/9449861 </v>
      </c>
    </row>
    <row r="263" spans="1:12" ht="24.75" x14ac:dyDescent="0.25">
      <c r="A263" s="4" t="s">
        <v>2478</v>
      </c>
      <c r="B263" s="2" t="s">
        <v>2476</v>
      </c>
      <c r="C263" s="3">
        <v>1</v>
      </c>
      <c r="D263" s="5">
        <v>40.880000000000003</v>
      </c>
      <c r="E263" s="3" t="s">
        <v>2479</v>
      </c>
      <c r="F263" s="2" t="s">
        <v>1614</v>
      </c>
      <c r="G263" s="6" t="s">
        <v>154</v>
      </c>
      <c r="H263" s="2" t="s">
        <v>194</v>
      </c>
      <c r="I263" s="2" t="s">
        <v>195</v>
      </c>
      <c r="J263" s="2" t="s">
        <v>19</v>
      </c>
      <c r="K263" s="2" t="s">
        <v>34</v>
      </c>
      <c r="L263" s="7" t="str">
        <f>HYPERLINK("http://slimages.macys.com/is/image/MCY/11526932 ")</f>
        <v xml:space="preserve">http://slimages.macys.com/is/image/MCY/11526932 </v>
      </c>
    </row>
    <row r="264" spans="1:12" ht="24.75" x14ac:dyDescent="0.25">
      <c r="A264" s="4" t="s">
        <v>5633</v>
      </c>
      <c r="B264" s="2" t="s">
        <v>2476</v>
      </c>
      <c r="C264" s="3">
        <v>1</v>
      </c>
      <c r="D264" s="5">
        <v>39.5</v>
      </c>
      <c r="E264" s="3" t="s">
        <v>5634</v>
      </c>
      <c r="F264" s="2" t="s">
        <v>33</v>
      </c>
      <c r="G264" s="6" t="s">
        <v>154</v>
      </c>
      <c r="H264" s="2" t="s">
        <v>194</v>
      </c>
      <c r="I264" s="2" t="s">
        <v>195</v>
      </c>
      <c r="J264" s="2" t="s">
        <v>19</v>
      </c>
      <c r="K264" s="2" t="s">
        <v>34</v>
      </c>
      <c r="L264" s="7" t="str">
        <f>HYPERLINK("http://slimages.macys.com/is/image/MCY/12279885 ")</f>
        <v xml:space="preserve">http://slimages.macys.com/is/image/MCY/12279885 </v>
      </c>
    </row>
    <row r="265" spans="1:12" ht="24.75" x14ac:dyDescent="0.25">
      <c r="A265" s="4" t="s">
        <v>3614</v>
      </c>
      <c r="B265" s="2" t="s">
        <v>2476</v>
      </c>
      <c r="C265" s="3">
        <v>1</v>
      </c>
      <c r="D265" s="5">
        <v>40.880000000000003</v>
      </c>
      <c r="E265" s="3" t="s">
        <v>2479</v>
      </c>
      <c r="F265" s="2" t="s">
        <v>1614</v>
      </c>
      <c r="G265" s="6" t="s">
        <v>234</v>
      </c>
      <c r="H265" s="2" t="s">
        <v>194</v>
      </c>
      <c r="I265" s="2" t="s">
        <v>195</v>
      </c>
      <c r="J265" s="2" t="s">
        <v>19</v>
      </c>
      <c r="K265" s="2" t="s">
        <v>34</v>
      </c>
      <c r="L265" s="7" t="str">
        <f>HYPERLINK("http://slimages.macys.com/is/image/MCY/11526932 ")</f>
        <v xml:space="preserve">http://slimages.macys.com/is/image/MCY/11526932 </v>
      </c>
    </row>
    <row r="266" spans="1:12" ht="24.75" x14ac:dyDescent="0.25">
      <c r="A266" s="4" t="s">
        <v>5635</v>
      </c>
      <c r="B266" s="2" t="s">
        <v>2476</v>
      </c>
      <c r="C266" s="3">
        <v>1</v>
      </c>
      <c r="D266" s="5">
        <v>40.880000000000003</v>
      </c>
      <c r="E266" s="3" t="s">
        <v>2477</v>
      </c>
      <c r="F266" s="2" t="s">
        <v>752</v>
      </c>
      <c r="G266" s="6" t="s">
        <v>234</v>
      </c>
      <c r="H266" s="2" t="s">
        <v>194</v>
      </c>
      <c r="I266" s="2" t="s">
        <v>195</v>
      </c>
      <c r="J266" s="2" t="s">
        <v>19</v>
      </c>
      <c r="K266" s="2" t="s">
        <v>34</v>
      </c>
      <c r="L266" s="7" t="str">
        <f>HYPERLINK("http://slimages.macys.com/is/image/MCY/12279885 ")</f>
        <v xml:space="preserve">http://slimages.macys.com/is/image/MCY/12279885 </v>
      </c>
    </row>
    <row r="267" spans="1:12" ht="24.75" x14ac:dyDescent="0.25">
      <c r="A267" s="4" t="s">
        <v>2481</v>
      </c>
      <c r="B267" s="2" t="s">
        <v>876</v>
      </c>
      <c r="C267" s="3">
        <v>1</v>
      </c>
      <c r="D267" s="5">
        <v>34.5</v>
      </c>
      <c r="E267" s="3" t="s">
        <v>877</v>
      </c>
      <c r="F267" s="2" t="s">
        <v>878</v>
      </c>
      <c r="G267" s="6" t="s">
        <v>934</v>
      </c>
      <c r="H267" s="2" t="s">
        <v>426</v>
      </c>
      <c r="I267" s="2" t="s">
        <v>229</v>
      </c>
      <c r="J267" s="2" t="s">
        <v>19</v>
      </c>
      <c r="K267" s="2" t="s">
        <v>253</v>
      </c>
      <c r="L267" s="7" t="str">
        <f>HYPERLINK("http://slimages.macys.com/is/image/MCY/1290325 ")</f>
        <v xml:space="preserve">http://slimages.macys.com/is/image/MCY/1290325 </v>
      </c>
    </row>
    <row r="268" spans="1:12" ht="24.75" x14ac:dyDescent="0.25">
      <c r="A268" s="4" t="s">
        <v>5636</v>
      </c>
      <c r="B268" s="2" t="s">
        <v>880</v>
      </c>
      <c r="C268" s="3">
        <v>1</v>
      </c>
      <c r="D268" s="5">
        <v>34.5</v>
      </c>
      <c r="E268" s="3" t="s">
        <v>881</v>
      </c>
      <c r="F268" s="2" t="s">
        <v>111</v>
      </c>
      <c r="G268" s="6" t="s">
        <v>65</v>
      </c>
      <c r="H268" s="2" t="s">
        <v>228</v>
      </c>
      <c r="I268" s="2" t="s">
        <v>229</v>
      </c>
      <c r="J268" s="2" t="s">
        <v>19</v>
      </c>
      <c r="K268" s="2" t="s">
        <v>253</v>
      </c>
      <c r="L268" s="7" t="str">
        <f>HYPERLINK("http://slimages.macys.com/is/image/MCY/9867135 ")</f>
        <v xml:space="preserve">http://slimages.macys.com/is/image/MCY/9867135 </v>
      </c>
    </row>
    <row r="269" spans="1:12" ht="24.75" x14ac:dyDescent="0.25">
      <c r="A269" s="4" t="s">
        <v>879</v>
      </c>
      <c r="B269" s="2" t="s">
        <v>880</v>
      </c>
      <c r="C269" s="3">
        <v>1</v>
      </c>
      <c r="D269" s="5">
        <v>34.5</v>
      </c>
      <c r="E269" s="3" t="s">
        <v>881</v>
      </c>
      <c r="F269" s="2" t="s">
        <v>111</v>
      </c>
      <c r="G269" s="6" t="s">
        <v>27</v>
      </c>
      <c r="H269" s="2" t="s">
        <v>228</v>
      </c>
      <c r="I269" s="2" t="s">
        <v>229</v>
      </c>
      <c r="J269" s="2" t="s">
        <v>19</v>
      </c>
      <c r="K269" s="2" t="s">
        <v>253</v>
      </c>
      <c r="L269" s="7" t="str">
        <f>HYPERLINK("http://slimages.macys.com/is/image/MCY/9867135 ")</f>
        <v xml:space="preserve">http://slimages.macys.com/is/image/MCY/9867135 </v>
      </c>
    </row>
    <row r="270" spans="1:12" ht="24.75" x14ac:dyDescent="0.25">
      <c r="A270" s="4" t="s">
        <v>5637</v>
      </c>
      <c r="B270" s="2" t="s">
        <v>5638</v>
      </c>
      <c r="C270" s="3">
        <v>1</v>
      </c>
      <c r="D270" s="5">
        <v>44.63</v>
      </c>
      <c r="E270" s="3" t="s">
        <v>5639</v>
      </c>
      <c r="F270" s="2" t="s">
        <v>33</v>
      </c>
      <c r="G270" s="6" t="s">
        <v>234</v>
      </c>
      <c r="H270" s="2" t="s">
        <v>194</v>
      </c>
      <c r="I270" s="2" t="s">
        <v>195</v>
      </c>
      <c r="J270" s="2" t="s">
        <v>19</v>
      </c>
      <c r="K270" s="2" t="s">
        <v>160</v>
      </c>
      <c r="L270" s="7" t="str">
        <f>HYPERLINK("http://slimages.macys.com/is/image/MCY/12739319 ")</f>
        <v xml:space="preserve">http://slimages.macys.com/is/image/MCY/12739319 </v>
      </c>
    </row>
    <row r="271" spans="1:12" ht="24.75" x14ac:dyDescent="0.25">
      <c r="A271" s="4" t="s">
        <v>5640</v>
      </c>
      <c r="B271" s="2" t="s">
        <v>2483</v>
      </c>
      <c r="C271" s="3">
        <v>2</v>
      </c>
      <c r="D271" s="5">
        <v>34.880000000000003</v>
      </c>
      <c r="E271" s="3">
        <v>100058189</v>
      </c>
      <c r="F271" s="2" t="s">
        <v>15</v>
      </c>
      <c r="G271" s="6" t="s">
        <v>22</v>
      </c>
      <c r="H271" s="2" t="s">
        <v>194</v>
      </c>
      <c r="I271" s="2" t="s">
        <v>195</v>
      </c>
      <c r="J271" s="2" t="s">
        <v>19</v>
      </c>
      <c r="K271" s="2" t="s">
        <v>648</v>
      </c>
      <c r="L271" s="7" t="str">
        <f>HYPERLINK("http://slimages.macys.com/is/image/MCY/12802459 ")</f>
        <v xml:space="preserve">http://slimages.macys.com/is/image/MCY/12802459 </v>
      </c>
    </row>
    <row r="272" spans="1:12" ht="24.75" x14ac:dyDescent="0.25">
      <c r="A272" s="4" t="s">
        <v>2482</v>
      </c>
      <c r="B272" s="2" t="s">
        <v>2483</v>
      </c>
      <c r="C272" s="3">
        <v>1</v>
      </c>
      <c r="D272" s="5">
        <v>34.880000000000003</v>
      </c>
      <c r="E272" s="3">
        <v>100058189</v>
      </c>
      <c r="F272" s="2" t="s">
        <v>15</v>
      </c>
      <c r="G272" s="6" t="s">
        <v>27</v>
      </c>
      <c r="H272" s="2" t="s">
        <v>194</v>
      </c>
      <c r="I272" s="2" t="s">
        <v>195</v>
      </c>
      <c r="J272" s="2" t="s">
        <v>19</v>
      </c>
      <c r="K272" s="2" t="s">
        <v>648</v>
      </c>
      <c r="L272" s="7" t="str">
        <f>HYPERLINK("http://slimages.macys.com/is/image/MCY/12802459 ")</f>
        <v xml:space="preserve">http://slimages.macys.com/is/image/MCY/12802459 </v>
      </c>
    </row>
    <row r="273" spans="1:12" ht="24.75" x14ac:dyDescent="0.25">
      <c r="A273" s="4" t="s">
        <v>885</v>
      </c>
      <c r="B273" s="2" t="s">
        <v>886</v>
      </c>
      <c r="C273" s="3">
        <v>1</v>
      </c>
      <c r="D273" s="5">
        <v>37.130000000000003</v>
      </c>
      <c r="E273" s="3">
        <v>100016232</v>
      </c>
      <c r="F273" s="2" t="s">
        <v>887</v>
      </c>
      <c r="G273" s="6" t="s">
        <v>181</v>
      </c>
      <c r="H273" s="2" t="s">
        <v>194</v>
      </c>
      <c r="I273" s="2" t="s">
        <v>195</v>
      </c>
      <c r="J273" s="2" t="s">
        <v>19</v>
      </c>
      <c r="K273" s="2" t="s">
        <v>201</v>
      </c>
      <c r="L273" s="7" t="str">
        <f>HYPERLINK("http://slimages.macys.com/is/image/MCY/9551936 ")</f>
        <v xml:space="preserve">http://slimages.macys.com/is/image/MCY/9551936 </v>
      </c>
    </row>
    <row r="274" spans="1:12" ht="24.75" x14ac:dyDescent="0.25">
      <c r="A274" s="4" t="s">
        <v>5641</v>
      </c>
      <c r="B274" s="2" t="s">
        <v>890</v>
      </c>
      <c r="C274" s="3">
        <v>2</v>
      </c>
      <c r="D274" s="5">
        <v>34.5</v>
      </c>
      <c r="E274" s="3" t="s">
        <v>891</v>
      </c>
      <c r="F274" s="2" t="s">
        <v>64</v>
      </c>
      <c r="G274" s="6" t="s">
        <v>27</v>
      </c>
      <c r="H274" s="2" t="s">
        <v>228</v>
      </c>
      <c r="I274" s="2" t="s">
        <v>229</v>
      </c>
      <c r="J274" s="2" t="s">
        <v>19</v>
      </c>
      <c r="K274" s="2" t="s">
        <v>253</v>
      </c>
      <c r="L274" s="7" t="str">
        <f>HYPERLINK("http://slimages.macys.com/is/image/MCY/3623510 ")</f>
        <v xml:space="preserve">http://slimages.macys.com/is/image/MCY/3623510 </v>
      </c>
    </row>
    <row r="275" spans="1:12" ht="24.75" x14ac:dyDescent="0.25">
      <c r="A275" s="4" t="s">
        <v>5642</v>
      </c>
      <c r="B275" s="2" t="s">
        <v>898</v>
      </c>
      <c r="C275" s="3">
        <v>1</v>
      </c>
      <c r="D275" s="5">
        <v>37.130000000000003</v>
      </c>
      <c r="E275" s="3">
        <v>100009193</v>
      </c>
      <c r="F275" s="2" t="s">
        <v>170</v>
      </c>
      <c r="G275" s="6" t="s">
        <v>112</v>
      </c>
      <c r="H275" s="2" t="s">
        <v>194</v>
      </c>
      <c r="I275" s="2" t="s">
        <v>503</v>
      </c>
      <c r="J275" s="2" t="s">
        <v>19</v>
      </c>
      <c r="K275" s="2" t="s">
        <v>353</v>
      </c>
      <c r="L275" s="7" t="str">
        <f>HYPERLINK("http://slimages.macys.com/is/image/MCY/11804644 ")</f>
        <v xml:space="preserve">http://slimages.macys.com/is/image/MCY/11804644 </v>
      </c>
    </row>
    <row r="276" spans="1:12" ht="24.75" x14ac:dyDescent="0.25">
      <c r="A276" s="4" t="s">
        <v>2489</v>
      </c>
      <c r="B276" s="2" t="s">
        <v>898</v>
      </c>
      <c r="C276" s="3">
        <v>1</v>
      </c>
      <c r="D276" s="5">
        <v>37.130000000000003</v>
      </c>
      <c r="E276" s="3">
        <v>100009193</v>
      </c>
      <c r="F276" s="2" t="s">
        <v>376</v>
      </c>
      <c r="G276" s="6" t="s">
        <v>22</v>
      </c>
      <c r="H276" s="2" t="s">
        <v>194</v>
      </c>
      <c r="I276" s="2" t="s">
        <v>503</v>
      </c>
      <c r="J276" s="2" t="s">
        <v>19</v>
      </c>
      <c r="K276" s="2" t="s">
        <v>353</v>
      </c>
      <c r="L276" s="7" t="str">
        <f>HYPERLINK("http://slimages.macys.com/is/image/MCY/11804644 ")</f>
        <v xml:space="preserve">http://slimages.macys.com/is/image/MCY/11804644 </v>
      </c>
    </row>
    <row r="277" spans="1:12" ht="24.75" x14ac:dyDescent="0.25">
      <c r="A277" s="4" t="s">
        <v>5643</v>
      </c>
      <c r="B277" s="2" t="s">
        <v>898</v>
      </c>
      <c r="C277" s="3">
        <v>1</v>
      </c>
      <c r="D277" s="5">
        <v>37.130000000000003</v>
      </c>
      <c r="E277" s="3">
        <v>100009193</v>
      </c>
      <c r="F277" s="2" t="s">
        <v>376</v>
      </c>
      <c r="G277" s="6" t="s">
        <v>27</v>
      </c>
      <c r="H277" s="2" t="s">
        <v>194</v>
      </c>
      <c r="I277" s="2" t="s">
        <v>503</v>
      </c>
      <c r="J277" s="2" t="s">
        <v>19</v>
      </c>
      <c r="K277" s="2" t="s">
        <v>353</v>
      </c>
      <c r="L277" s="7" t="str">
        <f>HYPERLINK("http://slimages.macys.com/is/image/MCY/11804644 ")</f>
        <v xml:space="preserve">http://slimages.macys.com/is/image/MCY/11804644 </v>
      </c>
    </row>
    <row r="278" spans="1:12" ht="24.75" x14ac:dyDescent="0.25">
      <c r="A278" s="4" t="s">
        <v>5644</v>
      </c>
      <c r="B278" s="2" t="s">
        <v>5645</v>
      </c>
      <c r="C278" s="3">
        <v>1</v>
      </c>
      <c r="D278" s="5">
        <v>37.130000000000003</v>
      </c>
      <c r="E278" s="3">
        <v>100031102</v>
      </c>
      <c r="F278" s="2" t="s">
        <v>85</v>
      </c>
      <c r="G278" s="6" t="s">
        <v>234</v>
      </c>
      <c r="H278" s="2" t="s">
        <v>194</v>
      </c>
      <c r="I278" s="2" t="s">
        <v>195</v>
      </c>
      <c r="J278" s="2" t="s">
        <v>19</v>
      </c>
      <c r="K278" s="2" t="s">
        <v>648</v>
      </c>
      <c r="L278" s="7" t="str">
        <f>HYPERLINK("http://slimages.macys.com/is/image/MCY/10190868 ")</f>
        <v xml:space="preserve">http://slimages.macys.com/is/image/MCY/10190868 </v>
      </c>
    </row>
    <row r="279" spans="1:12" ht="24.75" x14ac:dyDescent="0.25">
      <c r="A279" s="4" t="s">
        <v>899</v>
      </c>
      <c r="B279" s="2" t="s">
        <v>898</v>
      </c>
      <c r="C279" s="3">
        <v>2</v>
      </c>
      <c r="D279" s="5">
        <v>37.130000000000003</v>
      </c>
      <c r="E279" s="3">
        <v>100009193</v>
      </c>
      <c r="F279" s="2" t="s">
        <v>170</v>
      </c>
      <c r="G279" s="6" t="s">
        <v>16</v>
      </c>
      <c r="H279" s="2" t="s">
        <v>194</v>
      </c>
      <c r="I279" s="2" t="s">
        <v>503</v>
      </c>
      <c r="J279" s="2" t="s">
        <v>19</v>
      </c>
      <c r="K279" s="2" t="s">
        <v>353</v>
      </c>
      <c r="L279" s="7" t="str">
        <f>HYPERLINK("http://slimages.macys.com/is/image/MCY/11804644 ")</f>
        <v xml:space="preserve">http://slimages.macys.com/is/image/MCY/11804644 </v>
      </c>
    </row>
    <row r="280" spans="1:12" ht="24.75" x14ac:dyDescent="0.25">
      <c r="A280" s="4" t="s">
        <v>5646</v>
      </c>
      <c r="B280" s="2" t="s">
        <v>898</v>
      </c>
      <c r="C280" s="3">
        <v>1</v>
      </c>
      <c r="D280" s="5">
        <v>37.130000000000003</v>
      </c>
      <c r="E280" s="3">
        <v>100009193</v>
      </c>
      <c r="F280" s="2" t="s">
        <v>376</v>
      </c>
      <c r="G280" s="6" t="s">
        <v>58</v>
      </c>
      <c r="H280" s="2" t="s">
        <v>194</v>
      </c>
      <c r="I280" s="2" t="s">
        <v>503</v>
      </c>
      <c r="J280" s="2" t="s">
        <v>19</v>
      </c>
      <c r="K280" s="2" t="s">
        <v>353</v>
      </c>
      <c r="L280" s="7" t="str">
        <f>HYPERLINK("http://slimages.macys.com/is/image/MCY/11804644 ")</f>
        <v xml:space="preserve">http://slimages.macys.com/is/image/MCY/11804644 </v>
      </c>
    </row>
    <row r="281" spans="1:12" ht="24.75" x14ac:dyDescent="0.25">
      <c r="A281" s="4" t="s">
        <v>4729</v>
      </c>
      <c r="B281" s="2" t="s">
        <v>898</v>
      </c>
      <c r="C281" s="3">
        <v>2</v>
      </c>
      <c r="D281" s="5">
        <v>37.130000000000003</v>
      </c>
      <c r="E281" s="3">
        <v>100009193</v>
      </c>
      <c r="F281" s="2" t="s">
        <v>170</v>
      </c>
      <c r="G281" s="6" t="s">
        <v>22</v>
      </c>
      <c r="H281" s="2" t="s">
        <v>194</v>
      </c>
      <c r="I281" s="2" t="s">
        <v>503</v>
      </c>
      <c r="J281" s="2" t="s">
        <v>19</v>
      </c>
      <c r="K281" s="2" t="s">
        <v>353</v>
      </c>
      <c r="L281" s="7" t="str">
        <f>HYPERLINK("http://slimages.macys.com/is/image/MCY/11804644 ")</f>
        <v xml:space="preserve">http://slimages.macys.com/is/image/MCY/11804644 </v>
      </c>
    </row>
    <row r="282" spans="1:12" ht="24.75" x14ac:dyDescent="0.25">
      <c r="A282" s="4" t="s">
        <v>4730</v>
      </c>
      <c r="B282" s="2" t="s">
        <v>904</v>
      </c>
      <c r="C282" s="3">
        <v>2</v>
      </c>
      <c r="D282" s="5">
        <v>34.5</v>
      </c>
      <c r="E282" s="3" t="s">
        <v>905</v>
      </c>
      <c r="F282" s="2" t="s">
        <v>74</v>
      </c>
      <c r="G282" s="6" t="s">
        <v>245</v>
      </c>
      <c r="H282" s="2" t="s">
        <v>228</v>
      </c>
      <c r="I282" s="2" t="s">
        <v>229</v>
      </c>
      <c r="J282" s="2" t="s">
        <v>19</v>
      </c>
      <c r="K282" s="2" t="s">
        <v>253</v>
      </c>
      <c r="L282" s="7" t="str">
        <f>HYPERLINK("http://slimages.macys.com/is/image/MCY/12794164 ")</f>
        <v xml:space="preserve">http://slimages.macys.com/is/image/MCY/12794164 </v>
      </c>
    </row>
    <row r="283" spans="1:12" ht="24.75" x14ac:dyDescent="0.25">
      <c r="A283" s="4" t="s">
        <v>5647</v>
      </c>
      <c r="B283" s="2" t="s">
        <v>904</v>
      </c>
      <c r="C283" s="3">
        <v>1</v>
      </c>
      <c r="D283" s="5">
        <v>34.5</v>
      </c>
      <c r="E283" s="3" t="s">
        <v>907</v>
      </c>
      <c r="F283" s="2" t="s">
        <v>26</v>
      </c>
      <c r="G283" s="6" t="s">
        <v>234</v>
      </c>
      <c r="H283" s="2" t="s">
        <v>228</v>
      </c>
      <c r="I283" s="2" t="s">
        <v>229</v>
      </c>
      <c r="J283" s="2" t="s">
        <v>19</v>
      </c>
      <c r="K283" s="2" t="s">
        <v>253</v>
      </c>
      <c r="L283" s="7" t="str">
        <f>HYPERLINK("http://slimages.macys.com/is/image/MCY/12794164 ")</f>
        <v xml:space="preserve">http://slimages.macys.com/is/image/MCY/12794164 </v>
      </c>
    </row>
    <row r="284" spans="1:12" ht="24.75" x14ac:dyDescent="0.25">
      <c r="A284" s="4" t="s">
        <v>5648</v>
      </c>
      <c r="B284" s="2" t="s">
        <v>909</v>
      </c>
      <c r="C284" s="3">
        <v>1</v>
      </c>
      <c r="D284" s="5">
        <v>40.880000000000003</v>
      </c>
      <c r="E284" s="3" t="s">
        <v>910</v>
      </c>
      <c r="F284" s="2" t="s">
        <v>1584</v>
      </c>
      <c r="G284" s="6" t="s">
        <v>58</v>
      </c>
      <c r="H284" s="2" t="s">
        <v>246</v>
      </c>
      <c r="I284" s="2" t="s">
        <v>189</v>
      </c>
      <c r="J284" s="2" t="s">
        <v>19</v>
      </c>
      <c r="K284" s="2" t="s">
        <v>648</v>
      </c>
      <c r="L284" s="7" t="str">
        <f>HYPERLINK("http://slimages.macys.com/is/image/MCY/11940216 ")</f>
        <v xml:space="preserve">http://slimages.macys.com/is/image/MCY/11940216 </v>
      </c>
    </row>
    <row r="285" spans="1:12" ht="24.75" x14ac:dyDescent="0.25">
      <c r="A285" s="4" t="s">
        <v>2494</v>
      </c>
      <c r="B285" s="2" t="s">
        <v>453</v>
      </c>
      <c r="C285" s="3">
        <v>2</v>
      </c>
      <c r="D285" s="5">
        <v>37.130000000000003</v>
      </c>
      <c r="E285" s="3" t="s">
        <v>721</v>
      </c>
      <c r="F285" s="2" t="s">
        <v>74</v>
      </c>
      <c r="G285" s="6" t="s">
        <v>154</v>
      </c>
      <c r="H285" s="2" t="s">
        <v>284</v>
      </c>
      <c r="I285" s="2" t="s">
        <v>285</v>
      </c>
      <c r="J285" s="2" t="s">
        <v>19</v>
      </c>
      <c r="K285" s="2" t="s">
        <v>323</v>
      </c>
      <c r="L285" s="7" t="str">
        <f>HYPERLINK("http://slimages.macys.com/is/image/MCY/9678668 ")</f>
        <v xml:space="preserve">http://slimages.macys.com/is/image/MCY/9678668 </v>
      </c>
    </row>
    <row r="286" spans="1:12" ht="24.75" x14ac:dyDescent="0.25">
      <c r="A286" s="4" t="s">
        <v>5649</v>
      </c>
      <c r="B286" s="2" t="s">
        <v>453</v>
      </c>
      <c r="C286" s="3">
        <v>1</v>
      </c>
      <c r="D286" s="5">
        <v>37.130000000000003</v>
      </c>
      <c r="E286" s="3" t="s">
        <v>721</v>
      </c>
      <c r="F286" s="2" t="s">
        <v>74</v>
      </c>
      <c r="G286" s="6" t="s">
        <v>200</v>
      </c>
      <c r="H286" s="2" t="s">
        <v>284</v>
      </c>
      <c r="I286" s="2" t="s">
        <v>285</v>
      </c>
      <c r="J286" s="2" t="s">
        <v>19</v>
      </c>
      <c r="K286" s="2" t="s">
        <v>323</v>
      </c>
      <c r="L286" s="7" t="str">
        <f>HYPERLINK("http://slimages.macys.com/is/image/MCY/9678668 ")</f>
        <v xml:space="preserve">http://slimages.macys.com/is/image/MCY/9678668 </v>
      </c>
    </row>
    <row r="287" spans="1:12" ht="24.75" x14ac:dyDescent="0.25">
      <c r="A287" s="4" t="s">
        <v>5650</v>
      </c>
      <c r="B287" s="2" t="s">
        <v>453</v>
      </c>
      <c r="C287" s="3">
        <v>1</v>
      </c>
      <c r="D287" s="5">
        <v>37.130000000000003</v>
      </c>
      <c r="E287" s="3" t="s">
        <v>721</v>
      </c>
      <c r="F287" s="2" t="s">
        <v>74</v>
      </c>
      <c r="G287" s="6" t="s">
        <v>181</v>
      </c>
      <c r="H287" s="2" t="s">
        <v>284</v>
      </c>
      <c r="I287" s="2" t="s">
        <v>285</v>
      </c>
      <c r="J287" s="2" t="s">
        <v>19</v>
      </c>
      <c r="K287" s="2" t="s">
        <v>323</v>
      </c>
      <c r="L287" s="7" t="str">
        <f>HYPERLINK("http://slimages.macys.com/is/image/MCY/9678668 ")</f>
        <v xml:space="preserve">http://slimages.macys.com/is/image/MCY/9678668 </v>
      </c>
    </row>
    <row r="288" spans="1:12" ht="24.75" x14ac:dyDescent="0.25">
      <c r="A288" s="4" t="s">
        <v>5651</v>
      </c>
      <c r="B288" s="2" t="s">
        <v>453</v>
      </c>
      <c r="C288" s="3">
        <v>1</v>
      </c>
      <c r="D288" s="5">
        <v>37.130000000000003</v>
      </c>
      <c r="E288" s="3" t="s">
        <v>721</v>
      </c>
      <c r="F288" s="2" t="s">
        <v>74</v>
      </c>
      <c r="G288" s="6" t="s">
        <v>234</v>
      </c>
      <c r="H288" s="2" t="s">
        <v>284</v>
      </c>
      <c r="I288" s="2" t="s">
        <v>285</v>
      </c>
      <c r="J288" s="2" t="s">
        <v>19</v>
      </c>
      <c r="K288" s="2" t="s">
        <v>323</v>
      </c>
      <c r="L288" s="7" t="str">
        <f>HYPERLINK("http://slimages.macys.com/is/image/MCY/9678668 ")</f>
        <v xml:space="preserve">http://slimages.macys.com/is/image/MCY/9678668 </v>
      </c>
    </row>
    <row r="289" spans="1:12" ht="24.75" x14ac:dyDescent="0.25">
      <c r="A289" s="4" t="s">
        <v>5652</v>
      </c>
      <c r="B289" s="2" t="s">
        <v>5653</v>
      </c>
      <c r="C289" s="3">
        <v>1</v>
      </c>
      <c r="D289" s="5">
        <v>52.13</v>
      </c>
      <c r="E289" s="3" t="s">
        <v>5654</v>
      </c>
      <c r="F289" s="2" t="s">
        <v>5655</v>
      </c>
      <c r="G289" s="6" t="s">
        <v>336</v>
      </c>
      <c r="H289" s="2" t="s">
        <v>188</v>
      </c>
      <c r="I289" s="2" t="s">
        <v>487</v>
      </c>
      <c r="J289" s="2" t="s">
        <v>19</v>
      </c>
      <c r="K289" s="2" t="s">
        <v>409</v>
      </c>
      <c r="L289" s="7" t="str">
        <f>HYPERLINK("http://slimages.macys.com/is/image/MCY/12894162 ")</f>
        <v xml:space="preserve">http://slimages.macys.com/is/image/MCY/12894162 </v>
      </c>
    </row>
    <row r="290" spans="1:12" ht="24.75" x14ac:dyDescent="0.25">
      <c r="A290" s="4" t="s">
        <v>5656</v>
      </c>
      <c r="B290" s="2" t="s">
        <v>2496</v>
      </c>
      <c r="C290" s="3">
        <v>1</v>
      </c>
      <c r="D290" s="5">
        <v>37.130000000000003</v>
      </c>
      <c r="E290" s="3" t="s">
        <v>2497</v>
      </c>
      <c r="F290" s="2" t="s">
        <v>252</v>
      </c>
      <c r="G290" s="6" t="s">
        <v>200</v>
      </c>
      <c r="H290" s="2" t="s">
        <v>194</v>
      </c>
      <c r="I290" s="2" t="s">
        <v>307</v>
      </c>
      <c r="J290" s="2" t="s">
        <v>19</v>
      </c>
      <c r="K290" s="2" t="s">
        <v>160</v>
      </c>
      <c r="L290" s="7" t="str">
        <f>HYPERLINK("http://slimages.macys.com/is/image/MCY/12316773 ")</f>
        <v xml:space="preserve">http://slimages.macys.com/is/image/MCY/12316773 </v>
      </c>
    </row>
    <row r="291" spans="1:12" ht="24.75" x14ac:dyDescent="0.25">
      <c r="A291" s="4" t="s">
        <v>5657</v>
      </c>
      <c r="B291" s="2" t="s">
        <v>2460</v>
      </c>
      <c r="C291" s="3">
        <v>1</v>
      </c>
      <c r="D291" s="5">
        <v>34.880000000000003</v>
      </c>
      <c r="E291" s="3">
        <v>100009313</v>
      </c>
      <c r="F291" s="2" t="s">
        <v>376</v>
      </c>
      <c r="G291" s="6" t="s">
        <v>27</v>
      </c>
      <c r="H291" s="2" t="s">
        <v>194</v>
      </c>
      <c r="I291" s="2" t="s">
        <v>503</v>
      </c>
      <c r="J291" s="2" t="s">
        <v>19</v>
      </c>
      <c r="K291" s="2" t="s">
        <v>353</v>
      </c>
      <c r="L291" s="7" t="str">
        <f>HYPERLINK("http://slimages.macys.com/is/image/MCY/9340611 ")</f>
        <v xml:space="preserve">http://slimages.macys.com/is/image/MCY/9340611 </v>
      </c>
    </row>
    <row r="292" spans="1:12" ht="24.75" x14ac:dyDescent="0.25">
      <c r="A292" s="4" t="s">
        <v>5658</v>
      </c>
      <c r="B292" s="2" t="s">
        <v>2460</v>
      </c>
      <c r="C292" s="3">
        <v>1</v>
      </c>
      <c r="D292" s="5">
        <v>34.880000000000003</v>
      </c>
      <c r="E292" s="3">
        <v>100009313</v>
      </c>
      <c r="F292" s="2" t="s">
        <v>376</v>
      </c>
      <c r="G292" s="6" t="s">
        <v>16</v>
      </c>
      <c r="H292" s="2" t="s">
        <v>194</v>
      </c>
      <c r="I292" s="2" t="s">
        <v>503</v>
      </c>
      <c r="J292" s="2" t="s">
        <v>19</v>
      </c>
      <c r="K292" s="2" t="s">
        <v>353</v>
      </c>
      <c r="L292" s="7" t="str">
        <f>HYPERLINK("http://slimages.macys.com/is/image/MCY/9340611 ")</f>
        <v xml:space="preserve">http://slimages.macys.com/is/image/MCY/9340611 </v>
      </c>
    </row>
    <row r="293" spans="1:12" ht="24.75" x14ac:dyDescent="0.25">
      <c r="A293" s="4" t="s">
        <v>5659</v>
      </c>
      <c r="B293" s="2" t="s">
        <v>2460</v>
      </c>
      <c r="C293" s="3">
        <v>2</v>
      </c>
      <c r="D293" s="5">
        <v>34.880000000000003</v>
      </c>
      <c r="E293" s="3">
        <v>100009313</v>
      </c>
      <c r="F293" s="2" t="s">
        <v>376</v>
      </c>
      <c r="G293" s="6" t="s">
        <v>22</v>
      </c>
      <c r="H293" s="2" t="s">
        <v>194</v>
      </c>
      <c r="I293" s="2" t="s">
        <v>503</v>
      </c>
      <c r="J293" s="2" t="s">
        <v>19</v>
      </c>
      <c r="K293" s="2" t="s">
        <v>353</v>
      </c>
      <c r="L293" s="7" t="str">
        <f>HYPERLINK("http://slimages.macys.com/is/image/MCY/9340611 ")</f>
        <v xml:space="preserve">http://slimages.macys.com/is/image/MCY/9340611 </v>
      </c>
    </row>
    <row r="294" spans="1:12" ht="24.75" x14ac:dyDescent="0.25">
      <c r="A294" s="4" t="s">
        <v>5660</v>
      </c>
      <c r="B294" s="2" t="s">
        <v>2460</v>
      </c>
      <c r="C294" s="3">
        <v>1</v>
      </c>
      <c r="D294" s="5">
        <v>34.880000000000003</v>
      </c>
      <c r="E294" s="3">
        <v>100009313</v>
      </c>
      <c r="F294" s="2" t="s">
        <v>376</v>
      </c>
      <c r="G294" s="6" t="s">
        <v>112</v>
      </c>
      <c r="H294" s="2" t="s">
        <v>194</v>
      </c>
      <c r="I294" s="2" t="s">
        <v>503</v>
      </c>
      <c r="J294" s="2" t="s">
        <v>19</v>
      </c>
      <c r="K294" s="2" t="s">
        <v>353</v>
      </c>
      <c r="L294" s="7" t="str">
        <f>HYPERLINK("http://slimages.macys.com/is/image/MCY/9340611 ")</f>
        <v xml:space="preserve">http://slimages.macys.com/is/image/MCY/9340611 </v>
      </c>
    </row>
    <row r="295" spans="1:12" ht="48.75" x14ac:dyDescent="0.25">
      <c r="A295" s="4" t="s">
        <v>5661</v>
      </c>
      <c r="B295" s="2" t="s">
        <v>5662</v>
      </c>
      <c r="C295" s="3">
        <v>1</v>
      </c>
      <c r="D295" s="5">
        <v>29.99</v>
      </c>
      <c r="E295" s="3" t="s">
        <v>5663</v>
      </c>
      <c r="F295" s="2" t="s">
        <v>94</v>
      </c>
      <c r="G295" s="6" t="s">
        <v>154</v>
      </c>
      <c r="H295" s="2" t="s">
        <v>284</v>
      </c>
      <c r="I295" s="2" t="s">
        <v>408</v>
      </c>
      <c r="J295" s="2" t="s">
        <v>19</v>
      </c>
      <c r="K295" s="2" t="s">
        <v>775</v>
      </c>
      <c r="L295" s="7" t="str">
        <f>HYPERLINK("http://slimages.macys.com/is/image/MCY/3173200 ")</f>
        <v xml:space="preserve">http://slimages.macys.com/is/image/MCY/3173200 </v>
      </c>
    </row>
    <row r="296" spans="1:12" ht="24.75" x14ac:dyDescent="0.25">
      <c r="A296" s="4" t="s">
        <v>2499</v>
      </c>
      <c r="B296" s="2" t="s">
        <v>948</v>
      </c>
      <c r="C296" s="3">
        <v>2</v>
      </c>
      <c r="D296" s="5">
        <v>34.880000000000003</v>
      </c>
      <c r="E296" s="3">
        <v>100038962</v>
      </c>
      <c r="F296" s="2" t="s">
        <v>376</v>
      </c>
      <c r="G296" s="6" t="s">
        <v>16</v>
      </c>
      <c r="H296" s="2" t="s">
        <v>194</v>
      </c>
      <c r="I296" s="2" t="s">
        <v>195</v>
      </c>
      <c r="J296" s="2" t="s">
        <v>19</v>
      </c>
      <c r="K296" s="2" t="s">
        <v>353</v>
      </c>
      <c r="L296" s="7" t="str">
        <f>HYPERLINK("http://slimages.macys.com/is/image/MCY/11145019 ")</f>
        <v xml:space="preserve">http://slimages.macys.com/is/image/MCY/11145019 </v>
      </c>
    </row>
    <row r="297" spans="1:12" ht="24.75" x14ac:dyDescent="0.25">
      <c r="A297" s="4" t="s">
        <v>5664</v>
      </c>
      <c r="B297" s="2" t="s">
        <v>948</v>
      </c>
      <c r="C297" s="3">
        <v>1</v>
      </c>
      <c r="D297" s="5">
        <v>34.880000000000003</v>
      </c>
      <c r="E297" s="3">
        <v>100038962</v>
      </c>
      <c r="F297" s="2" t="s">
        <v>64</v>
      </c>
      <c r="G297" s="6" t="s">
        <v>65</v>
      </c>
      <c r="H297" s="2" t="s">
        <v>194</v>
      </c>
      <c r="I297" s="2" t="s">
        <v>195</v>
      </c>
      <c r="J297" s="2" t="s">
        <v>19</v>
      </c>
      <c r="K297" s="2" t="s">
        <v>353</v>
      </c>
      <c r="L297" s="7" t="str">
        <f>HYPERLINK("http://slimages.macys.com/is/image/MCY/11145019 ")</f>
        <v xml:space="preserve">http://slimages.macys.com/is/image/MCY/11145019 </v>
      </c>
    </row>
    <row r="298" spans="1:12" ht="24.75" x14ac:dyDescent="0.25">
      <c r="A298" s="4" t="s">
        <v>5665</v>
      </c>
      <c r="B298" s="2" t="s">
        <v>5666</v>
      </c>
      <c r="C298" s="3">
        <v>1</v>
      </c>
      <c r="D298" s="5">
        <v>40.880000000000003</v>
      </c>
      <c r="E298" s="3" t="s">
        <v>5667</v>
      </c>
      <c r="F298" s="2" t="s">
        <v>170</v>
      </c>
      <c r="G298" s="6" t="s">
        <v>234</v>
      </c>
      <c r="H298" s="2" t="s">
        <v>284</v>
      </c>
      <c r="I298" s="2" t="s">
        <v>285</v>
      </c>
      <c r="J298" s="2" t="s">
        <v>19</v>
      </c>
      <c r="K298" s="2" t="s">
        <v>160</v>
      </c>
      <c r="L298" s="7" t="str">
        <f>HYPERLINK("http://slimages.macys.com/is/image/MCY/12285042 ")</f>
        <v xml:space="preserve">http://slimages.macys.com/is/image/MCY/12285042 </v>
      </c>
    </row>
    <row r="299" spans="1:12" ht="24.75" x14ac:dyDescent="0.25">
      <c r="A299" s="4" t="s">
        <v>5668</v>
      </c>
      <c r="B299" s="2" t="s">
        <v>5666</v>
      </c>
      <c r="C299" s="3">
        <v>1</v>
      </c>
      <c r="D299" s="5">
        <v>40.880000000000003</v>
      </c>
      <c r="E299" s="3" t="s">
        <v>5667</v>
      </c>
      <c r="F299" s="2" t="s">
        <v>170</v>
      </c>
      <c r="G299" s="6" t="s">
        <v>200</v>
      </c>
      <c r="H299" s="2" t="s">
        <v>284</v>
      </c>
      <c r="I299" s="2" t="s">
        <v>285</v>
      </c>
      <c r="J299" s="2" t="s">
        <v>19</v>
      </c>
      <c r="K299" s="2" t="s">
        <v>160</v>
      </c>
      <c r="L299" s="7" t="str">
        <f>HYPERLINK("http://slimages.macys.com/is/image/MCY/12285042 ")</f>
        <v xml:space="preserve">http://slimages.macys.com/is/image/MCY/12285042 </v>
      </c>
    </row>
    <row r="300" spans="1:12" ht="48.75" x14ac:dyDescent="0.25">
      <c r="A300" s="4" t="s">
        <v>5669</v>
      </c>
      <c r="B300" s="2" t="s">
        <v>984</v>
      </c>
      <c r="C300" s="3">
        <v>1</v>
      </c>
      <c r="D300" s="5">
        <v>44.63</v>
      </c>
      <c r="E300" s="3" t="s">
        <v>985</v>
      </c>
      <c r="F300" s="2" t="s">
        <v>331</v>
      </c>
      <c r="G300" s="6" t="s">
        <v>112</v>
      </c>
      <c r="H300" s="2" t="s">
        <v>246</v>
      </c>
      <c r="I300" s="2" t="s">
        <v>487</v>
      </c>
      <c r="J300" s="2" t="s">
        <v>19</v>
      </c>
      <c r="K300" s="2" t="s">
        <v>787</v>
      </c>
      <c r="L300" s="7" t="str">
        <f>HYPERLINK("http://slimages.macys.com/is/image/MCY/11808679 ")</f>
        <v xml:space="preserve">http://slimages.macys.com/is/image/MCY/11808679 </v>
      </c>
    </row>
    <row r="301" spans="1:12" ht="24.75" x14ac:dyDescent="0.25">
      <c r="A301" s="4" t="s">
        <v>5670</v>
      </c>
      <c r="B301" s="2" t="s">
        <v>5666</v>
      </c>
      <c r="C301" s="3">
        <v>3</v>
      </c>
      <c r="D301" s="5">
        <v>40.880000000000003</v>
      </c>
      <c r="E301" s="3" t="s">
        <v>5667</v>
      </c>
      <c r="F301" s="2" t="s">
        <v>170</v>
      </c>
      <c r="G301" s="6" t="s">
        <v>181</v>
      </c>
      <c r="H301" s="2" t="s">
        <v>284</v>
      </c>
      <c r="I301" s="2" t="s">
        <v>285</v>
      </c>
      <c r="J301" s="2" t="s">
        <v>19</v>
      </c>
      <c r="K301" s="2" t="s">
        <v>160</v>
      </c>
      <c r="L301" s="7" t="str">
        <f>HYPERLINK("http://slimages.macys.com/is/image/MCY/12285042 ")</f>
        <v xml:space="preserve">http://slimages.macys.com/is/image/MCY/12285042 </v>
      </c>
    </row>
    <row r="302" spans="1:12" ht="24.75" x14ac:dyDescent="0.25">
      <c r="A302" s="4" t="s">
        <v>5671</v>
      </c>
      <c r="B302" s="2" t="s">
        <v>948</v>
      </c>
      <c r="C302" s="3">
        <v>1</v>
      </c>
      <c r="D302" s="5">
        <v>34.880000000000003</v>
      </c>
      <c r="E302" s="3">
        <v>100038962</v>
      </c>
      <c r="F302" s="2" t="s">
        <v>64</v>
      </c>
      <c r="G302" s="6" t="s">
        <v>58</v>
      </c>
      <c r="H302" s="2" t="s">
        <v>194</v>
      </c>
      <c r="I302" s="2" t="s">
        <v>195</v>
      </c>
      <c r="J302" s="2" t="s">
        <v>19</v>
      </c>
      <c r="K302" s="2" t="s">
        <v>353</v>
      </c>
      <c r="L302" s="7" t="str">
        <f t="shared" ref="L302:L310" si="1">HYPERLINK("http://slimages.macys.com/is/image/MCY/11145019 ")</f>
        <v xml:space="preserve">http://slimages.macys.com/is/image/MCY/11145019 </v>
      </c>
    </row>
    <row r="303" spans="1:12" ht="24.75" x14ac:dyDescent="0.25">
      <c r="A303" s="4" t="s">
        <v>5672</v>
      </c>
      <c r="B303" s="2" t="s">
        <v>948</v>
      </c>
      <c r="C303" s="3">
        <v>3</v>
      </c>
      <c r="D303" s="5">
        <v>34.880000000000003</v>
      </c>
      <c r="E303" s="3">
        <v>100038962</v>
      </c>
      <c r="F303" s="2" t="s">
        <v>64</v>
      </c>
      <c r="G303" s="6" t="s">
        <v>106</v>
      </c>
      <c r="H303" s="2" t="s">
        <v>194</v>
      </c>
      <c r="I303" s="2" t="s">
        <v>195</v>
      </c>
      <c r="J303" s="2" t="s">
        <v>19</v>
      </c>
      <c r="K303" s="2" t="s">
        <v>353</v>
      </c>
      <c r="L303" s="7" t="str">
        <f t="shared" si="1"/>
        <v xml:space="preserve">http://slimages.macys.com/is/image/MCY/11145019 </v>
      </c>
    </row>
    <row r="304" spans="1:12" ht="24.75" x14ac:dyDescent="0.25">
      <c r="A304" s="4" t="s">
        <v>5673</v>
      </c>
      <c r="B304" s="2" t="s">
        <v>948</v>
      </c>
      <c r="C304" s="3">
        <v>3</v>
      </c>
      <c r="D304" s="5">
        <v>34.880000000000003</v>
      </c>
      <c r="E304" s="3">
        <v>100038962</v>
      </c>
      <c r="F304" s="2" t="s">
        <v>64</v>
      </c>
      <c r="G304" s="6" t="s">
        <v>22</v>
      </c>
      <c r="H304" s="2" t="s">
        <v>194</v>
      </c>
      <c r="I304" s="2" t="s">
        <v>195</v>
      </c>
      <c r="J304" s="2" t="s">
        <v>19</v>
      </c>
      <c r="K304" s="2" t="s">
        <v>353</v>
      </c>
      <c r="L304" s="7" t="str">
        <f t="shared" si="1"/>
        <v xml:space="preserve">http://slimages.macys.com/is/image/MCY/11145019 </v>
      </c>
    </row>
    <row r="305" spans="1:12" ht="24.75" x14ac:dyDescent="0.25">
      <c r="A305" s="4" t="s">
        <v>5674</v>
      </c>
      <c r="B305" s="2" t="s">
        <v>948</v>
      </c>
      <c r="C305" s="3">
        <v>2</v>
      </c>
      <c r="D305" s="5">
        <v>34.880000000000003</v>
      </c>
      <c r="E305" s="3">
        <v>100038962</v>
      </c>
      <c r="F305" s="2" t="s">
        <v>64</v>
      </c>
      <c r="G305" s="6" t="s">
        <v>112</v>
      </c>
      <c r="H305" s="2" t="s">
        <v>194</v>
      </c>
      <c r="I305" s="2" t="s">
        <v>195</v>
      </c>
      <c r="J305" s="2" t="s">
        <v>19</v>
      </c>
      <c r="K305" s="2" t="s">
        <v>353</v>
      </c>
      <c r="L305" s="7" t="str">
        <f t="shared" si="1"/>
        <v xml:space="preserve">http://slimages.macys.com/is/image/MCY/11145019 </v>
      </c>
    </row>
    <row r="306" spans="1:12" ht="24.75" x14ac:dyDescent="0.25">
      <c r="A306" s="4" t="s">
        <v>5675</v>
      </c>
      <c r="B306" s="2" t="s">
        <v>948</v>
      </c>
      <c r="C306" s="3">
        <v>3</v>
      </c>
      <c r="D306" s="5">
        <v>34.880000000000003</v>
      </c>
      <c r="E306" s="3">
        <v>100038962</v>
      </c>
      <c r="F306" s="2" t="s">
        <v>64</v>
      </c>
      <c r="G306" s="6" t="s">
        <v>16</v>
      </c>
      <c r="H306" s="2" t="s">
        <v>194</v>
      </c>
      <c r="I306" s="2" t="s">
        <v>195</v>
      </c>
      <c r="J306" s="2" t="s">
        <v>19</v>
      </c>
      <c r="K306" s="2" t="s">
        <v>353</v>
      </c>
      <c r="L306" s="7" t="str">
        <f t="shared" si="1"/>
        <v xml:space="preserve">http://slimages.macys.com/is/image/MCY/11145019 </v>
      </c>
    </row>
    <row r="307" spans="1:12" ht="24.75" x14ac:dyDescent="0.25">
      <c r="A307" s="4" t="s">
        <v>5676</v>
      </c>
      <c r="B307" s="2" t="s">
        <v>948</v>
      </c>
      <c r="C307" s="3">
        <v>2</v>
      </c>
      <c r="D307" s="5">
        <v>34.880000000000003</v>
      </c>
      <c r="E307" s="3">
        <v>100038962</v>
      </c>
      <c r="F307" s="2" t="s">
        <v>64</v>
      </c>
      <c r="G307" s="6" t="s">
        <v>141</v>
      </c>
      <c r="H307" s="2" t="s">
        <v>194</v>
      </c>
      <c r="I307" s="2" t="s">
        <v>195</v>
      </c>
      <c r="J307" s="2" t="s">
        <v>19</v>
      </c>
      <c r="K307" s="2" t="s">
        <v>353</v>
      </c>
      <c r="L307" s="7" t="str">
        <f t="shared" si="1"/>
        <v xml:space="preserve">http://slimages.macys.com/is/image/MCY/11145019 </v>
      </c>
    </row>
    <row r="308" spans="1:12" ht="24.75" x14ac:dyDescent="0.25">
      <c r="A308" s="4" t="s">
        <v>5677</v>
      </c>
      <c r="B308" s="2" t="s">
        <v>948</v>
      </c>
      <c r="C308" s="3">
        <v>2</v>
      </c>
      <c r="D308" s="5">
        <v>34.880000000000003</v>
      </c>
      <c r="E308" s="3">
        <v>100038962</v>
      </c>
      <c r="F308" s="2" t="s">
        <v>64</v>
      </c>
      <c r="G308" s="6" t="s">
        <v>27</v>
      </c>
      <c r="H308" s="2" t="s">
        <v>194</v>
      </c>
      <c r="I308" s="2" t="s">
        <v>195</v>
      </c>
      <c r="J308" s="2" t="s">
        <v>19</v>
      </c>
      <c r="K308" s="2" t="s">
        <v>353</v>
      </c>
      <c r="L308" s="7" t="str">
        <f t="shared" si="1"/>
        <v xml:space="preserve">http://slimages.macys.com/is/image/MCY/11145019 </v>
      </c>
    </row>
    <row r="309" spans="1:12" ht="24.75" x14ac:dyDescent="0.25">
      <c r="A309" s="4" t="s">
        <v>5678</v>
      </c>
      <c r="B309" s="2" t="s">
        <v>948</v>
      </c>
      <c r="C309" s="3">
        <v>1</v>
      </c>
      <c r="D309" s="5">
        <v>34.880000000000003</v>
      </c>
      <c r="E309" s="3">
        <v>100038962</v>
      </c>
      <c r="F309" s="2" t="s">
        <v>376</v>
      </c>
      <c r="G309" s="6" t="s">
        <v>27</v>
      </c>
      <c r="H309" s="2" t="s">
        <v>194</v>
      </c>
      <c r="I309" s="2" t="s">
        <v>195</v>
      </c>
      <c r="J309" s="2" t="s">
        <v>19</v>
      </c>
      <c r="K309" s="2" t="s">
        <v>353</v>
      </c>
      <c r="L309" s="7" t="str">
        <f t="shared" si="1"/>
        <v xml:space="preserve">http://slimages.macys.com/is/image/MCY/11145019 </v>
      </c>
    </row>
    <row r="310" spans="1:12" ht="24.75" x14ac:dyDescent="0.25">
      <c r="A310" s="4" t="s">
        <v>2501</v>
      </c>
      <c r="B310" s="2" t="s">
        <v>948</v>
      </c>
      <c r="C310" s="3">
        <v>1</v>
      </c>
      <c r="D310" s="5">
        <v>34.880000000000003</v>
      </c>
      <c r="E310" s="3">
        <v>100038962</v>
      </c>
      <c r="F310" s="2" t="s">
        <v>376</v>
      </c>
      <c r="G310" s="6" t="s">
        <v>58</v>
      </c>
      <c r="H310" s="2" t="s">
        <v>194</v>
      </c>
      <c r="I310" s="2" t="s">
        <v>195</v>
      </c>
      <c r="J310" s="2" t="s">
        <v>19</v>
      </c>
      <c r="K310" s="2" t="s">
        <v>353</v>
      </c>
      <c r="L310" s="7" t="str">
        <f t="shared" si="1"/>
        <v xml:space="preserve">http://slimages.macys.com/is/image/MCY/11145019 </v>
      </c>
    </row>
    <row r="311" spans="1:12" ht="24.75" x14ac:dyDescent="0.25">
      <c r="A311" s="4" t="s">
        <v>5679</v>
      </c>
      <c r="B311" s="2" t="s">
        <v>808</v>
      </c>
      <c r="C311" s="3">
        <v>1</v>
      </c>
      <c r="D311" s="5">
        <v>37.130000000000003</v>
      </c>
      <c r="E311" s="3" t="s">
        <v>5680</v>
      </c>
      <c r="F311" s="2" t="s">
        <v>170</v>
      </c>
      <c r="G311" s="6"/>
      <c r="H311" s="2" t="s">
        <v>312</v>
      </c>
      <c r="I311" s="2" t="s">
        <v>503</v>
      </c>
      <c r="J311" s="2" t="s">
        <v>19</v>
      </c>
      <c r="K311" s="2" t="s">
        <v>546</v>
      </c>
      <c r="L311" s="7" t="str">
        <f>HYPERLINK("http://slimages.macys.com/is/image/MCY/12144056 ")</f>
        <v xml:space="preserve">http://slimages.macys.com/is/image/MCY/12144056 </v>
      </c>
    </row>
    <row r="312" spans="1:12" ht="36.75" x14ac:dyDescent="0.25">
      <c r="A312" s="4" t="s">
        <v>5681</v>
      </c>
      <c r="B312" s="2" t="s">
        <v>964</v>
      </c>
      <c r="C312" s="3">
        <v>1</v>
      </c>
      <c r="D312" s="5">
        <v>37.130000000000003</v>
      </c>
      <c r="E312" s="3">
        <v>100026210</v>
      </c>
      <c r="F312" s="2" t="s">
        <v>125</v>
      </c>
      <c r="G312" s="6" t="s">
        <v>234</v>
      </c>
      <c r="H312" s="2" t="s">
        <v>194</v>
      </c>
      <c r="I312" s="2" t="s">
        <v>195</v>
      </c>
      <c r="J312" s="2" t="s">
        <v>19</v>
      </c>
      <c r="K312" s="2" t="s">
        <v>965</v>
      </c>
      <c r="L312" s="7" t="str">
        <f>HYPERLINK("http://slimages.macys.com/is/image/MCY/9714233 ")</f>
        <v xml:space="preserve">http://slimages.macys.com/is/image/MCY/9714233 </v>
      </c>
    </row>
    <row r="313" spans="1:12" ht="36.75" x14ac:dyDescent="0.25">
      <c r="A313" s="4" t="s">
        <v>5682</v>
      </c>
      <c r="B313" s="2" t="s">
        <v>964</v>
      </c>
      <c r="C313" s="3">
        <v>1</v>
      </c>
      <c r="D313" s="5">
        <v>37.130000000000003</v>
      </c>
      <c r="E313" s="3">
        <v>100026210</v>
      </c>
      <c r="F313" s="2" t="s">
        <v>1788</v>
      </c>
      <c r="G313" s="6" t="s">
        <v>181</v>
      </c>
      <c r="H313" s="2" t="s">
        <v>194</v>
      </c>
      <c r="I313" s="2" t="s">
        <v>195</v>
      </c>
      <c r="J313" s="2" t="s">
        <v>19</v>
      </c>
      <c r="K313" s="2" t="s">
        <v>965</v>
      </c>
      <c r="L313" s="7" t="str">
        <f>HYPERLINK("http://slimages.macys.com/is/image/MCY/9714233 ")</f>
        <v xml:space="preserve">http://slimages.macys.com/is/image/MCY/9714233 </v>
      </c>
    </row>
    <row r="314" spans="1:12" ht="24.75" x14ac:dyDescent="0.25">
      <c r="A314" s="4" t="s">
        <v>5683</v>
      </c>
      <c r="B314" s="2" t="s">
        <v>961</v>
      </c>
      <c r="C314" s="3">
        <v>1</v>
      </c>
      <c r="D314" s="5">
        <v>40.880000000000003</v>
      </c>
      <c r="E314" s="3" t="s">
        <v>5684</v>
      </c>
      <c r="F314" s="2" t="s">
        <v>1788</v>
      </c>
      <c r="G314" s="6"/>
      <c r="H314" s="2" t="s">
        <v>312</v>
      </c>
      <c r="I314" s="2" t="s">
        <v>195</v>
      </c>
      <c r="J314" s="2" t="s">
        <v>19</v>
      </c>
      <c r="K314" s="2" t="s">
        <v>3699</v>
      </c>
      <c r="L314" s="7" t="str">
        <f>HYPERLINK("http://slimages.macys.com/is/image/MCY/11527247 ")</f>
        <v xml:space="preserve">http://slimages.macys.com/is/image/MCY/11527247 </v>
      </c>
    </row>
    <row r="315" spans="1:12" ht="24.75" x14ac:dyDescent="0.25">
      <c r="A315" s="4" t="s">
        <v>981</v>
      </c>
      <c r="B315" s="2" t="s">
        <v>641</v>
      </c>
      <c r="C315" s="3">
        <v>2</v>
      </c>
      <c r="D315" s="5">
        <v>29.99</v>
      </c>
      <c r="E315" s="3" t="s">
        <v>971</v>
      </c>
      <c r="F315" s="2" t="s">
        <v>38</v>
      </c>
      <c r="G315" s="6" t="s">
        <v>794</v>
      </c>
      <c r="H315" s="2" t="s">
        <v>632</v>
      </c>
      <c r="I315" s="2" t="s">
        <v>408</v>
      </c>
      <c r="J315" s="2" t="s">
        <v>19</v>
      </c>
      <c r="K315" s="2" t="s">
        <v>409</v>
      </c>
      <c r="L315" s="7" t="str">
        <f>HYPERLINK("http://slimages.macys.com/is/image/MCY/8140828 ")</f>
        <v xml:space="preserve">http://slimages.macys.com/is/image/MCY/8140828 </v>
      </c>
    </row>
    <row r="316" spans="1:12" ht="24.75" x14ac:dyDescent="0.25">
      <c r="A316" s="4" t="s">
        <v>982</v>
      </c>
      <c r="B316" s="2" t="s">
        <v>641</v>
      </c>
      <c r="C316" s="3">
        <v>1</v>
      </c>
      <c r="D316" s="5">
        <v>29.99</v>
      </c>
      <c r="E316" s="3" t="s">
        <v>971</v>
      </c>
      <c r="F316" s="2" t="s">
        <v>38</v>
      </c>
      <c r="G316" s="6" t="s">
        <v>187</v>
      </c>
      <c r="H316" s="2" t="s">
        <v>632</v>
      </c>
      <c r="I316" s="2" t="s">
        <v>408</v>
      </c>
      <c r="J316" s="2" t="s">
        <v>19</v>
      </c>
      <c r="K316" s="2" t="s">
        <v>409</v>
      </c>
      <c r="L316" s="7" t="str">
        <f>HYPERLINK("http://slimages.macys.com/is/image/MCY/8140828 ")</f>
        <v xml:space="preserve">http://slimages.macys.com/is/image/MCY/8140828 </v>
      </c>
    </row>
    <row r="317" spans="1:12" ht="24.75" x14ac:dyDescent="0.25">
      <c r="A317" s="4" t="s">
        <v>972</v>
      </c>
      <c r="B317" s="2" t="s">
        <v>641</v>
      </c>
      <c r="C317" s="3">
        <v>1</v>
      </c>
      <c r="D317" s="5">
        <v>29.99</v>
      </c>
      <c r="E317" s="3" t="s">
        <v>971</v>
      </c>
      <c r="F317" s="2" t="s">
        <v>38</v>
      </c>
      <c r="G317" s="6"/>
      <c r="H317" s="2" t="s">
        <v>632</v>
      </c>
      <c r="I317" s="2" t="s">
        <v>408</v>
      </c>
      <c r="J317" s="2" t="s">
        <v>19</v>
      </c>
      <c r="K317" s="2" t="s">
        <v>409</v>
      </c>
      <c r="L317" s="7" t="str">
        <f>HYPERLINK("http://slimages.macys.com/is/image/MCY/8140828 ")</f>
        <v xml:space="preserve">http://slimages.macys.com/is/image/MCY/8140828 </v>
      </c>
    </row>
    <row r="318" spans="1:12" ht="24.75" x14ac:dyDescent="0.25">
      <c r="A318" s="4" t="s">
        <v>5685</v>
      </c>
      <c r="B318" s="2" t="s">
        <v>5686</v>
      </c>
      <c r="C318" s="3">
        <v>1</v>
      </c>
      <c r="D318" s="5">
        <v>37.130000000000003</v>
      </c>
      <c r="E318" s="3" t="s">
        <v>5687</v>
      </c>
      <c r="F318" s="2" t="s">
        <v>111</v>
      </c>
      <c r="G318" s="6"/>
      <c r="H318" s="2" t="s">
        <v>632</v>
      </c>
      <c r="I318" s="2" t="s">
        <v>408</v>
      </c>
      <c r="J318" s="2" t="s">
        <v>19</v>
      </c>
      <c r="K318" s="2" t="s">
        <v>409</v>
      </c>
      <c r="L318" s="7" t="str">
        <f>HYPERLINK("http://slimages.macys.com/is/image/MCY/9280768 ")</f>
        <v xml:space="preserve">http://slimages.macys.com/is/image/MCY/9280768 </v>
      </c>
    </row>
    <row r="319" spans="1:12" ht="24.75" x14ac:dyDescent="0.25">
      <c r="A319" s="4" t="s">
        <v>973</v>
      </c>
      <c r="B319" s="2" t="s">
        <v>974</v>
      </c>
      <c r="C319" s="3">
        <v>1</v>
      </c>
      <c r="D319" s="5">
        <v>45</v>
      </c>
      <c r="E319" s="3" t="s">
        <v>975</v>
      </c>
      <c r="F319" s="2" t="s">
        <v>170</v>
      </c>
      <c r="G319" s="6" t="s">
        <v>794</v>
      </c>
      <c r="H319" s="2" t="s">
        <v>447</v>
      </c>
      <c r="I319" s="2" t="s">
        <v>792</v>
      </c>
      <c r="J319" s="2" t="s">
        <v>19</v>
      </c>
      <c r="K319" s="2" t="s">
        <v>160</v>
      </c>
      <c r="L319" s="7" t="str">
        <f>HYPERLINK("http://slimages.macys.com/is/image/MCY/12649291 ")</f>
        <v xml:space="preserve">http://slimages.macys.com/is/image/MCY/12649291 </v>
      </c>
    </row>
    <row r="320" spans="1:12" ht="24.75" x14ac:dyDescent="0.25">
      <c r="A320" s="4" t="s">
        <v>4755</v>
      </c>
      <c r="B320" s="2" t="s">
        <v>4756</v>
      </c>
      <c r="C320" s="3">
        <v>1</v>
      </c>
      <c r="D320" s="5">
        <v>44</v>
      </c>
      <c r="E320" s="3" t="s">
        <v>4757</v>
      </c>
      <c r="F320" s="2" t="s">
        <v>331</v>
      </c>
      <c r="G320" s="6" t="s">
        <v>446</v>
      </c>
      <c r="H320" s="2" t="s">
        <v>447</v>
      </c>
      <c r="I320" s="2" t="s">
        <v>792</v>
      </c>
      <c r="J320" s="2" t="s">
        <v>19</v>
      </c>
      <c r="K320" s="2" t="s">
        <v>160</v>
      </c>
      <c r="L320" s="7" t="str">
        <f>HYPERLINK("http://slimages.macys.com/is/image/MCY/14875672 ")</f>
        <v xml:space="preserve">http://slimages.macys.com/is/image/MCY/14875672 </v>
      </c>
    </row>
    <row r="321" spans="1:12" ht="24.75" x14ac:dyDescent="0.25">
      <c r="A321" s="4" t="s">
        <v>3672</v>
      </c>
      <c r="B321" s="2" t="s">
        <v>641</v>
      </c>
      <c r="C321" s="3">
        <v>1</v>
      </c>
      <c r="D321" s="5">
        <v>29.99</v>
      </c>
      <c r="E321" s="3" t="s">
        <v>3673</v>
      </c>
      <c r="F321" s="2" t="s">
        <v>64</v>
      </c>
      <c r="G321" s="6" t="s">
        <v>200</v>
      </c>
      <c r="H321" s="2" t="s">
        <v>284</v>
      </c>
      <c r="I321" s="2" t="s">
        <v>408</v>
      </c>
      <c r="J321" s="2" t="s">
        <v>19</v>
      </c>
      <c r="K321" s="2" t="s">
        <v>409</v>
      </c>
      <c r="L321" s="7" t="str">
        <f>HYPERLINK("http://slimages.macys.com/is/image/MCY/9387631 ")</f>
        <v xml:space="preserve">http://slimages.macys.com/is/image/MCY/9387631 </v>
      </c>
    </row>
    <row r="322" spans="1:12" ht="24.75" x14ac:dyDescent="0.25">
      <c r="A322" s="4" t="s">
        <v>2505</v>
      </c>
      <c r="B322" s="2" t="s">
        <v>641</v>
      </c>
      <c r="C322" s="3">
        <v>1</v>
      </c>
      <c r="D322" s="5">
        <v>29.99</v>
      </c>
      <c r="E322" s="3" t="s">
        <v>2506</v>
      </c>
      <c r="F322" s="2" t="s">
        <v>26</v>
      </c>
      <c r="G322" s="6" t="s">
        <v>154</v>
      </c>
      <c r="H322" s="2" t="s">
        <v>284</v>
      </c>
      <c r="I322" s="2" t="s">
        <v>408</v>
      </c>
      <c r="J322" s="2" t="s">
        <v>19</v>
      </c>
      <c r="K322" s="2" t="s">
        <v>409</v>
      </c>
      <c r="L322" s="7" t="str">
        <f>HYPERLINK("http://slimages.macys.com/is/image/MCY/9387631 ")</f>
        <v xml:space="preserve">http://slimages.macys.com/is/image/MCY/9387631 </v>
      </c>
    </row>
    <row r="323" spans="1:12" ht="24.75" x14ac:dyDescent="0.25">
      <c r="A323" s="4" t="s">
        <v>976</v>
      </c>
      <c r="B323" s="2" t="s">
        <v>641</v>
      </c>
      <c r="C323" s="3">
        <v>1</v>
      </c>
      <c r="D323" s="5">
        <v>29.99</v>
      </c>
      <c r="E323" s="3" t="s">
        <v>977</v>
      </c>
      <c r="F323" s="2" t="s">
        <v>74</v>
      </c>
      <c r="G323" s="6" t="s">
        <v>200</v>
      </c>
      <c r="H323" s="2" t="s">
        <v>284</v>
      </c>
      <c r="I323" s="2" t="s">
        <v>408</v>
      </c>
      <c r="J323" s="2" t="s">
        <v>19</v>
      </c>
      <c r="K323" s="2" t="s">
        <v>409</v>
      </c>
      <c r="L323" s="7" t="str">
        <f>HYPERLINK("http://slimages.macys.com/is/image/MCY/9387631 ")</f>
        <v xml:space="preserve">http://slimages.macys.com/is/image/MCY/9387631 </v>
      </c>
    </row>
    <row r="324" spans="1:12" ht="24.75" x14ac:dyDescent="0.25">
      <c r="A324" s="4" t="s">
        <v>980</v>
      </c>
      <c r="B324" s="2" t="s">
        <v>641</v>
      </c>
      <c r="C324" s="3">
        <v>1</v>
      </c>
      <c r="D324" s="5">
        <v>29.99</v>
      </c>
      <c r="E324" s="3" t="s">
        <v>977</v>
      </c>
      <c r="F324" s="2" t="s">
        <v>74</v>
      </c>
      <c r="G324" s="6" t="s">
        <v>181</v>
      </c>
      <c r="H324" s="2" t="s">
        <v>284</v>
      </c>
      <c r="I324" s="2" t="s">
        <v>408</v>
      </c>
      <c r="J324" s="2" t="s">
        <v>19</v>
      </c>
      <c r="K324" s="2" t="s">
        <v>409</v>
      </c>
      <c r="L324" s="7" t="str">
        <f>HYPERLINK("http://slimages.macys.com/is/image/MCY/9387631 ")</f>
        <v xml:space="preserve">http://slimages.macys.com/is/image/MCY/9387631 </v>
      </c>
    </row>
    <row r="325" spans="1:12" ht="24.75" x14ac:dyDescent="0.25">
      <c r="A325" s="4" t="s">
        <v>3681</v>
      </c>
      <c r="B325" s="2" t="s">
        <v>641</v>
      </c>
      <c r="C325" s="3">
        <v>1</v>
      </c>
      <c r="D325" s="5">
        <v>29.99</v>
      </c>
      <c r="E325" s="3" t="s">
        <v>2506</v>
      </c>
      <c r="F325" s="2" t="s">
        <v>26</v>
      </c>
      <c r="G325" s="6" t="s">
        <v>181</v>
      </c>
      <c r="H325" s="2" t="s">
        <v>284</v>
      </c>
      <c r="I325" s="2" t="s">
        <v>408</v>
      </c>
      <c r="J325" s="2" t="s">
        <v>19</v>
      </c>
      <c r="K325" s="2" t="s">
        <v>409</v>
      </c>
      <c r="L325" s="7" t="str">
        <f>HYPERLINK("http://slimages.macys.com/is/image/MCY/9387631 ")</f>
        <v xml:space="preserve">http://slimages.macys.com/is/image/MCY/9387631 </v>
      </c>
    </row>
    <row r="326" spans="1:12" ht="24.75" x14ac:dyDescent="0.25">
      <c r="A326" s="4" t="s">
        <v>5688</v>
      </c>
      <c r="B326" s="2" t="s">
        <v>5689</v>
      </c>
      <c r="C326" s="3">
        <v>1</v>
      </c>
      <c r="D326" s="5">
        <v>37.130000000000003</v>
      </c>
      <c r="E326" s="3" t="s">
        <v>5690</v>
      </c>
      <c r="F326" s="2" t="s">
        <v>74</v>
      </c>
      <c r="G326" s="6" t="s">
        <v>181</v>
      </c>
      <c r="H326" s="2" t="s">
        <v>194</v>
      </c>
      <c r="I326" s="2" t="s">
        <v>580</v>
      </c>
      <c r="J326" s="2" t="s">
        <v>19</v>
      </c>
      <c r="K326" s="2" t="s">
        <v>5691</v>
      </c>
      <c r="L326" s="7" t="str">
        <f>HYPERLINK("http://slimages.macys.com/is/image/MCY/12734347 ")</f>
        <v xml:space="preserve">http://slimages.macys.com/is/image/MCY/12734347 </v>
      </c>
    </row>
    <row r="327" spans="1:12" ht="24.75" x14ac:dyDescent="0.25">
      <c r="A327" s="4" t="s">
        <v>5692</v>
      </c>
      <c r="B327" s="2" t="s">
        <v>936</v>
      </c>
      <c r="C327" s="3">
        <v>1</v>
      </c>
      <c r="D327" s="5">
        <v>34.5</v>
      </c>
      <c r="E327" s="3">
        <v>100040726</v>
      </c>
      <c r="F327" s="2" t="s">
        <v>417</v>
      </c>
      <c r="G327" s="6" t="s">
        <v>106</v>
      </c>
      <c r="H327" s="2" t="s">
        <v>228</v>
      </c>
      <c r="I327" s="2" t="s">
        <v>229</v>
      </c>
      <c r="J327" s="2" t="s">
        <v>19</v>
      </c>
      <c r="K327" s="2" t="s">
        <v>230</v>
      </c>
      <c r="L327" s="7" t="str">
        <f>HYPERLINK("http://slimages.macys.com/is/image/MCY/10985237 ")</f>
        <v xml:space="preserve">http://slimages.macys.com/is/image/MCY/10985237 </v>
      </c>
    </row>
    <row r="328" spans="1:12" ht="24.75" x14ac:dyDescent="0.25">
      <c r="A328" s="4" t="s">
        <v>5693</v>
      </c>
      <c r="B328" s="2" t="s">
        <v>936</v>
      </c>
      <c r="C328" s="3">
        <v>1</v>
      </c>
      <c r="D328" s="5">
        <v>34.5</v>
      </c>
      <c r="E328" s="3">
        <v>100040726</v>
      </c>
      <c r="F328" s="2" t="s">
        <v>417</v>
      </c>
      <c r="G328" s="6" t="s">
        <v>141</v>
      </c>
      <c r="H328" s="2" t="s">
        <v>228</v>
      </c>
      <c r="I328" s="2" t="s">
        <v>229</v>
      </c>
      <c r="J328" s="2" t="s">
        <v>19</v>
      </c>
      <c r="K328" s="2" t="s">
        <v>230</v>
      </c>
      <c r="L328" s="7" t="str">
        <f>HYPERLINK("http://slimages.macys.com/is/image/MCY/10985237 ")</f>
        <v xml:space="preserve">http://slimages.macys.com/is/image/MCY/10985237 </v>
      </c>
    </row>
    <row r="329" spans="1:12" ht="24.75" x14ac:dyDescent="0.25">
      <c r="A329" s="4" t="s">
        <v>3690</v>
      </c>
      <c r="B329" s="2" t="s">
        <v>926</v>
      </c>
      <c r="C329" s="3">
        <v>1</v>
      </c>
      <c r="D329" s="5">
        <v>37.130000000000003</v>
      </c>
      <c r="E329" s="3">
        <v>100009311</v>
      </c>
      <c r="F329" s="2" t="s">
        <v>79</v>
      </c>
      <c r="G329" s="6" t="s">
        <v>106</v>
      </c>
      <c r="H329" s="2" t="s">
        <v>194</v>
      </c>
      <c r="I329" s="2" t="s">
        <v>928</v>
      </c>
      <c r="J329" s="2" t="s">
        <v>19</v>
      </c>
      <c r="K329" s="2" t="s">
        <v>929</v>
      </c>
      <c r="L329" s="7" t="str">
        <f t="shared" ref="L329:L335" si="2">HYPERLINK("http://slimages.macys.com/is/image/MCY/10249272 ")</f>
        <v xml:space="preserve">http://slimages.macys.com/is/image/MCY/10249272 </v>
      </c>
    </row>
    <row r="330" spans="1:12" ht="24.75" x14ac:dyDescent="0.25">
      <c r="A330" s="4" t="s">
        <v>5694</v>
      </c>
      <c r="B330" s="2" t="s">
        <v>926</v>
      </c>
      <c r="C330" s="3">
        <v>2</v>
      </c>
      <c r="D330" s="5">
        <v>37.130000000000003</v>
      </c>
      <c r="E330" s="3">
        <v>100009311</v>
      </c>
      <c r="F330" s="2" t="s">
        <v>79</v>
      </c>
      <c r="G330" s="6" t="s">
        <v>27</v>
      </c>
      <c r="H330" s="2" t="s">
        <v>194</v>
      </c>
      <c r="I330" s="2" t="s">
        <v>928</v>
      </c>
      <c r="J330" s="2" t="s">
        <v>19</v>
      </c>
      <c r="K330" s="2" t="s">
        <v>929</v>
      </c>
      <c r="L330" s="7" t="str">
        <f t="shared" si="2"/>
        <v xml:space="preserve">http://slimages.macys.com/is/image/MCY/10249272 </v>
      </c>
    </row>
    <row r="331" spans="1:12" ht="24.75" x14ac:dyDescent="0.25">
      <c r="A331" s="4" t="s">
        <v>5695</v>
      </c>
      <c r="B331" s="2" t="s">
        <v>926</v>
      </c>
      <c r="C331" s="3">
        <v>2</v>
      </c>
      <c r="D331" s="5">
        <v>37.130000000000003</v>
      </c>
      <c r="E331" s="3">
        <v>100009311</v>
      </c>
      <c r="F331" s="2" t="s">
        <v>79</v>
      </c>
      <c r="G331" s="6" t="s">
        <v>58</v>
      </c>
      <c r="H331" s="2" t="s">
        <v>194</v>
      </c>
      <c r="I331" s="2" t="s">
        <v>928</v>
      </c>
      <c r="J331" s="2" t="s">
        <v>19</v>
      </c>
      <c r="K331" s="2" t="s">
        <v>929</v>
      </c>
      <c r="L331" s="7" t="str">
        <f t="shared" si="2"/>
        <v xml:space="preserve">http://slimages.macys.com/is/image/MCY/10249272 </v>
      </c>
    </row>
    <row r="332" spans="1:12" ht="24.75" x14ac:dyDescent="0.25">
      <c r="A332" s="4" t="s">
        <v>5696</v>
      </c>
      <c r="B332" s="2" t="s">
        <v>926</v>
      </c>
      <c r="C332" s="3">
        <v>1</v>
      </c>
      <c r="D332" s="5">
        <v>37.130000000000003</v>
      </c>
      <c r="E332" s="3">
        <v>100009311</v>
      </c>
      <c r="F332" s="2" t="s">
        <v>79</v>
      </c>
      <c r="G332" s="6" t="s">
        <v>65</v>
      </c>
      <c r="H332" s="2" t="s">
        <v>194</v>
      </c>
      <c r="I332" s="2" t="s">
        <v>928</v>
      </c>
      <c r="J332" s="2" t="s">
        <v>19</v>
      </c>
      <c r="K332" s="2" t="s">
        <v>929</v>
      </c>
      <c r="L332" s="7" t="str">
        <f t="shared" si="2"/>
        <v xml:space="preserve">http://slimages.macys.com/is/image/MCY/10249272 </v>
      </c>
    </row>
    <row r="333" spans="1:12" ht="24.75" x14ac:dyDescent="0.25">
      <c r="A333" s="4" t="s">
        <v>3692</v>
      </c>
      <c r="B333" s="2" t="s">
        <v>926</v>
      </c>
      <c r="C333" s="3">
        <v>2</v>
      </c>
      <c r="D333" s="5">
        <v>37.130000000000003</v>
      </c>
      <c r="E333" s="3">
        <v>100009311</v>
      </c>
      <c r="F333" s="2" t="s">
        <v>79</v>
      </c>
      <c r="G333" s="6" t="s">
        <v>22</v>
      </c>
      <c r="H333" s="2" t="s">
        <v>194</v>
      </c>
      <c r="I333" s="2" t="s">
        <v>928</v>
      </c>
      <c r="J333" s="2" t="s">
        <v>19</v>
      </c>
      <c r="K333" s="2" t="s">
        <v>929</v>
      </c>
      <c r="L333" s="7" t="str">
        <f t="shared" si="2"/>
        <v xml:space="preserve">http://slimages.macys.com/is/image/MCY/10249272 </v>
      </c>
    </row>
    <row r="334" spans="1:12" ht="24.75" x14ac:dyDescent="0.25">
      <c r="A334" s="4" t="s">
        <v>5697</v>
      </c>
      <c r="B334" s="2" t="s">
        <v>926</v>
      </c>
      <c r="C334" s="3">
        <v>1</v>
      </c>
      <c r="D334" s="5">
        <v>37.130000000000003</v>
      </c>
      <c r="E334" s="3">
        <v>100009311</v>
      </c>
      <c r="F334" s="2" t="s">
        <v>79</v>
      </c>
      <c r="G334" s="6" t="s">
        <v>141</v>
      </c>
      <c r="H334" s="2" t="s">
        <v>194</v>
      </c>
      <c r="I334" s="2" t="s">
        <v>928</v>
      </c>
      <c r="J334" s="2" t="s">
        <v>19</v>
      </c>
      <c r="K334" s="2" t="s">
        <v>929</v>
      </c>
      <c r="L334" s="7" t="str">
        <f t="shared" si="2"/>
        <v xml:space="preserve">http://slimages.macys.com/is/image/MCY/10249272 </v>
      </c>
    </row>
    <row r="335" spans="1:12" ht="24.75" x14ac:dyDescent="0.25">
      <c r="A335" s="4" t="s">
        <v>5698</v>
      </c>
      <c r="B335" s="2" t="s">
        <v>926</v>
      </c>
      <c r="C335" s="3">
        <v>2</v>
      </c>
      <c r="D335" s="5">
        <v>37.130000000000003</v>
      </c>
      <c r="E335" s="3">
        <v>100009311</v>
      </c>
      <c r="F335" s="2" t="s">
        <v>79</v>
      </c>
      <c r="G335" s="6" t="s">
        <v>16</v>
      </c>
      <c r="H335" s="2" t="s">
        <v>194</v>
      </c>
      <c r="I335" s="2" t="s">
        <v>928</v>
      </c>
      <c r="J335" s="2" t="s">
        <v>19</v>
      </c>
      <c r="K335" s="2" t="s">
        <v>929</v>
      </c>
      <c r="L335" s="7" t="str">
        <f t="shared" si="2"/>
        <v xml:space="preserve">http://slimages.macys.com/is/image/MCY/10249272 </v>
      </c>
    </row>
    <row r="336" spans="1:12" ht="48.75" x14ac:dyDescent="0.25">
      <c r="A336" s="4" t="s">
        <v>5699</v>
      </c>
      <c r="B336" s="2" t="s">
        <v>5662</v>
      </c>
      <c r="C336" s="3">
        <v>1</v>
      </c>
      <c r="D336" s="5">
        <v>29.99</v>
      </c>
      <c r="E336" s="3" t="s">
        <v>5700</v>
      </c>
      <c r="F336" s="2" t="s">
        <v>566</v>
      </c>
      <c r="G336" s="6" t="s">
        <v>200</v>
      </c>
      <c r="H336" s="2" t="s">
        <v>284</v>
      </c>
      <c r="I336" s="2" t="s">
        <v>408</v>
      </c>
      <c r="J336" s="2" t="s">
        <v>19</v>
      </c>
      <c r="K336" s="2" t="s">
        <v>775</v>
      </c>
      <c r="L336" s="7" t="str">
        <f>HYPERLINK("http://slimages.macys.com/is/image/MCY/3173200 ")</f>
        <v xml:space="preserve">http://slimages.macys.com/is/image/MCY/3173200 </v>
      </c>
    </row>
    <row r="337" spans="1:12" ht="24.75" x14ac:dyDescent="0.25">
      <c r="A337" s="4" t="s">
        <v>5701</v>
      </c>
      <c r="B337" s="2" t="s">
        <v>4766</v>
      </c>
      <c r="C337" s="3">
        <v>1</v>
      </c>
      <c r="D337" s="5">
        <v>40.880000000000003</v>
      </c>
      <c r="E337" s="3" t="s">
        <v>4767</v>
      </c>
      <c r="F337" s="2" t="s">
        <v>413</v>
      </c>
      <c r="G337" s="6" t="s">
        <v>154</v>
      </c>
      <c r="H337" s="2" t="s">
        <v>284</v>
      </c>
      <c r="I337" s="2" t="s">
        <v>285</v>
      </c>
      <c r="J337" s="2" t="s">
        <v>19</v>
      </c>
      <c r="K337" s="2" t="s">
        <v>160</v>
      </c>
      <c r="L337" s="7" t="str">
        <f>HYPERLINK("http://slimages.macys.com/is/image/MCY/12337265 ")</f>
        <v xml:space="preserve">http://slimages.macys.com/is/image/MCY/12337265 </v>
      </c>
    </row>
    <row r="338" spans="1:12" ht="24.75" x14ac:dyDescent="0.25">
      <c r="A338" s="4" t="s">
        <v>5702</v>
      </c>
      <c r="B338" s="2" t="s">
        <v>5703</v>
      </c>
      <c r="C338" s="3">
        <v>2</v>
      </c>
      <c r="D338" s="5">
        <v>37.130000000000003</v>
      </c>
      <c r="E338" s="3" t="s">
        <v>5704</v>
      </c>
      <c r="F338" s="2" t="s">
        <v>74</v>
      </c>
      <c r="G338" s="6" t="s">
        <v>181</v>
      </c>
      <c r="H338" s="2" t="s">
        <v>194</v>
      </c>
      <c r="I338" s="2" t="s">
        <v>195</v>
      </c>
      <c r="J338" s="2" t="s">
        <v>19</v>
      </c>
      <c r="K338" s="2" t="s">
        <v>201</v>
      </c>
      <c r="L338" s="7" t="str">
        <f>HYPERLINK("http://slimages.macys.com/is/image/MCY/11804469 ")</f>
        <v xml:space="preserve">http://slimages.macys.com/is/image/MCY/11804469 </v>
      </c>
    </row>
    <row r="339" spans="1:12" ht="24.75" x14ac:dyDescent="0.25">
      <c r="A339" s="4" t="s">
        <v>5705</v>
      </c>
      <c r="B339" s="2" t="s">
        <v>5703</v>
      </c>
      <c r="C339" s="3">
        <v>1</v>
      </c>
      <c r="D339" s="5">
        <v>37.130000000000003</v>
      </c>
      <c r="E339" s="3" t="s">
        <v>5704</v>
      </c>
      <c r="F339" s="2" t="s">
        <v>74</v>
      </c>
      <c r="G339" s="6" t="s">
        <v>234</v>
      </c>
      <c r="H339" s="2" t="s">
        <v>194</v>
      </c>
      <c r="I339" s="2" t="s">
        <v>195</v>
      </c>
      <c r="J339" s="2" t="s">
        <v>19</v>
      </c>
      <c r="K339" s="2" t="s">
        <v>201</v>
      </c>
      <c r="L339" s="7" t="str">
        <f>HYPERLINK("http://slimages.macys.com/is/image/MCY/11804469 ")</f>
        <v xml:space="preserve">http://slimages.macys.com/is/image/MCY/11804469 </v>
      </c>
    </row>
    <row r="340" spans="1:12" ht="24.75" x14ac:dyDescent="0.25">
      <c r="A340" s="4" t="s">
        <v>999</v>
      </c>
      <c r="B340" s="2" t="s">
        <v>992</v>
      </c>
      <c r="C340" s="3">
        <v>1</v>
      </c>
      <c r="D340" s="5">
        <v>34.5</v>
      </c>
      <c r="E340" s="3" t="s">
        <v>993</v>
      </c>
      <c r="F340" s="2" t="s">
        <v>74</v>
      </c>
      <c r="G340" s="6" t="s">
        <v>794</v>
      </c>
      <c r="H340" s="2" t="s">
        <v>426</v>
      </c>
      <c r="I340" s="2" t="s">
        <v>229</v>
      </c>
      <c r="J340" s="2" t="s">
        <v>19</v>
      </c>
      <c r="K340" s="2" t="s">
        <v>353</v>
      </c>
      <c r="L340" s="7" t="str">
        <f>HYPERLINK("http://slimages.macys.com/is/image/MCY/11934830 ")</f>
        <v xml:space="preserve">http://slimages.macys.com/is/image/MCY/11934830 </v>
      </c>
    </row>
    <row r="341" spans="1:12" ht="24.75" x14ac:dyDescent="0.25">
      <c r="A341" s="4" t="s">
        <v>5706</v>
      </c>
      <c r="B341" s="2" t="s">
        <v>904</v>
      </c>
      <c r="C341" s="3">
        <v>1</v>
      </c>
      <c r="D341" s="5">
        <v>34.5</v>
      </c>
      <c r="E341" s="3" t="s">
        <v>5707</v>
      </c>
      <c r="F341" s="2" t="s">
        <v>33</v>
      </c>
      <c r="G341" s="6"/>
      <c r="H341" s="2" t="s">
        <v>426</v>
      </c>
      <c r="I341" s="2" t="s">
        <v>229</v>
      </c>
      <c r="J341" s="2" t="s">
        <v>19</v>
      </c>
      <c r="K341" s="2" t="s">
        <v>353</v>
      </c>
      <c r="L341" s="7" t="str">
        <f>HYPERLINK("http://slimages.macys.com/is/image/MCY/11934830 ")</f>
        <v xml:space="preserve">http://slimages.macys.com/is/image/MCY/11934830 </v>
      </c>
    </row>
    <row r="342" spans="1:12" ht="24.75" x14ac:dyDescent="0.25">
      <c r="A342" s="4" t="s">
        <v>4770</v>
      </c>
      <c r="B342" s="2" t="s">
        <v>992</v>
      </c>
      <c r="C342" s="3">
        <v>2</v>
      </c>
      <c r="D342" s="5">
        <v>34.5</v>
      </c>
      <c r="E342" s="3" t="s">
        <v>993</v>
      </c>
      <c r="F342" s="2" t="s">
        <v>74</v>
      </c>
      <c r="G342" s="6"/>
      <c r="H342" s="2" t="s">
        <v>426</v>
      </c>
      <c r="I342" s="2" t="s">
        <v>229</v>
      </c>
      <c r="J342" s="2" t="s">
        <v>19</v>
      </c>
      <c r="K342" s="2" t="s">
        <v>353</v>
      </c>
      <c r="L342" s="7" t="str">
        <f>HYPERLINK("http://slimages.macys.com/is/image/MCY/11934830 ")</f>
        <v xml:space="preserve">http://slimages.macys.com/is/image/MCY/11934830 </v>
      </c>
    </row>
    <row r="343" spans="1:12" ht="24.75" x14ac:dyDescent="0.25">
      <c r="A343" s="4" t="s">
        <v>5708</v>
      </c>
      <c r="B343" s="2" t="s">
        <v>5709</v>
      </c>
      <c r="C343" s="3">
        <v>1</v>
      </c>
      <c r="D343" s="5">
        <v>49.5</v>
      </c>
      <c r="E343" s="3" t="s">
        <v>5710</v>
      </c>
      <c r="F343" s="2" t="s">
        <v>111</v>
      </c>
      <c r="G343" s="6"/>
      <c r="H343" s="2" t="s">
        <v>127</v>
      </c>
      <c r="I343" s="2" t="s">
        <v>128</v>
      </c>
      <c r="J343" s="2" t="s">
        <v>19</v>
      </c>
      <c r="K343" s="2" t="s">
        <v>208</v>
      </c>
      <c r="L343" s="7" t="str">
        <f>HYPERLINK("http://slimages.macys.com/is/image/MCY/13040302 ")</f>
        <v xml:space="preserve">http://slimages.macys.com/is/image/MCY/13040302 </v>
      </c>
    </row>
    <row r="344" spans="1:12" ht="24.75" x14ac:dyDescent="0.25">
      <c r="A344" s="4" t="s">
        <v>5711</v>
      </c>
      <c r="B344" s="2" t="s">
        <v>5712</v>
      </c>
      <c r="C344" s="3">
        <v>1</v>
      </c>
      <c r="D344" s="5">
        <v>33.380000000000003</v>
      </c>
      <c r="E344" s="3" t="s">
        <v>5713</v>
      </c>
      <c r="F344" s="2" t="s">
        <v>15</v>
      </c>
      <c r="G344" s="6" t="s">
        <v>234</v>
      </c>
      <c r="H344" s="2" t="s">
        <v>194</v>
      </c>
      <c r="I344" s="2" t="s">
        <v>1398</v>
      </c>
      <c r="J344" s="2" t="s">
        <v>19</v>
      </c>
      <c r="K344" s="2" t="s">
        <v>247</v>
      </c>
      <c r="L344" s="7" t="str">
        <f>HYPERLINK("http://slimages.macys.com/is/image/MCY/13698555 ")</f>
        <v xml:space="preserve">http://slimages.macys.com/is/image/MCY/13698555 </v>
      </c>
    </row>
    <row r="345" spans="1:12" ht="36.75" x14ac:dyDescent="0.25">
      <c r="A345" s="4" t="s">
        <v>5714</v>
      </c>
      <c r="B345" s="2" t="s">
        <v>5715</v>
      </c>
      <c r="C345" s="3">
        <v>1</v>
      </c>
      <c r="D345" s="5">
        <v>40.880000000000003</v>
      </c>
      <c r="E345" s="3" t="s">
        <v>5716</v>
      </c>
      <c r="F345" s="2" t="s">
        <v>331</v>
      </c>
      <c r="G345" s="6" t="s">
        <v>200</v>
      </c>
      <c r="H345" s="2" t="s">
        <v>284</v>
      </c>
      <c r="I345" s="2" t="s">
        <v>285</v>
      </c>
      <c r="J345" s="2" t="s">
        <v>19</v>
      </c>
      <c r="K345" s="2" t="s">
        <v>5717</v>
      </c>
      <c r="L345" s="7" t="str">
        <f>HYPERLINK("http://slimages.macys.com/is/image/MCY/13700613 ")</f>
        <v xml:space="preserve">http://slimages.macys.com/is/image/MCY/13700613 </v>
      </c>
    </row>
    <row r="346" spans="1:12" ht="36.75" x14ac:dyDescent="0.25">
      <c r="A346" s="4" t="s">
        <v>5718</v>
      </c>
      <c r="B346" s="2" t="s">
        <v>5715</v>
      </c>
      <c r="C346" s="3">
        <v>1</v>
      </c>
      <c r="D346" s="5">
        <v>40.880000000000003</v>
      </c>
      <c r="E346" s="3" t="s">
        <v>5716</v>
      </c>
      <c r="F346" s="2" t="s">
        <v>1584</v>
      </c>
      <c r="G346" s="6" t="s">
        <v>200</v>
      </c>
      <c r="H346" s="2" t="s">
        <v>284</v>
      </c>
      <c r="I346" s="2" t="s">
        <v>285</v>
      </c>
      <c r="J346" s="2" t="s">
        <v>19</v>
      </c>
      <c r="K346" s="2" t="s">
        <v>5717</v>
      </c>
      <c r="L346" s="7" t="str">
        <f>HYPERLINK("http://slimages.macys.com/is/image/MCY/13700621 ")</f>
        <v xml:space="preserve">http://slimages.macys.com/is/image/MCY/13700621 </v>
      </c>
    </row>
    <row r="347" spans="1:12" ht="24.75" x14ac:dyDescent="0.25">
      <c r="A347" s="4" t="s">
        <v>5719</v>
      </c>
      <c r="B347" s="2" t="s">
        <v>2515</v>
      </c>
      <c r="C347" s="3">
        <v>1</v>
      </c>
      <c r="D347" s="5">
        <v>37.130000000000003</v>
      </c>
      <c r="E347" s="3" t="s">
        <v>2516</v>
      </c>
      <c r="F347" s="2" t="s">
        <v>26</v>
      </c>
      <c r="G347" s="6" t="s">
        <v>934</v>
      </c>
      <c r="H347" s="2" t="s">
        <v>188</v>
      </c>
      <c r="I347" s="2" t="s">
        <v>214</v>
      </c>
      <c r="J347" s="2" t="s">
        <v>19</v>
      </c>
      <c r="K347" s="2" t="s">
        <v>353</v>
      </c>
      <c r="L347" s="7" t="str">
        <f>HYPERLINK("http://slimages.macys.com/is/image/MCY/10679372 ")</f>
        <v xml:space="preserve">http://slimages.macys.com/is/image/MCY/10679372 </v>
      </c>
    </row>
    <row r="348" spans="1:12" ht="24.75" x14ac:dyDescent="0.25">
      <c r="A348" s="4" t="s">
        <v>3714</v>
      </c>
      <c r="B348" s="2" t="s">
        <v>1008</v>
      </c>
      <c r="C348" s="3">
        <v>1</v>
      </c>
      <c r="D348" s="5">
        <v>49.5</v>
      </c>
      <c r="E348" s="3" t="s">
        <v>1009</v>
      </c>
      <c r="F348" s="2" t="s">
        <v>74</v>
      </c>
      <c r="G348" s="6" t="s">
        <v>3715</v>
      </c>
      <c r="H348" s="2" t="s">
        <v>206</v>
      </c>
      <c r="I348" s="2" t="s">
        <v>1010</v>
      </c>
      <c r="J348" s="2" t="s">
        <v>19</v>
      </c>
      <c r="K348" s="2" t="s">
        <v>409</v>
      </c>
      <c r="L348" s="7" t="str">
        <f>HYPERLINK("http://slimages.macys.com/is/image/MCY/9044823 ")</f>
        <v xml:space="preserve">http://slimages.macys.com/is/image/MCY/9044823 </v>
      </c>
    </row>
    <row r="349" spans="1:12" ht="24.75" x14ac:dyDescent="0.25">
      <c r="A349" s="4" t="s">
        <v>1017</v>
      </c>
      <c r="B349" s="2" t="s">
        <v>1012</v>
      </c>
      <c r="C349" s="3">
        <v>1</v>
      </c>
      <c r="D349" s="5">
        <v>37.130000000000003</v>
      </c>
      <c r="E349" s="3" t="s">
        <v>1013</v>
      </c>
      <c r="F349" s="2" t="s">
        <v>494</v>
      </c>
      <c r="G349" s="6" t="s">
        <v>106</v>
      </c>
      <c r="H349" s="2" t="s">
        <v>246</v>
      </c>
      <c r="I349" s="2" t="s">
        <v>214</v>
      </c>
      <c r="J349" s="2" t="s">
        <v>19</v>
      </c>
      <c r="K349" s="2" t="s">
        <v>253</v>
      </c>
      <c r="L349" s="7" t="str">
        <f>HYPERLINK("http://slimages.macys.com/is/image/MCY/10679372 ")</f>
        <v xml:space="preserve">http://slimages.macys.com/is/image/MCY/10679372 </v>
      </c>
    </row>
    <row r="350" spans="1:12" ht="24.75" x14ac:dyDescent="0.25">
      <c r="A350" s="4" t="s">
        <v>2528</v>
      </c>
      <c r="B350" s="2" t="s">
        <v>1012</v>
      </c>
      <c r="C350" s="3">
        <v>1</v>
      </c>
      <c r="D350" s="5">
        <v>37.130000000000003</v>
      </c>
      <c r="E350" s="3" t="s">
        <v>1013</v>
      </c>
      <c r="F350" s="2" t="s">
        <v>64</v>
      </c>
      <c r="G350" s="6" t="s">
        <v>16</v>
      </c>
      <c r="H350" s="2" t="s">
        <v>246</v>
      </c>
      <c r="I350" s="2" t="s">
        <v>214</v>
      </c>
      <c r="J350" s="2" t="s">
        <v>19</v>
      </c>
      <c r="K350" s="2" t="s">
        <v>253</v>
      </c>
      <c r="L350" s="7" t="str">
        <f>HYPERLINK("http://slimages.macys.com/is/image/MCY/10679372 ")</f>
        <v xml:space="preserve">http://slimages.macys.com/is/image/MCY/10679372 </v>
      </c>
    </row>
    <row r="351" spans="1:12" ht="24.75" x14ac:dyDescent="0.25">
      <c r="A351" s="4" t="s">
        <v>4786</v>
      </c>
      <c r="B351" s="2" t="s">
        <v>4787</v>
      </c>
      <c r="C351" s="3">
        <v>1</v>
      </c>
      <c r="D351" s="5">
        <v>40.880000000000003</v>
      </c>
      <c r="E351" s="3" t="s">
        <v>4788</v>
      </c>
      <c r="F351" s="2" t="s">
        <v>74</v>
      </c>
      <c r="G351" s="6" t="s">
        <v>154</v>
      </c>
      <c r="H351" s="2" t="s">
        <v>284</v>
      </c>
      <c r="I351" s="2" t="s">
        <v>285</v>
      </c>
      <c r="J351" s="2" t="s">
        <v>19</v>
      </c>
      <c r="K351" s="2" t="s">
        <v>160</v>
      </c>
      <c r="L351" s="7" t="str">
        <f>HYPERLINK("http://slimages.macys.com/is/image/MCY/12285062 ")</f>
        <v xml:space="preserve">http://slimages.macys.com/is/image/MCY/12285062 </v>
      </c>
    </row>
    <row r="352" spans="1:12" ht="24.75" x14ac:dyDescent="0.25">
      <c r="A352" s="4" t="s">
        <v>2533</v>
      </c>
      <c r="B352" s="2" t="s">
        <v>1028</v>
      </c>
      <c r="C352" s="3">
        <v>1</v>
      </c>
      <c r="D352" s="5">
        <v>37.130000000000003</v>
      </c>
      <c r="E352" s="3" t="s">
        <v>2532</v>
      </c>
      <c r="F352" s="2" t="s">
        <v>26</v>
      </c>
      <c r="G352" s="6"/>
      <c r="H352" s="2" t="s">
        <v>632</v>
      </c>
      <c r="I352" s="2" t="s">
        <v>408</v>
      </c>
      <c r="J352" s="2" t="s">
        <v>19</v>
      </c>
      <c r="K352" s="2" t="s">
        <v>409</v>
      </c>
      <c r="L352" s="7" t="str">
        <f>HYPERLINK("http://slimages.macys.com/is/image/MCY/8191312 ")</f>
        <v xml:space="preserve">http://slimages.macys.com/is/image/MCY/8191312 </v>
      </c>
    </row>
    <row r="353" spans="1:12" ht="24.75" x14ac:dyDescent="0.25">
      <c r="A353" s="4" t="s">
        <v>5720</v>
      </c>
      <c r="B353" s="2" t="s">
        <v>1047</v>
      </c>
      <c r="C353" s="3">
        <v>1</v>
      </c>
      <c r="D353" s="5">
        <v>34.880000000000003</v>
      </c>
      <c r="E353" s="3">
        <v>100009312</v>
      </c>
      <c r="F353" s="2" t="s">
        <v>26</v>
      </c>
      <c r="G353" s="6" t="s">
        <v>181</v>
      </c>
      <c r="H353" s="2" t="s">
        <v>194</v>
      </c>
      <c r="I353" s="2" t="s">
        <v>195</v>
      </c>
      <c r="J353" s="2" t="s">
        <v>19</v>
      </c>
      <c r="K353" s="2" t="s">
        <v>353</v>
      </c>
      <c r="L353" s="7" t="str">
        <f>HYPERLINK("http://slimages.macys.com/is/image/MCY/9603701 ")</f>
        <v xml:space="preserve">http://slimages.macys.com/is/image/MCY/9603701 </v>
      </c>
    </row>
    <row r="354" spans="1:12" ht="24.75" x14ac:dyDescent="0.25">
      <c r="A354" s="4" t="s">
        <v>1046</v>
      </c>
      <c r="B354" s="2" t="s">
        <v>1047</v>
      </c>
      <c r="C354" s="3">
        <v>1</v>
      </c>
      <c r="D354" s="5">
        <v>34.880000000000003</v>
      </c>
      <c r="E354" s="3">
        <v>100009312</v>
      </c>
      <c r="F354" s="2" t="s">
        <v>74</v>
      </c>
      <c r="G354" s="6" t="s">
        <v>234</v>
      </c>
      <c r="H354" s="2" t="s">
        <v>194</v>
      </c>
      <c r="I354" s="2" t="s">
        <v>195</v>
      </c>
      <c r="J354" s="2" t="s">
        <v>19</v>
      </c>
      <c r="K354" s="2" t="s">
        <v>353</v>
      </c>
      <c r="L354" s="7" t="str">
        <f>HYPERLINK("http://slimages.macys.com/is/image/MCY/9603701 ")</f>
        <v xml:space="preserve">http://slimages.macys.com/is/image/MCY/9603701 </v>
      </c>
    </row>
    <row r="355" spans="1:12" ht="24.75" x14ac:dyDescent="0.25">
      <c r="A355" s="4" t="s">
        <v>2539</v>
      </c>
      <c r="B355" s="2" t="s">
        <v>1047</v>
      </c>
      <c r="C355" s="3">
        <v>2</v>
      </c>
      <c r="D355" s="5">
        <v>34.880000000000003</v>
      </c>
      <c r="E355" s="3">
        <v>100009312</v>
      </c>
      <c r="F355" s="2" t="s">
        <v>74</v>
      </c>
      <c r="G355" s="6" t="s">
        <v>154</v>
      </c>
      <c r="H355" s="2" t="s">
        <v>194</v>
      </c>
      <c r="I355" s="2" t="s">
        <v>195</v>
      </c>
      <c r="J355" s="2" t="s">
        <v>19</v>
      </c>
      <c r="K355" s="2" t="s">
        <v>353</v>
      </c>
      <c r="L355" s="7" t="str">
        <f>HYPERLINK("http://slimages.macys.com/is/image/MCY/9603701 ")</f>
        <v xml:space="preserve">http://slimages.macys.com/is/image/MCY/9603701 </v>
      </c>
    </row>
    <row r="356" spans="1:12" ht="48.75" x14ac:dyDescent="0.25">
      <c r="A356" s="4" t="s">
        <v>3732</v>
      </c>
      <c r="B356" s="2" t="s">
        <v>1052</v>
      </c>
      <c r="C356" s="3">
        <v>1</v>
      </c>
      <c r="D356" s="5">
        <v>37.130000000000003</v>
      </c>
      <c r="E356" s="3">
        <v>100010668</v>
      </c>
      <c r="F356" s="2" t="s">
        <v>33</v>
      </c>
      <c r="G356" s="6" t="s">
        <v>154</v>
      </c>
      <c r="H356" s="2" t="s">
        <v>284</v>
      </c>
      <c r="I356" s="2" t="s">
        <v>408</v>
      </c>
      <c r="J356" s="2" t="s">
        <v>19</v>
      </c>
      <c r="K356" s="2" t="s">
        <v>787</v>
      </c>
      <c r="L356" s="7" t="str">
        <f>HYPERLINK("http://slimages.macys.com/is/image/MCY/11434460 ")</f>
        <v xml:space="preserve">http://slimages.macys.com/is/image/MCY/11434460 </v>
      </c>
    </row>
    <row r="357" spans="1:12" ht="24.75" x14ac:dyDescent="0.25">
      <c r="A357" s="4" t="s">
        <v>1049</v>
      </c>
      <c r="B357" s="2" t="s">
        <v>1050</v>
      </c>
      <c r="C357" s="3">
        <v>1</v>
      </c>
      <c r="D357" s="5">
        <v>37.130000000000003</v>
      </c>
      <c r="E357" s="3">
        <v>100054433</v>
      </c>
      <c r="F357" s="2" t="s">
        <v>74</v>
      </c>
      <c r="G357" s="6" t="s">
        <v>156</v>
      </c>
      <c r="H357" s="2" t="s">
        <v>194</v>
      </c>
      <c r="I357" s="2" t="s">
        <v>857</v>
      </c>
      <c r="J357" s="2" t="s">
        <v>19</v>
      </c>
      <c r="K357" s="2" t="s">
        <v>201</v>
      </c>
      <c r="L357" s="7" t="str">
        <f>HYPERLINK("http://slimages.macys.com/is/image/MCY/12279807 ")</f>
        <v xml:space="preserve">http://slimages.macys.com/is/image/MCY/12279807 </v>
      </c>
    </row>
    <row r="358" spans="1:12" ht="24.75" x14ac:dyDescent="0.25">
      <c r="A358" s="4" t="s">
        <v>5721</v>
      </c>
      <c r="B358" s="2" t="s">
        <v>4803</v>
      </c>
      <c r="C358" s="3">
        <v>1</v>
      </c>
      <c r="D358" s="5">
        <v>35.65</v>
      </c>
      <c r="E358" s="3" t="s">
        <v>4804</v>
      </c>
      <c r="F358" s="2" t="s">
        <v>74</v>
      </c>
      <c r="G358" s="6" t="s">
        <v>156</v>
      </c>
      <c r="H358" s="2" t="s">
        <v>182</v>
      </c>
      <c r="I358" s="2" t="s">
        <v>183</v>
      </c>
      <c r="J358" s="2" t="s">
        <v>19</v>
      </c>
      <c r="K358" s="2" t="s">
        <v>34</v>
      </c>
      <c r="L358" s="7" t="str">
        <f>HYPERLINK("http://slimages.macys.com/is/image/MCY/12801985 ")</f>
        <v xml:space="preserve">http://slimages.macys.com/is/image/MCY/12801985 </v>
      </c>
    </row>
    <row r="359" spans="1:12" ht="24.75" x14ac:dyDescent="0.25">
      <c r="A359" s="4" t="s">
        <v>5722</v>
      </c>
      <c r="B359" s="2" t="s">
        <v>1054</v>
      </c>
      <c r="C359" s="3">
        <v>2</v>
      </c>
      <c r="D359" s="5">
        <v>36.5</v>
      </c>
      <c r="E359" s="3" t="s">
        <v>1055</v>
      </c>
      <c r="F359" s="2" t="s">
        <v>15</v>
      </c>
      <c r="G359" s="6" t="s">
        <v>181</v>
      </c>
      <c r="H359" s="2" t="s">
        <v>194</v>
      </c>
      <c r="I359" s="2" t="s">
        <v>195</v>
      </c>
      <c r="J359" s="2" t="s">
        <v>19</v>
      </c>
      <c r="K359" s="2" t="s">
        <v>438</v>
      </c>
      <c r="L359" s="7" t="str">
        <f>HYPERLINK("http://slimages.macys.com/is/image/MCY/11764614 ")</f>
        <v xml:space="preserve">http://slimages.macys.com/is/image/MCY/11764614 </v>
      </c>
    </row>
    <row r="360" spans="1:12" ht="24.75" x14ac:dyDescent="0.25">
      <c r="A360" s="4" t="s">
        <v>5723</v>
      </c>
      <c r="B360" s="2" t="s">
        <v>5724</v>
      </c>
      <c r="C360" s="3">
        <v>1</v>
      </c>
      <c r="D360" s="5">
        <v>39.5</v>
      </c>
      <c r="E360" s="3" t="s">
        <v>5725</v>
      </c>
      <c r="F360" s="2" t="s">
        <v>199</v>
      </c>
      <c r="G360" s="6" t="s">
        <v>156</v>
      </c>
      <c r="H360" s="2" t="s">
        <v>194</v>
      </c>
      <c r="I360" s="2" t="s">
        <v>195</v>
      </c>
      <c r="J360" s="2" t="s">
        <v>19</v>
      </c>
      <c r="K360" s="2" t="s">
        <v>34</v>
      </c>
      <c r="L360" s="7" t="str">
        <f>HYPERLINK("http://slimages.macys.com/is/image/MCY/11268654 ")</f>
        <v xml:space="preserve">http://slimages.macys.com/is/image/MCY/11268654 </v>
      </c>
    </row>
    <row r="361" spans="1:12" ht="24.75" x14ac:dyDescent="0.25">
      <c r="A361" s="4" t="s">
        <v>1061</v>
      </c>
      <c r="B361" s="2" t="s">
        <v>1062</v>
      </c>
      <c r="C361" s="3">
        <v>2</v>
      </c>
      <c r="D361" s="5">
        <v>36.5</v>
      </c>
      <c r="E361" s="3" t="s">
        <v>1063</v>
      </c>
      <c r="F361" s="2" t="s">
        <v>26</v>
      </c>
      <c r="G361" s="6" t="s">
        <v>154</v>
      </c>
      <c r="H361" s="2" t="s">
        <v>194</v>
      </c>
      <c r="I361" s="2" t="s">
        <v>195</v>
      </c>
      <c r="J361" s="2" t="s">
        <v>19</v>
      </c>
      <c r="K361" s="2" t="s">
        <v>247</v>
      </c>
      <c r="L361" s="7" t="str">
        <f>HYPERLINK("http://slimages.macys.com/is/image/MCY/11515386 ")</f>
        <v xml:space="preserve">http://slimages.macys.com/is/image/MCY/11515386 </v>
      </c>
    </row>
    <row r="362" spans="1:12" ht="24.75" x14ac:dyDescent="0.25">
      <c r="A362" s="4" t="s">
        <v>5726</v>
      </c>
      <c r="B362" s="2" t="s">
        <v>5727</v>
      </c>
      <c r="C362" s="3">
        <v>1</v>
      </c>
      <c r="D362" s="5">
        <v>33.380000000000003</v>
      </c>
      <c r="E362" s="3">
        <v>100028787</v>
      </c>
      <c r="F362" s="2" t="s">
        <v>33</v>
      </c>
      <c r="G362" s="6" t="s">
        <v>154</v>
      </c>
      <c r="H362" s="2" t="s">
        <v>194</v>
      </c>
      <c r="I362" s="2" t="s">
        <v>195</v>
      </c>
      <c r="J362" s="2" t="s">
        <v>19</v>
      </c>
      <c r="K362" s="2" t="s">
        <v>648</v>
      </c>
      <c r="L362" s="7" t="str">
        <f>HYPERLINK("http://slimages.macys.com/is/image/MCY/12035204 ")</f>
        <v xml:space="preserve">http://slimages.macys.com/is/image/MCY/12035204 </v>
      </c>
    </row>
    <row r="363" spans="1:12" ht="24.75" x14ac:dyDescent="0.25">
      <c r="A363" s="4" t="s">
        <v>5728</v>
      </c>
      <c r="B363" s="2" t="s">
        <v>5729</v>
      </c>
      <c r="C363" s="3">
        <v>1</v>
      </c>
      <c r="D363" s="5">
        <v>34.99</v>
      </c>
      <c r="E363" s="3" t="s">
        <v>5730</v>
      </c>
      <c r="F363" s="2" t="s">
        <v>413</v>
      </c>
      <c r="G363" s="6" t="s">
        <v>181</v>
      </c>
      <c r="H363" s="2" t="s">
        <v>284</v>
      </c>
      <c r="I363" s="2" t="s">
        <v>285</v>
      </c>
      <c r="J363" s="2" t="s">
        <v>19</v>
      </c>
      <c r="K363" s="2" t="s">
        <v>34</v>
      </c>
      <c r="L363" s="7" t="str">
        <f>HYPERLINK("http://slimages.macys.com/is/image/MCY/9728833 ")</f>
        <v xml:space="preserve">http://slimages.macys.com/is/image/MCY/9728833 </v>
      </c>
    </row>
    <row r="364" spans="1:12" ht="24.75" x14ac:dyDescent="0.25">
      <c r="A364" s="4" t="s">
        <v>5731</v>
      </c>
      <c r="B364" s="2" t="s">
        <v>4811</v>
      </c>
      <c r="C364" s="3">
        <v>1</v>
      </c>
      <c r="D364" s="5">
        <v>44.63</v>
      </c>
      <c r="E364" s="3" t="s">
        <v>4812</v>
      </c>
      <c r="F364" s="2" t="s">
        <v>15</v>
      </c>
      <c r="G364" s="6"/>
      <c r="H364" s="2" t="s">
        <v>312</v>
      </c>
      <c r="I364" s="2" t="s">
        <v>195</v>
      </c>
      <c r="J364" s="2" t="s">
        <v>19</v>
      </c>
      <c r="K364" s="2" t="s">
        <v>610</v>
      </c>
      <c r="L364" s="7" t="str">
        <f>HYPERLINK("http://slimages.macys.com/is/image/MCY/9821843 ")</f>
        <v xml:space="preserve">http://slimages.macys.com/is/image/MCY/9821843 </v>
      </c>
    </row>
    <row r="365" spans="1:12" ht="24.75" x14ac:dyDescent="0.25">
      <c r="A365" s="4" t="s">
        <v>5732</v>
      </c>
      <c r="B365" s="2" t="s">
        <v>2553</v>
      </c>
      <c r="C365" s="3">
        <v>1</v>
      </c>
      <c r="D365" s="5">
        <v>34.880000000000003</v>
      </c>
      <c r="E365" s="3">
        <v>100054401</v>
      </c>
      <c r="F365" s="2" t="s">
        <v>579</v>
      </c>
      <c r="G365" s="6" t="s">
        <v>58</v>
      </c>
      <c r="H365" s="2" t="s">
        <v>194</v>
      </c>
      <c r="I365" s="2" t="s">
        <v>195</v>
      </c>
      <c r="J365" s="2" t="s">
        <v>19</v>
      </c>
      <c r="K365" s="2" t="s">
        <v>353</v>
      </c>
      <c r="L365" s="7" t="str">
        <f>HYPERLINK("http://slimages.macys.com/is/image/MCY/12279828 ")</f>
        <v xml:space="preserve">http://slimages.macys.com/is/image/MCY/12279828 </v>
      </c>
    </row>
    <row r="366" spans="1:12" ht="24.75" x14ac:dyDescent="0.25">
      <c r="A366" s="4" t="s">
        <v>2554</v>
      </c>
      <c r="B366" s="2" t="s">
        <v>1069</v>
      </c>
      <c r="C366" s="3">
        <v>1</v>
      </c>
      <c r="D366" s="5">
        <v>34.5</v>
      </c>
      <c r="E366" s="3">
        <v>100050028</v>
      </c>
      <c r="F366" s="2" t="s">
        <v>180</v>
      </c>
      <c r="G366" s="6" t="s">
        <v>22</v>
      </c>
      <c r="H366" s="2" t="s">
        <v>228</v>
      </c>
      <c r="I366" s="2" t="s">
        <v>229</v>
      </c>
      <c r="J366" s="2" t="s">
        <v>19</v>
      </c>
      <c r="K366" s="2" t="s">
        <v>353</v>
      </c>
      <c r="L366" s="7" t="str">
        <f>HYPERLINK("http://slimages.macys.com/is/image/MCY/11527150 ")</f>
        <v xml:space="preserve">http://slimages.macys.com/is/image/MCY/11527150 </v>
      </c>
    </row>
    <row r="367" spans="1:12" ht="24.75" x14ac:dyDescent="0.25">
      <c r="A367" s="4" t="s">
        <v>5733</v>
      </c>
      <c r="B367" s="2" t="s">
        <v>5734</v>
      </c>
      <c r="C367" s="3">
        <v>1</v>
      </c>
      <c r="D367" s="5">
        <v>47.6</v>
      </c>
      <c r="E367" s="3" t="s">
        <v>5735</v>
      </c>
      <c r="F367" s="2" t="s">
        <v>38</v>
      </c>
      <c r="G367" s="6" t="s">
        <v>234</v>
      </c>
      <c r="H367" s="2" t="s">
        <v>246</v>
      </c>
      <c r="I367" s="2" t="s">
        <v>189</v>
      </c>
      <c r="J367" s="2" t="s">
        <v>19</v>
      </c>
      <c r="K367" s="2" t="s">
        <v>137</v>
      </c>
      <c r="L367" s="7" t="str">
        <f>HYPERLINK("http://slimages.macys.com/is/image/MCY/10465223 ")</f>
        <v xml:space="preserve">http://slimages.macys.com/is/image/MCY/10465223 </v>
      </c>
    </row>
    <row r="368" spans="1:12" ht="24.75" x14ac:dyDescent="0.25">
      <c r="A368" s="4" t="s">
        <v>2556</v>
      </c>
      <c r="B368" s="2" t="s">
        <v>898</v>
      </c>
      <c r="C368" s="3">
        <v>1</v>
      </c>
      <c r="D368" s="5">
        <v>37.130000000000003</v>
      </c>
      <c r="E368" s="3">
        <v>100009193</v>
      </c>
      <c r="F368" s="2" t="s">
        <v>506</v>
      </c>
      <c r="G368" s="6" t="s">
        <v>106</v>
      </c>
      <c r="H368" s="2" t="s">
        <v>194</v>
      </c>
      <c r="I368" s="2" t="s">
        <v>503</v>
      </c>
      <c r="J368" s="2" t="s">
        <v>19</v>
      </c>
      <c r="K368" s="2" t="s">
        <v>353</v>
      </c>
      <c r="L368" s="7" t="str">
        <f t="shared" ref="L368:L381" si="3">HYPERLINK("http://slimages.macys.com/is/image/MCY/11804644 ")</f>
        <v xml:space="preserve">http://slimages.macys.com/is/image/MCY/11804644 </v>
      </c>
    </row>
    <row r="369" spans="1:12" ht="24.75" x14ac:dyDescent="0.25">
      <c r="A369" s="4" t="s">
        <v>5736</v>
      </c>
      <c r="B369" s="2" t="s">
        <v>898</v>
      </c>
      <c r="C369" s="3">
        <v>1</v>
      </c>
      <c r="D369" s="5">
        <v>37.130000000000003</v>
      </c>
      <c r="E369" s="3">
        <v>100009193</v>
      </c>
      <c r="F369" s="2" t="s">
        <v>506</v>
      </c>
      <c r="G369" s="6" t="s">
        <v>58</v>
      </c>
      <c r="H369" s="2" t="s">
        <v>194</v>
      </c>
      <c r="I369" s="2" t="s">
        <v>503</v>
      </c>
      <c r="J369" s="2" t="s">
        <v>19</v>
      </c>
      <c r="K369" s="2" t="s">
        <v>353</v>
      </c>
      <c r="L369" s="7" t="str">
        <f t="shared" si="3"/>
        <v xml:space="preserve">http://slimages.macys.com/is/image/MCY/11804644 </v>
      </c>
    </row>
    <row r="370" spans="1:12" ht="24.75" x14ac:dyDescent="0.25">
      <c r="A370" s="4" t="s">
        <v>5737</v>
      </c>
      <c r="B370" s="2" t="s">
        <v>898</v>
      </c>
      <c r="C370" s="3">
        <v>1</v>
      </c>
      <c r="D370" s="5">
        <v>37.130000000000003</v>
      </c>
      <c r="E370" s="3">
        <v>100009193</v>
      </c>
      <c r="F370" s="2" t="s">
        <v>26</v>
      </c>
      <c r="G370" s="6" t="s">
        <v>65</v>
      </c>
      <c r="H370" s="2" t="s">
        <v>194</v>
      </c>
      <c r="I370" s="2" t="s">
        <v>503</v>
      </c>
      <c r="J370" s="2" t="s">
        <v>19</v>
      </c>
      <c r="K370" s="2" t="s">
        <v>353</v>
      </c>
      <c r="L370" s="7" t="str">
        <f t="shared" si="3"/>
        <v xml:space="preserve">http://slimages.macys.com/is/image/MCY/11804644 </v>
      </c>
    </row>
    <row r="371" spans="1:12" ht="24.75" x14ac:dyDescent="0.25">
      <c r="A371" s="4" t="s">
        <v>5738</v>
      </c>
      <c r="B371" s="2" t="s">
        <v>898</v>
      </c>
      <c r="C371" s="3">
        <v>1</v>
      </c>
      <c r="D371" s="5">
        <v>37.130000000000003</v>
      </c>
      <c r="E371" s="3">
        <v>100009193</v>
      </c>
      <c r="F371" s="2" t="s">
        <v>566</v>
      </c>
      <c r="G371" s="6" t="s">
        <v>27</v>
      </c>
      <c r="H371" s="2" t="s">
        <v>194</v>
      </c>
      <c r="I371" s="2" t="s">
        <v>503</v>
      </c>
      <c r="J371" s="2" t="s">
        <v>19</v>
      </c>
      <c r="K371" s="2" t="s">
        <v>353</v>
      </c>
      <c r="L371" s="7" t="str">
        <f t="shared" si="3"/>
        <v xml:space="preserve">http://slimages.macys.com/is/image/MCY/11804644 </v>
      </c>
    </row>
    <row r="372" spans="1:12" ht="24.75" x14ac:dyDescent="0.25">
      <c r="A372" s="4" t="s">
        <v>1071</v>
      </c>
      <c r="B372" s="2" t="s">
        <v>898</v>
      </c>
      <c r="C372" s="3">
        <v>1</v>
      </c>
      <c r="D372" s="5">
        <v>37.130000000000003</v>
      </c>
      <c r="E372" s="3">
        <v>100009193</v>
      </c>
      <c r="F372" s="2" t="s">
        <v>506</v>
      </c>
      <c r="G372" s="6" t="s">
        <v>141</v>
      </c>
      <c r="H372" s="2" t="s">
        <v>194</v>
      </c>
      <c r="I372" s="2" t="s">
        <v>503</v>
      </c>
      <c r="J372" s="2" t="s">
        <v>19</v>
      </c>
      <c r="K372" s="2" t="s">
        <v>353</v>
      </c>
      <c r="L372" s="7" t="str">
        <f t="shared" si="3"/>
        <v xml:space="preserve">http://slimages.macys.com/is/image/MCY/11804644 </v>
      </c>
    </row>
    <row r="373" spans="1:12" ht="24.75" x14ac:dyDescent="0.25">
      <c r="A373" s="4" t="s">
        <v>5739</v>
      </c>
      <c r="B373" s="2" t="s">
        <v>898</v>
      </c>
      <c r="C373" s="3">
        <v>1</v>
      </c>
      <c r="D373" s="5">
        <v>37.130000000000003</v>
      </c>
      <c r="E373" s="3">
        <v>100009193</v>
      </c>
      <c r="F373" s="2" t="s">
        <v>506</v>
      </c>
      <c r="G373" s="6" t="s">
        <v>65</v>
      </c>
      <c r="H373" s="2" t="s">
        <v>194</v>
      </c>
      <c r="I373" s="2" t="s">
        <v>503</v>
      </c>
      <c r="J373" s="2" t="s">
        <v>19</v>
      </c>
      <c r="K373" s="2" t="s">
        <v>353</v>
      </c>
      <c r="L373" s="7" t="str">
        <f t="shared" si="3"/>
        <v xml:space="preserve">http://slimages.macys.com/is/image/MCY/11804644 </v>
      </c>
    </row>
    <row r="374" spans="1:12" ht="24.75" x14ac:dyDescent="0.25">
      <c r="A374" s="4" t="s">
        <v>5740</v>
      </c>
      <c r="B374" s="2" t="s">
        <v>898</v>
      </c>
      <c r="C374" s="3">
        <v>1</v>
      </c>
      <c r="D374" s="5">
        <v>37.130000000000003</v>
      </c>
      <c r="E374" s="3">
        <v>100009193</v>
      </c>
      <c r="F374" s="2" t="s">
        <v>26</v>
      </c>
      <c r="G374" s="6" t="s">
        <v>112</v>
      </c>
      <c r="H374" s="2" t="s">
        <v>194</v>
      </c>
      <c r="I374" s="2" t="s">
        <v>503</v>
      </c>
      <c r="J374" s="2" t="s">
        <v>19</v>
      </c>
      <c r="K374" s="2" t="s">
        <v>353</v>
      </c>
      <c r="L374" s="7" t="str">
        <f t="shared" si="3"/>
        <v xml:space="preserve">http://slimages.macys.com/is/image/MCY/11804644 </v>
      </c>
    </row>
    <row r="375" spans="1:12" ht="24.75" x14ac:dyDescent="0.25">
      <c r="A375" s="4" t="s">
        <v>1070</v>
      </c>
      <c r="B375" s="2" t="s">
        <v>898</v>
      </c>
      <c r="C375" s="3">
        <v>3</v>
      </c>
      <c r="D375" s="5">
        <v>37.130000000000003</v>
      </c>
      <c r="E375" s="3">
        <v>100009193</v>
      </c>
      <c r="F375" s="2" t="s">
        <v>506</v>
      </c>
      <c r="G375" s="6" t="s">
        <v>16</v>
      </c>
      <c r="H375" s="2" t="s">
        <v>194</v>
      </c>
      <c r="I375" s="2" t="s">
        <v>503</v>
      </c>
      <c r="J375" s="2" t="s">
        <v>19</v>
      </c>
      <c r="K375" s="2" t="s">
        <v>353</v>
      </c>
      <c r="L375" s="7" t="str">
        <f t="shared" si="3"/>
        <v xml:space="preserve">http://slimages.macys.com/is/image/MCY/11804644 </v>
      </c>
    </row>
    <row r="376" spans="1:12" ht="24.75" x14ac:dyDescent="0.25">
      <c r="A376" s="4" t="s">
        <v>5741</v>
      </c>
      <c r="B376" s="2" t="s">
        <v>898</v>
      </c>
      <c r="C376" s="3">
        <v>1</v>
      </c>
      <c r="D376" s="5">
        <v>37.130000000000003</v>
      </c>
      <c r="E376" s="3">
        <v>100009193</v>
      </c>
      <c r="F376" s="2" t="s">
        <v>566</v>
      </c>
      <c r="G376" s="6" t="s">
        <v>141</v>
      </c>
      <c r="H376" s="2" t="s">
        <v>194</v>
      </c>
      <c r="I376" s="2" t="s">
        <v>503</v>
      </c>
      <c r="J376" s="2" t="s">
        <v>19</v>
      </c>
      <c r="K376" s="2" t="s">
        <v>353</v>
      </c>
      <c r="L376" s="7" t="str">
        <f t="shared" si="3"/>
        <v xml:space="preserve">http://slimages.macys.com/is/image/MCY/11804644 </v>
      </c>
    </row>
    <row r="377" spans="1:12" ht="24.75" x14ac:dyDescent="0.25">
      <c r="A377" s="4" t="s">
        <v>5742</v>
      </c>
      <c r="B377" s="2" t="s">
        <v>898</v>
      </c>
      <c r="C377" s="3">
        <v>1</v>
      </c>
      <c r="D377" s="5">
        <v>37.130000000000003</v>
      </c>
      <c r="E377" s="3">
        <v>100009193</v>
      </c>
      <c r="F377" s="2" t="s">
        <v>566</v>
      </c>
      <c r="G377" s="6" t="s">
        <v>16</v>
      </c>
      <c r="H377" s="2" t="s">
        <v>194</v>
      </c>
      <c r="I377" s="2" t="s">
        <v>503</v>
      </c>
      <c r="J377" s="2" t="s">
        <v>19</v>
      </c>
      <c r="K377" s="2" t="s">
        <v>353</v>
      </c>
      <c r="L377" s="7" t="str">
        <f t="shared" si="3"/>
        <v xml:space="preserve">http://slimages.macys.com/is/image/MCY/11804644 </v>
      </c>
    </row>
    <row r="378" spans="1:12" ht="24.75" x14ac:dyDescent="0.25">
      <c r="A378" s="4" t="s">
        <v>5743</v>
      </c>
      <c r="B378" s="2" t="s">
        <v>898</v>
      </c>
      <c r="C378" s="3">
        <v>1</v>
      </c>
      <c r="D378" s="5">
        <v>37.130000000000003</v>
      </c>
      <c r="E378" s="3">
        <v>100009193</v>
      </c>
      <c r="F378" s="2" t="s">
        <v>15</v>
      </c>
      <c r="G378" s="6" t="s">
        <v>16</v>
      </c>
      <c r="H378" s="2" t="s">
        <v>194</v>
      </c>
      <c r="I378" s="2" t="s">
        <v>503</v>
      </c>
      <c r="J378" s="2" t="s">
        <v>19</v>
      </c>
      <c r="K378" s="2" t="s">
        <v>353</v>
      </c>
      <c r="L378" s="7" t="str">
        <f t="shared" si="3"/>
        <v xml:space="preserve">http://slimages.macys.com/is/image/MCY/11804644 </v>
      </c>
    </row>
    <row r="379" spans="1:12" ht="24.75" x14ac:dyDescent="0.25">
      <c r="A379" s="4" t="s">
        <v>2560</v>
      </c>
      <c r="B379" s="2" t="s">
        <v>898</v>
      </c>
      <c r="C379" s="3">
        <v>2</v>
      </c>
      <c r="D379" s="5">
        <v>37.130000000000003</v>
      </c>
      <c r="E379" s="3">
        <v>100009193</v>
      </c>
      <c r="F379" s="2" t="s">
        <v>506</v>
      </c>
      <c r="G379" s="6" t="s">
        <v>27</v>
      </c>
      <c r="H379" s="2" t="s">
        <v>194</v>
      </c>
      <c r="I379" s="2" t="s">
        <v>503</v>
      </c>
      <c r="J379" s="2" t="s">
        <v>19</v>
      </c>
      <c r="K379" s="2" t="s">
        <v>353</v>
      </c>
      <c r="L379" s="7" t="str">
        <f t="shared" si="3"/>
        <v xml:space="preserve">http://slimages.macys.com/is/image/MCY/11804644 </v>
      </c>
    </row>
    <row r="380" spans="1:12" ht="24.75" x14ac:dyDescent="0.25">
      <c r="A380" s="4" t="s">
        <v>2561</v>
      </c>
      <c r="B380" s="2" t="s">
        <v>898</v>
      </c>
      <c r="C380" s="3">
        <v>1</v>
      </c>
      <c r="D380" s="5">
        <v>37.130000000000003</v>
      </c>
      <c r="E380" s="3">
        <v>100009193</v>
      </c>
      <c r="F380" s="2" t="s">
        <v>566</v>
      </c>
      <c r="G380" s="6" t="s">
        <v>106</v>
      </c>
      <c r="H380" s="2" t="s">
        <v>194</v>
      </c>
      <c r="I380" s="2" t="s">
        <v>503</v>
      </c>
      <c r="J380" s="2" t="s">
        <v>19</v>
      </c>
      <c r="K380" s="2" t="s">
        <v>353</v>
      </c>
      <c r="L380" s="7" t="str">
        <f t="shared" si="3"/>
        <v xml:space="preserve">http://slimages.macys.com/is/image/MCY/11804644 </v>
      </c>
    </row>
    <row r="381" spans="1:12" ht="24.75" x14ac:dyDescent="0.25">
      <c r="A381" s="4" t="s">
        <v>5744</v>
      </c>
      <c r="B381" s="2" t="s">
        <v>898</v>
      </c>
      <c r="C381" s="3">
        <v>1</v>
      </c>
      <c r="D381" s="5">
        <v>37.130000000000003</v>
      </c>
      <c r="E381" s="3">
        <v>100009193</v>
      </c>
      <c r="F381" s="2" t="s">
        <v>15</v>
      </c>
      <c r="G381" s="6" t="s">
        <v>22</v>
      </c>
      <c r="H381" s="2" t="s">
        <v>194</v>
      </c>
      <c r="I381" s="2" t="s">
        <v>503</v>
      </c>
      <c r="J381" s="2" t="s">
        <v>19</v>
      </c>
      <c r="K381" s="2" t="s">
        <v>353</v>
      </c>
      <c r="L381" s="7" t="str">
        <f t="shared" si="3"/>
        <v xml:space="preserve">http://slimages.macys.com/is/image/MCY/11804644 </v>
      </c>
    </row>
    <row r="382" spans="1:12" ht="24.75" x14ac:dyDescent="0.25">
      <c r="A382" s="4" t="s">
        <v>5745</v>
      </c>
      <c r="B382" s="2" t="s">
        <v>5746</v>
      </c>
      <c r="C382" s="3">
        <v>1</v>
      </c>
      <c r="D382" s="5">
        <v>59.5</v>
      </c>
      <c r="E382" s="3" t="s">
        <v>5747</v>
      </c>
      <c r="F382" s="2" t="s">
        <v>74</v>
      </c>
      <c r="G382" s="6" t="s">
        <v>363</v>
      </c>
      <c r="H382" s="2" t="s">
        <v>206</v>
      </c>
      <c r="I382" s="2" t="s">
        <v>207</v>
      </c>
      <c r="J382" s="2" t="s">
        <v>19</v>
      </c>
      <c r="K382" s="2" t="s">
        <v>409</v>
      </c>
      <c r="L382" s="7" t="str">
        <f>HYPERLINK("http://slimages.macys.com/is/image/MCY/9796578 ")</f>
        <v xml:space="preserve">http://slimages.macys.com/is/image/MCY/9796578 </v>
      </c>
    </row>
    <row r="383" spans="1:12" ht="24.75" x14ac:dyDescent="0.25">
      <c r="A383" s="4" t="s">
        <v>5748</v>
      </c>
      <c r="B383" s="2" t="s">
        <v>2542</v>
      </c>
      <c r="C383" s="3">
        <v>1</v>
      </c>
      <c r="D383" s="5">
        <v>59.5</v>
      </c>
      <c r="E383" s="3">
        <v>100061924</v>
      </c>
      <c r="F383" s="2" t="s">
        <v>64</v>
      </c>
      <c r="G383" s="6" t="s">
        <v>27</v>
      </c>
      <c r="H383" s="2" t="s">
        <v>386</v>
      </c>
      <c r="I383" s="2" t="s">
        <v>207</v>
      </c>
      <c r="J383" s="2" t="s">
        <v>19</v>
      </c>
      <c r="K383" s="2" t="s">
        <v>1251</v>
      </c>
      <c r="L383" s="7" t="str">
        <f>HYPERLINK("http://slimages.macys.com/is/image/MCY/11963036 ")</f>
        <v xml:space="preserve">http://slimages.macys.com/is/image/MCY/11963036 </v>
      </c>
    </row>
    <row r="384" spans="1:12" ht="24.75" x14ac:dyDescent="0.25">
      <c r="A384" s="4" t="s">
        <v>2569</v>
      </c>
      <c r="B384" s="2" t="s">
        <v>2566</v>
      </c>
      <c r="C384" s="3">
        <v>1</v>
      </c>
      <c r="D384" s="5">
        <v>34.880000000000003</v>
      </c>
      <c r="E384" s="3" t="s">
        <v>2567</v>
      </c>
      <c r="F384" s="2" t="s">
        <v>15</v>
      </c>
      <c r="G384" s="6" t="s">
        <v>794</v>
      </c>
      <c r="H384" s="2" t="s">
        <v>632</v>
      </c>
      <c r="I384" s="2" t="s">
        <v>2548</v>
      </c>
      <c r="J384" s="2" t="s">
        <v>19</v>
      </c>
      <c r="K384" s="2" t="s">
        <v>34</v>
      </c>
      <c r="L384" s="7" t="str">
        <f>HYPERLINK("http://slimages.macys.com/is/image/MCY/12716939 ")</f>
        <v xml:space="preserve">http://slimages.macys.com/is/image/MCY/12716939 </v>
      </c>
    </row>
    <row r="385" spans="1:12" ht="24.75" x14ac:dyDescent="0.25">
      <c r="A385" s="4" t="s">
        <v>5749</v>
      </c>
      <c r="B385" s="2" t="s">
        <v>890</v>
      </c>
      <c r="C385" s="3">
        <v>1</v>
      </c>
      <c r="D385" s="5">
        <v>34.5</v>
      </c>
      <c r="E385" s="3" t="s">
        <v>4818</v>
      </c>
      <c r="F385" s="2" t="s">
        <v>193</v>
      </c>
      <c r="G385" s="6" t="s">
        <v>112</v>
      </c>
      <c r="H385" s="2" t="s">
        <v>228</v>
      </c>
      <c r="I385" s="2" t="s">
        <v>863</v>
      </c>
      <c r="J385" s="2" t="s">
        <v>19</v>
      </c>
      <c r="K385" s="2" t="s">
        <v>253</v>
      </c>
      <c r="L385" s="7" t="str">
        <f>HYPERLINK("http://slimages.macys.com/is/image/MCY/11804239 ")</f>
        <v xml:space="preserve">http://slimages.macys.com/is/image/MCY/11804239 </v>
      </c>
    </row>
    <row r="386" spans="1:12" ht="24.75" x14ac:dyDescent="0.25">
      <c r="A386" s="4" t="s">
        <v>5750</v>
      </c>
      <c r="B386" s="2" t="s">
        <v>890</v>
      </c>
      <c r="C386" s="3">
        <v>1</v>
      </c>
      <c r="D386" s="5">
        <v>34.5</v>
      </c>
      <c r="E386" s="3" t="s">
        <v>4818</v>
      </c>
      <c r="F386" s="2" t="s">
        <v>193</v>
      </c>
      <c r="G386" s="6" t="s">
        <v>22</v>
      </c>
      <c r="H386" s="2" t="s">
        <v>228</v>
      </c>
      <c r="I386" s="2" t="s">
        <v>863</v>
      </c>
      <c r="J386" s="2" t="s">
        <v>19</v>
      </c>
      <c r="K386" s="2" t="s">
        <v>253</v>
      </c>
      <c r="L386" s="7" t="str">
        <f>HYPERLINK("http://slimages.macys.com/is/image/MCY/11804239 ")</f>
        <v xml:space="preserve">http://slimages.macys.com/is/image/MCY/11804239 </v>
      </c>
    </row>
    <row r="387" spans="1:12" ht="24.75" x14ac:dyDescent="0.25">
      <c r="A387" s="4" t="s">
        <v>5751</v>
      </c>
      <c r="B387" s="2" t="s">
        <v>1080</v>
      </c>
      <c r="C387" s="3">
        <v>1</v>
      </c>
      <c r="D387" s="5">
        <v>33.380000000000003</v>
      </c>
      <c r="E387" s="3" t="s">
        <v>1081</v>
      </c>
      <c r="F387" s="2" t="s">
        <v>252</v>
      </c>
      <c r="G387" s="6" t="s">
        <v>156</v>
      </c>
      <c r="H387" s="2" t="s">
        <v>194</v>
      </c>
      <c r="I387" s="2" t="s">
        <v>195</v>
      </c>
      <c r="J387" s="2" t="s">
        <v>19</v>
      </c>
      <c r="K387" s="2" t="s">
        <v>1082</v>
      </c>
      <c r="L387" s="7" t="str">
        <f>HYPERLINK("http://slimages.macys.com/is/image/MCY/13120798 ")</f>
        <v xml:space="preserve">http://slimages.macys.com/is/image/MCY/13120798 </v>
      </c>
    </row>
    <row r="388" spans="1:12" ht="24.75" x14ac:dyDescent="0.25">
      <c r="A388" s="4" t="s">
        <v>1079</v>
      </c>
      <c r="B388" s="2" t="s">
        <v>1080</v>
      </c>
      <c r="C388" s="3">
        <v>1</v>
      </c>
      <c r="D388" s="5">
        <v>33.380000000000003</v>
      </c>
      <c r="E388" s="3" t="s">
        <v>1081</v>
      </c>
      <c r="F388" s="2" t="s">
        <v>252</v>
      </c>
      <c r="G388" s="6" t="s">
        <v>245</v>
      </c>
      <c r="H388" s="2" t="s">
        <v>194</v>
      </c>
      <c r="I388" s="2" t="s">
        <v>195</v>
      </c>
      <c r="J388" s="2" t="s">
        <v>19</v>
      </c>
      <c r="K388" s="2" t="s">
        <v>1082</v>
      </c>
      <c r="L388" s="7" t="str">
        <f>HYPERLINK("http://slimages.macys.com/is/image/MCY/13120798 ")</f>
        <v xml:space="preserve">http://slimages.macys.com/is/image/MCY/13120798 </v>
      </c>
    </row>
    <row r="389" spans="1:12" ht="24.75" x14ac:dyDescent="0.25">
      <c r="A389" s="4" t="s">
        <v>5752</v>
      </c>
      <c r="B389" s="2" t="s">
        <v>1080</v>
      </c>
      <c r="C389" s="3">
        <v>1</v>
      </c>
      <c r="D389" s="5">
        <v>33.380000000000003</v>
      </c>
      <c r="E389" s="3" t="s">
        <v>1081</v>
      </c>
      <c r="F389" s="2" t="s">
        <v>252</v>
      </c>
      <c r="G389" s="6" t="s">
        <v>181</v>
      </c>
      <c r="H389" s="2" t="s">
        <v>194</v>
      </c>
      <c r="I389" s="2" t="s">
        <v>195</v>
      </c>
      <c r="J389" s="2" t="s">
        <v>19</v>
      </c>
      <c r="K389" s="2" t="s">
        <v>1082</v>
      </c>
      <c r="L389" s="7" t="str">
        <f>HYPERLINK("http://slimages.macys.com/is/image/MCY/13120798 ")</f>
        <v xml:space="preserve">http://slimages.macys.com/is/image/MCY/13120798 </v>
      </c>
    </row>
    <row r="390" spans="1:12" ht="24.75" x14ac:dyDescent="0.25">
      <c r="A390" s="4" t="s">
        <v>5753</v>
      </c>
      <c r="B390" s="2" t="s">
        <v>4823</v>
      </c>
      <c r="C390" s="3">
        <v>1</v>
      </c>
      <c r="D390" s="5">
        <v>27.99</v>
      </c>
      <c r="E390" s="3" t="s">
        <v>5754</v>
      </c>
      <c r="F390" s="2" t="s">
        <v>94</v>
      </c>
      <c r="G390" s="6" t="s">
        <v>154</v>
      </c>
      <c r="H390" s="2" t="s">
        <v>194</v>
      </c>
      <c r="I390" s="2" t="s">
        <v>919</v>
      </c>
      <c r="J390" s="2" t="s">
        <v>19</v>
      </c>
      <c r="K390" s="2" t="s">
        <v>409</v>
      </c>
      <c r="L390" s="7" t="str">
        <f>HYPERLINK("http://slimages.macys.com/is/image/MCY/3244804 ")</f>
        <v xml:space="preserve">http://slimages.macys.com/is/image/MCY/3244804 </v>
      </c>
    </row>
    <row r="391" spans="1:12" x14ac:dyDescent="0.25">
      <c r="A391" s="4" t="s">
        <v>5755</v>
      </c>
      <c r="B391" s="2" t="s">
        <v>1101</v>
      </c>
      <c r="C391" s="3">
        <v>1</v>
      </c>
      <c r="D391" s="5">
        <v>39.5</v>
      </c>
      <c r="E391" s="3" t="s">
        <v>1102</v>
      </c>
      <c r="F391" s="2" t="s">
        <v>506</v>
      </c>
      <c r="G391" s="6" t="s">
        <v>187</v>
      </c>
      <c r="H391" s="2" t="s">
        <v>206</v>
      </c>
      <c r="I391" s="2" t="s">
        <v>207</v>
      </c>
      <c r="J391" s="2" t="s">
        <v>19</v>
      </c>
      <c r="K391" s="2" t="s">
        <v>160</v>
      </c>
      <c r="L391" s="7" t="str">
        <f>HYPERLINK("http://slimages.macys.com/is/image/MCY/10453045 ")</f>
        <v xml:space="preserve">http://slimages.macys.com/is/image/MCY/10453045 </v>
      </c>
    </row>
    <row r="392" spans="1:12" ht="24.75" x14ac:dyDescent="0.25">
      <c r="A392" s="4" t="s">
        <v>5756</v>
      </c>
      <c r="B392" s="2" t="s">
        <v>1394</v>
      </c>
      <c r="C392" s="3">
        <v>1</v>
      </c>
      <c r="D392" s="5">
        <v>37.130000000000003</v>
      </c>
      <c r="E392" s="3" t="s">
        <v>5757</v>
      </c>
      <c r="F392" s="2" t="s">
        <v>53</v>
      </c>
      <c r="G392" s="6" t="s">
        <v>156</v>
      </c>
      <c r="H392" s="2" t="s">
        <v>194</v>
      </c>
      <c r="I392" s="2" t="s">
        <v>195</v>
      </c>
      <c r="J392" s="2" t="s">
        <v>19</v>
      </c>
      <c r="K392" s="2" t="s">
        <v>34</v>
      </c>
      <c r="L392" s="7" t="str">
        <f>HYPERLINK("http://slimages.macys.com/is/image/MCY/13367997 ")</f>
        <v xml:space="preserve">http://slimages.macys.com/is/image/MCY/13367997 </v>
      </c>
    </row>
    <row r="393" spans="1:12" ht="24.75" x14ac:dyDescent="0.25">
      <c r="A393" s="4" t="s">
        <v>5758</v>
      </c>
      <c r="B393" s="2" t="s">
        <v>5759</v>
      </c>
      <c r="C393" s="3">
        <v>1</v>
      </c>
      <c r="D393" s="5">
        <v>37.130000000000003</v>
      </c>
      <c r="E393" s="3">
        <v>100054435</v>
      </c>
      <c r="F393" s="2" t="s">
        <v>199</v>
      </c>
      <c r="G393" s="6" t="s">
        <v>181</v>
      </c>
      <c r="H393" s="2" t="s">
        <v>194</v>
      </c>
      <c r="I393" s="2" t="s">
        <v>857</v>
      </c>
      <c r="J393" s="2" t="s">
        <v>19</v>
      </c>
      <c r="K393" s="2" t="s">
        <v>201</v>
      </c>
      <c r="L393" s="7" t="str">
        <f>HYPERLINK("http://slimages.macys.com/is/image/MCY/12279823 ")</f>
        <v xml:space="preserve">http://slimages.macys.com/is/image/MCY/12279823 </v>
      </c>
    </row>
    <row r="394" spans="1:12" ht="24.75" x14ac:dyDescent="0.25">
      <c r="A394" s="4" t="s">
        <v>5760</v>
      </c>
      <c r="B394" s="2" t="s">
        <v>1106</v>
      </c>
      <c r="C394" s="3">
        <v>1</v>
      </c>
      <c r="D394" s="5">
        <v>32.5</v>
      </c>
      <c r="E394" s="3" t="s">
        <v>1107</v>
      </c>
      <c r="F394" s="2" t="s">
        <v>15</v>
      </c>
      <c r="G394" s="6" t="s">
        <v>154</v>
      </c>
      <c r="H394" s="2" t="s">
        <v>194</v>
      </c>
      <c r="I394" s="2" t="s">
        <v>195</v>
      </c>
      <c r="J394" s="2" t="s">
        <v>19</v>
      </c>
      <c r="K394" s="2" t="s">
        <v>1108</v>
      </c>
      <c r="L394" s="7" t="str">
        <f>HYPERLINK("http://slimages.macys.com/is/image/MCY/11764459 ")</f>
        <v xml:space="preserve">http://slimages.macys.com/is/image/MCY/11764459 </v>
      </c>
    </row>
    <row r="395" spans="1:12" ht="24.75" x14ac:dyDescent="0.25">
      <c r="A395" s="4" t="s">
        <v>5761</v>
      </c>
      <c r="B395" s="2" t="s">
        <v>1106</v>
      </c>
      <c r="C395" s="3">
        <v>1</v>
      </c>
      <c r="D395" s="5">
        <v>33.380000000000003</v>
      </c>
      <c r="E395" s="3" t="s">
        <v>5762</v>
      </c>
      <c r="F395" s="2" t="s">
        <v>26</v>
      </c>
      <c r="G395" s="6" t="s">
        <v>245</v>
      </c>
      <c r="H395" s="2" t="s">
        <v>194</v>
      </c>
      <c r="I395" s="2" t="s">
        <v>195</v>
      </c>
      <c r="J395" s="2" t="s">
        <v>19</v>
      </c>
      <c r="K395" s="2" t="s">
        <v>1108</v>
      </c>
      <c r="L395" s="7" t="str">
        <f>HYPERLINK("http://slimages.macys.com/is/image/MCY/11764459 ")</f>
        <v xml:space="preserve">http://slimages.macys.com/is/image/MCY/11764459 </v>
      </c>
    </row>
    <row r="396" spans="1:12" ht="24.75" x14ac:dyDescent="0.25">
      <c r="A396" s="4" t="s">
        <v>4833</v>
      </c>
      <c r="B396" s="2" t="s">
        <v>1106</v>
      </c>
      <c r="C396" s="3">
        <v>1</v>
      </c>
      <c r="D396" s="5">
        <v>32.5</v>
      </c>
      <c r="E396" s="3" t="s">
        <v>4834</v>
      </c>
      <c r="F396" s="2" t="s">
        <v>74</v>
      </c>
      <c r="G396" s="6" t="s">
        <v>156</v>
      </c>
      <c r="H396" s="2" t="s">
        <v>194</v>
      </c>
      <c r="I396" s="2" t="s">
        <v>195</v>
      </c>
      <c r="J396" s="2" t="s">
        <v>19</v>
      </c>
      <c r="K396" s="2" t="s">
        <v>1108</v>
      </c>
      <c r="L396" s="7" t="str">
        <f>HYPERLINK("http://slimages.macys.com/is/image/MCY/11526915 ")</f>
        <v xml:space="preserve">http://slimages.macys.com/is/image/MCY/11526915 </v>
      </c>
    </row>
    <row r="397" spans="1:12" ht="24.75" x14ac:dyDescent="0.25">
      <c r="A397" s="4" t="s">
        <v>5763</v>
      </c>
      <c r="B397" s="2" t="s">
        <v>1106</v>
      </c>
      <c r="C397" s="3">
        <v>2</v>
      </c>
      <c r="D397" s="5">
        <v>32.5</v>
      </c>
      <c r="E397" s="3" t="s">
        <v>4834</v>
      </c>
      <c r="F397" s="2" t="s">
        <v>74</v>
      </c>
      <c r="G397" s="6" t="s">
        <v>234</v>
      </c>
      <c r="H397" s="2" t="s">
        <v>194</v>
      </c>
      <c r="I397" s="2" t="s">
        <v>195</v>
      </c>
      <c r="J397" s="2" t="s">
        <v>19</v>
      </c>
      <c r="K397" s="2" t="s">
        <v>1108</v>
      </c>
      <c r="L397" s="7" t="str">
        <f>HYPERLINK("http://slimages.macys.com/is/image/MCY/11526915 ")</f>
        <v xml:space="preserve">http://slimages.macys.com/is/image/MCY/11526915 </v>
      </c>
    </row>
    <row r="398" spans="1:12" ht="24.75" x14ac:dyDescent="0.25">
      <c r="A398" s="4" t="s">
        <v>5764</v>
      </c>
      <c r="B398" s="2" t="s">
        <v>1106</v>
      </c>
      <c r="C398" s="3">
        <v>1</v>
      </c>
      <c r="D398" s="5">
        <v>33.380000000000003</v>
      </c>
      <c r="E398" s="3" t="s">
        <v>5762</v>
      </c>
      <c r="F398" s="2" t="s">
        <v>26</v>
      </c>
      <c r="G398" s="6" t="s">
        <v>154</v>
      </c>
      <c r="H398" s="2" t="s">
        <v>194</v>
      </c>
      <c r="I398" s="2" t="s">
        <v>195</v>
      </c>
      <c r="J398" s="2" t="s">
        <v>19</v>
      </c>
      <c r="K398" s="2" t="s">
        <v>1108</v>
      </c>
      <c r="L398" s="7" t="str">
        <f>HYPERLINK("http://slimages.macys.com/is/image/MCY/11764459 ")</f>
        <v xml:space="preserve">http://slimages.macys.com/is/image/MCY/11764459 </v>
      </c>
    </row>
    <row r="399" spans="1:12" ht="24.75" x14ac:dyDescent="0.25">
      <c r="A399" s="4" t="s">
        <v>5765</v>
      </c>
      <c r="B399" s="2" t="s">
        <v>1106</v>
      </c>
      <c r="C399" s="3">
        <v>1</v>
      </c>
      <c r="D399" s="5">
        <v>32.5</v>
      </c>
      <c r="E399" s="3" t="s">
        <v>4834</v>
      </c>
      <c r="F399" s="2" t="s">
        <v>74</v>
      </c>
      <c r="G399" s="6" t="s">
        <v>154</v>
      </c>
      <c r="H399" s="2" t="s">
        <v>194</v>
      </c>
      <c r="I399" s="2" t="s">
        <v>195</v>
      </c>
      <c r="J399" s="2" t="s">
        <v>19</v>
      </c>
      <c r="K399" s="2" t="s">
        <v>1108</v>
      </c>
      <c r="L399" s="7" t="str">
        <f>HYPERLINK("http://slimages.macys.com/is/image/MCY/11526915 ")</f>
        <v xml:space="preserve">http://slimages.macys.com/is/image/MCY/11526915 </v>
      </c>
    </row>
    <row r="400" spans="1:12" ht="24.75" x14ac:dyDescent="0.25">
      <c r="A400" s="4" t="s">
        <v>5766</v>
      </c>
      <c r="B400" s="2" t="s">
        <v>1106</v>
      </c>
      <c r="C400" s="3">
        <v>1</v>
      </c>
      <c r="D400" s="5">
        <v>32.5</v>
      </c>
      <c r="E400" s="3" t="s">
        <v>4834</v>
      </c>
      <c r="F400" s="2" t="s">
        <v>74</v>
      </c>
      <c r="G400" s="6" t="s">
        <v>181</v>
      </c>
      <c r="H400" s="2" t="s">
        <v>194</v>
      </c>
      <c r="I400" s="2" t="s">
        <v>195</v>
      </c>
      <c r="J400" s="2" t="s">
        <v>19</v>
      </c>
      <c r="K400" s="2" t="s">
        <v>1108</v>
      </c>
      <c r="L400" s="7" t="str">
        <f>HYPERLINK("http://slimages.macys.com/is/image/MCY/11526915 ")</f>
        <v xml:space="preserve">http://slimages.macys.com/is/image/MCY/11526915 </v>
      </c>
    </row>
    <row r="401" spans="1:12" ht="24.75" x14ac:dyDescent="0.25">
      <c r="A401" s="4" t="s">
        <v>2579</v>
      </c>
      <c r="B401" s="2" t="s">
        <v>1114</v>
      </c>
      <c r="C401" s="3">
        <v>1</v>
      </c>
      <c r="D401" s="5">
        <v>37.130000000000003</v>
      </c>
      <c r="E401" s="3">
        <v>100042369</v>
      </c>
      <c r="F401" s="2" t="s">
        <v>64</v>
      </c>
      <c r="G401" s="6" t="s">
        <v>27</v>
      </c>
      <c r="H401" s="2" t="s">
        <v>194</v>
      </c>
      <c r="I401" s="2" t="s">
        <v>195</v>
      </c>
      <c r="J401" s="2"/>
      <c r="K401" s="2"/>
      <c r="L401" s="7" t="str">
        <f>HYPERLINK("http://slimages.macys.com/is/image/MCY/11934939 ")</f>
        <v xml:space="preserve">http://slimages.macys.com/is/image/MCY/11934939 </v>
      </c>
    </row>
    <row r="402" spans="1:12" ht="24.75" x14ac:dyDescent="0.25">
      <c r="A402" s="4" t="s">
        <v>2578</v>
      </c>
      <c r="B402" s="2" t="s">
        <v>1114</v>
      </c>
      <c r="C402" s="3">
        <v>1</v>
      </c>
      <c r="D402" s="5">
        <v>37.130000000000003</v>
      </c>
      <c r="E402" s="3">
        <v>100042369</v>
      </c>
      <c r="F402" s="2" t="s">
        <v>64</v>
      </c>
      <c r="G402" s="6" t="s">
        <v>58</v>
      </c>
      <c r="H402" s="2" t="s">
        <v>194</v>
      </c>
      <c r="I402" s="2" t="s">
        <v>195</v>
      </c>
      <c r="J402" s="2"/>
      <c r="K402" s="2"/>
      <c r="L402" s="7" t="str">
        <f>HYPERLINK("http://slimages.macys.com/is/image/MCY/11934939 ")</f>
        <v xml:space="preserve">http://slimages.macys.com/is/image/MCY/11934939 </v>
      </c>
    </row>
    <row r="403" spans="1:12" ht="24.75" x14ac:dyDescent="0.25">
      <c r="A403" s="4" t="s">
        <v>5767</v>
      </c>
      <c r="B403" s="2" t="s">
        <v>1114</v>
      </c>
      <c r="C403" s="3">
        <v>1</v>
      </c>
      <c r="D403" s="5">
        <v>37.130000000000003</v>
      </c>
      <c r="E403" s="3">
        <v>100042369</v>
      </c>
      <c r="F403" s="2" t="s">
        <v>64</v>
      </c>
      <c r="G403" s="6" t="s">
        <v>16</v>
      </c>
      <c r="H403" s="2" t="s">
        <v>194</v>
      </c>
      <c r="I403" s="2" t="s">
        <v>195</v>
      </c>
      <c r="J403" s="2"/>
      <c r="K403" s="2"/>
      <c r="L403" s="7" t="str">
        <f>HYPERLINK("http://slimages.macys.com/is/image/MCY/11934939 ")</f>
        <v xml:space="preserve">http://slimages.macys.com/is/image/MCY/11934939 </v>
      </c>
    </row>
    <row r="404" spans="1:12" ht="24.75" x14ac:dyDescent="0.25">
      <c r="A404" s="4" t="s">
        <v>5768</v>
      </c>
      <c r="B404" s="2" t="s">
        <v>1114</v>
      </c>
      <c r="C404" s="3">
        <v>1</v>
      </c>
      <c r="D404" s="5">
        <v>37.130000000000003</v>
      </c>
      <c r="E404" s="3">
        <v>100042369</v>
      </c>
      <c r="F404" s="2" t="s">
        <v>57</v>
      </c>
      <c r="G404" s="6" t="s">
        <v>112</v>
      </c>
      <c r="H404" s="2" t="s">
        <v>194</v>
      </c>
      <c r="I404" s="2" t="s">
        <v>195</v>
      </c>
      <c r="J404" s="2" t="s">
        <v>19</v>
      </c>
      <c r="K404" s="2" t="s">
        <v>353</v>
      </c>
      <c r="L404" s="7" t="str">
        <f>HYPERLINK("http://slimages.macys.com/is/image/MCY/11934953 ")</f>
        <v xml:space="preserve">http://slimages.macys.com/is/image/MCY/11934953 </v>
      </c>
    </row>
    <row r="405" spans="1:12" ht="24.75" x14ac:dyDescent="0.25">
      <c r="A405" s="4" t="s">
        <v>3747</v>
      </c>
      <c r="B405" s="2" t="s">
        <v>1114</v>
      </c>
      <c r="C405" s="3">
        <v>1</v>
      </c>
      <c r="D405" s="5">
        <v>37.130000000000003</v>
      </c>
      <c r="E405" s="3">
        <v>100042369</v>
      </c>
      <c r="F405" s="2" t="s">
        <v>79</v>
      </c>
      <c r="G405" s="6" t="s">
        <v>27</v>
      </c>
      <c r="H405" s="2" t="s">
        <v>194</v>
      </c>
      <c r="I405" s="2" t="s">
        <v>195</v>
      </c>
      <c r="J405" s="2" t="s">
        <v>19</v>
      </c>
      <c r="K405" s="2" t="s">
        <v>353</v>
      </c>
      <c r="L405" s="7" t="str">
        <f>HYPERLINK("http://slimages.macys.com/is/image/MCY/11934953 ")</f>
        <v xml:space="preserve">http://slimages.macys.com/is/image/MCY/11934953 </v>
      </c>
    </row>
    <row r="406" spans="1:12" ht="24.75" x14ac:dyDescent="0.25">
      <c r="A406" s="4" t="s">
        <v>4840</v>
      </c>
      <c r="B406" s="2" t="s">
        <v>1114</v>
      </c>
      <c r="C406" s="3">
        <v>1</v>
      </c>
      <c r="D406" s="5">
        <v>37.130000000000003</v>
      </c>
      <c r="E406" s="3">
        <v>100042369</v>
      </c>
      <c r="F406" s="2" t="s">
        <v>94</v>
      </c>
      <c r="G406" s="6" t="s">
        <v>106</v>
      </c>
      <c r="H406" s="2" t="s">
        <v>194</v>
      </c>
      <c r="I406" s="2" t="s">
        <v>195</v>
      </c>
      <c r="J406" s="2" t="s">
        <v>19</v>
      </c>
      <c r="K406" s="2" t="s">
        <v>353</v>
      </c>
      <c r="L406" s="7" t="str">
        <f>HYPERLINK("http://slimages.macys.com/is/image/MCY/11934953 ")</f>
        <v xml:space="preserve">http://slimages.macys.com/is/image/MCY/11934953 </v>
      </c>
    </row>
    <row r="407" spans="1:12" ht="24.75" x14ac:dyDescent="0.25">
      <c r="A407" s="4" t="s">
        <v>1116</v>
      </c>
      <c r="B407" s="2" t="s">
        <v>1114</v>
      </c>
      <c r="C407" s="3">
        <v>2</v>
      </c>
      <c r="D407" s="5">
        <v>37.130000000000003</v>
      </c>
      <c r="E407" s="3">
        <v>100042369</v>
      </c>
      <c r="F407" s="2" t="s">
        <v>64</v>
      </c>
      <c r="G407" s="6" t="s">
        <v>22</v>
      </c>
      <c r="H407" s="2" t="s">
        <v>194</v>
      </c>
      <c r="I407" s="2" t="s">
        <v>195</v>
      </c>
      <c r="J407" s="2"/>
      <c r="K407" s="2"/>
      <c r="L407" s="7" t="str">
        <f>HYPERLINK("http://slimages.macys.com/is/image/MCY/11934939 ")</f>
        <v xml:space="preserve">http://slimages.macys.com/is/image/MCY/11934939 </v>
      </c>
    </row>
    <row r="408" spans="1:12" ht="24.75" x14ac:dyDescent="0.25">
      <c r="A408" s="4" t="s">
        <v>1125</v>
      </c>
      <c r="B408" s="2" t="s">
        <v>1118</v>
      </c>
      <c r="C408" s="3">
        <v>1</v>
      </c>
      <c r="D408" s="5">
        <v>37.130000000000003</v>
      </c>
      <c r="E408" s="3">
        <v>100070736</v>
      </c>
      <c r="F408" s="2" t="s">
        <v>74</v>
      </c>
      <c r="G408" s="6" t="s">
        <v>181</v>
      </c>
      <c r="H408" s="2" t="s">
        <v>194</v>
      </c>
      <c r="I408" s="2" t="s">
        <v>195</v>
      </c>
      <c r="J408" s="2" t="s">
        <v>19</v>
      </c>
      <c r="K408" s="2" t="s">
        <v>353</v>
      </c>
      <c r="L408" s="7" t="str">
        <f>HYPERLINK("http://slimages.macys.com/is/image/MCY/13120823 ")</f>
        <v xml:space="preserve">http://slimages.macys.com/is/image/MCY/13120823 </v>
      </c>
    </row>
    <row r="409" spans="1:12" ht="24.75" x14ac:dyDescent="0.25">
      <c r="A409" s="4" t="s">
        <v>1117</v>
      </c>
      <c r="B409" s="2" t="s">
        <v>1118</v>
      </c>
      <c r="C409" s="3">
        <v>2</v>
      </c>
      <c r="D409" s="5">
        <v>37.130000000000003</v>
      </c>
      <c r="E409" s="3">
        <v>100070736</v>
      </c>
      <c r="F409" s="2" t="s">
        <v>376</v>
      </c>
      <c r="G409" s="6" t="s">
        <v>156</v>
      </c>
      <c r="H409" s="2" t="s">
        <v>194</v>
      </c>
      <c r="I409" s="2" t="s">
        <v>195</v>
      </c>
      <c r="J409" s="2" t="s">
        <v>19</v>
      </c>
      <c r="K409" s="2" t="s">
        <v>353</v>
      </c>
      <c r="L409" s="7" t="str">
        <f>HYPERLINK("http://slimages.macys.com/is/image/MCY/13120823 ")</f>
        <v xml:space="preserve">http://slimages.macys.com/is/image/MCY/13120823 </v>
      </c>
    </row>
    <row r="410" spans="1:12" ht="24.75" x14ac:dyDescent="0.25">
      <c r="A410" s="4" t="s">
        <v>1126</v>
      </c>
      <c r="B410" s="2" t="s">
        <v>1118</v>
      </c>
      <c r="C410" s="3">
        <v>1</v>
      </c>
      <c r="D410" s="5">
        <v>37.130000000000003</v>
      </c>
      <c r="E410" s="3">
        <v>100070736</v>
      </c>
      <c r="F410" s="2" t="s">
        <v>74</v>
      </c>
      <c r="G410" s="6" t="s">
        <v>154</v>
      </c>
      <c r="H410" s="2" t="s">
        <v>194</v>
      </c>
      <c r="I410" s="2" t="s">
        <v>195</v>
      </c>
      <c r="J410" s="2" t="s">
        <v>19</v>
      </c>
      <c r="K410" s="2" t="s">
        <v>353</v>
      </c>
      <c r="L410" s="7" t="str">
        <f>HYPERLINK("http://slimages.macys.com/is/image/MCY/13120823 ")</f>
        <v xml:space="preserve">http://slimages.macys.com/is/image/MCY/13120823 </v>
      </c>
    </row>
    <row r="411" spans="1:12" ht="24.75" x14ac:dyDescent="0.25">
      <c r="A411" s="4" t="s">
        <v>5769</v>
      </c>
      <c r="B411" s="2" t="s">
        <v>5770</v>
      </c>
      <c r="C411" s="3">
        <v>1</v>
      </c>
      <c r="D411" s="5">
        <v>65</v>
      </c>
      <c r="E411" s="3" t="s">
        <v>5771</v>
      </c>
      <c r="F411" s="2" t="s">
        <v>1914</v>
      </c>
      <c r="G411" s="6" t="s">
        <v>446</v>
      </c>
      <c r="H411" s="2" t="s">
        <v>447</v>
      </c>
      <c r="I411" s="2" t="s">
        <v>792</v>
      </c>
      <c r="J411" s="2" t="s">
        <v>19</v>
      </c>
      <c r="K411" s="2" t="s">
        <v>160</v>
      </c>
      <c r="L411" s="7" t="str">
        <f>HYPERLINK("http://slimages.macys.com/is/image/MCY/14532521 ")</f>
        <v xml:space="preserve">http://slimages.macys.com/is/image/MCY/14532521 </v>
      </c>
    </row>
    <row r="412" spans="1:12" ht="24.75" x14ac:dyDescent="0.25">
      <c r="A412" s="4" t="s">
        <v>1121</v>
      </c>
      <c r="B412" s="2" t="s">
        <v>1118</v>
      </c>
      <c r="C412" s="3">
        <v>1</v>
      </c>
      <c r="D412" s="5">
        <v>37.130000000000003</v>
      </c>
      <c r="E412" s="3">
        <v>100070736</v>
      </c>
      <c r="F412" s="2" t="s">
        <v>376</v>
      </c>
      <c r="G412" s="6" t="s">
        <v>234</v>
      </c>
      <c r="H412" s="2" t="s">
        <v>194</v>
      </c>
      <c r="I412" s="2" t="s">
        <v>195</v>
      </c>
      <c r="J412" s="2" t="s">
        <v>19</v>
      </c>
      <c r="K412" s="2" t="s">
        <v>353</v>
      </c>
      <c r="L412" s="7" t="str">
        <f>HYPERLINK("http://slimages.macys.com/is/image/MCY/13120823 ")</f>
        <v xml:space="preserve">http://slimages.macys.com/is/image/MCY/13120823 </v>
      </c>
    </row>
    <row r="413" spans="1:12" ht="24.75" x14ac:dyDescent="0.25">
      <c r="A413" s="4" t="s">
        <v>1120</v>
      </c>
      <c r="B413" s="2" t="s">
        <v>1118</v>
      </c>
      <c r="C413" s="3">
        <v>1</v>
      </c>
      <c r="D413" s="5">
        <v>37.130000000000003</v>
      </c>
      <c r="E413" s="3">
        <v>100070736</v>
      </c>
      <c r="F413" s="2" t="s">
        <v>376</v>
      </c>
      <c r="G413" s="6" t="s">
        <v>154</v>
      </c>
      <c r="H413" s="2" t="s">
        <v>194</v>
      </c>
      <c r="I413" s="2" t="s">
        <v>195</v>
      </c>
      <c r="J413" s="2" t="s">
        <v>19</v>
      </c>
      <c r="K413" s="2" t="s">
        <v>353</v>
      </c>
      <c r="L413" s="7" t="str">
        <f>HYPERLINK("http://slimages.macys.com/is/image/MCY/13120823 ")</f>
        <v xml:space="preserve">http://slimages.macys.com/is/image/MCY/13120823 </v>
      </c>
    </row>
    <row r="414" spans="1:12" ht="24.75" x14ac:dyDescent="0.25">
      <c r="A414" s="4" t="s">
        <v>1122</v>
      </c>
      <c r="B414" s="2" t="s">
        <v>1118</v>
      </c>
      <c r="C414" s="3">
        <v>1</v>
      </c>
      <c r="D414" s="5">
        <v>37.130000000000003</v>
      </c>
      <c r="E414" s="3">
        <v>100070736</v>
      </c>
      <c r="F414" s="2" t="s">
        <v>376</v>
      </c>
      <c r="G414" s="6" t="s">
        <v>181</v>
      </c>
      <c r="H414" s="2" t="s">
        <v>194</v>
      </c>
      <c r="I414" s="2" t="s">
        <v>195</v>
      </c>
      <c r="J414" s="2" t="s">
        <v>19</v>
      </c>
      <c r="K414" s="2" t="s">
        <v>353</v>
      </c>
      <c r="L414" s="7" t="str">
        <f>HYPERLINK("http://slimages.macys.com/is/image/MCY/13120823 ")</f>
        <v xml:space="preserve">http://slimages.macys.com/is/image/MCY/13120823 </v>
      </c>
    </row>
    <row r="415" spans="1:12" ht="24.75" x14ac:dyDescent="0.25">
      <c r="A415" s="4" t="s">
        <v>3756</v>
      </c>
      <c r="B415" s="2" t="s">
        <v>1128</v>
      </c>
      <c r="C415" s="3">
        <v>1</v>
      </c>
      <c r="D415" s="5">
        <v>32.5</v>
      </c>
      <c r="E415" s="3" t="s">
        <v>1129</v>
      </c>
      <c r="F415" s="2" t="s">
        <v>252</v>
      </c>
      <c r="G415" s="6" t="s">
        <v>154</v>
      </c>
      <c r="H415" s="2" t="s">
        <v>194</v>
      </c>
      <c r="I415" s="2" t="s">
        <v>195</v>
      </c>
      <c r="J415" s="2" t="s">
        <v>19</v>
      </c>
      <c r="K415" s="2" t="s">
        <v>1108</v>
      </c>
      <c r="L415" s="7" t="str">
        <f>HYPERLINK("http://slimages.macys.com/is/image/MCY/12850781 ")</f>
        <v xml:space="preserve">http://slimages.macys.com/is/image/MCY/12850781 </v>
      </c>
    </row>
    <row r="416" spans="1:12" ht="24.75" x14ac:dyDescent="0.25">
      <c r="A416" s="4" t="s">
        <v>1144</v>
      </c>
      <c r="B416" s="2" t="s">
        <v>1132</v>
      </c>
      <c r="C416" s="3">
        <v>1</v>
      </c>
      <c r="D416" s="5">
        <v>34.5</v>
      </c>
      <c r="E416" s="3" t="s">
        <v>1143</v>
      </c>
      <c r="F416" s="2" t="s">
        <v>506</v>
      </c>
      <c r="G416" s="6" t="s">
        <v>22</v>
      </c>
      <c r="H416" s="2" t="s">
        <v>228</v>
      </c>
      <c r="I416" s="2" t="s">
        <v>863</v>
      </c>
      <c r="J416" s="2" t="s">
        <v>19</v>
      </c>
      <c r="K416" s="2" t="s">
        <v>253</v>
      </c>
      <c r="L416" s="7" t="str">
        <f>HYPERLINK("http://slimages.macys.com/is/image/MCY/11804272 ")</f>
        <v xml:space="preserve">http://slimages.macys.com/is/image/MCY/11804272 </v>
      </c>
    </row>
    <row r="417" spans="1:12" ht="24.75" x14ac:dyDescent="0.25">
      <c r="A417" s="4" t="s">
        <v>2594</v>
      </c>
      <c r="B417" s="2" t="s">
        <v>1155</v>
      </c>
      <c r="C417" s="3">
        <v>1</v>
      </c>
      <c r="D417" s="5">
        <v>37.130000000000003</v>
      </c>
      <c r="E417" s="3" t="s">
        <v>1156</v>
      </c>
      <c r="F417" s="2" t="s">
        <v>417</v>
      </c>
      <c r="G417" s="6" t="s">
        <v>234</v>
      </c>
      <c r="H417" s="2" t="s">
        <v>194</v>
      </c>
      <c r="I417" s="2" t="s">
        <v>195</v>
      </c>
      <c r="J417" s="2" t="s">
        <v>19</v>
      </c>
      <c r="K417" s="2" t="s">
        <v>648</v>
      </c>
      <c r="L417" s="7" t="str">
        <f>HYPERLINK("http://slimages.macys.com/is/image/MCY/13120794 ")</f>
        <v xml:space="preserve">http://slimages.macys.com/is/image/MCY/13120794 </v>
      </c>
    </row>
    <row r="418" spans="1:12" ht="24.75" x14ac:dyDescent="0.25">
      <c r="A418" s="4" t="s">
        <v>5772</v>
      </c>
      <c r="B418" s="2" t="s">
        <v>1167</v>
      </c>
      <c r="C418" s="3">
        <v>1</v>
      </c>
      <c r="D418" s="5">
        <v>34.5</v>
      </c>
      <c r="E418" s="3" t="s">
        <v>1168</v>
      </c>
      <c r="F418" s="2" t="s">
        <v>74</v>
      </c>
      <c r="G418" s="6" t="s">
        <v>16</v>
      </c>
      <c r="H418" s="2" t="s">
        <v>228</v>
      </c>
      <c r="I418" s="2" t="s">
        <v>863</v>
      </c>
      <c r="J418" s="2" t="s">
        <v>19</v>
      </c>
      <c r="K418" s="2" t="s">
        <v>230</v>
      </c>
      <c r="L418" s="7" t="str">
        <f>HYPERLINK("http://slimages.macys.com/is/image/MCY/3623515 ")</f>
        <v xml:space="preserve">http://slimages.macys.com/is/image/MCY/3623515 </v>
      </c>
    </row>
    <row r="419" spans="1:12" ht="24.75" x14ac:dyDescent="0.25">
      <c r="A419" s="4" t="s">
        <v>5773</v>
      </c>
      <c r="B419" s="2" t="s">
        <v>1174</v>
      </c>
      <c r="C419" s="3">
        <v>1</v>
      </c>
      <c r="D419" s="5">
        <v>34.5</v>
      </c>
      <c r="E419" s="3" t="s">
        <v>1175</v>
      </c>
      <c r="F419" s="2" t="s">
        <v>74</v>
      </c>
      <c r="G419" s="6"/>
      <c r="H419" s="2" t="s">
        <v>228</v>
      </c>
      <c r="I419" s="2" t="s">
        <v>863</v>
      </c>
      <c r="J419" s="2" t="s">
        <v>19</v>
      </c>
      <c r="K419" s="2" t="s">
        <v>230</v>
      </c>
      <c r="L419" s="7" t="str">
        <f>HYPERLINK("http://slimages.macys.com/is/image/MCY/3623515 ")</f>
        <v xml:space="preserve">http://slimages.macys.com/is/image/MCY/3623515 </v>
      </c>
    </row>
    <row r="420" spans="1:12" ht="24.75" x14ac:dyDescent="0.25">
      <c r="A420" s="4" t="s">
        <v>5774</v>
      </c>
      <c r="B420" s="2" t="s">
        <v>5775</v>
      </c>
      <c r="C420" s="3">
        <v>1</v>
      </c>
      <c r="D420" s="5">
        <v>34.5</v>
      </c>
      <c r="E420" s="3" t="s">
        <v>5776</v>
      </c>
      <c r="F420" s="2" t="s">
        <v>74</v>
      </c>
      <c r="G420" s="6" t="s">
        <v>205</v>
      </c>
      <c r="H420" s="2" t="s">
        <v>426</v>
      </c>
      <c r="I420" s="2" t="s">
        <v>229</v>
      </c>
      <c r="J420" s="2" t="s">
        <v>19</v>
      </c>
      <c r="K420" s="2" t="s">
        <v>383</v>
      </c>
      <c r="L420" s="7" t="str">
        <f>HYPERLINK("http://slimages.macys.com/is/image/MCY/1650222 ")</f>
        <v xml:space="preserve">http://slimages.macys.com/is/image/MCY/1650222 </v>
      </c>
    </row>
    <row r="421" spans="1:12" ht="24.75" x14ac:dyDescent="0.25">
      <c r="A421" s="4" t="s">
        <v>5777</v>
      </c>
      <c r="B421" s="2" t="s">
        <v>5778</v>
      </c>
      <c r="C421" s="3">
        <v>1</v>
      </c>
      <c r="D421" s="5">
        <v>35.15</v>
      </c>
      <c r="E421" s="3" t="s">
        <v>5779</v>
      </c>
      <c r="F421" s="2" t="s">
        <v>26</v>
      </c>
      <c r="G421" s="6" t="s">
        <v>156</v>
      </c>
      <c r="H421" s="2" t="s">
        <v>182</v>
      </c>
      <c r="I421" s="2" t="s">
        <v>183</v>
      </c>
      <c r="J421" s="2" t="s">
        <v>19</v>
      </c>
      <c r="K421" s="2" t="s">
        <v>247</v>
      </c>
      <c r="L421" s="7" t="str">
        <f>HYPERLINK("http://slimages.macys.com/is/image/MCY/12751302 ")</f>
        <v xml:space="preserve">http://slimages.macys.com/is/image/MCY/12751302 </v>
      </c>
    </row>
    <row r="422" spans="1:12" ht="24.75" x14ac:dyDescent="0.25">
      <c r="A422" s="4" t="s">
        <v>5780</v>
      </c>
      <c r="B422" s="2" t="s">
        <v>1167</v>
      </c>
      <c r="C422" s="3">
        <v>1</v>
      </c>
      <c r="D422" s="5">
        <v>34.5</v>
      </c>
      <c r="E422" s="3" t="s">
        <v>1168</v>
      </c>
      <c r="F422" s="2" t="s">
        <v>74</v>
      </c>
      <c r="G422" s="6" t="s">
        <v>141</v>
      </c>
      <c r="H422" s="2" t="s">
        <v>228</v>
      </c>
      <c r="I422" s="2" t="s">
        <v>863</v>
      </c>
      <c r="J422" s="2" t="s">
        <v>19</v>
      </c>
      <c r="K422" s="2" t="s">
        <v>230</v>
      </c>
      <c r="L422" s="7" t="str">
        <f>HYPERLINK("http://slimages.macys.com/is/image/MCY/3623515 ")</f>
        <v xml:space="preserve">http://slimages.macys.com/is/image/MCY/3623515 </v>
      </c>
    </row>
    <row r="423" spans="1:12" ht="36.75" x14ac:dyDescent="0.25">
      <c r="A423" s="4" t="s">
        <v>5781</v>
      </c>
      <c r="B423" s="2" t="s">
        <v>1177</v>
      </c>
      <c r="C423" s="3">
        <v>1</v>
      </c>
      <c r="D423" s="5">
        <v>34.65</v>
      </c>
      <c r="E423" s="3" t="s">
        <v>1178</v>
      </c>
      <c r="F423" s="2" t="s">
        <v>413</v>
      </c>
      <c r="G423" s="6" t="s">
        <v>234</v>
      </c>
      <c r="H423" s="2" t="s">
        <v>182</v>
      </c>
      <c r="I423" s="2" t="s">
        <v>183</v>
      </c>
      <c r="J423" s="2" t="s">
        <v>19</v>
      </c>
      <c r="K423" s="2" t="s">
        <v>1179</v>
      </c>
      <c r="L423" s="7" t="str">
        <f>HYPERLINK("http://slimages.macys.com/is/image/MCY/12851853 ")</f>
        <v xml:space="preserve">http://slimages.macys.com/is/image/MCY/12851853 </v>
      </c>
    </row>
    <row r="424" spans="1:12" ht="24.75" x14ac:dyDescent="0.25">
      <c r="A424" s="4" t="s">
        <v>5782</v>
      </c>
      <c r="B424" s="2" t="s">
        <v>1199</v>
      </c>
      <c r="C424" s="3">
        <v>1</v>
      </c>
      <c r="D424" s="5">
        <v>37.130000000000003</v>
      </c>
      <c r="E424" s="3">
        <v>100009324</v>
      </c>
      <c r="F424" s="2" t="s">
        <v>70</v>
      </c>
      <c r="G424" s="6" t="s">
        <v>112</v>
      </c>
      <c r="H424" s="2" t="s">
        <v>194</v>
      </c>
      <c r="I424" s="2" t="s">
        <v>195</v>
      </c>
      <c r="J424" s="2" t="s">
        <v>19</v>
      </c>
      <c r="K424" s="2" t="s">
        <v>353</v>
      </c>
      <c r="L424" s="7" t="str">
        <f>HYPERLINK("http://slimages.macys.com/is/image/MCY/9404224 ")</f>
        <v xml:space="preserve">http://slimages.macys.com/is/image/MCY/9404224 </v>
      </c>
    </row>
    <row r="425" spans="1:12" ht="24.75" x14ac:dyDescent="0.25">
      <c r="A425" s="4" t="s">
        <v>4850</v>
      </c>
      <c r="B425" s="2" t="s">
        <v>1199</v>
      </c>
      <c r="C425" s="3">
        <v>2</v>
      </c>
      <c r="D425" s="5">
        <v>37.130000000000003</v>
      </c>
      <c r="E425" s="3">
        <v>100009324</v>
      </c>
      <c r="F425" s="2" t="s">
        <v>70</v>
      </c>
      <c r="G425" s="6" t="s">
        <v>22</v>
      </c>
      <c r="H425" s="2" t="s">
        <v>194</v>
      </c>
      <c r="I425" s="2" t="s">
        <v>195</v>
      </c>
      <c r="J425" s="2" t="s">
        <v>19</v>
      </c>
      <c r="K425" s="2" t="s">
        <v>353</v>
      </c>
      <c r="L425" s="7" t="str">
        <f>HYPERLINK("http://slimages.macys.com/is/image/MCY/9404224 ")</f>
        <v xml:space="preserve">http://slimages.macys.com/is/image/MCY/9404224 </v>
      </c>
    </row>
    <row r="426" spans="1:12" ht="24.75" x14ac:dyDescent="0.25">
      <c r="A426" s="4" t="s">
        <v>5783</v>
      </c>
      <c r="B426" s="2" t="s">
        <v>1199</v>
      </c>
      <c r="C426" s="3">
        <v>1</v>
      </c>
      <c r="D426" s="5">
        <v>37.130000000000003</v>
      </c>
      <c r="E426" s="3">
        <v>100009324</v>
      </c>
      <c r="F426" s="2" t="s">
        <v>70</v>
      </c>
      <c r="G426" s="6" t="s">
        <v>16</v>
      </c>
      <c r="H426" s="2" t="s">
        <v>194</v>
      </c>
      <c r="I426" s="2" t="s">
        <v>195</v>
      </c>
      <c r="J426" s="2" t="s">
        <v>19</v>
      </c>
      <c r="K426" s="2" t="s">
        <v>353</v>
      </c>
      <c r="L426" s="7" t="str">
        <f>HYPERLINK("http://slimages.macys.com/is/image/MCY/9404224 ")</f>
        <v xml:space="preserve">http://slimages.macys.com/is/image/MCY/9404224 </v>
      </c>
    </row>
    <row r="427" spans="1:12" ht="24.75" x14ac:dyDescent="0.25">
      <c r="A427" s="4" t="s">
        <v>5784</v>
      </c>
      <c r="B427" s="2" t="s">
        <v>1181</v>
      </c>
      <c r="C427" s="3">
        <v>4</v>
      </c>
      <c r="D427" s="5">
        <v>37.130000000000003</v>
      </c>
      <c r="E427" s="3">
        <v>100064797</v>
      </c>
      <c r="F427" s="2" t="s">
        <v>15</v>
      </c>
      <c r="G427" s="6" t="s">
        <v>181</v>
      </c>
      <c r="H427" s="2" t="s">
        <v>194</v>
      </c>
      <c r="I427" s="2" t="s">
        <v>195</v>
      </c>
      <c r="J427" s="2" t="s">
        <v>19</v>
      </c>
      <c r="K427" s="2" t="s">
        <v>247</v>
      </c>
      <c r="L427" s="7" t="str">
        <f>HYPERLINK("http://slimages.macys.com/is/image/MCY/12950007 ")</f>
        <v xml:space="preserve">http://slimages.macys.com/is/image/MCY/12950007 </v>
      </c>
    </row>
    <row r="428" spans="1:12" ht="24.75" x14ac:dyDescent="0.25">
      <c r="A428" s="4" t="s">
        <v>5785</v>
      </c>
      <c r="B428" s="2" t="s">
        <v>1181</v>
      </c>
      <c r="C428" s="3">
        <v>1</v>
      </c>
      <c r="D428" s="5">
        <v>44.63</v>
      </c>
      <c r="E428" s="3">
        <v>100064797</v>
      </c>
      <c r="F428" s="2" t="s">
        <v>74</v>
      </c>
      <c r="G428" s="6" t="s">
        <v>181</v>
      </c>
      <c r="H428" s="2" t="s">
        <v>194</v>
      </c>
      <c r="I428" s="2" t="s">
        <v>195</v>
      </c>
      <c r="J428" s="2" t="s">
        <v>19</v>
      </c>
      <c r="K428" s="2" t="s">
        <v>247</v>
      </c>
      <c r="L428" s="7" t="str">
        <f>HYPERLINK("http://slimages.macys.com/is/image/MCY/12950007 ")</f>
        <v xml:space="preserve">http://slimages.macys.com/is/image/MCY/12950007 </v>
      </c>
    </row>
    <row r="429" spans="1:12" ht="24.75" x14ac:dyDescent="0.25">
      <c r="A429" s="4" t="s">
        <v>1180</v>
      </c>
      <c r="B429" s="2" t="s">
        <v>1181</v>
      </c>
      <c r="C429" s="3">
        <v>1</v>
      </c>
      <c r="D429" s="5">
        <v>37.130000000000003</v>
      </c>
      <c r="E429" s="3">
        <v>100064797</v>
      </c>
      <c r="F429" s="2" t="s">
        <v>15</v>
      </c>
      <c r="G429" s="6" t="s">
        <v>154</v>
      </c>
      <c r="H429" s="2" t="s">
        <v>194</v>
      </c>
      <c r="I429" s="2" t="s">
        <v>195</v>
      </c>
      <c r="J429" s="2" t="s">
        <v>19</v>
      </c>
      <c r="K429" s="2" t="s">
        <v>247</v>
      </c>
      <c r="L429" s="7" t="str">
        <f>HYPERLINK("http://slimages.macys.com/is/image/MCY/12950007 ")</f>
        <v xml:space="preserve">http://slimages.macys.com/is/image/MCY/12950007 </v>
      </c>
    </row>
    <row r="430" spans="1:12" ht="24.75" x14ac:dyDescent="0.25">
      <c r="A430" s="4" t="s">
        <v>5786</v>
      </c>
      <c r="B430" s="2" t="s">
        <v>1106</v>
      </c>
      <c r="C430" s="3">
        <v>1</v>
      </c>
      <c r="D430" s="5">
        <v>33.380000000000003</v>
      </c>
      <c r="E430" s="3" t="s">
        <v>3773</v>
      </c>
      <c r="F430" s="2" t="s">
        <v>33</v>
      </c>
      <c r="G430" s="6" t="s">
        <v>181</v>
      </c>
      <c r="H430" s="2" t="s">
        <v>194</v>
      </c>
      <c r="I430" s="2" t="s">
        <v>195</v>
      </c>
      <c r="J430" s="2" t="s">
        <v>19</v>
      </c>
      <c r="K430" s="2" t="s">
        <v>1108</v>
      </c>
      <c r="L430" s="7" t="str">
        <f>HYPERLINK("http://slimages.macys.com/is/image/MCY/12064024 ")</f>
        <v xml:space="preserve">http://slimages.macys.com/is/image/MCY/12064024 </v>
      </c>
    </row>
    <row r="431" spans="1:12" ht="24.75" x14ac:dyDescent="0.25">
      <c r="A431" s="4" t="s">
        <v>2599</v>
      </c>
      <c r="B431" s="2" t="s">
        <v>1106</v>
      </c>
      <c r="C431" s="3">
        <v>1</v>
      </c>
      <c r="D431" s="5">
        <v>32.5</v>
      </c>
      <c r="E431" s="3" t="s">
        <v>2600</v>
      </c>
      <c r="F431" s="2" t="s">
        <v>15</v>
      </c>
      <c r="G431" s="6" t="s">
        <v>181</v>
      </c>
      <c r="H431" s="2" t="s">
        <v>194</v>
      </c>
      <c r="I431" s="2" t="s">
        <v>195</v>
      </c>
      <c r="J431" s="2" t="s">
        <v>19</v>
      </c>
      <c r="K431" s="2" t="s">
        <v>1108</v>
      </c>
      <c r="L431" s="7" t="str">
        <f>HYPERLINK("http://slimages.macys.com/is/image/MCY/11776301 ")</f>
        <v xml:space="preserve">http://slimages.macys.com/is/image/MCY/11776301 </v>
      </c>
    </row>
    <row r="432" spans="1:12" ht="24.75" x14ac:dyDescent="0.25">
      <c r="A432" s="4" t="s">
        <v>5787</v>
      </c>
      <c r="B432" s="2" t="s">
        <v>1181</v>
      </c>
      <c r="C432" s="3">
        <v>3</v>
      </c>
      <c r="D432" s="5">
        <v>37.130000000000003</v>
      </c>
      <c r="E432" s="3">
        <v>100064797</v>
      </c>
      <c r="F432" s="2" t="s">
        <v>15</v>
      </c>
      <c r="G432" s="6" t="s">
        <v>234</v>
      </c>
      <c r="H432" s="2" t="s">
        <v>194</v>
      </c>
      <c r="I432" s="2" t="s">
        <v>195</v>
      </c>
      <c r="J432" s="2" t="s">
        <v>19</v>
      </c>
      <c r="K432" s="2" t="s">
        <v>247</v>
      </c>
      <c r="L432" s="7" t="str">
        <f>HYPERLINK("http://slimages.macys.com/is/image/MCY/12950007 ")</f>
        <v xml:space="preserve">http://slimages.macys.com/is/image/MCY/12950007 </v>
      </c>
    </row>
    <row r="433" spans="1:12" ht="24.75" x14ac:dyDescent="0.25">
      <c r="A433" s="4" t="s">
        <v>5788</v>
      </c>
      <c r="B433" s="2" t="s">
        <v>1106</v>
      </c>
      <c r="C433" s="3">
        <v>1</v>
      </c>
      <c r="D433" s="5">
        <v>32.5</v>
      </c>
      <c r="E433" s="3" t="s">
        <v>2600</v>
      </c>
      <c r="F433" s="2" t="s">
        <v>15</v>
      </c>
      <c r="G433" s="6" t="s">
        <v>154</v>
      </c>
      <c r="H433" s="2" t="s">
        <v>194</v>
      </c>
      <c r="I433" s="2" t="s">
        <v>195</v>
      </c>
      <c r="J433" s="2" t="s">
        <v>19</v>
      </c>
      <c r="K433" s="2" t="s">
        <v>1108</v>
      </c>
      <c r="L433" s="7" t="str">
        <f>HYPERLINK("http://slimages.macys.com/is/image/MCY/11776301 ")</f>
        <v xml:space="preserve">http://slimages.macys.com/is/image/MCY/11776301 </v>
      </c>
    </row>
    <row r="434" spans="1:12" ht="24.75" x14ac:dyDescent="0.25">
      <c r="A434" s="4" t="s">
        <v>3776</v>
      </c>
      <c r="B434" s="2" t="s">
        <v>1183</v>
      </c>
      <c r="C434" s="3">
        <v>2</v>
      </c>
      <c r="D434" s="5">
        <v>34.5</v>
      </c>
      <c r="E434" s="3" t="s">
        <v>3777</v>
      </c>
      <c r="F434" s="2" t="s">
        <v>74</v>
      </c>
      <c r="G434" s="6" t="s">
        <v>156</v>
      </c>
      <c r="H434" s="2" t="s">
        <v>228</v>
      </c>
      <c r="I434" s="2" t="s">
        <v>229</v>
      </c>
      <c r="J434" s="2" t="s">
        <v>19</v>
      </c>
      <c r="K434" s="2" t="s">
        <v>253</v>
      </c>
      <c r="L434" s="7" t="str">
        <f t="shared" ref="L434:L444" si="4">HYPERLINK("http://slimages.macys.com/is/image/MCY/11269044 ")</f>
        <v xml:space="preserve">http://slimages.macys.com/is/image/MCY/11269044 </v>
      </c>
    </row>
    <row r="435" spans="1:12" ht="24.75" x14ac:dyDescent="0.25">
      <c r="A435" s="4" t="s">
        <v>5789</v>
      </c>
      <c r="B435" s="2" t="s">
        <v>1183</v>
      </c>
      <c r="C435" s="3">
        <v>4</v>
      </c>
      <c r="D435" s="5">
        <v>34.5</v>
      </c>
      <c r="E435" s="3">
        <v>100045810</v>
      </c>
      <c r="F435" s="2" t="s">
        <v>111</v>
      </c>
      <c r="G435" s="6" t="s">
        <v>234</v>
      </c>
      <c r="H435" s="2" t="s">
        <v>228</v>
      </c>
      <c r="I435" s="2" t="s">
        <v>229</v>
      </c>
      <c r="J435" s="2" t="s">
        <v>19</v>
      </c>
      <c r="K435" s="2" t="s">
        <v>253</v>
      </c>
      <c r="L435" s="7" t="str">
        <f t="shared" si="4"/>
        <v xml:space="preserve">http://slimages.macys.com/is/image/MCY/11269044 </v>
      </c>
    </row>
    <row r="436" spans="1:12" ht="24.75" x14ac:dyDescent="0.25">
      <c r="A436" s="4" t="s">
        <v>5790</v>
      </c>
      <c r="B436" s="2" t="s">
        <v>1183</v>
      </c>
      <c r="C436" s="3">
        <v>1</v>
      </c>
      <c r="D436" s="5">
        <v>34.5</v>
      </c>
      <c r="E436" s="3">
        <v>100045811</v>
      </c>
      <c r="F436" s="2" t="s">
        <v>33</v>
      </c>
      <c r="G436" s="6" t="s">
        <v>181</v>
      </c>
      <c r="H436" s="2" t="s">
        <v>228</v>
      </c>
      <c r="I436" s="2" t="s">
        <v>229</v>
      </c>
      <c r="J436" s="2" t="s">
        <v>19</v>
      </c>
      <c r="K436" s="2" t="s">
        <v>253</v>
      </c>
      <c r="L436" s="7" t="str">
        <f t="shared" si="4"/>
        <v xml:space="preserve">http://slimages.macys.com/is/image/MCY/11269044 </v>
      </c>
    </row>
    <row r="437" spans="1:12" ht="24.75" x14ac:dyDescent="0.25">
      <c r="A437" s="4" t="s">
        <v>1182</v>
      </c>
      <c r="B437" s="2" t="s">
        <v>1183</v>
      </c>
      <c r="C437" s="3">
        <v>1</v>
      </c>
      <c r="D437" s="5">
        <v>34.5</v>
      </c>
      <c r="E437" s="3">
        <v>100010006</v>
      </c>
      <c r="F437" s="2" t="s">
        <v>417</v>
      </c>
      <c r="G437" s="6" t="s">
        <v>234</v>
      </c>
      <c r="H437" s="2" t="s">
        <v>228</v>
      </c>
      <c r="I437" s="2" t="s">
        <v>229</v>
      </c>
      <c r="J437" s="2" t="s">
        <v>19</v>
      </c>
      <c r="K437" s="2" t="s">
        <v>253</v>
      </c>
      <c r="L437" s="7" t="str">
        <f t="shared" si="4"/>
        <v xml:space="preserve">http://slimages.macys.com/is/image/MCY/11269044 </v>
      </c>
    </row>
    <row r="438" spans="1:12" ht="24.75" x14ac:dyDescent="0.25">
      <c r="A438" s="4" t="s">
        <v>5791</v>
      </c>
      <c r="B438" s="2" t="s">
        <v>1183</v>
      </c>
      <c r="C438" s="3">
        <v>1</v>
      </c>
      <c r="D438" s="5">
        <v>34.5</v>
      </c>
      <c r="E438" s="3" t="s">
        <v>2602</v>
      </c>
      <c r="F438" s="2" t="s">
        <v>26</v>
      </c>
      <c r="G438" s="6" t="s">
        <v>181</v>
      </c>
      <c r="H438" s="2" t="s">
        <v>228</v>
      </c>
      <c r="I438" s="2" t="s">
        <v>229</v>
      </c>
      <c r="J438" s="2" t="s">
        <v>19</v>
      </c>
      <c r="K438" s="2" t="s">
        <v>253</v>
      </c>
      <c r="L438" s="7" t="str">
        <f t="shared" si="4"/>
        <v xml:space="preserve">http://slimages.macys.com/is/image/MCY/11269044 </v>
      </c>
    </row>
    <row r="439" spans="1:12" ht="24.75" x14ac:dyDescent="0.25">
      <c r="A439" s="4" t="s">
        <v>5792</v>
      </c>
      <c r="B439" s="2" t="s">
        <v>1183</v>
      </c>
      <c r="C439" s="3">
        <v>1</v>
      </c>
      <c r="D439" s="5">
        <v>34.5</v>
      </c>
      <c r="E439" s="3">
        <v>100010006</v>
      </c>
      <c r="F439" s="2" t="s">
        <v>417</v>
      </c>
      <c r="G439" s="6" t="s">
        <v>156</v>
      </c>
      <c r="H439" s="2" t="s">
        <v>228</v>
      </c>
      <c r="I439" s="2" t="s">
        <v>229</v>
      </c>
      <c r="J439" s="2" t="s">
        <v>19</v>
      </c>
      <c r="K439" s="2" t="s">
        <v>253</v>
      </c>
      <c r="L439" s="7" t="str">
        <f t="shared" si="4"/>
        <v xml:space="preserve">http://slimages.macys.com/is/image/MCY/11269044 </v>
      </c>
    </row>
    <row r="440" spans="1:12" ht="24.75" x14ac:dyDescent="0.25">
      <c r="A440" s="4" t="s">
        <v>2605</v>
      </c>
      <c r="B440" s="2" t="s">
        <v>1185</v>
      </c>
      <c r="C440" s="3">
        <v>1</v>
      </c>
      <c r="D440" s="5">
        <v>34.5</v>
      </c>
      <c r="E440" s="3" t="s">
        <v>1186</v>
      </c>
      <c r="F440" s="2" t="s">
        <v>376</v>
      </c>
      <c r="G440" s="6" t="s">
        <v>200</v>
      </c>
      <c r="H440" s="2" t="s">
        <v>228</v>
      </c>
      <c r="I440" s="2" t="s">
        <v>229</v>
      </c>
      <c r="J440" s="2" t="s">
        <v>19</v>
      </c>
      <c r="K440" s="2" t="s">
        <v>253</v>
      </c>
      <c r="L440" s="7" t="str">
        <f t="shared" si="4"/>
        <v xml:space="preserve">http://slimages.macys.com/is/image/MCY/11269044 </v>
      </c>
    </row>
    <row r="441" spans="1:12" ht="24.75" x14ac:dyDescent="0.25">
      <c r="A441" s="4" t="s">
        <v>5793</v>
      </c>
      <c r="B441" s="2" t="s">
        <v>1185</v>
      </c>
      <c r="C441" s="3">
        <v>1</v>
      </c>
      <c r="D441" s="5">
        <v>34.5</v>
      </c>
      <c r="E441" s="3" t="s">
        <v>1186</v>
      </c>
      <c r="F441" s="2" t="s">
        <v>376</v>
      </c>
      <c r="G441" s="6" t="s">
        <v>234</v>
      </c>
      <c r="H441" s="2" t="s">
        <v>228</v>
      </c>
      <c r="I441" s="2" t="s">
        <v>229</v>
      </c>
      <c r="J441" s="2" t="s">
        <v>19</v>
      </c>
      <c r="K441" s="2" t="s">
        <v>253</v>
      </c>
      <c r="L441" s="7" t="str">
        <f t="shared" si="4"/>
        <v xml:space="preserve">http://slimages.macys.com/is/image/MCY/11269044 </v>
      </c>
    </row>
    <row r="442" spans="1:12" ht="24.75" x14ac:dyDescent="0.25">
      <c r="A442" s="4" t="s">
        <v>5794</v>
      </c>
      <c r="B442" s="2" t="s">
        <v>1183</v>
      </c>
      <c r="C442" s="3">
        <v>1</v>
      </c>
      <c r="D442" s="5">
        <v>34.5</v>
      </c>
      <c r="E442" s="3" t="s">
        <v>2602</v>
      </c>
      <c r="F442" s="2" t="s">
        <v>26</v>
      </c>
      <c r="G442" s="6" t="s">
        <v>234</v>
      </c>
      <c r="H442" s="2" t="s">
        <v>228</v>
      </c>
      <c r="I442" s="2" t="s">
        <v>229</v>
      </c>
      <c r="J442" s="2" t="s">
        <v>19</v>
      </c>
      <c r="K442" s="2" t="s">
        <v>253</v>
      </c>
      <c r="L442" s="7" t="str">
        <f t="shared" si="4"/>
        <v xml:space="preserve">http://slimages.macys.com/is/image/MCY/11269044 </v>
      </c>
    </row>
    <row r="443" spans="1:12" ht="24.75" x14ac:dyDescent="0.25">
      <c r="A443" s="4" t="s">
        <v>5795</v>
      </c>
      <c r="B443" s="2" t="s">
        <v>1183</v>
      </c>
      <c r="C443" s="3">
        <v>2</v>
      </c>
      <c r="D443" s="5">
        <v>34.5</v>
      </c>
      <c r="E443" s="3">
        <v>100045810</v>
      </c>
      <c r="F443" s="2" t="s">
        <v>111</v>
      </c>
      <c r="G443" s="6" t="s">
        <v>181</v>
      </c>
      <c r="H443" s="2" t="s">
        <v>228</v>
      </c>
      <c r="I443" s="2" t="s">
        <v>229</v>
      </c>
      <c r="J443" s="2" t="s">
        <v>19</v>
      </c>
      <c r="K443" s="2" t="s">
        <v>253</v>
      </c>
      <c r="L443" s="7" t="str">
        <f t="shared" si="4"/>
        <v xml:space="preserve">http://slimages.macys.com/is/image/MCY/11269044 </v>
      </c>
    </row>
    <row r="444" spans="1:12" ht="24.75" x14ac:dyDescent="0.25">
      <c r="A444" s="4" t="s">
        <v>5796</v>
      </c>
      <c r="B444" s="2" t="s">
        <v>1185</v>
      </c>
      <c r="C444" s="3">
        <v>1</v>
      </c>
      <c r="D444" s="5">
        <v>34.5</v>
      </c>
      <c r="E444" s="3" t="s">
        <v>1186</v>
      </c>
      <c r="F444" s="2" t="s">
        <v>376</v>
      </c>
      <c r="G444" s="6" t="s">
        <v>154</v>
      </c>
      <c r="H444" s="2" t="s">
        <v>228</v>
      </c>
      <c r="I444" s="2" t="s">
        <v>229</v>
      </c>
      <c r="J444" s="2" t="s">
        <v>19</v>
      </c>
      <c r="K444" s="2" t="s">
        <v>253</v>
      </c>
      <c r="L444" s="7" t="str">
        <f t="shared" si="4"/>
        <v xml:space="preserve">http://slimages.macys.com/is/image/MCY/11269044 </v>
      </c>
    </row>
    <row r="445" spans="1:12" x14ac:dyDescent="0.25">
      <c r="A445" s="4" t="s">
        <v>5797</v>
      </c>
      <c r="B445" s="2" t="s">
        <v>5798</v>
      </c>
      <c r="C445" s="3">
        <v>1</v>
      </c>
      <c r="D445" s="5">
        <v>34.65</v>
      </c>
      <c r="E445" s="3" t="s">
        <v>5799</v>
      </c>
      <c r="F445" s="2"/>
      <c r="G445" s="6" t="s">
        <v>181</v>
      </c>
      <c r="H445" s="2" t="s">
        <v>182</v>
      </c>
      <c r="I445" s="2" t="s">
        <v>183</v>
      </c>
      <c r="J445" s="2" t="s">
        <v>19</v>
      </c>
      <c r="K445" s="2" t="s">
        <v>247</v>
      </c>
      <c r="L445" s="7" t="str">
        <f>HYPERLINK("http://slimages.macys.com/is/image/MCY/15138538 ")</f>
        <v xml:space="preserve">http://slimages.macys.com/is/image/MCY/15138538 </v>
      </c>
    </row>
    <row r="446" spans="1:12" x14ac:dyDescent="0.25">
      <c r="A446" s="4" t="s">
        <v>5800</v>
      </c>
      <c r="B446" s="2" t="s">
        <v>5798</v>
      </c>
      <c r="C446" s="3">
        <v>2</v>
      </c>
      <c r="D446" s="5">
        <v>34.65</v>
      </c>
      <c r="E446" s="3" t="s">
        <v>5799</v>
      </c>
      <c r="F446" s="2"/>
      <c r="G446" s="6" t="s">
        <v>200</v>
      </c>
      <c r="H446" s="2" t="s">
        <v>182</v>
      </c>
      <c r="I446" s="2" t="s">
        <v>183</v>
      </c>
      <c r="J446" s="2" t="s">
        <v>19</v>
      </c>
      <c r="K446" s="2" t="s">
        <v>247</v>
      </c>
      <c r="L446" s="7" t="str">
        <f>HYPERLINK("http://slimages.macys.com/is/image/MCY/15138538 ")</f>
        <v xml:space="preserve">http://slimages.macys.com/is/image/MCY/15138538 </v>
      </c>
    </row>
    <row r="447" spans="1:12" x14ac:dyDescent="0.25">
      <c r="A447" s="4" t="s">
        <v>5801</v>
      </c>
      <c r="B447" s="2" t="s">
        <v>5798</v>
      </c>
      <c r="C447" s="3">
        <v>2</v>
      </c>
      <c r="D447" s="5">
        <v>34.65</v>
      </c>
      <c r="E447" s="3" t="s">
        <v>5799</v>
      </c>
      <c r="F447" s="2"/>
      <c r="G447" s="6" t="s">
        <v>154</v>
      </c>
      <c r="H447" s="2" t="s">
        <v>182</v>
      </c>
      <c r="I447" s="2" t="s">
        <v>183</v>
      </c>
      <c r="J447" s="2" t="s">
        <v>19</v>
      </c>
      <c r="K447" s="2" t="s">
        <v>247</v>
      </c>
      <c r="L447" s="7" t="str">
        <f>HYPERLINK("http://slimages.macys.com/is/image/MCY/15138538 ")</f>
        <v xml:space="preserve">http://slimages.macys.com/is/image/MCY/15138538 </v>
      </c>
    </row>
    <row r="448" spans="1:12" ht="24.75" x14ac:dyDescent="0.25">
      <c r="A448" s="4" t="s">
        <v>5802</v>
      </c>
      <c r="B448" s="2" t="s">
        <v>4864</v>
      </c>
      <c r="C448" s="3">
        <v>1</v>
      </c>
      <c r="D448" s="5">
        <v>37.130000000000003</v>
      </c>
      <c r="E448" s="3" t="s">
        <v>4865</v>
      </c>
      <c r="F448" s="2" t="s">
        <v>15</v>
      </c>
      <c r="G448" s="6" t="s">
        <v>181</v>
      </c>
      <c r="H448" s="2" t="s">
        <v>194</v>
      </c>
      <c r="I448" s="2" t="s">
        <v>195</v>
      </c>
      <c r="J448" s="2" t="s">
        <v>19</v>
      </c>
      <c r="K448" s="2" t="s">
        <v>4866</v>
      </c>
      <c r="L448" s="7" t="str">
        <f>HYPERLINK("http://slimages.macys.com/is/image/MCY/12734328 ")</f>
        <v xml:space="preserve">http://slimages.macys.com/is/image/MCY/12734328 </v>
      </c>
    </row>
    <row r="449" spans="1:12" ht="24.75" x14ac:dyDescent="0.25">
      <c r="A449" s="4" t="s">
        <v>5803</v>
      </c>
      <c r="B449" s="2" t="s">
        <v>1188</v>
      </c>
      <c r="C449" s="3">
        <v>1</v>
      </c>
      <c r="D449" s="5">
        <v>44.63</v>
      </c>
      <c r="E449" s="3" t="s">
        <v>1189</v>
      </c>
      <c r="F449" s="2" t="s">
        <v>38</v>
      </c>
      <c r="G449" s="6" t="s">
        <v>156</v>
      </c>
      <c r="H449" s="2" t="s">
        <v>194</v>
      </c>
      <c r="I449" s="2" t="s">
        <v>195</v>
      </c>
      <c r="J449" s="2" t="s">
        <v>19</v>
      </c>
      <c r="K449" s="2" t="s">
        <v>803</v>
      </c>
      <c r="L449" s="7" t="str">
        <f>HYPERLINK("http://slimages.macys.com/is/image/MCY/13683354 ")</f>
        <v xml:space="preserve">http://slimages.macys.com/is/image/MCY/13683354 </v>
      </c>
    </row>
    <row r="450" spans="1:12" ht="24.75" x14ac:dyDescent="0.25">
      <c r="A450" s="4" t="s">
        <v>1187</v>
      </c>
      <c r="B450" s="2" t="s">
        <v>1188</v>
      </c>
      <c r="C450" s="3">
        <v>2</v>
      </c>
      <c r="D450" s="5">
        <v>44.63</v>
      </c>
      <c r="E450" s="3" t="s">
        <v>1189</v>
      </c>
      <c r="F450" s="2" t="s">
        <v>38</v>
      </c>
      <c r="G450" s="6" t="s">
        <v>234</v>
      </c>
      <c r="H450" s="2" t="s">
        <v>194</v>
      </c>
      <c r="I450" s="2" t="s">
        <v>195</v>
      </c>
      <c r="J450" s="2" t="s">
        <v>19</v>
      </c>
      <c r="K450" s="2" t="s">
        <v>803</v>
      </c>
      <c r="L450" s="7" t="str">
        <f>HYPERLINK("http://slimages.macys.com/is/image/MCY/13683354 ")</f>
        <v xml:space="preserve">http://slimages.macys.com/is/image/MCY/13683354 </v>
      </c>
    </row>
    <row r="451" spans="1:12" ht="24.75" x14ac:dyDescent="0.25">
      <c r="A451" s="4" t="s">
        <v>1190</v>
      </c>
      <c r="B451" s="2" t="s">
        <v>1188</v>
      </c>
      <c r="C451" s="3">
        <v>2</v>
      </c>
      <c r="D451" s="5">
        <v>44.63</v>
      </c>
      <c r="E451" s="3" t="s">
        <v>1189</v>
      </c>
      <c r="F451" s="2" t="s">
        <v>38</v>
      </c>
      <c r="G451" s="6" t="s">
        <v>154</v>
      </c>
      <c r="H451" s="2" t="s">
        <v>194</v>
      </c>
      <c r="I451" s="2" t="s">
        <v>195</v>
      </c>
      <c r="J451" s="2" t="s">
        <v>19</v>
      </c>
      <c r="K451" s="2" t="s">
        <v>803</v>
      </c>
      <c r="L451" s="7" t="str">
        <f>HYPERLINK("http://slimages.macys.com/is/image/MCY/13683354 ")</f>
        <v xml:space="preserve">http://slimages.macys.com/is/image/MCY/13683354 </v>
      </c>
    </row>
    <row r="452" spans="1:12" ht="24.75" x14ac:dyDescent="0.25">
      <c r="A452" s="4" t="s">
        <v>1192</v>
      </c>
      <c r="B452" s="2" t="s">
        <v>1188</v>
      </c>
      <c r="C452" s="3">
        <v>1</v>
      </c>
      <c r="D452" s="5">
        <v>44.63</v>
      </c>
      <c r="E452" s="3" t="s">
        <v>1189</v>
      </c>
      <c r="F452" s="2" t="s">
        <v>64</v>
      </c>
      <c r="G452" s="6" t="s">
        <v>234</v>
      </c>
      <c r="H452" s="2" t="s">
        <v>194</v>
      </c>
      <c r="I452" s="2" t="s">
        <v>195</v>
      </c>
      <c r="J452" s="2" t="s">
        <v>19</v>
      </c>
      <c r="K452" s="2" t="s">
        <v>803</v>
      </c>
      <c r="L452" s="7" t="str">
        <f>HYPERLINK("http://slimages.macys.com/is/image/MCY/13683354 ")</f>
        <v xml:space="preserve">http://slimages.macys.com/is/image/MCY/13683354 </v>
      </c>
    </row>
    <row r="453" spans="1:12" ht="24.75" x14ac:dyDescent="0.25">
      <c r="A453" s="4" t="s">
        <v>5804</v>
      </c>
      <c r="B453" s="2" t="s">
        <v>5805</v>
      </c>
      <c r="C453" s="3">
        <v>1</v>
      </c>
      <c r="D453" s="5">
        <v>36.75</v>
      </c>
      <c r="E453" s="3" t="s">
        <v>5806</v>
      </c>
      <c r="F453" s="2" t="s">
        <v>26</v>
      </c>
      <c r="G453" s="6"/>
      <c r="H453" s="2" t="s">
        <v>426</v>
      </c>
      <c r="I453" s="2" t="s">
        <v>229</v>
      </c>
      <c r="J453" s="2" t="s">
        <v>19</v>
      </c>
      <c r="K453" s="2" t="s">
        <v>253</v>
      </c>
      <c r="L453" s="7" t="str">
        <f>HYPERLINK("http://slimages.macys.com/is/image/MCY/11148650 ")</f>
        <v xml:space="preserve">http://slimages.macys.com/is/image/MCY/11148650 </v>
      </c>
    </row>
    <row r="454" spans="1:12" ht="24.75" x14ac:dyDescent="0.25">
      <c r="A454" s="4" t="s">
        <v>5807</v>
      </c>
      <c r="B454" s="2" t="s">
        <v>5808</v>
      </c>
      <c r="C454" s="3">
        <v>1</v>
      </c>
      <c r="D454" s="5">
        <v>34.5</v>
      </c>
      <c r="E454" s="3">
        <v>60068507</v>
      </c>
      <c r="F454" s="2" t="s">
        <v>74</v>
      </c>
      <c r="G454" s="6" t="s">
        <v>22</v>
      </c>
      <c r="H454" s="2" t="s">
        <v>228</v>
      </c>
      <c r="I454" s="2" t="s">
        <v>863</v>
      </c>
      <c r="J454" s="2" t="s">
        <v>19</v>
      </c>
      <c r="K454" s="2" t="s">
        <v>253</v>
      </c>
      <c r="L454" s="7" t="str">
        <f>HYPERLINK("http://slimages.macys.com/is/image/MCY/10749299 ")</f>
        <v xml:space="preserve">http://slimages.macys.com/is/image/MCY/10749299 </v>
      </c>
    </row>
    <row r="455" spans="1:12" ht="24.75" x14ac:dyDescent="0.25">
      <c r="A455" s="4" t="s">
        <v>5809</v>
      </c>
      <c r="B455" s="2" t="s">
        <v>4878</v>
      </c>
      <c r="C455" s="3">
        <v>1</v>
      </c>
      <c r="D455" s="5">
        <v>27.99</v>
      </c>
      <c r="E455" s="3" t="s">
        <v>4879</v>
      </c>
      <c r="F455" s="2" t="s">
        <v>33</v>
      </c>
      <c r="G455" s="6" t="s">
        <v>181</v>
      </c>
      <c r="H455" s="2" t="s">
        <v>1522</v>
      </c>
      <c r="I455" s="2" t="s">
        <v>1469</v>
      </c>
      <c r="J455" s="2" t="s">
        <v>19</v>
      </c>
      <c r="K455" s="2" t="s">
        <v>353</v>
      </c>
      <c r="L455" s="7" t="str">
        <f>HYPERLINK("http://slimages.macys.com/is/image/MCY/11774240 ")</f>
        <v xml:space="preserve">http://slimages.macys.com/is/image/MCY/11774240 </v>
      </c>
    </row>
    <row r="456" spans="1:12" ht="24.75" x14ac:dyDescent="0.25">
      <c r="A456" s="4" t="s">
        <v>5810</v>
      </c>
      <c r="B456" s="2" t="s">
        <v>1208</v>
      </c>
      <c r="C456" s="3">
        <v>1</v>
      </c>
      <c r="D456" s="5">
        <v>37.130000000000003</v>
      </c>
      <c r="E456" s="3">
        <v>100013470</v>
      </c>
      <c r="F456" s="2" t="s">
        <v>15</v>
      </c>
      <c r="G456" s="6" t="s">
        <v>106</v>
      </c>
      <c r="H456" s="2" t="s">
        <v>194</v>
      </c>
      <c r="I456" s="2" t="s">
        <v>195</v>
      </c>
      <c r="J456" s="2" t="s">
        <v>19</v>
      </c>
      <c r="K456" s="2" t="s">
        <v>353</v>
      </c>
      <c r="L456" s="7" t="str">
        <f>HYPERLINK("http://slimages.macys.com/is/image/MCY/9426968 ")</f>
        <v xml:space="preserve">http://slimages.macys.com/is/image/MCY/9426968 </v>
      </c>
    </row>
    <row r="457" spans="1:12" ht="24.75" x14ac:dyDescent="0.25">
      <c r="A457" s="4" t="s">
        <v>5811</v>
      </c>
      <c r="B457" s="2" t="s">
        <v>1199</v>
      </c>
      <c r="C457" s="3">
        <v>1</v>
      </c>
      <c r="D457" s="5">
        <v>37.130000000000003</v>
      </c>
      <c r="E457" s="3">
        <v>100009324</v>
      </c>
      <c r="F457" s="2" t="s">
        <v>376</v>
      </c>
      <c r="G457" s="6" t="s">
        <v>141</v>
      </c>
      <c r="H457" s="2" t="s">
        <v>194</v>
      </c>
      <c r="I457" s="2" t="s">
        <v>195</v>
      </c>
      <c r="J457" s="2" t="s">
        <v>19</v>
      </c>
      <c r="K457" s="2" t="s">
        <v>353</v>
      </c>
      <c r="L457" s="7" t="str">
        <f t="shared" ref="L457:L462" si="5">HYPERLINK("http://slimages.macys.com/is/image/MCY/9404224 ")</f>
        <v xml:space="preserve">http://slimages.macys.com/is/image/MCY/9404224 </v>
      </c>
    </row>
    <row r="458" spans="1:12" ht="24.75" x14ac:dyDescent="0.25">
      <c r="A458" s="4" t="s">
        <v>5812</v>
      </c>
      <c r="B458" s="2" t="s">
        <v>1199</v>
      </c>
      <c r="C458" s="3">
        <v>2</v>
      </c>
      <c r="D458" s="5">
        <v>37.130000000000003</v>
      </c>
      <c r="E458" s="3">
        <v>100009324</v>
      </c>
      <c r="F458" s="2" t="s">
        <v>376</v>
      </c>
      <c r="G458" s="6" t="s">
        <v>65</v>
      </c>
      <c r="H458" s="2" t="s">
        <v>194</v>
      </c>
      <c r="I458" s="2" t="s">
        <v>195</v>
      </c>
      <c r="J458" s="2" t="s">
        <v>19</v>
      </c>
      <c r="K458" s="2" t="s">
        <v>353</v>
      </c>
      <c r="L458" s="7" t="str">
        <f t="shared" si="5"/>
        <v xml:space="preserve">http://slimages.macys.com/is/image/MCY/9404224 </v>
      </c>
    </row>
    <row r="459" spans="1:12" ht="24.75" x14ac:dyDescent="0.25">
      <c r="A459" s="4" t="s">
        <v>5813</v>
      </c>
      <c r="B459" s="2" t="s">
        <v>1199</v>
      </c>
      <c r="C459" s="3">
        <v>2</v>
      </c>
      <c r="D459" s="5">
        <v>37.130000000000003</v>
      </c>
      <c r="E459" s="3">
        <v>100009324</v>
      </c>
      <c r="F459" s="2" t="s">
        <v>376</v>
      </c>
      <c r="G459" s="6" t="s">
        <v>58</v>
      </c>
      <c r="H459" s="2" t="s">
        <v>194</v>
      </c>
      <c r="I459" s="2" t="s">
        <v>195</v>
      </c>
      <c r="J459" s="2" t="s">
        <v>19</v>
      </c>
      <c r="K459" s="2" t="s">
        <v>353</v>
      </c>
      <c r="L459" s="7" t="str">
        <f t="shared" si="5"/>
        <v xml:space="preserve">http://slimages.macys.com/is/image/MCY/9404224 </v>
      </c>
    </row>
    <row r="460" spans="1:12" ht="24.75" x14ac:dyDescent="0.25">
      <c r="A460" s="4" t="s">
        <v>3784</v>
      </c>
      <c r="B460" s="2" t="s">
        <v>1199</v>
      </c>
      <c r="C460" s="3">
        <v>1</v>
      </c>
      <c r="D460" s="5">
        <v>37.130000000000003</v>
      </c>
      <c r="E460" s="3">
        <v>100009324</v>
      </c>
      <c r="F460" s="2" t="s">
        <v>74</v>
      </c>
      <c r="G460" s="6" t="s">
        <v>27</v>
      </c>
      <c r="H460" s="2" t="s">
        <v>194</v>
      </c>
      <c r="I460" s="2" t="s">
        <v>195</v>
      </c>
      <c r="J460" s="2" t="s">
        <v>19</v>
      </c>
      <c r="K460" s="2" t="s">
        <v>353</v>
      </c>
      <c r="L460" s="7" t="str">
        <f t="shared" si="5"/>
        <v xml:space="preserve">http://slimages.macys.com/is/image/MCY/9404224 </v>
      </c>
    </row>
    <row r="461" spans="1:12" ht="24.75" x14ac:dyDescent="0.25">
      <c r="A461" s="4" t="s">
        <v>3786</v>
      </c>
      <c r="B461" s="2" t="s">
        <v>1199</v>
      </c>
      <c r="C461" s="3">
        <v>3</v>
      </c>
      <c r="D461" s="5">
        <v>37.130000000000003</v>
      </c>
      <c r="E461" s="3">
        <v>100009324</v>
      </c>
      <c r="F461" s="2" t="s">
        <v>506</v>
      </c>
      <c r="G461" s="6" t="s">
        <v>16</v>
      </c>
      <c r="H461" s="2" t="s">
        <v>194</v>
      </c>
      <c r="I461" s="2" t="s">
        <v>195</v>
      </c>
      <c r="J461" s="2" t="s">
        <v>19</v>
      </c>
      <c r="K461" s="2" t="s">
        <v>353</v>
      </c>
      <c r="L461" s="7" t="str">
        <f t="shared" si="5"/>
        <v xml:space="preserve">http://slimages.macys.com/is/image/MCY/9404224 </v>
      </c>
    </row>
    <row r="462" spans="1:12" ht="24.75" x14ac:dyDescent="0.25">
      <c r="A462" s="4" t="s">
        <v>2624</v>
      </c>
      <c r="B462" s="2" t="s">
        <v>1199</v>
      </c>
      <c r="C462" s="3">
        <v>1</v>
      </c>
      <c r="D462" s="5">
        <v>37.130000000000003</v>
      </c>
      <c r="E462" s="3">
        <v>100009324</v>
      </c>
      <c r="F462" s="2" t="s">
        <v>376</v>
      </c>
      <c r="G462" s="6" t="s">
        <v>106</v>
      </c>
      <c r="H462" s="2" t="s">
        <v>194</v>
      </c>
      <c r="I462" s="2" t="s">
        <v>195</v>
      </c>
      <c r="J462" s="2" t="s">
        <v>19</v>
      </c>
      <c r="K462" s="2" t="s">
        <v>353</v>
      </c>
      <c r="L462" s="7" t="str">
        <f t="shared" si="5"/>
        <v xml:space="preserve">http://slimages.macys.com/is/image/MCY/9404224 </v>
      </c>
    </row>
    <row r="463" spans="1:12" x14ac:dyDescent="0.25">
      <c r="A463" s="4" t="s">
        <v>5814</v>
      </c>
      <c r="B463" s="2" t="s">
        <v>5815</v>
      </c>
      <c r="C463" s="3">
        <v>1</v>
      </c>
      <c r="D463" s="5">
        <v>59.5</v>
      </c>
      <c r="E463" s="3" t="s">
        <v>5816</v>
      </c>
      <c r="F463" s="2" t="s">
        <v>74</v>
      </c>
      <c r="G463" s="6" t="s">
        <v>219</v>
      </c>
      <c r="H463" s="2" t="s">
        <v>206</v>
      </c>
      <c r="I463" s="2" t="s">
        <v>207</v>
      </c>
      <c r="J463" s="2" t="s">
        <v>19</v>
      </c>
      <c r="K463" s="2" t="s">
        <v>201</v>
      </c>
      <c r="L463" s="7" t="str">
        <f>HYPERLINK("http://slimages.macys.com/is/image/MCY/11436503 ")</f>
        <v xml:space="preserve">http://slimages.macys.com/is/image/MCY/11436503 </v>
      </c>
    </row>
    <row r="464" spans="1:12" ht="24.75" x14ac:dyDescent="0.25">
      <c r="A464" s="4" t="s">
        <v>5817</v>
      </c>
      <c r="B464" s="2" t="s">
        <v>5818</v>
      </c>
      <c r="C464" s="3">
        <v>1</v>
      </c>
      <c r="D464" s="5">
        <v>37.130000000000003</v>
      </c>
      <c r="E464" s="3" t="s">
        <v>5819</v>
      </c>
      <c r="F464" s="2" t="s">
        <v>413</v>
      </c>
      <c r="G464" s="6" t="s">
        <v>234</v>
      </c>
      <c r="H464" s="2" t="s">
        <v>284</v>
      </c>
      <c r="I464" s="2" t="s">
        <v>285</v>
      </c>
      <c r="J464" s="2" t="s">
        <v>19</v>
      </c>
      <c r="K464" s="2" t="s">
        <v>990</v>
      </c>
      <c r="L464" s="7" t="str">
        <f>HYPERLINK("http://slimages.macys.com/is/image/MCY/12342959 ")</f>
        <v xml:space="preserve">http://slimages.macys.com/is/image/MCY/12342959 </v>
      </c>
    </row>
    <row r="465" spans="1:12" ht="24.75" x14ac:dyDescent="0.25">
      <c r="A465" s="4" t="s">
        <v>1221</v>
      </c>
      <c r="B465" s="2" t="s">
        <v>1222</v>
      </c>
      <c r="C465" s="3">
        <v>1</v>
      </c>
      <c r="D465" s="5">
        <v>37.130000000000003</v>
      </c>
      <c r="E465" s="3" t="s">
        <v>1223</v>
      </c>
      <c r="F465" s="2" t="s">
        <v>26</v>
      </c>
      <c r="G465" s="6" t="s">
        <v>154</v>
      </c>
      <c r="H465" s="2" t="s">
        <v>194</v>
      </c>
      <c r="I465" s="2" t="s">
        <v>580</v>
      </c>
      <c r="J465" s="2" t="s">
        <v>19</v>
      </c>
      <c r="K465" s="2" t="s">
        <v>247</v>
      </c>
      <c r="L465" s="7" t="str">
        <f>HYPERLINK("http://slimages.macys.com/is/image/MCY/12950179 ")</f>
        <v xml:space="preserve">http://slimages.macys.com/is/image/MCY/12950179 </v>
      </c>
    </row>
    <row r="466" spans="1:12" ht="24.75" x14ac:dyDescent="0.25">
      <c r="A466" s="4" t="s">
        <v>2632</v>
      </c>
      <c r="B466" s="2" t="s">
        <v>1222</v>
      </c>
      <c r="C466" s="3">
        <v>1</v>
      </c>
      <c r="D466" s="5">
        <v>37.130000000000003</v>
      </c>
      <c r="E466" s="3" t="s">
        <v>1223</v>
      </c>
      <c r="F466" s="2" t="s">
        <v>26</v>
      </c>
      <c r="G466" s="6" t="s">
        <v>181</v>
      </c>
      <c r="H466" s="2" t="s">
        <v>194</v>
      </c>
      <c r="I466" s="2" t="s">
        <v>580</v>
      </c>
      <c r="J466" s="2" t="s">
        <v>19</v>
      </c>
      <c r="K466" s="2" t="s">
        <v>247</v>
      </c>
      <c r="L466" s="7" t="str">
        <f>HYPERLINK("http://slimages.macys.com/is/image/MCY/12950179 ")</f>
        <v xml:space="preserve">http://slimages.macys.com/is/image/MCY/12950179 </v>
      </c>
    </row>
    <row r="467" spans="1:12" ht="24.75" x14ac:dyDescent="0.25">
      <c r="A467" s="4" t="s">
        <v>1224</v>
      </c>
      <c r="B467" s="2" t="s">
        <v>1215</v>
      </c>
      <c r="C467" s="3">
        <v>1</v>
      </c>
      <c r="D467" s="5">
        <v>37.130000000000003</v>
      </c>
      <c r="E467" s="3" t="s">
        <v>1216</v>
      </c>
      <c r="F467" s="2" t="s">
        <v>579</v>
      </c>
      <c r="G467" s="6" t="s">
        <v>181</v>
      </c>
      <c r="H467" s="2" t="s">
        <v>194</v>
      </c>
      <c r="I467" s="2" t="s">
        <v>580</v>
      </c>
      <c r="J467" s="2" t="s">
        <v>19</v>
      </c>
      <c r="K467" s="2" t="s">
        <v>247</v>
      </c>
      <c r="L467" s="7" t="str">
        <f>HYPERLINK("http://slimages.macys.com/is/image/MCY/12950186 ")</f>
        <v xml:space="preserve">http://slimages.macys.com/is/image/MCY/12950186 </v>
      </c>
    </row>
    <row r="468" spans="1:12" ht="24.75" x14ac:dyDescent="0.25">
      <c r="A468" s="4" t="s">
        <v>5820</v>
      </c>
      <c r="B468" s="2" t="s">
        <v>1232</v>
      </c>
      <c r="C468" s="3">
        <v>1</v>
      </c>
      <c r="D468" s="5">
        <v>34.880000000000003</v>
      </c>
      <c r="E468" s="3" t="s">
        <v>1238</v>
      </c>
      <c r="F468" s="2" t="s">
        <v>26</v>
      </c>
      <c r="G468" s="6" t="s">
        <v>106</v>
      </c>
      <c r="H468" s="2" t="s">
        <v>194</v>
      </c>
      <c r="I468" s="2" t="s">
        <v>195</v>
      </c>
      <c r="J468" s="2" t="s">
        <v>19</v>
      </c>
      <c r="K468" s="2" t="s">
        <v>353</v>
      </c>
      <c r="L468" s="7" t="str">
        <f>HYPERLINK("http://slimages.macys.com/is/image/MCY/8312314 ")</f>
        <v xml:space="preserve">http://slimages.macys.com/is/image/MCY/8312314 </v>
      </c>
    </row>
    <row r="469" spans="1:12" ht="24.75" x14ac:dyDescent="0.25">
      <c r="A469" s="4" t="s">
        <v>2633</v>
      </c>
      <c r="B469" s="2" t="s">
        <v>1232</v>
      </c>
      <c r="C469" s="3">
        <v>1</v>
      </c>
      <c r="D469" s="5">
        <v>34.880000000000003</v>
      </c>
      <c r="E469" s="3" t="s">
        <v>1233</v>
      </c>
      <c r="F469" s="2" t="s">
        <v>1234</v>
      </c>
      <c r="G469" s="6" t="s">
        <v>27</v>
      </c>
      <c r="H469" s="2" t="s">
        <v>194</v>
      </c>
      <c r="I469" s="2" t="s">
        <v>195</v>
      </c>
      <c r="J469" s="2" t="s">
        <v>19</v>
      </c>
      <c r="K469" s="2" t="s">
        <v>353</v>
      </c>
      <c r="L469" s="7" t="str">
        <f>HYPERLINK("http://slimages.macys.com/is/image/MCY/8312314 ")</f>
        <v xml:space="preserve">http://slimages.macys.com/is/image/MCY/8312314 </v>
      </c>
    </row>
    <row r="470" spans="1:12" ht="24.75" x14ac:dyDescent="0.25">
      <c r="A470" s="4" t="s">
        <v>5821</v>
      </c>
      <c r="B470" s="2" t="s">
        <v>1232</v>
      </c>
      <c r="C470" s="3">
        <v>1</v>
      </c>
      <c r="D470" s="5">
        <v>34.880000000000003</v>
      </c>
      <c r="E470" s="3" t="s">
        <v>1238</v>
      </c>
      <c r="F470" s="2" t="s">
        <v>26</v>
      </c>
      <c r="G470" s="6" t="s">
        <v>27</v>
      </c>
      <c r="H470" s="2" t="s">
        <v>194</v>
      </c>
      <c r="I470" s="2" t="s">
        <v>195</v>
      </c>
      <c r="J470" s="2" t="s">
        <v>19</v>
      </c>
      <c r="K470" s="2" t="s">
        <v>353</v>
      </c>
      <c r="L470" s="7" t="str">
        <f>HYPERLINK("http://slimages.macys.com/is/image/MCY/8312314 ")</f>
        <v xml:space="preserve">http://slimages.macys.com/is/image/MCY/8312314 </v>
      </c>
    </row>
    <row r="471" spans="1:12" ht="24.75" x14ac:dyDescent="0.25">
      <c r="A471" s="4" t="s">
        <v>5822</v>
      </c>
      <c r="B471" s="2" t="s">
        <v>1232</v>
      </c>
      <c r="C471" s="3">
        <v>3</v>
      </c>
      <c r="D471" s="5">
        <v>34.880000000000003</v>
      </c>
      <c r="E471" s="3" t="s">
        <v>1238</v>
      </c>
      <c r="F471" s="2" t="s">
        <v>26</v>
      </c>
      <c r="G471" s="6" t="s">
        <v>16</v>
      </c>
      <c r="H471" s="2" t="s">
        <v>194</v>
      </c>
      <c r="I471" s="2" t="s">
        <v>195</v>
      </c>
      <c r="J471" s="2" t="s">
        <v>19</v>
      </c>
      <c r="K471" s="2" t="s">
        <v>353</v>
      </c>
      <c r="L471" s="7" t="str">
        <f>HYPERLINK("http://slimages.macys.com/is/image/MCY/8312314 ")</f>
        <v xml:space="preserve">http://slimages.macys.com/is/image/MCY/8312314 </v>
      </c>
    </row>
    <row r="472" spans="1:12" ht="24.75" x14ac:dyDescent="0.25">
      <c r="A472" s="4" t="s">
        <v>5823</v>
      </c>
      <c r="B472" s="2" t="s">
        <v>5824</v>
      </c>
      <c r="C472" s="3">
        <v>1</v>
      </c>
      <c r="D472" s="5">
        <v>21.99</v>
      </c>
      <c r="E472" s="3">
        <v>100052271</v>
      </c>
      <c r="F472" s="2" t="s">
        <v>79</v>
      </c>
      <c r="G472" s="6" t="s">
        <v>27</v>
      </c>
      <c r="H472" s="2" t="s">
        <v>194</v>
      </c>
      <c r="I472" s="2" t="s">
        <v>195</v>
      </c>
      <c r="J472" s="2" t="s">
        <v>19</v>
      </c>
      <c r="K472" s="2" t="s">
        <v>353</v>
      </c>
      <c r="L472" s="7" t="str">
        <f>HYPERLINK("http://slimages.macys.com/is/image/MCY/12280090 ")</f>
        <v xml:space="preserve">http://slimages.macys.com/is/image/MCY/12280090 </v>
      </c>
    </row>
    <row r="473" spans="1:12" ht="24.75" x14ac:dyDescent="0.25">
      <c r="A473" s="4" t="s">
        <v>2640</v>
      </c>
      <c r="B473" s="2" t="s">
        <v>1244</v>
      </c>
      <c r="C473" s="3">
        <v>1</v>
      </c>
      <c r="D473" s="5">
        <v>37.130000000000003</v>
      </c>
      <c r="E473" s="3">
        <v>100058183</v>
      </c>
      <c r="F473" s="2" t="s">
        <v>15</v>
      </c>
      <c r="G473" s="6" t="s">
        <v>16</v>
      </c>
      <c r="H473" s="2" t="s">
        <v>194</v>
      </c>
      <c r="I473" s="2" t="s">
        <v>195</v>
      </c>
      <c r="J473" s="2" t="s">
        <v>19</v>
      </c>
      <c r="K473" s="2" t="s">
        <v>353</v>
      </c>
      <c r="L473" s="7" t="str">
        <f>HYPERLINK("http://slimages.macys.com/is/image/MCY/12793647 ")</f>
        <v xml:space="preserve">http://slimages.macys.com/is/image/MCY/12793647 </v>
      </c>
    </row>
    <row r="474" spans="1:12" ht="24.75" x14ac:dyDescent="0.25">
      <c r="A474" s="4" t="s">
        <v>5825</v>
      </c>
      <c r="B474" s="2" t="s">
        <v>1244</v>
      </c>
      <c r="C474" s="3">
        <v>1</v>
      </c>
      <c r="D474" s="5">
        <v>37.130000000000003</v>
      </c>
      <c r="E474" s="3">
        <v>100058183</v>
      </c>
      <c r="F474" s="2" t="s">
        <v>26</v>
      </c>
      <c r="G474" s="6" t="s">
        <v>141</v>
      </c>
      <c r="H474" s="2" t="s">
        <v>194</v>
      </c>
      <c r="I474" s="2" t="s">
        <v>195</v>
      </c>
      <c r="J474" s="2" t="s">
        <v>19</v>
      </c>
      <c r="K474" s="2" t="s">
        <v>353</v>
      </c>
      <c r="L474" s="7" t="str">
        <f>HYPERLINK("http://slimages.macys.com/is/image/MCY/12793647 ")</f>
        <v xml:space="preserve">http://slimages.macys.com/is/image/MCY/12793647 </v>
      </c>
    </row>
    <row r="475" spans="1:12" ht="24.75" x14ac:dyDescent="0.25">
      <c r="A475" s="4" t="s">
        <v>5826</v>
      </c>
      <c r="B475" s="2" t="s">
        <v>1327</v>
      </c>
      <c r="C475" s="3">
        <v>2</v>
      </c>
      <c r="D475" s="5">
        <v>34.880000000000003</v>
      </c>
      <c r="E475" s="3" t="s">
        <v>5827</v>
      </c>
      <c r="F475" s="2" t="s">
        <v>94</v>
      </c>
      <c r="G475" s="6" t="s">
        <v>22</v>
      </c>
      <c r="H475" s="2" t="s">
        <v>194</v>
      </c>
      <c r="I475" s="2" t="s">
        <v>195</v>
      </c>
      <c r="J475" s="2" t="s">
        <v>19</v>
      </c>
      <c r="K475" s="2" t="s">
        <v>353</v>
      </c>
      <c r="L475" s="7" t="str">
        <f>HYPERLINK("http://slimages.macys.com/is/image/MCY/12033298 ")</f>
        <v xml:space="preserve">http://slimages.macys.com/is/image/MCY/12033298 </v>
      </c>
    </row>
    <row r="476" spans="1:12" ht="24.75" x14ac:dyDescent="0.25">
      <c r="A476" s="4" t="s">
        <v>5828</v>
      </c>
      <c r="B476" s="2" t="s">
        <v>1327</v>
      </c>
      <c r="C476" s="3">
        <v>1</v>
      </c>
      <c r="D476" s="5">
        <v>34.880000000000003</v>
      </c>
      <c r="E476" s="3" t="s">
        <v>5827</v>
      </c>
      <c r="F476" s="2" t="s">
        <v>94</v>
      </c>
      <c r="G476" s="6" t="s">
        <v>16</v>
      </c>
      <c r="H476" s="2" t="s">
        <v>194</v>
      </c>
      <c r="I476" s="2" t="s">
        <v>195</v>
      </c>
      <c r="J476" s="2" t="s">
        <v>19</v>
      </c>
      <c r="K476" s="2" t="s">
        <v>353</v>
      </c>
      <c r="L476" s="7" t="str">
        <f>HYPERLINK("http://slimages.macys.com/is/image/MCY/12033298 ")</f>
        <v xml:space="preserve">http://slimages.macys.com/is/image/MCY/12033298 </v>
      </c>
    </row>
    <row r="477" spans="1:12" ht="24.75" x14ac:dyDescent="0.25">
      <c r="A477" s="4" t="s">
        <v>3806</v>
      </c>
      <c r="B477" s="2" t="s">
        <v>1244</v>
      </c>
      <c r="C477" s="3">
        <v>1</v>
      </c>
      <c r="D477" s="5">
        <v>37.130000000000003</v>
      </c>
      <c r="E477" s="3">
        <v>100058183</v>
      </c>
      <c r="F477" s="2" t="s">
        <v>15</v>
      </c>
      <c r="G477" s="6" t="s">
        <v>141</v>
      </c>
      <c r="H477" s="2" t="s">
        <v>194</v>
      </c>
      <c r="I477" s="2" t="s">
        <v>195</v>
      </c>
      <c r="J477" s="2" t="s">
        <v>19</v>
      </c>
      <c r="K477" s="2" t="s">
        <v>353</v>
      </c>
      <c r="L477" s="7" t="str">
        <f>HYPERLINK("http://slimages.macys.com/is/image/MCY/12793647 ")</f>
        <v xml:space="preserve">http://slimages.macys.com/is/image/MCY/12793647 </v>
      </c>
    </row>
    <row r="478" spans="1:12" ht="24.75" x14ac:dyDescent="0.25">
      <c r="A478" s="4" t="s">
        <v>5829</v>
      </c>
      <c r="B478" s="2" t="s">
        <v>1327</v>
      </c>
      <c r="C478" s="3">
        <v>1</v>
      </c>
      <c r="D478" s="5">
        <v>34.880000000000003</v>
      </c>
      <c r="E478" s="3" t="s">
        <v>5827</v>
      </c>
      <c r="F478" s="2" t="s">
        <v>94</v>
      </c>
      <c r="G478" s="6" t="s">
        <v>27</v>
      </c>
      <c r="H478" s="2" t="s">
        <v>194</v>
      </c>
      <c r="I478" s="2" t="s">
        <v>195</v>
      </c>
      <c r="J478" s="2" t="s">
        <v>19</v>
      </c>
      <c r="K478" s="2" t="s">
        <v>353</v>
      </c>
      <c r="L478" s="7" t="str">
        <f>HYPERLINK("http://slimages.macys.com/is/image/MCY/12033298 ")</f>
        <v xml:space="preserve">http://slimages.macys.com/is/image/MCY/12033298 </v>
      </c>
    </row>
    <row r="479" spans="1:12" ht="24.75" x14ac:dyDescent="0.25">
      <c r="A479" s="4" t="s">
        <v>3811</v>
      </c>
      <c r="B479" s="2" t="s">
        <v>1244</v>
      </c>
      <c r="C479" s="3">
        <v>1</v>
      </c>
      <c r="D479" s="5">
        <v>37.130000000000003</v>
      </c>
      <c r="E479" s="3">
        <v>100058183</v>
      </c>
      <c r="F479" s="2" t="s">
        <v>26</v>
      </c>
      <c r="G479" s="6" t="s">
        <v>22</v>
      </c>
      <c r="H479" s="2" t="s">
        <v>194</v>
      </c>
      <c r="I479" s="2" t="s">
        <v>195</v>
      </c>
      <c r="J479" s="2" t="s">
        <v>19</v>
      </c>
      <c r="K479" s="2" t="s">
        <v>353</v>
      </c>
      <c r="L479" s="7" t="str">
        <f>HYPERLINK("http://slimages.macys.com/is/image/MCY/12793647 ")</f>
        <v xml:space="preserve">http://slimages.macys.com/is/image/MCY/12793647 </v>
      </c>
    </row>
    <row r="480" spans="1:12" ht="24.75" x14ac:dyDescent="0.25">
      <c r="A480" s="4" t="s">
        <v>5830</v>
      </c>
      <c r="B480" s="2" t="s">
        <v>1327</v>
      </c>
      <c r="C480" s="3">
        <v>1</v>
      </c>
      <c r="D480" s="5">
        <v>34.880000000000003</v>
      </c>
      <c r="E480" s="3" t="s">
        <v>3808</v>
      </c>
      <c r="F480" s="2" t="s">
        <v>506</v>
      </c>
      <c r="G480" s="6" t="s">
        <v>65</v>
      </c>
      <c r="H480" s="2" t="s">
        <v>194</v>
      </c>
      <c r="I480" s="2" t="s">
        <v>195</v>
      </c>
      <c r="J480" s="2" t="s">
        <v>19</v>
      </c>
      <c r="K480" s="2" t="s">
        <v>353</v>
      </c>
      <c r="L480" s="7" t="str">
        <f>HYPERLINK("http://slimages.macys.com/is/image/MCY/12033298 ")</f>
        <v xml:space="preserve">http://slimages.macys.com/is/image/MCY/12033298 </v>
      </c>
    </row>
    <row r="481" spans="1:12" ht="24.75" x14ac:dyDescent="0.25">
      <c r="A481" s="4" t="s">
        <v>1245</v>
      </c>
      <c r="B481" s="2" t="s">
        <v>1232</v>
      </c>
      <c r="C481" s="3">
        <v>2</v>
      </c>
      <c r="D481" s="5">
        <v>34.880000000000003</v>
      </c>
      <c r="E481" s="3" t="s">
        <v>1246</v>
      </c>
      <c r="F481" s="2" t="s">
        <v>74</v>
      </c>
      <c r="G481" s="6" t="s">
        <v>802</v>
      </c>
      <c r="H481" s="2" t="s">
        <v>312</v>
      </c>
      <c r="I481" s="2" t="s">
        <v>195</v>
      </c>
      <c r="J481" s="2" t="s">
        <v>19</v>
      </c>
      <c r="K481" s="2" t="s">
        <v>353</v>
      </c>
      <c r="L481" s="7" t="str">
        <f>HYPERLINK("http://slimages.macys.com/is/image/MCY/8256708 ")</f>
        <v xml:space="preserve">http://slimages.macys.com/is/image/MCY/8256708 </v>
      </c>
    </row>
    <row r="482" spans="1:12" ht="24.75" x14ac:dyDescent="0.25">
      <c r="A482" s="4" t="s">
        <v>1247</v>
      </c>
      <c r="B482" s="2" t="s">
        <v>1232</v>
      </c>
      <c r="C482" s="3">
        <v>2</v>
      </c>
      <c r="D482" s="5">
        <v>34.880000000000003</v>
      </c>
      <c r="E482" s="3" t="s">
        <v>1246</v>
      </c>
      <c r="F482" s="2" t="s">
        <v>74</v>
      </c>
      <c r="G482" s="6" t="s">
        <v>336</v>
      </c>
      <c r="H482" s="2" t="s">
        <v>312</v>
      </c>
      <c r="I482" s="2" t="s">
        <v>195</v>
      </c>
      <c r="J482" s="2" t="s">
        <v>19</v>
      </c>
      <c r="K482" s="2" t="s">
        <v>353</v>
      </c>
      <c r="L482" s="7" t="str">
        <f>HYPERLINK("http://slimages.macys.com/is/image/MCY/8256708 ")</f>
        <v xml:space="preserve">http://slimages.macys.com/is/image/MCY/8256708 </v>
      </c>
    </row>
    <row r="483" spans="1:12" ht="24.75" x14ac:dyDescent="0.25">
      <c r="A483" s="4" t="s">
        <v>1248</v>
      </c>
      <c r="B483" s="2" t="s">
        <v>1232</v>
      </c>
      <c r="C483" s="3">
        <v>1</v>
      </c>
      <c r="D483" s="5">
        <v>34.880000000000003</v>
      </c>
      <c r="E483" s="3" t="s">
        <v>1246</v>
      </c>
      <c r="F483" s="2" t="s">
        <v>74</v>
      </c>
      <c r="G483" s="6" t="s">
        <v>205</v>
      </c>
      <c r="H483" s="2" t="s">
        <v>312</v>
      </c>
      <c r="I483" s="2" t="s">
        <v>195</v>
      </c>
      <c r="J483" s="2" t="s">
        <v>19</v>
      </c>
      <c r="K483" s="2" t="s">
        <v>353</v>
      </c>
      <c r="L483" s="7" t="str">
        <f>HYPERLINK("http://slimages.macys.com/is/image/MCY/8256708 ")</f>
        <v xml:space="preserve">http://slimages.macys.com/is/image/MCY/8256708 </v>
      </c>
    </row>
    <row r="484" spans="1:12" ht="24.75" x14ac:dyDescent="0.25">
      <c r="A484" s="4" t="s">
        <v>2647</v>
      </c>
      <c r="B484" s="2" t="s">
        <v>1232</v>
      </c>
      <c r="C484" s="3">
        <v>2</v>
      </c>
      <c r="D484" s="5">
        <v>34.880000000000003</v>
      </c>
      <c r="E484" s="3" t="s">
        <v>1246</v>
      </c>
      <c r="F484" s="2" t="s">
        <v>74</v>
      </c>
      <c r="G484" s="6" t="s">
        <v>934</v>
      </c>
      <c r="H484" s="2" t="s">
        <v>312</v>
      </c>
      <c r="I484" s="2" t="s">
        <v>195</v>
      </c>
      <c r="J484" s="2" t="s">
        <v>19</v>
      </c>
      <c r="K484" s="2" t="s">
        <v>353</v>
      </c>
      <c r="L484" s="7" t="str">
        <f>HYPERLINK("http://slimages.macys.com/is/image/MCY/8256708 ")</f>
        <v xml:space="preserve">http://slimages.macys.com/is/image/MCY/8256708 </v>
      </c>
    </row>
    <row r="485" spans="1:12" ht="24.75" x14ac:dyDescent="0.25">
      <c r="A485" s="4" t="s">
        <v>5831</v>
      </c>
      <c r="B485" s="2" t="s">
        <v>904</v>
      </c>
      <c r="C485" s="3">
        <v>1</v>
      </c>
      <c r="D485" s="5">
        <v>34.5</v>
      </c>
      <c r="E485" s="3" t="s">
        <v>5832</v>
      </c>
      <c r="F485" s="2" t="s">
        <v>89</v>
      </c>
      <c r="G485" s="6" t="s">
        <v>181</v>
      </c>
      <c r="H485" s="2" t="s">
        <v>228</v>
      </c>
      <c r="I485" s="2" t="s">
        <v>229</v>
      </c>
      <c r="J485" s="2" t="s">
        <v>19</v>
      </c>
      <c r="K485" s="2" t="s">
        <v>253</v>
      </c>
      <c r="L485" s="7" t="str">
        <f>HYPERLINK("http://slimages.macys.com/is/image/MCY/12794164 ")</f>
        <v xml:space="preserve">http://slimages.macys.com/is/image/MCY/12794164 </v>
      </c>
    </row>
    <row r="486" spans="1:12" ht="24.75" x14ac:dyDescent="0.25">
      <c r="A486" s="4" t="s">
        <v>5833</v>
      </c>
      <c r="B486" s="2" t="s">
        <v>904</v>
      </c>
      <c r="C486" s="3">
        <v>1</v>
      </c>
      <c r="D486" s="5">
        <v>34.5</v>
      </c>
      <c r="E486" s="3" t="s">
        <v>5832</v>
      </c>
      <c r="F486" s="2" t="s">
        <v>89</v>
      </c>
      <c r="G486" s="6" t="s">
        <v>154</v>
      </c>
      <c r="H486" s="2" t="s">
        <v>228</v>
      </c>
      <c r="I486" s="2" t="s">
        <v>229</v>
      </c>
      <c r="J486" s="2" t="s">
        <v>19</v>
      </c>
      <c r="K486" s="2" t="s">
        <v>253</v>
      </c>
      <c r="L486" s="7" t="str">
        <f>HYPERLINK("http://slimages.macys.com/is/image/MCY/12794164 ")</f>
        <v xml:space="preserve">http://slimages.macys.com/is/image/MCY/12794164 </v>
      </c>
    </row>
    <row r="487" spans="1:12" ht="24.75" x14ac:dyDescent="0.25">
      <c r="A487" s="4" t="s">
        <v>5834</v>
      </c>
      <c r="B487" s="2" t="s">
        <v>904</v>
      </c>
      <c r="C487" s="3">
        <v>1</v>
      </c>
      <c r="D487" s="5">
        <v>34.5</v>
      </c>
      <c r="E487" s="3" t="s">
        <v>5832</v>
      </c>
      <c r="F487" s="2" t="s">
        <v>89</v>
      </c>
      <c r="G487" s="6" t="s">
        <v>234</v>
      </c>
      <c r="H487" s="2" t="s">
        <v>228</v>
      </c>
      <c r="I487" s="2" t="s">
        <v>229</v>
      </c>
      <c r="J487" s="2" t="s">
        <v>19</v>
      </c>
      <c r="K487" s="2" t="s">
        <v>253</v>
      </c>
      <c r="L487" s="7" t="str">
        <f>HYPERLINK("http://slimages.macys.com/is/image/MCY/12794164 ")</f>
        <v xml:space="preserve">http://slimages.macys.com/is/image/MCY/12794164 </v>
      </c>
    </row>
    <row r="488" spans="1:12" ht="24.75" x14ac:dyDescent="0.25">
      <c r="A488" s="4" t="s">
        <v>5835</v>
      </c>
      <c r="B488" s="2" t="s">
        <v>1203</v>
      </c>
      <c r="C488" s="3">
        <v>2</v>
      </c>
      <c r="D488" s="5">
        <v>34.5</v>
      </c>
      <c r="E488" s="3" t="s">
        <v>4901</v>
      </c>
      <c r="F488" s="2" t="s">
        <v>1614</v>
      </c>
      <c r="G488" s="6" t="s">
        <v>802</v>
      </c>
      <c r="H488" s="2" t="s">
        <v>426</v>
      </c>
      <c r="I488" s="2" t="s">
        <v>229</v>
      </c>
      <c r="J488" s="2" t="s">
        <v>19</v>
      </c>
      <c r="K488" s="2" t="s">
        <v>253</v>
      </c>
      <c r="L488" s="7" t="str">
        <f>HYPERLINK("http://slimages.macys.com/is/image/MCY/1290325 ")</f>
        <v xml:space="preserve">http://slimages.macys.com/is/image/MCY/1290325 </v>
      </c>
    </row>
    <row r="489" spans="1:12" ht="24.75" x14ac:dyDescent="0.25">
      <c r="A489" s="4" t="s">
        <v>5836</v>
      </c>
      <c r="B489" s="2" t="s">
        <v>1203</v>
      </c>
      <c r="C489" s="3">
        <v>1</v>
      </c>
      <c r="D489" s="5">
        <v>34.5</v>
      </c>
      <c r="E489" s="3" t="s">
        <v>4901</v>
      </c>
      <c r="F489" s="2" t="s">
        <v>1614</v>
      </c>
      <c r="G489" s="6" t="s">
        <v>205</v>
      </c>
      <c r="H489" s="2" t="s">
        <v>426</v>
      </c>
      <c r="I489" s="2" t="s">
        <v>229</v>
      </c>
      <c r="J489" s="2" t="s">
        <v>19</v>
      </c>
      <c r="K489" s="2" t="s">
        <v>253</v>
      </c>
      <c r="L489" s="7" t="str">
        <f>HYPERLINK("http://slimages.macys.com/is/image/MCY/1290325 ")</f>
        <v xml:space="preserve">http://slimages.macys.com/is/image/MCY/1290325 </v>
      </c>
    </row>
    <row r="490" spans="1:12" ht="24.75" x14ac:dyDescent="0.25">
      <c r="A490" s="4" t="s">
        <v>5837</v>
      </c>
      <c r="B490" s="2" t="s">
        <v>1203</v>
      </c>
      <c r="C490" s="3">
        <v>2</v>
      </c>
      <c r="D490" s="5">
        <v>34.5</v>
      </c>
      <c r="E490" s="3" t="s">
        <v>4901</v>
      </c>
      <c r="F490" s="2" t="s">
        <v>1614</v>
      </c>
      <c r="G490" s="6" t="s">
        <v>126</v>
      </c>
      <c r="H490" s="2" t="s">
        <v>426</v>
      </c>
      <c r="I490" s="2" t="s">
        <v>229</v>
      </c>
      <c r="J490" s="2" t="s">
        <v>19</v>
      </c>
      <c r="K490" s="2" t="s">
        <v>253</v>
      </c>
      <c r="L490" s="7" t="str">
        <f>HYPERLINK("http://slimages.macys.com/is/image/MCY/1290325 ")</f>
        <v xml:space="preserve">http://slimages.macys.com/is/image/MCY/1290325 </v>
      </c>
    </row>
    <row r="491" spans="1:12" ht="24.75" x14ac:dyDescent="0.25">
      <c r="A491" s="4" t="s">
        <v>5838</v>
      </c>
      <c r="B491" s="2" t="s">
        <v>4903</v>
      </c>
      <c r="C491" s="3">
        <v>1</v>
      </c>
      <c r="D491" s="5">
        <v>34.5</v>
      </c>
      <c r="E491" s="3" t="s">
        <v>4904</v>
      </c>
      <c r="F491" s="2" t="s">
        <v>417</v>
      </c>
      <c r="G491" s="6" t="s">
        <v>3866</v>
      </c>
      <c r="H491" s="2" t="s">
        <v>228</v>
      </c>
      <c r="I491" s="2" t="s">
        <v>229</v>
      </c>
      <c r="J491" s="2" t="s">
        <v>19</v>
      </c>
      <c r="K491" s="2" t="s">
        <v>253</v>
      </c>
      <c r="L491" s="7" t="str">
        <f>HYPERLINK("http://slimages.macys.com/is/image/MCY/10749299 ")</f>
        <v xml:space="preserve">http://slimages.macys.com/is/image/MCY/10749299 </v>
      </c>
    </row>
    <row r="492" spans="1:12" ht="24.75" x14ac:dyDescent="0.25">
      <c r="A492" s="4" t="s">
        <v>5839</v>
      </c>
      <c r="B492" s="2" t="s">
        <v>4903</v>
      </c>
      <c r="C492" s="3">
        <v>1</v>
      </c>
      <c r="D492" s="5">
        <v>34.5</v>
      </c>
      <c r="E492" s="3" t="s">
        <v>4904</v>
      </c>
      <c r="F492" s="2" t="s">
        <v>417</v>
      </c>
      <c r="G492" s="6" t="s">
        <v>1165</v>
      </c>
      <c r="H492" s="2" t="s">
        <v>228</v>
      </c>
      <c r="I492" s="2" t="s">
        <v>229</v>
      </c>
      <c r="J492" s="2" t="s">
        <v>19</v>
      </c>
      <c r="K492" s="2" t="s">
        <v>253</v>
      </c>
      <c r="L492" s="7" t="str">
        <f>HYPERLINK("http://slimages.macys.com/is/image/MCY/10749299 ")</f>
        <v xml:space="preserve">http://slimages.macys.com/is/image/MCY/10749299 </v>
      </c>
    </row>
    <row r="493" spans="1:12" ht="24.75" x14ac:dyDescent="0.25">
      <c r="A493" s="4" t="s">
        <v>4905</v>
      </c>
      <c r="B493" s="2" t="s">
        <v>1250</v>
      </c>
      <c r="C493" s="3">
        <v>1</v>
      </c>
      <c r="D493" s="5">
        <v>34.5</v>
      </c>
      <c r="E493" s="3">
        <v>100003653</v>
      </c>
      <c r="F493" s="2" t="s">
        <v>417</v>
      </c>
      <c r="G493" s="6" t="s">
        <v>58</v>
      </c>
      <c r="H493" s="2" t="s">
        <v>228</v>
      </c>
      <c r="I493" s="2" t="s">
        <v>229</v>
      </c>
      <c r="J493" s="2" t="s">
        <v>19</v>
      </c>
      <c r="K493" s="2" t="s">
        <v>1251</v>
      </c>
      <c r="L493" s="7" t="str">
        <f t="shared" ref="L493:L498" si="6">HYPERLINK("http://slimages.macys.com/is/image/MCY/9100235 ")</f>
        <v xml:space="preserve">http://slimages.macys.com/is/image/MCY/9100235 </v>
      </c>
    </row>
    <row r="494" spans="1:12" ht="24.75" x14ac:dyDescent="0.25">
      <c r="A494" s="4" t="s">
        <v>2664</v>
      </c>
      <c r="B494" s="2" t="s">
        <v>1250</v>
      </c>
      <c r="C494" s="3">
        <v>1</v>
      </c>
      <c r="D494" s="5">
        <v>34.5</v>
      </c>
      <c r="E494" s="3">
        <v>100060489</v>
      </c>
      <c r="F494" s="2" t="s">
        <v>331</v>
      </c>
      <c r="G494" s="6" t="s">
        <v>65</v>
      </c>
      <c r="H494" s="2" t="s">
        <v>228</v>
      </c>
      <c r="I494" s="2" t="s">
        <v>229</v>
      </c>
      <c r="J494" s="2" t="s">
        <v>19</v>
      </c>
      <c r="K494" s="2" t="s">
        <v>1251</v>
      </c>
      <c r="L494" s="7" t="str">
        <f t="shared" si="6"/>
        <v xml:space="preserve">http://slimages.macys.com/is/image/MCY/9100235 </v>
      </c>
    </row>
    <row r="495" spans="1:12" ht="24.75" x14ac:dyDescent="0.25">
      <c r="A495" s="4" t="s">
        <v>3825</v>
      </c>
      <c r="B495" s="2" t="s">
        <v>1250</v>
      </c>
      <c r="C495" s="3">
        <v>1</v>
      </c>
      <c r="D495" s="5">
        <v>34.5</v>
      </c>
      <c r="E495" s="3">
        <v>100060489</v>
      </c>
      <c r="F495" s="2" t="s">
        <v>331</v>
      </c>
      <c r="G495" s="6" t="s">
        <v>112</v>
      </c>
      <c r="H495" s="2" t="s">
        <v>228</v>
      </c>
      <c r="I495" s="2" t="s">
        <v>229</v>
      </c>
      <c r="J495" s="2" t="s">
        <v>19</v>
      </c>
      <c r="K495" s="2" t="s">
        <v>1251</v>
      </c>
      <c r="L495" s="7" t="str">
        <f t="shared" si="6"/>
        <v xml:space="preserve">http://slimages.macys.com/is/image/MCY/9100235 </v>
      </c>
    </row>
    <row r="496" spans="1:12" ht="24.75" x14ac:dyDescent="0.25">
      <c r="A496" s="4" t="s">
        <v>5840</v>
      </c>
      <c r="B496" s="2" t="s">
        <v>1250</v>
      </c>
      <c r="C496" s="3">
        <v>2</v>
      </c>
      <c r="D496" s="5">
        <v>34.5</v>
      </c>
      <c r="E496" s="3">
        <v>100060489</v>
      </c>
      <c r="F496" s="2" t="s">
        <v>331</v>
      </c>
      <c r="G496" s="6" t="s">
        <v>27</v>
      </c>
      <c r="H496" s="2" t="s">
        <v>228</v>
      </c>
      <c r="I496" s="2" t="s">
        <v>229</v>
      </c>
      <c r="J496" s="2" t="s">
        <v>19</v>
      </c>
      <c r="K496" s="2" t="s">
        <v>1251</v>
      </c>
      <c r="L496" s="7" t="str">
        <f t="shared" si="6"/>
        <v xml:space="preserve">http://slimages.macys.com/is/image/MCY/9100235 </v>
      </c>
    </row>
    <row r="497" spans="1:12" ht="24.75" x14ac:dyDescent="0.25">
      <c r="A497" s="4" t="s">
        <v>5841</v>
      </c>
      <c r="B497" s="2" t="s">
        <v>1250</v>
      </c>
      <c r="C497" s="3">
        <v>2</v>
      </c>
      <c r="D497" s="5">
        <v>34.5</v>
      </c>
      <c r="E497" s="3">
        <v>100060489</v>
      </c>
      <c r="F497" s="2" t="s">
        <v>331</v>
      </c>
      <c r="G497" s="6" t="s">
        <v>22</v>
      </c>
      <c r="H497" s="2" t="s">
        <v>228</v>
      </c>
      <c r="I497" s="2" t="s">
        <v>229</v>
      </c>
      <c r="J497" s="2" t="s">
        <v>19</v>
      </c>
      <c r="K497" s="2" t="s">
        <v>1251</v>
      </c>
      <c r="L497" s="7" t="str">
        <f t="shared" si="6"/>
        <v xml:space="preserve">http://slimages.macys.com/is/image/MCY/9100235 </v>
      </c>
    </row>
    <row r="498" spans="1:12" ht="24.75" x14ac:dyDescent="0.25">
      <c r="A498" s="4" t="s">
        <v>2663</v>
      </c>
      <c r="B498" s="2" t="s">
        <v>1250</v>
      </c>
      <c r="C498" s="3">
        <v>2</v>
      </c>
      <c r="D498" s="5">
        <v>34.5</v>
      </c>
      <c r="E498" s="3">
        <v>100060489</v>
      </c>
      <c r="F498" s="2" t="s">
        <v>331</v>
      </c>
      <c r="G498" s="6" t="s">
        <v>16</v>
      </c>
      <c r="H498" s="2" t="s">
        <v>228</v>
      </c>
      <c r="I498" s="2" t="s">
        <v>229</v>
      </c>
      <c r="J498" s="2" t="s">
        <v>19</v>
      </c>
      <c r="K498" s="2" t="s">
        <v>1251</v>
      </c>
      <c r="L498" s="7" t="str">
        <f t="shared" si="6"/>
        <v xml:space="preserve">http://slimages.macys.com/is/image/MCY/9100235 </v>
      </c>
    </row>
    <row r="499" spans="1:12" ht="24.75" x14ac:dyDescent="0.25">
      <c r="A499" s="4" t="s">
        <v>1255</v>
      </c>
      <c r="B499" s="2" t="s">
        <v>1256</v>
      </c>
      <c r="C499" s="3">
        <v>1</v>
      </c>
      <c r="D499" s="5">
        <v>37.130000000000003</v>
      </c>
      <c r="E499" s="3" t="s">
        <v>1257</v>
      </c>
      <c r="F499" s="2" t="s">
        <v>74</v>
      </c>
      <c r="G499" s="6" t="s">
        <v>181</v>
      </c>
      <c r="H499" s="2" t="s">
        <v>284</v>
      </c>
      <c r="I499" s="2" t="s">
        <v>285</v>
      </c>
      <c r="J499" s="2" t="s">
        <v>19</v>
      </c>
      <c r="K499" s="2" t="s">
        <v>160</v>
      </c>
      <c r="L499" s="7" t="str">
        <f>HYPERLINK("http://slimages.macys.com/is/image/MCY/12876584 ")</f>
        <v xml:space="preserve">http://slimages.macys.com/is/image/MCY/12876584 </v>
      </c>
    </row>
    <row r="500" spans="1:12" ht="24.75" x14ac:dyDescent="0.25">
      <c r="A500" s="4" t="s">
        <v>4914</v>
      </c>
      <c r="B500" s="2" t="s">
        <v>4915</v>
      </c>
      <c r="C500" s="3">
        <v>1</v>
      </c>
      <c r="D500" s="5">
        <v>34.880000000000003</v>
      </c>
      <c r="E500" s="3" t="s">
        <v>4916</v>
      </c>
      <c r="F500" s="2" t="s">
        <v>64</v>
      </c>
      <c r="G500" s="6"/>
      <c r="H500" s="2" t="s">
        <v>312</v>
      </c>
      <c r="I500" s="2" t="s">
        <v>229</v>
      </c>
      <c r="J500" s="2" t="s">
        <v>19</v>
      </c>
      <c r="K500" s="2" t="s">
        <v>253</v>
      </c>
      <c r="L500" s="7" t="str">
        <f>HYPERLINK("http://slimages.macys.com/is/image/MCY/9489387 ")</f>
        <v xml:space="preserve">http://slimages.macys.com/is/image/MCY/9489387 </v>
      </c>
    </row>
    <row r="501" spans="1:12" ht="24.75" x14ac:dyDescent="0.25">
      <c r="A501" s="4" t="s">
        <v>5842</v>
      </c>
      <c r="B501" s="2" t="s">
        <v>5843</v>
      </c>
      <c r="C501" s="3">
        <v>1</v>
      </c>
      <c r="D501" s="5">
        <v>37.130000000000003</v>
      </c>
      <c r="E501" s="3" t="s">
        <v>5844</v>
      </c>
      <c r="F501" s="2"/>
      <c r="G501" s="6" t="s">
        <v>181</v>
      </c>
      <c r="H501" s="2" t="s">
        <v>246</v>
      </c>
      <c r="I501" s="2" t="s">
        <v>189</v>
      </c>
      <c r="J501" s="2" t="s">
        <v>19</v>
      </c>
      <c r="K501" s="2" t="s">
        <v>160</v>
      </c>
      <c r="L501" s="7" t="str">
        <f>HYPERLINK("http://slimages.macys.com/is/image/MCY/10679228 ")</f>
        <v xml:space="preserve">http://slimages.macys.com/is/image/MCY/10679228 </v>
      </c>
    </row>
    <row r="502" spans="1:12" ht="24.75" x14ac:dyDescent="0.25">
      <c r="A502" s="4" t="s">
        <v>5845</v>
      </c>
      <c r="B502" s="2" t="s">
        <v>4922</v>
      </c>
      <c r="C502" s="3">
        <v>3</v>
      </c>
      <c r="D502" s="5">
        <v>44.63</v>
      </c>
      <c r="E502" s="3">
        <v>100047681</v>
      </c>
      <c r="F502" s="2" t="s">
        <v>74</v>
      </c>
      <c r="G502" s="6" t="s">
        <v>181</v>
      </c>
      <c r="H502" s="2" t="s">
        <v>194</v>
      </c>
      <c r="I502" s="2" t="s">
        <v>195</v>
      </c>
      <c r="J502" s="2" t="s">
        <v>19</v>
      </c>
      <c r="K502" s="2" t="s">
        <v>247</v>
      </c>
      <c r="L502" s="7" t="str">
        <f>HYPERLINK("http://slimages.macys.com/is/image/MCY/11935520 ")</f>
        <v xml:space="preserve">http://slimages.macys.com/is/image/MCY/11935520 </v>
      </c>
    </row>
    <row r="503" spans="1:12" ht="24.75" x14ac:dyDescent="0.25">
      <c r="A503" s="4" t="s">
        <v>5846</v>
      </c>
      <c r="B503" s="2" t="s">
        <v>4922</v>
      </c>
      <c r="C503" s="3">
        <v>1</v>
      </c>
      <c r="D503" s="5">
        <v>44.63</v>
      </c>
      <c r="E503" s="3">
        <v>100047681</v>
      </c>
      <c r="F503" s="2" t="s">
        <v>74</v>
      </c>
      <c r="G503" s="6" t="s">
        <v>234</v>
      </c>
      <c r="H503" s="2" t="s">
        <v>194</v>
      </c>
      <c r="I503" s="2" t="s">
        <v>195</v>
      </c>
      <c r="J503" s="2" t="s">
        <v>19</v>
      </c>
      <c r="K503" s="2" t="s">
        <v>247</v>
      </c>
      <c r="L503" s="7" t="str">
        <f>HYPERLINK("http://slimages.macys.com/is/image/MCY/11935520 ")</f>
        <v xml:space="preserve">http://slimages.macys.com/is/image/MCY/11935520 </v>
      </c>
    </row>
    <row r="504" spans="1:12" ht="24.75" x14ac:dyDescent="0.25">
      <c r="A504" s="4" t="s">
        <v>1267</v>
      </c>
      <c r="B504" s="2" t="s">
        <v>1268</v>
      </c>
      <c r="C504" s="3">
        <v>1</v>
      </c>
      <c r="D504" s="5">
        <v>36.5</v>
      </c>
      <c r="E504" s="3" t="s">
        <v>1269</v>
      </c>
      <c r="F504" s="2" t="s">
        <v>111</v>
      </c>
      <c r="G504" s="6" t="s">
        <v>154</v>
      </c>
      <c r="H504" s="2" t="s">
        <v>194</v>
      </c>
      <c r="I504" s="2" t="s">
        <v>195</v>
      </c>
      <c r="J504" s="2" t="s">
        <v>19</v>
      </c>
      <c r="K504" s="2" t="s">
        <v>1108</v>
      </c>
      <c r="L504" s="7" t="str">
        <f>HYPERLINK("http://slimages.macys.com/is/image/MCY/11764670 ")</f>
        <v xml:space="preserve">http://slimages.macys.com/is/image/MCY/11764670 </v>
      </c>
    </row>
    <row r="505" spans="1:12" ht="24.75" x14ac:dyDescent="0.25">
      <c r="A505" s="4" t="s">
        <v>5847</v>
      </c>
      <c r="B505" s="2" t="s">
        <v>4922</v>
      </c>
      <c r="C505" s="3">
        <v>1</v>
      </c>
      <c r="D505" s="5">
        <v>44.63</v>
      </c>
      <c r="E505" s="3">
        <v>100047681</v>
      </c>
      <c r="F505" s="2" t="s">
        <v>74</v>
      </c>
      <c r="G505" s="6" t="s">
        <v>154</v>
      </c>
      <c r="H505" s="2" t="s">
        <v>194</v>
      </c>
      <c r="I505" s="2" t="s">
        <v>195</v>
      </c>
      <c r="J505" s="2" t="s">
        <v>19</v>
      </c>
      <c r="K505" s="2" t="s">
        <v>247</v>
      </c>
      <c r="L505" s="7" t="str">
        <f>HYPERLINK("http://slimages.macys.com/is/image/MCY/11935520 ")</f>
        <v xml:space="preserve">http://slimages.macys.com/is/image/MCY/11935520 </v>
      </c>
    </row>
    <row r="506" spans="1:12" ht="24.75" x14ac:dyDescent="0.25">
      <c r="A506" s="4" t="s">
        <v>5848</v>
      </c>
      <c r="B506" s="2" t="s">
        <v>1274</v>
      </c>
      <c r="C506" s="3">
        <v>1</v>
      </c>
      <c r="D506" s="5">
        <v>33.380000000000003</v>
      </c>
      <c r="E506" s="3" t="s">
        <v>1275</v>
      </c>
      <c r="F506" s="2" t="s">
        <v>26</v>
      </c>
      <c r="G506" s="6" t="s">
        <v>181</v>
      </c>
      <c r="H506" s="2" t="s">
        <v>194</v>
      </c>
      <c r="I506" s="2" t="s">
        <v>195</v>
      </c>
      <c r="J506" s="2" t="s">
        <v>19</v>
      </c>
      <c r="K506" s="2" t="s">
        <v>107</v>
      </c>
      <c r="L506" s="7" t="str">
        <f>HYPERLINK("http://slimages.macys.com/is/image/MCY/12850892 ")</f>
        <v xml:space="preserve">http://slimages.macys.com/is/image/MCY/12850892 </v>
      </c>
    </row>
    <row r="507" spans="1:12" ht="24.75" x14ac:dyDescent="0.25">
      <c r="A507" s="4" t="s">
        <v>1298</v>
      </c>
      <c r="B507" s="2" t="s">
        <v>1279</v>
      </c>
      <c r="C507" s="3">
        <v>2</v>
      </c>
      <c r="D507" s="5">
        <v>27.99</v>
      </c>
      <c r="E507" s="3" t="s">
        <v>1286</v>
      </c>
      <c r="F507" s="2" t="s">
        <v>506</v>
      </c>
      <c r="G507" s="6" t="s">
        <v>200</v>
      </c>
      <c r="H507" s="2" t="s">
        <v>194</v>
      </c>
      <c r="I507" s="2" t="s">
        <v>919</v>
      </c>
      <c r="J507" s="2" t="s">
        <v>19</v>
      </c>
      <c r="K507" s="2" t="s">
        <v>409</v>
      </c>
      <c r="L507" s="7" t="str">
        <f>HYPERLINK("http://slimages.macys.com/is/image/MCY/8185331 ")</f>
        <v xml:space="preserve">http://slimages.macys.com/is/image/MCY/8185331 </v>
      </c>
    </row>
    <row r="508" spans="1:12" ht="24.75" x14ac:dyDescent="0.25">
      <c r="A508" s="4" t="s">
        <v>2667</v>
      </c>
      <c r="B508" s="2" t="s">
        <v>1279</v>
      </c>
      <c r="C508" s="3">
        <v>1</v>
      </c>
      <c r="D508" s="5">
        <v>27.99</v>
      </c>
      <c r="E508" s="3" t="s">
        <v>1286</v>
      </c>
      <c r="F508" s="2" t="s">
        <v>506</v>
      </c>
      <c r="G508" s="6" t="s">
        <v>245</v>
      </c>
      <c r="H508" s="2" t="s">
        <v>194</v>
      </c>
      <c r="I508" s="2" t="s">
        <v>919</v>
      </c>
      <c r="J508" s="2" t="s">
        <v>19</v>
      </c>
      <c r="K508" s="2" t="s">
        <v>409</v>
      </c>
      <c r="L508" s="7" t="str">
        <f>HYPERLINK("http://slimages.macys.com/is/image/MCY/8185331 ")</f>
        <v xml:space="preserve">http://slimages.macys.com/is/image/MCY/8185331 </v>
      </c>
    </row>
    <row r="509" spans="1:12" ht="24.75" x14ac:dyDescent="0.25">
      <c r="A509" s="4" t="s">
        <v>1300</v>
      </c>
      <c r="B509" s="2" t="s">
        <v>1279</v>
      </c>
      <c r="C509" s="3">
        <v>4</v>
      </c>
      <c r="D509" s="5">
        <v>27.99</v>
      </c>
      <c r="E509" s="3" t="s">
        <v>1286</v>
      </c>
      <c r="F509" s="2" t="s">
        <v>506</v>
      </c>
      <c r="G509" s="6" t="s">
        <v>181</v>
      </c>
      <c r="H509" s="2" t="s">
        <v>194</v>
      </c>
      <c r="I509" s="2" t="s">
        <v>919</v>
      </c>
      <c r="J509" s="2" t="s">
        <v>19</v>
      </c>
      <c r="K509" s="2" t="s">
        <v>409</v>
      </c>
      <c r="L509" s="7" t="str">
        <f>HYPERLINK("http://slimages.macys.com/is/image/MCY/8185331 ")</f>
        <v xml:space="preserve">http://slimages.macys.com/is/image/MCY/8185331 </v>
      </c>
    </row>
    <row r="510" spans="1:12" ht="24.75" x14ac:dyDescent="0.25">
      <c r="A510" s="4" t="s">
        <v>5849</v>
      </c>
      <c r="B510" s="2" t="s">
        <v>1279</v>
      </c>
      <c r="C510" s="3">
        <v>2</v>
      </c>
      <c r="D510" s="5">
        <v>27.99</v>
      </c>
      <c r="E510" s="3" t="s">
        <v>1302</v>
      </c>
      <c r="F510" s="2" t="s">
        <v>566</v>
      </c>
      <c r="G510" s="6" t="s">
        <v>181</v>
      </c>
      <c r="H510" s="2" t="s">
        <v>194</v>
      </c>
      <c r="I510" s="2" t="s">
        <v>919</v>
      </c>
      <c r="J510" s="2" t="s">
        <v>19</v>
      </c>
      <c r="K510" s="2" t="s">
        <v>409</v>
      </c>
      <c r="L510" s="7" t="str">
        <f>HYPERLINK("http://slimages.macys.com/is/image/MCY/3244804 ")</f>
        <v xml:space="preserve">http://slimages.macys.com/is/image/MCY/3244804 </v>
      </c>
    </row>
    <row r="511" spans="1:12" ht="24.75" x14ac:dyDescent="0.25">
      <c r="A511" s="4" t="s">
        <v>5850</v>
      </c>
      <c r="B511" s="2" t="s">
        <v>1279</v>
      </c>
      <c r="C511" s="3">
        <v>1</v>
      </c>
      <c r="D511" s="5">
        <v>27.99</v>
      </c>
      <c r="E511" s="3" t="s">
        <v>1302</v>
      </c>
      <c r="F511" s="2" t="s">
        <v>566</v>
      </c>
      <c r="G511" s="6" t="s">
        <v>245</v>
      </c>
      <c r="H511" s="2" t="s">
        <v>194</v>
      </c>
      <c r="I511" s="2" t="s">
        <v>919</v>
      </c>
      <c r="J511" s="2" t="s">
        <v>19</v>
      </c>
      <c r="K511" s="2" t="s">
        <v>409</v>
      </c>
      <c r="L511" s="7" t="str">
        <f>HYPERLINK("http://slimages.macys.com/is/image/MCY/3244804 ")</f>
        <v xml:space="preserve">http://slimages.macys.com/is/image/MCY/3244804 </v>
      </c>
    </row>
    <row r="512" spans="1:12" ht="24.75" x14ac:dyDescent="0.25">
      <c r="A512" s="4" t="s">
        <v>1299</v>
      </c>
      <c r="B512" s="2" t="s">
        <v>1279</v>
      </c>
      <c r="C512" s="3">
        <v>3</v>
      </c>
      <c r="D512" s="5">
        <v>27.99</v>
      </c>
      <c r="E512" s="3" t="s">
        <v>1286</v>
      </c>
      <c r="F512" s="2" t="s">
        <v>506</v>
      </c>
      <c r="G512" s="6" t="s">
        <v>156</v>
      </c>
      <c r="H512" s="2" t="s">
        <v>194</v>
      </c>
      <c r="I512" s="2" t="s">
        <v>919</v>
      </c>
      <c r="J512" s="2" t="s">
        <v>19</v>
      </c>
      <c r="K512" s="2" t="s">
        <v>409</v>
      </c>
      <c r="L512" s="7" t="str">
        <f>HYPERLINK("http://slimages.macys.com/is/image/MCY/8185331 ")</f>
        <v xml:space="preserve">http://slimages.macys.com/is/image/MCY/8185331 </v>
      </c>
    </row>
    <row r="513" spans="1:12" ht="24.75" x14ac:dyDescent="0.25">
      <c r="A513" s="4" t="s">
        <v>1285</v>
      </c>
      <c r="B513" s="2" t="s">
        <v>1279</v>
      </c>
      <c r="C513" s="3">
        <v>5</v>
      </c>
      <c r="D513" s="5">
        <v>27.99</v>
      </c>
      <c r="E513" s="3" t="s">
        <v>1286</v>
      </c>
      <c r="F513" s="2" t="s">
        <v>506</v>
      </c>
      <c r="G513" s="6" t="s">
        <v>154</v>
      </c>
      <c r="H513" s="2" t="s">
        <v>194</v>
      </c>
      <c r="I513" s="2" t="s">
        <v>919</v>
      </c>
      <c r="J513" s="2" t="s">
        <v>19</v>
      </c>
      <c r="K513" s="2" t="s">
        <v>409</v>
      </c>
      <c r="L513" s="7" t="str">
        <f>HYPERLINK("http://slimages.macys.com/is/image/MCY/8185331 ")</f>
        <v xml:space="preserve">http://slimages.macys.com/is/image/MCY/8185331 </v>
      </c>
    </row>
    <row r="514" spans="1:12" ht="24.75" x14ac:dyDescent="0.25">
      <c r="A514" s="4" t="s">
        <v>5851</v>
      </c>
      <c r="B514" s="2" t="s">
        <v>5852</v>
      </c>
      <c r="C514" s="3">
        <v>1</v>
      </c>
      <c r="D514" s="5">
        <v>29.63</v>
      </c>
      <c r="E514" s="3" t="s">
        <v>5853</v>
      </c>
      <c r="F514" s="2" t="s">
        <v>464</v>
      </c>
      <c r="G514" s="6" t="s">
        <v>234</v>
      </c>
      <c r="H514" s="2" t="s">
        <v>284</v>
      </c>
      <c r="I514" s="2" t="s">
        <v>285</v>
      </c>
      <c r="J514" s="2" t="s">
        <v>19</v>
      </c>
      <c r="K514" s="2" t="s">
        <v>1045</v>
      </c>
      <c r="L514" s="7" t="str">
        <f>HYPERLINK("http://slimages.macys.com/is/image/MCY/11604953 ")</f>
        <v xml:space="preserve">http://slimages.macys.com/is/image/MCY/11604953 </v>
      </c>
    </row>
    <row r="515" spans="1:12" ht="24.75" x14ac:dyDescent="0.25">
      <c r="A515" s="4" t="s">
        <v>1303</v>
      </c>
      <c r="B515" s="2" t="s">
        <v>1279</v>
      </c>
      <c r="C515" s="3">
        <v>6</v>
      </c>
      <c r="D515" s="5">
        <v>27.99</v>
      </c>
      <c r="E515" s="3" t="s">
        <v>1286</v>
      </c>
      <c r="F515" s="2" t="s">
        <v>506</v>
      </c>
      <c r="G515" s="6" t="s">
        <v>234</v>
      </c>
      <c r="H515" s="2" t="s">
        <v>194</v>
      </c>
      <c r="I515" s="2" t="s">
        <v>919</v>
      </c>
      <c r="J515" s="2" t="s">
        <v>19</v>
      </c>
      <c r="K515" s="2" t="s">
        <v>409</v>
      </c>
      <c r="L515" s="7" t="str">
        <f>HYPERLINK("http://slimages.macys.com/is/image/MCY/8185331 ")</f>
        <v xml:space="preserve">http://slimages.macys.com/is/image/MCY/8185331 </v>
      </c>
    </row>
    <row r="516" spans="1:12" ht="24.75" x14ac:dyDescent="0.25">
      <c r="A516" s="4" t="s">
        <v>5854</v>
      </c>
      <c r="B516" s="2" t="s">
        <v>5855</v>
      </c>
      <c r="C516" s="3">
        <v>1</v>
      </c>
      <c r="D516" s="5">
        <v>24.98</v>
      </c>
      <c r="E516" s="3">
        <v>9301</v>
      </c>
      <c r="F516" s="2" t="s">
        <v>998</v>
      </c>
      <c r="G516" s="6"/>
      <c r="H516" s="2" t="s">
        <v>447</v>
      </c>
      <c r="I516" s="2" t="s">
        <v>3409</v>
      </c>
      <c r="J516" s="2" t="s">
        <v>19</v>
      </c>
      <c r="K516" s="2" t="s">
        <v>34</v>
      </c>
      <c r="L516" s="7" t="str">
        <f>HYPERLINK("http://slimages.macys.com/is/image/MCY/663496 ")</f>
        <v xml:space="preserve">http://slimages.macys.com/is/image/MCY/663496 </v>
      </c>
    </row>
    <row r="517" spans="1:12" ht="24.75" x14ac:dyDescent="0.25">
      <c r="A517" s="4" t="s">
        <v>5856</v>
      </c>
      <c r="B517" s="2" t="s">
        <v>1294</v>
      </c>
      <c r="C517" s="3">
        <v>2</v>
      </c>
      <c r="D517" s="5">
        <v>37.130000000000003</v>
      </c>
      <c r="E517" s="3">
        <v>100002345</v>
      </c>
      <c r="F517" s="2" t="s">
        <v>74</v>
      </c>
      <c r="G517" s="6" t="s">
        <v>181</v>
      </c>
      <c r="H517" s="2" t="s">
        <v>284</v>
      </c>
      <c r="I517" s="2" t="s">
        <v>285</v>
      </c>
      <c r="J517" s="2" t="s">
        <v>19</v>
      </c>
      <c r="K517" s="2" t="s">
        <v>2669</v>
      </c>
      <c r="L517" s="7" t="str">
        <f>HYPERLINK("http://slimages.macys.com/is/image/MCY/8660800 ")</f>
        <v xml:space="preserve">http://slimages.macys.com/is/image/MCY/8660800 </v>
      </c>
    </row>
    <row r="518" spans="1:12" ht="24.75" x14ac:dyDescent="0.25">
      <c r="A518" s="4" t="s">
        <v>1301</v>
      </c>
      <c r="B518" s="2" t="s">
        <v>1279</v>
      </c>
      <c r="C518" s="3">
        <v>3</v>
      </c>
      <c r="D518" s="5">
        <v>27.99</v>
      </c>
      <c r="E518" s="3" t="s">
        <v>1302</v>
      </c>
      <c r="F518" s="2" t="s">
        <v>566</v>
      </c>
      <c r="G518" s="6" t="s">
        <v>154</v>
      </c>
      <c r="H518" s="2" t="s">
        <v>194</v>
      </c>
      <c r="I518" s="2" t="s">
        <v>919</v>
      </c>
      <c r="J518" s="2" t="s">
        <v>19</v>
      </c>
      <c r="K518" s="2" t="s">
        <v>409</v>
      </c>
      <c r="L518" s="7" t="str">
        <f>HYPERLINK("http://slimages.macys.com/is/image/MCY/3244804 ")</f>
        <v xml:space="preserve">http://slimages.macys.com/is/image/MCY/3244804 </v>
      </c>
    </row>
    <row r="519" spans="1:12" ht="24.75" x14ac:dyDescent="0.25">
      <c r="A519" s="4" t="s">
        <v>5857</v>
      </c>
      <c r="B519" s="2" t="s">
        <v>1294</v>
      </c>
      <c r="C519" s="3">
        <v>1</v>
      </c>
      <c r="D519" s="5">
        <v>37.130000000000003</v>
      </c>
      <c r="E519" s="3">
        <v>100002345</v>
      </c>
      <c r="F519" s="2" t="s">
        <v>64</v>
      </c>
      <c r="G519" s="6" t="s">
        <v>181</v>
      </c>
      <c r="H519" s="2" t="s">
        <v>284</v>
      </c>
      <c r="I519" s="2" t="s">
        <v>285</v>
      </c>
      <c r="J519" s="2" t="s">
        <v>19</v>
      </c>
      <c r="K519" s="2" t="s">
        <v>2669</v>
      </c>
      <c r="L519" s="7" t="str">
        <f>HYPERLINK("http://slimages.macys.com/is/image/MCY/8660800 ")</f>
        <v xml:space="preserve">http://slimages.macys.com/is/image/MCY/8660800 </v>
      </c>
    </row>
    <row r="520" spans="1:12" ht="24.75" x14ac:dyDescent="0.25">
      <c r="A520" s="4" t="s">
        <v>5858</v>
      </c>
      <c r="B520" s="2" t="s">
        <v>1307</v>
      </c>
      <c r="C520" s="3">
        <v>1</v>
      </c>
      <c r="D520" s="5">
        <v>32.5</v>
      </c>
      <c r="E520" s="3" t="s">
        <v>1308</v>
      </c>
      <c r="F520" s="2" t="s">
        <v>193</v>
      </c>
      <c r="G520" s="6" t="s">
        <v>200</v>
      </c>
      <c r="H520" s="2" t="s">
        <v>194</v>
      </c>
      <c r="I520" s="2" t="s">
        <v>195</v>
      </c>
      <c r="J520" s="2" t="s">
        <v>19</v>
      </c>
      <c r="K520" s="2" t="s">
        <v>1108</v>
      </c>
      <c r="L520" s="7" t="str">
        <f>HYPERLINK("http://slimages.macys.com/is/image/MCY/12950211 ")</f>
        <v xml:space="preserve">http://slimages.macys.com/is/image/MCY/12950211 </v>
      </c>
    </row>
    <row r="521" spans="1:12" ht="24.75" x14ac:dyDescent="0.25">
      <c r="A521" s="4" t="s">
        <v>5859</v>
      </c>
      <c r="B521" s="2" t="s">
        <v>5860</v>
      </c>
      <c r="C521" s="3">
        <v>1</v>
      </c>
      <c r="D521" s="5">
        <v>37.130000000000003</v>
      </c>
      <c r="E521" s="3" t="s">
        <v>5861</v>
      </c>
      <c r="F521" s="2" t="s">
        <v>74</v>
      </c>
      <c r="G521" s="6"/>
      <c r="H521" s="2" t="s">
        <v>312</v>
      </c>
      <c r="I521" s="2" t="s">
        <v>195</v>
      </c>
      <c r="J521" s="2" t="s">
        <v>19</v>
      </c>
      <c r="K521" s="2" t="s">
        <v>34</v>
      </c>
      <c r="L521" s="7" t="str">
        <f>HYPERLINK("http://slimages.macys.com/is/image/MCY/12318509 ")</f>
        <v xml:space="preserve">http://slimages.macys.com/is/image/MCY/12318509 </v>
      </c>
    </row>
    <row r="522" spans="1:12" ht="24.75" x14ac:dyDescent="0.25">
      <c r="A522" s="4" t="s">
        <v>5862</v>
      </c>
      <c r="B522" s="2" t="s">
        <v>1318</v>
      </c>
      <c r="C522" s="3">
        <v>1</v>
      </c>
      <c r="D522" s="5">
        <v>24.99</v>
      </c>
      <c r="E522" s="3">
        <v>100006766</v>
      </c>
      <c r="F522" s="2" t="s">
        <v>417</v>
      </c>
      <c r="G522" s="6" t="s">
        <v>106</v>
      </c>
      <c r="H522" s="2" t="s">
        <v>228</v>
      </c>
      <c r="I522" s="2" t="s">
        <v>229</v>
      </c>
      <c r="J522" s="2" t="s">
        <v>19</v>
      </c>
      <c r="K522" s="2" t="s">
        <v>253</v>
      </c>
      <c r="L522" s="7" t="str">
        <f>HYPERLINK("http://slimages.macys.com/is/image/MCY/9029356 ")</f>
        <v xml:space="preserve">http://slimages.macys.com/is/image/MCY/9029356 </v>
      </c>
    </row>
    <row r="523" spans="1:12" ht="24.75" x14ac:dyDescent="0.25">
      <c r="A523" s="4" t="s">
        <v>5863</v>
      </c>
      <c r="B523" s="2" t="s">
        <v>1339</v>
      </c>
      <c r="C523" s="3">
        <v>1</v>
      </c>
      <c r="D523" s="5">
        <v>29.63</v>
      </c>
      <c r="E523" s="3" t="s">
        <v>5864</v>
      </c>
      <c r="F523" s="2" t="s">
        <v>15</v>
      </c>
      <c r="G523" s="6" t="s">
        <v>234</v>
      </c>
      <c r="H523" s="2" t="s">
        <v>194</v>
      </c>
      <c r="I523" s="2" t="s">
        <v>195</v>
      </c>
      <c r="J523" s="2" t="s">
        <v>19</v>
      </c>
      <c r="K523" s="2" t="s">
        <v>1108</v>
      </c>
      <c r="L523" s="7" t="str">
        <f>HYPERLINK("http://slimages.macys.com/is/image/MCY/14826216 ")</f>
        <v xml:space="preserve">http://slimages.macys.com/is/image/MCY/14826216 </v>
      </c>
    </row>
    <row r="524" spans="1:12" ht="24.75" x14ac:dyDescent="0.25">
      <c r="A524" s="4" t="s">
        <v>5865</v>
      </c>
      <c r="B524" s="2" t="s">
        <v>1339</v>
      </c>
      <c r="C524" s="3">
        <v>1</v>
      </c>
      <c r="D524" s="5">
        <v>29.63</v>
      </c>
      <c r="E524" s="3" t="s">
        <v>5864</v>
      </c>
      <c r="F524" s="2" t="s">
        <v>15</v>
      </c>
      <c r="G524" s="6" t="s">
        <v>156</v>
      </c>
      <c r="H524" s="2" t="s">
        <v>194</v>
      </c>
      <c r="I524" s="2" t="s">
        <v>195</v>
      </c>
      <c r="J524" s="2" t="s">
        <v>19</v>
      </c>
      <c r="K524" s="2" t="s">
        <v>1108</v>
      </c>
      <c r="L524" s="7" t="str">
        <f>HYPERLINK("http://slimages.macys.com/is/image/MCY/14826216 ")</f>
        <v xml:space="preserve">http://slimages.macys.com/is/image/MCY/14826216 </v>
      </c>
    </row>
    <row r="525" spans="1:12" ht="24.75" x14ac:dyDescent="0.25">
      <c r="A525" s="4" t="s">
        <v>5866</v>
      </c>
      <c r="B525" s="2" t="s">
        <v>5867</v>
      </c>
      <c r="C525" s="3">
        <v>1</v>
      </c>
      <c r="D525" s="5">
        <v>33.5</v>
      </c>
      <c r="E525" s="3" t="s">
        <v>5868</v>
      </c>
      <c r="F525" s="2" t="s">
        <v>74</v>
      </c>
      <c r="G525" s="6"/>
      <c r="H525" s="2" t="s">
        <v>312</v>
      </c>
      <c r="I525" s="2" t="s">
        <v>195</v>
      </c>
      <c r="J525" s="2" t="s">
        <v>19</v>
      </c>
      <c r="K525" s="2" t="s">
        <v>247</v>
      </c>
      <c r="L525" s="7" t="str">
        <f>HYPERLINK("http://slimages.macys.com/is/image/MCY/11337248 ")</f>
        <v xml:space="preserve">http://slimages.macys.com/is/image/MCY/11337248 </v>
      </c>
    </row>
    <row r="526" spans="1:12" ht="24.75" x14ac:dyDescent="0.25">
      <c r="A526" s="4" t="s">
        <v>3844</v>
      </c>
      <c r="B526" s="2" t="s">
        <v>3845</v>
      </c>
      <c r="C526" s="3">
        <v>1</v>
      </c>
      <c r="D526" s="5">
        <v>24.99</v>
      </c>
      <c r="E526" s="3" t="s">
        <v>3846</v>
      </c>
      <c r="F526" s="2" t="s">
        <v>15</v>
      </c>
      <c r="G526" s="6" t="s">
        <v>181</v>
      </c>
      <c r="H526" s="2" t="s">
        <v>1522</v>
      </c>
      <c r="I526" s="2" t="s">
        <v>1469</v>
      </c>
      <c r="J526" s="2" t="s">
        <v>19</v>
      </c>
      <c r="K526" s="2" t="s">
        <v>3851</v>
      </c>
      <c r="L526" s="7" t="str">
        <f>HYPERLINK("http://slimages.macys.com/is/image/MCY/10888246 ")</f>
        <v xml:space="preserve">http://slimages.macys.com/is/image/MCY/10888246 </v>
      </c>
    </row>
    <row r="527" spans="1:12" ht="24.75" x14ac:dyDescent="0.25">
      <c r="A527" s="4" t="s">
        <v>3855</v>
      </c>
      <c r="B527" s="2" t="s">
        <v>3845</v>
      </c>
      <c r="C527" s="3">
        <v>1</v>
      </c>
      <c r="D527" s="5">
        <v>24.99</v>
      </c>
      <c r="E527" s="3" t="s">
        <v>3854</v>
      </c>
      <c r="F527" s="2" t="s">
        <v>74</v>
      </c>
      <c r="G527" s="6" t="s">
        <v>219</v>
      </c>
      <c r="H527" s="2" t="s">
        <v>1425</v>
      </c>
      <c r="I527" s="2" t="s">
        <v>1469</v>
      </c>
      <c r="J527" s="2" t="s">
        <v>19</v>
      </c>
      <c r="K527" s="2" t="s">
        <v>495</v>
      </c>
      <c r="L527" s="7" t="str">
        <f>HYPERLINK("http://slimages.macys.com/is/image/MCY/10888246 ")</f>
        <v xml:space="preserve">http://slimages.macys.com/is/image/MCY/10888246 </v>
      </c>
    </row>
    <row r="528" spans="1:12" ht="24.75" x14ac:dyDescent="0.25">
      <c r="A528" s="4" t="s">
        <v>5869</v>
      </c>
      <c r="B528" s="2" t="s">
        <v>1343</v>
      </c>
      <c r="C528" s="3">
        <v>1</v>
      </c>
      <c r="D528" s="5">
        <v>24.99</v>
      </c>
      <c r="E528" s="3" t="s">
        <v>1344</v>
      </c>
      <c r="F528" s="2" t="s">
        <v>33</v>
      </c>
      <c r="G528" s="6" t="s">
        <v>16</v>
      </c>
      <c r="H528" s="2" t="s">
        <v>228</v>
      </c>
      <c r="I528" s="2" t="s">
        <v>863</v>
      </c>
      <c r="J528" s="2" t="s">
        <v>19</v>
      </c>
      <c r="K528" s="2" t="s">
        <v>253</v>
      </c>
      <c r="L528" s="7" t="str">
        <f>HYPERLINK("http://slimages.macys.com/is/image/MCY/11804521 ")</f>
        <v xml:space="preserve">http://slimages.macys.com/is/image/MCY/11804521 </v>
      </c>
    </row>
    <row r="529" spans="1:12" ht="24.75" x14ac:dyDescent="0.25">
      <c r="A529" s="4" t="s">
        <v>5870</v>
      </c>
      <c r="B529" s="2" t="s">
        <v>2678</v>
      </c>
      <c r="C529" s="3">
        <v>2</v>
      </c>
      <c r="D529" s="5">
        <v>24.99</v>
      </c>
      <c r="E529" s="3" t="s">
        <v>2679</v>
      </c>
      <c r="F529" s="2" t="s">
        <v>2680</v>
      </c>
      <c r="G529" s="6" t="s">
        <v>4873</v>
      </c>
      <c r="H529" s="2" t="s">
        <v>228</v>
      </c>
      <c r="I529" s="2" t="s">
        <v>863</v>
      </c>
      <c r="J529" s="2"/>
      <c r="K529" s="2"/>
      <c r="L529" s="7" t="str">
        <f>HYPERLINK("http://slimages.macys.com/is/image/MCY/9257806 ")</f>
        <v xml:space="preserve">http://slimages.macys.com/is/image/MCY/9257806 </v>
      </c>
    </row>
    <row r="530" spans="1:12" ht="24.75" x14ac:dyDescent="0.25">
      <c r="A530" s="4" t="s">
        <v>5871</v>
      </c>
      <c r="B530" s="2" t="s">
        <v>2678</v>
      </c>
      <c r="C530" s="3">
        <v>1</v>
      </c>
      <c r="D530" s="5">
        <v>24.99</v>
      </c>
      <c r="E530" s="3" t="s">
        <v>2679</v>
      </c>
      <c r="F530" s="2" t="s">
        <v>2680</v>
      </c>
      <c r="G530" s="6" t="s">
        <v>22</v>
      </c>
      <c r="H530" s="2" t="s">
        <v>228</v>
      </c>
      <c r="I530" s="2" t="s">
        <v>863</v>
      </c>
      <c r="J530" s="2"/>
      <c r="K530" s="2"/>
      <c r="L530" s="7" t="str">
        <f>HYPERLINK("http://slimages.macys.com/is/image/MCY/9257806 ")</f>
        <v xml:space="preserve">http://slimages.macys.com/is/image/MCY/9257806 </v>
      </c>
    </row>
    <row r="531" spans="1:12" ht="24.75" x14ac:dyDescent="0.25">
      <c r="A531" s="4" t="s">
        <v>5872</v>
      </c>
      <c r="B531" s="2" t="s">
        <v>1330</v>
      </c>
      <c r="C531" s="3">
        <v>1</v>
      </c>
      <c r="D531" s="5">
        <v>37.130000000000003</v>
      </c>
      <c r="E531" s="3" t="s">
        <v>1331</v>
      </c>
      <c r="F531" s="2" t="s">
        <v>417</v>
      </c>
      <c r="G531" s="6" t="s">
        <v>156</v>
      </c>
      <c r="H531" s="2" t="s">
        <v>194</v>
      </c>
      <c r="I531" s="2" t="s">
        <v>195</v>
      </c>
      <c r="J531" s="2" t="s">
        <v>19</v>
      </c>
      <c r="K531" s="2" t="s">
        <v>247</v>
      </c>
      <c r="L531" s="7" t="str">
        <f>HYPERLINK("http://slimages.macys.com/is/image/MCY/10889638 ")</f>
        <v xml:space="preserve">http://slimages.macys.com/is/image/MCY/10889638 </v>
      </c>
    </row>
    <row r="532" spans="1:12" ht="24.75" x14ac:dyDescent="0.25">
      <c r="A532" s="4" t="s">
        <v>4948</v>
      </c>
      <c r="B532" s="2" t="s">
        <v>2683</v>
      </c>
      <c r="C532" s="3">
        <v>2</v>
      </c>
      <c r="D532" s="5">
        <v>33.380000000000003</v>
      </c>
      <c r="E532" s="3" t="s">
        <v>2684</v>
      </c>
      <c r="F532" s="2" t="s">
        <v>752</v>
      </c>
      <c r="G532" s="6" t="s">
        <v>234</v>
      </c>
      <c r="H532" s="2" t="s">
        <v>194</v>
      </c>
      <c r="I532" s="2" t="s">
        <v>195</v>
      </c>
      <c r="J532" s="2" t="s">
        <v>19</v>
      </c>
      <c r="K532" s="2" t="s">
        <v>247</v>
      </c>
      <c r="L532" s="7" t="str">
        <f>HYPERLINK("http://slimages.macys.com/is/image/MCY/12404928 ")</f>
        <v xml:space="preserve">http://slimages.macys.com/is/image/MCY/12404928 </v>
      </c>
    </row>
    <row r="533" spans="1:12" ht="24.75" x14ac:dyDescent="0.25">
      <c r="A533" s="4" t="s">
        <v>5873</v>
      </c>
      <c r="B533" s="2" t="s">
        <v>2683</v>
      </c>
      <c r="C533" s="3">
        <v>1</v>
      </c>
      <c r="D533" s="5">
        <v>33.380000000000003</v>
      </c>
      <c r="E533" s="3" t="s">
        <v>2684</v>
      </c>
      <c r="F533" s="2" t="s">
        <v>15</v>
      </c>
      <c r="G533" s="6" t="s">
        <v>245</v>
      </c>
      <c r="H533" s="2" t="s">
        <v>194</v>
      </c>
      <c r="I533" s="2" t="s">
        <v>195</v>
      </c>
      <c r="J533" s="2" t="s">
        <v>19</v>
      </c>
      <c r="K533" s="2" t="s">
        <v>247</v>
      </c>
      <c r="L533" s="7" t="str">
        <f>HYPERLINK("http://slimages.macys.com/is/image/MCY/12404928 ")</f>
        <v xml:space="preserve">http://slimages.macys.com/is/image/MCY/12404928 </v>
      </c>
    </row>
    <row r="534" spans="1:12" ht="48.75" x14ac:dyDescent="0.25">
      <c r="A534" s="4" t="s">
        <v>3877</v>
      </c>
      <c r="B534" s="2" t="s">
        <v>1155</v>
      </c>
      <c r="C534" s="3">
        <v>1</v>
      </c>
      <c r="D534" s="5">
        <v>37.130000000000003</v>
      </c>
      <c r="E534" s="3" t="s">
        <v>3875</v>
      </c>
      <c r="F534" s="2" t="s">
        <v>26</v>
      </c>
      <c r="G534" s="6" t="s">
        <v>154</v>
      </c>
      <c r="H534" s="2" t="s">
        <v>194</v>
      </c>
      <c r="I534" s="2" t="s">
        <v>195</v>
      </c>
      <c r="J534" s="2" t="s">
        <v>19</v>
      </c>
      <c r="K534" s="2" t="s">
        <v>3879</v>
      </c>
      <c r="L534" s="7" t="str">
        <f>HYPERLINK("http://slimages.macys.com/is/image/MCY/12404881 ")</f>
        <v xml:space="preserve">http://slimages.macys.com/is/image/MCY/12404881 </v>
      </c>
    </row>
    <row r="535" spans="1:12" ht="48.75" x14ac:dyDescent="0.25">
      <c r="A535" s="4" t="s">
        <v>5874</v>
      </c>
      <c r="B535" s="2" t="s">
        <v>1155</v>
      </c>
      <c r="C535" s="3">
        <v>1</v>
      </c>
      <c r="D535" s="5">
        <v>37.130000000000003</v>
      </c>
      <c r="E535" s="3" t="s">
        <v>3875</v>
      </c>
      <c r="F535" s="2" t="s">
        <v>26</v>
      </c>
      <c r="G535" s="6" t="s">
        <v>181</v>
      </c>
      <c r="H535" s="2" t="s">
        <v>194</v>
      </c>
      <c r="I535" s="2" t="s">
        <v>195</v>
      </c>
      <c r="J535" s="2" t="s">
        <v>19</v>
      </c>
      <c r="K535" s="2" t="s">
        <v>3879</v>
      </c>
      <c r="L535" s="7" t="str">
        <f>HYPERLINK("http://slimages.macys.com/is/image/MCY/12404881 ")</f>
        <v xml:space="preserve">http://slimages.macys.com/is/image/MCY/12404881 </v>
      </c>
    </row>
    <row r="536" spans="1:12" ht="48.75" x14ac:dyDescent="0.25">
      <c r="A536" s="4" t="s">
        <v>5875</v>
      </c>
      <c r="B536" s="2" t="s">
        <v>1155</v>
      </c>
      <c r="C536" s="3">
        <v>1</v>
      </c>
      <c r="D536" s="5">
        <v>37.130000000000003</v>
      </c>
      <c r="E536" s="3" t="s">
        <v>3875</v>
      </c>
      <c r="F536" s="2" t="s">
        <v>15</v>
      </c>
      <c r="G536" s="6" t="s">
        <v>200</v>
      </c>
      <c r="H536" s="2" t="s">
        <v>194</v>
      </c>
      <c r="I536" s="2" t="s">
        <v>195</v>
      </c>
      <c r="J536" s="2" t="s">
        <v>19</v>
      </c>
      <c r="K536" s="2" t="s">
        <v>3879</v>
      </c>
      <c r="L536" s="7" t="str">
        <f>HYPERLINK("http://slimages.macys.com/is/image/MCY/12404881 ")</f>
        <v xml:space="preserve">http://slimages.macys.com/is/image/MCY/12404881 </v>
      </c>
    </row>
    <row r="537" spans="1:12" ht="48.75" x14ac:dyDescent="0.25">
      <c r="A537" s="4" t="s">
        <v>5876</v>
      </c>
      <c r="B537" s="2" t="s">
        <v>1155</v>
      </c>
      <c r="C537" s="3">
        <v>1</v>
      </c>
      <c r="D537" s="5">
        <v>37.130000000000003</v>
      </c>
      <c r="E537" s="3" t="s">
        <v>3875</v>
      </c>
      <c r="F537" s="2" t="s">
        <v>15</v>
      </c>
      <c r="G537" s="6" t="s">
        <v>154</v>
      </c>
      <c r="H537" s="2" t="s">
        <v>194</v>
      </c>
      <c r="I537" s="2" t="s">
        <v>195</v>
      </c>
      <c r="J537" s="2" t="s">
        <v>19</v>
      </c>
      <c r="K537" s="2" t="s">
        <v>3879</v>
      </c>
      <c r="L537" s="7" t="str">
        <f>HYPERLINK("http://slimages.macys.com/is/image/MCY/12404881 ")</f>
        <v xml:space="preserve">http://slimages.macys.com/is/image/MCY/12404881 </v>
      </c>
    </row>
    <row r="538" spans="1:12" ht="48.75" x14ac:dyDescent="0.25">
      <c r="A538" s="4" t="s">
        <v>4950</v>
      </c>
      <c r="B538" s="2" t="s">
        <v>1155</v>
      </c>
      <c r="C538" s="3">
        <v>1</v>
      </c>
      <c r="D538" s="5">
        <v>37.130000000000003</v>
      </c>
      <c r="E538" s="3" t="s">
        <v>3875</v>
      </c>
      <c r="F538" s="2" t="s">
        <v>15</v>
      </c>
      <c r="G538" s="6" t="s">
        <v>234</v>
      </c>
      <c r="H538" s="2" t="s">
        <v>194</v>
      </c>
      <c r="I538" s="2" t="s">
        <v>195</v>
      </c>
      <c r="J538" s="2" t="s">
        <v>19</v>
      </c>
      <c r="K538" s="2" t="s">
        <v>3879</v>
      </c>
      <c r="L538" s="7" t="str">
        <f>HYPERLINK("http://slimages.macys.com/is/image/MCY/12404881 ")</f>
        <v xml:space="preserve">http://slimages.macys.com/is/image/MCY/12404881 </v>
      </c>
    </row>
    <row r="539" spans="1:12" ht="24.75" x14ac:dyDescent="0.25">
      <c r="A539" s="4" t="s">
        <v>5877</v>
      </c>
      <c r="B539" s="2" t="s">
        <v>1314</v>
      </c>
      <c r="C539" s="3">
        <v>1</v>
      </c>
      <c r="D539" s="5">
        <v>24.99</v>
      </c>
      <c r="E539" s="3">
        <v>100010068</v>
      </c>
      <c r="F539" s="2" t="s">
        <v>566</v>
      </c>
      <c r="G539" s="6" t="s">
        <v>106</v>
      </c>
      <c r="H539" s="2" t="s">
        <v>228</v>
      </c>
      <c r="I539" s="2" t="s">
        <v>863</v>
      </c>
      <c r="J539" s="2" t="s">
        <v>19</v>
      </c>
      <c r="K539" s="2" t="s">
        <v>1315</v>
      </c>
      <c r="L539" s="7" t="str">
        <f>HYPERLINK("http://slimages.macys.com/is/image/MCY/9190991 ")</f>
        <v xml:space="preserve">http://slimages.macys.com/is/image/MCY/9190991 </v>
      </c>
    </row>
    <row r="540" spans="1:12" ht="24.75" x14ac:dyDescent="0.25">
      <c r="A540" s="4" t="s">
        <v>2691</v>
      </c>
      <c r="B540" s="2" t="s">
        <v>1318</v>
      </c>
      <c r="C540" s="3">
        <v>1</v>
      </c>
      <c r="D540" s="5">
        <v>24.99</v>
      </c>
      <c r="E540" s="3" t="s">
        <v>1321</v>
      </c>
      <c r="F540" s="2" t="s">
        <v>506</v>
      </c>
      <c r="G540" s="6" t="s">
        <v>16</v>
      </c>
      <c r="H540" s="2" t="s">
        <v>228</v>
      </c>
      <c r="I540" s="2" t="s">
        <v>229</v>
      </c>
      <c r="J540" s="2" t="s">
        <v>19</v>
      </c>
      <c r="K540" s="2" t="s">
        <v>253</v>
      </c>
      <c r="L540" s="7" t="str">
        <f>HYPERLINK("http://slimages.macys.com/is/image/MCY/8296032 ")</f>
        <v xml:space="preserve">http://slimages.macys.com/is/image/MCY/8296032 </v>
      </c>
    </row>
    <row r="541" spans="1:12" ht="24.75" x14ac:dyDescent="0.25">
      <c r="A541" s="4" t="s">
        <v>2697</v>
      </c>
      <c r="B541" s="2" t="s">
        <v>1356</v>
      </c>
      <c r="C541" s="3">
        <v>1</v>
      </c>
      <c r="D541" s="5">
        <v>34.5</v>
      </c>
      <c r="E541" s="3">
        <v>100045815</v>
      </c>
      <c r="F541" s="2" t="s">
        <v>26</v>
      </c>
      <c r="G541" s="6" t="s">
        <v>22</v>
      </c>
      <c r="H541" s="2" t="s">
        <v>228</v>
      </c>
      <c r="I541" s="2" t="s">
        <v>229</v>
      </c>
      <c r="J541" s="2" t="s">
        <v>19</v>
      </c>
      <c r="K541" s="2" t="s">
        <v>353</v>
      </c>
      <c r="L541" s="7" t="str">
        <f>HYPERLINK("http://slimages.macys.com/is/image/MCY/11936020 ")</f>
        <v xml:space="preserve">http://slimages.macys.com/is/image/MCY/11936020 </v>
      </c>
    </row>
    <row r="542" spans="1:12" ht="24.75" x14ac:dyDescent="0.25">
      <c r="A542" s="4" t="s">
        <v>5878</v>
      </c>
      <c r="B542" s="2" t="s">
        <v>1356</v>
      </c>
      <c r="C542" s="3">
        <v>5</v>
      </c>
      <c r="D542" s="5">
        <v>34.5</v>
      </c>
      <c r="E542" s="3">
        <v>100045815</v>
      </c>
      <c r="F542" s="2" t="s">
        <v>26</v>
      </c>
      <c r="G542" s="6" t="s">
        <v>27</v>
      </c>
      <c r="H542" s="2" t="s">
        <v>228</v>
      </c>
      <c r="I542" s="2" t="s">
        <v>229</v>
      </c>
      <c r="J542" s="2" t="s">
        <v>19</v>
      </c>
      <c r="K542" s="2" t="s">
        <v>353</v>
      </c>
      <c r="L542" s="7" t="str">
        <f>HYPERLINK("http://slimages.macys.com/is/image/MCY/11936020 ")</f>
        <v xml:space="preserve">http://slimages.macys.com/is/image/MCY/11936020 </v>
      </c>
    </row>
    <row r="543" spans="1:12" ht="24.75" x14ac:dyDescent="0.25">
      <c r="A543" s="4" t="s">
        <v>2696</v>
      </c>
      <c r="B543" s="2" t="s">
        <v>1356</v>
      </c>
      <c r="C543" s="3">
        <v>1</v>
      </c>
      <c r="D543" s="5">
        <v>34.5</v>
      </c>
      <c r="E543" s="3">
        <v>100045815</v>
      </c>
      <c r="F543" s="2" t="s">
        <v>26</v>
      </c>
      <c r="G543" s="6" t="s">
        <v>58</v>
      </c>
      <c r="H543" s="2" t="s">
        <v>228</v>
      </c>
      <c r="I543" s="2" t="s">
        <v>229</v>
      </c>
      <c r="J543" s="2" t="s">
        <v>19</v>
      </c>
      <c r="K543" s="2" t="s">
        <v>353</v>
      </c>
      <c r="L543" s="7" t="str">
        <f>HYPERLINK("http://slimages.macys.com/is/image/MCY/11936020 ")</f>
        <v xml:space="preserve">http://slimages.macys.com/is/image/MCY/11936020 </v>
      </c>
    </row>
    <row r="544" spans="1:12" ht="24.75" x14ac:dyDescent="0.25">
      <c r="A544" s="4" t="s">
        <v>5879</v>
      </c>
      <c r="B544" s="2" t="s">
        <v>1356</v>
      </c>
      <c r="C544" s="3">
        <v>1</v>
      </c>
      <c r="D544" s="5">
        <v>34.5</v>
      </c>
      <c r="E544" s="3">
        <v>100045815</v>
      </c>
      <c r="F544" s="2" t="s">
        <v>26</v>
      </c>
      <c r="G544" s="6" t="s">
        <v>141</v>
      </c>
      <c r="H544" s="2" t="s">
        <v>228</v>
      </c>
      <c r="I544" s="2" t="s">
        <v>229</v>
      </c>
      <c r="J544" s="2" t="s">
        <v>19</v>
      </c>
      <c r="K544" s="2" t="s">
        <v>353</v>
      </c>
      <c r="L544" s="7" t="str">
        <f>HYPERLINK("http://slimages.macys.com/is/image/MCY/11936020 ")</f>
        <v xml:space="preserve">http://slimages.macys.com/is/image/MCY/11936020 </v>
      </c>
    </row>
    <row r="545" spans="1:12" ht="24.75" x14ac:dyDescent="0.25">
      <c r="A545" s="4" t="s">
        <v>2695</v>
      </c>
      <c r="B545" s="2" t="s">
        <v>1356</v>
      </c>
      <c r="C545" s="3">
        <v>2</v>
      </c>
      <c r="D545" s="5">
        <v>34.5</v>
      </c>
      <c r="E545" s="3">
        <v>100045815</v>
      </c>
      <c r="F545" s="2" t="s">
        <v>26</v>
      </c>
      <c r="G545" s="6" t="s">
        <v>16</v>
      </c>
      <c r="H545" s="2" t="s">
        <v>228</v>
      </c>
      <c r="I545" s="2" t="s">
        <v>229</v>
      </c>
      <c r="J545" s="2" t="s">
        <v>19</v>
      </c>
      <c r="K545" s="2" t="s">
        <v>353</v>
      </c>
      <c r="L545" s="7" t="str">
        <f>HYPERLINK("http://slimages.macys.com/is/image/MCY/11936020 ")</f>
        <v xml:space="preserve">http://slimages.macys.com/is/image/MCY/11936020 </v>
      </c>
    </row>
    <row r="546" spans="1:12" ht="24.75" x14ac:dyDescent="0.25">
      <c r="A546" s="4" t="s">
        <v>5880</v>
      </c>
      <c r="B546" s="2" t="s">
        <v>1314</v>
      </c>
      <c r="C546" s="3">
        <v>1</v>
      </c>
      <c r="D546" s="5">
        <v>24.99</v>
      </c>
      <c r="E546" s="3">
        <v>100010068</v>
      </c>
      <c r="F546" s="2" t="s">
        <v>566</v>
      </c>
      <c r="G546" s="6" t="s">
        <v>112</v>
      </c>
      <c r="H546" s="2" t="s">
        <v>228</v>
      </c>
      <c r="I546" s="2" t="s">
        <v>863</v>
      </c>
      <c r="J546" s="2" t="s">
        <v>19</v>
      </c>
      <c r="K546" s="2" t="s">
        <v>1315</v>
      </c>
      <c r="L546" s="7" t="str">
        <f>HYPERLINK("http://slimages.macys.com/is/image/MCY/9190991 ")</f>
        <v xml:space="preserve">http://slimages.macys.com/is/image/MCY/9190991 </v>
      </c>
    </row>
    <row r="547" spans="1:12" ht="24.75" x14ac:dyDescent="0.25">
      <c r="A547" s="4" t="s">
        <v>1352</v>
      </c>
      <c r="B547" s="2" t="s">
        <v>1318</v>
      </c>
      <c r="C547" s="3">
        <v>1</v>
      </c>
      <c r="D547" s="5">
        <v>24.99</v>
      </c>
      <c r="E547" s="3" t="s">
        <v>1321</v>
      </c>
      <c r="F547" s="2" t="s">
        <v>506</v>
      </c>
      <c r="G547" s="6" t="s">
        <v>141</v>
      </c>
      <c r="H547" s="2" t="s">
        <v>228</v>
      </c>
      <c r="I547" s="2" t="s">
        <v>229</v>
      </c>
      <c r="J547" s="2" t="s">
        <v>19</v>
      </c>
      <c r="K547" s="2" t="s">
        <v>253</v>
      </c>
      <c r="L547" s="7" t="str">
        <f>HYPERLINK("http://slimages.macys.com/is/image/MCY/8296032 ")</f>
        <v xml:space="preserve">http://slimages.macys.com/is/image/MCY/8296032 </v>
      </c>
    </row>
    <row r="548" spans="1:12" ht="24.75" x14ac:dyDescent="0.25">
      <c r="A548" s="4" t="s">
        <v>5881</v>
      </c>
      <c r="B548" s="2" t="s">
        <v>1318</v>
      </c>
      <c r="C548" s="3">
        <v>1</v>
      </c>
      <c r="D548" s="5">
        <v>24.99</v>
      </c>
      <c r="E548" s="3" t="s">
        <v>1321</v>
      </c>
      <c r="F548" s="2" t="s">
        <v>64</v>
      </c>
      <c r="G548" s="6" t="s">
        <v>106</v>
      </c>
      <c r="H548" s="2" t="s">
        <v>228</v>
      </c>
      <c r="I548" s="2" t="s">
        <v>229</v>
      </c>
      <c r="J548" s="2" t="s">
        <v>19</v>
      </c>
      <c r="K548" s="2" t="s">
        <v>253</v>
      </c>
      <c r="L548" s="7" t="str">
        <f>HYPERLINK("http://slimages.macys.com/is/image/MCY/9029356 ")</f>
        <v xml:space="preserve">http://slimages.macys.com/is/image/MCY/9029356 </v>
      </c>
    </row>
    <row r="549" spans="1:12" ht="24.75" x14ac:dyDescent="0.25">
      <c r="A549" s="4" t="s">
        <v>5882</v>
      </c>
      <c r="B549" s="2" t="s">
        <v>1318</v>
      </c>
      <c r="C549" s="3">
        <v>1</v>
      </c>
      <c r="D549" s="5">
        <v>24.99</v>
      </c>
      <c r="E549" s="3" t="s">
        <v>1321</v>
      </c>
      <c r="F549" s="2" t="s">
        <v>89</v>
      </c>
      <c r="G549" s="6" t="s">
        <v>27</v>
      </c>
      <c r="H549" s="2" t="s">
        <v>228</v>
      </c>
      <c r="I549" s="2" t="s">
        <v>229</v>
      </c>
      <c r="J549" s="2" t="s">
        <v>19</v>
      </c>
      <c r="K549" s="2" t="s">
        <v>253</v>
      </c>
      <c r="L549" s="7" t="str">
        <f>HYPERLINK("http://slimages.macys.com/is/image/MCY/9029356 ")</f>
        <v xml:space="preserve">http://slimages.macys.com/is/image/MCY/9029356 </v>
      </c>
    </row>
    <row r="550" spans="1:12" ht="24.75" x14ac:dyDescent="0.25">
      <c r="A550" s="4" t="s">
        <v>3882</v>
      </c>
      <c r="B550" s="2" t="s">
        <v>1318</v>
      </c>
      <c r="C550" s="3">
        <v>2</v>
      </c>
      <c r="D550" s="5">
        <v>24.99</v>
      </c>
      <c r="E550" s="3">
        <v>100039649</v>
      </c>
      <c r="F550" s="2" t="s">
        <v>417</v>
      </c>
      <c r="G550" s="6" t="s">
        <v>16</v>
      </c>
      <c r="H550" s="2" t="s">
        <v>228</v>
      </c>
      <c r="I550" s="2" t="s">
        <v>863</v>
      </c>
      <c r="J550" s="2" t="s">
        <v>19</v>
      </c>
      <c r="K550" s="2" t="s">
        <v>2703</v>
      </c>
      <c r="L550" s="7" t="str">
        <f>HYPERLINK("http://slimages.macys.com/is/image/MCY/12667245 ")</f>
        <v xml:space="preserve">http://slimages.macys.com/is/image/MCY/12667245 </v>
      </c>
    </row>
    <row r="551" spans="1:12" ht="24.75" x14ac:dyDescent="0.25">
      <c r="A551" s="4" t="s">
        <v>5883</v>
      </c>
      <c r="B551" s="2" t="s">
        <v>1318</v>
      </c>
      <c r="C551" s="3">
        <v>3</v>
      </c>
      <c r="D551" s="5">
        <v>24.99</v>
      </c>
      <c r="E551" s="3" t="s">
        <v>1321</v>
      </c>
      <c r="F551" s="2" t="s">
        <v>506</v>
      </c>
      <c r="G551" s="6" t="s">
        <v>22</v>
      </c>
      <c r="H551" s="2" t="s">
        <v>228</v>
      </c>
      <c r="I551" s="2" t="s">
        <v>229</v>
      </c>
      <c r="J551" s="2" t="s">
        <v>19</v>
      </c>
      <c r="K551" s="2" t="s">
        <v>253</v>
      </c>
      <c r="L551" s="7" t="str">
        <f>HYPERLINK("http://slimages.macys.com/is/image/MCY/8296032 ")</f>
        <v xml:space="preserve">http://slimages.macys.com/is/image/MCY/8296032 </v>
      </c>
    </row>
    <row r="552" spans="1:12" ht="24.75" x14ac:dyDescent="0.25">
      <c r="A552" s="4" t="s">
        <v>5884</v>
      </c>
      <c r="B552" s="2" t="s">
        <v>1356</v>
      </c>
      <c r="C552" s="3">
        <v>1</v>
      </c>
      <c r="D552" s="5">
        <v>34.5</v>
      </c>
      <c r="E552" s="3">
        <v>100045813</v>
      </c>
      <c r="F552" s="2" t="s">
        <v>111</v>
      </c>
      <c r="G552" s="6" t="s">
        <v>112</v>
      </c>
      <c r="H552" s="2" t="s">
        <v>228</v>
      </c>
      <c r="I552" s="2" t="s">
        <v>229</v>
      </c>
      <c r="J552" s="2" t="s">
        <v>19</v>
      </c>
      <c r="K552" s="2" t="s">
        <v>353</v>
      </c>
      <c r="L552" s="7" t="str">
        <f>HYPERLINK("http://slimages.macys.com/is/image/MCY/11936020 ")</f>
        <v xml:space="preserve">http://slimages.macys.com/is/image/MCY/11936020 </v>
      </c>
    </row>
    <row r="553" spans="1:12" ht="24.75" x14ac:dyDescent="0.25">
      <c r="A553" s="4" t="s">
        <v>3880</v>
      </c>
      <c r="B553" s="2" t="s">
        <v>1318</v>
      </c>
      <c r="C553" s="3">
        <v>2</v>
      </c>
      <c r="D553" s="5">
        <v>24.99</v>
      </c>
      <c r="E553" s="3" t="s">
        <v>1321</v>
      </c>
      <c r="F553" s="2" t="s">
        <v>506</v>
      </c>
      <c r="G553" s="6" t="s">
        <v>27</v>
      </c>
      <c r="H553" s="2" t="s">
        <v>228</v>
      </c>
      <c r="I553" s="2" t="s">
        <v>229</v>
      </c>
      <c r="J553" s="2" t="s">
        <v>19</v>
      </c>
      <c r="K553" s="2" t="s">
        <v>253</v>
      </c>
      <c r="L553" s="7" t="str">
        <f>HYPERLINK("http://slimages.macys.com/is/image/MCY/8296032 ")</f>
        <v xml:space="preserve">http://slimages.macys.com/is/image/MCY/8296032 </v>
      </c>
    </row>
    <row r="554" spans="1:12" ht="24.75" x14ac:dyDescent="0.25">
      <c r="A554" s="4" t="s">
        <v>2689</v>
      </c>
      <c r="B554" s="2" t="s">
        <v>1318</v>
      </c>
      <c r="C554" s="3">
        <v>1</v>
      </c>
      <c r="D554" s="5">
        <v>24.99</v>
      </c>
      <c r="E554" s="3" t="s">
        <v>1321</v>
      </c>
      <c r="F554" s="2" t="s">
        <v>64</v>
      </c>
      <c r="G554" s="6" t="s">
        <v>65</v>
      </c>
      <c r="H554" s="2" t="s">
        <v>228</v>
      </c>
      <c r="I554" s="2" t="s">
        <v>229</v>
      </c>
      <c r="J554" s="2" t="s">
        <v>19</v>
      </c>
      <c r="K554" s="2" t="s">
        <v>253</v>
      </c>
      <c r="L554" s="7" t="str">
        <f>HYPERLINK("http://slimages.macys.com/is/image/MCY/9029356 ")</f>
        <v xml:space="preserve">http://slimages.macys.com/is/image/MCY/9029356 </v>
      </c>
    </row>
    <row r="555" spans="1:12" ht="24.75" x14ac:dyDescent="0.25">
      <c r="A555" s="4" t="s">
        <v>5885</v>
      </c>
      <c r="B555" s="2" t="s">
        <v>1318</v>
      </c>
      <c r="C555" s="3">
        <v>1</v>
      </c>
      <c r="D555" s="5">
        <v>24.99</v>
      </c>
      <c r="E555" s="3" t="s">
        <v>1321</v>
      </c>
      <c r="F555" s="2" t="s">
        <v>70</v>
      </c>
      <c r="G555" s="6" t="s">
        <v>112</v>
      </c>
      <c r="H555" s="2" t="s">
        <v>228</v>
      </c>
      <c r="I555" s="2" t="s">
        <v>229</v>
      </c>
      <c r="J555" s="2" t="s">
        <v>19</v>
      </c>
      <c r="K555" s="2" t="s">
        <v>253</v>
      </c>
      <c r="L555" s="7" t="str">
        <f>HYPERLINK("http://slimages.macys.com/is/image/MCY/9029356 ")</f>
        <v xml:space="preserve">http://slimages.macys.com/is/image/MCY/9029356 </v>
      </c>
    </row>
    <row r="556" spans="1:12" ht="24.75" x14ac:dyDescent="0.25">
      <c r="A556" s="4" t="s">
        <v>5886</v>
      </c>
      <c r="B556" s="2" t="s">
        <v>1318</v>
      </c>
      <c r="C556" s="3">
        <v>1</v>
      </c>
      <c r="D556" s="5">
        <v>24.99</v>
      </c>
      <c r="E556" s="3" t="s">
        <v>1321</v>
      </c>
      <c r="F556" s="2" t="s">
        <v>376</v>
      </c>
      <c r="G556" s="6" t="s">
        <v>22</v>
      </c>
      <c r="H556" s="2" t="s">
        <v>228</v>
      </c>
      <c r="I556" s="2" t="s">
        <v>229</v>
      </c>
      <c r="J556" s="2" t="s">
        <v>19</v>
      </c>
      <c r="K556" s="2" t="s">
        <v>253</v>
      </c>
      <c r="L556" s="7" t="str">
        <f>HYPERLINK("http://slimages.macys.com/is/image/MCY/9029356 ")</f>
        <v xml:space="preserve">http://slimages.macys.com/is/image/MCY/9029356 </v>
      </c>
    </row>
    <row r="557" spans="1:12" ht="24.75" x14ac:dyDescent="0.25">
      <c r="A557" s="4" t="s">
        <v>5887</v>
      </c>
      <c r="B557" s="2" t="s">
        <v>1356</v>
      </c>
      <c r="C557" s="3">
        <v>2</v>
      </c>
      <c r="D557" s="5">
        <v>34.5</v>
      </c>
      <c r="E557" s="3">
        <v>100045813</v>
      </c>
      <c r="F557" s="2" t="s">
        <v>111</v>
      </c>
      <c r="G557" s="6" t="s">
        <v>65</v>
      </c>
      <c r="H557" s="2" t="s">
        <v>228</v>
      </c>
      <c r="I557" s="2" t="s">
        <v>229</v>
      </c>
      <c r="J557" s="2" t="s">
        <v>19</v>
      </c>
      <c r="K557" s="2" t="s">
        <v>353</v>
      </c>
      <c r="L557" s="7" t="str">
        <f>HYPERLINK("http://slimages.macys.com/is/image/MCY/11936020 ")</f>
        <v xml:space="preserve">http://slimages.macys.com/is/image/MCY/11936020 </v>
      </c>
    </row>
    <row r="558" spans="1:12" ht="24.75" x14ac:dyDescent="0.25">
      <c r="A558" s="4" t="s">
        <v>5888</v>
      </c>
      <c r="B558" s="2" t="s">
        <v>1356</v>
      </c>
      <c r="C558" s="3">
        <v>1</v>
      </c>
      <c r="D558" s="5">
        <v>34.5</v>
      </c>
      <c r="E558" s="3">
        <v>100045812</v>
      </c>
      <c r="F558" s="2" t="s">
        <v>111</v>
      </c>
      <c r="G558" s="6" t="s">
        <v>22</v>
      </c>
      <c r="H558" s="2" t="s">
        <v>228</v>
      </c>
      <c r="I558" s="2" t="s">
        <v>229</v>
      </c>
      <c r="J558" s="2" t="s">
        <v>19</v>
      </c>
      <c r="K558" s="2" t="s">
        <v>353</v>
      </c>
      <c r="L558" s="7" t="str">
        <f>HYPERLINK("http://slimages.macys.com/is/image/MCY/11936020 ")</f>
        <v xml:space="preserve">http://slimages.macys.com/is/image/MCY/11936020 </v>
      </c>
    </row>
    <row r="559" spans="1:12" ht="24.75" x14ac:dyDescent="0.25">
      <c r="A559" s="4" t="s">
        <v>1350</v>
      </c>
      <c r="B559" s="2" t="s">
        <v>1318</v>
      </c>
      <c r="C559" s="3">
        <v>2</v>
      </c>
      <c r="D559" s="5">
        <v>24.99</v>
      </c>
      <c r="E559" s="3" t="s">
        <v>1321</v>
      </c>
      <c r="F559" s="2" t="s">
        <v>506</v>
      </c>
      <c r="G559" s="6" t="s">
        <v>58</v>
      </c>
      <c r="H559" s="2" t="s">
        <v>228</v>
      </c>
      <c r="I559" s="2" t="s">
        <v>229</v>
      </c>
      <c r="J559" s="2" t="s">
        <v>19</v>
      </c>
      <c r="K559" s="2" t="s">
        <v>253</v>
      </c>
      <c r="L559" s="7" t="str">
        <f>HYPERLINK("http://slimages.macys.com/is/image/MCY/8296032 ")</f>
        <v xml:space="preserve">http://slimages.macys.com/is/image/MCY/8296032 </v>
      </c>
    </row>
    <row r="560" spans="1:12" ht="24.75" x14ac:dyDescent="0.25">
      <c r="A560" s="4" t="s">
        <v>1358</v>
      </c>
      <c r="B560" s="2" t="s">
        <v>1359</v>
      </c>
      <c r="C560" s="3">
        <v>1</v>
      </c>
      <c r="D560" s="5">
        <v>29.99</v>
      </c>
      <c r="E560" s="3" t="s">
        <v>1360</v>
      </c>
      <c r="F560" s="2" t="s">
        <v>26</v>
      </c>
      <c r="G560" s="6" t="s">
        <v>234</v>
      </c>
      <c r="H560" s="2" t="s">
        <v>246</v>
      </c>
      <c r="I560" s="2" t="s">
        <v>189</v>
      </c>
      <c r="J560" s="2" t="s">
        <v>19</v>
      </c>
      <c r="K560" s="2" t="s">
        <v>160</v>
      </c>
      <c r="L560" s="7" t="str">
        <f>HYPERLINK("http://slimages.macys.com/is/image/MCY/11420487 ")</f>
        <v xml:space="preserve">http://slimages.macys.com/is/image/MCY/11420487 </v>
      </c>
    </row>
    <row r="561" spans="1:12" ht="24.75" x14ac:dyDescent="0.25">
      <c r="A561" s="4" t="s">
        <v>5889</v>
      </c>
      <c r="B561" s="2" t="s">
        <v>1373</v>
      </c>
      <c r="C561" s="3">
        <v>1</v>
      </c>
      <c r="D561" s="5">
        <v>37.130000000000003</v>
      </c>
      <c r="E561" s="3" t="s">
        <v>1374</v>
      </c>
      <c r="F561" s="2" t="s">
        <v>38</v>
      </c>
      <c r="G561" s="6" t="s">
        <v>200</v>
      </c>
      <c r="H561" s="2" t="s">
        <v>194</v>
      </c>
      <c r="I561" s="2" t="s">
        <v>195</v>
      </c>
      <c r="J561" s="2" t="s">
        <v>19</v>
      </c>
      <c r="K561" s="2" t="s">
        <v>247</v>
      </c>
      <c r="L561" s="7" t="str">
        <f>HYPERLINK("http://slimages.macys.com/is/image/MCY/12034795 ")</f>
        <v xml:space="preserve">http://slimages.macys.com/is/image/MCY/12034795 </v>
      </c>
    </row>
    <row r="562" spans="1:12" ht="24.75" x14ac:dyDescent="0.25">
      <c r="A562" s="4" t="s">
        <v>5890</v>
      </c>
      <c r="B562" s="2" t="s">
        <v>1373</v>
      </c>
      <c r="C562" s="3">
        <v>1</v>
      </c>
      <c r="D562" s="5">
        <v>37.130000000000003</v>
      </c>
      <c r="E562" s="3" t="s">
        <v>1374</v>
      </c>
      <c r="F562" s="2" t="s">
        <v>111</v>
      </c>
      <c r="G562" s="6" t="s">
        <v>156</v>
      </c>
      <c r="H562" s="2" t="s">
        <v>194</v>
      </c>
      <c r="I562" s="2" t="s">
        <v>195</v>
      </c>
      <c r="J562" s="2" t="s">
        <v>19</v>
      </c>
      <c r="K562" s="2" t="s">
        <v>247</v>
      </c>
      <c r="L562" s="7" t="str">
        <f>HYPERLINK("http://slimages.macys.com/is/image/MCY/12034795 ")</f>
        <v xml:space="preserve">http://slimages.macys.com/is/image/MCY/12034795 </v>
      </c>
    </row>
    <row r="563" spans="1:12" ht="24.75" x14ac:dyDescent="0.25">
      <c r="A563" s="4" t="s">
        <v>1376</v>
      </c>
      <c r="B563" s="2" t="s">
        <v>1330</v>
      </c>
      <c r="C563" s="3">
        <v>1</v>
      </c>
      <c r="D563" s="5">
        <v>37.130000000000003</v>
      </c>
      <c r="E563" s="3" t="s">
        <v>1331</v>
      </c>
      <c r="F563" s="2" t="s">
        <v>125</v>
      </c>
      <c r="G563" s="6" t="s">
        <v>181</v>
      </c>
      <c r="H563" s="2" t="s">
        <v>194</v>
      </c>
      <c r="I563" s="2" t="s">
        <v>195</v>
      </c>
      <c r="J563" s="2" t="s">
        <v>19</v>
      </c>
      <c r="K563" s="2" t="s">
        <v>247</v>
      </c>
      <c r="L563" s="7" t="str">
        <f>HYPERLINK("http://slimages.macys.com/is/image/MCY/10889638 ")</f>
        <v xml:space="preserve">http://slimages.macys.com/is/image/MCY/10889638 </v>
      </c>
    </row>
    <row r="564" spans="1:12" ht="24.75" x14ac:dyDescent="0.25">
      <c r="A564" s="4" t="s">
        <v>1386</v>
      </c>
      <c r="B564" s="2" t="s">
        <v>1330</v>
      </c>
      <c r="C564" s="3">
        <v>1</v>
      </c>
      <c r="D564" s="5">
        <v>37.130000000000003</v>
      </c>
      <c r="E564" s="3" t="s">
        <v>1331</v>
      </c>
      <c r="F564" s="2" t="s">
        <v>125</v>
      </c>
      <c r="G564" s="6" t="s">
        <v>200</v>
      </c>
      <c r="H564" s="2" t="s">
        <v>194</v>
      </c>
      <c r="I564" s="2" t="s">
        <v>195</v>
      </c>
      <c r="J564" s="2" t="s">
        <v>19</v>
      </c>
      <c r="K564" s="2" t="s">
        <v>247</v>
      </c>
      <c r="L564" s="7" t="str">
        <f>HYPERLINK("http://slimages.macys.com/is/image/MCY/10889638 ")</f>
        <v xml:space="preserve">http://slimages.macys.com/is/image/MCY/10889638 </v>
      </c>
    </row>
    <row r="565" spans="1:12" ht="24.75" x14ac:dyDescent="0.25">
      <c r="A565" s="4" t="s">
        <v>2710</v>
      </c>
      <c r="B565" s="2" t="s">
        <v>1330</v>
      </c>
      <c r="C565" s="3">
        <v>1</v>
      </c>
      <c r="D565" s="5">
        <v>37.130000000000003</v>
      </c>
      <c r="E565" s="3" t="s">
        <v>1331</v>
      </c>
      <c r="F565" s="2" t="s">
        <v>125</v>
      </c>
      <c r="G565" s="6" t="s">
        <v>234</v>
      </c>
      <c r="H565" s="2" t="s">
        <v>194</v>
      </c>
      <c r="I565" s="2" t="s">
        <v>195</v>
      </c>
      <c r="J565" s="2" t="s">
        <v>19</v>
      </c>
      <c r="K565" s="2" t="s">
        <v>247</v>
      </c>
      <c r="L565" s="7" t="str">
        <f>HYPERLINK("http://slimages.macys.com/is/image/MCY/10889638 ")</f>
        <v xml:space="preserve">http://slimages.macys.com/is/image/MCY/10889638 </v>
      </c>
    </row>
    <row r="566" spans="1:12" ht="36.75" x14ac:dyDescent="0.25">
      <c r="A566" s="4" t="s">
        <v>1391</v>
      </c>
      <c r="B566" s="2" t="s">
        <v>1388</v>
      </c>
      <c r="C566" s="3">
        <v>1</v>
      </c>
      <c r="D566" s="5">
        <v>29.63</v>
      </c>
      <c r="E566" s="3" t="s">
        <v>1389</v>
      </c>
      <c r="F566" s="2" t="s">
        <v>111</v>
      </c>
      <c r="G566" s="6" t="s">
        <v>181</v>
      </c>
      <c r="H566" s="2" t="s">
        <v>194</v>
      </c>
      <c r="I566" s="2" t="s">
        <v>195</v>
      </c>
      <c r="J566" s="2" t="s">
        <v>19</v>
      </c>
      <c r="K566" s="2" t="s">
        <v>1390</v>
      </c>
      <c r="L566" s="7" t="str">
        <f>HYPERLINK("http://slimages.macys.com/is/image/MCY/12734335 ")</f>
        <v xml:space="preserve">http://slimages.macys.com/is/image/MCY/12734335 </v>
      </c>
    </row>
    <row r="567" spans="1:12" ht="36.75" x14ac:dyDescent="0.25">
      <c r="A567" s="4" t="s">
        <v>5891</v>
      </c>
      <c r="B567" s="2" t="s">
        <v>2351</v>
      </c>
      <c r="C567" s="3">
        <v>1</v>
      </c>
      <c r="D567" s="5">
        <v>29.63</v>
      </c>
      <c r="E567" s="3" t="s">
        <v>4963</v>
      </c>
      <c r="F567" s="2" t="s">
        <v>752</v>
      </c>
      <c r="G567" s="6" t="s">
        <v>200</v>
      </c>
      <c r="H567" s="2" t="s">
        <v>194</v>
      </c>
      <c r="I567" s="2" t="s">
        <v>195</v>
      </c>
      <c r="J567" s="2" t="s">
        <v>19</v>
      </c>
      <c r="K567" s="2" t="s">
        <v>1390</v>
      </c>
      <c r="L567" s="7" t="str">
        <f>HYPERLINK("http://slimages.macys.com/is/image/MCY/12950203 ")</f>
        <v xml:space="preserve">http://slimages.macys.com/is/image/MCY/12950203 </v>
      </c>
    </row>
    <row r="568" spans="1:12" ht="24.75" x14ac:dyDescent="0.25">
      <c r="A568" s="4" t="s">
        <v>5892</v>
      </c>
      <c r="B568" s="2" t="s">
        <v>1394</v>
      </c>
      <c r="C568" s="3">
        <v>1</v>
      </c>
      <c r="D568" s="5">
        <v>36.5</v>
      </c>
      <c r="E568" s="3" t="s">
        <v>3903</v>
      </c>
      <c r="F568" s="2" t="s">
        <v>15</v>
      </c>
      <c r="G568" s="6" t="s">
        <v>181</v>
      </c>
      <c r="H568" s="2" t="s">
        <v>194</v>
      </c>
      <c r="I568" s="2" t="s">
        <v>195</v>
      </c>
      <c r="J568" s="2" t="s">
        <v>19</v>
      </c>
      <c r="K568" s="2" t="s">
        <v>34</v>
      </c>
      <c r="L568" s="7" t="str">
        <f>HYPERLINK("http://slimages.macys.com/is/image/MCY/13367997 ")</f>
        <v xml:space="preserve">http://slimages.macys.com/is/image/MCY/13367997 </v>
      </c>
    </row>
    <row r="569" spans="1:12" ht="24.75" x14ac:dyDescent="0.25">
      <c r="A569" s="4" t="s">
        <v>5893</v>
      </c>
      <c r="B569" s="2" t="s">
        <v>5894</v>
      </c>
      <c r="C569" s="3">
        <v>1</v>
      </c>
      <c r="D569" s="5">
        <v>29.63</v>
      </c>
      <c r="E569" s="3" t="s">
        <v>5895</v>
      </c>
      <c r="F569" s="2" t="s">
        <v>111</v>
      </c>
      <c r="G569" s="6"/>
      <c r="H569" s="2" t="s">
        <v>632</v>
      </c>
      <c r="I569" s="2" t="s">
        <v>285</v>
      </c>
      <c r="J569" s="2" t="s">
        <v>19</v>
      </c>
      <c r="K569" s="2" t="s">
        <v>160</v>
      </c>
      <c r="L569" s="7" t="str">
        <f>HYPERLINK("http://slimages.macys.com/is/image/MCY/12715234 ")</f>
        <v xml:space="preserve">http://slimages.macys.com/is/image/MCY/12715234 </v>
      </c>
    </row>
    <row r="570" spans="1:12" ht="36.75" x14ac:dyDescent="0.25">
      <c r="A570" s="4" t="s">
        <v>5896</v>
      </c>
      <c r="B570" s="2" t="s">
        <v>5897</v>
      </c>
      <c r="C570" s="3">
        <v>1</v>
      </c>
      <c r="D570" s="5">
        <v>24.99</v>
      </c>
      <c r="E570" s="3" t="s">
        <v>5898</v>
      </c>
      <c r="F570" s="2" t="s">
        <v>15</v>
      </c>
      <c r="G570" s="6" t="s">
        <v>234</v>
      </c>
      <c r="H570" s="2" t="s">
        <v>284</v>
      </c>
      <c r="I570" s="2" t="s">
        <v>285</v>
      </c>
      <c r="J570" s="2" t="s">
        <v>19</v>
      </c>
      <c r="K570" s="2" t="s">
        <v>5899</v>
      </c>
      <c r="L570" s="7" t="str">
        <f>HYPERLINK("http://slimages.macys.com/is/image/MCY/9460783 ")</f>
        <v xml:space="preserve">http://slimages.macys.com/is/image/MCY/9460783 </v>
      </c>
    </row>
    <row r="571" spans="1:12" ht="36.75" x14ac:dyDescent="0.25">
      <c r="A571" s="4" t="s">
        <v>5900</v>
      </c>
      <c r="B571" s="2" t="s">
        <v>5897</v>
      </c>
      <c r="C571" s="3">
        <v>1</v>
      </c>
      <c r="D571" s="5">
        <v>24.99</v>
      </c>
      <c r="E571" s="3" t="s">
        <v>5898</v>
      </c>
      <c r="F571" s="2" t="s">
        <v>15</v>
      </c>
      <c r="G571" s="6" t="s">
        <v>156</v>
      </c>
      <c r="H571" s="2" t="s">
        <v>284</v>
      </c>
      <c r="I571" s="2" t="s">
        <v>285</v>
      </c>
      <c r="J571" s="2" t="s">
        <v>19</v>
      </c>
      <c r="K571" s="2" t="s">
        <v>5899</v>
      </c>
      <c r="L571" s="7" t="str">
        <f>HYPERLINK("http://slimages.macys.com/is/image/MCY/9460783 ")</f>
        <v xml:space="preserve">http://slimages.macys.com/is/image/MCY/9460783 </v>
      </c>
    </row>
    <row r="572" spans="1:12" x14ac:dyDescent="0.25">
      <c r="A572" s="4" t="s">
        <v>5901</v>
      </c>
      <c r="B572" s="2" t="s">
        <v>5902</v>
      </c>
      <c r="C572" s="3">
        <v>1</v>
      </c>
      <c r="D572" s="5">
        <v>31.65</v>
      </c>
      <c r="E572" s="3" t="s">
        <v>5903</v>
      </c>
      <c r="F572" s="2" t="s">
        <v>887</v>
      </c>
      <c r="G572" s="6" t="s">
        <v>234</v>
      </c>
      <c r="H572" s="2" t="s">
        <v>182</v>
      </c>
      <c r="I572" s="2" t="s">
        <v>183</v>
      </c>
      <c r="J572" s="2" t="s">
        <v>19</v>
      </c>
      <c r="K572" s="2" t="s">
        <v>160</v>
      </c>
      <c r="L572" s="7" t="str">
        <f>HYPERLINK("http://slimages.macys.com/is/image/MCY/12851786 ")</f>
        <v xml:space="preserve">http://slimages.macys.com/is/image/MCY/12851786 </v>
      </c>
    </row>
    <row r="573" spans="1:12" ht="24.75" x14ac:dyDescent="0.25">
      <c r="A573" s="4" t="s">
        <v>3905</v>
      </c>
      <c r="B573" s="2" t="s">
        <v>2718</v>
      </c>
      <c r="C573" s="3">
        <v>1</v>
      </c>
      <c r="D573" s="5">
        <v>34.880000000000003</v>
      </c>
      <c r="E573" s="3">
        <v>100054890</v>
      </c>
      <c r="F573" s="2" t="s">
        <v>26</v>
      </c>
      <c r="G573" s="6" t="s">
        <v>27</v>
      </c>
      <c r="H573" s="2" t="s">
        <v>194</v>
      </c>
      <c r="I573" s="2" t="s">
        <v>195</v>
      </c>
      <c r="J573" s="2" t="s">
        <v>19</v>
      </c>
      <c r="K573" s="2" t="s">
        <v>353</v>
      </c>
      <c r="L573" s="7" t="str">
        <f>HYPERLINK("http://slimages.macys.com/is/image/MCY/12331068 ")</f>
        <v xml:space="preserve">http://slimages.macys.com/is/image/MCY/12331068 </v>
      </c>
    </row>
    <row r="574" spans="1:12" ht="24.75" x14ac:dyDescent="0.25">
      <c r="A574" s="4" t="s">
        <v>5904</v>
      </c>
      <c r="B574" s="2" t="s">
        <v>5905</v>
      </c>
      <c r="C574" s="3">
        <v>1</v>
      </c>
      <c r="D574" s="5">
        <v>26.99</v>
      </c>
      <c r="E574" s="3" t="s">
        <v>5906</v>
      </c>
      <c r="F574" s="2" t="s">
        <v>70</v>
      </c>
      <c r="G574" s="6" t="s">
        <v>746</v>
      </c>
      <c r="H574" s="2" t="s">
        <v>349</v>
      </c>
      <c r="I574" s="2" t="s">
        <v>285</v>
      </c>
      <c r="J574" s="2" t="s">
        <v>19</v>
      </c>
      <c r="K574" s="2" t="s">
        <v>247</v>
      </c>
      <c r="L574" s="7" t="str">
        <f>HYPERLINK("http://slimages.macys.com/is/image/MCY/12877143 ")</f>
        <v xml:space="preserve">http://slimages.macys.com/is/image/MCY/12877143 </v>
      </c>
    </row>
    <row r="575" spans="1:12" ht="24.75" x14ac:dyDescent="0.25">
      <c r="A575" s="4" t="s">
        <v>2724</v>
      </c>
      <c r="B575" s="2" t="s">
        <v>1405</v>
      </c>
      <c r="C575" s="3">
        <v>1</v>
      </c>
      <c r="D575" s="5">
        <v>34.880000000000003</v>
      </c>
      <c r="E575" s="3">
        <v>100042372</v>
      </c>
      <c r="F575" s="2" t="s">
        <v>94</v>
      </c>
      <c r="G575" s="6" t="s">
        <v>22</v>
      </c>
      <c r="H575" s="2" t="s">
        <v>194</v>
      </c>
      <c r="I575" s="2" t="s">
        <v>195</v>
      </c>
      <c r="J575" s="2" t="s">
        <v>19</v>
      </c>
      <c r="K575" s="2" t="s">
        <v>353</v>
      </c>
      <c r="L575" s="7" t="str">
        <f>HYPERLINK("http://slimages.macys.com/is/image/MCY/11935225 ")</f>
        <v xml:space="preserve">http://slimages.macys.com/is/image/MCY/11935225 </v>
      </c>
    </row>
    <row r="576" spans="1:12" ht="24.75" x14ac:dyDescent="0.25">
      <c r="A576" s="4" t="s">
        <v>2726</v>
      </c>
      <c r="B576" s="2" t="s">
        <v>1405</v>
      </c>
      <c r="C576" s="3">
        <v>1</v>
      </c>
      <c r="D576" s="5">
        <v>34.880000000000003</v>
      </c>
      <c r="E576" s="3">
        <v>100042372</v>
      </c>
      <c r="F576" s="2" t="s">
        <v>94</v>
      </c>
      <c r="G576" s="6" t="s">
        <v>16</v>
      </c>
      <c r="H576" s="2" t="s">
        <v>194</v>
      </c>
      <c r="I576" s="2" t="s">
        <v>195</v>
      </c>
      <c r="J576" s="2" t="s">
        <v>19</v>
      </c>
      <c r="K576" s="2" t="s">
        <v>353</v>
      </c>
      <c r="L576" s="7" t="str">
        <f>HYPERLINK("http://slimages.macys.com/is/image/MCY/11935225 ")</f>
        <v xml:space="preserve">http://slimages.macys.com/is/image/MCY/11935225 </v>
      </c>
    </row>
    <row r="577" spans="1:12" ht="24.75" x14ac:dyDescent="0.25">
      <c r="A577" s="4" t="s">
        <v>1404</v>
      </c>
      <c r="B577" s="2" t="s">
        <v>1405</v>
      </c>
      <c r="C577" s="3">
        <v>3</v>
      </c>
      <c r="D577" s="5">
        <v>34.880000000000003</v>
      </c>
      <c r="E577" s="3">
        <v>100042372</v>
      </c>
      <c r="F577" s="2" t="s">
        <v>676</v>
      </c>
      <c r="G577" s="6" t="s">
        <v>27</v>
      </c>
      <c r="H577" s="2" t="s">
        <v>194</v>
      </c>
      <c r="I577" s="2" t="s">
        <v>195</v>
      </c>
      <c r="J577" s="2" t="s">
        <v>19</v>
      </c>
      <c r="K577" s="2" t="s">
        <v>353</v>
      </c>
      <c r="L577" s="7" t="str">
        <f>HYPERLINK("http://slimages.macys.com/is/image/MCY/11935225 ")</f>
        <v xml:space="preserve">http://slimages.macys.com/is/image/MCY/11935225 </v>
      </c>
    </row>
    <row r="578" spans="1:12" ht="36.75" x14ac:dyDescent="0.25">
      <c r="A578" s="4" t="s">
        <v>3911</v>
      </c>
      <c r="B578" s="2" t="s">
        <v>1409</v>
      </c>
      <c r="C578" s="3">
        <v>1</v>
      </c>
      <c r="D578" s="5">
        <v>36.5</v>
      </c>
      <c r="E578" s="3" t="s">
        <v>1410</v>
      </c>
      <c r="F578" s="2" t="s">
        <v>170</v>
      </c>
      <c r="G578" s="6" t="s">
        <v>156</v>
      </c>
      <c r="H578" s="2" t="s">
        <v>194</v>
      </c>
      <c r="I578" s="2" t="s">
        <v>195</v>
      </c>
      <c r="J578" s="2" t="s">
        <v>19</v>
      </c>
      <c r="K578" s="2" t="s">
        <v>1411</v>
      </c>
      <c r="L578" s="7" t="str">
        <f>HYPERLINK("http://slimages.macys.com/is/image/MCY/11702017 ")</f>
        <v xml:space="preserve">http://slimages.macys.com/is/image/MCY/11702017 </v>
      </c>
    </row>
    <row r="579" spans="1:12" ht="24.75" x14ac:dyDescent="0.25">
      <c r="A579" s="4" t="s">
        <v>5907</v>
      </c>
      <c r="B579" s="2" t="s">
        <v>3913</v>
      </c>
      <c r="C579" s="3">
        <v>1</v>
      </c>
      <c r="D579" s="5">
        <v>29.63</v>
      </c>
      <c r="E579" s="3" t="s">
        <v>3914</v>
      </c>
      <c r="F579" s="2" t="s">
        <v>15</v>
      </c>
      <c r="G579" s="6" t="s">
        <v>234</v>
      </c>
      <c r="H579" s="2" t="s">
        <v>194</v>
      </c>
      <c r="I579" s="2" t="s">
        <v>195</v>
      </c>
      <c r="J579" s="2" t="s">
        <v>19</v>
      </c>
      <c r="K579" s="2" t="s">
        <v>201</v>
      </c>
      <c r="L579" s="7" t="str">
        <f>HYPERLINK("http://slimages.macys.com/is/image/MCY/12404902 ")</f>
        <v xml:space="preserve">http://slimages.macys.com/is/image/MCY/12404902 </v>
      </c>
    </row>
    <row r="580" spans="1:12" ht="24.75" x14ac:dyDescent="0.25">
      <c r="A580" s="4" t="s">
        <v>4980</v>
      </c>
      <c r="B580" s="2" t="s">
        <v>3913</v>
      </c>
      <c r="C580" s="3">
        <v>1</v>
      </c>
      <c r="D580" s="5">
        <v>29.63</v>
      </c>
      <c r="E580" s="3" t="s">
        <v>3914</v>
      </c>
      <c r="F580" s="2" t="s">
        <v>15</v>
      </c>
      <c r="G580" s="6" t="s">
        <v>156</v>
      </c>
      <c r="H580" s="2" t="s">
        <v>194</v>
      </c>
      <c r="I580" s="2" t="s">
        <v>195</v>
      </c>
      <c r="J580" s="2" t="s">
        <v>19</v>
      </c>
      <c r="K580" s="2" t="s">
        <v>201</v>
      </c>
      <c r="L580" s="7" t="str">
        <f>HYPERLINK("http://slimages.macys.com/is/image/MCY/12404902 ")</f>
        <v xml:space="preserve">http://slimages.macys.com/is/image/MCY/12404902 </v>
      </c>
    </row>
    <row r="581" spans="1:12" ht="36.75" x14ac:dyDescent="0.25">
      <c r="A581" s="4" t="s">
        <v>5908</v>
      </c>
      <c r="B581" s="2" t="s">
        <v>1409</v>
      </c>
      <c r="C581" s="3">
        <v>1</v>
      </c>
      <c r="D581" s="5">
        <v>36.5</v>
      </c>
      <c r="E581" s="3" t="s">
        <v>1410</v>
      </c>
      <c r="F581" s="2" t="s">
        <v>170</v>
      </c>
      <c r="G581" s="6" t="s">
        <v>200</v>
      </c>
      <c r="H581" s="2" t="s">
        <v>194</v>
      </c>
      <c r="I581" s="2" t="s">
        <v>195</v>
      </c>
      <c r="J581" s="2" t="s">
        <v>19</v>
      </c>
      <c r="K581" s="2" t="s">
        <v>1411</v>
      </c>
      <c r="L581" s="7" t="str">
        <f>HYPERLINK("http://slimages.macys.com/is/image/MCY/11702017 ")</f>
        <v xml:space="preserve">http://slimages.macys.com/is/image/MCY/11702017 </v>
      </c>
    </row>
    <row r="582" spans="1:12" ht="24.75" x14ac:dyDescent="0.25">
      <c r="A582" s="4" t="s">
        <v>5909</v>
      </c>
      <c r="B582" s="2" t="s">
        <v>3913</v>
      </c>
      <c r="C582" s="3">
        <v>1</v>
      </c>
      <c r="D582" s="5">
        <v>29.63</v>
      </c>
      <c r="E582" s="3" t="s">
        <v>3914</v>
      </c>
      <c r="F582" s="2" t="s">
        <v>125</v>
      </c>
      <c r="G582" s="6" t="s">
        <v>234</v>
      </c>
      <c r="H582" s="2" t="s">
        <v>194</v>
      </c>
      <c r="I582" s="2" t="s">
        <v>195</v>
      </c>
      <c r="J582" s="2" t="s">
        <v>19</v>
      </c>
      <c r="K582" s="2" t="s">
        <v>201</v>
      </c>
      <c r="L582" s="7" t="str">
        <f>HYPERLINK("http://slimages.macys.com/is/image/MCY/12404902 ")</f>
        <v xml:space="preserve">http://slimages.macys.com/is/image/MCY/12404902 </v>
      </c>
    </row>
    <row r="583" spans="1:12" ht="24.75" x14ac:dyDescent="0.25">
      <c r="A583" s="4" t="s">
        <v>5910</v>
      </c>
      <c r="B583" s="2" t="s">
        <v>5911</v>
      </c>
      <c r="C583" s="3">
        <v>1</v>
      </c>
      <c r="D583" s="5">
        <v>49.5</v>
      </c>
      <c r="E583" s="3" t="s">
        <v>5912</v>
      </c>
      <c r="F583" s="2" t="s">
        <v>680</v>
      </c>
      <c r="G583" s="6" t="s">
        <v>165</v>
      </c>
      <c r="H583" s="2" t="s">
        <v>206</v>
      </c>
      <c r="I583" s="2" t="s">
        <v>1010</v>
      </c>
      <c r="J583" s="2" t="s">
        <v>19</v>
      </c>
      <c r="K583" s="2" t="s">
        <v>409</v>
      </c>
      <c r="L583" s="7" t="str">
        <f>HYPERLINK("http://slimages.macys.com/is/image/MCY/16635004 ")</f>
        <v xml:space="preserve">http://slimages.macys.com/is/image/MCY/16635004 </v>
      </c>
    </row>
    <row r="584" spans="1:12" ht="24.75" x14ac:dyDescent="0.25">
      <c r="A584" s="4" t="s">
        <v>2732</v>
      </c>
      <c r="B584" s="2" t="s">
        <v>1444</v>
      </c>
      <c r="C584" s="3">
        <v>1</v>
      </c>
      <c r="D584" s="5">
        <v>34.880000000000003</v>
      </c>
      <c r="E584" s="3">
        <v>100042376</v>
      </c>
      <c r="F584" s="2" t="s">
        <v>64</v>
      </c>
      <c r="G584" s="6" t="s">
        <v>106</v>
      </c>
      <c r="H584" s="2" t="s">
        <v>194</v>
      </c>
      <c r="I584" s="2" t="s">
        <v>195</v>
      </c>
      <c r="J584" s="2" t="s">
        <v>19</v>
      </c>
      <c r="K584" s="2" t="s">
        <v>353</v>
      </c>
      <c r="L584" s="7" t="str">
        <f>HYPERLINK("http://slimages.macys.com/is/image/MCY/11764758 ")</f>
        <v xml:space="preserve">http://slimages.macys.com/is/image/MCY/11764758 </v>
      </c>
    </row>
    <row r="585" spans="1:12" ht="24.75" x14ac:dyDescent="0.25">
      <c r="A585" s="4" t="s">
        <v>5913</v>
      </c>
      <c r="B585" s="2" t="s">
        <v>1444</v>
      </c>
      <c r="C585" s="3">
        <v>1</v>
      </c>
      <c r="D585" s="5">
        <v>34.880000000000003</v>
      </c>
      <c r="E585" s="3">
        <v>100042376</v>
      </c>
      <c r="F585" s="2" t="s">
        <v>136</v>
      </c>
      <c r="G585" s="6" t="s">
        <v>27</v>
      </c>
      <c r="H585" s="2" t="s">
        <v>194</v>
      </c>
      <c r="I585" s="2" t="s">
        <v>195</v>
      </c>
      <c r="J585" s="2" t="s">
        <v>19</v>
      </c>
      <c r="K585" s="2" t="s">
        <v>353</v>
      </c>
      <c r="L585" s="7" t="str">
        <f>HYPERLINK("http://slimages.macys.com/is/image/MCY/11764758 ")</f>
        <v xml:space="preserve">http://slimages.macys.com/is/image/MCY/11764758 </v>
      </c>
    </row>
    <row r="586" spans="1:12" ht="24.75" x14ac:dyDescent="0.25">
      <c r="A586" s="4" t="s">
        <v>2731</v>
      </c>
      <c r="B586" s="2" t="s">
        <v>1444</v>
      </c>
      <c r="C586" s="3">
        <v>1</v>
      </c>
      <c r="D586" s="5">
        <v>34.880000000000003</v>
      </c>
      <c r="E586" s="3">
        <v>100042376</v>
      </c>
      <c r="F586" s="2" t="s">
        <v>136</v>
      </c>
      <c r="G586" s="6" t="s">
        <v>16</v>
      </c>
      <c r="H586" s="2" t="s">
        <v>194</v>
      </c>
      <c r="I586" s="2" t="s">
        <v>195</v>
      </c>
      <c r="J586" s="2" t="s">
        <v>19</v>
      </c>
      <c r="K586" s="2" t="s">
        <v>353</v>
      </c>
      <c r="L586" s="7" t="str">
        <f>HYPERLINK("http://slimages.macys.com/is/image/MCY/11764758 ")</f>
        <v xml:space="preserve">http://slimages.macys.com/is/image/MCY/11764758 </v>
      </c>
    </row>
    <row r="587" spans="1:12" ht="24.75" x14ac:dyDescent="0.25">
      <c r="A587" s="4" t="s">
        <v>2737</v>
      </c>
      <c r="B587" s="2" t="s">
        <v>2734</v>
      </c>
      <c r="C587" s="3">
        <v>1</v>
      </c>
      <c r="D587" s="5">
        <v>29.63</v>
      </c>
      <c r="E587" s="3" t="s">
        <v>2735</v>
      </c>
      <c r="F587" s="2" t="s">
        <v>252</v>
      </c>
      <c r="G587" s="6" t="s">
        <v>156</v>
      </c>
      <c r="H587" s="2" t="s">
        <v>194</v>
      </c>
      <c r="I587" s="2" t="s">
        <v>195</v>
      </c>
      <c r="J587" s="2" t="s">
        <v>19</v>
      </c>
      <c r="K587" s="2" t="s">
        <v>137</v>
      </c>
      <c r="L587" s="7" t="str">
        <f>HYPERLINK("http://slimages.macys.com/is/image/MCY/12279918 ")</f>
        <v xml:space="preserve">http://slimages.macys.com/is/image/MCY/12279918 </v>
      </c>
    </row>
    <row r="588" spans="1:12" ht="24.75" x14ac:dyDescent="0.25">
      <c r="A588" s="4" t="s">
        <v>5914</v>
      </c>
      <c r="B588" s="2" t="s">
        <v>2734</v>
      </c>
      <c r="C588" s="3">
        <v>1</v>
      </c>
      <c r="D588" s="5">
        <v>29.63</v>
      </c>
      <c r="E588" s="3" t="s">
        <v>2735</v>
      </c>
      <c r="F588" s="2" t="s">
        <v>125</v>
      </c>
      <c r="G588" s="6" t="s">
        <v>156</v>
      </c>
      <c r="H588" s="2" t="s">
        <v>194</v>
      </c>
      <c r="I588" s="2" t="s">
        <v>195</v>
      </c>
      <c r="J588" s="2" t="s">
        <v>19</v>
      </c>
      <c r="K588" s="2" t="s">
        <v>137</v>
      </c>
      <c r="L588" s="7" t="str">
        <f>HYPERLINK("http://slimages.macys.com/is/image/MCY/12279918 ")</f>
        <v xml:space="preserve">http://slimages.macys.com/is/image/MCY/12279918 </v>
      </c>
    </row>
    <row r="589" spans="1:12" ht="24.75" x14ac:dyDescent="0.25">
      <c r="A589" s="4" t="s">
        <v>5915</v>
      </c>
      <c r="B589" s="2" t="s">
        <v>5916</v>
      </c>
      <c r="C589" s="3">
        <v>1</v>
      </c>
      <c r="D589" s="5">
        <v>27.99</v>
      </c>
      <c r="E589" s="3" t="s">
        <v>5917</v>
      </c>
      <c r="F589" s="2" t="s">
        <v>111</v>
      </c>
      <c r="G589" s="6" t="s">
        <v>2276</v>
      </c>
      <c r="H589" s="2" t="s">
        <v>349</v>
      </c>
      <c r="I589" s="2" t="s">
        <v>285</v>
      </c>
      <c r="J589" s="2" t="s">
        <v>19</v>
      </c>
      <c r="K589" s="2" t="s">
        <v>3828</v>
      </c>
      <c r="L589" s="7" t="str">
        <f>HYPERLINK("http://slimages.macys.com/is/image/MCY/12659245 ")</f>
        <v xml:space="preserve">http://slimages.macys.com/is/image/MCY/12659245 </v>
      </c>
    </row>
    <row r="590" spans="1:12" ht="24.75" x14ac:dyDescent="0.25">
      <c r="A590" s="4" t="s">
        <v>5918</v>
      </c>
      <c r="B590" s="2" t="s">
        <v>1575</v>
      </c>
      <c r="C590" s="3">
        <v>1</v>
      </c>
      <c r="D590" s="5">
        <v>33.380000000000003</v>
      </c>
      <c r="E590" s="3" t="s">
        <v>5919</v>
      </c>
      <c r="F590" s="2" t="s">
        <v>64</v>
      </c>
      <c r="G590" s="6"/>
      <c r="H590" s="2" t="s">
        <v>312</v>
      </c>
      <c r="I590" s="2" t="s">
        <v>195</v>
      </c>
      <c r="J590" s="2" t="s">
        <v>19</v>
      </c>
      <c r="K590" s="2" t="s">
        <v>107</v>
      </c>
      <c r="L590" s="7" t="str">
        <f>HYPERLINK("http://slimages.macys.com/is/image/MCY/12950146 ")</f>
        <v xml:space="preserve">http://slimages.macys.com/is/image/MCY/12950146 </v>
      </c>
    </row>
    <row r="591" spans="1:12" ht="24.75" x14ac:dyDescent="0.25">
      <c r="A591" s="4" t="s">
        <v>5920</v>
      </c>
      <c r="B591" s="2" t="s">
        <v>1444</v>
      </c>
      <c r="C591" s="3">
        <v>1</v>
      </c>
      <c r="D591" s="5">
        <v>34.880000000000003</v>
      </c>
      <c r="E591" s="3">
        <v>100042376</v>
      </c>
      <c r="F591" s="2" t="s">
        <v>506</v>
      </c>
      <c r="G591" s="6" t="s">
        <v>16</v>
      </c>
      <c r="H591" s="2" t="s">
        <v>194</v>
      </c>
      <c r="I591" s="2" t="s">
        <v>195</v>
      </c>
      <c r="J591" s="2" t="s">
        <v>19</v>
      </c>
      <c r="K591" s="2" t="s">
        <v>353</v>
      </c>
      <c r="L591" s="7" t="str">
        <f t="shared" ref="L591:L600" si="7">HYPERLINK("http://slimages.macys.com/is/image/MCY/11764758 ")</f>
        <v xml:space="preserve">http://slimages.macys.com/is/image/MCY/11764758 </v>
      </c>
    </row>
    <row r="592" spans="1:12" ht="24.75" x14ac:dyDescent="0.25">
      <c r="A592" s="4" t="s">
        <v>2741</v>
      </c>
      <c r="B592" s="2" t="s">
        <v>1444</v>
      </c>
      <c r="C592" s="3">
        <v>2</v>
      </c>
      <c r="D592" s="5">
        <v>34.880000000000003</v>
      </c>
      <c r="E592" s="3">
        <v>100042376</v>
      </c>
      <c r="F592" s="2" t="s">
        <v>94</v>
      </c>
      <c r="G592" s="6" t="s">
        <v>27</v>
      </c>
      <c r="H592" s="2" t="s">
        <v>194</v>
      </c>
      <c r="I592" s="2" t="s">
        <v>195</v>
      </c>
      <c r="J592" s="2" t="s">
        <v>19</v>
      </c>
      <c r="K592" s="2" t="s">
        <v>353</v>
      </c>
      <c r="L592" s="7" t="str">
        <f t="shared" si="7"/>
        <v xml:space="preserve">http://slimages.macys.com/is/image/MCY/11764758 </v>
      </c>
    </row>
    <row r="593" spans="1:12" ht="24.75" x14ac:dyDescent="0.25">
      <c r="A593" s="4" t="s">
        <v>5921</v>
      </c>
      <c r="B593" s="2" t="s">
        <v>1444</v>
      </c>
      <c r="C593" s="3">
        <v>1</v>
      </c>
      <c r="D593" s="5">
        <v>34.880000000000003</v>
      </c>
      <c r="E593" s="3">
        <v>100042376</v>
      </c>
      <c r="F593" s="2" t="s">
        <v>94</v>
      </c>
      <c r="G593" s="6" t="s">
        <v>58</v>
      </c>
      <c r="H593" s="2" t="s">
        <v>194</v>
      </c>
      <c r="I593" s="2" t="s">
        <v>195</v>
      </c>
      <c r="J593" s="2" t="s">
        <v>19</v>
      </c>
      <c r="K593" s="2" t="s">
        <v>353</v>
      </c>
      <c r="L593" s="7" t="str">
        <f t="shared" si="7"/>
        <v xml:space="preserve">http://slimages.macys.com/is/image/MCY/11764758 </v>
      </c>
    </row>
    <row r="594" spans="1:12" ht="24.75" x14ac:dyDescent="0.25">
      <c r="A594" s="4" t="s">
        <v>5922</v>
      </c>
      <c r="B594" s="2" t="s">
        <v>1444</v>
      </c>
      <c r="C594" s="3">
        <v>1</v>
      </c>
      <c r="D594" s="5">
        <v>34.880000000000003</v>
      </c>
      <c r="E594" s="3">
        <v>100042376</v>
      </c>
      <c r="F594" s="2" t="s">
        <v>94</v>
      </c>
      <c r="G594" s="6" t="s">
        <v>112</v>
      </c>
      <c r="H594" s="2" t="s">
        <v>194</v>
      </c>
      <c r="I594" s="2" t="s">
        <v>195</v>
      </c>
      <c r="J594" s="2" t="s">
        <v>19</v>
      </c>
      <c r="K594" s="2" t="s">
        <v>353</v>
      </c>
      <c r="L594" s="7" t="str">
        <f t="shared" si="7"/>
        <v xml:space="preserve">http://slimages.macys.com/is/image/MCY/11764758 </v>
      </c>
    </row>
    <row r="595" spans="1:12" ht="24.75" x14ac:dyDescent="0.25">
      <c r="A595" s="4" t="s">
        <v>2739</v>
      </c>
      <c r="B595" s="2" t="s">
        <v>1444</v>
      </c>
      <c r="C595" s="3">
        <v>1</v>
      </c>
      <c r="D595" s="5">
        <v>34.880000000000003</v>
      </c>
      <c r="E595" s="3">
        <v>100042376</v>
      </c>
      <c r="F595" s="2" t="s">
        <v>566</v>
      </c>
      <c r="G595" s="6" t="s">
        <v>22</v>
      </c>
      <c r="H595" s="2" t="s">
        <v>194</v>
      </c>
      <c r="I595" s="2" t="s">
        <v>195</v>
      </c>
      <c r="J595" s="2" t="s">
        <v>19</v>
      </c>
      <c r="K595" s="2" t="s">
        <v>353</v>
      </c>
      <c r="L595" s="7" t="str">
        <f t="shared" si="7"/>
        <v xml:space="preserve">http://slimages.macys.com/is/image/MCY/11764758 </v>
      </c>
    </row>
    <row r="596" spans="1:12" ht="24.75" x14ac:dyDescent="0.25">
      <c r="A596" s="4" t="s">
        <v>5923</v>
      </c>
      <c r="B596" s="2" t="s">
        <v>1444</v>
      </c>
      <c r="C596" s="3">
        <v>2</v>
      </c>
      <c r="D596" s="5">
        <v>34.880000000000003</v>
      </c>
      <c r="E596" s="3">
        <v>100042376</v>
      </c>
      <c r="F596" s="2" t="s">
        <v>506</v>
      </c>
      <c r="G596" s="6" t="s">
        <v>22</v>
      </c>
      <c r="H596" s="2" t="s">
        <v>194</v>
      </c>
      <c r="I596" s="2" t="s">
        <v>195</v>
      </c>
      <c r="J596" s="2" t="s">
        <v>19</v>
      </c>
      <c r="K596" s="2" t="s">
        <v>353</v>
      </c>
      <c r="L596" s="7" t="str">
        <f t="shared" si="7"/>
        <v xml:space="preserve">http://slimages.macys.com/is/image/MCY/11764758 </v>
      </c>
    </row>
    <row r="597" spans="1:12" ht="24.75" x14ac:dyDescent="0.25">
      <c r="A597" s="4" t="s">
        <v>5924</v>
      </c>
      <c r="B597" s="2" t="s">
        <v>1444</v>
      </c>
      <c r="C597" s="3">
        <v>1</v>
      </c>
      <c r="D597" s="5">
        <v>34.880000000000003</v>
      </c>
      <c r="E597" s="3">
        <v>100042376</v>
      </c>
      <c r="F597" s="2" t="s">
        <v>94</v>
      </c>
      <c r="G597" s="6" t="s">
        <v>65</v>
      </c>
      <c r="H597" s="2" t="s">
        <v>194</v>
      </c>
      <c r="I597" s="2" t="s">
        <v>195</v>
      </c>
      <c r="J597" s="2" t="s">
        <v>19</v>
      </c>
      <c r="K597" s="2" t="s">
        <v>353</v>
      </c>
      <c r="L597" s="7" t="str">
        <f t="shared" si="7"/>
        <v xml:space="preserve">http://slimages.macys.com/is/image/MCY/11764758 </v>
      </c>
    </row>
    <row r="598" spans="1:12" ht="24.75" x14ac:dyDescent="0.25">
      <c r="A598" s="4" t="s">
        <v>5925</v>
      </c>
      <c r="B598" s="2" t="s">
        <v>1444</v>
      </c>
      <c r="C598" s="3">
        <v>1</v>
      </c>
      <c r="D598" s="5">
        <v>34.880000000000003</v>
      </c>
      <c r="E598" s="3">
        <v>100042376</v>
      </c>
      <c r="F598" s="2" t="s">
        <v>94</v>
      </c>
      <c r="G598" s="6" t="s">
        <v>106</v>
      </c>
      <c r="H598" s="2" t="s">
        <v>194</v>
      </c>
      <c r="I598" s="2" t="s">
        <v>195</v>
      </c>
      <c r="J598" s="2" t="s">
        <v>19</v>
      </c>
      <c r="K598" s="2" t="s">
        <v>353</v>
      </c>
      <c r="L598" s="7" t="str">
        <f t="shared" si="7"/>
        <v xml:space="preserve">http://slimages.macys.com/is/image/MCY/11764758 </v>
      </c>
    </row>
    <row r="599" spans="1:12" ht="24.75" x14ac:dyDescent="0.25">
      <c r="A599" s="4" t="s">
        <v>5926</v>
      </c>
      <c r="B599" s="2" t="s">
        <v>1444</v>
      </c>
      <c r="C599" s="3">
        <v>1</v>
      </c>
      <c r="D599" s="5">
        <v>34.880000000000003</v>
      </c>
      <c r="E599" s="3">
        <v>100042376</v>
      </c>
      <c r="F599" s="2" t="s">
        <v>94</v>
      </c>
      <c r="G599" s="6" t="s">
        <v>141</v>
      </c>
      <c r="H599" s="2" t="s">
        <v>194</v>
      </c>
      <c r="I599" s="2" t="s">
        <v>195</v>
      </c>
      <c r="J599" s="2" t="s">
        <v>19</v>
      </c>
      <c r="K599" s="2" t="s">
        <v>353</v>
      </c>
      <c r="L599" s="7" t="str">
        <f t="shared" si="7"/>
        <v xml:space="preserve">http://slimages.macys.com/is/image/MCY/11764758 </v>
      </c>
    </row>
    <row r="600" spans="1:12" ht="24.75" x14ac:dyDescent="0.25">
      <c r="A600" s="4" t="s">
        <v>5927</v>
      </c>
      <c r="B600" s="2" t="s">
        <v>1444</v>
      </c>
      <c r="C600" s="3">
        <v>2</v>
      </c>
      <c r="D600" s="5">
        <v>34.880000000000003</v>
      </c>
      <c r="E600" s="3">
        <v>100042376</v>
      </c>
      <c r="F600" s="2" t="s">
        <v>94</v>
      </c>
      <c r="G600" s="6" t="s">
        <v>22</v>
      </c>
      <c r="H600" s="2" t="s">
        <v>194</v>
      </c>
      <c r="I600" s="2" t="s">
        <v>195</v>
      </c>
      <c r="J600" s="2" t="s">
        <v>19</v>
      </c>
      <c r="K600" s="2" t="s">
        <v>353</v>
      </c>
      <c r="L600" s="7" t="str">
        <f t="shared" si="7"/>
        <v xml:space="preserve">http://slimages.macys.com/is/image/MCY/11764758 </v>
      </c>
    </row>
    <row r="601" spans="1:12" ht="24.75" x14ac:dyDescent="0.25">
      <c r="A601" s="4" t="s">
        <v>1452</v>
      </c>
      <c r="B601" s="2" t="s">
        <v>1416</v>
      </c>
      <c r="C601" s="3">
        <v>1</v>
      </c>
      <c r="D601" s="5">
        <v>21.99</v>
      </c>
      <c r="E601" s="3" t="s">
        <v>1451</v>
      </c>
      <c r="F601" s="2" t="s">
        <v>79</v>
      </c>
      <c r="G601" s="6" t="s">
        <v>58</v>
      </c>
      <c r="H601" s="2" t="s">
        <v>194</v>
      </c>
      <c r="I601" s="2" t="s">
        <v>195</v>
      </c>
      <c r="J601" s="2" t="s">
        <v>19</v>
      </c>
      <c r="K601" s="2" t="s">
        <v>353</v>
      </c>
      <c r="L601" s="7" t="str">
        <f>HYPERLINK("http://slimages.macys.com/is/image/MCY/12033149 ")</f>
        <v xml:space="preserve">http://slimages.macys.com/is/image/MCY/12033149 </v>
      </c>
    </row>
    <row r="602" spans="1:12" ht="24.75" x14ac:dyDescent="0.25">
      <c r="A602" s="4" t="s">
        <v>5928</v>
      </c>
      <c r="B602" s="2" t="s">
        <v>5929</v>
      </c>
      <c r="C602" s="3">
        <v>1</v>
      </c>
      <c r="D602" s="5">
        <v>24.99</v>
      </c>
      <c r="E602" s="3" t="s">
        <v>5930</v>
      </c>
      <c r="F602" s="2" t="s">
        <v>74</v>
      </c>
      <c r="G602" s="6" t="s">
        <v>245</v>
      </c>
      <c r="H602" s="2" t="s">
        <v>1522</v>
      </c>
      <c r="I602" s="2" t="s">
        <v>1469</v>
      </c>
      <c r="J602" s="2" t="s">
        <v>19</v>
      </c>
      <c r="K602" s="2" t="s">
        <v>353</v>
      </c>
      <c r="L602" s="7" t="str">
        <f>HYPERLINK("http://slimages.macys.com/is/image/MCY/9127935 ")</f>
        <v xml:space="preserve">http://slimages.macys.com/is/image/MCY/9127935 </v>
      </c>
    </row>
    <row r="603" spans="1:12" ht="24.75" x14ac:dyDescent="0.25">
      <c r="A603" s="4" t="s">
        <v>5931</v>
      </c>
      <c r="B603" s="2" t="s">
        <v>5932</v>
      </c>
      <c r="C603" s="3">
        <v>1</v>
      </c>
      <c r="D603" s="5">
        <v>24.99</v>
      </c>
      <c r="E603" s="3" t="s">
        <v>5933</v>
      </c>
      <c r="F603" s="2" t="s">
        <v>15</v>
      </c>
      <c r="G603" s="6" t="s">
        <v>234</v>
      </c>
      <c r="H603" s="2" t="s">
        <v>1473</v>
      </c>
      <c r="I603" s="2" t="s">
        <v>1426</v>
      </c>
      <c r="J603" s="2" t="s">
        <v>19</v>
      </c>
      <c r="K603" s="2" t="s">
        <v>409</v>
      </c>
      <c r="L603" s="7" t="str">
        <f>HYPERLINK("http://slimages.macys.com/is/image/MCY/11515235 ")</f>
        <v xml:space="preserve">http://slimages.macys.com/is/image/MCY/11515235 </v>
      </c>
    </row>
    <row r="604" spans="1:12" ht="24.75" x14ac:dyDescent="0.25">
      <c r="A604" s="4" t="s">
        <v>5934</v>
      </c>
      <c r="B604" s="2" t="s">
        <v>5935</v>
      </c>
      <c r="C604" s="3">
        <v>1</v>
      </c>
      <c r="D604" s="5">
        <v>29.63</v>
      </c>
      <c r="E604" s="3" t="s">
        <v>5936</v>
      </c>
      <c r="F604" s="2" t="s">
        <v>1584</v>
      </c>
      <c r="G604" s="6" t="s">
        <v>154</v>
      </c>
      <c r="H604" s="2" t="s">
        <v>284</v>
      </c>
      <c r="I604" s="2" t="s">
        <v>285</v>
      </c>
      <c r="J604" s="2" t="s">
        <v>19</v>
      </c>
      <c r="K604" s="2" t="s">
        <v>247</v>
      </c>
      <c r="L604" s="7" t="str">
        <f>HYPERLINK("http://slimages.macys.com/is/image/MCY/12076409 ")</f>
        <v xml:space="preserve">http://slimages.macys.com/is/image/MCY/12076409 </v>
      </c>
    </row>
    <row r="605" spans="1:12" ht="24.75" x14ac:dyDescent="0.25">
      <c r="A605" s="4" t="s">
        <v>5937</v>
      </c>
      <c r="B605" s="2" t="s">
        <v>1405</v>
      </c>
      <c r="C605" s="3">
        <v>2</v>
      </c>
      <c r="D605" s="5">
        <v>34.880000000000003</v>
      </c>
      <c r="E605" s="3" t="s">
        <v>5938</v>
      </c>
      <c r="F605" s="2" t="s">
        <v>64</v>
      </c>
      <c r="G605" s="6" t="s">
        <v>363</v>
      </c>
      <c r="H605" s="2" t="s">
        <v>312</v>
      </c>
      <c r="I605" s="2" t="s">
        <v>195</v>
      </c>
      <c r="J605" s="2" t="s">
        <v>19</v>
      </c>
      <c r="K605" s="2" t="s">
        <v>353</v>
      </c>
      <c r="L605" s="7" t="str">
        <f>HYPERLINK("http://slimages.macys.com/is/image/MCY/11465628 ")</f>
        <v xml:space="preserve">http://slimages.macys.com/is/image/MCY/11465628 </v>
      </c>
    </row>
    <row r="606" spans="1:12" ht="24.75" x14ac:dyDescent="0.25">
      <c r="A606" s="4" t="s">
        <v>2744</v>
      </c>
      <c r="B606" s="2" t="s">
        <v>1462</v>
      </c>
      <c r="C606" s="3">
        <v>2</v>
      </c>
      <c r="D606" s="5">
        <v>37.130000000000003</v>
      </c>
      <c r="E606" s="3" t="s">
        <v>1463</v>
      </c>
      <c r="F606" s="2" t="s">
        <v>15</v>
      </c>
      <c r="G606" s="6" t="s">
        <v>154</v>
      </c>
      <c r="H606" s="2" t="s">
        <v>194</v>
      </c>
      <c r="I606" s="2" t="s">
        <v>1112</v>
      </c>
      <c r="J606" s="2" t="s">
        <v>19</v>
      </c>
      <c r="K606" s="2" t="s">
        <v>409</v>
      </c>
      <c r="L606" s="7" t="str">
        <f>HYPERLINK("http://slimages.macys.com/is/image/MCY/8106050 ")</f>
        <v xml:space="preserve">http://slimages.macys.com/is/image/MCY/8106050 </v>
      </c>
    </row>
    <row r="607" spans="1:12" ht="24.75" x14ac:dyDescent="0.25">
      <c r="A607" s="4" t="s">
        <v>1464</v>
      </c>
      <c r="B607" s="2" t="s">
        <v>1465</v>
      </c>
      <c r="C607" s="3">
        <v>1</v>
      </c>
      <c r="D607" s="5">
        <v>34.880000000000003</v>
      </c>
      <c r="E607" s="3">
        <v>100054394</v>
      </c>
      <c r="F607" s="2" t="s">
        <v>74</v>
      </c>
      <c r="G607" s="6" t="s">
        <v>22</v>
      </c>
      <c r="H607" s="2" t="s">
        <v>194</v>
      </c>
      <c r="I607" s="2" t="s">
        <v>195</v>
      </c>
      <c r="J607" s="2" t="s">
        <v>19</v>
      </c>
      <c r="K607" s="2" t="s">
        <v>353</v>
      </c>
      <c r="L607" s="7" t="str">
        <f>HYPERLINK("http://slimages.macys.com/is/image/MCY/12404668 ")</f>
        <v xml:space="preserve">http://slimages.macys.com/is/image/MCY/12404668 </v>
      </c>
    </row>
    <row r="608" spans="1:12" ht="24.75" x14ac:dyDescent="0.25">
      <c r="A608" s="4" t="s">
        <v>5939</v>
      </c>
      <c r="B608" s="2" t="s">
        <v>1465</v>
      </c>
      <c r="C608" s="3">
        <v>1</v>
      </c>
      <c r="D608" s="5">
        <v>34.880000000000003</v>
      </c>
      <c r="E608" s="3">
        <v>100054394</v>
      </c>
      <c r="F608" s="2" t="s">
        <v>1234</v>
      </c>
      <c r="G608" s="6" t="s">
        <v>65</v>
      </c>
      <c r="H608" s="2" t="s">
        <v>194</v>
      </c>
      <c r="I608" s="2" t="s">
        <v>195</v>
      </c>
      <c r="J608" s="2" t="s">
        <v>19</v>
      </c>
      <c r="K608" s="2" t="s">
        <v>353</v>
      </c>
      <c r="L608" s="7" t="str">
        <f>HYPERLINK("http://slimages.macys.com/is/image/MCY/12404668 ")</f>
        <v xml:space="preserve">http://slimages.macys.com/is/image/MCY/12404668 </v>
      </c>
    </row>
    <row r="609" spans="1:12" ht="24.75" x14ac:dyDescent="0.25">
      <c r="A609" s="4" t="s">
        <v>5940</v>
      </c>
      <c r="B609" s="2" t="s">
        <v>1465</v>
      </c>
      <c r="C609" s="3">
        <v>1</v>
      </c>
      <c r="D609" s="5">
        <v>34.880000000000003</v>
      </c>
      <c r="E609" s="3">
        <v>100054394</v>
      </c>
      <c r="F609" s="2" t="s">
        <v>376</v>
      </c>
      <c r="G609" s="6" t="s">
        <v>141</v>
      </c>
      <c r="H609" s="2" t="s">
        <v>194</v>
      </c>
      <c r="I609" s="2" t="s">
        <v>195</v>
      </c>
      <c r="J609" s="2" t="s">
        <v>19</v>
      </c>
      <c r="K609" s="2" t="s">
        <v>353</v>
      </c>
      <c r="L609" s="7" t="str">
        <f>HYPERLINK("http://slimages.macys.com/is/image/MCY/12404668 ")</f>
        <v xml:space="preserve">http://slimages.macys.com/is/image/MCY/12404668 </v>
      </c>
    </row>
    <row r="610" spans="1:12" ht="24.75" x14ac:dyDescent="0.25">
      <c r="A610" s="4" t="s">
        <v>5941</v>
      </c>
      <c r="B610" s="2" t="s">
        <v>1471</v>
      </c>
      <c r="C610" s="3">
        <v>1</v>
      </c>
      <c r="D610" s="5">
        <v>26.99</v>
      </c>
      <c r="E610" s="3" t="s">
        <v>1472</v>
      </c>
      <c r="F610" s="2" t="s">
        <v>15</v>
      </c>
      <c r="G610" s="6" t="s">
        <v>22</v>
      </c>
      <c r="H610" s="2" t="s">
        <v>1473</v>
      </c>
      <c r="I610" s="2" t="s">
        <v>1426</v>
      </c>
      <c r="J610" s="2" t="s">
        <v>19</v>
      </c>
      <c r="K610" s="2" t="s">
        <v>353</v>
      </c>
      <c r="L610" s="7" t="str">
        <f>HYPERLINK("http://slimages.macys.com/is/image/MCY/11989623 ")</f>
        <v xml:space="preserve">http://slimages.macys.com/is/image/MCY/11989623 </v>
      </c>
    </row>
    <row r="611" spans="1:12" ht="24.75" x14ac:dyDescent="0.25">
      <c r="A611" s="4" t="s">
        <v>5942</v>
      </c>
      <c r="B611" s="2" t="s">
        <v>2759</v>
      </c>
      <c r="C611" s="3">
        <v>1</v>
      </c>
      <c r="D611" s="5">
        <v>24.99</v>
      </c>
      <c r="E611" s="3" t="s">
        <v>2760</v>
      </c>
      <c r="F611" s="2" t="s">
        <v>15</v>
      </c>
      <c r="G611" s="6" t="s">
        <v>219</v>
      </c>
      <c r="H611" s="2" t="s">
        <v>1425</v>
      </c>
      <c r="I611" s="2" t="s">
        <v>1469</v>
      </c>
      <c r="J611" s="2" t="s">
        <v>19</v>
      </c>
      <c r="K611" s="2" t="s">
        <v>495</v>
      </c>
      <c r="L611" s="7" t="str">
        <f>HYPERLINK("http://slimages.macys.com/is/image/MCY/12650081 ")</f>
        <v xml:space="preserve">http://slimages.macys.com/is/image/MCY/12650081 </v>
      </c>
    </row>
    <row r="612" spans="1:12" ht="24.75" x14ac:dyDescent="0.25">
      <c r="A612" s="4" t="s">
        <v>5943</v>
      </c>
      <c r="B612" s="2" t="s">
        <v>1471</v>
      </c>
      <c r="C612" s="3">
        <v>1</v>
      </c>
      <c r="D612" s="5">
        <v>26.99</v>
      </c>
      <c r="E612" s="3" t="s">
        <v>1472</v>
      </c>
      <c r="F612" s="2" t="s">
        <v>15</v>
      </c>
      <c r="G612" s="6" t="s">
        <v>112</v>
      </c>
      <c r="H612" s="2" t="s">
        <v>1473</v>
      </c>
      <c r="I612" s="2" t="s">
        <v>1426</v>
      </c>
      <c r="J612" s="2" t="s">
        <v>19</v>
      </c>
      <c r="K612" s="2" t="s">
        <v>353</v>
      </c>
      <c r="L612" s="7" t="str">
        <f>HYPERLINK("http://slimages.macys.com/is/image/MCY/11989623 ")</f>
        <v xml:space="preserve">http://slimages.macys.com/is/image/MCY/11989623 </v>
      </c>
    </row>
    <row r="613" spans="1:12" ht="24.75" x14ac:dyDescent="0.25">
      <c r="A613" s="4" t="s">
        <v>5944</v>
      </c>
      <c r="B613" s="2" t="s">
        <v>5945</v>
      </c>
      <c r="C613" s="3">
        <v>1</v>
      </c>
      <c r="D613" s="5">
        <v>24.99</v>
      </c>
      <c r="E613" s="3" t="s">
        <v>5946</v>
      </c>
      <c r="F613" s="2" t="s">
        <v>15</v>
      </c>
      <c r="G613" s="6" t="s">
        <v>112</v>
      </c>
      <c r="H613" s="2" t="s">
        <v>1473</v>
      </c>
      <c r="I613" s="2" t="s">
        <v>1426</v>
      </c>
      <c r="J613" s="2" t="s">
        <v>19</v>
      </c>
      <c r="K613" s="2" t="s">
        <v>839</v>
      </c>
      <c r="L613" s="7" t="str">
        <f>HYPERLINK("http://slimages.macys.com/is/image/MCY/11027859 ")</f>
        <v xml:space="preserve">http://slimages.macys.com/is/image/MCY/11027859 </v>
      </c>
    </row>
    <row r="614" spans="1:12" ht="24.75" x14ac:dyDescent="0.25">
      <c r="A614" s="4" t="s">
        <v>5947</v>
      </c>
      <c r="B614" s="2" t="s">
        <v>5948</v>
      </c>
      <c r="C614" s="3">
        <v>1</v>
      </c>
      <c r="D614" s="5">
        <v>24.99</v>
      </c>
      <c r="E614" s="3" t="s">
        <v>5949</v>
      </c>
      <c r="F614" s="2" t="s">
        <v>74</v>
      </c>
      <c r="G614" s="6" t="s">
        <v>22</v>
      </c>
      <c r="H614" s="2" t="s">
        <v>1473</v>
      </c>
      <c r="I614" s="2" t="s">
        <v>1426</v>
      </c>
      <c r="J614" s="2" t="s">
        <v>19</v>
      </c>
      <c r="K614" s="2" t="s">
        <v>353</v>
      </c>
      <c r="L614" s="7" t="str">
        <f>HYPERLINK("http://slimages.macys.com/is/image/MCY/11134801 ")</f>
        <v xml:space="preserve">http://slimages.macys.com/is/image/MCY/11134801 </v>
      </c>
    </row>
    <row r="615" spans="1:12" ht="24.75" x14ac:dyDescent="0.25">
      <c r="A615" s="4" t="s">
        <v>5950</v>
      </c>
      <c r="B615" s="2" t="s">
        <v>5951</v>
      </c>
      <c r="C615" s="3">
        <v>1</v>
      </c>
      <c r="D615" s="5">
        <v>33.380000000000003</v>
      </c>
      <c r="E615" s="3" t="s">
        <v>5952</v>
      </c>
      <c r="F615" s="2" t="s">
        <v>331</v>
      </c>
      <c r="G615" s="6" t="s">
        <v>219</v>
      </c>
      <c r="H615" s="2" t="s">
        <v>188</v>
      </c>
      <c r="I615" s="2" t="s">
        <v>189</v>
      </c>
      <c r="J615" s="2" t="s">
        <v>19</v>
      </c>
      <c r="K615" s="2" t="s">
        <v>160</v>
      </c>
      <c r="L615" s="7" t="str">
        <f>HYPERLINK("http://slimages.macys.com/is/image/MCY/12773379 ")</f>
        <v xml:space="preserve">http://slimages.macys.com/is/image/MCY/12773379 </v>
      </c>
    </row>
    <row r="616" spans="1:12" ht="24.75" x14ac:dyDescent="0.25">
      <c r="A616" s="4" t="s">
        <v>5953</v>
      </c>
      <c r="B616" s="2" t="s">
        <v>1478</v>
      </c>
      <c r="C616" s="3">
        <v>1</v>
      </c>
      <c r="D616" s="5">
        <v>29.99</v>
      </c>
      <c r="E616" s="3" t="s">
        <v>1479</v>
      </c>
      <c r="F616" s="2" t="s">
        <v>64</v>
      </c>
      <c r="G616" s="6"/>
      <c r="H616" s="2" t="s">
        <v>188</v>
      </c>
      <c r="I616" s="2" t="s">
        <v>189</v>
      </c>
      <c r="J616" s="2" t="s">
        <v>19</v>
      </c>
      <c r="K616" s="2" t="s">
        <v>1480</v>
      </c>
      <c r="L616" s="7" t="str">
        <f>HYPERLINK("http://slimages.macys.com/is/image/MCY/10048339 ")</f>
        <v xml:space="preserve">http://slimages.macys.com/is/image/MCY/10048339 </v>
      </c>
    </row>
    <row r="617" spans="1:12" ht="24.75" x14ac:dyDescent="0.25">
      <c r="A617" s="4" t="s">
        <v>5954</v>
      </c>
      <c r="B617" s="2" t="s">
        <v>3929</v>
      </c>
      <c r="C617" s="3">
        <v>1</v>
      </c>
      <c r="D617" s="5">
        <v>37.130000000000003</v>
      </c>
      <c r="E617" s="3" t="s">
        <v>3930</v>
      </c>
      <c r="F617" s="2" t="s">
        <v>15</v>
      </c>
      <c r="G617" s="6" t="s">
        <v>200</v>
      </c>
      <c r="H617" s="2" t="s">
        <v>284</v>
      </c>
      <c r="I617" s="2" t="s">
        <v>285</v>
      </c>
      <c r="J617" s="2" t="s">
        <v>19</v>
      </c>
      <c r="K617" s="2" t="s">
        <v>160</v>
      </c>
      <c r="L617" s="7" t="str">
        <f>HYPERLINK("http://slimages.macys.com/is/image/MCY/12672394 ")</f>
        <v xml:space="preserve">http://slimages.macys.com/is/image/MCY/12672394 </v>
      </c>
    </row>
    <row r="618" spans="1:12" ht="24.75" x14ac:dyDescent="0.25">
      <c r="A618" s="4" t="s">
        <v>5955</v>
      </c>
      <c r="B618" s="2" t="s">
        <v>3929</v>
      </c>
      <c r="C618" s="3">
        <v>1</v>
      </c>
      <c r="D618" s="5">
        <v>37.130000000000003</v>
      </c>
      <c r="E618" s="3" t="s">
        <v>3930</v>
      </c>
      <c r="F618" s="2" t="s">
        <v>15</v>
      </c>
      <c r="G618" s="6" t="s">
        <v>234</v>
      </c>
      <c r="H618" s="2" t="s">
        <v>284</v>
      </c>
      <c r="I618" s="2" t="s">
        <v>285</v>
      </c>
      <c r="J618" s="2" t="s">
        <v>19</v>
      </c>
      <c r="K618" s="2" t="s">
        <v>160</v>
      </c>
      <c r="L618" s="7" t="str">
        <f>HYPERLINK("http://slimages.macys.com/is/image/MCY/12672394 ")</f>
        <v xml:space="preserve">http://slimages.macys.com/is/image/MCY/12672394 </v>
      </c>
    </row>
    <row r="619" spans="1:12" ht="24.75" x14ac:dyDescent="0.25">
      <c r="A619" s="4" t="s">
        <v>5956</v>
      </c>
      <c r="B619" s="2" t="s">
        <v>3929</v>
      </c>
      <c r="C619" s="3">
        <v>1</v>
      </c>
      <c r="D619" s="5">
        <v>37.130000000000003</v>
      </c>
      <c r="E619" s="3" t="s">
        <v>3930</v>
      </c>
      <c r="F619" s="2" t="s">
        <v>15</v>
      </c>
      <c r="G619" s="6" t="s">
        <v>156</v>
      </c>
      <c r="H619" s="2" t="s">
        <v>284</v>
      </c>
      <c r="I619" s="2" t="s">
        <v>285</v>
      </c>
      <c r="J619" s="2" t="s">
        <v>19</v>
      </c>
      <c r="K619" s="2" t="s">
        <v>160</v>
      </c>
      <c r="L619" s="7" t="str">
        <f>HYPERLINK("http://slimages.macys.com/is/image/MCY/12672394 ")</f>
        <v xml:space="preserve">http://slimages.macys.com/is/image/MCY/12672394 </v>
      </c>
    </row>
    <row r="620" spans="1:12" ht="24.75" x14ac:dyDescent="0.25">
      <c r="A620" s="4" t="s">
        <v>5957</v>
      </c>
      <c r="B620" s="2" t="s">
        <v>3929</v>
      </c>
      <c r="C620" s="3">
        <v>1</v>
      </c>
      <c r="D620" s="5">
        <v>37.130000000000003</v>
      </c>
      <c r="E620" s="3" t="s">
        <v>3930</v>
      </c>
      <c r="F620" s="2" t="s">
        <v>15</v>
      </c>
      <c r="G620" s="6" t="s">
        <v>181</v>
      </c>
      <c r="H620" s="2" t="s">
        <v>284</v>
      </c>
      <c r="I620" s="2" t="s">
        <v>285</v>
      </c>
      <c r="J620" s="2" t="s">
        <v>19</v>
      </c>
      <c r="K620" s="2" t="s">
        <v>160</v>
      </c>
      <c r="L620" s="7" t="str">
        <f>HYPERLINK("http://slimages.macys.com/is/image/MCY/12672394 ")</f>
        <v xml:space="preserve">http://slimages.macys.com/is/image/MCY/12672394 </v>
      </c>
    </row>
    <row r="621" spans="1:12" ht="36.75" x14ac:dyDescent="0.25">
      <c r="A621" s="4" t="s">
        <v>5958</v>
      </c>
      <c r="B621" s="2" t="s">
        <v>3820</v>
      </c>
      <c r="C621" s="3">
        <v>1</v>
      </c>
      <c r="D621" s="5">
        <v>24.99</v>
      </c>
      <c r="E621" s="3" t="s">
        <v>5959</v>
      </c>
      <c r="F621" s="2" t="s">
        <v>413</v>
      </c>
      <c r="G621" s="6" t="s">
        <v>181</v>
      </c>
      <c r="H621" s="2" t="s">
        <v>284</v>
      </c>
      <c r="I621" s="2" t="s">
        <v>285</v>
      </c>
      <c r="J621" s="2" t="s">
        <v>19</v>
      </c>
      <c r="K621" s="2" t="s">
        <v>5960</v>
      </c>
      <c r="L621" s="7" t="str">
        <f>HYPERLINK("http://slimages.macys.com/is/image/MCY/15884900 ")</f>
        <v xml:space="preserve">http://slimages.macys.com/is/image/MCY/15884900 </v>
      </c>
    </row>
    <row r="622" spans="1:12" ht="24.75" x14ac:dyDescent="0.25">
      <c r="A622" s="4" t="s">
        <v>5961</v>
      </c>
      <c r="B622" s="2" t="s">
        <v>2779</v>
      </c>
      <c r="C622" s="3">
        <v>1</v>
      </c>
      <c r="D622" s="5">
        <v>29.63</v>
      </c>
      <c r="E622" s="3" t="s">
        <v>2780</v>
      </c>
      <c r="F622" s="2" t="s">
        <v>125</v>
      </c>
      <c r="G622" s="6" t="s">
        <v>156</v>
      </c>
      <c r="H622" s="2" t="s">
        <v>194</v>
      </c>
      <c r="I622" s="2" t="s">
        <v>195</v>
      </c>
      <c r="J622" s="2" t="s">
        <v>19</v>
      </c>
      <c r="K622" s="2" t="s">
        <v>247</v>
      </c>
      <c r="L622" s="7" t="str">
        <f>HYPERLINK("http://slimages.macys.com/is/image/MCY/12279859 ")</f>
        <v xml:space="preserve">http://slimages.macys.com/is/image/MCY/12279859 </v>
      </c>
    </row>
    <row r="623" spans="1:12" ht="24.75" x14ac:dyDescent="0.25">
      <c r="A623" s="4" t="s">
        <v>5962</v>
      </c>
      <c r="B623" s="2" t="s">
        <v>948</v>
      </c>
      <c r="C623" s="3">
        <v>1</v>
      </c>
      <c r="D623" s="5">
        <v>34.880000000000003</v>
      </c>
      <c r="E623" s="3">
        <v>100038962</v>
      </c>
      <c r="F623" s="2" t="s">
        <v>74</v>
      </c>
      <c r="G623" s="6" t="s">
        <v>112</v>
      </c>
      <c r="H623" s="2" t="s">
        <v>194</v>
      </c>
      <c r="I623" s="2" t="s">
        <v>195</v>
      </c>
      <c r="J623" s="2" t="s">
        <v>19</v>
      </c>
      <c r="K623" s="2" t="s">
        <v>353</v>
      </c>
      <c r="L623" s="7" t="str">
        <f>HYPERLINK("http://slimages.macys.com/is/image/MCY/11145019 ")</f>
        <v xml:space="preserve">http://slimages.macys.com/is/image/MCY/11145019 </v>
      </c>
    </row>
    <row r="624" spans="1:12" ht="24.75" x14ac:dyDescent="0.25">
      <c r="A624" s="4" t="s">
        <v>2778</v>
      </c>
      <c r="B624" s="2" t="s">
        <v>2779</v>
      </c>
      <c r="C624" s="3">
        <v>1</v>
      </c>
      <c r="D624" s="5">
        <v>29.63</v>
      </c>
      <c r="E624" s="3" t="s">
        <v>2780</v>
      </c>
      <c r="F624" s="2" t="s">
        <v>125</v>
      </c>
      <c r="G624" s="6" t="s">
        <v>234</v>
      </c>
      <c r="H624" s="2" t="s">
        <v>194</v>
      </c>
      <c r="I624" s="2" t="s">
        <v>195</v>
      </c>
      <c r="J624" s="2" t="s">
        <v>19</v>
      </c>
      <c r="K624" s="2" t="s">
        <v>247</v>
      </c>
      <c r="L624" s="7" t="str">
        <f>HYPERLINK("http://slimages.macys.com/is/image/MCY/12279859 ")</f>
        <v xml:space="preserve">http://slimages.macys.com/is/image/MCY/12279859 </v>
      </c>
    </row>
    <row r="625" spans="1:12" ht="24.75" x14ac:dyDescent="0.25">
      <c r="A625" s="4" t="s">
        <v>5023</v>
      </c>
      <c r="B625" s="2" t="s">
        <v>1494</v>
      </c>
      <c r="C625" s="3">
        <v>1</v>
      </c>
      <c r="D625" s="5">
        <v>24.99</v>
      </c>
      <c r="E625" s="3">
        <v>100016601</v>
      </c>
      <c r="F625" s="2" t="s">
        <v>252</v>
      </c>
      <c r="G625" s="6" t="s">
        <v>27</v>
      </c>
      <c r="H625" s="2" t="s">
        <v>228</v>
      </c>
      <c r="I625" s="2" t="s">
        <v>857</v>
      </c>
      <c r="J625" s="2" t="s">
        <v>19</v>
      </c>
      <c r="K625" s="2" t="s">
        <v>1495</v>
      </c>
      <c r="L625" s="7" t="str">
        <f>HYPERLINK("http://slimages.macys.com/is/image/MCY/12143827 ")</f>
        <v xml:space="preserve">http://slimages.macys.com/is/image/MCY/12143827 </v>
      </c>
    </row>
    <row r="626" spans="1:12" ht="24.75" x14ac:dyDescent="0.25">
      <c r="A626" s="4" t="s">
        <v>5963</v>
      </c>
      <c r="B626" s="2" t="s">
        <v>5964</v>
      </c>
      <c r="C626" s="3">
        <v>1</v>
      </c>
      <c r="D626" s="5">
        <v>24.99</v>
      </c>
      <c r="E626" s="3" t="s">
        <v>5965</v>
      </c>
      <c r="F626" s="2" t="s">
        <v>74</v>
      </c>
      <c r="G626" s="6" t="s">
        <v>58</v>
      </c>
      <c r="H626" s="2" t="s">
        <v>1473</v>
      </c>
      <c r="I626" s="2" t="s">
        <v>1426</v>
      </c>
      <c r="J626" s="2" t="s">
        <v>19</v>
      </c>
      <c r="K626" s="2" t="s">
        <v>353</v>
      </c>
      <c r="L626" s="7" t="str">
        <f>HYPERLINK("http://slimages.macys.com/is/image/MCY/8142807 ")</f>
        <v xml:space="preserve">http://slimages.macys.com/is/image/MCY/8142807 </v>
      </c>
    </row>
    <row r="627" spans="1:12" ht="24.75" x14ac:dyDescent="0.25">
      <c r="A627" s="4" t="s">
        <v>5966</v>
      </c>
      <c r="B627" s="2" t="s">
        <v>1502</v>
      </c>
      <c r="C627" s="3">
        <v>1</v>
      </c>
      <c r="D627" s="5">
        <v>24.99</v>
      </c>
      <c r="E627" s="3" t="s">
        <v>1503</v>
      </c>
      <c r="F627" s="2" t="s">
        <v>15</v>
      </c>
      <c r="G627" s="6" t="s">
        <v>187</v>
      </c>
      <c r="H627" s="2" t="s">
        <v>1425</v>
      </c>
      <c r="I627" s="2" t="s">
        <v>1469</v>
      </c>
      <c r="J627" s="2" t="s">
        <v>19</v>
      </c>
      <c r="K627" s="2" t="s">
        <v>990</v>
      </c>
      <c r="L627" s="7" t="str">
        <f>HYPERLINK("http://slimages.macys.com/is/image/MCY/13048287 ")</f>
        <v xml:space="preserve">http://slimages.macys.com/is/image/MCY/13048287 </v>
      </c>
    </row>
    <row r="628" spans="1:12" ht="24.75" x14ac:dyDescent="0.25">
      <c r="A628" s="4" t="s">
        <v>3938</v>
      </c>
      <c r="B628" s="2" t="s">
        <v>1502</v>
      </c>
      <c r="C628" s="3">
        <v>1</v>
      </c>
      <c r="D628" s="5">
        <v>24.99</v>
      </c>
      <c r="E628" s="3" t="s">
        <v>1503</v>
      </c>
      <c r="F628" s="2" t="s">
        <v>15</v>
      </c>
      <c r="G628" s="6"/>
      <c r="H628" s="2" t="s">
        <v>1425</v>
      </c>
      <c r="I628" s="2" t="s">
        <v>1469</v>
      </c>
      <c r="J628" s="2" t="s">
        <v>19</v>
      </c>
      <c r="K628" s="2" t="s">
        <v>990</v>
      </c>
      <c r="L628" s="7" t="str">
        <f>HYPERLINK("http://slimages.macys.com/is/image/MCY/13048287 ")</f>
        <v xml:space="preserve">http://slimages.macys.com/is/image/MCY/13048287 </v>
      </c>
    </row>
    <row r="629" spans="1:12" ht="24.75" x14ac:dyDescent="0.25">
      <c r="A629" s="4" t="s">
        <v>5967</v>
      </c>
      <c r="B629" s="2" t="s">
        <v>1512</v>
      </c>
      <c r="C629" s="3">
        <v>1</v>
      </c>
      <c r="D629" s="5">
        <v>24.99</v>
      </c>
      <c r="E629" s="3" t="s">
        <v>1513</v>
      </c>
      <c r="F629" s="2" t="s">
        <v>74</v>
      </c>
      <c r="G629" s="6" t="s">
        <v>165</v>
      </c>
      <c r="H629" s="2" t="s">
        <v>1425</v>
      </c>
      <c r="I629" s="2" t="s">
        <v>1426</v>
      </c>
      <c r="J629" s="2" t="s">
        <v>19</v>
      </c>
      <c r="K629" s="2" t="s">
        <v>353</v>
      </c>
      <c r="L629" s="7" t="str">
        <f>HYPERLINK("http://slimages.macys.com/is/image/MCY/11029820 ")</f>
        <v xml:space="preserve">http://slimages.macys.com/is/image/MCY/11029820 </v>
      </c>
    </row>
    <row r="630" spans="1:12" ht="24.75" x14ac:dyDescent="0.25">
      <c r="A630" s="4" t="s">
        <v>1523</v>
      </c>
      <c r="B630" s="2" t="s">
        <v>1508</v>
      </c>
      <c r="C630" s="3">
        <v>2</v>
      </c>
      <c r="D630" s="5">
        <v>26.99</v>
      </c>
      <c r="E630" s="3" t="s">
        <v>1509</v>
      </c>
      <c r="F630" s="2" t="s">
        <v>417</v>
      </c>
      <c r="G630" s="6" t="s">
        <v>112</v>
      </c>
      <c r="H630" s="2" t="s">
        <v>1473</v>
      </c>
      <c r="I630" s="2" t="s">
        <v>1426</v>
      </c>
      <c r="J630" s="2" t="s">
        <v>19</v>
      </c>
      <c r="K630" s="2" t="s">
        <v>353</v>
      </c>
      <c r="L630" s="7" t="str">
        <f>HYPERLINK("http://slimages.macys.com/is/image/MCY/11029993 ")</f>
        <v xml:space="preserve">http://slimages.macys.com/is/image/MCY/11029993 </v>
      </c>
    </row>
    <row r="631" spans="1:12" ht="24.75" x14ac:dyDescent="0.25">
      <c r="A631" s="4" t="s">
        <v>2800</v>
      </c>
      <c r="B631" s="2" t="s">
        <v>1516</v>
      </c>
      <c r="C631" s="3">
        <v>1</v>
      </c>
      <c r="D631" s="5">
        <v>24.99</v>
      </c>
      <c r="E631" s="3" t="s">
        <v>1517</v>
      </c>
      <c r="F631" s="2" t="s">
        <v>998</v>
      </c>
      <c r="G631" s="6" t="s">
        <v>27</v>
      </c>
      <c r="H631" s="2" t="s">
        <v>1473</v>
      </c>
      <c r="I631" s="2" t="s">
        <v>1426</v>
      </c>
      <c r="J631" s="2" t="s">
        <v>19</v>
      </c>
      <c r="K631" s="2" t="s">
        <v>353</v>
      </c>
      <c r="L631" s="7" t="str">
        <f>HYPERLINK("http://slimages.macys.com/is/image/MCY/11029826 ")</f>
        <v xml:space="preserve">http://slimages.macys.com/is/image/MCY/11029826 </v>
      </c>
    </row>
    <row r="632" spans="1:12" ht="24.75" x14ac:dyDescent="0.25">
      <c r="A632" s="4" t="s">
        <v>5968</v>
      </c>
      <c r="B632" s="2" t="s">
        <v>1512</v>
      </c>
      <c r="C632" s="3">
        <v>1</v>
      </c>
      <c r="D632" s="5">
        <v>24.99</v>
      </c>
      <c r="E632" s="3" t="s">
        <v>1513</v>
      </c>
      <c r="F632" s="2" t="s">
        <v>998</v>
      </c>
      <c r="G632" s="6" t="s">
        <v>934</v>
      </c>
      <c r="H632" s="2" t="s">
        <v>1425</v>
      </c>
      <c r="I632" s="2" t="s">
        <v>1426</v>
      </c>
      <c r="J632" s="2" t="s">
        <v>19</v>
      </c>
      <c r="K632" s="2" t="s">
        <v>353</v>
      </c>
      <c r="L632" s="7" t="str">
        <f>HYPERLINK("http://slimages.macys.com/is/image/MCY/11029820 ")</f>
        <v xml:space="preserve">http://slimages.macys.com/is/image/MCY/11029820 </v>
      </c>
    </row>
    <row r="633" spans="1:12" ht="24.75" x14ac:dyDescent="0.25">
      <c r="A633" s="4" t="s">
        <v>5969</v>
      </c>
      <c r="B633" s="2" t="s">
        <v>1508</v>
      </c>
      <c r="C633" s="3">
        <v>1</v>
      </c>
      <c r="D633" s="5">
        <v>26.99</v>
      </c>
      <c r="E633" s="3" t="s">
        <v>1509</v>
      </c>
      <c r="F633" s="2" t="s">
        <v>417</v>
      </c>
      <c r="G633" s="6" t="s">
        <v>58</v>
      </c>
      <c r="H633" s="2" t="s">
        <v>1473</v>
      </c>
      <c r="I633" s="2" t="s">
        <v>1426</v>
      </c>
      <c r="J633" s="2" t="s">
        <v>19</v>
      </c>
      <c r="K633" s="2" t="s">
        <v>353</v>
      </c>
      <c r="L633" s="7" t="str">
        <f>HYPERLINK("http://slimages.macys.com/is/image/MCY/11029993 ")</f>
        <v xml:space="preserve">http://slimages.macys.com/is/image/MCY/11029993 </v>
      </c>
    </row>
    <row r="634" spans="1:12" ht="24.75" x14ac:dyDescent="0.25">
      <c r="A634" s="4" t="s">
        <v>3944</v>
      </c>
      <c r="B634" s="2" t="s">
        <v>1516</v>
      </c>
      <c r="C634" s="3">
        <v>2</v>
      </c>
      <c r="D634" s="5">
        <v>24.99</v>
      </c>
      <c r="E634" s="3" t="s">
        <v>1517</v>
      </c>
      <c r="F634" s="2" t="s">
        <v>74</v>
      </c>
      <c r="G634" s="6" t="s">
        <v>27</v>
      </c>
      <c r="H634" s="2" t="s">
        <v>1473</v>
      </c>
      <c r="I634" s="2" t="s">
        <v>1426</v>
      </c>
      <c r="J634" s="2" t="s">
        <v>19</v>
      </c>
      <c r="K634" s="2" t="s">
        <v>353</v>
      </c>
      <c r="L634" s="7" t="str">
        <f>HYPERLINK("http://slimages.macys.com/is/image/MCY/11029826 ")</f>
        <v xml:space="preserve">http://slimages.macys.com/is/image/MCY/11029826 </v>
      </c>
    </row>
    <row r="635" spans="1:12" ht="24.75" x14ac:dyDescent="0.25">
      <c r="A635" s="4" t="s">
        <v>1515</v>
      </c>
      <c r="B635" s="2" t="s">
        <v>1516</v>
      </c>
      <c r="C635" s="3">
        <v>1</v>
      </c>
      <c r="D635" s="5">
        <v>24.99</v>
      </c>
      <c r="E635" s="3" t="s">
        <v>1517</v>
      </c>
      <c r="F635" s="2" t="s">
        <v>998</v>
      </c>
      <c r="G635" s="6" t="s">
        <v>58</v>
      </c>
      <c r="H635" s="2" t="s">
        <v>1473</v>
      </c>
      <c r="I635" s="2" t="s">
        <v>1426</v>
      </c>
      <c r="J635" s="2" t="s">
        <v>19</v>
      </c>
      <c r="K635" s="2" t="s">
        <v>353</v>
      </c>
      <c r="L635" s="7" t="str">
        <f>HYPERLINK("http://slimages.macys.com/is/image/MCY/11029826 ")</f>
        <v xml:space="preserve">http://slimages.macys.com/is/image/MCY/11029826 </v>
      </c>
    </row>
    <row r="636" spans="1:12" ht="24.75" x14ac:dyDescent="0.25">
      <c r="A636" s="4" t="s">
        <v>3948</v>
      </c>
      <c r="B636" s="2" t="s">
        <v>1516</v>
      </c>
      <c r="C636" s="3">
        <v>1</v>
      </c>
      <c r="D636" s="5">
        <v>24.99</v>
      </c>
      <c r="E636" s="3" t="s">
        <v>1517</v>
      </c>
      <c r="F636" s="2" t="s">
        <v>15</v>
      </c>
      <c r="G636" s="6" t="s">
        <v>27</v>
      </c>
      <c r="H636" s="2" t="s">
        <v>1473</v>
      </c>
      <c r="I636" s="2" t="s">
        <v>1426</v>
      </c>
      <c r="J636" s="2" t="s">
        <v>19</v>
      </c>
      <c r="K636" s="2" t="s">
        <v>353</v>
      </c>
      <c r="L636" s="7" t="str">
        <f>HYPERLINK("http://slimages.macys.com/is/image/MCY/11029826 ")</f>
        <v xml:space="preserve">http://slimages.macys.com/is/image/MCY/11029826 </v>
      </c>
    </row>
    <row r="637" spans="1:12" ht="24.75" x14ac:dyDescent="0.25">
      <c r="A637" s="4" t="s">
        <v>2801</v>
      </c>
      <c r="B637" s="2" t="s">
        <v>1508</v>
      </c>
      <c r="C637" s="3">
        <v>1</v>
      </c>
      <c r="D637" s="5">
        <v>26.99</v>
      </c>
      <c r="E637" s="3" t="s">
        <v>1509</v>
      </c>
      <c r="F637" s="2" t="s">
        <v>417</v>
      </c>
      <c r="G637" s="6" t="s">
        <v>22</v>
      </c>
      <c r="H637" s="2" t="s">
        <v>1473</v>
      </c>
      <c r="I637" s="2" t="s">
        <v>1426</v>
      </c>
      <c r="J637" s="2" t="s">
        <v>19</v>
      </c>
      <c r="K637" s="2" t="s">
        <v>353</v>
      </c>
      <c r="L637" s="7" t="str">
        <f>HYPERLINK("http://slimages.macys.com/is/image/MCY/11029993 ")</f>
        <v xml:space="preserve">http://slimages.macys.com/is/image/MCY/11029993 </v>
      </c>
    </row>
    <row r="638" spans="1:12" x14ac:dyDescent="0.25">
      <c r="A638" s="4" t="s">
        <v>5970</v>
      </c>
      <c r="B638" s="2" t="s">
        <v>5971</v>
      </c>
      <c r="C638" s="3">
        <v>1</v>
      </c>
      <c r="D638" s="5">
        <v>20.65</v>
      </c>
      <c r="E638" s="3" t="s">
        <v>5972</v>
      </c>
      <c r="F638" s="2" t="s">
        <v>48</v>
      </c>
      <c r="G638" s="6" t="s">
        <v>245</v>
      </c>
      <c r="H638" s="2" t="s">
        <v>182</v>
      </c>
      <c r="I638" s="2" t="s">
        <v>183</v>
      </c>
      <c r="J638" s="2" t="s">
        <v>19</v>
      </c>
      <c r="K638" s="2" t="s">
        <v>247</v>
      </c>
      <c r="L638" s="7" t="str">
        <f>HYPERLINK("http://slimages.macys.com/is/image/MCY/11786752 ")</f>
        <v xml:space="preserve">http://slimages.macys.com/is/image/MCY/11786752 </v>
      </c>
    </row>
    <row r="639" spans="1:12" ht="36.75" x14ac:dyDescent="0.25">
      <c r="A639" s="4" t="s">
        <v>5973</v>
      </c>
      <c r="B639" s="2" t="s">
        <v>5974</v>
      </c>
      <c r="C639" s="3">
        <v>1</v>
      </c>
      <c r="D639" s="5">
        <v>24.99</v>
      </c>
      <c r="E639" s="3">
        <v>100020305</v>
      </c>
      <c r="F639" s="2" t="s">
        <v>74</v>
      </c>
      <c r="G639" s="6" t="s">
        <v>234</v>
      </c>
      <c r="H639" s="2" t="s">
        <v>284</v>
      </c>
      <c r="I639" s="2" t="s">
        <v>285</v>
      </c>
      <c r="J639" s="2" t="s">
        <v>19</v>
      </c>
      <c r="K639" s="2" t="s">
        <v>5899</v>
      </c>
      <c r="L639" s="7" t="str">
        <f>HYPERLINK("http://slimages.macys.com/is/image/MCY/9460783 ")</f>
        <v xml:space="preserve">http://slimages.macys.com/is/image/MCY/9460783 </v>
      </c>
    </row>
    <row r="640" spans="1:12" ht="24.75" x14ac:dyDescent="0.25">
      <c r="A640" s="4" t="s">
        <v>5975</v>
      </c>
      <c r="B640" s="2" t="s">
        <v>2812</v>
      </c>
      <c r="C640" s="3">
        <v>1</v>
      </c>
      <c r="D640" s="5">
        <v>34.5</v>
      </c>
      <c r="E640" s="3">
        <v>100019421</v>
      </c>
      <c r="F640" s="2" t="s">
        <v>417</v>
      </c>
      <c r="G640" s="6" t="s">
        <v>22</v>
      </c>
      <c r="H640" s="2" t="s">
        <v>228</v>
      </c>
      <c r="I640" s="2" t="s">
        <v>229</v>
      </c>
      <c r="J640" s="2" t="s">
        <v>19</v>
      </c>
      <c r="K640" s="2" t="s">
        <v>353</v>
      </c>
      <c r="L640" s="7" t="str">
        <f>HYPERLINK("http://slimages.macys.com/is/image/MCY/11936020 ")</f>
        <v xml:space="preserve">http://slimages.macys.com/is/image/MCY/11936020 </v>
      </c>
    </row>
    <row r="641" spans="1:12" ht="24.75" x14ac:dyDescent="0.25">
      <c r="A641" s="4" t="s">
        <v>5042</v>
      </c>
      <c r="B641" s="2" t="s">
        <v>2812</v>
      </c>
      <c r="C641" s="3">
        <v>1</v>
      </c>
      <c r="D641" s="5">
        <v>34.5</v>
      </c>
      <c r="E641" s="3">
        <v>100019421</v>
      </c>
      <c r="F641" s="2" t="s">
        <v>417</v>
      </c>
      <c r="G641" s="6" t="s">
        <v>27</v>
      </c>
      <c r="H641" s="2" t="s">
        <v>228</v>
      </c>
      <c r="I641" s="2" t="s">
        <v>229</v>
      </c>
      <c r="J641" s="2" t="s">
        <v>19</v>
      </c>
      <c r="K641" s="2" t="s">
        <v>353</v>
      </c>
      <c r="L641" s="7" t="str">
        <f>HYPERLINK("http://slimages.macys.com/is/image/MCY/11936020 ")</f>
        <v xml:space="preserve">http://slimages.macys.com/is/image/MCY/11936020 </v>
      </c>
    </row>
    <row r="642" spans="1:12" ht="24.75" x14ac:dyDescent="0.25">
      <c r="A642" s="4" t="s">
        <v>5976</v>
      </c>
      <c r="B642" s="2" t="s">
        <v>3953</v>
      </c>
      <c r="C642" s="3">
        <v>1</v>
      </c>
      <c r="D642" s="5">
        <v>24.99</v>
      </c>
      <c r="E642" s="3" t="s">
        <v>3954</v>
      </c>
      <c r="F642" s="2" t="s">
        <v>15</v>
      </c>
      <c r="G642" s="6" t="s">
        <v>156</v>
      </c>
      <c r="H642" s="2" t="s">
        <v>1522</v>
      </c>
      <c r="I642" s="2" t="s">
        <v>1469</v>
      </c>
      <c r="J642" s="2" t="s">
        <v>19</v>
      </c>
      <c r="K642" s="2" t="s">
        <v>353</v>
      </c>
      <c r="L642" s="7" t="str">
        <f>HYPERLINK("http://slimages.macys.com/is/image/MCY/11774245 ")</f>
        <v xml:space="preserve">http://slimages.macys.com/is/image/MCY/11774245 </v>
      </c>
    </row>
    <row r="643" spans="1:12" ht="24.75" x14ac:dyDescent="0.25">
      <c r="A643" s="4" t="s">
        <v>5977</v>
      </c>
      <c r="B643" s="2" t="s">
        <v>3953</v>
      </c>
      <c r="C643" s="3">
        <v>1</v>
      </c>
      <c r="D643" s="5">
        <v>24.99</v>
      </c>
      <c r="E643" s="3" t="s">
        <v>5978</v>
      </c>
      <c r="F643" s="2" t="s">
        <v>15</v>
      </c>
      <c r="G643" s="6" t="s">
        <v>187</v>
      </c>
      <c r="H643" s="2" t="s">
        <v>1425</v>
      </c>
      <c r="I643" s="2" t="s">
        <v>1469</v>
      </c>
      <c r="J643" s="2" t="s">
        <v>19</v>
      </c>
      <c r="K643" s="2" t="s">
        <v>353</v>
      </c>
      <c r="L643" s="7" t="str">
        <f>HYPERLINK("http://slimages.macys.com/is/image/MCY/11774245 ")</f>
        <v xml:space="preserve">http://slimages.macys.com/is/image/MCY/11774245 </v>
      </c>
    </row>
    <row r="644" spans="1:12" ht="24.75" x14ac:dyDescent="0.25">
      <c r="A644" s="4" t="s">
        <v>1549</v>
      </c>
      <c r="B644" s="2" t="s">
        <v>1539</v>
      </c>
      <c r="C644" s="3">
        <v>1</v>
      </c>
      <c r="D644" s="5">
        <v>26.99</v>
      </c>
      <c r="E644" s="3" t="s">
        <v>1548</v>
      </c>
      <c r="F644" s="2" t="s">
        <v>998</v>
      </c>
      <c r="G644" s="6" t="s">
        <v>205</v>
      </c>
      <c r="H644" s="2" t="s">
        <v>1425</v>
      </c>
      <c r="I644" s="2" t="s">
        <v>1426</v>
      </c>
      <c r="J644" s="2" t="s">
        <v>19</v>
      </c>
      <c r="K644" s="2" t="s">
        <v>353</v>
      </c>
      <c r="L644" s="7" t="str">
        <f>HYPERLINK("http://slimages.macys.com/is/image/MCY/11092539 ")</f>
        <v xml:space="preserve">http://slimages.macys.com/is/image/MCY/11092539 </v>
      </c>
    </row>
    <row r="645" spans="1:12" ht="24.75" x14ac:dyDescent="0.25">
      <c r="A645" s="4" t="s">
        <v>5043</v>
      </c>
      <c r="B645" s="2" t="s">
        <v>1539</v>
      </c>
      <c r="C645" s="3">
        <v>4</v>
      </c>
      <c r="D645" s="5">
        <v>26.99</v>
      </c>
      <c r="E645" s="3" t="s">
        <v>1540</v>
      </c>
      <c r="F645" s="2" t="s">
        <v>74</v>
      </c>
      <c r="G645" s="6" t="s">
        <v>106</v>
      </c>
      <c r="H645" s="2" t="s">
        <v>1473</v>
      </c>
      <c r="I645" s="2" t="s">
        <v>1426</v>
      </c>
      <c r="J645" s="2" t="s">
        <v>19</v>
      </c>
      <c r="K645" s="2" t="s">
        <v>353</v>
      </c>
      <c r="L645" s="7" t="str">
        <f>HYPERLINK("http://slimages.macys.com/is/image/MCY/10786732 ")</f>
        <v xml:space="preserve">http://slimages.macys.com/is/image/MCY/10786732 </v>
      </c>
    </row>
    <row r="646" spans="1:12" ht="24.75" x14ac:dyDescent="0.25">
      <c r="A646" s="4" t="s">
        <v>2828</v>
      </c>
      <c r="B646" s="2" t="s">
        <v>1539</v>
      </c>
      <c r="C646" s="3">
        <v>1</v>
      </c>
      <c r="D646" s="5">
        <v>26.99</v>
      </c>
      <c r="E646" s="3" t="s">
        <v>1540</v>
      </c>
      <c r="F646" s="2" t="s">
        <v>74</v>
      </c>
      <c r="G646" s="6" t="s">
        <v>58</v>
      </c>
      <c r="H646" s="2" t="s">
        <v>1473</v>
      </c>
      <c r="I646" s="2" t="s">
        <v>1426</v>
      </c>
      <c r="J646" s="2" t="s">
        <v>19</v>
      </c>
      <c r="K646" s="2" t="s">
        <v>353</v>
      </c>
      <c r="L646" s="7" t="str">
        <f>HYPERLINK("http://slimages.macys.com/is/image/MCY/10786732 ")</f>
        <v xml:space="preserve">http://slimages.macys.com/is/image/MCY/10786732 </v>
      </c>
    </row>
    <row r="647" spans="1:12" ht="24.75" x14ac:dyDescent="0.25">
      <c r="A647" s="4" t="s">
        <v>1538</v>
      </c>
      <c r="B647" s="2" t="s">
        <v>1539</v>
      </c>
      <c r="C647" s="3">
        <v>2</v>
      </c>
      <c r="D647" s="5">
        <v>26.99</v>
      </c>
      <c r="E647" s="3" t="s">
        <v>1540</v>
      </c>
      <c r="F647" s="2" t="s">
        <v>15</v>
      </c>
      <c r="G647" s="6" t="s">
        <v>22</v>
      </c>
      <c r="H647" s="2" t="s">
        <v>1473</v>
      </c>
      <c r="I647" s="2" t="s">
        <v>1426</v>
      </c>
      <c r="J647" s="2" t="s">
        <v>19</v>
      </c>
      <c r="K647" s="2" t="s">
        <v>353</v>
      </c>
      <c r="L647" s="7" t="str">
        <f>HYPERLINK("http://slimages.macys.com/is/image/MCY/10786732 ")</f>
        <v xml:space="preserve">http://slimages.macys.com/is/image/MCY/10786732 </v>
      </c>
    </row>
    <row r="648" spans="1:12" ht="24.75" x14ac:dyDescent="0.25">
      <c r="A648" s="4" t="s">
        <v>2829</v>
      </c>
      <c r="B648" s="2" t="s">
        <v>1539</v>
      </c>
      <c r="C648" s="3">
        <v>1</v>
      </c>
      <c r="D648" s="5">
        <v>26.99</v>
      </c>
      <c r="E648" s="3" t="s">
        <v>1540</v>
      </c>
      <c r="F648" s="2" t="s">
        <v>70</v>
      </c>
      <c r="G648" s="6" t="s">
        <v>112</v>
      </c>
      <c r="H648" s="2" t="s">
        <v>1473</v>
      </c>
      <c r="I648" s="2" t="s">
        <v>1426</v>
      </c>
      <c r="J648" s="2" t="s">
        <v>19</v>
      </c>
      <c r="K648" s="2" t="s">
        <v>353</v>
      </c>
      <c r="L648" s="7" t="str">
        <f>HYPERLINK("http://slimages.macys.com/is/image/MCY/10786732 ")</f>
        <v xml:space="preserve">http://slimages.macys.com/is/image/MCY/10786732 </v>
      </c>
    </row>
    <row r="649" spans="1:12" ht="24.75" x14ac:dyDescent="0.25">
      <c r="A649" s="4" t="s">
        <v>5979</v>
      </c>
      <c r="B649" s="2" t="s">
        <v>1539</v>
      </c>
      <c r="C649" s="3">
        <v>1</v>
      </c>
      <c r="D649" s="5">
        <v>26.99</v>
      </c>
      <c r="E649" s="3" t="s">
        <v>1540</v>
      </c>
      <c r="F649" s="2" t="s">
        <v>74</v>
      </c>
      <c r="G649" s="6" t="s">
        <v>27</v>
      </c>
      <c r="H649" s="2" t="s">
        <v>1473</v>
      </c>
      <c r="I649" s="2" t="s">
        <v>1426</v>
      </c>
      <c r="J649" s="2" t="s">
        <v>19</v>
      </c>
      <c r="K649" s="2" t="s">
        <v>353</v>
      </c>
      <c r="L649" s="7" t="str">
        <f>HYPERLINK("http://slimages.macys.com/is/image/MCY/10786732 ")</f>
        <v xml:space="preserve">http://slimages.macys.com/is/image/MCY/10786732 </v>
      </c>
    </row>
    <row r="650" spans="1:12" ht="24.75" x14ac:dyDescent="0.25">
      <c r="A650" s="4" t="s">
        <v>3963</v>
      </c>
      <c r="B650" s="2" t="s">
        <v>1539</v>
      </c>
      <c r="C650" s="3">
        <v>2</v>
      </c>
      <c r="D650" s="5">
        <v>26.99</v>
      </c>
      <c r="E650" s="3" t="s">
        <v>1548</v>
      </c>
      <c r="F650" s="2" t="s">
        <v>998</v>
      </c>
      <c r="G650" s="6" t="s">
        <v>165</v>
      </c>
      <c r="H650" s="2" t="s">
        <v>1425</v>
      </c>
      <c r="I650" s="2" t="s">
        <v>1426</v>
      </c>
      <c r="J650" s="2" t="s">
        <v>19</v>
      </c>
      <c r="K650" s="2" t="s">
        <v>353</v>
      </c>
      <c r="L650" s="7" t="str">
        <f>HYPERLINK("http://slimages.macys.com/is/image/MCY/11092539 ")</f>
        <v xml:space="preserve">http://slimages.macys.com/is/image/MCY/11092539 </v>
      </c>
    </row>
    <row r="651" spans="1:12" ht="24.75" x14ac:dyDescent="0.25">
      <c r="A651" s="4" t="s">
        <v>1550</v>
      </c>
      <c r="B651" s="2" t="s">
        <v>1539</v>
      </c>
      <c r="C651" s="3">
        <v>1</v>
      </c>
      <c r="D651" s="5">
        <v>26.99</v>
      </c>
      <c r="E651" s="3" t="s">
        <v>1548</v>
      </c>
      <c r="F651" s="2" t="s">
        <v>998</v>
      </c>
      <c r="G651" s="6" t="s">
        <v>802</v>
      </c>
      <c r="H651" s="2" t="s">
        <v>1425</v>
      </c>
      <c r="I651" s="2" t="s">
        <v>1426</v>
      </c>
      <c r="J651" s="2" t="s">
        <v>19</v>
      </c>
      <c r="K651" s="2" t="s">
        <v>353</v>
      </c>
      <c r="L651" s="7" t="str">
        <f>HYPERLINK("http://slimages.macys.com/is/image/MCY/11092539 ")</f>
        <v xml:space="preserve">http://slimages.macys.com/is/image/MCY/11092539 </v>
      </c>
    </row>
    <row r="652" spans="1:12" ht="24.75" x14ac:dyDescent="0.25">
      <c r="A652" s="4" t="s">
        <v>2830</v>
      </c>
      <c r="B652" s="2" t="s">
        <v>1539</v>
      </c>
      <c r="C652" s="3">
        <v>2</v>
      </c>
      <c r="D652" s="5">
        <v>26.99</v>
      </c>
      <c r="E652" s="3" t="s">
        <v>1548</v>
      </c>
      <c r="F652" s="2" t="s">
        <v>998</v>
      </c>
      <c r="G652" s="6" t="s">
        <v>126</v>
      </c>
      <c r="H652" s="2" t="s">
        <v>1425</v>
      </c>
      <c r="I652" s="2" t="s">
        <v>1426</v>
      </c>
      <c r="J652" s="2" t="s">
        <v>19</v>
      </c>
      <c r="K652" s="2" t="s">
        <v>353</v>
      </c>
      <c r="L652" s="7" t="str">
        <f>HYPERLINK("http://slimages.macys.com/is/image/MCY/11092539 ")</f>
        <v xml:space="preserve">http://slimages.macys.com/is/image/MCY/11092539 </v>
      </c>
    </row>
    <row r="653" spans="1:12" ht="24.75" x14ac:dyDescent="0.25">
      <c r="A653" s="4" t="s">
        <v>2831</v>
      </c>
      <c r="B653" s="2" t="s">
        <v>1539</v>
      </c>
      <c r="C653" s="3">
        <v>1</v>
      </c>
      <c r="D653" s="5">
        <v>26.99</v>
      </c>
      <c r="E653" s="3" t="s">
        <v>1548</v>
      </c>
      <c r="F653" s="2" t="s">
        <v>998</v>
      </c>
      <c r="G653" s="6" t="s">
        <v>238</v>
      </c>
      <c r="H653" s="2" t="s">
        <v>1425</v>
      </c>
      <c r="I653" s="2" t="s">
        <v>1426</v>
      </c>
      <c r="J653" s="2" t="s">
        <v>19</v>
      </c>
      <c r="K653" s="2" t="s">
        <v>353</v>
      </c>
      <c r="L653" s="7" t="str">
        <f>HYPERLINK("http://slimages.macys.com/is/image/MCY/11092539 ")</f>
        <v xml:space="preserve">http://slimages.macys.com/is/image/MCY/11092539 </v>
      </c>
    </row>
    <row r="654" spans="1:12" ht="24.75" x14ac:dyDescent="0.25">
      <c r="A654" s="4" t="s">
        <v>1547</v>
      </c>
      <c r="B654" s="2" t="s">
        <v>1539</v>
      </c>
      <c r="C654" s="3">
        <v>4</v>
      </c>
      <c r="D654" s="5">
        <v>26.99</v>
      </c>
      <c r="E654" s="3" t="s">
        <v>1548</v>
      </c>
      <c r="F654" s="2" t="s">
        <v>998</v>
      </c>
      <c r="G654" s="6" t="s">
        <v>934</v>
      </c>
      <c r="H654" s="2" t="s">
        <v>1425</v>
      </c>
      <c r="I654" s="2" t="s">
        <v>1426</v>
      </c>
      <c r="J654" s="2" t="s">
        <v>19</v>
      </c>
      <c r="K654" s="2" t="s">
        <v>353</v>
      </c>
      <c r="L654" s="7" t="str">
        <f>HYPERLINK("http://slimages.macys.com/is/image/MCY/11092539 ")</f>
        <v xml:space="preserve">http://slimages.macys.com/is/image/MCY/11092539 </v>
      </c>
    </row>
    <row r="655" spans="1:12" ht="24.75" x14ac:dyDescent="0.25">
      <c r="A655" s="4" t="s">
        <v>2819</v>
      </c>
      <c r="B655" s="2" t="s">
        <v>1539</v>
      </c>
      <c r="C655" s="3">
        <v>1</v>
      </c>
      <c r="D655" s="5">
        <v>26.99</v>
      </c>
      <c r="E655" s="3" t="s">
        <v>1540</v>
      </c>
      <c r="F655" s="2" t="s">
        <v>74</v>
      </c>
      <c r="G655" s="6" t="s">
        <v>22</v>
      </c>
      <c r="H655" s="2" t="s">
        <v>1473</v>
      </c>
      <c r="I655" s="2" t="s">
        <v>1426</v>
      </c>
      <c r="J655" s="2" t="s">
        <v>19</v>
      </c>
      <c r="K655" s="2" t="s">
        <v>353</v>
      </c>
      <c r="L655" s="7" t="str">
        <f t="shared" ref="L655:L662" si="8">HYPERLINK("http://slimages.macys.com/is/image/MCY/10786732 ")</f>
        <v xml:space="preserve">http://slimages.macys.com/is/image/MCY/10786732 </v>
      </c>
    </row>
    <row r="656" spans="1:12" ht="24.75" x14ac:dyDescent="0.25">
      <c r="A656" s="4" t="s">
        <v>1541</v>
      </c>
      <c r="B656" s="2" t="s">
        <v>1539</v>
      </c>
      <c r="C656" s="3">
        <v>1</v>
      </c>
      <c r="D656" s="5">
        <v>26.99</v>
      </c>
      <c r="E656" s="3" t="s">
        <v>1540</v>
      </c>
      <c r="F656" s="2" t="s">
        <v>15</v>
      </c>
      <c r="G656" s="6" t="s">
        <v>106</v>
      </c>
      <c r="H656" s="2" t="s">
        <v>1473</v>
      </c>
      <c r="I656" s="2" t="s">
        <v>1426</v>
      </c>
      <c r="J656" s="2" t="s">
        <v>19</v>
      </c>
      <c r="K656" s="2" t="s">
        <v>353</v>
      </c>
      <c r="L656" s="7" t="str">
        <f t="shared" si="8"/>
        <v xml:space="preserve">http://slimages.macys.com/is/image/MCY/10786732 </v>
      </c>
    </row>
    <row r="657" spans="1:12" ht="24.75" x14ac:dyDescent="0.25">
      <c r="A657" s="4" t="s">
        <v>1553</v>
      </c>
      <c r="B657" s="2" t="s">
        <v>1539</v>
      </c>
      <c r="C657" s="3">
        <v>2</v>
      </c>
      <c r="D657" s="5">
        <v>26.99</v>
      </c>
      <c r="E657" s="3" t="s">
        <v>1540</v>
      </c>
      <c r="F657" s="2" t="s">
        <v>15</v>
      </c>
      <c r="G657" s="6" t="s">
        <v>16</v>
      </c>
      <c r="H657" s="2" t="s">
        <v>1473</v>
      </c>
      <c r="I657" s="2" t="s">
        <v>1426</v>
      </c>
      <c r="J657" s="2" t="s">
        <v>19</v>
      </c>
      <c r="K657" s="2" t="s">
        <v>353</v>
      </c>
      <c r="L657" s="7" t="str">
        <f t="shared" si="8"/>
        <v xml:space="preserve">http://slimages.macys.com/is/image/MCY/10786732 </v>
      </c>
    </row>
    <row r="658" spans="1:12" ht="24.75" x14ac:dyDescent="0.25">
      <c r="A658" s="4" t="s">
        <v>2818</v>
      </c>
      <c r="B658" s="2" t="s">
        <v>1539</v>
      </c>
      <c r="C658" s="3">
        <v>1</v>
      </c>
      <c r="D658" s="5">
        <v>26.99</v>
      </c>
      <c r="E658" s="3" t="s">
        <v>1540</v>
      </c>
      <c r="F658" s="2" t="s">
        <v>70</v>
      </c>
      <c r="G658" s="6" t="s">
        <v>22</v>
      </c>
      <c r="H658" s="2" t="s">
        <v>1473</v>
      </c>
      <c r="I658" s="2" t="s">
        <v>1426</v>
      </c>
      <c r="J658" s="2" t="s">
        <v>19</v>
      </c>
      <c r="K658" s="2" t="s">
        <v>353</v>
      </c>
      <c r="L658" s="7" t="str">
        <f t="shared" si="8"/>
        <v xml:space="preserve">http://slimages.macys.com/is/image/MCY/10786732 </v>
      </c>
    </row>
    <row r="659" spans="1:12" ht="24.75" x14ac:dyDescent="0.25">
      <c r="A659" s="4" t="s">
        <v>3956</v>
      </c>
      <c r="B659" s="2" t="s">
        <v>1539</v>
      </c>
      <c r="C659" s="3">
        <v>1</v>
      </c>
      <c r="D659" s="5">
        <v>26.99</v>
      </c>
      <c r="E659" s="3" t="s">
        <v>1540</v>
      </c>
      <c r="F659" s="2" t="s">
        <v>15</v>
      </c>
      <c r="G659" s="6" t="s">
        <v>27</v>
      </c>
      <c r="H659" s="2" t="s">
        <v>1473</v>
      </c>
      <c r="I659" s="2" t="s">
        <v>1426</v>
      </c>
      <c r="J659" s="2" t="s">
        <v>19</v>
      </c>
      <c r="K659" s="2" t="s">
        <v>353</v>
      </c>
      <c r="L659" s="7" t="str">
        <f t="shared" si="8"/>
        <v xml:space="preserve">http://slimages.macys.com/is/image/MCY/10786732 </v>
      </c>
    </row>
    <row r="660" spans="1:12" ht="24.75" x14ac:dyDescent="0.25">
      <c r="A660" s="4" t="s">
        <v>1551</v>
      </c>
      <c r="B660" s="2" t="s">
        <v>1539</v>
      </c>
      <c r="C660" s="3">
        <v>3</v>
      </c>
      <c r="D660" s="5">
        <v>26.99</v>
      </c>
      <c r="E660" s="3" t="s">
        <v>1540</v>
      </c>
      <c r="F660" s="2" t="s">
        <v>74</v>
      </c>
      <c r="G660" s="6" t="s">
        <v>141</v>
      </c>
      <c r="H660" s="2" t="s">
        <v>1473</v>
      </c>
      <c r="I660" s="2" t="s">
        <v>1426</v>
      </c>
      <c r="J660" s="2" t="s">
        <v>19</v>
      </c>
      <c r="K660" s="2" t="s">
        <v>353</v>
      </c>
      <c r="L660" s="7" t="str">
        <f t="shared" si="8"/>
        <v xml:space="preserve">http://slimages.macys.com/is/image/MCY/10786732 </v>
      </c>
    </row>
    <row r="661" spans="1:12" ht="24.75" x14ac:dyDescent="0.25">
      <c r="A661" s="4" t="s">
        <v>2821</v>
      </c>
      <c r="B661" s="2" t="s">
        <v>1539</v>
      </c>
      <c r="C661" s="3">
        <v>5</v>
      </c>
      <c r="D661" s="5">
        <v>26.99</v>
      </c>
      <c r="E661" s="3" t="s">
        <v>1540</v>
      </c>
      <c r="F661" s="2" t="s">
        <v>998</v>
      </c>
      <c r="G661" s="6" t="s">
        <v>112</v>
      </c>
      <c r="H661" s="2" t="s">
        <v>1473</v>
      </c>
      <c r="I661" s="2" t="s">
        <v>1426</v>
      </c>
      <c r="J661" s="2" t="s">
        <v>19</v>
      </c>
      <c r="K661" s="2" t="s">
        <v>353</v>
      </c>
      <c r="L661" s="7" t="str">
        <f t="shared" si="8"/>
        <v xml:space="preserve">http://slimages.macys.com/is/image/MCY/10786732 </v>
      </c>
    </row>
    <row r="662" spans="1:12" ht="24.75" x14ac:dyDescent="0.25">
      <c r="A662" s="4" t="s">
        <v>1544</v>
      </c>
      <c r="B662" s="2" t="s">
        <v>1539</v>
      </c>
      <c r="C662" s="3">
        <v>3</v>
      </c>
      <c r="D662" s="5">
        <v>26.99</v>
      </c>
      <c r="E662" s="3" t="s">
        <v>1540</v>
      </c>
      <c r="F662" s="2" t="s">
        <v>252</v>
      </c>
      <c r="G662" s="6" t="s">
        <v>112</v>
      </c>
      <c r="H662" s="2" t="s">
        <v>1473</v>
      </c>
      <c r="I662" s="2" t="s">
        <v>1426</v>
      </c>
      <c r="J662" s="2" t="s">
        <v>19</v>
      </c>
      <c r="K662" s="2" t="s">
        <v>353</v>
      </c>
      <c r="L662" s="7" t="str">
        <f t="shared" si="8"/>
        <v xml:space="preserve">http://slimages.macys.com/is/image/MCY/10786732 </v>
      </c>
    </row>
    <row r="663" spans="1:12" ht="24.75" x14ac:dyDescent="0.25">
      <c r="A663" s="4" t="s">
        <v>5980</v>
      </c>
      <c r="B663" s="2" t="s">
        <v>5981</v>
      </c>
      <c r="C663" s="3">
        <v>1</v>
      </c>
      <c r="D663" s="5">
        <v>22.13</v>
      </c>
      <c r="E663" s="3" t="s">
        <v>5982</v>
      </c>
      <c r="F663" s="2" t="s">
        <v>74</v>
      </c>
      <c r="G663" s="6" t="s">
        <v>181</v>
      </c>
      <c r="H663" s="2" t="s">
        <v>194</v>
      </c>
      <c r="I663" s="2" t="s">
        <v>195</v>
      </c>
      <c r="J663" s="2" t="s">
        <v>19</v>
      </c>
      <c r="K663" s="2" t="s">
        <v>1108</v>
      </c>
      <c r="L663" s="7" t="str">
        <f>HYPERLINK("http://slimages.macys.com/is/image/MCY/12063885 ")</f>
        <v xml:space="preserve">http://slimages.macys.com/is/image/MCY/12063885 </v>
      </c>
    </row>
    <row r="664" spans="1:12" ht="24.75" x14ac:dyDescent="0.25">
      <c r="A664" s="4" t="s">
        <v>5983</v>
      </c>
      <c r="B664" s="2" t="s">
        <v>1556</v>
      </c>
      <c r="C664" s="3">
        <v>1</v>
      </c>
      <c r="D664" s="5">
        <v>25.88</v>
      </c>
      <c r="E664" s="3">
        <v>100018059</v>
      </c>
      <c r="F664" s="2" t="s">
        <v>64</v>
      </c>
      <c r="G664" s="6" t="s">
        <v>156</v>
      </c>
      <c r="H664" s="2" t="s">
        <v>194</v>
      </c>
      <c r="I664" s="2" t="s">
        <v>195</v>
      </c>
      <c r="J664" s="2" t="s">
        <v>19</v>
      </c>
      <c r="K664" s="2" t="s">
        <v>648</v>
      </c>
      <c r="L664" s="7" t="str">
        <f>HYPERLINK("http://slimages.macys.com/is/image/MCY/9795496 ")</f>
        <v xml:space="preserve">http://slimages.macys.com/is/image/MCY/9795496 </v>
      </c>
    </row>
    <row r="665" spans="1:12" ht="24.75" x14ac:dyDescent="0.25">
      <c r="A665" s="4" t="s">
        <v>2833</v>
      </c>
      <c r="B665" s="2" t="s">
        <v>1556</v>
      </c>
      <c r="C665" s="3">
        <v>1</v>
      </c>
      <c r="D665" s="5">
        <v>25.88</v>
      </c>
      <c r="E665" s="3">
        <v>100018059</v>
      </c>
      <c r="F665" s="2" t="s">
        <v>64</v>
      </c>
      <c r="G665" s="6" t="s">
        <v>234</v>
      </c>
      <c r="H665" s="2" t="s">
        <v>194</v>
      </c>
      <c r="I665" s="2" t="s">
        <v>195</v>
      </c>
      <c r="J665" s="2" t="s">
        <v>19</v>
      </c>
      <c r="K665" s="2" t="s">
        <v>648</v>
      </c>
      <c r="L665" s="7" t="str">
        <f>HYPERLINK("http://slimages.macys.com/is/image/MCY/9795496 ")</f>
        <v xml:space="preserve">http://slimages.macys.com/is/image/MCY/9795496 </v>
      </c>
    </row>
    <row r="666" spans="1:12" ht="24.75" x14ac:dyDescent="0.25">
      <c r="A666" s="4" t="s">
        <v>5984</v>
      </c>
      <c r="B666" s="2" t="s">
        <v>1556</v>
      </c>
      <c r="C666" s="3">
        <v>2</v>
      </c>
      <c r="D666" s="5">
        <v>25.88</v>
      </c>
      <c r="E666" s="3">
        <v>100018059</v>
      </c>
      <c r="F666" s="2" t="s">
        <v>15</v>
      </c>
      <c r="G666" s="6" t="s">
        <v>245</v>
      </c>
      <c r="H666" s="2" t="s">
        <v>194</v>
      </c>
      <c r="I666" s="2" t="s">
        <v>195</v>
      </c>
      <c r="J666" s="2" t="s">
        <v>19</v>
      </c>
      <c r="K666" s="2" t="s">
        <v>648</v>
      </c>
      <c r="L666" s="7" t="str">
        <f>HYPERLINK("http://slimages.macys.com/is/image/MCY/9795496 ")</f>
        <v xml:space="preserve">http://slimages.macys.com/is/image/MCY/9795496 </v>
      </c>
    </row>
    <row r="667" spans="1:12" ht="24.75" x14ac:dyDescent="0.25">
      <c r="A667" s="4" t="s">
        <v>2838</v>
      </c>
      <c r="B667" s="2" t="s">
        <v>2836</v>
      </c>
      <c r="C667" s="3">
        <v>1</v>
      </c>
      <c r="D667" s="5">
        <v>36.5</v>
      </c>
      <c r="E667" s="3" t="s">
        <v>2837</v>
      </c>
      <c r="F667" s="2" t="s">
        <v>15</v>
      </c>
      <c r="G667" s="6" t="s">
        <v>181</v>
      </c>
      <c r="H667" s="2" t="s">
        <v>194</v>
      </c>
      <c r="I667" s="2" t="s">
        <v>195</v>
      </c>
      <c r="J667" s="2" t="s">
        <v>19</v>
      </c>
      <c r="K667" s="2" t="s">
        <v>247</v>
      </c>
      <c r="L667" s="7" t="str">
        <f>HYPERLINK("http://slimages.macys.com/is/image/MCY/12063852 ")</f>
        <v xml:space="preserve">http://slimages.macys.com/is/image/MCY/12063852 </v>
      </c>
    </row>
    <row r="668" spans="1:12" ht="36.75" x14ac:dyDescent="0.25">
      <c r="A668" s="4" t="s">
        <v>5985</v>
      </c>
      <c r="B668" s="2" t="s">
        <v>1575</v>
      </c>
      <c r="C668" s="3">
        <v>1</v>
      </c>
      <c r="D668" s="5">
        <v>33.380000000000003</v>
      </c>
      <c r="E668" s="3" t="s">
        <v>1576</v>
      </c>
      <c r="F668" s="2" t="s">
        <v>15</v>
      </c>
      <c r="G668" s="6" t="s">
        <v>234</v>
      </c>
      <c r="H668" s="2" t="s">
        <v>194</v>
      </c>
      <c r="I668" s="2" t="s">
        <v>195</v>
      </c>
      <c r="J668" s="2" t="s">
        <v>19</v>
      </c>
      <c r="K668" s="2" t="s">
        <v>1577</v>
      </c>
      <c r="L668" s="7" t="str">
        <f>HYPERLINK("http://slimages.macys.com/is/image/MCY/12734297 ")</f>
        <v xml:space="preserve">http://slimages.macys.com/is/image/MCY/12734297 </v>
      </c>
    </row>
    <row r="669" spans="1:12" ht="24.75" x14ac:dyDescent="0.25">
      <c r="A669" s="4" t="s">
        <v>2850</v>
      </c>
      <c r="B669" s="2" t="s">
        <v>1586</v>
      </c>
      <c r="C669" s="3">
        <v>1</v>
      </c>
      <c r="D669" s="5">
        <v>21.99</v>
      </c>
      <c r="E669" s="3" t="s">
        <v>1587</v>
      </c>
      <c r="F669" s="2" t="s">
        <v>252</v>
      </c>
      <c r="G669" s="6"/>
      <c r="H669" s="2" t="s">
        <v>1425</v>
      </c>
      <c r="I669" s="2" t="s">
        <v>1426</v>
      </c>
      <c r="J669" s="2" t="s">
        <v>19</v>
      </c>
      <c r="K669" s="2" t="s">
        <v>34</v>
      </c>
      <c r="L669" s="7" t="str">
        <f>HYPERLINK("http://slimages.macys.com/is/image/MCY/11174709 ")</f>
        <v xml:space="preserve">http://slimages.macys.com/is/image/MCY/11174709 </v>
      </c>
    </row>
    <row r="670" spans="1:12" ht="24.75" x14ac:dyDescent="0.25">
      <c r="A670" s="4" t="s">
        <v>5986</v>
      </c>
      <c r="B670" s="2" t="s">
        <v>3983</v>
      </c>
      <c r="C670" s="3">
        <v>1</v>
      </c>
      <c r="D670" s="5">
        <v>24.99</v>
      </c>
      <c r="E670" s="3" t="s">
        <v>3984</v>
      </c>
      <c r="F670" s="2" t="s">
        <v>74</v>
      </c>
      <c r="G670" s="6" t="s">
        <v>245</v>
      </c>
      <c r="H670" s="2" t="s">
        <v>1522</v>
      </c>
      <c r="I670" s="2" t="s">
        <v>1469</v>
      </c>
      <c r="J670" s="2" t="s">
        <v>19</v>
      </c>
      <c r="K670" s="2" t="s">
        <v>353</v>
      </c>
      <c r="L670" s="7" t="str">
        <f>HYPERLINK("http://slimages.macys.com/is/image/MCY/10888125 ")</f>
        <v xml:space="preserve">http://slimages.macys.com/is/image/MCY/10888125 </v>
      </c>
    </row>
    <row r="671" spans="1:12" ht="24.75" x14ac:dyDescent="0.25">
      <c r="A671" s="4" t="s">
        <v>5987</v>
      </c>
      <c r="B671" s="2" t="s">
        <v>5988</v>
      </c>
      <c r="C671" s="3">
        <v>2</v>
      </c>
      <c r="D671" s="5">
        <v>24.99</v>
      </c>
      <c r="E671" s="3" t="s">
        <v>5989</v>
      </c>
      <c r="F671" s="2" t="s">
        <v>15</v>
      </c>
      <c r="G671" s="6" t="s">
        <v>154</v>
      </c>
      <c r="H671" s="2" t="s">
        <v>1522</v>
      </c>
      <c r="I671" s="2" t="s">
        <v>1469</v>
      </c>
      <c r="J671" s="2"/>
      <c r="K671" s="2"/>
      <c r="L671" s="7" t="str">
        <f>HYPERLINK("http://slimages.macys.com/is/image/MCY/10471300 ")</f>
        <v xml:space="preserve">http://slimages.macys.com/is/image/MCY/10471300 </v>
      </c>
    </row>
    <row r="672" spans="1:12" ht="24.75" x14ac:dyDescent="0.25">
      <c r="A672" s="4" t="s">
        <v>5990</v>
      </c>
      <c r="B672" s="2" t="s">
        <v>1600</v>
      </c>
      <c r="C672" s="3">
        <v>1</v>
      </c>
      <c r="D672" s="5">
        <v>21.99</v>
      </c>
      <c r="E672" s="3" t="s">
        <v>1601</v>
      </c>
      <c r="F672" s="2" t="s">
        <v>74</v>
      </c>
      <c r="G672" s="6" t="s">
        <v>187</v>
      </c>
      <c r="H672" s="2" t="s">
        <v>1425</v>
      </c>
      <c r="I672" s="2" t="s">
        <v>1426</v>
      </c>
      <c r="J672" s="2"/>
      <c r="K672" s="2"/>
      <c r="L672" s="7" t="str">
        <f>HYPERLINK("http://slimages.macys.com/is/image/MCY/10205122 ")</f>
        <v xml:space="preserve">http://slimages.macys.com/is/image/MCY/10205122 </v>
      </c>
    </row>
    <row r="673" spans="1:12" ht="24.75" x14ac:dyDescent="0.25">
      <c r="A673" s="4" t="s">
        <v>2854</v>
      </c>
      <c r="B673" s="2" t="s">
        <v>1586</v>
      </c>
      <c r="C673" s="3">
        <v>1</v>
      </c>
      <c r="D673" s="5">
        <v>21.99</v>
      </c>
      <c r="E673" s="3" t="s">
        <v>1587</v>
      </c>
      <c r="F673" s="2" t="s">
        <v>136</v>
      </c>
      <c r="G673" s="6"/>
      <c r="H673" s="2" t="s">
        <v>1425</v>
      </c>
      <c r="I673" s="2" t="s">
        <v>1426</v>
      </c>
      <c r="J673" s="2" t="s">
        <v>19</v>
      </c>
      <c r="K673" s="2" t="s">
        <v>34</v>
      </c>
      <c r="L673" s="7" t="str">
        <f>HYPERLINK("http://slimages.macys.com/is/image/MCY/11174709 ")</f>
        <v xml:space="preserve">http://slimages.macys.com/is/image/MCY/11174709 </v>
      </c>
    </row>
    <row r="674" spans="1:12" ht="24.75" x14ac:dyDescent="0.25">
      <c r="A674" s="4" t="s">
        <v>1619</v>
      </c>
      <c r="B674" s="2" t="s">
        <v>1612</v>
      </c>
      <c r="C674" s="3">
        <v>1</v>
      </c>
      <c r="D674" s="5">
        <v>19.989999999999998</v>
      </c>
      <c r="E674" s="3" t="s">
        <v>1613</v>
      </c>
      <c r="F674" s="2" t="s">
        <v>1614</v>
      </c>
      <c r="G674" s="6" t="s">
        <v>181</v>
      </c>
      <c r="H674" s="2" t="s">
        <v>194</v>
      </c>
      <c r="I674" s="2" t="s">
        <v>195</v>
      </c>
      <c r="J674" s="2" t="s">
        <v>19</v>
      </c>
      <c r="K674" s="2" t="s">
        <v>247</v>
      </c>
      <c r="L674" s="7" t="str">
        <f>HYPERLINK("http://slimages.macys.com/is/image/MCY/11261943 ")</f>
        <v xml:space="preserve">http://slimages.macys.com/is/image/MCY/11261943 </v>
      </c>
    </row>
    <row r="675" spans="1:12" ht="24.75" x14ac:dyDescent="0.25">
      <c r="A675" s="4" t="s">
        <v>5991</v>
      </c>
      <c r="B675" s="2" t="s">
        <v>1612</v>
      </c>
      <c r="C675" s="3">
        <v>1</v>
      </c>
      <c r="D675" s="5">
        <v>19.989999999999998</v>
      </c>
      <c r="E675" s="3" t="s">
        <v>1613</v>
      </c>
      <c r="F675" s="2" t="s">
        <v>1614</v>
      </c>
      <c r="G675" s="6" t="s">
        <v>156</v>
      </c>
      <c r="H675" s="2" t="s">
        <v>194</v>
      </c>
      <c r="I675" s="2" t="s">
        <v>195</v>
      </c>
      <c r="J675" s="2" t="s">
        <v>19</v>
      </c>
      <c r="K675" s="2" t="s">
        <v>247</v>
      </c>
      <c r="L675" s="7" t="str">
        <f>HYPERLINK("http://slimages.macys.com/is/image/MCY/11261943 ")</f>
        <v xml:space="preserve">http://slimages.macys.com/is/image/MCY/11261943 </v>
      </c>
    </row>
    <row r="676" spans="1:12" ht="24.75" x14ac:dyDescent="0.25">
      <c r="A676" s="4" t="s">
        <v>2866</v>
      </c>
      <c r="B676" s="2" t="s">
        <v>2859</v>
      </c>
      <c r="C676" s="3">
        <v>1</v>
      </c>
      <c r="D676" s="5">
        <v>24.99</v>
      </c>
      <c r="E676" s="3" t="s">
        <v>2860</v>
      </c>
      <c r="F676" s="2" t="s">
        <v>252</v>
      </c>
      <c r="G676" s="6" t="s">
        <v>187</v>
      </c>
      <c r="H676" s="2" t="s">
        <v>1425</v>
      </c>
      <c r="I676" s="2" t="s">
        <v>1426</v>
      </c>
      <c r="J676" s="2" t="s">
        <v>19</v>
      </c>
      <c r="K676" s="2" t="s">
        <v>648</v>
      </c>
      <c r="L676" s="7" t="str">
        <f>HYPERLINK("http://slimages.macys.com/is/image/MCY/11915841 ")</f>
        <v xml:space="preserve">http://slimages.macys.com/is/image/MCY/11915841 </v>
      </c>
    </row>
    <row r="677" spans="1:12" ht="24.75" x14ac:dyDescent="0.25">
      <c r="A677" s="4" t="s">
        <v>1626</v>
      </c>
      <c r="B677" s="2" t="s">
        <v>1627</v>
      </c>
      <c r="C677" s="3">
        <v>1</v>
      </c>
      <c r="D677" s="5">
        <v>25.88</v>
      </c>
      <c r="E677" s="3" t="s">
        <v>1628</v>
      </c>
      <c r="F677" s="2" t="s">
        <v>70</v>
      </c>
      <c r="G677" s="6" t="s">
        <v>245</v>
      </c>
      <c r="H677" s="2" t="s">
        <v>194</v>
      </c>
      <c r="I677" s="2" t="s">
        <v>195</v>
      </c>
      <c r="J677" s="2" t="s">
        <v>19</v>
      </c>
      <c r="K677" s="2" t="s">
        <v>1629</v>
      </c>
      <c r="L677" s="7" t="str">
        <f>HYPERLINK("http://slimages.macys.com/is/image/MCY/11531058 ")</f>
        <v xml:space="preserve">http://slimages.macys.com/is/image/MCY/11531058 </v>
      </c>
    </row>
    <row r="678" spans="1:12" ht="24.75" x14ac:dyDescent="0.25">
      <c r="A678" s="4" t="s">
        <v>5061</v>
      </c>
      <c r="B678" s="2" t="s">
        <v>1627</v>
      </c>
      <c r="C678" s="3">
        <v>1</v>
      </c>
      <c r="D678" s="5">
        <v>25.88</v>
      </c>
      <c r="E678" s="3" t="s">
        <v>1628</v>
      </c>
      <c r="F678" s="2" t="s">
        <v>70</v>
      </c>
      <c r="G678" s="6" t="s">
        <v>154</v>
      </c>
      <c r="H678" s="2" t="s">
        <v>194</v>
      </c>
      <c r="I678" s="2" t="s">
        <v>195</v>
      </c>
      <c r="J678" s="2" t="s">
        <v>19</v>
      </c>
      <c r="K678" s="2" t="s">
        <v>1629</v>
      </c>
      <c r="L678" s="7" t="str">
        <f>HYPERLINK("http://slimages.macys.com/is/image/MCY/11531058 ")</f>
        <v xml:space="preserve">http://slimages.macys.com/is/image/MCY/11531058 </v>
      </c>
    </row>
    <row r="679" spans="1:12" ht="24.75" x14ac:dyDescent="0.25">
      <c r="A679" s="4" t="s">
        <v>1634</v>
      </c>
      <c r="B679" s="2" t="s">
        <v>1635</v>
      </c>
      <c r="C679" s="3">
        <v>1</v>
      </c>
      <c r="D679" s="5">
        <v>25.88</v>
      </c>
      <c r="E679" s="3">
        <v>100011992</v>
      </c>
      <c r="F679" s="2" t="s">
        <v>64</v>
      </c>
      <c r="G679" s="6" t="s">
        <v>156</v>
      </c>
      <c r="H679" s="2" t="s">
        <v>194</v>
      </c>
      <c r="I679" s="2" t="s">
        <v>195</v>
      </c>
      <c r="J679" s="2" t="s">
        <v>19</v>
      </c>
      <c r="K679" s="2" t="s">
        <v>1617</v>
      </c>
      <c r="L679" s="7" t="str">
        <f>HYPERLINK("http://slimages.macys.com/is/image/MCY/13314771 ")</f>
        <v xml:space="preserve">http://slimages.macys.com/is/image/MCY/13314771 </v>
      </c>
    </row>
    <row r="680" spans="1:12" ht="24.75" x14ac:dyDescent="0.25">
      <c r="A680" s="4" t="s">
        <v>5992</v>
      </c>
      <c r="B680" s="2" t="s">
        <v>2874</v>
      </c>
      <c r="C680" s="3">
        <v>1</v>
      </c>
      <c r="D680" s="5">
        <v>24.99</v>
      </c>
      <c r="E680" s="3" t="s">
        <v>2875</v>
      </c>
      <c r="F680" s="2" t="s">
        <v>33</v>
      </c>
      <c r="G680" s="6" t="s">
        <v>219</v>
      </c>
      <c r="H680" s="2" t="s">
        <v>1425</v>
      </c>
      <c r="I680" s="2" t="s">
        <v>1469</v>
      </c>
      <c r="J680" s="2" t="s">
        <v>19</v>
      </c>
      <c r="K680" s="2" t="s">
        <v>648</v>
      </c>
      <c r="L680" s="7" t="str">
        <f>HYPERLINK("http://slimages.macys.com/is/image/MCY/11417681 ")</f>
        <v xml:space="preserve">http://slimages.macys.com/is/image/MCY/11417681 </v>
      </c>
    </row>
    <row r="681" spans="1:12" ht="24.75" x14ac:dyDescent="0.25">
      <c r="A681" s="4" t="s">
        <v>1639</v>
      </c>
      <c r="B681" s="2" t="s">
        <v>1635</v>
      </c>
      <c r="C681" s="3">
        <v>1</v>
      </c>
      <c r="D681" s="5">
        <v>25.88</v>
      </c>
      <c r="E681" s="3">
        <v>100011992</v>
      </c>
      <c r="F681" s="2" t="s">
        <v>64</v>
      </c>
      <c r="G681" s="6" t="s">
        <v>234</v>
      </c>
      <c r="H681" s="2" t="s">
        <v>194</v>
      </c>
      <c r="I681" s="2" t="s">
        <v>195</v>
      </c>
      <c r="J681" s="2" t="s">
        <v>19</v>
      </c>
      <c r="K681" s="2" t="s">
        <v>1617</v>
      </c>
      <c r="L681" s="7" t="str">
        <f>HYPERLINK("http://slimages.macys.com/is/image/MCY/13314771 ")</f>
        <v xml:space="preserve">http://slimages.macys.com/is/image/MCY/13314771 </v>
      </c>
    </row>
    <row r="682" spans="1:12" ht="24.75" x14ac:dyDescent="0.25">
      <c r="A682" s="4" t="s">
        <v>3993</v>
      </c>
      <c r="B682" s="2" t="s">
        <v>2878</v>
      </c>
      <c r="C682" s="3">
        <v>2</v>
      </c>
      <c r="D682" s="5">
        <v>29.63</v>
      </c>
      <c r="E682" s="3" t="s">
        <v>2879</v>
      </c>
      <c r="F682" s="2" t="s">
        <v>64</v>
      </c>
      <c r="G682" s="6" t="s">
        <v>234</v>
      </c>
      <c r="H682" s="2" t="s">
        <v>194</v>
      </c>
      <c r="I682" s="2" t="s">
        <v>195</v>
      </c>
      <c r="J682" s="2" t="s">
        <v>19</v>
      </c>
      <c r="K682" s="2" t="s">
        <v>1108</v>
      </c>
      <c r="L682" s="7" t="str">
        <f>HYPERLINK("http://slimages.macys.com/is/image/MCY/12144113 ")</f>
        <v xml:space="preserve">http://slimages.macys.com/is/image/MCY/12144113 </v>
      </c>
    </row>
    <row r="683" spans="1:12" ht="24.75" x14ac:dyDescent="0.25">
      <c r="A683" s="4" t="s">
        <v>1644</v>
      </c>
      <c r="B683" s="2" t="s">
        <v>1645</v>
      </c>
      <c r="C683" s="3">
        <v>1</v>
      </c>
      <c r="D683" s="5">
        <v>19.989999999999998</v>
      </c>
      <c r="E683" s="3" t="s">
        <v>1646</v>
      </c>
      <c r="F683" s="2" t="s">
        <v>70</v>
      </c>
      <c r="G683" s="6" t="s">
        <v>181</v>
      </c>
      <c r="H683" s="2" t="s">
        <v>194</v>
      </c>
      <c r="I683" s="2" t="s">
        <v>195</v>
      </c>
      <c r="J683" s="2" t="s">
        <v>19</v>
      </c>
      <c r="K683" s="2" t="s">
        <v>1647</v>
      </c>
      <c r="L683" s="7" t="str">
        <f>HYPERLINK("http://slimages.macys.com/is/image/MCY/11701460 ")</f>
        <v xml:space="preserve">http://slimages.macys.com/is/image/MCY/11701460 </v>
      </c>
    </row>
    <row r="684" spans="1:12" ht="24.75" x14ac:dyDescent="0.25">
      <c r="A684" s="4" t="s">
        <v>1665</v>
      </c>
      <c r="B684" s="2" t="s">
        <v>1645</v>
      </c>
      <c r="C684" s="3">
        <v>1</v>
      </c>
      <c r="D684" s="5">
        <v>19.989999999999998</v>
      </c>
      <c r="E684" s="3" t="s">
        <v>1646</v>
      </c>
      <c r="F684" s="2" t="s">
        <v>820</v>
      </c>
      <c r="G684" s="6" t="s">
        <v>154</v>
      </c>
      <c r="H684" s="2" t="s">
        <v>194</v>
      </c>
      <c r="I684" s="2" t="s">
        <v>195</v>
      </c>
      <c r="J684" s="2" t="s">
        <v>19</v>
      </c>
      <c r="K684" s="2" t="s">
        <v>1647</v>
      </c>
      <c r="L684" s="7" t="str">
        <f>HYPERLINK("http://slimages.macys.com/is/image/MCY/12405276 ")</f>
        <v xml:space="preserve">http://slimages.macys.com/is/image/MCY/12405276 </v>
      </c>
    </row>
    <row r="685" spans="1:12" ht="24.75" x14ac:dyDescent="0.25">
      <c r="A685" s="4" t="s">
        <v>5993</v>
      </c>
      <c r="B685" s="2" t="s">
        <v>1645</v>
      </c>
      <c r="C685" s="3">
        <v>1</v>
      </c>
      <c r="D685" s="5">
        <v>19.989999999999998</v>
      </c>
      <c r="E685" s="3" t="s">
        <v>1646</v>
      </c>
      <c r="F685" s="2" t="s">
        <v>15</v>
      </c>
      <c r="G685" s="6" t="s">
        <v>181</v>
      </c>
      <c r="H685" s="2" t="s">
        <v>194</v>
      </c>
      <c r="I685" s="2" t="s">
        <v>195</v>
      </c>
      <c r="J685" s="2" t="s">
        <v>19</v>
      </c>
      <c r="K685" s="2" t="s">
        <v>1647</v>
      </c>
      <c r="L685" s="7" t="str">
        <f>HYPERLINK("http://slimages.macys.com/is/image/MCY/12405276 ")</f>
        <v xml:space="preserve">http://slimages.macys.com/is/image/MCY/12405276 </v>
      </c>
    </row>
    <row r="686" spans="1:12" ht="24.75" x14ac:dyDescent="0.25">
      <c r="A686" s="4" t="s">
        <v>5994</v>
      </c>
      <c r="B686" s="2" t="s">
        <v>3995</v>
      </c>
      <c r="C686" s="3">
        <v>1</v>
      </c>
      <c r="D686" s="5">
        <v>19.989999999999998</v>
      </c>
      <c r="E686" s="3" t="s">
        <v>3996</v>
      </c>
      <c r="F686" s="2" t="s">
        <v>170</v>
      </c>
      <c r="G686" s="6" t="s">
        <v>156</v>
      </c>
      <c r="H686" s="2" t="s">
        <v>194</v>
      </c>
      <c r="I686" s="2" t="s">
        <v>195</v>
      </c>
      <c r="J686" s="2" t="s">
        <v>19</v>
      </c>
      <c r="K686" s="2" t="s">
        <v>247</v>
      </c>
      <c r="L686" s="7" t="str">
        <f>HYPERLINK("http://slimages.macys.com/is/image/MCY/12143893 ")</f>
        <v xml:space="preserve">http://slimages.macys.com/is/image/MCY/12143893 </v>
      </c>
    </row>
    <row r="687" spans="1:12" ht="24.75" x14ac:dyDescent="0.25">
      <c r="A687" s="4" t="s">
        <v>1660</v>
      </c>
      <c r="B687" s="2" t="s">
        <v>1645</v>
      </c>
      <c r="C687" s="3">
        <v>1</v>
      </c>
      <c r="D687" s="5">
        <v>19.989999999999998</v>
      </c>
      <c r="E687" s="3" t="s">
        <v>1646</v>
      </c>
      <c r="F687" s="2" t="s">
        <v>70</v>
      </c>
      <c r="G687" s="6" t="s">
        <v>154</v>
      </c>
      <c r="H687" s="2" t="s">
        <v>194</v>
      </c>
      <c r="I687" s="2" t="s">
        <v>195</v>
      </c>
      <c r="J687" s="2" t="s">
        <v>19</v>
      </c>
      <c r="K687" s="2" t="s">
        <v>1647</v>
      </c>
      <c r="L687" s="7" t="str">
        <f>HYPERLINK("http://slimages.macys.com/is/image/MCY/11701460 ")</f>
        <v xml:space="preserve">http://slimages.macys.com/is/image/MCY/11701460 </v>
      </c>
    </row>
    <row r="688" spans="1:12" ht="24.75" x14ac:dyDescent="0.25">
      <c r="A688" s="4" t="s">
        <v>5995</v>
      </c>
      <c r="B688" s="2" t="s">
        <v>1649</v>
      </c>
      <c r="C688" s="3">
        <v>1</v>
      </c>
      <c r="D688" s="5">
        <v>19.989999999999998</v>
      </c>
      <c r="E688" s="3" t="s">
        <v>1650</v>
      </c>
      <c r="F688" s="2" t="s">
        <v>820</v>
      </c>
      <c r="G688" s="6" t="s">
        <v>245</v>
      </c>
      <c r="H688" s="2" t="s">
        <v>194</v>
      </c>
      <c r="I688" s="2" t="s">
        <v>195</v>
      </c>
      <c r="J688" s="2" t="s">
        <v>19</v>
      </c>
      <c r="K688" s="2" t="s">
        <v>247</v>
      </c>
      <c r="L688" s="7" t="str">
        <f>HYPERLINK("http://slimages.macys.com/is/image/MCY/11466486 ")</f>
        <v xml:space="preserve">http://slimages.macys.com/is/image/MCY/11466486 </v>
      </c>
    </row>
    <row r="689" spans="1:12" ht="24.75" x14ac:dyDescent="0.25">
      <c r="A689" s="4" t="s">
        <v>2888</v>
      </c>
      <c r="B689" s="2" t="s">
        <v>1689</v>
      </c>
      <c r="C689" s="3">
        <v>1</v>
      </c>
      <c r="D689" s="5">
        <v>25.88</v>
      </c>
      <c r="E689" s="3" t="s">
        <v>1690</v>
      </c>
      <c r="F689" s="2" t="s">
        <v>1584</v>
      </c>
      <c r="G689" s="6" t="s">
        <v>154</v>
      </c>
      <c r="H689" s="2" t="s">
        <v>194</v>
      </c>
      <c r="I689" s="2" t="s">
        <v>195</v>
      </c>
      <c r="J689" s="2" t="s">
        <v>19</v>
      </c>
      <c r="K689" s="2" t="s">
        <v>648</v>
      </c>
      <c r="L689" s="7" t="str">
        <f>HYPERLINK("http://slimages.macys.com/is/image/MCY/3650047 ")</f>
        <v xml:space="preserve">http://slimages.macys.com/is/image/MCY/3650047 </v>
      </c>
    </row>
    <row r="690" spans="1:12" ht="24.75" x14ac:dyDescent="0.25">
      <c r="A690" s="4" t="s">
        <v>5996</v>
      </c>
      <c r="B690" s="2" t="s">
        <v>1689</v>
      </c>
      <c r="C690" s="3">
        <v>1</v>
      </c>
      <c r="D690" s="5">
        <v>25.88</v>
      </c>
      <c r="E690" s="3" t="s">
        <v>1690</v>
      </c>
      <c r="F690" s="2" t="s">
        <v>752</v>
      </c>
      <c r="G690" s="6" t="s">
        <v>234</v>
      </c>
      <c r="H690" s="2" t="s">
        <v>194</v>
      </c>
      <c r="I690" s="2" t="s">
        <v>195</v>
      </c>
      <c r="J690" s="2" t="s">
        <v>19</v>
      </c>
      <c r="K690" s="2" t="s">
        <v>648</v>
      </c>
      <c r="L690" s="7" t="str">
        <f>HYPERLINK("http://slimages.macys.com/is/image/MCY/3650047 ")</f>
        <v xml:space="preserve">http://slimages.macys.com/is/image/MCY/3650047 </v>
      </c>
    </row>
    <row r="691" spans="1:12" ht="24.75" x14ac:dyDescent="0.25">
      <c r="A691" s="4" t="s">
        <v>5997</v>
      </c>
      <c r="B691" s="2" t="s">
        <v>1689</v>
      </c>
      <c r="C691" s="3">
        <v>1</v>
      </c>
      <c r="D691" s="5">
        <v>25.88</v>
      </c>
      <c r="E691" s="3" t="s">
        <v>1690</v>
      </c>
      <c r="F691" s="2" t="s">
        <v>33</v>
      </c>
      <c r="G691" s="6" t="s">
        <v>181</v>
      </c>
      <c r="H691" s="2" t="s">
        <v>194</v>
      </c>
      <c r="I691" s="2" t="s">
        <v>195</v>
      </c>
      <c r="J691" s="2" t="s">
        <v>19</v>
      </c>
      <c r="K691" s="2" t="s">
        <v>648</v>
      </c>
      <c r="L691" s="7" t="str">
        <f>HYPERLINK("http://slimages.macys.com/is/image/MCY/3650047 ")</f>
        <v xml:space="preserve">http://slimages.macys.com/is/image/MCY/3650047 </v>
      </c>
    </row>
    <row r="692" spans="1:12" ht="24.75" x14ac:dyDescent="0.25">
      <c r="A692" s="4" t="s">
        <v>1682</v>
      </c>
      <c r="B692" s="2" t="s">
        <v>1683</v>
      </c>
      <c r="C692" s="3">
        <v>1</v>
      </c>
      <c r="D692" s="5">
        <v>37.130000000000003</v>
      </c>
      <c r="E692" s="3" t="s">
        <v>1684</v>
      </c>
      <c r="F692" s="2" t="s">
        <v>74</v>
      </c>
      <c r="G692" s="6" t="s">
        <v>245</v>
      </c>
      <c r="H692" s="2" t="s">
        <v>194</v>
      </c>
      <c r="I692" s="2" t="s">
        <v>195</v>
      </c>
      <c r="J692" s="2" t="s">
        <v>19</v>
      </c>
      <c r="K692" s="2" t="s">
        <v>247</v>
      </c>
      <c r="L692" s="7" t="str">
        <f>HYPERLINK("http://slimages.macys.com/is/image/MCY/13121030 ")</f>
        <v xml:space="preserve">http://slimages.macys.com/is/image/MCY/13121030 </v>
      </c>
    </row>
    <row r="693" spans="1:12" ht="24.75" x14ac:dyDescent="0.25">
      <c r="A693" s="4" t="s">
        <v>5998</v>
      </c>
      <c r="B693" s="2" t="s">
        <v>1689</v>
      </c>
      <c r="C693" s="3">
        <v>1</v>
      </c>
      <c r="D693" s="5">
        <v>25.88</v>
      </c>
      <c r="E693" s="3" t="s">
        <v>1690</v>
      </c>
      <c r="F693" s="2" t="s">
        <v>494</v>
      </c>
      <c r="G693" s="6" t="s">
        <v>154</v>
      </c>
      <c r="H693" s="2" t="s">
        <v>194</v>
      </c>
      <c r="I693" s="2" t="s">
        <v>195</v>
      </c>
      <c r="J693" s="2" t="s">
        <v>19</v>
      </c>
      <c r="K693" s="2" t="s">
        <v>648</v>
      </c>
      <c r="L693" s="7" t="str">
        <f>HYPERLINK("http://slimages.macys.com/is/image/MCY/3650047 ")</f>
        <v xml:space="preserve">http://slimages.macys.com/is/image/MCY/3650047 </v>
      </c>
    </row>
    <row r="694" spans="1:12" ht="24.75" x14ac:dyDescent="0.25">
      <c r="A694" s="4" t="s">
        <v>5999</v>
      </c>
      <c r="B694" s="2" t="s">
        <v>1572</v>
      </c>
      <c r="C694" s="3">
        <v>2</v>
      </c>
      <c r="D694" s="5">
        <v>36.5</v>
      </c>
      <c r="E694" s="3" t="s">
        <v>5074</v>
      </c>
      <c r="F694" s="2" t="s">
        <v>1322</v>
      </c>
      <c r="G694" s="6" t="s">
        <v>181</v>
      </c>
      <c r="H694" s="2" t="s">
        <v>194</v>
      </c>
      <c r="I694" s="2" t="s">
        <v>195</v>
      </c>
      <c r="J694" s="2" t="s">
        <v>19</v>
      </c>
      <c r="K694" s="2" t="s">
        <v>247</v>
      </c>
      <c r="L694" s="7" t="str">
        <f>HYPERLINK("http://slimages.macys.com/is/image/MCY/12063852 ")</f>
        <v xml:space="preserve">http://slimages.macys.com/is/image/MCY/12063852 </v>
      </c>
    </row>
    <row r="695" spans="1:12" ht="24.75" x14ac:dyDescent="0.25">
      <c r="A695" s="4" t="s">
        <v>6000</v>
      </c>
      <c r="B695" s="2" t="s">
        <v>2892</v>
      </c>
      <c r="C695" s="3">
        <v>1</v>
      </c>
      <c r="D695" s="5">
        <v>19.989999999999998</v>
      </c>
      <c r="E695" s="3" t="s">
        <v>2893</v>
      </c>
      <c r="F695" s="2" t="s">
        <v>94</v>
      </c>
      <c r="G695" s="6" t="s">
        <v>156</v>
      </c>
      <c r="H695" s="2" t="s">
        <v>1473</v>
      </c>
      <c r="I695" s="2" t="s">
        <v>1426</v>
      </c>
      <c r="J695" s="2" t="s">
        <v>19</v>
      </c>
      <c r="K695" s="2" t="s">
        <v>495</v>
      </c>
      <c r="L695" s="7" t="str">
        <f>HYPERLINK("http://slimages.macys.com/is/image/MCY/12550012 ")</f>
        <v xml:space="preserve">http://slimages.macys.com/is/image/MCY/12550012 </v>
      </c>
    </row>
    <row r="696" spans="1:12" ht="24.75" x14ac:dyDescent="0.25">
      <c r="A696" s="4" t="s">
        <v>6001</v>
      </c>
      <c r="B696" s="2" t="s">
        <v>2892</v>
      </c>
      <c r="C696" s="3">
        <v>1</v>
      </c>
      <c r="D696" s="5">
        <v>19.989999999999998</v>
      </c>
      <c r="E696" s="3" t="s">
        <v>2893</v>
      </c>
      <c r="F696" s="2" t="s">
        <v>70</v>
      </c>
      <c r="G696" s="6" t="s">
        <v>156</v>
      </c>
      <c r="H696" s="2" t="s">
        <v>1473</v>
      </c>
      <c r="I696" s="2" t="s">
        <v>1426</v>
      </c>
      <c r="J696" s="2" t="s">
        <v>19</v>
      </c>
      <c r="K696" s="2" t="s">
        <v>495</v>
      </c>
      <c r="L696" s="7" t="str">
        <f>HYPERLINK("http://slimages.macys.com/is/image/MCY/12550012 ")</f>
        <v xml:space="preserve">http://slimages.macys.com/is/image/MCY/12550012 </v>
      </c>
    </row>
    <row r="697" spans="1:12" ht="24.75" x14ac:dyDescent="0.25">
      <c r="A697" s="4" t="s">
        <v>6002</v>
      </c>
      <c r="B697" s="2" t="s">
        <v>6003</v>
      </c>
      <c r="C697" s="3">
        <v>1</v>
      </c>
      <c r="D697" s="5">
        <v>24.37</v>
      </c>
      <c r="E697" s="3" t="s">
        <v>6004</v>
      </c>
      <c r="F697" s="2" t="s">
        <v>33</v>
      </c>
      <c r="G697" s="6"/>
      <c r="H697" s="2" t="s">
        <v>312</v>
      </c>
      <c r="I697" s="2" t="s">
        <v>580</v>
      </c>
      <c r="J697" s="2"/>
      <c r="K697" s="2"/>
      <c r="L697" s="7" t="str">
        <f>HYPERLINK("http://slimages.macys.com/is/image/MCY/9743378 ")</f>
        <v xml:space="preserve">http://slimages.macys.com/is/image/MCY/9743378 </v>
      </c>
    </row>
    <row r="698" spans="1:12" ht="36.75" x14ac:dyDescent="0.25">
      <c r="A698" s="4" t="s">
        <v>1697</v>
      </c>
      <c r="B698" s="2" t="s">
        <v>1695</v>
      </c>
      <c r="C698" s="3">
        <v>1</v>
      </c>
      <c r="D698" s="5">
        <v>25.88</v>
      </c>
      <c r="E698" s="3">
        <v>100015718</v>
      </c>
      <c r="F698" s="2" t="s">
        <v>26</v>
      </c>
      <c r="G698" s="6" t="s">
        <v>154</v>
      </c>
      <c r="H698" s="2" t="s">
        <v>194</v>
      </c>
      <c r="I698" s="2" t="s">
        <v>195</v>
      </c>
      <c r="J698" s="2" t="s">
        <v>19</v>
      </c>
      <c r="K698" s="2" t="s">
        <v>1696</v>
      </c>
      <c r="L698" s="7" t="str">
        <f>HYPERLINK("http://slimages.macys.com/is/image/MCY/9504848 ")</f>
        <v xml:space="preserve">http://slimages.macys.com/is/image/MCY/9504848 </v>
      </c>
    </row>
    <row r="699" spans="1:12" ht="24.75" x14ac:dyDescent="0.25">
      <c r="A699" s="4" t="s">
        <v>6005</v>
      </c>
      <c r="B699" s="2" t="s">
        <v>1699</v>
      </c>
      <c r="C699" s="3">
        <v>1</v>
      </c>
      <c r="D699" s="5">
        <v>19.989999999999998</v>
      </c>
      <c r="E699" s="3" t="s">
        <v>1700</v>
      </c>
      <c r="F699" s="2" t="s">
        <v>26</v>
      </c>
      <c r="G699" s="6" t="s">
        <v>234</v>
      </c>
      <c r="H699" s="2" t="s">
        <v>1473</v>
      </c>
      <c r="I699" s="2" t="s">
        <v>1426</v>
      </c>
      <c r="J699" s="2" t="s">
        <v>19</v>
      </c>
      <c r="K699" s="2" t="s">
        <v>990</v>
      </c>
      <c r="L699" s="7" t="str">
        <f>HYPERLINK("http://slimages.macys.com/is/image/MCY/11831242 ")</f>
        <v xml:space="preserve">http://slimages.macys.com/is/image/MCY/11831242 </v>
      </c>
    </row>
    <row r="700" spans="1:12" ht="24.75" x14ac:dyDescent="0.25">
      <c r="A700" s="4" t="s">
        <v>2896</v>
      </c>
      <c r="B700" s="2" t="s">
        <v>1699</v>
      </c>
      <c r="C700" s="3">
        <v>1</v>
      </c>
      <c r="D700" s="5">
        <v>19.989999999999998</v>
      </c>
      <c r="E700" s="3" t="s">
        <v>1700</v>
      </c>
      <c r="F700" s="2" t="s">
        <v>94</v>
      </c>
      <c r="G700" s="6" t="s">
        <v>181</v>
      </c>
      <c r="H700" s="2" t="s">
        <v>1473</v>
      </c>
      <c r="I700" s="2" t="s">
        <v>1426</v>
      </c>
      <c r="J700" s="2" t="s">
        <v>19</v>
      </c>
      <c r="K700" s="2" t="s">
        <v>990</v>
      </c>
      <c r="L700" s="7" t="str">
        <f>HYPERLINK("http://slimages.macys.com/is/image/MCY/11831242 ")</f>
        <v xml:space="preserve">http://slimages.macys.com/is/image/MCY/11831242 </v>
      </c>
    </row>
    <row r="701" spans="1:12" ht="24.75" x14ac:dyDescent="0.25">
      <c r="A701" s="4" t="s">
        <v>4025</v>
      </c>
      <c r="B701" s="2" t="s">
        <v>1712</v>
      </c>
      <c r="C701" s="3">
        <v>1</v>
      </c>
      <c r="D701" s="5">
        <v>19.989999999999998</v>
      </c>
      <c r="E701" s="3" t="s">
        <v>4019</v>
      </c>
      <c r="F701" s="2" t="s">
        <v>74</v>
      </c>
      <c r="G701" s="6" t="s">
        <v>234</v>
      </c>
      <c r="H701" s="2" t="s">
        <v>194</v>
      </c>
      <c r="I701" s="2" t="s">
        <v>195</v>
      </c>
      <c r="J701" s="2" t="s">
        <v>19</v>
      </c>
      <c r="K701" s="2" t="s">
        <v>160</v>
      </c>
      <c r="L701" s="7" t="str">
        <f>HYPERLINK("http://slimages.macys.com/is/image/MCY/13317763 ")</f>
        <v xml:space="preserve">http://slimages.macys.com/is/image/MCY/13317763 </v>
      </c>
    </row>
    <row r="702" spans="1:12" ht="24.75" x14ac:dyDescent="0.25">
      <c r="A702" s="4" t="s">
        <v>6006</v>
      </c>
      <c r="B702" s="2" t="s">
        <v>1712</v>
      </c>
      <c r="C702" s="3">
        <v>1</v>
      </c>
      <c r="D702" s="5">
        <v>19.989999999999998</v>
      </c>
      <c r="E702" s="3" t="s">
        <v>6007</v>
      </c>
      <c r="F702" s="2" t="s">
        <v>111</v>
      </c>
      <c r="G702" s="6" t="s">
        <v>234</v>
      </c>
      <c r="H702" s="2" t="s">
        <v>194</v>
      </c>
      <c r="I702" s="2" t="s">
        <v>195</v>
      </c>
      <c r="J702" s="2" t="s">
        <v>19</v>
      </c>
      <c r="K702" s="2" t="s">
        <v>160</v>
      </c>
      <c r="L702" s="7" t="str">
        <f>HYPERLINK("http://slimages.macys.com/is/image/MCY/12405238 ")</f>
        <v xml:space="preserve">http://slimages.macys.com/is/image/MCY/12405238 </v>
      </c>
    </row>
    <row r="703" spans="1:12" ht="24.75" x14ac:dyDescent="0.25">
      <c r="A703" s="4" t="s">
        <v>6008</v>
      </c>
      <c r="B703" s="2" t="s">
        <v>1712</v>
      </c>
      <c r="C703" s="3">
        <v>1</v>
      </c>
      <c r="D703" s="5">
        <v>19.989999999999998</v>
      </c>
      <c r="E703" s="3" t="s">
        <v>6009</v>
      </c>
      <c r="F703" s="2" t="s">
        <v>26</v>
      </c>
      <c r="G703" s="6" t="s">
        <v>234</v>
      </c>
      <c r="H703" s="2" t="s">
        <v>194</v>
      </c>
      <c r="I703" s="2" t="s">
        <v>195</v>
      </c>
      <c r="J703" s="2" t="s">
        <v>19</v>
      </c>
      <c r="K703" s="2" t="s">
        <v>160</v>
      </c>
      <c r="L703" s="7" t="str">
        <f>HYPERLINK("http://slimages.macys.com/is/image/MCY/12405238 ")</f>
        <v xml:space="preserve">http://slimages.macys.com/is/image/MCY/12405238 </v>
      </c>
    </row>
    <row r="704" spans="1:12" ht="24.75" x14ac:dyDescent="0.25">
      <c r="A704" s="4" t="s">
        <v>6010</v>
      </c>
      <c r="B704" s="2" t="s">
        <v>1712</v>
      </c>
      <c r="C704" s="3">
        <v>1</v>
      </c>
      <c r="D704" s="5">
        <v>19.989999999999998</v>
      </c>
      <c r="E704" s="3" t="s">
        <v>6009</v>
      </c>
      <c r="F704" s="2" t="s">
        <v>26</v>
      </c>
      <c r="G704" s="6" t="s">
        <v>154</v>
      </c>
      <c r="H704" s="2" t="s">
        <v>194</v>
      </c>
      <c r="I704" s="2" t="s">
        <v>195</v>
      </c>
      <c r="J704" s="2" t="s">
        <v>19</v>
      </c>
      <c r="K704" s="2" t="s">
        <v>160</v>
      </c>
      <c r="L704" s="7" t="str">
        <f>HYPERLINK("http://slimages.macys.com/is/image/MCY/12405238 ")</f>
        <v xml:space="preserve">http://slimages.macys.com/is/image/MCY/12405238 </v>
      </c>
    </row>
    <row r="705" spans="1:12" ht="24.75" x14ac:dyDescent="0.25">
      <c r="A705" s="4" t="s">
        <v>6011</v>
      </c>
      <c r="B705" s="2" t="s">
        <v>1712</v>
      </c>
      <c r="C705" s="3">
        <v>1</v>
      </c>
      <c r="D705" s="5">
        <v>19.989999999999998</v>
      </c>
      <c r="E705" s="3" t="s">
        <v>4019</v>
      </c>
      <c r="F705" s="2" t="s">
        <v>74</v>
      </c>
      <c r="G705" s="6" t="s">
        <v>156</v>
      </c>
      <c r="H705" s="2" t="s">
        <v>194</v>
      </c>
      <c r="I705" s="2" t="s">
        <v>195</v>
      </c>
      <c r="J705" s="2" t="s">
        <v>19</v>
      </c>
      <c r="K705" s="2" t="s">
        <v>160</v>
      </c>
      <c r="L705" s="7" t="str">
        <f>HYPERLINK("http://slimages.macys.com/is/image/MCY/13317763 ")</f>
        <v xml:space="preserve">http://slimages.macys.com/is/image/MCY/13317763 </v>
      </c>
    </row>
    <row r="706" spans="1:12" ht="24.75" x14ac:dyDescent="0.25">
      <c r="A706" s="4" t="s">
        <v>6012</v>
      </c>
      <c r="B706" s="2" t="s">
        <v>1712</v>
      </c>
      <c r="C706" s="3">
        <v>1</v>
      </c>
      <c r="D706" s="5">
        <v>19.989999999999998</v>
      </c>
      <c r="E706" s="3" t="s">
        <v>1713</v>
      </c>
      <c r="F706" s="2" t="s">
        <v>417</v>
      </c>
      <c r="G706" s="6" t="s">
        <v>156</v>
      </c>
      <c r="H706" s="2" t="s">
        <v>194</v>
      </c>
      <c r="I706" s="2" t="s">
        <v>195</v>
      </c>
      <c r="J706" s="2" t="s">
        <v>19</v>
      </c>
      <c r="K706" s="2" t="s">
        <v>160</v>
      </c>
      <c r="L706" s="7" t="str">
        <f>HYPERLINK("http://slimages.macys.com/is/image/MCY/13317759 ")</f>
        <v xml:space="preserve">http://slimages.macys.com/is/image/MCY/13317759 </v>
      </c>
    </row>
    <row r="707" spans="1:12" ht="24.75" x14ac:dyDescent="0.25">
      <c r="A707" s="4" t="s">
        <v>6013</v>
      </c>
      <c r="B707" s="2" t="s">
        <v>1712</v>
      </c>
      <c r="C707" s="3">
        <v>1</v>
      </c>
      <c r="D707" s="5">
        <v>19.989999999999998</v>
      </c>
      <c r="E707" s="3" t="s">
        <v>6014</v>
      </c>
      <c r="F707" s="2" t="s">
        <v>252</v>
      </c>
      <c r="G707" s="6" t="s">
        <v>181</v>
      </c>
      <c r="H707" s="2" t="s">
        <v>194</v>
      </c>
      <c r="I707" s="2" t="s">
        <v>195</v>
      </c>
      <c r="J707" s="2" t="s">
        <v>19</v>
      </c>
      <c r="K707" s="2" t="s">
        <v>160</v>
      </c>
      <c r="L707" s="7" t="str">
        <f>HYPERLINK("http://slimages.macys.com/is/image/MCY/13317763 ")</f>
        <v xml:space="preserve">http://slimages.macys.com/is/image/MCY/13317763 </v>
      </c>
    </row>
    <row r="708" spans="1:12" ht="24.75" x14ac:dyDescent="0.25">
      <c r="A708" s="4" t="s">
        <v>6015</v>
      </c>
      <c r="B708" s="2" t="s">
        <v>1712</v>
      </c>
      <c r="C708" s="3">
        <v>1</v>
      </c>
      <c r="D708" s="5">
        <v>19.989999999999998</v>
      </c>
      <c r="E708" s="3" t="s">
        <v>2905</v>
      </c>
      <c r="F708" s="2" t="s">
        <v>170</v>
      </c>
      <c r="G708" s="6" t="s">
        <v>154</v>
      </c>
      <c r="H708" s="2" t="s">
        <v>194</v>
      </c>
      <c r="I708" s="2" t="s">
        <v>195</v>
      </c>
      <c r="J708" s="2" t="s">
        <v>19</v>
      </c>
      <c r="K708" s="2" t="s">
        <v>160</v>
      </c>
      <c r="L708" s="7" t="str">
        <f>HYPERLINK("http://slimages.macys.com/is/image/MCY/13317759 ")</f>
        <v xml:space="preserve">http://slimages.macys.com/is/image/MCY/13317759 </v>
      </c>
    </row>
    <row r="709" spans="1:12" ht="36.75" x14ac:dyDescent="0.25">
      <c r="A709" s="4" t="s">
        <v>2910</v>
      </c>
      <c r="B709" s="2" t="s">
        <v>2911</v>
      </c>
      <c r="C709" s="3">
        <v>1</v>
      </c>
      <c r="D709" s="5">
        <v>25.88</v>
      </c>
      <c r="E709" s="3">
        <v>100015718</v>
      </c>
      <c r="F709" s="2" t="s">
        <v>48</v>
      </c>
      <c r="G709" s="6" t="s">
        <v>154</v>
      </c>
      <c r="H709" s="2" t="s">
        <v>194</v>
      </c>
      <c r="I709" s="2" t="s">
        <v>195</v>
      </c>
      <c r="J709" s="2" t="s">
        <v>19</v>
      </c>
      <c r="K709" s="2" t="s">
        <v>1696</v>
      </c>
      <c r="L709" s="7" t="str">
        <f>HYPERLINK("http://slimages.macys.com/is/image/MCY/9504848 ")</f>
        <v xml:space="preserve">http://slimages.macys.com/is/image/MCY/9504848 </v>
      </c>
    </row>
    <row r="710" spans="1:12" ht="36.75" x14ac:dyDescent="0.25">
      <c r="A710" s="4" t="s">
        <v>6016</v>
      </c>
      <c r="B710" s="2" t="s">
        <v>2911</v>
      </c>
      <c r="C710" s="3">
        <v>1</v>
      </c>
      <c r="D710" s="5">
        <v>25.88</v>
      </c>
      <c r="E710" s="3">
        <v>100015718</v>
      </c>
      <c r="F710" s="2" t="s">
        <v>48</v>
      </c>
      <c r="G710" s="6" t="s">
        <v>181</v>
      </c>
      <c r="H710" s="2" t="s">
        <v>194</v>
      </c>
      <c r="I710" s="2" t="s">
        <v>195</v>
      </c>
      <c r="J710" s="2" t="s">
        <v>19</v>
      </c>
      <c r="K710" s="2" t="s">
        <v>1696</v>
      </c>
      <c r="L710" s="7" t="str">
        <f>HYPERLINK("http://slimages.macys.com/is/image/MCY/9504848 ")</f>
        <v xml:space="preserve">http://slimages.macys.com/is/image/MCY/9504848 </v>
      </c>
    </row>
    <row r="711" spans="1:12" ht="24.75" x14ac:dyDescent="0.25">
      <c r="A711" s="4" t="s">
        <v>6017</v>
      </c>
      <c r="B711" s="2" t="s">
        <v>5093</v>
      </c>
      <c r="C711" s="3">
        <v>1</v>
      </c>
      <c r="D711" s="5">
        <v>29.63</v>
      </c>
      <c r="E711" s="3" t="s">
        <v>5094</v>
      </c>
      <c r="F711" s="2" t="s">
        <v>752</v>
      </c>
      <c r="G711" s="6" t="s">
        <v>234</v>
      </c>
      <c r="H711" s="2" t="s">
        <v>194</v>
      </c>
      <c r="I711" s="2" t="s">
        <v>195</v>
      </c>
      <c r="J711" s="2" t="s">
        <v>19</v>
      </c>
      <c r="K711" s="2" t="s">
        <v>247</v>
      </c>
      <c r="L711" s="7" t="str">
        <f>HYPERLINK("http://slimages.macys.com/is/image/MCY/15299295 ")</f>
        <v xml:space="preserve">http://slimages.macys.com/is/image/MCY/15299295 </v>
      </c>
    </row>
    <row r="712" spans="1:12" ht="24.75" x14ac:dyDescent="0.25">
      <c r="A712" s="4" t="s">
        <v>6018</v>
      </c>
      <c r="B712" s="2" t="s">
        <v>1724</v>
      </c>
      <c r="C712" s="3">
        <v>2</v>
      </c>
      <c r="D712" s="5">
        <v>34.880000000000003</v>
      </c>
      <c r="E712" s="3">
        <v>100018041</v>
      </c>
      <c r="F712" s="2" t="s">
        <v>680</v>
      </c>
      <c r="G712" s="6" t="s">
        <v>22</v>
      </c>
      <c r="H712" s="2" t="s">
        <v>194</v>
      </c>
      <c r="I712" s="2" t="s">
        <v>195</v>
      </c>
      <c r="J712" s="2" t="s">
        <v>19</v>
      </c>
      <c r="K712" s="2" t="s">
        <v>353</v>
      </c>
      <c r="L712" s="7" t="str">
        <f>HYPERLINK("http://slimages.macys.com/is/image/MCY/12950342 ")</f>
        <v xml:space="preserve">http://slimages.macys.com/is/image/MCY/12950342 </v>
      </c>
    </row>
    <row r="713" spans="1:12" ht="24.75" x14ac:dyDescent="0.25">
      <c r="A713" s="4" t="s">
        <v>6019</v>
      </c>
      <c r="B713" s="2" t="s">
        <v>6020</v>
      </c>
      <c r="C713" s="3">
        <v>1</v>
      </c>
      <c r="D713" s="5">
        <v>37.130000000000003</v>
      </c>
      <c r="E713" s="3" t="s">
        <v>6021</v>
      </c>
      <c r="F713" s="2" t="s">
        <v>89</v>
      </c>
      <c r="G713" s="6" t="s">
        <v>200</v>
      </c>
      <c r="H713" s="2" t="s">
        <v>246</v>
      </c>
      <c r="I713" s="2" t="s">
        <v>189</v>
      </c>
      <c r="J713" s="2" t="s">
        <v>19</v>
      </c>
      <c r="K713" s="2" t="s">
        <v>648</v>
      </c>
      <c r="L713" s="7" t="str">
        <f>HYPERLINK("http://slimages.macys.com/is/image/MCY/12048411 ")</f>
        <v xml:space="preserve">http://slimages.macys.com/is/image/MCY/12048411 </v>
      </c>
    </row>
    <row r="714" spans="1:12" ht="24.75" x14ac:dyDescent="0.25">
      <c r="A714" s="4" t="s">
        <v>6022</v>
      </c>
      <c r="B714" s="2" t="s">
        <v>6023</v>
      </c>
      <c r="C714" s="3">
        <v>4</v>
      </c>
      <c r="D714" s="5">
        <v>21.99</v>
      </c>
      <c r="E714" s="3" t="s">
        <v>6024</v>
      </c>
      <c r="F714" s="2" t="s">
        <v>252</v>
      </c>
      <c r="G714" s="6" t="s">
        <v>154</v>
      </c>
      <c r="H714" s="2" t="s">
        <v>284</v>
      </c>
      <c r="I714" s="2" t="s">
        <v>285</v>
      </c>
      <c r="J714" s="2" t="s">
        <v>19</v>
      </c>
      <c r="K714" s="2" t="s">
        <v>247</v>
      </c>
      <c r="L714" s="7" t="str">
        <f>HYPERLINK("http://slimages.macys.com/is/image/MCY/12266708 ")</f>
        <v xml:space="preserve">http://slimages.macys.com/is/image/MCY/12266708 </v>
      </c>
    </row>
    <row r="715" spans="1:12" ht="24.75" x14ac:dyDescent="0.25">
      <c r="A715" s="4" t="s">
        <v>6025</v>
      </c>
      <c r="B715" s="2" t="s">
        <v>6023</v>
      </c>
      <c r="C715" s="3">
        <v>1</v>
      </c>
      <c r="D715" s="5">
        <v>21.99</v>
      </c>
      <c r="E715" s="3" t="s">
        <v>6024</v>
      </c>
      <c r="F715" s="2" t="s">
        <v>252</v>
      </c>
      <c r="G715" s="6" t="s">
        <v>181</v>
      </c>
      <c r="H715" s="2" t="s">
        <v>284</v>
      </c>
      <c r="I715" s="2" t="s">
        <v>285</v>
      </c>
      <c r="J715" s="2" t="s">
        <v>19</v>
      </c>
      <c r="K715" s="2" t="s">
        <v>247</v>
      </c>
      <c r="L715" s="7" t="str">
        <f>HYPERLINK("http://slimages.macys.com/is/image/MCY/12266708 ")</f>
        <v xml:space="preserve">http://slimages.macys.com/is/image/MCY/12266708 </v>
      </c>
    </row>
    <row r="716" spans="1:12" ht="24.75" x14ac:dyDescent="0.25">
      <c r="A716" s="4" t="s">
        <v>6026</v>
      </c>
      <c r="B716" s="2" t="s">
        <v>6023</v>
      </c>
      <c r="C716" s="3">
        <v>1</v>
      </c>
      <c r="D716" s="5">
        <v>21.99</v>
      </c>
      <c r="E716" s="3" t="s">
        <v>6024</v>
      </c>
      <c r="F716" s="2" t="s">
        <v>252</v>
      </c>
      <c r="G716" s="6" t="s">
        <v>234</v>
      </c>
      <c r="H716" s="2" t="s">
        <v>284</v>
      </c>
      <c r="I716" s="2" t="s">
        <v>285</v>
      </c>
      <c r="J716" s="2" t="s">
        <v>19</v>
      </c>
      <c r="K716" s="2" t="s">
        <v>247</v>
      </c>
      <c r="L716" s="7" t="str">
        <f>HYPERLINK("http://slimages.macys.com/is/image/MCY/12266708 ")</f>
        <v xml:space="preserve">http://slimages.macys.com/is/image/MCY/12266708 </v>
      </c>
    </row>
    <row r="717" spans="1:12" ht="24.75" x14ac:dyDescent="0.25">
      <c r="A717" s="4" t="s">
        <v>6027</v>
      </c>
      <c r="B717" s="2" t="s">
        <v>2907</v>
      </c>
      <c r="C717" s="3">
        <v>1</v>
      </c>
      <c r="D717" s="5">
        <v>19.989999999999998</v>
      </c>
      <c r="E717" s="3" t="s">
        <v>6028</v>
      </c>
      <c r="F717" s="2" t="s">
        <v>579</v>
      </c>
      <c r="G717" s="6" t="s">
        <v>200</v>
      </c>
      <c r="H717" s="2" t="s">
        <v>194</v>
      </c>
      <c r="I717" s="2" t="s">
        <v>195</v>
      </c>
      <c r="J717" s="2" t="s">
        <v>19</v>
      </c>
      <c r="K717" s="2" t="s">
        <v>160</v>
      </c>
      <c r="L717" s="7" t="str">
        <f>HYPERLINK("http://slimages.macys.com/is/image/MCY/13317763 ")</f>
        <v xml:space="preserve">http://slimages.macys.com/is/image/MCY/13317763 </v>
      </c>
    </row>
    <row r="718" spans="1:12" ht="24.75" x14ac:dyDescent="0.25">
      <c r="A718" s="4" t="s">
        <v>6029</v>
      </c>
      <c r="B718" s="2" t="s">
        <v>1724</v>
      </c>
      <c r="C718" s="3">
        <v>1</v>
      </c>
      <c r="D718" s="5">
        <v>34.880000000000003</v>
      </c>
      <c r="E718" s="3" t="s">
        <v>2925</v>
      </c>
      <c r="F718" s="2" t="s">
        <v>566</v>
      </c>
      <c r="G718" s="6" t="s">
        <v>238</v>
      </c>
      <c r="H718" s="2" t="s">
        <v>312</v>
      </c>
      <c r="I718" s="2" t="s">
        <v>195</v>
      </c>
      <c r="J718" s="2" t="s">
        <v>19</v>
      </c>
      <c r="K718" s="2" t="s">
        <v>353</v>
      </c>
      <c r="L718" s="7" t="str">
        <f>HYPERLINK("http://slimages.macys.com/is/image/MCY/9714189 ")</f>
        <v xml:space="preserve">http://slimages.macys.com/is/image/MCY/9714189 </v>
      </c>
    </row>
    <row r="719" spans="1:12" ht="24.75" x14ac:dyDescent="0.25">
      <c r="A719" s="4" t="s">
        <v>6030</v>
      </c>
      <c r="B719" s="2" t="s">
        <v>1738</v>
      </c>
      <c r="C719" s="3">
        <v>1</v>
      </c>
      <c r="D719" s="5">
        <v>29.5</v>
      </c>
      <c r="E719" s="3" t="s">
        <v>1739</v>
      </c>
      <c r="F719" s="2" t="s">
        <v>64</v>
      </c>
      <c r="G719" s="6" t="s">
        <v>234</v>
      </c>
      <c r="H719" s="2" t="s">
        <v>194</v>
      </c>
      <c r="I719" s="2" t="s">
        <v>195</v>
      </c>
      <c r="J719" s="2" t="s">
        <v>19</v>
      </c>
      <c r="K719" s="2" t="s">
        <v>1108</v>
      </c>
      <c r="L719" s="7" t="str">
        <f>HYPERLINK("http://slimages.macys.com/is/image/MCY/12064042 ")</f>
        <v xml:space="preserve">http://slimages.macys.com/is/image/MCY/12064042 </v>
      </c>
    </row>
    <row r="720" spans="1:12" ht="24.75" x14ac:dyDescent="0.25">
      <c r="A720" s="4" t="s">
        <v>6031</v>
      </c>
      <c r="B720" s="2" t="s">
        <v>1738</v>
      </c>
      <c r="C720" s="3">
        <v>1</v>
      </c>
      <c r="D720" s="5">
        <v>29.5</v>
      </c>
      <c r="E720" s="3" t="s">
        <v>1739</v>
      </c>
      <c r="F720" s="2" t="s">
        <v>64</v>
      </c>
      <c r="G720" s="6" t="s">
        <v>181</v>
      </c>
      <c r="H720" s="2" t="s">
        <v>194</v>
      </c>
      <c r="I720" s="2" t="s">
        <v>195</v>
      </c>
      <c r="J720" s="2" t="s">
        <v>19</v>
      </c>
      <c r="K720" s="2" t="s">
        <v>1108</v>
      </c>
      <c r="L720" s="7" t="str">
        <f>HYPERLINK("http://slimages.macys.com/is/image/MCY/12064042 ")</f>
        <v xml:space="preserve">http://slimages.macys.com/is/image/MCY/12064042 </v>
      </c>
    </row>
    <row r="721" spans="1:12" ht="24.75" x14ac:dyDescent="0.25">
      <c r="A721" s="4" t="s">
        <v>2928</v>
      </c>
      <c r="B721" s="2" t="s">
        <v>1738</v>
      </c>
      <c r="C721" s="3">
        <v>1</v>
      </c>
      <c r="D721" s="5">
        <v>29.63</v>
      </c>
      <c r="E721" s="3" t="s">
        <v>1739</v>
      </c>
      <c r="F721" s="2" t="s">
        <v>26</v>
      </c>
      <c r="G721" s="6" t="s">
        <v>181</v>
      </c>
      <c r="H721" s="2" t="s">
        <v>194</v>
      </c>
      <c r="I721" s="2" t="s">
        <v>195</v>
      </c>
      <c r="J721" s="2" t="s">
        <v>19</v>
      </c>
      <c r="K721" s="2" t="s">
        <v>1108</v>
      </c>
      <c r="L721" s="7" t="str">
        <f>HYPERLINK("http://slimages.macys.com/is/image/MCY/12064042 ")</f>
        <v xml:space="preserve">http://slimages.macys.com/is/image/MCY/12064042 </v>
      </c>
    </row>
    <row r="722" spans="1:12" ht="24.75" x14ac:dyDescent="0.25">
      <c r="A722" s="4" t="s">
        <v>6032</v>
      </c>
      <c r="B722" s="2" t="s">
        <v>1738</v>
      </c>
      <c r="C722" s="3">
        <v>1</v>
      </c>
      <c r="D722" s="5">
        <v>29.63</v>
      </c>
      <c r="E722" s="3" t="s">
        <v>1739</v>
      </c>
      <c r="F722" s="2" t="s">
        <v>1322</v>
      </c>
      <c r="G722" s="6" t="s">
        <v>234</v>
      </c>
      <c r="H722" s="2" t="s">
        <v>194</v>
      </c>
      <c r="I722" s="2" t="s">
        <v>195</v>
      </c>
      <c r="J722" s="2" t="s">
        <v>19</v>
      </c>
      <c r="K722" s="2" t="s">
        <v>1108</v>
      </c>
      <c r="L722" s="7" t="str">
        <f>HYPERLINK("http://slimages.macys.com/is/image/MCY/12064042 ")</f>
        <v xml:space="preserve">http://slimages.macys.com/is/image/MCY/12064042 </v>
      </c>
    </row>
    <row r="723" spans="1:12" ht="24.75" x14ac:dyDescent="0.25">
      <c r="A723" s="4" t="s">
        <v>5103</v>
      </c>
      <c r="B723" s="2" t="s">
        <v>2933</v>
      </c>
      <c r="C723" s="3">
        <v>1</v>
      </c>
      <c r="D723" s="5">
        <v>20.99</v>
      </c>
      <c r="E723" s="3" t="s">
        <v>2939</v>
      </c>
      <c r="F723" s="2" t="s">
        <v>64</v>
      </c>
      <c r="G723" s="6" t="s">
        <v>234</v>
      </c>
      <c r="H723" s="2" t="s">
        <v>1473</v>
      </c>
      <c r="I723" s="2" t="s">
        <v>1864</v>
      </c>
      <c r="J723" s="2" t="s">
        <v>19</v>
      </c>
      <c r="K723" s="2" t="s">
        <v>990</v>
      </c>
      <c r="L723" s="7" t="str">
        <f>HYPERLINK("http://slimages.macys.com/is/image/MCY/11515111 ")</f>
        <v xml:space="preserve">http://slimages.macys.com/is/image/MCY/11515111 </v>
      </c>
    </row>
    <row r="724" spans="1:12" ht="24.75" x14ac:dyDescent="0.25">
      <c r="A724" s="4" t="s">
        <v>6033</v>
      </c>
      <c r="B724" s="2" t="s">
        <v>2936</v>
      </c>
      <c r="C724" s="3">
        <v>1</v>
      </c>
      <c r="D724" s="5">
        <v>20.99</v>
      </c>
      <c r="E724" s="3" t="s">
        <v>2937</v>
      </c>
      <c r="F724" s="2" t="s">
        <v>64</v>
      </c>
      <c r="G724" s="6" t="s">
        <v>245</v>
      </c>
      <c r="H724" s="2" t="s">
        <v>1473</v>
      </c>
      <c r="I724" s="2" t="s">
        <v>1864</v>
      </c>
      <c r="J724" s="2" t="s">
        <v>19</v>
      </c>
      <c r="K724" s="2" t="s">
        <v>107</v>
      </c>
      <c r="L724" s="7" t="str">
        <f>HYPERLINK("http://slimages.macys.com/is/image/MCY/12266786 ")</f>
        <v xml:space="preserve">http://slimages.macys.com/is/image/MCY/12266786 </v>
      </c>
    </row>
    <row r="725" spans="1:12" ht="48.75" x14ac:dyDescent="0.25">
      <c r="A725" s="4" t="s">
        <v>6034</v>
      </c>
      <c r="B725" s="2" t="s">
        <v>4060</v>
      </c>
      <c r="C725" s="3">
        <v>1</v>
      </c>
      <c r="D725" s="5">
        <v>21.99</v>
      </c>
      <c r="E725" s="3" t="s">
        <v>4061</v>
      </c>
      <c r="F725" s="2" t="s">
        <v>26</v>
      </c>
      <c r="G725" s="6" t="s">
        <v>234</v>
      </c>
      <c r="H725" s="2" t="s">
        <v>194</v>
      </c>
      <c r="I725" s="2" t="s">
        <v>503</v>
      </c>
      <c r="J725" s="2" t="s">
        <v>19</v>
      </c>
      <c r="K725" s="2" t="s">
        <v>4065</v>
      </c>
      <c r="L725" s="7" t="str">
        <f>HYPERLINK("http://slimages.macys.com/is/image/MCY/2972094 ")</f>
        <v xml:space="preserve">http://slimages.macys.com/is/image/MCY/2972094 </v>
      </c>
    </row>
    <row r="726" spans="1:12" ht="24.75" x14ac:dyDescent="0.25">
      <c r="A726" s="4" t="s">
        <v>5104</v>
      </c>
      <c r="B726" s="2" t="s">
        <v>5105</v>
      </c>
      <c r="C726" s="3">
        <v>1</v>
      </c>
      <c r="D726" s="5">
        <v>19.989999999999998</v>
      </c>
      <c r="E726" s="3">
        <v>100024687</v>
      </c>
      <c r="F726" s="2" t="s">
        <v>64</v>
      </c>
      <c r="G726" s="6" t="s">
        <v>154</v>
      </c>
      <c r="H726" s="2" t="s">
        <v>194</v>
      </c>
      <c r="I726" s="2" t="s">
        <v>195</v>
      </c>
      <c r="J726" s="2" t="s">
        <v>19</v>
      </c>
      <c r="K726" s="2" t="s">
        <v>160</v>
      </c>
      <c r="L726" s="7" t="str">
        <f>HYPERLINK("http://slimages.macys.com/is/image/MCY/13317759 ")</f>
        <v xml:space="preserve">http://slimages.macys.com/is/image/MCY/13317759 </v>
      </c>
    </row>
    <row r="727" spans="1:12" ht="24.75" x14ac:dyDescent="0.25">
      <c r="A727" s="4" t="s">
        <v>6035</v>
      </c>
      <c r="B727" s="2" t="s">
        <v>5107</v>
      </c>
      <c r="C727" s="3">
        <v>1</v>
      </c>
      <c r="D727" s="5">
        <v>19.989999999999998</v>
      </c>
      <c r="E727" s="3" t="s">
        <v>5108</v>
      </c>
      <c r="F727" s="2" t="s">
        <v>26</v>
      </c>
      <c r="G727" s="6" t="s">
        <v>154</v>
      </c>
      <c r="H727" s="2" t="s">
        <v>1473</v>
      </c>
      <c r="I727" s="2" t="s">
        <v>1426</v>
      </c>
      <c r="J727" s="2" t="s">
        <v>19</v>
      </c>
      <c r="K727" s="2" t="s">
        <v>648</v>
      </c>
      <c r="L727" s="7" t="str">
        <f>HYPERLINK("http://slimages.macys.com/is/image/MCY/11678724 ")</f>
        <v xml:space="preserve">http://slimages.macys.com/is/image/MCY/11678724 </v>
      </c>
    </row>
    <row r="728" spans="1:12" ht="24.75" x14ac:dyDescent="0.25">
      <c r="A728" s="4" t="s">
        <v>5106</v>
      </c>
      <c r="B728" s="2" t="s">
        <v>5107</v>
      </c>
      <c r="C728" s="3">
        <v>2</v>
      </c>
      <c r="D728" s="5">
        <v>19.989999999999998</v>
      </c>
      <c r="E728" s="3" t="s">
        <v>5108</v>
      </c>
      <c r="F728" s="2" t="s">
        <v>1322</v>
      </c>
      <c r="G728" s="6" t="s">
        <v>156</v>
      </c>
      <c r="H728" s="2" t="s">
        <v>1473</v>
      </c>
      <c r="I728" s="2" t="s">
        <v>1426</v>
      </c>
      <c r="J728" s="2" t="s">
        <v>19</v>
      </c>
      <c r="K728" s="2" t="s">
        <v>648</v>
      </c>
      <c r="L728" s="7" t="str">
        <f>HYPERLINK("http://slimages.macys.com/is/image/MCY/11678724 ")</f>
        <v xml:space="preserve">http://slimages.macys.com/is/image/MCY/11678724 </v>
      </c>
    </row>
    <row r="729" spans="1:12" ht="24.75" x14ac:dyDescent="0.25">
      <c r="A729" s="4" t="s">
        <v>6036</v>
      </c>
      <c r="B729" s="2" t="s">
        <v>5107</v>
      </c>
      <c r="C729" s="3">
        <v>1</v>
      </c>
      <c r="D729" s="5">
        <v>19.989999999999998</v>
      </c>
      <c r="E729" s="3" t="s">
        <v>5108</v>
      </c>
      <c r="F729" s="2" t="s">
        <v>26</v>
      </c>
      <c r="G729" s="6" t="s">
        <v>156</v>
      </c>
      <c r="H729" s="2" t="s">
        <v>1473</v>
      </c>
      <c r="I729" s="2" t="s">
        <v>1426</v>
      </c>
      <c r="J729" s="2" t="s">
        <v>19</v>
      </c>
      <c r="K729" s="2" t="s">
        <v>648</v>
      </c>
      <c r="L729" s="7" t="str">
        <f>HYPERLINK("http://slimages.macys.com/is/image/MCY/11678724 ")</f>
        <v xml:space="preserve">http://slimages.macys.com/is/image/MCY/11678724 </v>
      </c>
    </row>
    <row r="730" spans="1:12" ht="24.75" x14ac:dyDescent="0.25">
      <c r="A730" s="4" t="s">
        <v>2944</v>
      </c>
      <c r="B730" s="2" t="s">
        <v>1747</v>
      </c>
      <c r="C730" s="3">
        <v>1</v>
      </c>
      <c r="D730" s="5">
        <v>17.989999999999998</v>
      </c>
      <c r="E730" s="3" t="s">
        <v>1748</v>
      </c>
      <c r="F730" s="2" t="s">
        <v>70</v>
      </c>
      <c r="G730" s="6" t="s">
        <v>16</v>
      </c>
      <c r="H730" s="2" t="s">
        <v>1473</v>
      </c>
      <c r="I730" s="2" t="s">
        <v>1426</v>
      </c>
      <c r="J730" s="2" t="s">
        <v>19</v>
      </c>
      <c r="K730" s="2" t="s">
        <v>353</v>
      </c>
      <c r="L730" s="7" t="str">
        <f>HYPERLINK("http://slimages.macys.com/is/image/MCY/12776597 ")</f>
        <v xml:space="preserve">http://slimages.macys.com/is/image/MCY/12776597 </v>
      </c>
    </row>
    <row r="731" spans="1:12" ht="24.75" x14ac:dyDescent="0.25">
      <c r="A731" s="4" t="s">
        <v>5109</v>
      </c>
      <c r="B731" s="2" t="s">
        <v>1747</v>
      </c>
      <c r="C731" s="3">
        <v>1</v>
      </c>
      <c r="D731" s="5">
        <v>17.989999999999998</v>
      </c>
      <c r="E731" s="3" t="s">
        <v>1748</v>
      </c>
      <c r="F731" s="2" t="s">
        <v>70</v>
      </c>
      <c r="G731" s="6" t="s">
        <v>58</v>
      </c>
      <c r="H731" s="2" t="s">
        <v>1473</v>
      </c>
      <c r="I731" s="2" t="s">
        <v>1426</v>
      </c>
      <c r="J731" s="2" t="s">
        <v>19</v>
      </c>
      <c r="K731" s="2" t="s">
        <v>353</v>
      </c>
      <c r="L731" s="7" t="str">
        <f>HYPERLINK("http://slimages.macys.com/is/image/MCY/12776597 ")</f>
        <v xml:space="preserve">http://slimages.macys.com/is/image/MCY/12776597 </v>
      </c>
    </row>
    <row r="732" spans="1:12" ht="24.75" x14ac:dyDescent="0.25">
      <c r="A732" s="4" t="s">
        <v>4062</v>
      </c>
      <c r="B732" s="2" t="s">
        <v>1747</v>
      </c>
      <c r="C732" s="3">
        <v>1</v>
      </c>
      <c r="D732" s="5">
        <v>17.989999999999998</v>
      </c>
      <c r="E732" s="3" t="s">
        <v>1748</v>
      </c>
      <c r="F732" s="2" t="s">
        <v>998</v>
      </c>
      <c r="G732" s="6" t="s">
        <v>16</v>
      </c>
      <c r="H732" s="2" t="s">
        <v>1473</v>
      </c>
      <c r="I732" s="2" t="s">
        <v>1426</v>
      </c>
      <c r="J732" s="2" t="s">
        <v>19</v>
      </c>
      <c r="K732" s="2" t="s">
        <v>353</v>
      </c>
      <c r="L732" s="7" t="str">
        <f>HYPERLINK("http://slimages.macys.com/is/image/MCY/12776597 ")</f>
        <v xml:space="preserve">http://slimages.macys.com/is/image/MCY/12776597 </v>
      </c>
    </row>
    <row r="733" spans="1:12" ht="24.75" x14ac:dyDescent="0.25">
      <c r="A733" s="4" t="s">
        <v>2945</v>
      </c>
      <c r="B733" s="2" t="s">
        <v>1747</v>
      </c>
      <c r="C733" s="3">
        <v>1</v>
      </c>
      <c r="D733" s="5">
        <v>17.989999999999998</v>
      </c>
      <c r="E733" s="3" t="s">
        <v>1748</v>
      </c>
      <c r="F733" s="2" t="s">
        <v>70</v>
      </c>
      <c r="G733" s="6" t="s">
        <v>22</v>
      </c>
      <c r="H733" s="2" t="s">
        <v>1473</v>
      </c>
      <c r="I733" s="2" t="s">
        <v>1426</v>
      </c>
      <c r="J733" s="2" t="s">
        <v>19</v>
      </c>
      <c r="K733" s="2" t="s">
        <v>353</v>
      </c>
      <c r="L733" s="7" t="str">
        <f>HYPERLINK("http://slimages.macys.com/is/image/MCY/12776597 ")</f>
        <v xml:space="preserve">http://slimages.macys.com/is/image/MCY/12776597 </v>
      </c>
    </row>
    <row r="734" spans="1:12" ht="24.75" x14ac:dyDescent="0.25">
      <c r="A734" s="4" t="s">
        <v>6037</v>
      </c>
      <c r="B734" s="2" t="s">
        <v>1747</v>
      </c>
      <c r="C734" s="3">
        <v>1</v>
      </c>
      <c r="D734" s="5">
        <v>17.989999999999998</v>
      </c>
      <c r="E734" s="3" t="s">
        <v>1748</v>
      </c>
      <c r="F734" s="2" t="s">
        <v>15</v>
      </c>
      <c r="G734" s="6" t="s">
        <v>106</v>
      </c>
      <c r="H734" s="2" t="s">
        <v>1473</v>
      </c>
      <c r="I734" s="2" t="s">
        <v>1426</v>
      </c>
      <c r="J734" s="2" t="s">
        <v>19</v>
      </c>
      <c r="K734" s="2" t="s">
        <v>353</v>
      </c>
      <c r="L734" s="7" t="str">
        <f>HYPERLINK("http://slimages.macys.com/is/image/MCY/12776597 ")</f>
        <v xml:space="preserve">http://slimages.macys.com/is/image/MCY/12776597 </v>
      </c>
    </row>
    <row r="735" spans="1:12" ht="24.75" x14ac:dyDescent="0.25">
      <c r="A735" s="4" t="s">
        <v>6038</v>
      </c>
      <c r="B735" s="2" t="s">
        <v>6039</v>
      </c>
      <c r="C735" s="3">
        <v>3</v>
      </c>
      <c r="D735" s="5">
        <v>19.989999999999998</v>
      </c>
      <c r="E735" s="3" t="s">
        <v>6040</v>
      </c>
      <c r="F735" s="2" t="s">
        <v>74</v>
      </c>
      <c r="G735" s="6" t="s">
        <v>154</v>
      </c>
      <c r="H735" s="2" t="s">
        <v>194</v>
      </c>
      <c r="I735" s="2" t="s">
        <v>1922</v>
      </c>
      <c r="J735" s="2" t="s">
        <v>19</v>
      </c>
      <c r="K735" s="2" t="s">
        <v>247</v>
      </c>
      <c r="L735" s="7" t="str">
        <f>HYPERLINK("http://slimages.macys.com/is/image/MCY/3580595 ")</f>
        <v xml:space="preserve">http://slimages.macys.com/is/image/MCY/3580595 </v>
      </c>
    </row>
    <row r="736" spans="1:12" ht="24.75" x14ac:dyDescent="0.25">
      <c r="A736" s="4" t="s">
        <v>6041</v>
      </c>
      <c r="B736" s="2" t="s">
        <v>6039</v>
      </c>
      <c r="C736" s="3">
        <v>1</v>
      </c>
      <c r="D736" s="5">
        <v>19.989999999999998</v>
      </c>
      <c r="E736" s="3" t="s">
        <v>6040</v>
      </c>
      <c r="F736" s="2" t="s">
        <v>74</v>
      </c>
      <c r="G736" s="6" t="s">
        <v>181</v>
      </c>
      <c r="H736" s="2" t="s">
        <v>194</v>
      </c>
      <c r="I736" s="2" t="s">
        <v>1922</v>
      </c>
      <c r="J736" s="2" t="s">
        <v>19</v>
      </c>
      <c r="K736" s="2" t="s">
        <v>247</v>
      </c>
      <c r="L736" s="7" t="str">
        <f>HYPERLINK("http://slimages.macys.com/is/image/MCY/3580595 ")</f>
        <v xml:space="preserve">http://slimages.macys.com/is/image/MCY/3580595 </v>
      </c>
    </row>
    <row r="737" spans="1:12" ht="24.75" x14ac:dyDescent="0.25">
      <c r="A737" s="4" t="s">
        <v>6042</v>
      </c>
      <c r="B737" s="2" t="s">
        <v>6043</v>
      </c>
      <c r="C737" s="3">
        <v>1</v>
      </c>
      <c r="D737" s="5">
        <v>22.13</v>
      </c>
      <c r="E737" s="3" t="s">
        <v>6044</v>
      </c>
      <c r="F737" s="2" t="s">
        <v>74</v>
      </c>
      <c r="G737" s="6" t="s">
        <v>156</v>
      </c>
      <c r="H737" s="2" t="s">
        <v>194</v>
      </c>
      <c r="I737" s="2" t="s">
        <v>580</v>
      </c>
      <c r="J737" s="2" t="s">
        <v>19</v>
      </c>
      <c r="K737" s="2" t="s">
        <v>1758</v>
      </c>
      <c r="L737" s="7" t="str">
        <f>HYPERLINK("http://slimages.macys.com/is/image/MCY/11937972 ")</f>
        <v xml:space="preserve">http://slimages.macys.com/is/image/MCY/11937972 </v>
      </c>
    </row>
    <row r="738" spans="1:12" ht="24.75" x14ac:dyDescent="0.25">
      <c r="A738" s="4" t="s">
        <v>6045</v>
      </c>
      <c r="B738" s="2" t="s">
        <v>6046</v>
      </c>
      <c r="C738" s="3">
        <v>1</v>
      </c>
      <c r="D738" s="5">
        <v>22.13</v>
      </c>
      <c r="E738" s="3" t="s">
        <v>6047</v>
      </c>
      <c r="F738" s="2" t="s">
        <v>998</v>
      </c>
      <c r="G738" s="6" t="s">
        <v>181</v>
      </c>
      <c r="H738" s="2" t="s">
        <v>194</v>
      </c>
      <c r="I738" s="2" t="s">
        <v>580</v>
      </c>
      <c r="J738" s="2" t="s">
        <v>19</v>
      </c>
      <c r="K738" s="2" t="s">
        <v>1082</v>
      </c>
      <c r="L738" s="7" t="str">
        <f>HYPERLINK("http://slimages.macys.com/is/image/MCY/11937961 ")</f>
        <v xml:space="preserve">http://slimages.macys.com/is/image/MCY/11937961 </v>
      </c>
    </row>
    <row r="739" spans="1:12" ht="24.75" x14ac:dyDescent="0.25">
      <c r="A739" s="4" t="s">
        <v>6048</v>
      </c>
      <c r="B739" s="2" t="s">
        <v>4073</v>
      </c>
      <c r="C739" s="3">
        <v>1</v>
      </c>
      <c r="D739" s="5">
        <v>22.13</v>
      </c>
      <c r="E739" s="3" t="s">
        <v>6049</v>
      </c>
      <c r="F739" s="2" t="s">
        <v>15</v>
      </c>
      <c r="G739" s="6" t="s">
        <v>154</v>
      </c>
      <c r="H739" s="2" t="s">
        <v>194</v>
      </c>
      <c r="I739" s="2" t="s">
        <v>580</v>
      </c>
      <c r="J739" s="2" t="s">
        <v>19</v>
      </c>
      <c r="K739" s="2" t="s">
        <v>1758</v>
      </c>
      <c r="L739" s="7" t="str">
        <f>HYPERLINK("http://slimages.macys.com/is/image/MCY/11515418 ")</f>
        <v xml:space="preserve">http://slimages.macys.com/is/image/MCY/11515418 </v>
      </c>
    </row>
    <row r="740" spans="1:12" ht="24.75" x14ac:dyDescent="0.25">
      <c r="A740" s="4" t="s">
        <v>6050</v>
      </c>
      <c r="B740" s="2" t="s">
        <v>1764</v>
      </c>
      <c r="C740" s="3">
        <v>1</v>
      </c>
      <c r="D740" s="5">
        <v>22.13</v>
      </c>
      <c r="E740" s="3" t="s">
        <v>6051</v>
      </c>
      <c r="F740" s="2" t="s">
        <v>180</v>
      </c>
      <c r="G740" s="6" t="s">
        <v>156</v>
      </c>
      <c r="H740" s="2" t="s">
        <v>194</v>
      </c>
      <c r="I740" s="2" t="s">
        <v>1766</v>
      </c>
      <c r="J740" s="2" t="s">
        <v>19</v>
      </c>
      <c r="K740" s="2" t="s">
        <v>1082</v>
      </c>
      <c r="L740" s="7" t="str">
        <f>HYPERLINK("http://slimages.macys.com/is/image/MCY/12143914 ")</f>
        <v xml:space="preserve">http://slimages.macys.com/is/image/MCY/12143914 </v>
      </c>
    </row>
    <row r="741" spans="1:12" ht="24.75" x14ac:dyDescent="0.25">
      <c r="A741" s="4" t="s">
        <v>6052</v>
      </c>
      <c r="B741" s="2" t="s">
        <v>6046</v>
      </c>
      <c r="C741" s="3">
        <v>1</v>
      </c>
      <c r="D741" s="5">
        <v>22.13</v>
      </c>
      <c r="E741" s="3" t="s">
        <v>6047</v>
      </c>
      <c r="F741" s="2" t="s">
        <v>998</v>
      </c>
      <c r="G741" s="6" t="s">
        <v>245</v>
      </c>
      <c r="H741" s="2" t="s">
        <v>194</v>
      </c>
      <c r="I741" s="2" t="s">
        <v>580</v>
      </c>
      <c r="J741" s="2" t="s">
        <v>19</v>
      </c>
      <c r="K741" s="2" t="s">
        <v>1082</v>
      </c>
      <c r="L741" s="7" t="str">
        <f>HYPERLINK("http://slimages.macys.com/is/image/MCY/11937961 ")</f>
        <v xml:space="preserve">http://slimages.macys.com/is/image/MCY/11937961 </v>
      </c>
    </row>
    <row r="742" spans="1:12" ht="24.75" x14ac:dyDescent="0.25">
      <c r="A742" s="4" t="s">
        <v>6053</v>
      </c>
      <c r="B742" s="2" t="s">
        <v>2967</v>
      </c>
      <c r="C742" s="3">
        <v>3</v>
      </c>
      <c r="D742" s="5">
        <v>22.13</v>
      </c>
      <c r="E742" s="3" t="s">
        <v>2968</v>
      </c>
      <c r="F742" s="2" t="s">
        <v>48</v>
      </c>
      <c r="G742" s="6" t="s">
        <v>181</v>
      </c>
      <c r="H742" s="2" t="s">
        <v>194</v>
      </c>
      <c r="I742" s="2" t="s">
        <v>580</v>
      </c>
      <c r="J742" s="2" t="s">
        <v>19</v>
      </c>
      <c r="K742" s="2" t="s">
        <v>1758</v>
      </c>
      <c r="L742" s="7" t="str">
        <f>HYPERLINK("http://slimages.macys.com/is/image/MCY/11937981 ")</f>
        <v xml:space="preserve">http://slimages.macys.com/is/image/MCY/11937981 </v>
      </c>
    </row>
    <row r="743" spans="1:12" ht="24.75" x14ac:dyDescent="0.25">
      <c r="A743" s="4" t="s">
        <v>6054</v>
      </c>
      <c r="B743" s="2" t="s">
        <v>6055</v>
      </c>
      <c r="C743" s="3">
        <v>1</v>
      </c>
      <c r="D743" s="5">
        <v>22.13</v>
      </c>
      <c r="E743" s="3" t="s">
        <v>6056</v>
      </c>
      <c r="F743" s="2" t="s">
        <v>676</v>
      </c>
      <c r="G743" s="6" t="s">
        <v>245</v>
      </c>
      <c r="H743" s="2" t="s">
        <v>194</v>
      </c>
      <c r="I743" s="2" t="s">
        <v>580</v>
      </c>
      <c r="J743" s="2" t="s">
        <v>19</v>
      </c>
      <c r="K743" s="2" t="s">
        <v>1758</v>
      </c>
      <c r="L743" s="7" t="str">
        <f>HYPERLINK("http://slimages.macys.com/is/image/MCY/12794135 ")</f>
        <v xml:space="preserve">http://slimages.macys.com/is/image/MCY/12794135 </v>
      </c>
    </row>
    <row r="744" spans="1:12" ht="24.75" x14ac:dyDescent="0.25">
      <c r="A744" s="4" t="s">
        <v>6057</v>
      </c>
      <c r="B744" s="2" t="s">
        <v>4076</v>
      </c>
      <c r="C744" s="3">
        <v>1</v>
      </c>
      <c r="D744" s="5">
        <v>22.13</v>
      </c>
      <c r="E744" s="3" t="s">
        <v>4077</v>
      </c>
      <c r="F744" s="2" t="s">
        <v>887</v>
      </c>
      <c r="G744" s="6" t="s">
        <v>234</v>
      </c>
      <c r="H744" s="2" t="s">
        <v>194</v>
      </c>
      <c r="I744" s="2" t="s">
        <v>1766</v>
      </c>
      <c r="J744" s="2" t="s">
        <v>19</v>
      </c>
      <c r="K744" s="2" t="s">
        <v>1082</v>
      </c>
      <c r="L744" s="7" t="str">
        <f>HYPERLINK("http://slimages.macys.com/is/image/MCY/12950309 ")</f>
        <v xml:space="preserve">http://slimages.macys.com/is/image/MCY/12950309 </v>
      </c>
    </row>
    <row r="745" spans="1:12" ht="24.75" x14ac:dyDescent="0.25">
      <c r="A745" s="4" t="s">
        <v>6058</v>
      </c>
      <c r="B745" s="2" t="s">
        <v>6059</v>
      </c>
      <c r="C745" s="3">
        <v>1</v>
      </c>
      <c r="D745" s="5">
        <v>22.13</v>
      </c>
      <c r="E745" s="3" t="s">
        <v>6060</v>
      </c>
      <c r="F745" s="2" t="s">
        <v>572</v>
      </c>
      <c r="G745" s="6" t="s">
        <v>156</v>
      </c>
      <c r="H745" s="2" t="s">
        <v>194</v>
      </c>
      <c r="I745" s="2" t="s">
        <v>580</v>
      </c>
      <c r="J745" s="2" t="s">
        <v>19</v>
      </c>
      <c r="K745" s="2" t="s">
        <v>1082</v>
      </c>
      <c r="L745" s="7" t="str">
        <f>HYPERLINK("http://slimages.macys.com/is/image/MCY/12950293 ")</f>
        <v xml:space="preserve">http://slimages.macys.com/is/image/MCY/12950293 </v>
      </c>
    </row>
    <row r="746" spans="1:12" ht="24.75" x14ac:dyDescent="0.25">
      <c r="A746" s="4" t="s">
        <v>1780</v>
      </c>
      <c r="B746" s="2" t="s">
        <v>1776</v>
      </c>
      <c r="C746" s="3">
        <v>1</v>
      </c>
      <c r="D746" s="5">
        <v>22.13</v>
      </c>
      <c r="E746" s="3" t="s">
        <v>1779</v>
      </c>
      <c r="F746" s="2" t="s">
        <v>79</v>
      </c>
      <c r="G746" s="6" t="s">
        <v>154</v>
      </c>
      <c r="H746" s="2" t="s">
        <v>194</v>
      </c>
      <c r="I746" s="2" t="s">
        <v>1766</v>
      </c>
      <c r="J746" s="2" t="s">
        <v>19</v>
      </c>
      <c r="K746" s="2" t="s">
        <v>1758</v>
      </c>
      <c r="L746" s="7" t="str">
        <f>HYPERLINK("http://slimages.macys.com/is/image/MCY/12035171 ")</f>
        <v xml:space="preserve">http://slimages.macys.com/is/image/MCY/12035171 </v>
      </c>
    </row>
    <row r="747" spans="1:12" ht="24.75" x14ac:dyDescent="0.25">
      <c r="A747" s="4" t="s">
        <v>4081</v>
      </c>
      <c r="B747" s="2" t="s">
        <v>1761</v>
      </c>
      <c r="C747" s="3">
        <v>1</v>
      </c>
      <c r="D747" s="5">
        <v>22.13</v>
      </c>
      <c r="E747" s="3" t="s">
        <v>1768</v>
      </c>
      <c r="F747" s="2" t="s">
        <v>64</v>
      </c>
      <c r="G747" s="6" t="s">
        <v>156</v>
      </c>
      <c r="H747" s="2" t="s">
        <v>194</v>
      </c>
      <c r="I747" s="2" t="s">
        <v>580</v>
      </c>
      <c r="J747" s="2" t="s">
        <v>19</v>
      </c>
      <c r="K747" s="2" t="s">
        <v>1758</v>
      </c>
      <c r="L747" s="7" t="str">
        <f>HYPERLINK("http://slimages.macys.com/is/image/MCY/12799771 ")</f>
        <v xml:space="preserve">http://slimages.macys.com/is/image/MCY/12799771 </v>
      </c>
    </row>
    <row r="748" spans="1:12" ht="24.75" x14ac:dyDescent="0.25">
      <c r="A748" s="4" t="s">
        <v>6061</v>
      </c>
      <c r="B748" s="2" t="s">
        <v>6059</v>
      </c>
      <c r="C748" s="3">
        <v>1</v>
      </c>
      <c r="D748" s="5">
        <v>22.13</v>
      </c>
      <c r="E748" s="3" t="s">
        <v>6060</v>
      </c>
      <c r="F748" s="2" t="s">
        <v>572</v>
      </c>
      <c r="G748" s="6" t="s">
        <v>181</v>
      </c>
      <c r="H748" s="2" t="s">
        <v>194</v>
      </c>
      <c r="I748" s="2" t="s">
        <v>580</v>
      </c>
      <c r="J748" s="2" t="s">
        <v>19</v>
      </c>
      <c r="K748" s="2" t="s">
        <v>1082</v>
      </c>
      <c r="L748" s="7" t="str">
        <f>HYPERLINK("http://slimages.macys.com/is/image/MCY/12950293 ")</f>
        <v xml:space="preserve">http://slimages.macys.com/is/image/MCY/12950293 </v>
      </c>
    </row>
    <row r="749" spans="1:12" ht="24.75" x14ac:dyDescent="0.25">
      <c r="A749" s="4" t="s">
        <v>6062</v>
      </c>
      <c r="B749" s="2" t="s">
        <v>6046</v>
      </c>
      <c r="C749" s="3">
        <v>1</v>
      </c>
      <c r="D749" s="5">
        <v>22.13</v>
      </c>
      <c r="E749" s="3" t="s">
        <v>6063</v>
      </c>
      <c r="F749" s="2" t="s">
        <v>225</v>
      </c>
      <c r="G749" s="6" t="s">
        <v>234</v>
      </c>
      <c r="H749" s="2" t="s">
        <v>194</v>
      </c>
      <c r="I749" s="2" t="s">
        <v>580</v>
      </c>
      <c r="J749" s="2" t="s">
        <v>19</v>
      </c>
      <c r="K749" s="2" t="s">
        <v>442</v>
      </c>
      <c r="L749" s="7" t="str">
        <f>HYPERLINK("http://slimages.macys.com/is/image/MCY/11937957 ")</f>
        <v xml:space="preserve">http://slimages.macys.com/is/image/MCY/11937957 </v>
      </c>
    </row>
    <row r="750" spans="1:12" ht="24.75" x14ac:dyDescent="0.25">
      <c r="A750" s="4" t="s">
        <v>6064</v>
      </c>
      <c r="B750" s="2" t="s">
        <v>6059</v>
      </c>
      <c r="C750" s="3">
        <v>1</v>
      </c>
      <c r="D750" s="5">
        <v>22.13</v>
      </c>
      <c r="E750" s="3" t="s">
        <v>6060</v>
      </c>
      <c r="F750" s="2" t="s">
        <v>572</v>
      </c>
      <c r="G750" s="6" t="s">
        <v>234</v>
      </c>
      <c r="H750" s="2" t="s">
        <v>194</v>
      </c>
      <c r="I750" s="2" t="s">
        <v>580</v>
      </c>
      <c r="J750" s="2" t="s">
        <v>19</v>
      </c>
      <c r="K750" s="2" t="s">
        <v>1082</v>
      </c>
      <c r="L750" s="7" t="str">
        <f>HYPERLINK("http://slimages.macys.com/is/image/MCY/12950293 ")</f>
        <v xml:space="preserve">http://slimages.macys.com/is/image/MCY/12950293 </v>
      </c>
    </row>
    <row r="751" spans="1:12" ht="24.75" x14ac:dyDescent="0.25">
      <c r="A751" s="4" t="s">
        <v>2963</v>
      </c>
      <c r="B751" s="2" t="s">
        <v>1761</v>
      </c>
      <c r="C751" s="3">
        <v>3</v>
      </c>
      <c r="D751" s="5">
        <v>22.13</v>
      </c>
      <c r="E751" s="3" t="s">
        <v>1768</v>
      </c>
      <c r="F751" s="2" t="s">
        <v>64</v>
      </c>
      <c r="G751" s="6" t="s">
        <v>234</v>
      </c>
      <c r="H751" s="2" t="s">
        <v>194</v>
      </c>
      <c r="I751" s="2" t="s">
        <v>580</v>
      </c>
      <c r="J751" s="2" t="s">
        <v>19</v>
      </c>
      <c r="K751" s="2" t="s">
        <v>1758</v>
      </c>
      <c r="L751" s="7" t="str">
        <f>HYPERLINK("http://slimages.macys.com/is/image/MCY/12799771 ")</f>
        <v xml:space="preserve">http://slimages.macys.com/is/image/MCY/12799771 </v>
      </c>
    </row>
    <row r="752" spans="1:12" ht="24.75" x14ac:dyDescent="0.25">
      <c r="A752" s="4" t="s">
        <v>6065</v>
      </c>
      <c r="B752" s="2" t="s">
        <v>4079</v>
      </c>
      <c r="C752" s="3">
        <v>1</v>
      </c>
      <c r="D752" s="5">
        <v>22.13</v>
      </c>
      <c r="E752" s="3" t="s">
        <v>6066</v>
      </c>
      <c r="F752" s="2" t="s">
        <v>887</v>
      </c>
      <c r="G752" s="6" t="s">
        <v>154</v>
      </c>
      <c r="H752" s="2" t="s">
        <v>194</v>
      </c>
      <c r="I752" s="2" t="s">
        <v>1766</v>
      </c>
      <c r="J752" s="2" t="s">
        <v>19</v>
      </c>
      <c r="K752" s="2" t="s">
        <v>1758</v>
      </c>
      <c r="L752" s="7" t="str">
        <f>HYPERLINK("http://slimages.macys.com/is/image/MCY/11466752 ")</f>
        <v xml:space="preserve">http://slimages.macys.com/is/image/MCY/11466752 </v>
      </c>
    </row>
    <row r="753" spans="1:12" ht="24.75" x14ac:dyDescent="0.25">
      <c r="A753" s="4" t="s">
        <v>6067</v>
      </c>
      <c r="B753" s="2" t="s">
        <v>6046</v>
      </c>
      <c r="C753" s="3">
        <v>1</v>
      </c>
      <c r="D753" s="5">
        <v>22.13</v>
      </c>
      <c r="E753" s="3" t="s">
        <v>6047</v>
      </c>
      <c r="F753" s="2" t="s">
        <v>998</v>
      </c>
      <c r="G753" s="6" t="s">
        <v>154</v>
      </c>
      <c r="H753" s="2" t="s">
        <v>194</v>
      </c>
      <c r="I753" s="2" t="s">
        <v>580</v>
      </c>
      <c r="J753" s="2" t="s">
        <v>19</v>
      </c>
      <c r="K753" s="2" t="s">
        <v>1082</v>
      </c>
      <c r="L753" s="7" t="str">
        <f>HYPERLINK("http://slimages.macys.com/is/image/MCY/11937961 ")</f>
        <v xml:space="preserve">http://slimages.macys.com/is/image/MCY/11937961 </v>
      </c>
    </row>
    <row r="754" spans="1:12" ht="24.75" x14ac:dyDescent="0.25">
      <c r="A754" s="4" t="s">
        <v>6068</v>
      </c>
      <c r="B754" s="2" t="s">
        <v>1776</v>
      </c>
      <c r="C754" s="3">
        <v>1</v>
      </c>
      <c r="D754" s="5">
        <v>22.13</v>
      </c>
      <c r="E754" s="3" t="s">
        <v>1779</v>
      </c>
      <c r="F754" s="2" t="s">
        <v>79</v>
      </c>
      <c r="G754" s="6" t="s">
        <v>181</v>
      </c>
      <c r="H754" s="2" t="s">
        <v>194</v>
      </c>
      <c r="I754" s="2" t="s">
        <v>1766</v>
      </c>
      <c r="J754" s="2" t="s">
        <v>19</v>
      </c>
      <c r="K754" s="2" t="s">
        <v>1758</v>
      </c>
      <c r="L754" s="7" t="str">
        <f>HYPERLINK("http://slimages.macys.com/is/image/MCY/12035171 ")</f>
        <v xml:space="preserve">http://slimages.macys.com/is/image/MCY/12035171 </v>
      </c>
    </row>
    <row r="755" spans="1:12" ht="24.75" x14ac:dyDescent="0.25">
      <c r="A755" s="4" t="s">
        <v>6069</v>
      </c>
      <c r="B755" s="2" t="s">
        <v>4079</v>
      </c>
      <c r="C755" s="3">
        <v>1</v>
      </c>
      <c r="D755" s="5">
        <v>22.13</v>
      </c>
      <c r="E755" s="3" t="s">
        <v>4080</v>
      </c>
      <c r="F755" s="2" t="s">
        <v>199</v>
      </c>
      <c r="G755" s="6" t="s">
        <v>154</v>
      </c>
      <c r="H755" s="2" t="s">
        <v>194</v>
      </c>
      <c r="I755" s="2" t="s">
        <v>1766</v>
      </c>
      <c r="J755" s="2" t="s">
        <v>19</v>
      </c>
      <c r="K755" s="2" t="s">
        <v>1082</v>
      </c>
      <c r="L755" s="7" t="str">
        <f>HYPERLINK("http://slimages.macys.com/is/image/MCY/11701564 ")</f>
        <v xml:space="preserve">http://slimages.macys.com/is/image/MCY/11701564 </v>
      </c>
    </row>
    <row r="756" spans="1:12" ht="24.75" x14ac:dyDescent="0.25">
      <c r="A756" s="4" t="s">
        <v>6070</v>
      </c>
      <c r="B756" s="2" t="s">
        <v>6071</v>
      </c>
      <c r="C756" s="3">
        <v>1</v>
      </c>
      <c r="D756" s="5">
        <v>21.5</v>
      </c>
      <c r="E756" s="3" t="s">
        <v>6072</v>
      </c>
      <c r="F756" s="2" t="s">
        <v>464</v>
      </c>
      <c r="G756" s="6" t="s">
        <v>234</v>
      </c>
      <c r="H756" s="2" t="s">
        <v>194</v>
      </c>
      <c r="I756" s="2" t="s">
        <v>580</v>
      </c>
      <c r="J756" s="2" t="s">
        <v>19</v>
      </c>
      <c r="K756" s="2" t="s">
        <v>1758</v>
      </c>
      <c r="L756" s="7" t="str">
        <f>HYPERLINK("http://slimages.macys.com/is/image/MCY/11266322 ")</f>
        <v xml:space="preserve">http://slimages.macys.com/is/image/MCY/11266322 </v>
      </c>
    </row>
    <row r="757" spans="1:12" ht="24.75" x14ac:dyDescent="0.25">
      <c r="A757" s="4" t="s">
        <v>6073</v>
      </c>
      <c r="B757" s="2" t="s">
        <v>6074</v>
      </c>
      <c r="C757" s="3">
        <v>1</v>
      </c>
      <c r="D757" s="5">
        <v>22.13</v>
      </c>
      <c r="E757" s="3" t="s">
        <v>6075</v>
      </c>
      <c r="F757" s="2" t="s">
        <v>5077</v>
      </c>
      <c r="G757" s="6" t="s">
        <v>234</v>
      </c>
      <c r="H757" s="2" t="s">
        <v>194</v>
      </c>
      <c r="I757" s="2" t="s">
        <v>580</v>
      </c>
      <c r="J757" s="2" t="s">
        <v>19</v>
      </c>
      <c r="K757" s="2" t="s">
        <v>1082</v>
      </c>
      <c r="L757" s="7" t="str">
        <f>HYPERLINK("http://slimages.macys.com/is/image/MCY/11804549 ")</f>
        <v xml:space="preserve">http://slimages.macys.com/is/image/MCY/11804549 </v>
      </c>
    </row>
    <row r="758" spans="1:12" ht="24.75" x14ac:dyDescent="0.25">
      <c r="A758" s="4" t="s">
        <v>6076</v>
      </c>
      <c r="B758" s="2" t="s">
        <v>6077</v>
      </c>
      <c r="C758" s="3">
        <v>1</v>
      </c>
      <c r="D758" s="5">
        <v>19.989999999999998</v>
      </c>
      <c r="E758" s="3" t="s">
        <v>6078</v>
      </c>
      <c r="F758" s="2" t="s">
        <v>26</v>
      </c>
      <c r="G758" s="6" t="s">
        <v>154</v>
      </c>
      <c r="H758" s="2" t="s">
        <v>1473</v>
      </c>
      <c r="I758" s="2" t="s">
        <v>1426</v>
      </c>
      <c r="J758" s="2" t="s">
        <v>19</v>
      </c>
      <c r="K758" s="2" t="s">
        <v>990</v>
      </c>
      <c r="L758" s="7" t="str">
        <f>HYPERLINK("http://slimages.macys.com/is/image/MCY/11831356 ")</f>
        <v xml:space="preserve">http://slimages.macys.com/is/image/MCY/11831356 </v>
      </c>
    </row>
    <row r="759" spans="1:12" ht="24.75" x14ac:dyDescent="0.25">
      <c r="A759" s="4" t="s">
        <v>6079</v>
      </c>
      <c r="B759" s="2" t="s">
        <v>1724</v>
      </c>
      <c r="C759" s="3">
        <v>1</v>
      </c>
      <c r="D759" s="5">
        <v>34.880000000000003</v>
      </c>
      <c r="E759" s="3">
        <v>100018041</v>
      </c>
      <c r="F759" s="2" t="s">
        <v>74</v>
      </c>
      <c r="G759" s="6" t="s">
        <v>65</v>
      </c>
      <c r="H759" s="2" t="s">
        <v>194</v>
      </c>
      <c r="I759" s="2" t="s">
        <v>195</v>
      </c>
      <c r="J759" s="2" t="s">
        <v>19</v>
      </c>
      <c r="K759" s="2" t="s">
        <v>353</v>
      </c>
      <c r="L759" s="7" t="str">
        <f>HYPERLINK("http://slimages.macys.com/is/image/MCY/12950342 ")</f>
        <v xml:space="preserve">http://slimages.macys.com/is/image/MCY/12950342 </v>
      </c>
    </row>
    <row r="760" spans="1:12" ht="24.75" x14ac:dyDescent="0.25">
      <c r="A760" s="4" t="s">
        <v>2978</v>
      </c>
      <c r="B760" s="2" t="s">
        <v>1724</v>
      </c>
      <c r="C760" s="3">
        <v>2</v>
      </c>
      <c r="D760" s="5">
        <v>34.880000000000003</v>
      </c>
      <c r="E760" s="3">
        <v>100018041</v>
      </c>
      <c r="F760" s="2" t="s">
        <v>74</v>
      </c>
      <c r="G760" s="6" t="s">
        <v>16</v>
      </c>
      <c r="H760" s="2" t="s">
        <v>194</v>
      </c>
      <c r="I760" s="2" t="s">
        <v>195</v>
      </c>
      <c r="J760" s="2" t="s">
        <v>19</v>
      </c>
      <c r="K760" s="2" t="s">
        <v>353</v>
      </c>
      <c r="L760" s="7" t="str">
        <f>HYPERLINK("http://slimages.macys.com/is/image/MCY/12950342 ")</f>
        <v xml:space="preserve">http://slimages.macys.com/is/image/MCY/12950342 </v>
      </c>
    </row>
    <row r="761" spans="1:12" ht="24.75" x14ac:dyDescent="0.25">
      <c r="A761" s="4" t="s">
        <v>1789</v>
      </c>
      <c r="B761" s="2" t="s">
        <v>1783</v>
      </c>
      <c r="C761" s="3">
        <v>1</v>
      </c>
      <c r="D761" s="5">
        <v>45</v>
      </c>
      <c r="E761" s="3" t="s">
        <v>1784</v>
      </c>
      <c r="F761" s="2" t="s">
        <v>48</v>
      </c>
      <c r="G761" s="6" t="s">
        <v>446</v>
      </c>
      <c r="H761" s="2" t="s">
        <v>447</v>
      </c>
      <c r="I761" s="2" t="s">
        <v>792</v>
      </c>
      <c r="J761" s="2" t="s">
        <v>1499</v>
      </c>
      <c r="K761" s="2" t="s">
        <v>160</v>
      </c>
      <c r="L761" s="7" t="str">
        <f>HYPERLINK("http://slimages.macys.com/is/image/MCY/13286075 ")</f>
        <v xml:space="preserve">http://slimages.macys.com/is/image/MCY/13286075 </v>
      </c>
    </row>
    <row r="762" spans="1:12" ht="24.75" x14ac:dyDescent="0.25">
      <c r="A762" s="4" t="s">
        <v>6080</v>
      </c>
      <c r="B762" s="2" t="s">
        <v>4089</v>
      </c>
      <c r="C762" s="3">
        <v>1</v>
      </c>
      <c r="D762" s="5">
        <v>19.989999999999998</v>
      </c>
      <c r="E762" s="3" t="s">
        <v>4090</v>
      </c>
      <c r="F762" s="2" t="s">
        <v>331</v>
      </c>
      <c r="G762" s="6" t="s">
        <v>181</v>
      </c>
      <c r="H762" s="2" t="s">
        <v>1473</v>
      </c>
      <c r="I762" s="2" t="s">
        <v>1426</v>
      </c>
      <c r="J762" s="2" t="s">
        <v>19</v>
      </c>
      <c r="K762" s="2" t="s">
        <v>495</v>
      </c>
      <c r="L762" s="7" t="str">
        <f>HYPERLINK("http://slimages.macys.com/is/image/MCY/11831219 ")</f>
        <v xml:space="preserve">http://slimages.macys.com/is/image/MCY/11831219 </v>
      </c>
    </row>
    <row r="763" spans="1:12" ht="24.75" x14ac:dyDescent="0.25">
      <c r="A763" s="4" t="s">
        <v>6081</v>
      </c>
      <c r="B763" s="2" t="s">
        <v>4089</v>
      </c>
      <c r="C763" s="3">
        <v>1</v>
      </c>
      <c r="D763" s="5">
        <v>19.989999999999998</v>
      </c>
      <c r="E763" s="3" t="s">
        <v>4090</v>
      </c>
      <c r="F763" s="2" t="s">
        <v>331</v>
      </c>
      <c r="G763" s="6" t="s">
        <v>156</v>
      </c>
      <c r="H763" s="2" t="s">
        <v>1473</v>
      </c>
      <c r="I763" s="2" t="s">
        <v>1426</v>
      </c>
      <c r="J763" s="2" t="s">
        <v>19</v>
      </c>
      <c r="K763" s="2" t="s">
        <v>495</v>
      </c>
      <c r="L763" s="7" t="str">
        <f>HYPERLINK("http://slimages.macys.com/is/image/MCY/11831219 ")</f>
        <v xml:space="preserve">http://slimages.macys.com/is/image/MCY/11831219 </v>
      </c>
    </row>
    <row r="764" spans="1:12" ht="24.75" x14ac:dyDescent="0.25">
      <c r="A764" s="4" t="s">
        <v>6082</v>
      </c>
      <c r="B764" s="2" t="s">
        <v>6083</v>
      </c>
      <c r="C764" s="3">
        <v>1</v>
      </c>
      <c r="D764" s="5">
        <v>19.989999999999998</v>
      </c>
      <c r="E764" s="3" t="s">
        <v>6084</v>
      </c>
      <c r="F764" s="2" t="s">
        <v>64</v>
      </c>
      <c r="G764" s="6"/>
      <c r="H764" s="2" t="s">
        <v>1425</v>
      </c>
      <c r="I764" s="2" t="s">
        <v>1426</v>
      </c>
      <c r="J764" s="2" t="s">
        <v>19</v>
      </c>
      <c r="K764" s="2" t="s">
        <v>107</v>
      </c>
      <c r="L764" s="7" t="str">
        <f>HYPERLINK("http://slimages.macys.com/is/image/MCY/11517680 ")</f>
        <v xml:space="preserve">http://slimages.macys.com/is/image/MCY/11517680 </v>
      </c>
    </row>
    <row r="765" spans="1:12" ht="24.75" x14ac:dyDescent="0.25">
      <c r="A765" s="4" t="s">
        <v>6085</v>
      </c>
      <c r="B765" s="2" t="s">
        <v>6083</v>
      </c>
      <c r="C765" s="3">
        <v>1</v>
      </c>
      <c r="D765" s="5">
        <v>19.989999999999998</v>
      </c>
      <c r="E765" s="3" t="s">
        <v>6084</v>
      </c>
      <c r="F765" s="2" t="s">
        <v>64</v>
      </c>
      <c r="G765" s="6"/>
      <c r="H765" s="2" t="s">
        <v>1425</v>
      </c>
      <c r="I765" s="2" t="s">
        <v>1426</v>
      </c>
      <c r="J765" s="2" t="s">
        <v>19</v>
      </c>
      <c r="K765" s="2" t="s">
        <v>107</v>
      </c>
      <c r="L765" s="7" t="str">
        <f>HYPERLINK("http://slimages.macys.com/is/image/MCY/11517680 ")</f>
        <v xml:space="preserve">http://slimages.macys.com/is/image/MCY/11517680 </v>
      </c>
    </row>
    <row r="766" spans="1:12" ht="24.75" x14ac:dyDescent="0.25">
      <c r="A766" s="4" t="s">
        <v>6086</v>
      </c>
      <c r="B766" s="2" t="s">
        <v>6087</v>
      </c>
      <c r="C766" s="3">
        <v>1</v>
      </c>
      <c r="D766" s="5">
        <v>17.989999999999998</v>
      </c>
      <c r="E766" s="3" t="s">
        <v>6088</v>
      </c>
      <c r="F766" s="2" t="s">
        <v>26</v>
      </c>
      <c r="G766" s="6" t="s">
        <v>156</v>
      </c>
      <c r="H766" s="2" t="s">
        <v>1473</v>
      </c>
      <c r="I766" s="2" t="s">
        <v>1426</v>
      </c>
      <c r="J766" s="2" t="s">
        <v>19</v>
      </c>
      <c r="K766" s="2" t="s">
        <v>495</v>
      </c>
      <c r="L766" s="7" t="str">
        <f>HYPERLINK("http://slimages.macys.com/is/image/MCY/11831280 ")</f>
        <v xml:space="preserve">http://slimages.macys.com/is/image/MCY/11831280 </v>
      </c>
    </row>
    <row r="767" spans="1:12" ht="24.75" x14ac:dyDescent="0.25">
      <c r="A767" s="4" t="s">
        <v>5130</v>
      </c>
      <c r="B767" s="2" t="s">
        <v>2992</v>
      </c>
      <c r="C767" s="3">
        <v>1</v>
      </c>
      <c r="D767" s="5">
        <v>22.13</v>
      </c>
      <c r="E767" s="3">
        <v>100021693</v>
      </c>
      <c r="F767" s="2" t="s">
        <v>1788</v>
      </c>
      <c r="G767" s="6" t="s">
        <v>156</v>
      </c>
      <c r="H767" s="2" t="s">
        <v>194</v>
      </c>
      <c r="I767" s="2" t="s">
        <v>1766</v>
      </c>
      <c r="J767" s="2" t="s">
        <v>19</v>
      </c>
      <c r="K767" s="2" t="s">
        <v>495</v>
      </c>
      <c r="L767" s="7" t="str">
        <f>HYPERLINK("http://slimages.macys.com/is/image/MCY/9620471 ")</f>
        <v xml:space="preserve">http://slimages.macys.com/is/image/MCY/9620471 </v>
      </c>
    </row>
    <row r="768" spans="1:12" ht="24.75" x14ac:dyDescent="0.25">
      <c r="A768" s="4" t="s">
        <v>5132</v>
      </c>
      <c r="B768" s="2" t="s">
        <v>5133</v>
      </c>
      <c r="C768" s="3">
        <v>1</v>
      </c>
      <c r="D768" s="5">
        <v>19.989999999999998</v>
      </c>
      <c r="E768" s="3" t="s">
        <v>5134</v>
      </c>
      <c r="F768" s="2" t="s">
        <v>417</v>
      </c>
      <c r="G768" s="6" t="s">
        <v>245</v>
      </c>
      <c r="H768" s="2" t="s">
        <v>1473</v>
      </c>
      <c r="I768" s="2" t="s">
        <v>1426</v>
      </c>
      <c r="J768" s="2" t="s">
        <v>19</v>
      </c>
      <c r="K768" s="2" t="s">
        <v>495</v>
      </c>
      <c r="L768" s="7" t="str">
        <f>HYPERLINK("http://slimages.macys.com/is/image/MCY/11774906 ")</f>
        <v xml:space="preserve">http://slimages.macys.com/is/image/MCY/11774906 </v>
      </c>
    </row>
    <row r="769" spans="1:12" ht="24.75" x14ac:dyDescent="0.25">
      <c r="A769" s="4" t="s">
        <v>6089</v>
      </c>
      <c r="B769" s="2" t="s">
        <v>6090</v>
      </c>
      <c r="C769" s="3">
        <v>1</v>
      </c>
      <c r="D769" s="5">
        <v>17.989999999999998</v>
      </c>
      <c r="E769" s="3" t="s">
        <v>6091</v>
      </c>
      <c r="F769" s="2" t="s">
        <v>417</v>
      </c>
      <c r="G769" s="6" t="s">
        <v>181</v>
      </c>
      <c r="H769" s="2" t="s">
        <v>1473</v>
      </c>
      <c r="I769" s="2" t="s">
        <v>1426</v>
      </c>
      <c r="J769" s="2" t="s">
        <v>19</v>
      </c>
      <c r="K769" s="2" t="s">
        <v>495</v>
      </c>
      <c r="L769" s="7" t="str">
        <f>HYPERLINK("http://slimages.macys.com/is/image/MCY/11989650 ")</f>
        <v xml:space="preserve">http://slimages.macys.com/is/image/MCY/11989650 </v>
      </c>
    </row>
    <row r="770" spans="1:12" ht="24.75" x14ac:dyDescent="0.25">
      <c r="A770" s="4" t="s">
        <v>6092</v>
      </c>
      <c r="B770" s="2" t="s">
        <v>5138</v>
      </c>
      <c r="C770" s="3">
        <v>1</v>
      </c>
      <c r="D770" s="5">
        <v>19.989999999999998</v>
      </c>
      <c r="E770" s="3" t="s">
        <v>5139</v>
      </c>
      <c r="F770" s="2" t="s">
        <v>413</v>
      </c>
      <c r="G770" s="6" t="s">
        <v>154</v>
      </c>
      <c r="H770" s="2" t="s">
        <v>1473</v>
      </c>
      <c r="I770" s="2" t="s">
        <v>1426</v>
      </c>
      <c r="J770" s="2" t="s">
        <v>19</v>
      </c>
      <c r="K770" s="2" t="s">
        <v>648</v>
      </c>
      <c r="L770" s="7" t="str">
        <f>HYPERLINK("http://slimages.macys.com/is/image/MCY/12774735 ")</f>
        <v xml:space="preserve">http://slimages.macys.com/is/image/MCY/12774735 </v>
      </c>
    </row>
    <row r="771" spans="1:12" ht="24.75" x14ac:dyDescent="0.25">
      <c r="A771" s="4" t="s">
        <v>6093</v>
      </c>
      <c r="B771" s="2" t="s">
        <v>6094</v>
      </c>
      <c r="C771" s="3">
        <v>1</v>
      </c>
      <c r="D771" s="5">
        <v>19.989999999999998</v>
      </c>
      <c r="E771" s="3" t="s">
        <v>6095</v>
      </c>
      <c r="F771" s="2" t="s">
        <v>38</v>
      </c>
      <c r="G771" s="6" t="s">
        <v>245</v>
      </c>
      <c r="H771" s="2" t="s">
        <v>1522</v>
      </c>
      <c r="I771" s="2" t="s">
        <v>1469</v>
      </c>
      <c r="J771" s="2" t="s">
        <v>19</v>
      </c>
      <c r="K771" s="2" t="s">
        <v>495</v>
      </c>
      <c r="L771" s="7" t="str">
        <f>HYPERLINK("http://slimages.macys.com/is/image/MCY/9837435 ")</f>
        <v xml:space="preserve">http://slimages.macys.com/is/image/MCY/9837435 </v>
      </c>
    </row>
    <row r="772" spans="1:12" ht="24.75" x14ac:dyDescent="0.25">
      <c r="A772" s="4" t="s">
        <v>6096</v>
      </c>
      <c r="B772" s="2" t="s">
        <v>1817</v>
      </c>
      <c r="C772" s="3">
        <v>1</v>
      </c>
      <c r="D772" s="5">
        <v>17.989999999999998</v>
      </c>
      <c r="E772" s="3" t="s">
        <v>1818</v>
      </c>
      <c r="F772" s="2" t="s">
        <v>252</v>
      </c>
      <c r="G772" s="6" t="s">
        <v>27</v>
      </c>
      <c r="H772" s="2" t="s">
        <v>1473</v>
      </c>
      <c r="I772" s="2" t="s">
        <v>1426</v>
      </c>
      <c r="J772" s="2" t="s">
        <v>19</v>
      </c>
      <c r="K772" s="2" t="s">
        <v>353</v>
      </c>
      <c r="L772" s="7" t="str">
        <f>HYPERLINK("http://slimages.macys.com/is/image/MCY/12070597 ")</f>
        <v xml:space="preserve">http://slimages.macys.com/is/image/MCY/12070597 </v>
      </c>
    </row>
    <row r="773" spans="1:12" x14ac:dyDescent="0.25">
      <c r="A773" s="4" t="s">
        <v>6097</v>
      </c>
      <c r="B773" s="2" t="s">
        <v>6098</v>
      </c>
      <c r="C773" s="3">
        <v>1</v>
      </c>
      <c r="D773" s="5">
        <v>19.989999999999998</v>
      </c>
      <c r="E773" s="3" t="s">
        <v>6099</v>
      </c>
      <c r="F773" s="2" t="s">
        <v>26</v>
      </c>
      <c r="G773" s="6" t="s">
        <v>348</v>
      </c>
      <c r="H773" s="2" t="s">
        <v>349</v>
      </c>
      <c r="I773" s="2" t="s">
        <v>285</v>
      </c>
      <c r="J773" s="2" t="s">
        <v>19</v>
      </c>
      <c r="K773" s="2" t="s">
        <v>247</v>
      </c>
      <c r="L773" s="7" t="str">
        <f>HYPERLINK("http://slimages.macys.com/is/image/MCY/13934363 ")</f>
        <v xml:space="preserve">http://slimages.macys.com/is/image/MCY/13934363 </v>
      </c>
    </row>
    <row r="774" spans="1:12" ht="24.75" x14ac:dyDescent="0.25">
      <c r="A774" s="4" t="s">
        <v>5160</v>
      </c>
      <c r="B774" s="2" t="s">
        <v>3026</v>
      </c>
      <c r="C774" s="3">
        <v>3</v>
      </c>
      <c r="D774" s="5">
        <v>21.99</v>
      </c>
      <c r="E774" s="3" t="s">
        <v>3027</v>
      </c>
      <c r="F774" s="2" t="s">
        <v>79</v>
      </c>
      <c r="G774" s="6" t="s">
        <v>234</v>
      </c>
      <c r="H774" s="2" t="s">
        <v>284</v>
      </c>
      <c r="I774" s="2" t="s">
        <v>285</v>
      </c>
      <c r="J774" s="2" t="s">
        <v>19</v>
      </c>
      <c r="K774" s="2" t="s">
        <v>247</v>
      </c>
      <c r="L774" s="7" t="str">
        <f>HYPERLINK("http://slimages.macys.com/is/image/MCY/9972026 ")</f>
        <v xml:space="preserve">http://slimages.macys.com/is/image/MCY/9972026 </v>
      </c>
    </row>
    <row r="775" spans="1:12" ht="24.75" x14ac:dyDescent="0.25">
      <c r="A775" s="4" t="s">
        <v>6100</v>
      </c>
      <c r="B775" s="2" t="s">
        <v>4119</v>
      </c>
      <c r="C775" s="3">
        <v>1</v>
      </c>
      <c r="D775" s="5">
        <v>19.989999999999998</v>
      </c>
      <c r="E775" s="3" t="s">
        <v>4120</v>
      </c>
      <c r="F775" s="2" t="s">
        <v>15</v>
      </c>
      <c r="G775" s="6" t="s">
        <v>154</v>
      </c>
      <c r="H775" s="2" t="s">
        <v>1473</v>
      </c>
      <c r="I775" s="2" t="s">
        <v>1426</v>
      </c>
      <c r="J775" s="2" t="s">
        <v>19</v>
      </c>
      <c r="K775" s="2" t="s">
        <v>648</v>
      </c>
      <c r="L775" s="7" t="str">
        <f>HYPERLINK("http://slimages.macys.com/is/image/MCY/11830694 ")</f>
        <v xml:space="preserve">http://slimages.macys.com/is/image/MCY/11830694 </v>
      </c>
    </row>
    <row r="776" spans="1:12" ht="24.75" x14ac:dyDescent="0.25">
      <c r="A776" s="4" t="s">
        <v>6101</v>
      </c>
      <c r="B776" s="2" t="s">
        <v>3026</v>
      </c>
      <c r="C776" s="3">
        <v>1</v>
      </c>
      <c r="D776" s="5">
        <v>21.99</v>
      </c>
      <c r="E776" s="3" t="s">
        <v>5156</v>
      </c>
      <c r="F776" s="2" t="s">
        <v>64</v>
      </c>
      <c r="G776" s="6" t="s">
        <v>181</v>
      </c>
      <c r="H776" s="2" t="s">
        <v>284</v>
      </c>
      <c r="I776" s="2" t="s">
        <v>285</v>
      </c>
      <c r="J776" s="2" t="s">
        <v>19</v>
      </c>
      <c r="K776" s="2" t="s">
        <v>247</v>
      </c>
      <c r="L776" s="7" t="str">
        <f>HYPERLINK("http://slimages.macys.com/is/image/MCY/16393197 ")</f>
        <v xml:space="preserve">http://slimages.macys.com/is/image/MCY/16393197 </v>
      </c>
    </row>
    <row r="777" spans="1:12" ht="24.75" x14ac:dyDescent="0.25">
      <c r="A777" s="4" t="s">
        <v>6102</v>
      </c>
      <c r="B777" s="2" t="s">
        <v>2000</v>
      </c>
      <c r="C777" s="3">
        <v>1</v>
      </c>
      <c r="D777" s="5">
        <v>21.99</v>
      </c>
      <c r="E777" s="3">
        <v>100015505</v>
      </c>
      <c r="F777" s="2" t="s">
        <v>94</v>
      </c>
      <c r="G777" s="6" t="s">
        <v>181</v>
      </c>
      <c r="H777" s="2" t="s">
        <v>284</v>
      </c>
      <c r="I777" s="2" t="s">
        <v>285</v>
      </c>
      <c r="J777" s="2" t="s">
        <v>19</v>
      </c>
      <c r="K777" s="2" t="s">
        <v>247</v>
      </c>
      <c r="L777" s="7" t="str">
        <f>HYPERLINK("http://slimages.macys.com/is/image/MCY/16500547 ")</f>
        <v xml:space="preserve">http://slimages.macys.com/is/image/MCY/16500547 </v>
      </c>
    </row>
    <row r="778" spans="1:12" ht="24.75" x14ac:dyDescent="0.25">
      <c r="A778" s="4" t="s">
        <v>6103</v>
      </c>
      <c r="B778" s="2" t="s">
        <v>3026</v>
      </c>
      <c r="C778" s="3">
        <v>2</v>
      </c>
      <c r="D778" s="5">
        <v>21.99</v>
      </c>
      <c r="E778" s="3" t="s">
        <v>3027</v>
      </c>
      <c r="F778" s="2" t="s">
        <v>79</v>
      </c>
      <c r="G778" s="6" t="s">
        <v>156</v>
      </c>
      <c r="H778" s="2" t="s">
        <v>284</v>
      </c>
      <c r="I778" s="2" t="s">
        <v>285</v>
      </c>
      <c r="J778" s="2" t="s">
        <v>19</v>
      </c>
      <c r="K778" s="2" t="s">
        <v>247</v>
      </c>
      <c r="L778" s="7" t="str">
        <f>HYPERLINK("http://slimages.macys.com/is/image/MCY/9972026 ")</f>
        <v xml:space="preserve">http://slimages.macys.com/is/image/MCY/9972026 </v>
      </c>
    </row>
    <row r="779" spans="1:12" ht="24.75" x14ac:dyDescent="0.25">
      <c r="A779" s="4" t="s">
        <v>4116</v>
      </c>
      <c r="B779" s="2" t="s">
        <v>3026</v>
      </c>
      <c r="C779" s="3">
        <v>6</v>
      </c>
      <c r="D779" s="5">
        <v>21.99</v>
      </c>
      <c r="E779" s="3" t="s">
        <v>3027</v>
      </c>
      <c r="F779" s="2" t="s">
        <v>79</v>
      </c>
      <c r="G779" s="6" t="s">
        <v>154</v>
      </c>
      <c r="H779" s="2" t="s">
        <v>284</v>
      </c>
      <c r="I779" s="2" t="s">
        <v>285</v>
      </c>
      <c r="J779" s="2" t="s">
        <v>19</v>
      </c>
      <c r="K779" s="2" t="s">
        <v>247</v>
      </c>
      <c r="L779" s="7" t="str">
        <f>HYPERLINK("http://slimages.macys.com/is/image/MCY/9972026 ")</f>
        <v xml:space="preserve">http://slimages.macys.com/is/image/MCY/9972026 </v>
      </c>
    </row>
    <row r="780" spans="1:12" ht="24.75" x14ac:dyDescent="0.25">
      <c r="A780" s="4" t="s">
        <v>6104</v>
      </c>
      <c r="B780" s="2" t="s">
        <v>6105</v>
      </c>
      <c r="C780" s="3">
        <v>1</v>
      </c>
      <c r="D780" s="5">
        <v>58</v>
      </c>
      <c r="E780" s="3" t="s">
        <v>6106</v>
      </c>
      <c r="F780" s="2" t="s">
        <v>2619</v>
      </c>
      <c r="G780" s="6" t="s">
        <v>16</v>
      </c>
      <c r="H780" s="2" t="s">
        <v>3402</v>
      </c>
      <c r="I780" s="2" t="s">
        <v>3409</v>
      </c>
      <c r="J780" s="2"/>
      <c r="K780" s="2"/>
      <c r="L780" s="7" t="str">
        <f>HYPERLINK("http://slimages.macys.com/is/image/MCY/12319096 ")</f>
        <v xml:space="preserve">http://slimages.macys.com/is/image/MCY/12319096 </v>
      </c>
    </row>
    <row r="781" spans="1:12" ht="24.75" x14ac:dyDescent="0.25">
      <c r="A781" s="4" t="s">
        <v>3025</v>
      </c>
      <c r="B781" s="2" t="s">
        <v>3026</v>
      </c>
      <c r="C781" s="3">
        <v>1</v>
      </c>
      <c r="D781" s="5">
        <v>21.99</v>
      </c>
      <c r="E781" s="3" t="s">
        <v>3027</v>
      </c>
      <c r="F781" s="2" t="s">
        <v>79</v>
      </c>
      <c r="G781" s="6" t="s">
        <v>181</v>
      </c>
      <c r="H781" s="2" t="s">
        <v>284</v>
      </c>
      <c r="I781" s="2" t="s">
        <v>285</v>
      </c>
      <c r="J781" s="2" t="s">
        <v>19</v>
      </c>
      <c r="K781" s="2" t="s">
        <v>247</v>
      </c>
      <c r="L781" s="7" t="str">
        <f>HYPERLINK("http://slimages.macys.com/is/image/MCY/9972026 ")</f>
        <v xml:space="preserve">http://slimages.macys.com/is/image/MCY/9972026 </v>
      </c>
    </row>
    <row r="782" spans="1:12" ht="24.75" x14ac:dyDescent="0.25">
      <c r="A782" s="4" t="s">
        <v>6107</v>
      </c>
      <c r="B782" s="2" t="s">
        <v>4119</v>
      </c>
      <c r="C782" s="3">
        <v>1</v>
      </c>
      <c r="D782" s="5">
        <v>19.989999999999998</v>
      </c>
      <c r="E782" s="3" t="s">
        <v>4120</v>
      </c>
      <c r="F782" s="2" t="s">
        <v>15</v>
      </c>
      <c r="G782" s="6" t="s">
        <v>234</v>
      </c>
      <c r="H782" s="2" t="s">
        <v>1473</v>
      </c>
      <c r="I782" s="2" t="s">
        <v>1426</v>
      </c>
      <c r="J782" s="2" t="s">
        <v>19</v>
      </c>
      <c r="K782" s="2" t="s">
        <v>648</v>
      </c>
      <c r="L782" s="7" t="str">
        <f>HYPERLINK("http://slimages.macys.com/is/image/MCY/11830694 ")</f>
        <v xml:space="preserve">http://slimages.macys.com/is/image/MCY/11830694 </v>
      </c>
    </row>
    <row r="783" spans="1:12" ht="24.75" x14ac:dyDescent="0.25">
      <c r="A783" s="4" t="s">
        <v>6108</v>
      </c>
      <c r="B783" s="2" t="s">
        <v>5164</v>
      </c>
      <c r="C783" s="3">
        <v>1</v>
      </c>
      <c r="D783" s="5">
        <v>34.880000000000003</v>
      </c>
      <c r="E783" s="3" t="s">
        <v>5165</v>
      </c>
      <c r="F783" s="2" t="s">
        <v>74</v>
      </c>
      <c r="G783" s="6" t="s">
        <v>363</v>
      </c>
      <c r="H783" s="2" t="s">
        <v>312</v>
      </c>
      <c r="I783" s="2" t="s">
        <v>195</v>
      </c>
      <c r="J783" s="2" t="s">
        <v>19</v>
      </c>
      <c r="K783" s="2" t="s">
        <v>353</v>
      </c>
      <c r="L783" s="7" t="str">
        <f>HYPERLINK("http://slimages.macys.com/is/image/MCY/9527142 ")</f>
        <v xml:space="preserve">http://slimages.macys.com/is/image/MCY/9527142 </v>
      </c>
    </row>
    <row r="784" spans="1:12" ht="24.75" x14ac:dyDescent="0.25">
      <c r="A784" s="4" t="s">
        <v>3031</v>
      </c>
      <c r="B784" s="2" t="s">
        <v>1829</v>
      </c>
      <c r="C784" s="3">
        <v>1</v>
      </c>
      <c r="D784" s="5">
        <v>14.99</v>
      </c>
      <c r="E784" s="3" t="s">
        <v>3032</v>
      </c>
      <c r="F784" s="2" t="s">
        <v>1788</v>
      </c>
      <c r="G784" s="6" t="s">
        <v>156</v>
      </c>
      <c r="H784" s="2" t="s">
        <v>194</v>
      </c>
      <c r="I784" s="2" t="s">
        <v>307</v>
      </c>
      <c r="J784" s="2" t="s">
        <v>19</v>
      </c>
      <c r="K784" s="2" t="s">
        <v>34</v>
      </c>
      <c r="L784" s="7" t="str">
        <f>HYPERLINK("http://slimages.macys.com/is/image/MCY/11936089 ")</f>
        <v xml:space="preserve">http://slimages.macys.com/is/image/MCY/11936089 </v>
      </c>
    </row>
    <row r="785" spans="1:12" ht="24.75" x14ac:dyDescent="0.25">
      <c r="A785" s="4" t="s">
        <v>6109</v>
      </c>
      <c r="B785" s="2" t="s">
        <v>1833</v>
      </c>
      <c r="C785" s="3">
        <v>1</v>
      </c>
      <c r="D785" s="5">
        <v>14.99</v>
      </c>
      <c r="E785" s="3" t="s">
        <v>6110</v>
      </c>
      <c r="F785" s="2" t="s">
        <v>101</v>
      </c>
      <c r="G785" s="6" t="s">
        <v>154</v>
      </c>
      <c r="H785" s="2" t="s">
        <v>194</v>
      </c>
      <c r="I785" s="2" t="s">
        <v>307</v>
      </c>
      <c r="J785" s="2" t="s">
        <v>19</v>
      </c>
      <c r="K785" s="2" t="s">
        <v>34</v>
      </c>
      <c r="L785" s="7" t="str">
        <f>HYPERLINK("http://slimages.macys.com/is/image/MCY/11515395 ")</f>
        <v xml:space="preserve">http://slimages.macys.com/is/image/MCY/11515395 </v>
      </c>
    </row>
    <row r="786" spans="1:12" ht="24.75" x14ac:dyDescent="0.25">
      <c r="A786" s="4" t="s">
        <v>6111</v>
      </c>
      <c r="B786" s="2" t="s">
        <v>1833</v>
      </c>
      <c r="C786" s="3">
        <v>2</v>
      </c>
      <c r="D786" s="5">
        <v>14.99</v>
      </c>
      <c r="E786" s="3" t="s">
        <v>4134</v>
      </c>
      <c r="F786" s="2" t="s">
        <v>998</v>
      </c>
      <c r="G786" s="6" t="s">
        <v>181</v>
      </c>
      <c r="H786" s="2" t="s">
        <v>194</v>
      </c>
      <c r="I786" s="2" t="s">
        <v>307</v>
      </c>
      <c r="J786" s="2" t="s">
        <v>19</v>
      </c>
      <c r="K786" s="2" t="s">
        <v>34</v>
      </c>
      <c r="L786" s="7" t="str">
        <f>HYPERLINK("http://slimages.macys.com/is/image/MCY/12668021 ")</f>
        <v xml:space="preserve">http://slimages.macys.com/is/image/MCY/12668021 </v>
      </c>
    </row>
    <row r="787" spans="1:12" ht="24.75" x14ac:dyDescent="0.25">
      <c r="A787" s="4" t="s">
        <v>6112</v>
      </c>
      <c r="B787" s="2" t="s">
        <v>1829</v>
      </c>
      <c r="C787" s="3">
        <v>1</v>
      </c>
      <c r="D787" s="5">
        <v>14.99</v>
      </c>
      <c r="E787" s="3" t="s">
        <v>1836</v>
      </c>
      <c r="F787" s="2" t="s">
        <v>252</v>
      </c>
      <c r="G787" s="6" t="s">
        <v>181</v>
      </c>
      <c r="H787" s="2" t="s">
        <v>194</v>
      </c>
      <c r="I787" s="2" t="s">
        <v>307</v>
      </c>
      <c r="J787" s="2" t="s">
        <v>19</v>
      </c>
      <c r="K787" s="2" t="s">
        <v>34</v>
      </c>
      <c r="L787" s="7" t="str">
        <f>HYPERLINK("http://slimages.macys.com/is/image/MCY/11937942 ")</f>
        <v xml:space="preserve">http://slimages.macys.com/is/image/MCY/11937942 </v>
      </c>
    </row>
    <row r="788" spans="1:12" ht="24.75" x14ac:dyDescent="0.25">
      <c r="A788" s="4" t="s">
        <v>6113</v>
      </c>
      <c r="B788" s="2" t="s">
        <v>1833</v>
      </c>
      <c r="C788" s="3">
        <v>2</v>
      </c>
      <c r="D788" s="5">
        <v>14.99</v>
      </c>
      <c r="E788" s="3" t="s">
        <v>6114</v>
      </c>
      <c r="F788" s="2" t="s">
        <v>74</v>
      </c>
      <c r="G788" s="6" t="s">
        <v>181</v>
      </c>
      <c r="H788" s="2" t="s">
        <v>194</v>
      </c>
      <c r="I788" s="2" t="s">
        <v>307</v>
      </c>
      <c r="J788" s="2" t="s">
        <v>19</v>
      </c>
      <c r="K788" s="2" t="s">
        <v>34</v>
      </c>
      <c r="L788" s="7" t="str">
        <f>HYPERLINK("http://slimages.macys.com/is/image/MCY/12794148 ")</f>
        <v xml:space="preserve">http://slimages.macys.com/is/image/MCY/12794148 </v>
      </c>
    </row>
    <row r="789" spans="1:12" ht="24.75" x14ac:dyDescent="0.25">
      <c r="A789" s="4" t="s">
        <v>6115</v>
      </c>
      <c r="B789" s="2" t="s">
        <v>1833</v>
      </c>
      <c r="C789" s="3">
        <v>2</v>
      </c>
      <c r="D789" s="5">
        <v>14.99</v>
      </c>
      <c r="E789" s="3" t="s">
        <v>4134</v>
      </c>
      <c r="F789" s="2" t="s">
        <v>998</v>
      </c>
      <c r="G789" s="6" t="s">
        <v>156</v>
      </c>
      <c r="H789" s="2" t="s">
        <v>194</v>
      </c>
      <c r="I789" s="2" t="s">
        <v>307</v>
      </c>
      <c r="J789" s="2" t="s">
        <v>19</v>
      </c>
      <c r="K789" s="2" t="s">
        <v>34</v>
      </c>
      <c r="L789" s="7" t="str">
        <f>HYPERLINK("http://slimages.macys.com/is/image/MCY/12668021 ")</f>
        <v xml:space="preserve">http://slimages.macys.com/is/image/MCY/12668021 </v>
      </c>
    </row>
    <row r="790" spans="1:12" ht="24.75" x14ac:dyDescent="0.25">
      <c r="A790" s="4" t="s">
        <v>3036</v>
      </c>
      <c r="B790" s="2" t="s">
        <v>1829</v>
      </c>
      <c r="C790" s="3">
        <v>1</v>
      </c>
      <c r="D790" s="5">
        <v>14.99</v>
      </c>
      <c r="E790" s="3" t="s">
        <v>3037</v>
      </c>
      <c r="F790" s="2" t="s">
        <v>579</v>
      </c>
      <c r="G790" s="6" t="s">
        <v>154</v>
      </c>
      <c r="H790" s="2" t="s">
        <v>194</v>
      </c>
      <c r="I790" s="2" t="s">
        <v>307</v>
      </c>
      <c r="J790" s="2" t="s">
        <v>19</v>
      </c>
      <c r="K790" s="2" t="s">
        <v>34</v>
      </c>
      <c r="L790" s="7" t="str">
        <f>HYPERLINK("http://slimages.macys.com/is/image/MCY/11337529 ")</f>
        <v xml:space="preserve">http://slimages.macys.com/is/image/MCY/11337529 </v>
      </c>
    </row>
    <row r="791" spans="1:12" ht="24.75" x14ac:dyDescent="0.25">
      <c r="A791" s="4" t="s">
        <v>6116</v>
      </c>
      <c r="B791" s="2" t="s">
        <v>1833</v>
      </c>
      <c r="C791" s="3">
        <v>1</v>
      </c>
      <c r="D791" s="5">
        <v>14.99</v>
      </c>
      <c r="E791" s="3" t="s">
        <v>4134</v>
      </c>
      <c r="F791" s="2" t="s">
        <v>998</v>
      </c>
      <c r="G791" s="6" t="s">
        <v>154</v>
      </c>
      <c r="H791" s="2" t="s">
        <v>194</v>
      </c>
      <c r="I791" s="2" t="s">
        <v>307</v>
      </c>
      <c r="J791" s="2" t="s">
        <v>19</v>
      </c>
      <c r="K791" s="2" t="s">
        <v>34</v>
      </c>
      <c r="L791" s="7" t="str">
        <f>HYPERLINK("http://slimages.macys.com/is/image/MCY/12668021 ")</f>
        <v xml:space="preserve">http://slimages.macys.com/is/image/MCY/12668021 </v>
      </c>
    </row>
    <row r="792" spans="1:12" ht="24.75" x14ac:dyDescent="0.25">
      <c r="A792" s="4" t="s">
        <v>6117</v>
      </c>
      <c r="B792" s="2" t="s">
        <v>1850</v>
      </c>
      <c r="C792" s="3">
        <v>1</v>
      </c>
      <c r="D792" s="5">
        <v>22.13</v>
      </c>
      <c r="E792" s="3" t="s">
        <v>1851</v>
      </c>
      <c r="F792" s="2" t="s">
        <v>1322</v>
      </c>
      <c r="G792" s="6" t="s">
        <v>200</v>
      </c>
      <c r="H792" s="2" t="s">
        <v>194</v>
      </c>
      <c r="I792" s="2" t="s">
        <v>195</v>
      </c>
      <c r="J792" s="2" t="s">
        <v>19</v>
      </c>
      <c r="K792" s="2" t="s">
        <v>1108</v>
      </c>
      <c r="L792" s="7" t="str">
        <f>HYPERLINK("http://slimages.macys.com/is/image/MCY/15709119 ")</f>
        <v xml:space="preserve">http://slimages.macys.com/is/image/MCY/15709119 </v>
      </c>
    </row>
    <row r="793" spans="1:12" ht="24.75" x14ac:dyDescent="0.25">
      <c r="A793" s="4" t="s">
        <v>6118</v>
      </c>
      <c r="B793" s="2" t="s">
        <v>1850</v>
      </c>
      <c r="C793" s="3">
        <v>1</v>
      </c>
      <c r="D793" s="5">
        <v>22.13</v>
      </c>
      <c r="E793" s="3" t="s">
        <v>1851</v>
      </c>
      <c r="F793" s="2" t="s">
        <v>1322</v>
      </c>
      <c r="G793" s="6" t="s">
        <v>245</v>
      </c>
      <c r="H793" s="2" t="s">
        <v>194</v>
      </c>
      <c r="I793" s="2" t="s">
        <v>195</v>
      </c>
      <c r="J793" s="2" t="s">
        <v>19</v>
      </c>
      <c r="K793" s="2" t="s">
        <v>1108</v>
      </c>
      <c r="L793" s="7" t="str">
        <f>HYPERLINK("http://slimages.macys.com/is/image/MCY/15709119 ")</f>
        <v xml:space="preserve">http://slimages.macys.com/is/image/MCY/15709119 </v>
      </c>
    </row>
    <row r="794" spans="1:12" ht="24.75" x14ac:dyDescent="0.25">
      <c r="A794" s="4" t="s">
        <v>6119</v>
      </c>
      <c r="B794" s="2" t="s">
        <v>1850</v>
      </c>
      <c r="C794" s="3">
        <v>1</v>
      </c>
      <c r="D794" s="5">
        <v>22.13</v>
      </c>
      <c r="E794" s="3" t="s">
        <v>1851</v>
      </c>
      <c r="F794" s="2" t="s">
        <v>1322</v>
      </c>
      <c r="G794" s="6" t="s">
        <v>181</v>
      </c>
      <c r="H794" s="2" t="s">
        <v>194</v>
      </c>
      <c r="I794" s="2" t="s">
        <v>195</v>
      </c>
      <c r="J794" s="2" t="s">
        <v>19</v>
      </c>
      <c r="K794" s="2" t="s">
        <v>1108</v>
      </c>
      <c r="L794" s="7" t="str">
        <f>HYPERLINK("http://slimages.macys.com/is/image/MCY/15709119 ")</f>
        <v xml:space="preserve">http://slimages.macys.com/is/image/MCY/15709119 </v>
      </c>
    </row>
    <row r="795" spans="1:12" ht="24.75" x14ac:dyDescent="0.25">
      <c r="A795" s="4" t="s">
        <v>6120</v>
      </c>
      <c r="B795" s="2" t="s">
        <v>1850</v>
      </c>
      <c r="C795" s="3">
        <v>1</v>
      </c>
      <c r="D795" s="5">
        <v>22.13</v>
      </c>
      <c r="E795" s="3" t="s">
        <v>1851</v>
      </c>
      <c r="F795" s="2" t="s">
        <v>1322</v>
      </c>
      <c r="G795" s="6" t="s">
        <v>156</v>
      </c>
      <c r="H795" s="2" t="s">
        <v>194</v>
      </c>
      <c r="I795" s="2" t="s">
        <v>195</v>
      </c>
      <c r="J795" s="2" t="s">
        <v>19</v>
      </c>
      <c r="K795" s="2" t="s">
        <v>1108</v>
      </c>
      <c r="L795" s="7" t="str">
        <f>HYPERLINK("http://slimages.macys.com/is/image/MCY/15709119 ")</f>
        <v xml:space="preserve">http://slimages.macys.com/is/image/MCY/15709119 </v>
      </c>
    </row>
    <row r="796" spans="1:12" ht="24.75" x14ac:dyDescent="0.25">
      <c r="A796" s="4" t="s">
        <v>6121</v>
      </c>
      <c r="B796" s="2" t="s">
        <v>1850</v>
      </c>
      <c r="C796" s="3">
        <v>1</v>
      </c>
      <c r="D796" s="5">
        <v>22.13</v>
      </c>
      <c r="E796" s="3" t="s">
        <v>1851</v>
      </c>
      <c r="F796" s="2" t="s">
        <v>64</v>
      </c>
      <c r="G796" s="6" t="s">
        <v>181</v>
      </c>
      <c r="H796" s="2" t="s">
        <v>194</v>
      </c>
      <c r="I796" s="2" t="s">
        <v>195</v>
      </c>
      <c r="J796" s="2" t="s">
        <v>19</v>
      </c>
      <c r="K796" s="2" t="s">
        <v>1108</v>
      </c>
      <c r="L796" s="7" t="str">
        <f>HYPERLINK("http://slimages.macys.com/is/image/MCY/15709119 ")</f>
        <v xml:space="preserve">http://slimages.macys.com/is/image/MCY/15709119 </v>
      </c>
    </row>
    <row r="797" spans="1:12" ht="24.75" x14ac:dyDescent="0.25">
      <c r="A797" s="4" t="s">
        <v>6122</v>
      </c>
      <c r="B797" s="2" t="s">
        <v>1856</v>
      </c>
      <c r="C797" s="3">
        <v>1</v>
      </c>
      <c r="D797" s="5">
        <v>17.989999999999998</v>
      </c>
      <c r="E797" s="3" t="s">
        <v>1857</v>
      </c>
      <c r="F797" s="2" t="s">
        <v>38</v>
      </c>
      <c r="G797" s="6"/>
      <c r="H797" s="2" t="s">
        <v>1425</v>
      </c>
      <c r="I797" s="2" t="s">
        <v>1469</v>
      </c>
      <c r="J797" s="2"/>
      <c r="K797" s="2"/>
      <c r="L797" s="7" t="str">
        <f>HYPERLINK("http://slimages.macys.com/is/image/MCY/11522835 ")</f>
        <v xml:space="preserve">http://slimages.macys.com/is/image/MCY/11522835 </v>
      </c>
    </row>
    <row r="798" spans="1:12" ht="24.75" x14ac:dyDescent="0.25">
      <c r="A798" s="4" t="s">
        <v>6123</v>
      </c>
      <c r="B798" s="2" t="s">
        <v>1856</v>
      </c>
      <c r="C798" s="3">
        <v>1</v>
      </c>
      <c r="D798" s="5">
        <v>17.989999999999998</v>
      </c>
      <c r="E798" s="3" t="s">
        <v>1857</v>
      </c>
      <c r="F798" s="2" t="s">
        <v>38</v>
      </c>
      <c r="G798" s="6" t="s">
        <v>219</v>
      </c>
      <c r="H798" s="2" t="s">
        <v>1425</v>
      </c>
      <c r="I798" s="2" t="s">
        <v>1469</v>
      </c>
      <c r="J798" s="2"/>
      <c r="K798" s="2"/>
      <c r="L798" s="7" t="str">
        <f>HYPERLINK("http://slimages.macys.com/is/image/MCY/11522835 ")</f>
        <v xml:space="preserve">http://slimages.macys.com/is/image/MCY/11522835 </v>
      </c>
    </row>
    <row r="799" spans="1:12" ht="24.75" x14ac:dyDescent="0.25">
      <c r="A799" s="4" t="s">
        <v>6124</v>
      </c>
      <c r="B799" s="2" t="s">
        <v>1726</v>
      </c>
      <c r="C799" s="3">
        <v>1</v>
      </c>
      <c r="D799" s="5">
        <v>21.99</v>
      </c>
      <c r="E799" s="3" t="s">
        <v>6125</v>
      </c>
      <c r="F799" s="2" t="s">
        <v>74</v>
      </c>
      <c r="G799" s="6" t="s">
        <v>154</v>
      </c>
      <c r="H799" s="2" t="s">
        <v>284</v>
      </c>
      <c r="I799" s="2" t="s">
        <v>285</v>
      </c>
      <c r="J799" s="2" t="s">
        <v>19</v>
      </c>
      <c r="K799" s="2" t="s">
        <v>247</v>
      </c>
      <c r="L799" s="7" t="str">
        <f>HYPERLINK("http://slimages.macys.com/is/image/MCY/12341853 ")</f>
        <v xml:space="preserve">http://slimages.macys.com/is/image/MCY/12341853 </v>
      </c>
    </row>
    <row r="800" spans="1:12" ht="24.75" x14ac:dyDescent="0.25">
      <c r="A800" s="4" t="s">
        <v>6126</v>
      </c>
      <c r="B800" s="2" t="s">
        <v>1726</v>
      </c>
      <c r="C800" s="3">
        <v>1</v>
      </c>
      <c r="D800" s="5">
        <v>21.99</v>
      </c>
      <c r="E800" s="3" t="s">
        <v>6125</v>
      </c>
      <c r="F800" s="2" t="s">
        <v>74</v>
      </c>
      <c r="G800" s="6" t="s">
        <v>156</v>
      </c>
      <c r="H800" s="2" t="s">
        <v>284</v>
      </c>
      <c r="I800" s="2" t="s">
        <v>285</v>
      </c>
      <c r="J800" s="2" t="s">
        <v>19</v>
      </c>
      <c r="K800" s="2" t="s">
        <v>247</v>
      </c>
      <c r="L800" s="7" t="str">
        <f>HYPERLINK("http://slimages.macys.com/is/image/MCY/12341853 ")</f>
        <v xml:space="preserve">http://slimages.macys.com/is/image/MCY/12341853 </v>
      </c>
    </row>
    <row r="801" spans="1:12" ht="24.75" x14ac:dyDescent="0.25">
      <c r="A801" s="4" t="s">
        <v>1869</v>
      </c>
      <c r="B801" s="2" t="s">
        <v>1862</v>
      </c>
      <c r="C801" s="3">
        <v>2</v>
      </c>
      <c r="D801" s="5">
        <v>20.99</v>
      </c>
      <c r="E801" s="3" t="s">
        <v>1868</v>
      </c>
      <c r="F801" s="2" t="s">
        <v>15</v>
      </c>
      <c r="G801" s="6" t="s">
        <v>154</v>
      </c>
      <c r="H801" s="2" t="s">
        <v>1473</v>
      </c>
      <c r="I801" s="2" t="s">
        <v>1864</v>
      </c>
      <c r="J801" s="2" t="s">
        <v>19</v>
      </c>
      <c r="K801" s="2" t="s">
        <v>648</v>
      </c>
      <c r="L801" s="7" t="str">
        <f>HYPERLINK("http://slimages.macys.com/is/image/MCY/12267099 ")</f>
        <v xml:space="preserve">http://slimages.macys.com/is/image/MCY/12267099 </v>
      </c>
    </row>
    <row r="802" spans="1:12" ht="24.75" x14ac:dyDescent="0.25">
      <c r="A802" s="4" t="s">
        <v>3045</v>
      </c>
      <c r="B802" s="2" t="s">
        <v>1862</v>
      </c>
      <c r="C802" s="3">
        <v>1</v>
      </c>
      <c r="D802" s="5">
        <v>20.99</v>
      </c>
      <c r="E802" s="3" t="s">
        <v>1868</v>
      </c>
      <c r="F802" s="2" t="s">
        <v>998</v>
      </c>
      <c r="G802" s="6" t="s">
        <v>181</v>
      </c>
      <c r="H802" s="2" t="s">
        <v>1473</v>
      </c>
      <c r="I802" s="2" t="s">
        <v>1864</v>
      </c>
      <c r="J802" s="2" t="s">
        <v>19</v>
      </c>
      <c r="K802" s="2" t="s">
        <v>648</v>
      </c>
      <c r="L802" s="7" t="str">
        <f>HYPERLINK("http://slimages.macys.com/is/image/MCY/12267099 ")</f>
        <v xml:space="preserve">http://slimages.macys.com/is/image/MCY/12267099 </v>
      </c>
    </row>
    <row r="803" spans="1:12" ht="24.75" x14ac:dyDescent="0.25">
      <c r="A803" s="4" t="s">
        <v>3047</v>
      </c>
      <c r="B803" s="2" t="s">
        <v>1862</v>
      </c>
      <c r="C803" s="3">
        <v>1</v>
      </c>
      <c r="D803" s="5">
        <v>20.99</v>
      </c>
      <c r="E803" s="3" t="s">
        <v>1868</v>
      </c>
      <c r="F803" s="2" t="s">
        <v>15</v>
      </c>
      <c r="G803" s="6" t="s">
        <v>181</v>
      </c>
      <c r="H803" s="2" t="s">
        <v>1473</v>
      </c>
      <c r="I803" s="2" t="s">
        <v>1864</v>
      </c>
      <c r="J803" s="2" t="s">
        <v>19</v>
      </c>
      <c r="K803" s="2" t="s">
        <v>648</v>
      </c>
      <c r="L803" s="7" t="str">
        <f>HYPERLINK("http://slimages.macys.com/is/image/MCY/12267099 ")</f>
        <v xml:space="preserve">http://slimages.macys.com/is/image/MCY/12267099 </v>
      </c>
    </row>
    <row r="804" spans="1:12" ht="24.75" x14ac:dyDescent="0.25">
      <c r="A804" s="4" t="s">
        <v>3046</v>
      </c>
      <c r="B804" s="2" t="s">
        <v>1862</v>
      </c>
      <c r="C804" s="3">
        <v>2</v>
      </c>
      <c r="D804" s="5">
        <v>20.99</v>
      </c>
      <c r="E804" s="3" t="s">
        <v>1868</v>
      </c>
      <c r="F804" s="2" t="s">
        <v>998</v>
      </c>
      <c r="G804" s="6" t="s">
        <v>154</v>
      </c>
      <c r="H804" s="2" t="s">
        <v>1473</v>
      </c>
      <c r="I804" s="2" t="s">
        <v>1864</v>
      </c>
      <c r="J804" s="2" t="s">
        <v>19</v>
      </c>
      <c r="K804" s="2" t="s">
        <v>648</v>
      </c>
      <c r="L804" s="7" t="str">
        <f>HYPERLINK("http://slimages.macys.com/is/image/MCY/12267099 ")</f>
        <v xml:space="preserve">http://slimages.macys.com/is/image/MCY/12267099 </v>
      </c>
    </row>
    <row r="805" spans="1:12" ht="24.75" x14ac:dyDescent="0.25">
      <c r="A805" s="4" t="s">
        <v>3043</v>
      </c>
      <c r="B805" s="2" t="s">
        <v>1862</v>
      </c>
      <c r="C805" s="3">
        <v>1</v>
      </c>
      <c r="D805" s="5">
        <v>20.99</v>
      </c>
      <c r="E805" s="3" t="s">
        <v>1868</v>
      </c>
      <c r="F805" s="2" t="s">
        <v>70</v>
      </c>
      <c r="G805" s="6" t="s">
        <v>181</v>
      </c>
      <c r="H805" s="2" t="s">
        <v>1473</v>
      </c>
      <c r="I805" s="2" t="s">
        <v>1864</v>
      </c>
      <c r="J805" s="2" t="s">
        <v>19</v>
      </c>
      <c r="K805" s="2" t="s">
        <v>648</v>
      </c>
      <c r="L805" s="7" t="str">
        <f>HYPERLINK("http://slimages.macys.com/is/image/MCY/12267099 ")</f>
        <v xml:space="preserve">http://slimages.macys.com/is/image/MCY/12267099 </v>
      </c>
    </row>
    <row r="806" spans="1:12" ht="24.75" x14ac:dyDescent="0.25">
      <c r="A806" s="4" t="s">
        <v>6127</v>
      </c>
      <c r="B806" s="2" t="s">
        <v>6128</v>
      </c>
      <c r="C806" s="3">
        <v>1</v>
      </c>
      <c r="D806" s="5">
        <v>17.989999999999998</v>
      </c>
      <c r="E806" s="3" t="s">
        <v>6129</v>
      </c>
      <c r="F806" s="2" t="s">
        <v>15</v>
      </c>
      <c r="G806" s="6" t="s">
        <v>234</v>
      </c>
      <c r="H806" s="2" t="s">
        <v>1473</v>
      </c>
      <c r="I806" s="2" t="s">
        <v>1426</v>
      </c>
      <c r="J806" s="2" t="s">
        <v>19</v>
      </c>
      <c r="K806" s="2" t="s">
        <v>495</v>
      </c>
      <c r="L806" s="7" t="str">
        <f>HYPERLINK("http://slimages.macys.com/is/image/MCY/11831265 ")</f>
        <v xml:space="preserve">http://slimages.macys.com/is/image/MCY/11831265 </v>
      </c>
    </row>
    <row r="807" spans="1:12" ht="24.75" x14ac:dyDescent="0.25">
      <c r="A807" s="4" t="s">
        <v>6130</v>
      </c>
      <c r="B807" s="2" t="s">
        <v>1876</v>
      </c>
      <c r="C807" s="3">
        <v>1</v>
      </c>
      <c r="D807" s="5">
        <v>17.989999999999998</v>
      </c>
      <c r="E807" s="3" t="s">
        <v>1877</v>
      </c>
      <c r="F807" s="2" t="s">
        <v>74</v>
      </c>
      <c r="G807" s="6" t="s">
        <v>181</v>
      </c>
      <c r="H807" s="2" t="s">
        <v>1473</v>
      </c>
      <c r="I807" s="2" t="s">
        <v>1426</v>
      </c>
      <c r="J807" s="2" t="s">
        <v>19</v>
      </c>
      <c r="K807" s="2" t="s">
        <v>495</v>
      </c>
      <c r="L807" s="7" t="str">
        <f>HYPERLINK("http://slimages.macys.com/is/image/MCY/12672802 ")</f>
        <v xml:space="preserve">http://slimages.macys.com/is/image/MCY/12672802 </v>
      </c>
    </row>
    <row r="808" spans="1:12" ht="24.75" x14ac:dyDescent="0.25">
      <c r="A808" s="4" t="s">
        <v>6131</v>
      </c>
      <c r="B808" s="2" t="s">
        <v>1879</v>
      </c>
      <c r="C808" s="3">
        <v>1</v>
      </c>
      <c r="D808" s="5">
        <v>17.989999999999998</v>
      </c>
      <c r="E808" s="3" t="s">
        <v>6132</v>
      </c>
      <c r="F808" s="2" t="s">
        <v>64</v>
      </c>
      <c r="G808" s="6" t="s">
        <v>181</v>
      </c>
      <c r="H808" s="2" t="s">
        <v>194</v>
      </c>
      <c r="I808" s="2" t="s">
        <v>195</v>
      </c>
      <c r="J808" s="2" t="s">
        <v>19</v>
      </c>
      <c r="K808" s="2" t="s">
        <v>648</v>
      </c>
      <c r="L808" s="7" t="str">
        <f>HYPERLINK("http://slimages.macys.com/is/image/MCY/10482866 ")</f>
        <v xml:space="preserve">http://slimages.macys.com/is/image/MCY/10482866 </v>
      </c>
    </row>
    <row r="809" spans="1:12" ht="24.75" x14ac:dyDescent="0.25">
      <c r="A809" s="4" t="s">
        <v>6133</v>
      </c>
      <c r="B809" s="2" t="s">
        <v>1892</v>
      </c>
      <c r="C809" s="3">
        <v>2</v>
      </c>
      <c r="D809" s="5">
        <v>20.99</v>
      </c>
      <c r="E809" s="3" t="s">
        <v>1901</v>
      </c>
      <c r="F809" s="2" t="s">
        <v>15</v>
      </c>
      <c r="G809" s="6" t="s">
        <v>154</v>
      </c>
      <c r="H809" s="2" t="s">
        <v>1473</v>
      </c>
      <c r="I809" s="2" t="s">
        <v>1864</v>
      </c>
      <c r="J809" s="2" t="s">
        <v>19</v>
      </c>
      <c r="K809" s="2" t="s">
        <v>648</v>
      </c>
      <c r="L809" s="7" t="str">
        <f>HYPERLINK("http://slimages.macys.com/is/image/MCY/11689284 ")</f>
        <v xml:space="preserve">http://slimages.macys.com/is/image/MCY/11689284 </v>
      </c>
    </row>
    <row r="810" spans="1:12" ht="24.75" x14ac:dyDescent="0.25">
      <c r="A810" s="4" t="s">
        <v>5177</v>
      </c>
      <c r="B810" s="2" t="s">
        <v>1892</v>
      </c>
      <c r="C810" s="3">
        <v>3</v>
      </c>
      <c r="D810" s="5">
        <v>20.99</v>
      </c>
      <c r="E810" s="3" t="s">
        <v>1901</v>
      </c>
      <c r="F810" s="2" t="s">
        <v>74</v>
      </c>
      <c r="G810" s="6" t="s">
        <v>234</v>
      </c>
      <c r="H810" s="2" t="s">
        <v>1473</v>
      </c>
      <c r="I810" s="2" t="s">
        <v>1864</v>
      </c>
      <c r="J810" s="2" t="s">
        <v>19</v>
      </c>
      <c r="K810" s="2" t="s">
        <v>648</v>
      </c>
      <c r="L810" s="7" t="str">
        <f>HYPERLINK("http://slimages.macys.com/is/image/MCY/11689284 ")</f>
        <v xml:space="preserve">http://slimages.macys.com/is/image/MCY/11689284 </v>
      </c>
    </row>
    <row r="811" spans="1:12" ht="24.75" x14ac:dyDescent="0.25">
      <c r="A811" s="4" t="s">
        <v>6134</v>
      </c>
      <c r="B811" s="2" t="s">
        <v>1892</v>
      </c>
      <c r="C811" s="3">
        <v>2</v>
      </c>
      <c r="D811" s="5">
        <v>20.99</v>
      </c>
      <c r="E811" s="3" t="s">
        <v>1901</v>
      </c>
      <c r="F811" s="2" t="s">
        <v>1296</v>
      </c>
      <c r="G811" s="6" t="s">
        <v>154</v>
      </c>
      <c r="H811" s="2" t="s">
        <v>1473</v>
      </c>
      <c r="I811" s="2" t="s">
        <v>1864</v>
      </c>
      <c r="J811" s="2" t="s">
        <v>19</v>
      </c>
      <c r="K811" s="2" t="s">
        <v>648</v>
      </c>
      <c r="L811" s="7" t="str">
        <f>HYPERLINK("http://slimages.macys.com/is/image/MCY/11689284 ")</f>
        <v xml:space="preserve">http://slimages.macys.com/is/image/MCY/11689284 </v>
      </c>
    </row>
    <row r="812" spans="1:12" ht="24.75" x14ac:dyDescent="0.25">
      <c r="A812" s="4" t="s">
        <v>3060</v>
      </c>
      <c r="B812" s="2" t="s">
        <v>1896</v>
      </c>
      <c r="C812" s="3">
        <v>1</v>
      </c>
      <c r="D812" s="5">
        <v>20.99</v>
      </c>
      <c r="E812" s="3" t="s">
        <v>1899</v>
      </c>
      <c r="F812" s="2" t="s">
        <v>15</v>
      </c>
      <c r="G812" s="6" t="s">
        <v>156</v>
      </c>
      <c r="H812" s="2" t="s">
        <v>1473</v>
      </c>
      <c r="I812" s="2" t="s">
        <v>1864</v>
      </c>
      <c r="J812" s="2" t="s">
        <v>19</v>
      </c>
      <c r="K812" s="2" t="s">
        <v>648</v>
      </c>
      <c r="L812" s="7" t="str">
        <f>HYPERLINK("http://slimages.macys.com/is/image/MCY/10787705 ")</f>
        <v xml:space="preserve">http://slimages.macys.com/is/image/MCY/10787705 </v>
      </c>
    </row>
    <row r="813" spans="1:12" ht="24.75" x14ac:dyDescent="0.25">
      <c r="A813" s="4" t="s">
        <v>3057</v>
      </c>
      <c r="B813" s="2" t="s">
        <v>1892</v>
      </c>
      <c r="C813" s="3">
        <v>1</v>
      </c>
      <c r="D813" s="5">
        <v>20.99</v>
      </c>
      <c r="E813" s="3" t="s">
        <v>1901</v>
      </c>
      <c r="F813" s="2" t="s">
        <v>1788</v>
      </c>
      <c r="G813" s="6" t="s">
        <v>154</v>
      </c>
      <c r="H813" s="2" t="s">
        <v>1473</v>
      </c>
      <c r="I813" s="2" t="s">
        <v>1864</v>
      </c>
      <c r="J813" s="2" t="s">
        <v>19</v>
      </c>
      <c r="K813" s="2" t="s">
        <v>648</v>
      </c>
      <c r="L813" s="7" t="str">
        <f>HYPERLINK("http://slimages.macys.com/is/image/MCY/11689284 ")</f>
        <v xml:space="preserve">http://slimages.macys.com/is/image/MCY/11689284 </v>
      </c>
    </row>
    <row r="814" spans="1:12" ht="24.75" x14ac:dyDescent="0.25">
      <c r="A814" s="4" t="s">
        <v>3068</v>
      </c>
      <c r="B814" s="2" t="s">
        <v>1896</v>
      </c>
      <c r="C814" s="3">
        <v>1</v>
      </c>
      <c r="D814" s="5">
        <v>20.99</v>
      </c>
      <c r="E814" s="3" t="s">
        <v>1899</v>
      </c>
      <c r="F814" s="2" t="s">
        <v>74</v>
      </c>
      <c r="G814" s="6" t="s">
        <v>181</v>
      </c>
      <c r="H814" s="2" t="s">
        <v>1473</v>
      </c>
      <c r="I814" s="2" t="s">
        <v>1864</v>
      </c>
      <c r="J814" s="2" t="s">
        <v>19</v>
      </c>
      <c r="K814" s="2" t="s">
        <v>648</v>
      </c>
      <c r="L814" s="7" t="str">
        <f>HYPERLINK("http://slimages.macys.com/is/image/MCY/10787705 ")</f>
        <v xml:space="preserve">http://slimages.macys.com/is/image/MCY/10787705 </v>
      </c>
    </row>
    <row r="815" spans="1:12" ht="24.75" x14ac:dyDescent="0.25">
      <c r="A815" s="4" t="s">
        <v>1904</v>
      </c>
      <c r="B815" s="2" t="s">
        <v>1892</v>
      </c>
      <c r="C815" s="3">
        <v>1</v>
      </c>
      <c r="D815" s="5">
        <v>20.99</v>
      </c>
      <c r="E815" s="3" t="s">
        <v>1893</v>
      </c>
      <c r="F815" s="2" t="s">
        <v>15</v>
      </c>
      <c r="G815" s="6"/>
      <c r="H815" s="2" t="s">
        <v>1425</v>
      </c>
      <c r="I815" s="2" t="s">
        <v>1864</v>
      </c>
      <c r="J815" s="2" t="s">
        <v>19</v>
      </c>
      <c r="K815" s="2" t="s">
        <v>1894</v>
      </c>
      <c r="L815" s="7" t="str">
        <f>HYPERLINK("http://slimages.macys.com/is/image/MCY/11689288 ")</f>
        <v xml:space="preserve">http://slimages.macys.com/is/image/MCY/11689288 </v>
      </c>
    </row>
    <row r="816" spans="1:12" ht="24.75" x14ac:dyDescent="0.25">
      <c r="A816" s="4" t="s">
        <v>1915</v>
      </c>
      <c r="B816" s="2" t="s">
        <v>1896</v>
      </c>
      <c r="C816" s="3">
        <v>1</v>
      </c>
      <c r="D816" s="5">
        <v>20.99</v>
      </c>
      <c r="E816" s="3" t="s">
        <v>1897</v>
      </c>
      <c r="F816" s="2" t="s">
        <v>15</v>
      </c>
      <c r="G816" s="6" t="s">
        <v>219</v>
      </c>
      <c r="H816" s="2" t="s">
        <v>1425</v>
      </c>
      <c r="I816" s="2" t="s">
        <v>1864</v>
      </c>
      <c r="J816" s="2" t="s">
        <v>19</v>
      </c>
      <c r="K816" s="2" t="s">
        <v>648</v>
      </c>
      <c r="L816" s="7" t="str">
        <f>HYPERLINK("http://slimages.macys.com/is/image/MCY/10787699 ")</f>
        <v xml:space="preserve">http://slimages.macys.com/is/image/MCY/10787699 </v>
      </c>
    </row>
    <row r="817" spans="1:12" ht="24.75" x14ac:dyDescent="0.25">
      <c r="A817" s="4" t="s">
        <v>3058</v>
      </c>
      <c r="B817" s="2" t="s">
        <v>1896</v>
      </c>
      <c r="C817" s="3">
        <v>1</v>
      </c>
      <c r="D817" s="5">
        <v>20.99</v>
      </c>
      <c r="E817" s="3" t="s">
        <v>1897</v>
      </c>
      <c r="F817" s="2" t="s">
        <v>15</v>
      </c>
      <c r="G817" s="6"/>
      <c r="H817" s="2" t="s">
        <v>1425</v>
      </c>
      <c r="I817" s="2" t="s">
        <v>1864</v>
      </c>
      <c r="J817" s="2" t="s">
        <v>19</v>
      </c>
      <c r="K817" s="2" t="s">
        <v>648</v>
      </c>
      <c r="L817" s="7" t="str">
        <f>HYPERLINK("http://slimages.macys.com/is/image/MCY/10787699 ")</f>
        <v xml:space="preserve">http://slimages.macys.com/is/image/MCY/10787699 </v>
      </c>
    </row>
    <row r="818" spans="1:12" ht="24.75" x14ac:dyDescent="0.25">
      <c r="A818" s="4" t="s">
        <v>6135</v>
      </c>
      <c r="B818" s="2" t="s">
        <v>1896</v>
      </c>
      <c r="C818" s="3">
        <v>1</v>
      </c>
      <c r="D818" s="5">
        <v>20.99</v>
      </c>
      <c r="E818" s="3" t="s">
        <v>1897</v>
      </c>
      <c r="F818" s="2" t="s">
        <v>252</v>
      </c>
      <c r="G818" s="6"/>
      <c r="H818" s="2" t="s">
        <v>1425</v>
      </c>
      <c r="I818" s="2" t="s">
        <v>1864</v>
      </c>
      <c r="J818" s="2" t="s">
        <v>19</v>
      </c>
      <c r="K818" s="2" t="s">
        <v>648</v>
      </c>
      <c r="L818" s="7" t="str">
        <f>HYPERLINK("http://slimages.macys.com/is/image/MCY/10787699 ")</f>
        <v xml:space="preserve">http://slimages.macys.com/is/image/MCY/10787699 </v>
      </c>
    </row>
    <row r="819" spans="1:12" ht="24.75" x14ac:dyDescent="0.25">
      <c r="A819" s="4" t="s">
        <v>6136</v>
      </c>
      <c r="B819" s="2" t="s">
        <v>1896</v>
      </c>
      <c r="C819" s="3">
        <v>3</v>
      </c>
      <c r="D819" s="5">
        <v>20.99</v>
      </c>
      <c r="E819" s="3" t="s">
        <v>1899</v>
      </c>
      <c r="F819" s="2" t="s">
        <v>1296</v>
      </c>
      <c r="G819" s="6" t="s">
        <v>154</v>
      </c>
      <c r="H819" s="2" t="s">
        <v>1473</v>
      </c>
      <c r="I819" s="2" t="s">
        <v>1864</v>
      </c>
      <c r="J819" s="2" t="s">
        <v>19</v>
      </c>
      <c r="K819" s="2" t="s">
        <v>648</v>
      </c>
      <c r="L819" s="7" t="str">
        <f>HYPERLINK("http://slimages.macys.com/is/image/MCY/10787705 ")</f>
        <v xml:space="preserve">http://slimages.macys.com/is/image/MCY/10787705 </v>
      </c>
    </row>
    <row r="820" spans="1:12" ht="24.75" x14ac:dyDescent="0.25">
      <c r="A820" s="4" t="s">
        <v>3055</v>
      </c>
      <c r="B820" s="2" t="s">
        <v>1892</v>
      </c>
      <c r="C820" s="3">
        <v>1</v>
      </c>
      <c r="D820" s="5">
        <v>20.99</v>
      </c>
      <c r="E820" s="3" t="s">
        <v>1901</v>
      </c>
      <c r="F820" s="2" t="s">
        <v>74</v>
      </c>
      <c r="G820" s="6" t="s">
        <v>156</v>
      </c>
      <c r="H820" s="2" t="s">
        <v>1473</v>
      </c>
      <c r="I820" s="2" t="s">
        <v>1864</v>
      </c>
      <c r="J820" s="2" t="s">
        <v>19</v>
      </c>
      <c r="K820" s="2" t="s">
        <v>648</v>
      </c>
      <c r="L820" s="7" t="str">
        <f>HYPERLINK("http://slimages.macys.com/is/image/MCY/11689284 ")</f>
        <v xml:space="preserve">http://slimages.macys.com/is/image/MCY/11689284 </v>
      </c>
    </row>
    <row r="821" spans="1:12" ht="24.75" x14ac:dyDescent="0.25">
      <c r="A821" s="4" t="s">
        <v>3052</v>
      </c>
      <c r="B821" s="2" t="s">
        <v>1896</v>
      </c>
      <c r="C821" s="3">
        <v>2</v>
      </c>
      <c r="D821" s="5">
        <v>20.99</v>
      </c>
      <c r="E821" s="3" t="s">
        <v>1899</v>
      </c>
      <c r="F821" s="2" t="s">
        <v>74</v>
      </c>
      <c r="G821" s="6" t="s">
        <v>156</v>
      </c>
      <c r="H821" s="2" t="s">
        <v>1473</v>
      </c>
      <c r="I821" s="2" t="s">
        <v>1864</v>
      </c>
      <c r="J821" s="2" t="s">
        <v>19</v>
      </c>
      <c r="K821" s="2" t="s">
        <v>648</v>
      </c>
      <c r="L821" s="7" t="str">
        <f>HYPERLINK("http://slimages.macys.com/is/image/MCY/10787705 ")</f>
        <v xml:space="preserve">http://slimages.macys.com/is/image/MCY/10787705 </v>
      </c>
    </row>
    <row r="822" spans="1:12" ht="24.75" x14ac:dyDescent="0.25">
      <c r="A822" s="4" t="s">
        <v>3071</v>
      </c>
      <c r="B822" s="2" t="s">
        <v>1892</v>
      </c>
      <c r="C822" s="3">
        <v>3</v>
      </c>
      <c r="D822" s="5">
        <v>20.99</v>
      </c>
      <c r="E822" s="3" t="s">
        <v>1901</v>
      </c>
      <c r="F822" s="2" t="s">
        <v>74</v>
      </c>
      <c r="G822" s="6" t="s">
        <v>154</v>
      </c>
      <c r="H822" s="2" t="s">
        <v>1473</v>
      </c>
      <c r="I822" s="2" t="s">
        <v>1864</v>
      </c>
      <c r="J822" s="2" t="s">
        <v>19</v>
      </c>
      <c r="K822" s="2" t="s">
        <v>648</v>
      </c>
      <c r="L822" s="7" t="str">
        <f>HYPERLINK("http://slimages.macys.com/is/image/MCY/11689284 ")</f>
        <v xml:space="preserve">http://slimages.macys.com/is/image/MCY/11689284 </v>
      </c>
    </row>
    <row r="823" spans="1:12" ht="24.75" x14ac:dyDescent="0.25">
      <c r="A823" s="4" t="s">
        <v>5176</v>
      </c>
      <c r="B823" s="2" t="s">
        <v>1896</v>
      </c>
      <c r="C823" s="3">
        <v>1</v>
      </c>
      <c r="D823" s="5">
        <v>20.99</v>
      </c>
      <c r="E823" s="3" t="s">
        <v>1899</v>
      </c>
      <c r="F823" s="2" t="s">
        <v>252</v>
      </c>
      <c r="G823" s="6" t="s">
        <v>154</v>
      </c>
      <c r="H823" s="2" t="s">
        <v>1473</v>
      </c>
      <c r="I823" s="2" t="s">
        <v>1864</v>
      </c>
      <c r="J823" s="2" t="s">
        <v>19</v>
      </c>
      <c r="K823" s="2" t="s">
        <v>648</v>
      </c>
      <c r="L823" s="7" t="str">
        <f>HYPERLINK("http://slimages.macys.com/is/image/MCY/10787705 ")</f>
        <v xml:space="preserve">http://slimages.macys.com/is/image/MCY/10787705 </v>
      </c>
    </row>
    <row r="824" spans="1:12" ht="24.75" x14ac:dyDescent="0.25">
      <c r="A824" s="4" t="s">
        <v>4156</v>
      </c>
      <c r="B824" s="2" t="s">
        <v>1892</v>
      </c>
      <c r="C824" s="3">
        <v>1</v>
      </c>
      <c r="D824" s="5">
        <v>20.99</v>
      </c>
      <c r="E824" s="3" t="s">
        <v>1893</v>
      </c>
      <c r="F824" s="2" t="s">
        <v>15</v>
      </c>
      <c r="G824" s="6" t="s">
        <v>187</v>
      </c>
      <c r="H824" s="2" t="s">
        <v>1425</v>
      </c>
      <c r="I824" s="2" t="s">
        <v>1864</v>
      </c>
      <c r="J824" s="2" t="s">
        <v>19</v>
      </c>
      <c r="K824" s="2" t="s">
        <v>1894</v>
      </c>
      <c r="L824" s="7" t="str">
        <f>HYPERLINK("http://slimages.macys.com/is/image/MCY/11689288 ")</f>
        <v xml:space="preserve">http://slimages.macys.com/is/image/MCY/11689288 </v>
      </c>
    </row>
    <row r="825" spans="1:12" ht="24.75" x14ac:dyDescent="0.25">
      <c r="A825" s="4" t="s">
        <v>1898</v>
      </c>
      <c r="B825" s="2" t="s">
        <v>1896</v>
      </c>
      <c r="C825" s="3">
        <v>6</v>
      </c>
      <c r="D825" s="5">
        <v>20.99</v>
      </c>
      <c r="E825" s="3" t="s">
        <v>1899</v>
      </c>
      <c r="F825" s="2" t="s">
        <v>74</v>
      </c>
      <c r="G825" s="6" t="s">
        <v>154</v>
      </c>
      <c r="H825" s="2" t="s">
        <v>1473</v>
      </c>
      <c r="I825" s="2" t="s">
        <v>1864</v>
      </c>
      <c r="J825" s="2" t="s">
        <v>19</v>
      </c>
      <c r="K825" s="2" t="s">
        <v>648</v>
      </c>
      <c r="L825" s="7" t="str">
        <f>HYPERLINK("http://slimages.macys.com/is/image/MCY/10787705 ")</f>
        <v xml:space="preserve">http://slimages.macys.com/is/image/MCY/10787705 </v>
      </c>
    </row>
    <row r="826" spans="1:12" ht="24.75" x14ac:dyDescent="0.25">
      <c r="A826" s="4" t="s">
        <v>4152</v>
      </c>
      <c r="B826" s="2" t="s">
        <v>1892</v>
      </c>
      <c r="C826" s="3">
        <v>1</v>
      </c>
      <c r="D826" s="5">
        <v>20.99</v>
      </c>
      <c r="E826" s="3" t="s">
        <v>1901</v>
      </c>
      <c r="F826" s="2" t="s">
        <v>15</v>
      </c>
      <c r="G826" s="6" t="s">
        <v>181</v>
      </c>
      <c r="H826" s="2" t="s">
        <v>1473</v>
      </c>
      <c r="I826" s="2" t="s">
        <v>1864</v>
      </c>
      <c r="J826" s="2" t="s">
        <v>19</v>
      </c>
      <c r="K826" s="2" t="s">
        <v>648</v>
      </c>
      <c r="L826" s="7" t="str">
        <f>HYPERLINK("http://slimages.macys.com/is/image/MCY/11689284 ")</f>
        <v xml:space="preserve">http://slimages.macys.com/is/image/MCY/11689284 </v>
      </c>
    </row>
    <row r="827" spans="1:12" ht="24.75" x14ac:dyDescent="0.25">
      <c r="A827" s="4" t="s">
        <v>3073</v>
      </c>
      <c r="B827" s="2" t="s">
        <v>1896</v>
      </c>
      <c r="C827" s="3">
        <v>1</v>
      </c>
      <c r="D827" s="5">
        <v>20.99</v>
      </c>
      <c r="E827" s="3" t="s">
        <v>1899</v>
      </c>
      <c r="F827" s="2" t="s">
        <v>15</v>
      </c>
      <c r="G827" s="6" t="s">
        <v>181</v>
      </c>
      <c r="H827" s="2" t="s">
        <v>1473</v>
      </c>
      <c r="I827" s="2" t="s">
        <v>1864</v>
      </c>
      <c r="J827" s="2" t="s">
        <v>19</v>
      </c>
      <c r="K827" s="2" t="s">
        <v>648</v>
      </c>
      <c r="L827" s="7" t="str">
        <f>HYPERLINK("http://slimages.macys.com/is/image/MCY/10787705 ")</f>
        <v xml:space="preserve">http://slimages.macys.com/is/image/MCY/10787705 </v>
      </c>
    </row>
    <row r="828" spans="1:12" ht="24.75" x14ac:dyDescent="0.25">
      <c r="A828" s="4" t="s">
        <v>6137</v>
      </c>
      <c r="B828" s="2" t="s">
        <v>1892</v>
      </c>
      <c r="C828" s="3">
        <v>2</v>
      </c>
      <c r="D828" s="5">
        <v>20.99</v>
      </c>
      <c r="E828" s="3" t="s">
        <v>1901</v>
      </c>
      <c r="F828" s="2" t="s">
        <v>70</v>
      </c>
      <c r="G828" s="6" t="s">
        <v>154</v>
      </c>
      <c r="H828" s="2" t="s">
        <v>1473</v>
      </c>
      <c r="I828" s="2" t="s">
        <v>1864</v>
      </c>
      <c r="J828" s="2" t="s">
        <v>19</v>
      </c>
      <c r="K828" s="2" t="s">
        <v>648</v>
      </c>
      <c r="L828" s="7" t="str">
        <f>HYPERLINK("http://slimages.macys.com/is/image/MCY/11689284 ")</f>
        <v xml:space="preserve">http://slimages.macys.com/is/image/MCY/11689284 </v>
      </c>
    </row>
    <row r="829" spans="1:12" ht="24.75" x14ac:dyDescent="0.25">
      <c r="A829" s="4" t="s">
        <v>6138</v>
      </c>
      <c r="B829" s="2" t="s">
        <v>6139</v>
      </c>
      <c r="C829" s="3">
        <v>1</v>
      </c>
      <c r="D829" s="5">
        <v>17.989999999999998</v>
      </c>
      <c r="E829" s="3" t="s">
        <v>6140</v>
      </c>
      <c r="F829" s="2" t="s">
        <v>70</v>
      </c>
      <c r="G829" s="6" t="s">
        <v>154</v>
      </c>
      <c r="H829" s="2" t="s">
        <v>1473</v>
      </c>
      <c r="I829" s="2" t="s">
        <v>1426</v>
      </c>
      <c r="J829" s="2" t="s">
        <v>19</v>
      </c>
      <c r="K829" s="2" t="s">
        <v>648</v>
      </c>
      <c r="L829" s="7" t="str">
        <f>HYPERLINK("http://slimages.macys.com/is/image/MCY/11830664 ")</f>
        <v xml:space="preserve">http://slimages.macys.com/is/image/MCY/11830664 </v>
      </c>
    </row>
    <row r="830" spans="1:12" ht="24.75" x14ac:dyDescent="0.25">
      <c r="A830" s="4" t="s">
        <v>6141</v>
      </c>
      <c r="B830" s="2" t="s">
        <v>4166</v>
      </c>
      <c r="C830" s="3">
        <v>1</v>
      </c>
      <c r="D830" s="5">
        <v>17.989999999999998</v>
      </c>
      <c r="E830" s="3" t="s">
        <v>4167</v>
      </c>
      <c r="F830" s="2" t="s">
        <v>413</v>
      </c>
      <c r="G830" s="6" t="s">
        <v>156</v>
      </c>
      <c r="H830" s="2" t="s">
        <v>1473</v>
      </c>
      <c r="I830" s="2" t="s">
        <v>1426</v>
      </c>
      <c r="J830" s="2" t="s">
        <v>19</v>
      </c>
      <c r="K830" s="2" t="s">
        <v>495</v>
      </c>
      <c r="L830" s="7" t="str">
        <f>HYPERLINK("http://slimages.macys.com/is/image/MCY/12246728 ")</f>
        <v xml:space="preserve">http://slimages.macys.com/is/image/MCY/12246728 </v>
      </c>
    </row>
    <row r="831" spans="1:12" ht="24.75" x14ac:dyDescent="0.25">
      <c r="A831" s="4" t="s">
        <v>4165</v>
      </c>
      <c r="B831" s="2" t="s">
        <v>4166</v>
      </c>
      <c r="C831" s="3">
        <v>1</v>
      </c>
      <c r="D831" s="5">
        <v>17.989999999999998</v>
      </c>
      <c r="E831" s="3" t="s">
        <v>4167</v>
      </c>
      <c r="F831" s="2" t="s">
        <v>74</v>
      </c>
      <c r="G831" s="6" t="s">
        <v>234</v>
      </c>
      <c r="H831" s="2" t="s">
        <v>1473</v>
      </c>
      <c r="I831" s="2" t="s">
        <v>1426</v>
      </c>
      <c r="J831" s="2" t="s">
        <v>19</v>
      </c>
      <c r="K831" s="2" t="s">
        <v>495</v>
      </c>
      <c r="L831" s="7" t="str">
        <f>HYPERLINK("http://slimages.macys.com/is/image/MCY/12246728 ")</f>
        <v xml:space="preserve">http://slimages.macys.com/is/image/MCY/12246728 </v>
      </c>
    </row>
    <row r="832" spans="1:12" ht="24.75" x14ac:dyDescent="0.25">
      <c r="A832" s="4" t="s">
        <v>6142</v>
      </c>
      <c r="B832" s="2" t="s">
        <v>3089</v>
      </c>
      <c r="C832" s="3">
        <v>1</v>
      </c>
      <c r="D832" s="5">
        <v>14.99</v>
      </c>
      <c r="E832" s="3" t="s">
        <v>3090</v>
      </c>
      <c r="F832" s="2" t="s">
        <v>26</v>
      </c>
      <c r="G832" s="6" t="s">
        <v>187</v>
      </c>
      <c r="H832" s="2" t="s">
        <v>1425</v>
      </c>
      <c r="I832" s="2" t="s">
        <v>1426</v>
      </c>
      <c r="J832" s="2" t="s">
        <v>19</v>
      </c>
      <c r="K832" s="2" t="s">
        <v>495</v>
      </c>
      <c r="L832" s="7" t="str">
        <f>HYPERLINK("http://slimages.macys.com/is/image/MCY/12639162 ")</f>
        <v xml:space="preserve">http://slimages.macys.com/is/image/MCY/12639162 </v>
      </c>
    </row>
    <row r="833" spans="1:12" ht="24.75" x14ac:dyDescent="0.25">
      <c r="A833" s="4" t="s">
        <v>6143</v>
      </c>
      <c r="B833" s="2" t="s">
        <v>4170</v>
      </c>
      <c r="C833" s="3">
        <v>1</v>
      </c>
      <c r="D833" s="5">
        <v>14.99</v>
      </c>
      <c r="E833" s="3" t="s">
        <v>4171</v>
      </c>
      <c r="F833" s="2" t="s">
        <v>64</v>
      </c>
      <c r="G833" s="6" t="s">
        <v>234</v>
      </c>
      <c r="H833" s="2" t="s">
        <v>1473</v>
      </c>
      <c r="I833" s="2" t="s">
        <v>1426</v>
      </c>
      <c r="J833" s="2" t="s">
        <v>19</v>
      </c>
      <c r="K833" s="2" t="s">
        <v>495</v>
      </c>
      <c r="L833" s="7" t="str">
        <f>HYPERLINK("http://slimages.macys.com/is/image/MCY/11207448 ")</f>
        <v xml:space="preserve">http://slimages.macys.com/is/image/MCY/11207448 </v>
      </c>
    </row>
    <row r="834" spans="1:12" ht="24.75" x14ac:dyDescent="0.25">
      <c r="A834" s="4" t="s">
        <v>6144</v>
      </c>
      <c r="B834" s="2" t="s">
        <v>1921</v>
      </c>
      <c r="C834" s="3">
        <v>1</v>
      </c>
      <c r="D834" s="5">
        <v>14.99</v>
      </c>
      <c r="E834" s="3">
        <v>100043899</v>
      </c>
      <c r="F834" s="2" t="s">
        <v>111</v>
      </c>
      <c r="G834" s="6" t="s">
        <v>200</v>
      </c>
      <c r="H834" s="2" t="s">
        <v>194</v>
      </c>
      <c r="I834" s="2" t="s">
        <v>1922</v>
      </c>
      <c r="J834" s="2" t="s">
        <v>19</v>
      </c>
      <c r="K834" s="2" t="s">
        <v>1108</v>
      </c>
      <c r="L834" s="7" t="str">
        <f>HYPERLINK("http://slimages.macys.com/is/image/MCY/11147951 ")</f>
        <v xml:space="preserve">http://slimages.macys.com/is/image/MCY/11147951 </v>
      </c>
    </row>
    <row r="835" spans="1:12" ht="24.75" x14ac:dyDescent="0.25">
      <c r="A835" s="4" t="s">
        <v>6145</v>
      </c>
      <c r="B835" s="2" t="s">
        <v>3101</v>
      </c>
      <c r="C835" s="3">
        <v>1</v>
      </c>
      <c r="D835" s="5">
        <v>14.99</v>
      </c>
      <c r="E835" s="3" t="s">
        <v>3102</v>
      </c>
      <c r="F835" s="2" t="s">
        <v>15</v>
      </c>
      <c r="G835" s="6"/>
      <c r="H835" s="2" t="s">
        <v>1425</v>
      </c>
      <c r="I835" s="2" t="s">
        <v>1426</v>
      </c>
      <c r="J835" s="2"/>
      <c r="K835" s="2"/>
      <c r="L835" s="7" t="str">
        <f>HYPERLINK("http://slimages.macys.com/is/image/MCY/9931748 ")</f>
        <v xml:space="preserve">http://slimages.macys.com/is/image/MCY/9931748 </v>
      </c>
    </row>
    <row r="836" spans="1:12" ht="24.75" x14ac:dyDescent="0.25">
      <c r="A836" s="4" t="s">
        <v>6146</v>
      </c>
      <c r="B836" s="2" t="s">
        <v>3101</v>
      </c>
      <c r="C836" s="3">
        <v>1</v>
      </c>
      <c r="D836" s="5">
        <v>14.99</v>
      </c>
      <c r="E836" s="3" t="s">
        <v>3102</v>
      </c>
      <c r="F836" s="2" t="s">
        <v>74</v>
      </c>
      <c r="G836" s="6" t="s">
        <v>187</v>
      </c>
      <c r="H836" s="2" t="s">
        <v>1425</v>
      </c>
      <c r="I836" s="2" t="s">
        <v>1426</v>
      </c>
      <c r="J836" s="2"/>
      <c r="K836" s="2"/>
      <c r="L836" s="7" t="str">
        <f>HYPERLINK("http://slimages.macys.com/is/image/MCY/9931748 ")</f>
        <v xml:space="preserve">http://slimages.macys.com/is/image/MCY/9931748 </v>
      </c>
    </row>
    <row r="837" spans="1:12" ht="24.75" x14ac:dyDescent="0.25">
      <c r="A837" s="4" t="s">
        <v>6147</v>
      </c>
      <c r="B837" s="2" t="s">
        <v>1918</v>
      </c>
      <c r="C837" s="3">
        <v>1</v>
      </c>
      <c r="D837" s="5">
        <v>19.989999999999998</v>
      </c>
      <c r="E837" s="3" t="s">
        <v>3087</v>
      </c>
      <c r="F837" s="2" t="s">
        <v>48</v>
      </c>
      <c r="G837" s="6" t="s">
        <v>156</v>
      </c>
      <c r="H837" s="2" t="s">
        <v>246</v>
      </c>
      <c r="I837" s="2" t="s">
        <v>189</v>
      </c>
      <c r="J837" s="2" t="s">
        <v>19</v>
      </c>
      <c r="K837" s="2" t="s">
        <v>648</v>
      </c>
      <c r="L837" s="7" t="str">
        <f>HYPERLINK("http://slimages.macys.com/is/image/MCY/8123674 ")</f>
        <v xml:space="preserve">http://slimages.macys.com/is/image/MCY/8123674 </v>
      </c>
    </row>
    <row r="838" spans="1:12" ht="24.75" x14ac:dyDescent="0.25">
      <c r="A838" s="4" t="s">
        <v>6148</v>
      </c>
      <c r="B838" s="2" t="s">
        <v>6149</v>
      </c>
      <c r="C838" s="3">
        <v>1</v>
      </c>
      <c r="D838" s="5">
        <v>14.99</v>
      </c>
      <c r="E838" s="3" t="s">
        <v>6150</v>
      </c>
      <c r="F838" s="2" t="s">
        <v>3267</v>
      </c>
      <c r="G838" s="6" t="s">
        <v>156</v>
      </c>
      <c r="H838" s="2" t="s">
        <v>1522</v>
      </c>
      <c r="I838" s="2" t="s">
        <v>1469</v>
      </c>
      <c r="J838" s="2" t="s">
        <v>19</v>
      </c>
      <c r="K838" s="2" t="s">
        <v>495</v>
      </c>
      <c r="L838" s="7" t="str">
        <f>HYPERLINK("http://slimages.macys.com/is/image/MCY/12064178 ")</f>
        <v xml:space="preserve">http://slimages.macys.com/is/image/MCY/12064178 </v>
      </c>
    </row>
    <row r="839" spans="1:12" ht="24.75" x14ac:dyDescent="0.25">
      <c r="A839" s="4" t="s">
        <v>6151</v>
      </c>
      <c r="B839" s="2" t="s">
        <v>1927</v>
      </c>
      <c r="C839" s="3">
        <v>1</v>
      </c>
      <c r="D839" s="5">
        <v>17.989999999999998</v>
      </c>
      <c r="E839" s="3" t="s">
        <v>1928</v>
      </c>
      <c r="F839" s="2" t="s">
        <v>15</v>
      </c>
      <c r="G839" s="6" t="s">
        <v>181</v>
      </c>
      <c r="H839" s="2" t="s">
        <v>1473</v>
      </c>
      <c r="I839" s="2" t="s">
        <v>1426</v>
      </c>
      <c r="J839" s="2" t="s">
        <v>19</v>
      </c>
      <c r="K839" s="2" t="s">
        <v>803</v>
      </c>
      <c r="L839" s="7" t="str">
        <f>HYPERLINK("http://slimages.macys.com/is/image/MCY/11882200 ")</f>
        <v xml:space="preserve">http://slimages.macys.com/is/image/MCY/11882200 </v>
      </c>
    </row>
    <row r="840" spans="1:12" ht="24.75" x14ac:dyDescent="0.25">
      <c r="A840" s="4" t="s">
        <v>1930</v>
      </c>
      <c r="B840" s="2" t="s">
        <v>1927</v>
      </c>
      <c r="C840" s="3">
        <v>2</v>
      </c>
      <c r="D840" s="5">
        <v>17.989999999999998</v>
      </c>
      <c r="E840" s="3" t="s">
        <v>1928</v>
      </c>
      <c r="F840" s="2" t="s">
        <v>15</v>
      </c>
      <c r="G840" s="6" t="s">
        <v>156</v>
      </c>
      <c r="H840" s="2" t="s">
        <v>1473</v>
      </c>
      <c r="I840" s="2" t="s">
        <v>1426</v>
      </c>
      <c r="J840" s="2" t="s">
        <v>19</v>
      </c>
      <c r="K840" s="2" t="s">
        <v>803</v>
      </c>
      <c r="L840" s="7" t="str">
        <f>HYPERLINK("http://slimages.macys.com/is/image/MCY/11882200 ")</f>
        <v xml:space="preserve">http://slimages.macys.com/is/image/MCY/11882200 </v>
      </c>
    </row>
    <row r="841" spans="1:12" ht="24.75" x14ac:dyDescent="0.25">
      <c r="A841" s="4" t="s">
        <v>3110</v>
      </c>
      <c r="B841" s="2" t="s">
        <v>1927</v>
      </c>
      <c r="C841" s="3">
        <v>2</v>
      </c>
      <c r="D841" s="5">
        <v>17.989999999999998</v>
      </c>
      <c r="E841" s="3" t="s">
        <v>1928</v>
      </c>
      <c r="F841" s="2" t="s">
        <v>15</v>
      </c>
      <c r="G841" s="6" t="s">
        <v>234</v>
      </c>
      <c r="H841" s="2" t="s">
        <v>1473</v>
      </c>
      <c r="I841" s="2" t="s">
        <v>1426</v>
      </c>
      <c r="J841" s="2" t="s">
        <v>19</v>
      </c>
      <c r="K841" s="2" t="s">
        <v>803</v>
      </c>
      <c r="L841" s="7" t="str">
        <f>HYPERLINK("http://slimages.macys.com/is/image/MCY/11882200 ")</f>
        <v xml:space="preserve">http://slimages.macys.com/is/image/MCY/11882200 </v>
      </c>
    </row>
    <row r="842" spans="1:12" ht="24.75" x14ac:dyDescent="0.25">
      <c r="A842" s="4" t="s">
        <v>3111</v>
      </c>
      <c r="B842" s="2" t="s">
        <v>1927</v>
      </c>
      <c r="C842" s="3">
        <v>2</v>
      </c>
      <c r="D842" s="5">
        <v>17.989999999999998</v>
      </c>
      <c r="E842" s="3" t="s">
        <v>1928</v>
      </c>
      <c r="F842" s="2" t="s">
        <v>15</v>
      </c>
      <c r="G842" s="6" t="s">
        <v>154</v>
      </c>
      <c r="H842" s="2" t="s">
        <v>1473</v>
      </c>
      <c r="I842" s="2" t="s">
        <v>1426</v>
      </c>
      <c r="J842" s="2" t="s">
        <v>19</v>
      </c>
      <c r="K842" s="2" t="s">
        <v>803</v>
      </c>
      <c r="L842" s="7" t="str">
        <f>HYPERLINK("http://slimages.macys.com/is/image/MCY/11882200 ")</f>
        <v xml:space="preserve">http://slimages.macys.com/is/image/MCY/11882200 </v>
      </c>
    </row>
    <row r="843" spans="1:12" ht="24.75" x14ac:dyDescent="0.25">
      <c r="A843" s="4" t="s">
        <v>1931</v>
      </c>
      <c r="B843" s="2" t="s">
        <v>1932</v>
      </c>
      <c r="C843" s="3">
        <v>2</v>
      </c>
      <c r="D843" s="5">
        <v>16.989999999999998</v>
      </c>
      <c r="E843" s="3" t="s">
        <v>1933</v>
      </c>
      <c r="F843" s="2" t="s">
        <v>15</v>
      </c>
      <c r="G843" s="6" t="s">
        <v>234</v>
      </c>
      <c r="H843" s="2" t="s">
        <v>1473</v>
      </c>
      <c r="I843" s="2" t="s">
        <v>1864</v>
      </c>
      <c r="J843" s="2" t="s">
        <v>19</v>
      </c>
      <c r="K843" s="2" t="s">
        <v>648</v>
      </c>
      <c r="L843" s="7" t="str">
        <f>HYPERLINK("http://slimages.macys.com/is/image/MCY/11634794 ")</f>
        <v xml:space="preserve">http://slimages.macys.com/is/image/MCY/11634794 </v>
      </c>
    </row>
    <row r="844" spans="1:12" ht="24.75" x14ac:dyDescent="0.25">
      <c r="A844" s="4" t="s">
        <v>5186</v>
      </c>
      <c r="B844" s="2" t="s">
        <v>1932</v>
      </c>
      <c r="C844" s="3">
        <v>1</v>
      </c>
      <c r="D844" s="5">
        <v>16.989999999999998</v>
      </c>
      <c r="E844" s="3" t="s">
        <v>3113</v>
      </c>
      <c r="F844" s="2" t="s">
        <v>15</v>
      </c>
      <c r="G844" s="6"/>
      <c r="H844" s="2" t="s">
        <v>1425</v>
      </c>
      <c r="I844" s="2" t="s">
        <v>1864</v>
      </c>
      <c r="J844" s="2" t="s">
        <v>19</v>
      </c>
      <c r="K844" s="2" t="s">
        <v>648</v>
      </c>
      <c r="L844" s="7" t="str">
        <f>HYPERLINK("http://slimages.macys.com/is/image/MCY/11634785 ")</f>
        <v xml:space="preserve">http://slimages.macys.com/is/image/MCY/11634785 </v>
      </c>
    </row>
    <row r="845" spans="1:12" ht="24.75" x14ac:dyDescent="0.25">
      <c r="A845" s="4" t="s">
        <v>3112</v>
      </c>
      <c r="B845" s="2" t="s">
        <v>1932</v>
      </c>
      <c r="C845" s="3">
        <v>1</v>
      </c>
      <c r="D845" s="5">
        <v>16.989999999999998</v>
      </c>
      <c r="E845" s="3" t="s">
        <v>3113</v>
      </c>
      <c r="F845" s="2" t="s">
        <v>15</v>
      </c>
      <c r="G845" s="6" t="s">
        <v>219</v>
      </c>
      <c r="H845" s="2" t="s">
        <v>1425</v>
      </c>
      <c r="I845" s="2" t="s">
        <v>1864</v>
      </c>
      <c r="J845" s="2" t="s">
        <v>19</v>
      </c>
      <c r="K845" s="2" t="s">
        <v>648</v>
      </c>
      <c r="L845" s="7" t="str">
        <f>HYPERLINK("http://slimages.macys.com/is/image/MCY/11634785 ")</f>
        <v xml:space="preserve">http://slimages.macys.com/is/image/MCY/11634785 </v>
      </c>
    </row>
    <row r="846" spans="1:12" ht="24.75" x14ac:dyDescent="0.25">
      <c r="A846" s="4" t="s">
        <v>3115</v>
      </c>
      <c r="B846" s="2" t="s">
        <v>1932</v>
      </c>
      <c r="C846" s="3">
        <v>1</v>
      </c>
      <c r="D846" s="5">
        <v>16.989999999999998</v>
      </c>
      <c r="E846" s="3" t="s">
        <v>1933</v>
      </c>
      <c r="F846" s="2" t="s">
        <v>15</v>
      </c>
      <c r="G846" s="6" t="s">
        <v>181</v>
      </c>
      <c r="H846" s="2" t="s">
        <v>1473</v>
      </c>
      <c r="I846" s="2" t="s">
        <v>1864</v>
      </c>
      <c r="J846" s="2" t="s">
        <v>19</v>
      </c>
      <c r="K846" s="2" t="s">
        <v>648</v>
      </c>
      <c r="L846" s="7" t="str">
        <f>HYPERLINK("http://slimages.macys.com/is/image/MCY/11634794 ")</f>
        <v xml:space="preserve">http://slimages.macys.com/is/image/MCY/11634794 </v>
      </c>
    </row>
    <row r="847" spans="1:12" ht="24.75" x14ac:dyDescent="0.25">
      <c r="A847" s="4" t="s">
        <v>3114</v>
      </c>
      <c r="B847" s="2" t="s">
        <v>1932</v>
      </c>
      <c r="C847" s="3">
        <v>1</v>
      </c>
      <c r="D847" s="5">
        <v>16.989999999999998</v>
      </c>
      <c r="E847" s="3" t="s">
        <v>1933</v>
      </c>
      <c r="F847" s="2" t="s">
        <v>15</v>
      </c>
      <c r="G847" s="6" t="s">
        <v>245</v>
      </c>
      <c r="H847" s="2" t="s">
        <v>1473</v>
      </c>
      <c r="I847" s="2" t="s">
        <v>1864</v>
      </c>
      <c r="J847" s="2" t="s">
        <v>19</v>
      </c>
      <c r="K847" s="2" t="s">
        <v>648</v>
      </c>
      <c r="L847" s="7" t="str">
        <f>HYPERLINK("http://slimages.macys.com/is/image/MCY/11634794 ")</f>
        <v xml:space="preserve">http://slimages.macys.com/is/image/MCY/11634794 </v>
      </c>
    </row>
    <row r="848" spans="1:12" ht="24.75" x14ac:dyDescent="0.25">
      <c r="A848" s="4" t="s">
        <v>1934</v>
      </c>
      <c r="B848" s="2" t="s">
        <v>1932</v>
      </c>
      <c r="C848" s="3">
        <v>2</v>
      </c>
      <c r="D848" s="5">
        <v>16.989999999999998</v>
      </c>
      <c r="E848" s="3" t="s">
        <v>1933</v>
      </c>
      <c r="F848" s="2" t="s">
        <v>15</v>
      </c>
      <c r="G848" s="6" t="s">
        <v>156</v>
      </c>
      <c r="H848" s="2" t="s">
        <v>1473</v>
      </c>
      <c r="I848" s="2" t="s">
        <v>1864</v>
      </c>
      <c r="J848" s="2" t="s">
        <v>19</v>
      </c>
      <c r="K848" s="2" t="s">
        <v>648</v>
      </c>
      <c r="L848" s="7" t="str">
        <f>HYPERLINK("http://slimages.macys.com/is/image/MCY/11634794 ")</f>
        <v xml:space="preserve">http://slimages.macys.com/is/image/MCY/11634794 </v>
      </c>
    </row>
    <row r="849" spans="1:12" ht="24.75" x14ac:dyDescent="0.25">
      <c r="A849" s="4" t="s">
        <v>6152</v>
      </c>
      <c r="B849" s="2" t="s">
        <v>4188</v>
      </c>
      <c r="C849" s="3">
        <v>1</v>
      </c>
      <c r="D849" s="5">
        <v>17.989999999999998</v>
      </c>
      <c r="E849" s="3" t="s">
        <v>4189</v>
      </c>
      <c r="F849" s="2" t="s">
        <v>820</v>
      </c>
      <c r="G849" s="6" t="s">
        <v>181</v>
      </c>
      <c r="H849" s="2" t="s">
        <v>1473</v>
      </c>
      <c r="I849" s="2" t="s">
        <v>1426</v>
      </c>
      <c r="J849" s="2" t="s">
        <v>19</v>
      </c>
      <c r="K849" s="2" t="s">
        <v>990</v>
      </c>
      <c r="L849" s="7" t="str">
        <f>HYPERLINK("http://slimages.macys.com/is/image/MCY/12877743 ")</f>
        <v xml:space="preserve">http://slimages.macys.com/is/image/MCY/12877743 </v>
      </c>
    </row>
    <row r="850" spans="1:12" ht="24.75" x14ac:dyDescent="0.25">
      <c r="A850" s="4" t="s">
        <v>6153</v>
      </c>
      <c r="B850" s="2" t="s">
        <v>1942</v>
      </c>
      <c r="C850" s="3">
        <v>1</v>
      </c>
      <c r="D850" s="5">
        <v>17.989999999999998</v>
      </c>
      <c r="E850" s="3" t="s">
        <v>1943</v>
      </c>
      <c r="F850" s="2" t="s">
        <v>15</v>
      </c>
      <c r="G850" s="6" t="s">
        <v>154</v>
      </c>
      <c r="H850" s="2" t="s">
        <v>1522</v>
      </c>
      <c r="I850" s="2" t="s">
        <v>1469</v>
      </c>
      <c r="J850" s="2" t="s">
        <v>19</v>
      </c>
      <c r="K850" s="2" t="s">
        <v>353</v>
      </c>
      <c r="L850" s="7" t="str">
        <f>HYPERLINK("http://slimages.macys.com/is/image/MCY/10743541 ")</f>
        <v xml:space="preserve">http://slimages.macys.com/is/image/MCY/10743541 </v>
      </c>
    </row>
    <row r="851" spans="1:12" ht="24.75" x14ac:dyDescent="0.25">
      <c r="A851" s="4" t="s">
        <v>6154</v>
      </c>
      <c r="B851" s="2" t="s">
        <v>1942</v>
      </c>
      <c r="C851" s="3">
        <v>1</v>
      </c>
      <c r="D851" s="5">
        <v>17.989999999999998</v>
      </c>
      <c r="E851" s="3" t="s">
        <v>1943</v>
      </c>
      <c r="F851" s="2" t="s">
        <v>26</v>
      </c>
      <c r="G851" s="6" t="s">
        <v>156</v>
      </c>
      <c r="H851" s="2" t="s">
        <v>1522</v>
      </c>
      <c r="I851" s="2" t="s">
        <v>1469</v>
      </c>
      <c r="J851" s="2" t="s">
        <v>19</v>
      </c>
      <c r="K851" s="2" t="s">
        <v>353</v>
      </c>
      <c r="L851" s="7" t="str">
        <f>HYPERLINK("http://slimages.macys.com/is/image/MCY/10743541 ")</f>
        <v xml:space="preserve">http://slimages.macys.com/is/image/MCY/10743541 </v>
      </c>
    </row>
    <row r="852" spans="1:12" ht="24.75" x14ac:dyDescent="0.25">
      <c r="A852" s="4" t="s">
        <v>6155</v>
      </c>
      <c r="B852" s="2" t="s">
        <v>3122</v>
      </c>
      <c r="C852" s="3">
        <v>1</v>
      </c>
      <c r="D852" s="5">
        <v>14.99</v>
      </c>
      <c r="E852" s="3" t="s">
        <v>3123</v>
      </c>
      <c r="F852" s="2" t="s">
        <v>33</v>
      </c>
      <c r="G852" s="6" t="s">
        <v>154</v>
      </c>
      <c r="H852" s="2" t="s">
        <v>1522</v>
      </c>
      <c r="I852" s="2" t="s">
        <v>1469</v>
      </c>
      <c r="J852" s="2" t="s">
        <v>19</v>
      </c>
      <c r="K852" s="2" t="s">
        <v>495</v>
      </c>
      <c r="L852" s="7" t="str">
        <f t="shared" ref="L852:L857" si="9">HYPERLINK("http://slimages.macys.com/is/image/MCY/9957413 ")</f>
        <v xml:space="preserve">http://slimages.macys.com/is/image/MCY/9957413 </v>
      </c>
    </row>
    <row r="853" spans="1:12" ht="24.75" x14ac:dyDescent="0.25">
      <c r="A853" s="4" t="s">
        <v>6156</v>
      </c>
      <c r="B853" s="2" t="s">
        <v>3122</v>
      </c>
      <c r="C853" s="3">
        <v>1</v>
      </c>
      <c r="D853" s="5">
        <v>14.99</v>
      </c>
      <c r="E853" s="3" t="s">
        <v>3123</v>
      </c>
      <c r="F853" s="2" t="s">
        <v>79</v>
      </c>
      <c r="G853" s="6" t="s">
        <v>181</v>
      </c>
      <c r="H853" s="2" t="s">
        <v>1522</v>
      </c>
      <c r="I853" s="2" t="s">
        <v>1469</v>
      </c>
      <c r="J853" s="2" t="s">
        <v>19</v>
      </c>
      <c r="K853" s="2" t="s">
        <v>495</v>
      </c>
      <c r="L853" s="7" t="str">
        <f t="shared" si="9"/>
        <v xml:space="preserve">http://slimages.macys.com/is/image/MCY/9957413 </v>
      </c>
    </row>
    <row r="854" spans="1:12" ht="24.75" x14ac:dyDescent="0.25">
      <c r="A854" s="4" t="s">
        <v>4192</v>
      </c>
      <c r="B854" s="2" t="s">
        <v>3122</v>
      </c>
      <c r="C854" s="3">
        <v>1</v>
      </c>
      <c r="D854" s="5">
        <v>14.99</v>
      </c>
      <c r="E854" s="3" t="s">
        <v>3123</v>
      </c>
      <c r="F854" s="2" t="s">
        <v>79</v>
      </c>
      <c r="G854" s="6" t="s">
        <v>154</v>
      </c>
      <c r="H854" s="2" t="s">
        <v>1522</v>
      </c>
      <c r="I854" s="2" t="s">
        <v>1469</v>
      </c>
      <c r="J854" s="2" t="s">
        <v>19</v>
      </c>
      <c r="K854" s="2" t="s">
        <v>495</v>
      </c>
      <c r="L854" s="7" t="str">
        <f t="shared" si="9"/>
        <v xml:space="preserve">http://slimages.macys.com/is/image/MCY/9957413 </v>
      </c>
    </row>
    <row r="855" spans="1:12" ht="24.75" x14ac:dyDescent="0.25">
      <c r="A855" s="4" t="s">
        <v>3121</v>
      </c>
      <c r="B855" s="2" t="s">
        <v>3122</v>
      </c>
      <c r="C855" s="3">
        <v>3</v>
      </c>
      <c r="D855" s="5">
        <v>14.99</v>
      </c>
      <c r="E855" s="3" t="s">
        <v>3123</v>
      </c>
      <c r="F855" s="2" t="s">
        <v>57</v>
      </c>
      <c r="G855" s="6" t="s">
        <v>154</v>
      </c>
      <c r="H855" s="2" t="s">
        <v>1522</v>
      </c>
      <c r="I855" s="2" t="s">
        <v>1469</v>
      </c>
      <c r="J855" s="2" t="s">
        <v>19</v>
      </c>
      <c r="K855" s="2" t="s">
        <v>495</v>
      </c>
      <c r="L855" s="7" t="str">
        <f t="shared" si="9"/>
        <v xml:space="preserve">http://slimages.macys.com/is/image/MCY/9957413 </v>
      </c>
    </row>
    <row r="856" spans="1:12" ht="24.75" x14ac:dyDescent="0.25">
      <c r="A856" s="4" t="s">
        <v>4194</v>
      </c>
      <c r="B856" s="2" t="s">
        <v>3122</v>
      </c>
      <c r="C856" s="3">
        <v>1</v>
      </c>
      <c r="D856" s="5">
        <v>14.99</v>
      </c>
      <c r="E856" s="3" t="s">
        <v>3123</v>
      </c>
      <c r="F856" s="2" t="s">
        <v>79</v>
      </c>
      <c r="G856" s="6" t="s">
        <v>181</v>
      </c>
      <c r="H856" s="2" t="s">
        <v>1522</v>
      </c>
      <c r="I856" s="2" t="s">
        <v>1469</v>
      </c>
      <c r="J856" s="2" t="s">
        <v>19</v>
      </c>
      <c r="K856" s="2" t="s">
        <v>495</v>
      </c>
      <c r="L856" s="7" t="str">
        <f t="shared" si="9"/>
        <v xml:space="preserve">http://slimages.macys.com/is/image/MCY/9957413 </v>
      </c>
    </row>
    <row r="857" spans="1:12" ht="24.75" x14ac:dyDescent="0.25">
      <c r="A857" s="4" t="s">
        <v>6157</v>
      </c>
      <c r="B857" s="2" t="s">
        <v>3122</v>
      </c>
      <c r="C857" s="3">
        <v>2</v>
      </c>
      <c r="D857" s="5">
        <v>14.99</v>
      </c>
      <c r="E857" s="3" t="s">
        <v>3123</v>
      </c>
      <c r="F857" s="2" t="s">
        <v>57</v>
      </c>
      <c r="G857" s="6" t="s">
        <v>181</v>
      </c>
      <c r="H857" s="2" t="s">
        <v>1522</v>
      </c>
      <c r="I857" s="2" t="s">
        <v>1469</v>
      </c>
      <c r="J857" s="2" t="s">
        <v>19</v>
      </c>
      <c r="K857" s="2" t="s">
        <v>495</v>
      </c>
      <c r="L857" s="7" t="str">
        <f t="shared" si="9"/>
        <v xml:space="preserve">http://slimages.macys.com/is/image/MCY/9957413 </v>
      </c>
    </row>
    <row r="858" spans="1:12" ht="24.75" x14ac:dyDescent="0.25">
      <c r="A858" s="4" t="s">
        <v>6158</v>
      </c>
      <c r="B858" s="2" t="s">
        <v>3134</v>
      </c>
      <c r="C858" s="3">
        <v>1</v>
      </c>
      <c r="D858" s="5">
        <v>14.99</v>
      </c>
      <c r="E858" s="3" t="s">
        <v>3135</v>
      </c>
      <c r="F858" s="2" t="s">
        <v>331</v>
      </c>
      <c r="G858" s="6" t="s">
        <v>187</v>
      </c>
      <c r="H858" s="2" t="s">
        <v>1425</v>
      </c>
      <c r="I858" s="2" t="s">
        <v>1426</v>
      </c>
      <c r="J858" s="2" t="s">
        <v>19</v>
      </c>
      <c r="K858" s="2" t="s">
        <v>495</v>
      </c>
      <c r="L858" s="7" t="str">
        <f>HYPERLINK("http://slimages.macys.com/is/image/MCY/12144619 ")</f>
        <v xml:space="preserve">http://slimages.macys.com/is/image/MCY/12144619 </v>
      </c>
    </row>
    <row r="859" spans="1:12" ht="24.75" x14ac:dyDescent="0.25">
      <c r="A859" s="4" t="s">
        <v>6159</v>
      </c>
      <c r="B859" s="2" t="s">
        <v>6160</v>
      </c>
      <c r="C859" s="3">
        <v>1</v>
      </c>
      <c r="D859" s="5">
        <v>14.99</v>
      </c>
      <c r="E859" s="3" t="s">
        <v>6161</v>
      </c>
      <c r="F859" s="2" t="s">
        <v>94</v>
      </c>
      <c r="G859" s="6" t="s">
        <v>219</v>
      </c>
      <c r="H859" s="2" t="s">
        <v>1425</v>
      </c>
      <c r="I859" s="2" t="s">
        <v>1426</v>
      </c>
      <c r="J859" s="2" t="s">
        <v>19</v>
      </c>
      <c r="K859" s="2" t="s">
        <v>495</v>
      </c>
      <c r="L859" s="7" t="str">
        <f>HYPERLINK("http://slimages.macys.com/is/image/MCY/12033478 ")</f>
        <v xml:space="preserve">http://slimages.macys.com/is/image/MCY/12033478 </v>
      </c>
    </row>
    <row r="860" spans="1:12" ht="24.75" x14ac:dyDescent="0.25">
      <c r="A860" s="4" t="s">
        <v>6162</v>
      </c>
      <c r="B860" s="2" t="s">
        <v>6160</v>
      </c>
      <c r="C860" s="3">
        <v>1</v>
      </c>
      <c r="D860" s="5">
        <v>14.99</v>
      </c>
      <c r="E860" s="3" t="s">
        <v>6161</v>
      </c>
      <c r="F860" s="2" t="s">
        <v>70</v>
      </c>
      <c r="G860" s="6" t="s">
        <v>187</v>
      </c>
      <c r="H860" s="2" t="s">
        <v>1425</v>
      </c>
      <c r="I860" s="2" t="s">
        <v>1426</v>
      </c>
      <c r="J860" s="2" t="s">
        <v>19</v>
      </c>
      <c r="K860" s="2" t="s">
        <v>495</v>
      </c>
      <c r="L860" s="7" t="str">
        <f>HYPERLINK("http://slimages.macys.com/is/image/MCY/12033478 ")</f>
        <v xml:space="preserve">http://slimages.macys.com/is/image/MCY/12033478 </v>
      </c>
    </row>
    <row r="861" spans="1:12" ht="24.75" x14ac:dyDescent="0.25">
      <c r="A861" s="4" t="s">
        <v>5195</v>
      </c>
      <c r="B861" s="2" t="s">
        <v>5196</v>
      </c>
      <c r="C861" s="3">
        <v>3</v>
      </c>
      <c r="D861" s="5">
        <v>14.99</v>
      </c>
      <c r="E861" s="3" t="s">
        <v>5197</v>
      </c>
      <c r="F861" s="2" t="s">
        <v>26</v>
      </c>
      <c r="G861" s="6"/>
      <c r="H861" s="2" t="s">
        <v>1425</v>
      </c>
      <c r="I861" s="2" t="s">
        <v>1426</v>
      </c>
      <c r="J861" s="2" t="s">
        <v>19</v>
      </c>
      <c r="K861" s="2" t="s">
        <v>495</v>
      </c>
      <c r="L861" s="7" t="str">
        <f>HYPERLINK("http://slimages.macys.com/is/image/MCY/11882667 ")</f>
        <v xml:space="preserve">http://slimages.macys.com/is/image/MCY/11882667 </v>
      </c>
    </row>
    <row r="862" spans="1:12" ht="24.75" x14ac:dyDescent="0.25">
      <c r="A862" s="4" t="s">
        <v>6163</v>
      </c>
      <c r="B862" s="2" t="s">
        <v>5196</v>
      </c>
      <c r="C862" s="3">
        <v>1</v>
      </c>
      <c r="D862" s="5">
        <v>14.99</v>
      </c>
      <c r="E862" s="3" t="s">
        <v>5197</v>
      </c>
      <c r="F862" s="2" t="s">
        <v>26</v>
      </c>
      <c r="G862" s="6" t="s">
        <v>187</v>
      </c>
      <c r="H862" s="2" t="s">
        <v>1425</v>
      </c>
      <c r="I862" s="2" t="s">
        <v>1426</v>
      </c>
      <c r="J862" s="2" t="s">
        <v>19</v>
      </c>
      <c r="K862" s="2" t="s">
        <v>495</v>
      </c>
      <c r="L862" s="7" t="str">
        <f>HYPERLINK("http://slimages.macys.com/is/image/MCY/11882667 ")</f>
        <v xml:space="preserve">http://slimages.macys.com/is/image/MCY/11882667 </v>
      </c>
    </row>
    <row r="863" spans="1:12" ht="24.75" x14ac:dyDescent="0.25">
      <c r="A863" s="4" t="s">
        <v>5201</v>
      </c>
      <c r="B863" s="2" t="s">
        <v>3128</v>
      </c>
      <c r="C863" s="3">
        <v>1</v>
      </c>
      <c r="D863" s="5">
        <v>14.99</v>
      </c>
      <c r="E863" s="3" t="s">
        <v>3129</v>
      </c>
      <c r="F863" s="2" t="s">
        <v>26</v>
      </c>
      <c r="G863" s="6"/>
      <c r="H863" s="2" t="s">
        <v>1425</v>
      </c>
      <c r="I863" s="2" t="s">
        <v>1426</v>
      </c>
      <c r="J863" s="2" t="s">
        <v>19</v>
      </c>
      <c r="K863" s="2" t="s">
        <v>495</v>
      </c>
      <c r="L863" s="7" t="str">
        <f>HYPERLINK("http://slimages.macys.com/is/image/MCY/12064003 ")</f>
        <v xml:space="preserve">http://slimages.macys.com/is/image/MCY/12064003 </v>
      </c>
    </row>
    <row r="864" spans="1:12" ht="24.75" x14ac:dyDescent="0.25">
      <c r="A864" s="4" t="s">
        <v>6164</v>
      </c>
      <c r="B864" s="2" t="s">
        <v>6165</v>
      </c>
      <c r="C864" s="3">
        <v>1</v>
      </c>
      <c r="D864" s="5">
        <v>14.99</v>
      </c>
      <c r="E864" s="3" t="s">
        <v>6166</v>
      </c>
      <c r="F864" s="2" t="s">
        <v>94</v>
      </c>
      <c r="G864" s="6" t="s">
        <v>181</v>
      </c>
      <c r="H864" s="2" t="s">
        <v>1473</v>
      </c>
      <c r="I864" s="2" t="s">
        <v>1426</v>
      </c>
      <c r="J864" s="2" t="s">
        <v>19</v>
      </c>
      <c r="K864" s="2" t="s">
        <v>495</v>
      </c>
      <c r="L864" s="7" t="str">
        <f>HYPERLINK("http://slimages.macys.com/is/image/MCY/11531551 ")</f>
        <v xml:space="preserve">http://slimages.macys.com/is/image/MCY/11531551 </v>
      </c>
    </row>
    <row r="865" spans="1:12" ht="24.75" x14ac:dyDescent="0.25">
      <c r="A865" s="4" t="s">
        <v>6167</v>
      </c>
      <c r="B865" s="2" t="s">
        <v>5199</v>
      </c>
      <c r="C865" s="3">
        <v>1</v>
      </c>
      <c r="D865" s="5">
        <v>14.99</v>
      </c>
      <c r="E865" s="3" t="s">
        <v>5200</v>
      </c>
      <c r="F865" s="2" t="s">
        <v>33</v>
      </c>
      <c r="G865" s="6" t="s">
        <v>219</v>
      </c>
      <c r="H865" s="2" t="s">
        <v>1425</v>
      </c>
      <c r="I865" s="2" t="s">
        <v>1426</v>
      </c>
      <c r="J865" s="2" t="s">
        <v>19</v>
      </c>
      <c r="K865" s="2" t="s">
        <v>495</v>
      </c>
      <c r="L865" s="7" t="str">
        <f>HYPERLINK("http://slimages.macys.com/is/image/MCY/11515155 ")</f>
        <v xml:space="preserve">http://slimages.macys.com/is/image/MCY/11515155 </v>
      </c>
    </row>
    <row r="866" spans="1:12" ht="24.75" x14ac:dyDescent="0.25">
      <c r="A866" s="4" t="s">
        <v>6168</v>
      </c>
      <c r="B866" s="2" t="s">
        <v>3169</v>
      </c>
      <c r="C866" s="3">
        <v>1</v>
      </c>
      <c r="D866" s="5">
        <v>14.99</v>
      </c>
      <c r="E866" s="3" t="s">
        <v>6169</v>
      </c>
      <c r="F866" s="2" t="s">
        <v>15</v>
      </c>
      <c r="G866" s="6" t="s">
        <v>187</v>
      </c>
      <c r="H866" s="2" t="s">
        <v>1425</v>
      </c>
      <c r="I866" s="2" t="s">
        <v>1426</v>
      </c>
      <c r="J866" s="2" t="s">
        <v>19</v>
      </c>
      <c r="K866" s="2" t="s">
        <v>495</v>
      </c>
      <c r="L866" s="7" t="str">
        <f>HYPERLINK("http://slimages.macys.com/is/image/MCY/11634132 ")</f>
        <v xml:space="preserve">http://slimages.macys.com/is/image/MCY/11634132 </v>
      </c>
    </row>
    <row r="867" spans="1:12" ht="24.75" x14ac:dyDescent="0.25">
      <c r="A867" s="4" t="s">
        <v>1953</v>
      </c>
      <c r="B867" s="2" t="s">
        <v>1954</v>
      </c>
      <c r="C867" s="3">
        <v>1</v>
      </c>
      <c r="D867" s="5">
        <v>18.38</v>
      </c>
      <c r="E867" s="3" t="s">
        <v>1955</v>
      </c>
      <c r="F867" s="2" t="s">
        <v>676</v>
      </c>
      <c r="G867" s="6" t="s">
        <v>156</v>
      </c>
      <c r="H867" s="2" t="s">
        <v>194</v>
      </c>
      <c r="I867" s="2" t="s">
        <v>195</v>
      </c>
      <c r="J867" s="2" t="s">
        <v>19</v>
      </c>
      <c r="K867" s="2" t="s">
        <v>1108</v>
      </c>
      <c r="L867" s="7" t="str">
        <f>HYPERLINK("http://slimages.macys.com/is/image/MCY/13036276 ")</f>
        <v xml:space="preserve">http://slimages.macys.com/is/image/MCY/13036276 </v>
      </c>
    </row>
    <row r="868" spans="1:12" ht="24.75" x14ac:dyDescent="0.25">
      <c r="A868" s="4" t="s">
        <v>6170</v>
      </c>
      <c r="B868" s="2" t="s">
        <v>1921</v>
      </c>
      <c r="C868" s="3">
        <v>1</v>
      </c>
      <c r="D868" s="5">
        <v>14.99</v>
      </c>
      <c r="E868" s="3" t="s">
        <v>5208</v>
      </c>
      <c r="F868" s="2" t="s">
        <v>111</v>
      </c>
      <c r="G868" s="6" t="s">
        <v>154</v>
      </c>
      <c r="H868" s="2" t="s">
        <v>194</v>
      </c>
      <c r="I868" s="2" t="s">
        <v>1922</v>
      </c>
      <c r="J868" s="2" t="s">
        <v>19</v>
      </c>
      <c r="K868" s="2" t="s">
        <v>1108</v>
      </c>
      <c r="L868" s="7" t="str">
        <f>HYPERLINK("http://slimages.macys.com/is/image/MCY/11147951 ")</f>
        <v xml:space="preserve">http://slimages.macys.com/is/image/MCY/11147951 </v>
      </c>
    </row>
    <row r="869" spans="1:12" ht="24.75" x14ac:dyDescent="0.25">
      <c r="A869" s="4" t="s">
        <v>6171</v>
      </c>
      <c r="B869" s="2" t="s">
        <v>3026</v>
      </c>
      <c r="C869" s="3">
        <v>1</v>
      </c>
      <c r="D869" s="5">
        <v>21.99</v>
      </c>
      <c r="E869" s="3" t="s">
        <v>6172</v>
      </c>
      <c r="F869" s="2" t="s">
        <v>331</v>
      </c>
      <c r="G869" s="6" t="s">
        <v>200</v>
      </c>
      <c r="H869" s="2" t="s">
        <v>284</v>
      </c>
      <c r="I869" s="2" t="s">
        <v>285</v>
      </c>
      <c r="J869" s="2"/>
      <c r="K869" s="2"/>
      <c r="L869" s="7" t="str">
        <f>HYPERLINK("http://slimages.macys.com/is/image/MCY/11640364 ")</f>
        <v xml:space="preserve">http://slimages.macys.com/is/image/MCY/11640364 </v>
      </c>
    </row>
    <row r="870" spans="1:12" ht="24.75" x14ac:dyDescent="0.25">
      <c r="A870" s="4" t="s">
        <v>6173</v>
      </c>
      <c r="B870" s="2" t="s">
        <v>1970</v>
      </c>
      <c r="C870" s="3">
        <v>1</v>
      </c>
      <c r="D870" s="5">
        <v>14.99</v>
      </c>
      <c r="E870" s="3" t="s">
        <v>1971</v>
      </c>
      <c r="F870" s="2" t="s">
        <v>1945</v>
      </c>
      <c r="G870" s="6" t="s">
        <v>181</v>
      </c>
      <c r="H870" s="2" t="s">
        <v>1522</v>
      </c>
      <c r="I870" s="2" t="s">
        <v>1469</v>
      </c>
      <c r="J870" s="2" t="s">
        <v>19</v>
      </c>
      <c r="K870" s="2" t="s">
        <v>353</v>
      </c>
      <c r="L870" s="7" t="str">
        <f>HYPERLINK("http://slimages.macys.com/is/image/MCY/13741861 ")</f>
        <v xml:space="preserve">http://slimages.macys.com/is/image/MCY/13741861 </v>
      </c>
    </row>
    <row r="871" spans="1:12" ht="24.75" x14ac:dyDescent="0.25">
      <c r="A871" s="4" t="s">
        <v>5213</v>
      </c>
      <c r="B871" s="2" t="s">
        <v>3181</v>
      </c>
      <c r="C871" s="3">
        <v>1</v>
      </c>
      <c r="D871" s="5">
        <v>14.99</v>
      </c>
      <c r="E871" s="3" t="s">
        <v>3182</v>
      </c>
      <c r="F871" s="2" t="s">
        <v>74</v>
      </c>
      <c r="G871" s="6" t="s">
        <v>219</v>
      </c>
      <c r="H871" s="2" t="s">
        <v>1425</v>
      </c>
      <c r="I871" s="2" t="s">
        <v>1469</v>
      </c>
      <c r="J871" s="2" t="s">
        <v>19</v>
      </c>
      <c r="K871" s="2" t="s">
        <v>353</v>
      </c>
      <c r="L871" s="7" t="str">
        <f>HYPERLINK("http://slimages.macys.com/is/image/MCY/10743852 ")</f>
        <v xml:space="preserve">http://slimages.macys.com/is/image/MCY/10743852 </v>
      </c>
    </row>
    <row r="872" spans="1:12" ht="24.75" x14ac:dyDescent="0.25">
      <c r="A872" s="4" t="s">
        <v>6174</v>
      </c>
      <c r="B872" s="2" t="s">
        <v>3181</v>
      </c>
      <c r="C872" s="3">
        <v>2</v>
      </c>
      <c r="D872" s="5">
        <v>14.99</v>
      </c>
      <c r="E872" s="3" t="s">
        <v>3182</v>
      </c>
      <c r="F872" s="2" t="s">
        <v>74</v>
      </c>
      <c r="G872" s="6"/>
      <c r="H872" s="2" t="s">
        <v>1425</v>
      </c>
      <c r="I872" s="2" t="s">
        <v>1469</v>
      </c>
      <c r="J872" s="2" t="s">
        <v>19</v>
      </c>
      <c r="K872" s="2" t="s">
        <v>353</v>
      </c>
      <c r="L872" s="7" t="str">
        <f>HYPERLINK("http://slimages.macys.com/is/image/MCY/10743852 ")</f>
        <v xml:space="preserve">http://slimages.macys.com/is/image/MCY/10743852 </v>
      </c>
    </row>
    <row r="873" spans="1:12" ht="24.75" x14ac:dyDescent="0.25">
      <c r="A873" s="4" t="s">
        <v>1984</v>
      </c>
      <c r="B873" s="2" t="s">
        <v>1973</v>
      </c>
      <c r="C873" s="3">
        <v>1</v>
      </c>
      <c r="D873" s="5">
        <v>16.989999999999998</v>
      </c>
      <c r="E873" s="3" t="s">
        <v>1974</v>
      </c>
      <c r="F873" s="2" t="s">
        <v>15</v>
      </c>
      <c r="G873" s="6" t="s">
        <v>245</v>
      </c>
      <c r="H873" s="2" t="s">
        <v>1473</v>
      </c>
      <c r="I873" s="2" t="s">
        <v>1864</v>
      </c>
      <c r="J873" s="2" t="s">
        <v>19</v>
      </c>
      <c r="K873" s="2" t="s">
        <v>648</v>
      </c>
      <c r="L873" s="7" t="str">
        <f>HYPERLINK("http://slimages.macys.com/is/image/MCY/11634794 ")</f>
        <v xml:space="preserve">http://slimages.macys.com/is/image/MCY/11634794 </v>
      </c>
    </row>
    <row r="874" spans="1:12" ht="24.75" x14ac:dyDescent="0.25">
      <c r="A874" s="4" t="s">
        <v>3195</v>
      </c>
      <c r="B874" s="2" t="s">
        <v>1973</v>
      </c>
      <c r="C874" s="3">
        <v>1</v>
      </c>
      <c r="D874" s="5">
        <v>16.989999999999998</v>
      </c>
      <c r="E874" s="3" t="s">
        <v>1974</v>
      </c>
      <c r="F874" s="2" t="s">
        <v>74</v>
      </c>
      <c r="G874" s="6" t="s">
        <v>181</v>
      </c>
      <c r="H874" s="2" t="s">
        <v>1473</v>
      </c>
      <c r="I874" s="2" t="s">
        <v>1864</v>
      </c>
      <c r="J874" s="2" t="s">
        <v>19</v>
      </c>
      <c r="K874" s="2" t="s">
        <v>648</v>
      </c>
      <c r="L874" s="7" t="str">
        <f>HYPERLINK("http://slimages.macys.com/is/image/MCY/11634794 ")</f>
        <v xml:space="preserve">http://slimages.macys.com/is/image/MCY/11634794 </v>
      </c>
    </row>
    <row r="875" spans="1:12" ht="24.75" x14ac:dyDescent="0.25">
      <c r="A875" s="4" t="s">
        <v>1983</v>
      </c>
      <c r="B875" s="2" t="s">
        <v>1973</v>
      </c>
      <c r="C875" s="3">
        <v>1</v>
      </c>
      <c r="D875" s="5">
        <v>16.989999999999998</v>
      </c>
      <c r="E875" s="3" t="s">
        <v>1974</v>
      </c>
      <c r="F875" s="2" t="s">
        <v>998</v>
      </c>
      <c r="G875" s="6" t="s">
        <v>156</v>
      </c>
      <c r="H875" s="2" t="s">
        <v>1473</v>
      </c>
      <c r="I875" s="2" t="s">
        <v>1864</v>
      </c>
      <c r="J875" s="2" t="s">
        <v>19</v>
      </c>
      <c r="K875" s="2" t="s">
        <v>648</v>
      </c>
      <c r="L875" s="7" t="str">
        <f>HYPERLINK("http://slimages.macys.com/is/image/MCY/11634794 ")</f>
        <v xml:space="preserve">http://slimages.macys.com/is/image/MCY/11634794 </v>
      </c>
    </row>
    <row r="876" spans="1:12" ht="24.75" x14ac:dyDescent="0.25">
      <c r="A876" s="4" t="s">
        <v>3196</v>
      </c>
      <c r="B876" s="2" t="s">
        <v>1973</v>
      </c>
      <c r="C876" s="3">
        <v>2</v>
      </c>
      <c r="D876" s="5">
        <v>16.989999999999998</v>
      </c>
      <c r="E876" s="3" t="s">
        <v>1974</v>
      </c>
      <c r="F876" s="2" t="s">
        <v>15</v>
      </c>
      <c r="G876" s="6" t="s">
        <v>181</v>
      </c>
      <c r="H876" s="2" t="s">
        <v>1473</v>
      </c>
      <c r="I876" s="2" t="s">
        <v>1864</v>
      </c>
      <c r="J876" s="2" t="s">
        <v>19</v>
      </c>
      <c r="K876" s="2" t="s">
        <v>648</v>
      </c>
      <c r="L876" s="7" t="str">
        <f>HYPERLINK("http://slimages.macys.com/is/image/MCY/11634794 ")</f>
        <v xml:space="preserve">http://slimages.macys.com/is/image/MCY/11634794 </v>
      </c>
    </row>
    <row r="877" spans="1:12" ht="24.75" x14ac:dyDescent="0.25">
      <c r="A877" s="4" t="s">
        <v>6175</v>
      </c>
      <c r="B877" s="2" t="s">
        <v>1973</v>
      </c>
      <c r="C877" s="3">
        <v>1</v>
      </c>
      <c r="D877" s="5">
        <v>16.989999999999998</v>
      </c>
      <c r="E877" s="3" t="s">
        <v>1976</v>
      </c>
      <c r="F877" s="2" t="s">
        <v>70</v>
      </c>
      <c r="G877" s="6" t="s">
        <v>187</v>
      </c>
      <c r="H877" s="2" t="s">
        <v>1425</v>
      </c>
      <c r="I877" s="2" t="s">
        <v>1864</v>
      </c>
      <c r="J877" s="2" t="s">
        <v>19</v>
      </c>
      <c r="K877" s="2" t="s">
        <v>648</v>
      </c>
      <c r="L877" s="7" t="str">
        <f>HYPERLINK("http://slimages.macys.com/is/image/MCY/11634785 ")</f>
        <v xml:space="preserve">http://slimages.macys.com/is/image/MCY/11634785 </v>
      </c>
    </row>
    <row r="878" spans="1:12" ht="24.75" x14ac:dyDescent="0.25">
      <c r="A878" s="4" t="s">
        <v>6176</v>
      </c>
      <c r="B878" s="2" t="s">
        <v>1973</v>
      </c>
      <c r="C878" s="3">
        <v>1</v>
      </c>
      <c r="D878" s="5">
        <v>16.989999999999998</v>
      </c>
      <c r="E878" s="3" t="s">
        <v>1974</v>
      </c>
      <c r="F878" s="2" t="s">
        <v>417</v>
      </c>
      <c r="G878" s="6" t="s">
        <v>245</v>
      </c>
      <c r="H878" s="2" t="s">
        <v>1473</v>
      </c>
      <c r="I878" s="2" t="s">
        <v>1864</v>
      </c>
      <c r="J878" s="2" t="s">
        <v>19</v>
      </c>
      <c r="K878" s="2" t="s">
        <v>648</v>
      </c>
      <c r="L878" s="7" t="str">
        <f>HYPERLINK("http://slimages.macys.com/is/image/MCY/11634794 ")</f>
        <v xml:space="preserve">http://slimages.macys.com/is/image/MCY/11634794 </v>
      </c>
    </row>
    <row r="879" spans="1:12" ht="24.75" x14ac:dyDescent="0.25">
      <c r="A879" s="4" t="s">
        <v>6177</v>
      </c>
      <c r="B879" s="2" t="s">
        <v>1973</v>
      </c>
      <c r="C879" s="3">
        <v>1</v>
      </c>
      <c r="D879" s="5">
        <v>16.989999999999998</v>
      </c>
      <c r="E879" s="3" t="s">
        <v>1976</v>
      </c>
      <c r="F879" s="2" t="s">
        <v>74</v>
      </c>
      <c r="G879" s="6"/>
      <c r="H879" s="2" t="s">
        <v>1425</v>
      </c>
      <c r="I879" s="2" t="s">
        <v>1864</v>
      </c>
      <c r="J879" s="2" t="s">
        <v>19</v>
      </c>
      <c r="K879" s="2" t="s">
        <v>648</v>
      </c>
      <c r="L879" s="7" t="str">
        <f>HYPERLINK("http://slimages.macys.com/is/image/MCY/11634785 ")</f>
        <v xml:space="preserve">http://slimages.macys.com/is/image/MCY/11634785 </v>
      </c>
    </row>
    <row r="880" spans="1:12" ht="24.75" x14ac:dyDescent="0.25">
      <c r="A880" s="4" t="s">
        <v>3188</v>
      </c>
      <c r="B880" s="2" t="s">
        <v>1973</v>
      </c>
      <c r="C880" s="3">
        <v>1</v>
      </c>
      <c r="D880" s="5">
        <v>16.989999999999998</v>
      </c>
      <c r="E880" s="3" t="s">
        <v>1976</v>
      </c>
      <c r="F880" s="2" t="s">
        <v>70</v>
      </c>
      <c r="G880" s="6"/>
      <c r="H880" s="2" t="s">
        <v>1425</v>
      </c>
      <c r="I880" s="2" t="s">
        <v>1864</v>
      </c>
      <c r="J880" s="2" t="s">
        <v>19</v>
      </c>
      <c r="K880" s="2" t="s">
        <v>648</v>
      </c>
      <c r="L880" s="7" t="str">
        <f>HYPERLINK("http://slimages.macys.com/is/image/MCY/11634785 ")</f>
        <v xml:space="preserve">http://slimages.macys.com/is/image/MCY/11634785 </v>
      </c>
    </row>
    <row r="881" spans="1:12" ht="24.75" x14ac:dyDescent="0.25">
      <c r="A881" s="4" t="s">
        <v>4231</v>
      </c>
      <c r="B881" s="2" t="s">
        <v>1988</v>
      </c>
      <c r="C881" s="3">
        <v>1</v>
      </c>
      <c r="D881" s="5">
        <v>14.99</v>
      </c>
      <c r="E881" s="3" t="s">
        <v>1991</v>
      </c>
      <c r="F881" s="2" t="s">
        <v>33</v>
      </c>
      <c r="G881" s="6" t="s">
        <v>156</v>
      </c>
      <c r="H881" s="2" t="s">
        <v>1473</v>
      </c>
      <c r="I881" s="2" t="s">
        <v>1426</v>
      </c>
      <c r="J881" s="2" t="s">
        <v>19</v>
      </c>
      <c r="K881" s="2" t="s">
        <v>648</v>
      </c>
      <c r="L881" s="7" t="str">
        <f>HYPERLINK("http://slimages.macys.com/is/image/MCY/12767912 ")</f>
        <v xml:space="preserve">http://slimages.macys.com/is/image/MCY/12767912 </v>
      </c>
    </row>
    <row r="882" spans="1:12" ht="24.75" x14ac:dyDescent="0.25">
      <c r="A882" s="4" t="s">
        <v>3200</v>
      </c>
      <c r="B882" s="2" t="s">
        <v>1988</v>
      </c>
      <c r="C882" s="3">
        <v>2</v>
      </c>
      <c r="D882" s="5">
        <v>14.99</v>
      </c>
      <c r="E882" s="3" t="s">
        <v>1991</v>
      </c>
      <c r="F882" s="2" t="s">
        <v>26</v>
      </c>
      <c r="G882" s="6" t="s">
        <v>181</v>
      </c>
      <c r="H882" s="2" t="s">
        <v>1473</v>
      </c>
      <c r="I882" s="2" t="s">
        <v>1426</v>
      </c>
      <c r="J882" s="2" t="s">
        <v>19</v>
      </c>
      <c r="K882" s="2" t="s">
        <v>648</v>
      </c>
      <c r="L882" s="7" t="str">
        <f>HYPERLINK("http://slimages.macys.com/is/image/MCY/12767912 ")</f>
        <v xml:space="preserve">http://slimages.macys.com/is/image/MCY/12767912 </v>
      </c>
    </row>
    <row r="883" spans="1:12" ht="24.75" x14ac:dyDescent="0.25">
      <c r="A883" s="4" t="s">
        <v>6178</v>
      </c>
      <c r="B883" s="2" t="s">
        <v>1988</v>
      </c>
      <c r="C883" s="3">
        <v>1</v>
      </c>
      <c r="D883" s="5">
        <v>14.99</v>
      </c>
      <c r="E883" s="3" t="s">
        <v>1991</v>
      </c>
      <c r="F883" s="2" t="s">
        <v>413</v>
      </c>
      <c r="G883" s="6" t="s">
        <v>154</v>
      </c>
      <c r="H883" s="2" t="s">
        <v>1473</v>
      </c>
      <c r="I883" s="2" t="s">
        <v>1426</v>
      </c>
      <c r="J883" s="2" t="s">
        <v>19</v>
      </c>
      <c r="K883" s="2" t="s">
        <v>648</v>
      </c>
      <c r="L883" s="7" t="str">
        <f>HYPERLINK("http://slimages.macys.com/is/image/MCY/12767912 ")</f>
        <v xml:space="preserve">http://slimages.macys.com/is/image/MCY/12767912 </v>
      </c>
    </row>
    <row r="884" spans="1:12" ht="24.75" x14ac:dyDescent="0.25">
      <c r="A884" s="4" t="s">
        <v>6179</v>
      </c>
      <c r="B884" s="2" t="s">
        <v>1988</v>
      </c>
      <c r="C884" s="3">
        <v>1</v>
      </c>
      <c r="D884" s="5">
        <v>14.99</v>
      </c>
      <c r="E884" s="3" t="s">
        <v>1989</v>
      </c>
      <c r="F884" s="2" t="s">
        <v>70</v>
      </c>
      <c r="G884" s="6" t="s">
        <v>187</v>
      </c>
      <c r="H884" s="2" t="s">
        <v>1425</v>
      </c>
      <c r="I884" s="2" t="s">
        <v>1426</v>
      </c>
      <c r="J884" s="2" t="s">
        <v>19</v>
      </c>
      <c r="K884" s="2" t="s">
        <v>648</v>
      </c>
      <c r="L884" s="7" t="str">
        <f>HYPERLINK("http://slimages.macys.com/is/image/MCY/11678994 ")</f>
        <v xml:space="preserve">http://slimages.macys.com/is/image/MCY/11678994 </v>
      </c>
    </row>
    <row r="885" spans="1:12" ht="24.75" x14ac:dyDescent="0.25">
      <c r="A885" s="4" t="s">
        <v>3208</v>
      </c>
      <c r="B885" s="2" t="s">
        <v>1988</v>
      </c>
      <c r="C885" s="3">
        <v>5</v>
      </c>
      <c r="D885" s="5">
        <v>14.99</v>
      </c>
      <c r="E885" s="3" t="s">
        <v>1989</v>
      </c>
      <c r="F885" s="2" t="s">
        <v>15</v>
      </c>
      <c r="G885" s="6"/>
      <c r="H885" s="2" t="s">
        <v>1425</v>
      </c>
      <c r="I885" s="2" t="s">
        <v>1426</v>
      </c>
      <c r="J885" s="2" t="s">
        <v>19</v>
      </c>
      <c r="K885" s="2" t="s">
        <v>648</v>
      </c>
      <c r="L885" s="7" t="str">
        <f>HYPERLINK("http://slimages.macys.com/is/image/MCY/11678994 ")</f>
        <v xml:space="preserve">http://slimages.macys.com/is/image/MCY/11678994 </v>
      </c>
    </row>
    <row r="886" spans="1:12" ht="24.75" x14ac:dyDescent="0.25">
      <c r="A886" s="4" t="s">
        <v>6180</v>
      </c>
      <c r="B886" s="2" t="s">
        <v>1988</v>
      </c>
      <c r="C886" s="3">
        <v>1</v>
      </c>
      <c r="D886" s="5">
        <v>14.99</v>
      </c>
      <c r="E886" s="3" t="s">
        <v>1991</v>
      </c>
      <c r="F886" s="2" t="s">
        <v>70</v>
      </c>
      <c r="G886" s="6" t="s">
        <v>181</v>
      </c>
      <c r="H886" s="2" t="s">
        <v>1473</v>
      </c>
      <c r="I886" s="2" t="s">
        <v>1426</v>
      </c>
      <c r="J886" s="2" t="s">
        <v>19</v>
      </c>
      <c r="K886" s="2" t="s">
        <v>648</v>
      </c>
      <c r="L886" s="7" t="str">
        <f>HYPERLINK("http://slimages.macys.com/is/image/MCY/11469193 ")</f>
        <v xml:space="preserve">http://slimages.macys.com/is/image/MCY/11469193 </v>
      </c>
    </row>
    <row r="887" spans="1:12" ht="24.75" x14ac:dyDescent="0.25">
      <c r="A887" s="4" t="s">
        <v>3201</v>
      </c>
      <c r="B887" s="2" t="s">
        <v>1988</v>
      </c>
      <c r="C887" s="3">
        <v>1</v>
      </c>
      <c r="D887" s="5">
        <v>14.99</v>
      </c>
      <c r="E887" s="3" t="s">
        <v>1991</v>
      </c>
      <c r="F887" s="2" t="s">
        <v>15</v>
      </c>
      <c r="G887" s="6" t="s">
        <v>234</v>
      </c>
      <c r="H887" s="2" t="s">
        <v>1473</v>
      </c>
      <c r="I887" s="2" t="s">
        <v>1426</v>
      </c>
      <c r="J887" s="2" t="s">
        <v>19</v>
      </c>
      <c r="K887" s="2" t="s">
        <v>648</v>
      </c>
      <c r="L887" s="7" t="str">
        <f>HYPERLINK("http://slimages.macys.com/is/image/MCY/12767912 ")</f>
        <v xml:space="preserve">http://slimages.macys.com/is/image/MCY/12767912 </v>
      </c>
    </row>
    <row r="888" spans="1:12" ht="24.75" x14ac:dyDescent="0.25">
      <c r="A888" s="4" t="s">
        <v>1990</v>
      </c>
      <c r="B888" s="2" t="s">
        <v>1988</v>
      </c>
      <c r="C888" s="3">
        <v>1</v>
      </c>
      <c r="D888" s="5">
        <v>14.99</v>
      </c>
      <c r="E888" s="3" t="s">
        <v>1991</v>
      </c>
      <c r="F888" s="2" t="s">
        <v>33</v>
      </c>
      <c r="G888" s="6" t="s">
        <v>154</v>
      </c>
      <c r="H888" s="2" t="s">
        <v>1473</v>
      </c>
      <c r="I888" s="2" t="s">
        <v>1426</v>
      </c>
      <c r="J888" s="2" t="s">
        <v>19</v>
      </c>
      <c r="K888" s="2" t="s">
        <v>648</v>
      </c>
      <c r="L888" s="7" t="str">
        <f>HYPERLINK("http://slimages.macys.com/is/image/MCY/12767912 ")</f>
        <v xml:space="preserve">http://slimages.macys.com/is/image/MCY/12767912 </v>
      </c>
    </row>
    <row r="889" spans="1:12" ht="24.75" x14ac:dyDescent="0.25">
      <c r="A889" s="4" t="s">
        <v>6181</v>
      </c>
      <c r="B889" s="2" t="s">
        <v>1988</v>
      </c>
      <c r="C889" s="3">
        <v>1</v>
      </c>
      <c r="D889" s="5">
        <v>14.99</v>
      </c>
      <c r="E889" s="3" t="s">
        <v>1989</v>
      </c>
      <c r="F889" s="2" t="s">
        <v>15</v>
      </c>
      <c r="G889" s="6" t="s">
        <v>187</v>
      </c>
      <c r="H889" s="2" t="s">
        <v>1425</v>
      </c>
      <c r="I889" s="2" t="s">
        <v>1426</v>
      </c>
      <c r="J889" s="2" t="s">
        <v>19</v>
      </c>
      <c r="K889" s="2" t="s">
        <v>648</v>
      </c>
      <c r="L889" s="7" t="str">
        <f>HYPERLINK("http://slimages.macys.com/is/image/MCY/11678994 ")</f>
        <v xml:space="preserve">http://slimages.macys.com/is/image/MCY/11678994 </v>
      </c>
    </row>
    <row r="890" spans="1:12" ht="24.75" x14ac:dyDescent="0.25">
      <c r="A890" s="4" t="s">
        <v>6182</v>
      </c>
      <c r="B890" s="2" t="s">
        <v>1988</v>
      </c>
      <c r="C890" s="3">
        <v>3</v>
      </c>
      <c r="D890" s="5">
        <v>14.99</v>
      </c>
      <c r="E890" s="3" t="s">
        <v>1989</v>
      </c>
      <c r="F890" s="2" t="s">
        <v>15</v>
      </c>
      <c r="G890" s="6"/>
      <c r="H890" s="2" t="s">
        <v>1425</v>
      </c>
      <c r="I890" s="2" t="s">
        <v>1426</v>
      </c>
      <c r="J890" s="2" t="s">
        <v>19</v>
      </c>
      <c r="K890" s="2" t="s">
        <v>648</v>
      </c>
      <c r="L890" s="7" t="str">
        <f>HYPERLINK("http://slimages.macys.com/is/image/MCY/11678994 ")</f>
        <v xml:space="preserve">http://slimages.macys.com/is/image/MCY/11678994 </v>
      </c>
    </row>
    <row r="891" spans="1:12" ht="24.75" x14ac:dyDescent="0.25">
      <c r="A891" s="4" t="s">
        <v>6183</v>
      </c>
      <c r="B891" s="2" t="s">
        <v>1988</v>
      </c>
      <c r="C891" s="3">
        <v>2</v>
      </c>
      <c r="D891" s="5">
        <v>14.99</v>
      </c>
      <c r="E891" s="3" t="s">
        <v>1989</v>
      </c>
      <c r="F891" s="2" t="s">
        <v>15</v>
      </c>
      <c r="G891" s="6" t="s">
        <v>219</v>
      </c>
      <c r="H891" s="2" t="s">
        <v>1425</v>
      </c>
      <c r="I891" s="2" t="s">
        <v>1426</v>
      </c>
      <c r="J891" s="2" t="s">
        <v>19</v>
      </c>
      <c r="K891" s="2" t="s">
        <v>648</v>
      </c>
      <c r="L891" s="7" t="str">
        <f>HYPERLINK("http://slimages.macys.com/is/image/MCY/11678994 ")</f>
        <v xml:space="preserve">http://slimages.macys.com/is/image/MCY/11678994 </v>
      </c>
    </row>
    <row r="892" spans="1:12" ht="24.75" x14ac:dyDescent="0.25">
      <c r="A892" s="4" t="s">
        <v>6184</v>
      </c>
      <c r="B892" s="2" t="s">
        <v>1988</v>
      </c>
      <c r="C892" s="3">
        <v>3</v>
      </c>
      <c r="D892" s="5">
        <v>14.99</v>
      </c>
      <c r="E892" s="3" t="s">
        <v>1989</v>
      </c>
      <c r="F892" s="2" t="s">
        <v>1322</v>
      </c>
      <c r="G892" s="6"/>
      <c r="H892" s="2" t="s">
        <v>1425</v>
      </c>
      <c r="I892" s="2" t="s">
        <v>1426</v>
      </c>
      <c r="J892" s="2" t="s">
        <v>19</v>
      </c>
      <c r="K892" s="2" t="s">
        <v>648</v>
      </c>
      <c r="L892" s="7" t="str">
        <f>HYPERLINK("http://slimages.macys.com/is/image/MCY/11678994 ")</f>
        <v xml:space="preserve">http://slimages.macys.com/is/image/MCY/11678994 </v>
      </c>
    </row>
    <row r="893" spans="1:12" ht="24.75" x14ac:dyDescent="0.25">
      <c r="A893" s="4" t="s">
        <v>3214</v>
      </c>
      <c r="B893" s="2" t="s">
        <v>1988</v>
      </c>
      <c r="C893" s="3">
        <v>1</v>
      </c>
      <c r="D893" s="5">
        <v>14.99</v>
      </c>
      <c r="E893" s="3" t="s">
        <v>1991</v>
      </c>
      <c r="F893" s="2" t="s">
        <v>1322</v>
      </c>
      <c r="G893" s="6" t="s">
        <v>154</v>
      </c>
      <c r="H893" s="2" t="s">
        <v>1473</v>
      </c>
      <c r="I893" s="2" t="s">
        <v>1426</v>
      </c>
      <c r="J893" s="2" t="s">
        <v>19</v>
      </c>
      <c r="K893" s="2" t="s">
        <v>648</v>
      </c>
      <c r="L893" s="7" t="str">
        <f>HYPERLINK("http://slimages.macys.com/is/image/MCY/12767912 ")</f>
        <v xml:space="preserve">http://slimages.macys.com/is/image/MCY/12767912 </v>
      </c>
    </row>
    <row r="894" spans="1:12" ht="24.75" x14ac:dyDescent="0.25">
      <c r="A894" s="4" t="s">
        <v>6185</v>
      </c>
      <c r="B894" s="2" t="s">
        <v>3026</v>
      </c>
      <c r="C894" s="3">
        <v>1</v>
      </c>
      <c r="D894" s="5">
        <v>21.99</v>
      </c>
      <c r="E894" s="3" t="s">
        <v>6186</v>
      </c>
      <c r="F894" s="2" t="s">
        <v>252</v>
      </c>
      <c r="G894" s="6"/>
      <c r="H894" s="2" t="s">
        <v>632</v>
      </c>
      <c r="I894" s="2" t="s">
        <v>285</v>
      </c>
      <c r="J894" s="2" t="s">
        <v>19</v>
      </c>
      <c r="K894" s="2" t="s">
        <v>247</v>
      </c>
      <c r="L894" s="7" t="str">
        <f>HYPERLINK("http://slimages.macys.com/is/image/MCY/3742720 ")</f>
        <v xml:space="preserve">http://slimages.macys.com/is/image/MCY/3742720 </v>
      </c>
    </row>
    <row r="895" spans="1:12" ht="24.75" x14ac:dyDescent="0.25">
      <c r="A895" s="4" t="s">
        <v>6187</v>
      </c>
      <c r="B895" s="2" t="s">
        <v>2000</v>
      </c>
      <c r="C895" s="3">
        <v>1</v>
      </c>
      <c r="D895" s="5">
        <v>21.99</v>
      </c>
      <c r="E895" s="3">
        <v>100015505</v>
      </c>
      <c r="F895" s="2" t="s">
        <v>94</v>
      </c>
      <c r="G895" s="6" t="s">
        <v>234</v>
      </c>
      <c r="H895" s="2" t="s">
        <v>284</v>
      </c>
      <c r="I895" s="2" t="s">
        <v>285</v>
      </c>
      <c r="J895" s="2" t="s">
        <v>19</v>
      </c>
      <c r="K895" s="2" t="s">
        <v>247</v>
      </c>
      <c r="L895" s="7" t="str">
        <f>HYPERLINK("http://slimages.macys.com/is/image/MCY/16500547 ")</f>
        <v xml:space="preserve">http://slimages.macys.com/is/image/MCY/16500547 </v>
      </c>
    </row>
    <row r="896" spans="1:12" ht="24.75" x14ac:dyDescent="0.25">
      <c r="A896" s="4" t="s">
        <v>3221</v>
      </c>
      <c r="B896" s="2" t="s">
        <v>3216</v>
      </c>
      <c r="C896" s="3">
        <v>1</v>
      </c>
      <c r="D896" s="5">
        <v>21.99</v>
      </c>
      <c r="E896" s="3" t="s">
        <v>3219</v>
      </c>
      <c r="F896" s="2" t="s">
        <v>566</v>
      </c>
      <c r="G896" s="6" t="s">
        <v>181</v>
      </c>
      <c r="H896" s="2" t="s">
        <v>284</v>
      </c>
      <c r="I896" s="2" t="s">
        <v>285</v>
      </c>
      <c r="J896" s="2" t="s">
        <v>19</v>
      </c>
      <c r="K896" s="2" t="s">
        <v>247</v>
      </c>
      <c r="L896" s="7" t="str">
        <f>HYPERLINK("http://slimages.macys.com/is/image/MCY/9462994 ")</f>
        <v xml:space="preserve">http://slimages.macys.com/is/image/MCY/9462994 </v>
      </c>
    </row>
    <row r="897" spans="1:12" ht="24.75" x14ac:dyDescent="0.25">
      <c r="A897" s="4" t="s">
        <v>6188</v>
      </c>
      <c r="B897" s="2" t="s">
        <v>3216</v>
      </c>
      <c r="C897" s="3">
        <v>1</v>
      </c>
      <c r="D897" s="5">
        <v>21.99</v>
      </c>
      <c r="E897" s="3" t="s">
        <v>4243</v>
      </c>
      <c r="F897" s="2" t="s">
        <v>464</v>
      </c>
      <c r="G897" s="6" t="s">
        <v>154</v>
      </c>
      <c r="H897" s="2" t="s">
        <v>284</v>
      </c>
      <c r="I897" s="2" t="s">
        <v>285</v>
      </c>
      <c r="J897" s="2"/>
      <c r="K897" s="2"/>
      <c r="L897" s="7" t="str">
        <f>HYPERLINK("http://slimages.macys.com/is/image/MCY/9462994 ")</f>
        <v xml:space="preserve">http://slimages.macys.com/is/image/MCY/9462994 </v>
      </c>
    </row>
    <row r="898" spans="1:12" ht="24.75" x14ac:dyDescent="0.25">
      <c r="A898" s="4" t="s">
        <v>6189</v>
      </c>
      <c r="B898" s="2" t="s">
        <v>3216</v>
      </c>
      <c r="C898" s="3">
        <v>1</v>
      </c>
      <c r="D898" s="5">
        <v>21.99</v>
      </c>
      <c r="E898" s="3" t="s">
        <v>6190</v>
      </c>
      <c r="F898" s="2" t="s">
        <v>1584</v>
      </c>
      <c r="G898" s="6" t="s">
        <v>154</v>
      </c>
      <c r="H898" s="2" t="s">
        <v>284</v>
      </c>
      <c r="I898" s="2" t="s">
        <v>285</v>
      </c>
      <c r="J898" s="2" t="s">
        <v>19</v>
      </c>
      <c r="K898" s="2" t="s">
        <v>247</v>
      </c>
      <c r="L898" s="7" t="str">
        <f>HYPERLINK("http://slimages.macys.com/is/image/MCY/9462994 ")</f>
        <v xml:space="preserve">http://slimages.macys.com/is/image/MCY/9462994 </v>
      </c>
    </row>
    <row r="899" spans="1:12" ht="24.75" x14ac:dyDescent="0.25">
      <c r="A899" s="4" t="s">
        <v>6191</v>
      </c>
      <c r="B899" s="2" t="s">
        <v>2002</v>
      </c>
      <c r="C899" s="3">
        <v>1</v>
      </c>
      <c r="D899" s="5">
        <v>12.99</v>
      </c>
      <c r="E899" s="3" t="s">
        <v>6192</v>
      </c>
      <c r="F899" s="2" t="s">
        <v>33</v>
      </c>
      <c r="G899" s="6" t="s">
        <v>156</v>
      </c>
      <c r="H899" s="2" t="s">
        <v>194</v>
      </c>
      <c r="I899" s="2" t="s">
        <v>195</v>
      </c>
      <c r="J899" s="2" t="s">
        <v>19</v>
      </c>
      <c r="K899" s="2" t="s">
        <v>648</v>
      </c>
      <c r="L899" s="7" t="str">
        <f>HYPERLINK("http://slimages.macys.com/is/image/MCY/11935294 ")</f>
        <v xml:space="preserve">http://slimages.macys.com/is/image/MCY/11935294 </v>
      </c>
    </row>
    <row r="900" spans="1:12" ht="24.75" x14ac:dyDescent="0.25">
      <c r="A900" s="4" t="s">
        <v>4253</v>
      </c>
      <c r="B900" s="2" t="s">
        <v>2005</v>
      </c>
      <c r="C900" s="3">
        <v>1</v>
      </c>
      <c r="D900" s="5">
        <v>14.99</v>
      </c>
      <c r="E900" s="3" t="s">
        <v>2006</v>
      </c>
      <c r="F900" s="2" t="s">
        <v>15</v>
      </c>
      <c r="G900" s="6" t="s">
        <v>234</v>
      </c>
      <c r="H900" s="2" t="s">
        <v>1522</v>
      </c>
      <c r="I900" s="2" t="s">
        <v>1469</v>
      </c>
      <c r="J900" s="2" t="s">
        <v>19</v>
      </c>
      <c r="K900" s="2" t="s">
        <v>353</v>
      </c>
      <c r="L900" s="7" t="str">
        <f t="shared" ref="L900:L905" si="10">HYPERLINK("http://slimages.macys.com/is/image/MCY/10743611 ")</f>
        <v xml:space="preserve">http://slimages.macys.com/is/image/MCY/10743611 </v>
      </c>
    </row>
    <row r="901" spans="1:12" ht="24.75" x14ac:dyDescent="0.25">
      <c r="A901" s="4" t="s">
        <v>4254</v>
      </c>
      <c r="B901" s="2" t="s">
        <v>2005</v>
      </c>
      <c r="C901" s="3">
        <v>3</v>
      </c>
      <c r="D901" s="5">
        <v>14.99</v>
      </c>
      <c r="E901" s="3" t="s">
        <v>2006</v>
      </c>
      <c r="F901" s="2" t="s">
        <v>38</v>
      </c>
      <c r="G901" s="6" t="s">
        <v>234</v>
      </c>
      <c r="H901" s="2" t="s">
        <v>1522</v>
      </c>
      <c r="I901" s="2" t="s">
        <v>1469</v>
      </c>
      <c r="J901" s="2" t="s">
        <v>19</v>
      </c>
      <c r="K901" s="2" t="s">
        <v>353</v>
      </c>
      <c r="L901" s="7" t="str">
        <f t="shared" si="10"/>
        <v xml:space="preserve">http://slimages.macys.com/is/image/MCY/10743611 </v>
      </c>
    </row>
    <row r="902" spans="1:12" ht="24.75" x14ac:dyDescent="0.25">
      <c r="A902" s="4" t="s">
        <v>5229</v>
      </c>
      <c r="B902" s="2" t="s">
        <v>2005</v>
      </c>
      <c r="C902" s="3">
        <v>1</v>
      </c>
      <c r="D902" s="5">
        <v>14.99</v>
      </c>
      <c r="E902" s="3" t="s">
        <v>2006</v>
      </c>
      <c r="F902" s="2" t="s">
        <v>74</v>
      </c>
      <c r="G902" s="6" t="s">
        <v>200</v>
      </c>
      <c r="H902" s="2" t="s">
        <v>1522</v>
      </c>
      <c r="I902" s="2" t="s">
        <v>1469</v>
      </c>
      <c r="J902" s="2" t="s">
        <v>19</v>
      </c>
      <c r="K902" s="2" t="s">
        <v>353</v>
      </c>
      <c r="L902" s="7" t="str">
        <f t="shared" si="10"/>
        <v xml:space="preserve">http://slimages.macys.com/is/image/MCY/10743611 </v>
      </c>
    </row>
    <row r="903" spans="1:12" ht="24.75" x14ac:dyDescent="0.25">
      <c r="A903" s="4" t="s">
        <v>2004</v>
      </c>
      <c r="B903" s="2" t="s">
        <v>2005</v>
      </c>
      <c r="C903" s="3">
        <v>1</v>
      </c>
      <c r="D903" s="5">
        <v>14.99</v>
      </c>
      <c r="E903" s="3" t="s">
        <v>2006</v>
      </c>
      <c r="F903" s="2" t="s">
        <v>1945</v>
      </c>
      <c r="G903" s="6" t="s">
        <v>156</v>
      </c>
      <c r="H903" s="2" t="s">
        <v>1522</v>
      </c>
      <c r="I903" s="2" t="s">
        <v>1469</v>
      </c>
      <c r="J903" s="2" t="s">
        <v>19</v>
      </c>
      <c r="K903" s="2" t="s">
        <v>353</v>
      </c>
      <c r="L903" s="7" t="str">
        <f t="shared" si="10"/>
        <v xml:space="preserve">http://slimages.macys.com/is/image/MCY/10743611 </v>
      </c>
    </row>
    <row r="904" spans="1:12" ht="24.75" x14ac:dyDescent="0.25">
      <c r="A904" s="4" t="s">
        <v>6193</v>
      </c>
      <c r="B904" s="2" t="s">
        <v>2005</v>
      </c>
      <c r="C904" s="3">
        <v>2</v>
      </c>
      <c r="D904" s="5">
        <v>14.99</v>
      </c>
      <c r="E904" s="3" t="s">
        <v>2006</v>
      </c>
      <c r="F904" s="2" t="s">
        <v>26</v>
      </c>
      <c r="G904" s="6" t="s">
        <v>181</v>
      </c>
      <c r="H904" s="2" t="s">
        <v>1522</v>
      </c>
      <c r="I904" s="2" t="s">
        <v>1469</v>
      </c>
      <c r="J904" s="2" t="s">
        <v>19</v>
      </c>
      <c r="K904" s="2" t="s">
        <v>353</v>
      </c>
      <c r="L904" s="7" t="str">
        <f t="shared" si="10"/>
        <v xml:space="preserve">http://slimages.macys.com/is/image/MCY/10743611 </v>
      </c>
    </row>
    <row r="905" spans="1:12" ht="24.75" x14ac:dyDescent="0.25">
      <c r="A905" s="4" t="s">
        <v>6194</v>
      </c>
      <c r="B905" s="2" t="s">
        <v>2005</v>
      </c>
      <c r="C905" s="3">
        <v>1</v>
      </c>
      <c r="D905" s="5">
        <v>14.99</v>
      </c>
      <c r="E905" s="3" t="s">
        <v>2006</v>
      </c>
      <c r="F905" s="2" t="s">
        <v>38</v>
      </c>
      <c r="G905" s="6" t="s">
        <v>181</v>
      </c>
      <c r="H905" s="2" t="s">
        <v>1522</v>
      </c>
      <c r="I905" s="2" t="s">
        <v>1469</v>
      </c>
      <c r="J905" s="2" t="s">
        <v>19</v>
      </c>
      <c r="K905" s="2" t="s">
        <v>353</v>
      </c>
      <c r="L905" s="7" t="str">
        <f t="shared" si="10"/>
        <v xml:space="preserve">http://slimages.macys.com/is/image/MCY/10743611 </v>
      </c>
    </row>
    <row r="906" spans="1:12" ht="24.75" x14ac:dyDescent="0.25">
      <c r="A906" s="4" t="s">
        <v>6195</v>
      </c>
      <c r="B906" s="2" t="s">
        <v>6196</v>
      </c>
      <c r="C906" s="3">
        <v>2</v>
      </c>
      <c r="D906" s="5">
        <v>14.99</v>
      </c>
      <c r="E906" s="3" t="s">
        <v>6197</v>
      </c>
      <c r="F906" s="2" t="s">
        <v>64</v>
      </c>
      <c r="G906" s="6"/>
      <c r="H906" s="2" t="s">
        <v>1425</v>
      </c>
      <c r="I906" s="2" t="s">
        <v>1469</v>
      </c>
      <c r="J906" s="2" t="s">
        <v>19</v>
      </c>
      <c r="K906" s="2" t="s">
        <v>353</v>
      </c>
      <c r="L906" s="7" t="str">
        <f t="shared" ref="L906:L915" si="11">HYPERLINK("http://slimages.macys.com/is/image/MCY/10743620 ")</f>
        <v xml:space="preserve">http://slimages.macys.com/is/image/MCY/10743620 </v>
      </c>
    </row>
    <row r="907" spans="1:12" ht="24.75" x14ac:dyDescent="0.25">
      <c r="A907" s="4" t="s">
        <v>6198</v>
      </c>
      <c r="B907" s="2" t="s">
        <v>6196</v>
      </c>
      <c r="C907" s="3">
        <v>3</v>
      </c>
      <c r="D907" s="5">
        <v>14.99</v>
      </c>
      <c r="E907" s="3" t="s">
        <v>6197</v>
      </c>
      <c r="F907" s="2" t="s">
        <v>74</v>
      </c>
      <c r="G907" s="6" t="s">
        <v>219</v>
      </c>
      <c r="H907" s="2" t="s">
        <v>1425</v>
      </c>
      <c r="I907" s="2" t="s">
        <v>1469</v>
      </c>
      <c r="J907" s="2" t="s">
        <v>19</v>
      </c>
      <c r="K907" s="2" t="s">
        <v>353</v>
      </c>
      <c r="L907" s="7" t="str">
        <f t="shared" si="11"/>
        <v xml:space="preserve">http://slimages.macys.com/is/image/MCY/10743620 </v>
      </c>
    </row>
    <row r="908" spans="1:12" ht="24.75" x14ac:dyDescent="0.25">
      <c r="A908" s="4" t="s">
        <v>6199</v>
      </c>
      <c r="B908" s="2" t="s">
        <v>6196</v>
      </c>
      <c r="C908" s="3">
        <v>1</v>
      </c>
      <c r="D908" s="5">
        <v>14.99</v>
      </c>
      <c r="E908" s="3" t="s">
        <v>6197</v>
      </c>
      <c r="F908" s="2" t="s">
        <v>38</v>
      </c>
      <c r="G908" s="6"/>
      <c r="H908" s="2" t="s">
        <v>1425</v>
      </c>
      <c r="I908" s="2" t="s">
        <v>1469</v>
      </c>
      <c r="J908" s="2" t="s">
        <v>19</v>
      </c>
      <c r="K908" s="2" t="s">
        <v>353</v>
      </c>
      <c r="L908" s="7" t="str">
        <f t="shared" si="11"/>
        <v xml:space="preserve">http://slimages.macys.com/is/image/MCY/10743620 </v>
      </c>
    </row>
    <row r="909" spans="1:12" ht="24.75" x14ac:dyDescent="0.25">
      <c r="A909" s="4" t="s">
        <v>6200</v>
      </c>
      <c r="B909" s="2" t="s">
        <v>6196</v>
      </c>
      <c r="C909" s="3">
        <v>1</v>
      </c>
      <c r="D909" s="5">
        <v>14.99</v>
      </c>
      <c r="E909" s="3" t="s">
        <v>6197</v>
      </c>
      <c r="F909" s="2" t="s">
        <v>38</v>
      </c>
      <c r="G909" s="6"/>
      <c r="H909" s="2" t="s">
        <v>1425</v>
      </c>
      <c r="I909" s="2" t="s">
        <v>1469</v>
      </c>
      <c r="J909" s="2" t="s">
        <v>19</v>
      </c>
      <c r="K909" s="2" t="s">
        <v>353</v>
      </c>
      <c r="L909" s="7" t="str">
        <f t="shared" si="11"/>
        <v xml:space="preserve">http://slimages.macys.com/is/image/MCY/10743620 </v>
      </c>
    </row>
    <row r="910" spans="1:12" ht="24.75" x14ac:dyDescent="0.25">
      <c r="A910" s="4" t="s">
        <v>6201</v>
      </c>
      <c r="B910" s="2" t="s">
        <v>6196</v>
      </c>
      <c r="C910" s="3">
        <v>2</v>
      </c>
      <c r="D910" s="5">
        <v>14.99</v>
      </c>
      <c r="E910" s="3" t="s">
        <v>6197</v>
      </c>
      <c r="F910" s="2" t="s">
        <v>38</v>
      </c>
      <c r="G910" s="6"/>
      <c r="H910" s="2" t="s">
        <v>1425</v>
      </c>
      <c r="I910" s="2" t="s">
        <v>1469</v>
      </c>
      <c r="J910" s="2" t="s">
        <v>19</v>
      </c>
      <c r="K910" s="2" t="s">
        <v>353</v>
      </c>
      <c r="L910" s="7" t="str">
        <f t="shared" si="11"/>
        <v xml:space="preserve">http://slimages.macys.com/is/image/MCY/10743620 </v>
      </c>
    </row>
    <row r="911" spans="1:12" ht="24.75" x14ac:dyDescent="0.25">
      <c r="A911" s="4" t="s">
        <v>6202</v>
      </c>
      <c r="B911" s="2" t="s">
        <v>6196</v>
      </c>
      <c r="C911" s="3">
        <v>1</v>
      </c>
      <c r="D911" s="5">
        <v>14.99</v>
      </c>
      <c r="E911" s="3" t="s">
        <v>6197</v>
      </c>
      <c r="F911" s="2" t="s">
        <v>74</v>
      </c>
      <c r="G911" s="6"/>
      <c r="H911" s="2" t="s">
        <v>1425</v>
      </c>
      <c r="I911" s="2" t="s">
        <v>1469</v>
      </c>
      <c r="J911" s="2" t="s">
        <v>19</v>
      </c>
      <c r="K911" s="2" t="s">
        <v>353</v>
      </c>
      <c r="L911" s="7" t="str">
        <f t="shared" si="11"/>
        <v xml:space="preserve">http://slimages.macys.com/is/image/MCY/10743620 </v>
      </c>
    </row>
    <row r="912" spans="1:12" ht="24.75" x14ac:dyDescent="0.25">
      <c r="A912" s="4" t="s">
        <v>6203</v>
      </c>
      <c r="B912" s="2" t="s">
        <v>6196</v>
      </c>
      <c r="C912" s="3">
        <v>1</v>
      </c>
      <c r="D912" s="5">
        <v>14.99</v>
      </c>
      <c r="E912" s="3" t="s">
        <v>6197</v>
      </c>
      <c r="F912" s="2" t="s">
        <v>74</v>
      </c>
      <c r="G912" s="6" t="s">
        <v>187</v>
      </c>
      <c r="H912" s="2" t="s">
        <v>1425</v>
      </c>
      <c r="I912" s="2" t="s">
        <v>1469</v>
      </c>
      <c r="J912" s="2" t="s">
        <v>19</v>
      </c>
      <c r="K912" s="2" t="s">
        <v>353</v>
      </c>
      <c r="L912" s="7" t="str">
        <f t="shared" si="11"/>
        <v xml:space="preserve">http://slimages.macys.com/is/image/MCY/10743620 </v>
      </c>
    </row>
    <row r="913" spans="1:12" ht="24.75" x14ac:dyDescent="0.25">
      <c r="A913" s="4" t="s">
        <v>6204</v>
      </c>
      <c r="B913" s="2" t="s">
        <v>6196</v>
      </c>
      <c r="C913" s="3">
        <v>1</v>
      </c>
      <c r="D913" s="5">
        <v>14.99</v>
      </c>
      <c r="E913" s="3" t="s">
        <v>6197</v>
      </c>
      <c r="F913" s="2" t="s">
        <v>74</v>
      </c>
      <c r="G913" s="6"/>
      <c r="H913" s="2" t="s">
        <v>1425</v>
      </c>
      <c r="I913" s="2" t="s">
        <v>1469</v>
      </c>
      <c r="J913" s="2" t="s">
        <v>19</v>
      </c>
      <c r="K913" s="2" t="s">
        <v>353</v>
      </c>
      <c r="L913" s="7" t="str">
        <f t="shared" si="11"/>
        <v xml:space="preserve">http://slimages.macys.com/is/image/MCY/10743620 </v>
      </c>
    </row>
    <row r="914" spans="1:12" ht="24.75" x14ac:dyDescent="0.25">
      <c r="A914" s="4" t="s">
        <v>6205</v>
      </c>
      <c r="B914" s="2" t="s">
        <v>6196</v>
      </c>
      <c r="C914" s="3">
        <v>1</v>
      </c>
      <c r="D914" s="5">
        <v>14.99</v>
      </c>
      <c r="E914" s="3" t="s">
        <v>6197</v>
      </c>
      <c r="F914" s="2" t="s">
        <v>64</v>
      </c>
      <c r="G914" s="6" t="s">
        <v>219</v>
      </c>
      <c r="H914" s="2" t="s">
        <v>1425</v>
      </c>
      <c r="I914" s="2" t="s">
        <v>1469</v>
      </c>
      <c r="J914" s="2" t="s">
        <v>19</v>
      </c>
      <c r="K914" s="2" t="s">
        <v>353</v>
      </c>
      <c r="L914" s="7" t="str">
        <f t="shared" si="11"/>
        <v xml:space="preserve">http://slimages.macys.com/is/image/MCY/10743620 </v>
      </c>
    </row>
    <row r="915" spans="1:12" ht="24.75" x14ac:dyDescent="0.25">
      <c r="A915" s="4" t="s">
        <v>6206</v>
      </c>
      <c r="B915" s="2" t="s">
        <v>6196</v>
      </c>
      <c r="C915" s="3">
        <v>1</v>
      </c>
      <c r="D915" s="5">
        <v>14.99</v>
      </c>
      <c r="E915" s="3" t="s">
        <v>6197</v>
      </c>
      <c r="F915" s="2" t="s">
        <v>64</v>
      </c>
      <c r="G915" s="6"/>
      <c r="H915" s="2" t="s">
        <v>1425</v>
      </c>
      <c r="I915" s="2" t="s">
        <v>1469</v>
      </c>
      <c r="J915" s="2" t="s">
        <v>19</v>
      </c>
      <c r="K915" s="2" t="s">
        <v>353</v>
      </c>
      <c r="L915" s="7" t="str">
        <f t="shared" si="11"/>
        <v xml:space="preserve">http://slimages.macys.com/is/image/MCY/10743620 </v>
      </c>
    </row>
    <row r="916" spans="1:12" ht="24.75" x14ac:dyDescent="0.25">
      <c r="A916" s="4" t="s">
        <v>6207</v>
      </c>
      <c r="B916" s="2" t="s">
        <v>6208</v>
      </c>
      <c r="C916" s="3">
        <v>1</v>
      </c>
      <c r="D916" s="5">
        <v>12.99</v>
      </c>
      <c r="E916" s="3">
        <v>100007532</v>
      </c>
      <c r="F916" s="2" t="s">
        <v>64</v>
      </c>
      <c r="G916" s="6" t="s">
        <v>156</v>
      </c>
      <c r="H916" s="2" t="s">
        <v>194</v>
      </c>
      <c r="I916" s="2" t="s">
        <v>195</v>
      </c>
      <c r="J916" s="2"/>
      <c r="K916" s="2"/>
      <c r="L916" s="7" t="str">
        <f>HYPERLINK("http://slimages.macys.com/is/image/MCY/8805211 ")</f>
        <v xml:space="preserve">http://slimages.macys.com/is/image/MCY/8805211 </v>
      </c>
    </row>
    <row r="917" spans="1:12" ht="24.75" x14ac:dyDescent="0.25">
      <c r="A917" s="4" t="s">
        <v>6209</v>
      </c>
      <c r="B917" s="2" t="s">
        <v>6208</v>
      </c>
      <c r="C917" s="3">
        <v>1</v>
      </c>
      <c r="D917" s="5">
        <v>12.99</v>
      </c>
      <c r="E917" s="3">
        <v>100007532</v>
      </c>
      <c r="F917" s="2" t="s">
        <v>64</v>
      </c>
      <c r="G917" s="6" t="s">
        <v>181</v>
      </c>
      <c r="H917" s="2" t="s">
        <v>194</v>
      </c>
      <c r="I917" s="2" t="s">
        <v>195</v>
      </c>
      <c r="J917" s="2"/>
      <c r="K917" s="2"/>
      <c r="L917" s="7" t="str">
        <f>HYPERLINK("http://slimages.macys.com/is/image/MCY/8805211 ")</f>
        <v xml:space="preserve">http://slimages.macys.com/is/image/MCY/8805211 </v>
      </c>
    </row>
    <row r="918" spans="1:12" ht="24.75" x14ac:dyDescent="0.25">
      <c r="A918" s="4" t="s">
        <v>6210</v>
      </c>
      <c r="B918" s="2" t="s">
        <v>6208</v>
      </c>
      <c r="C918" s="3">
        <v>1</v>
      </c>
      <c r="D918" s="5">
        <v>12.99</v>
      </c>
      <c r="E918" s="3">
        <v>100007532</v>
      </c>
      <c r="F918" s="2" t="s">
        <v>64</v>
      </c>
      <c r="G918" s="6" t="s">
        <v>245</v>
      </c>
      <c r="H918" s="2" t="s">
        <v>194</v>
      </c>
      <c r="I918" s="2" t="s">
        <v>195</v>
      </c>
      <c r="J918" s="2"/>
      <c r="K918" s="2"/>
      <c r="L918" s="7" t="str">
        <f>HYPERLINK("http://slimages.macys.com/is/image/MCY/8805211 ")</f>
        <v xml:space="preserve">http://slimages.macys.com/is/image/MCY/8805211 </v>
      </c>
    </row>
    <row r="919" spans="1:12" ht="24.75" x14ac:dyDescent="0.25">
      <c r="A919" s="4" t="s">
        <v>4267</v>
      </c>
      <c r="B919" s="2" t="s">
        <v>2016</v>
      </c>
      <c r="C919" s="3">
        <v>1</v>
      </c>
      <c r="D919" s="5">
        <v>12.99</v>
      </c>
      <c r="E919" s="3" t="s">
        <v>2017</v>
      </c>
      <c r="F919" s="2" t="s">
        <v>125</v>
      </c>
      <c r="G919" s="6" t="s">
        <v>245</v>
      </c>
      <c r="H919" s="2" t="s">
        <v>194</v>
      </c>
      <c r="I919" s="2" t="s">
        <v>195</v>
      </c>
      <c r="J919" s="2" t="s">
        <v>19</v>
      </c>
      <c r="K919" s="2" t="s">
        <v>648</v>
      </c>
      <c r="L919" s="7" t="str">
        <f>HYPERLINK("http://slimages.macys.com/is/image/MCY/14887463 ")</f>
        <v xml:space="preserve">http://slimages.macys.com/is/image/MCY/14887463 </v>
      </c>
    </row>
    <row r="920" spans="1:12" ht="24.75" x14ac:dyDescent="0.25">
      <c r="A920" s="4" t="s">
        <v>6211</v>
      </c>
      <c r="B920" s="2" t="s">
        <v>6208</v>
      </c>
      <c r="C920" s="3">
        <v>1</v>
      </c>
      <c r="D920" s="5">
        <v>12.99</v>
      </c>
      <c r="E920" s="3">
        <v>100007532</v>
      </c>
      <c r="F920" s="2" t="s">
        <v>64</v>
      </c>
      <c r="G920" s="6" t="s">
        <v>154</v>
      </c>
      <c r="H920" s="2" t="s">
        <v>194</v>
      </c>
      <c r="I920" s="2" t="s">
        <v>195</v>
      </c>
      <c r="J920" s="2"/>
      <c r="K920" s="2"/>
      <c r="L920" s="7" t="str">
        <f>HYPERLINK("http://slimages.macys.com/is/image/MCY/8805211 ")</f>
        <v xml:space="preserve">http://slimages.macys.com/is/image/MCY/8805211 </v>
      </c>
    </row>
    <row r="921" spans="1:12" ht="24.75" x14ac:dyDescent="0.25">
      <c r="A921" s="4" t="s">
        <v>6212</v>
      </c>
      <c r="B921" s="2" t="s">
        <v>6213</v>
      </c>
      <c r="C921" s="3">
        <v>1</v>
      </c>
      <c r="D921" s="5">
        <v>9.99</v>
      </c>
      <c r="E921" s="3" t="s">
        <v>6214</v>
      </c>
      <c r="F921" s="2" t="s">
        <v>64</v>
      </c>
      <c r="G921" s="6"/>
      <c r="H921" s="2" t="s">
        <v>1425</v>
      </c>
      <c r="I921" s="2" t="s">
        <v>1426</v>
      </c>
      <c r="J921" s="2" t="s">
        <v>19</v>
      </c>
      <c r="K921" s="2" t="s">
        <v>495</v>
      </c>
      <c r="L921" s="7" t="str">
        <f>HYPERLINK("http://slimages.macys.com/is/image/MCY/12671964 ")</f>
        <v xml:space="preserve">http://slimages.macys.com/is/image/MCY/12671964 </v>
      </c>
    </row>
    <row r="922" spans="1:12" ht="24.75" x14ac:dyDescent="0.25">
      <c r="A922" s="4" t="s">
        <v>6215</v>
      </c>
      <c r="B922" s="2" t="s">
        <v>6216</v>
      </c>
      <c r="C922" s="3">
        <v>1</v>
      </c>
      <c r="D922" s="5">
        <v>14.99</v>
      </c>
      <c r="E922" s="3" t="s">
        <v>6217</v>
      </c>
      <c r="F922" s="2" t="s">
        <v>752</v>
      </c>
      <c r="G922" s="6" t="s">
        <v>181</v>
      </c>
      <c r="H922" s="2" t="s">
        <v>194</v>
      </c>
      <c r="I922" s="2" t="s">
        <v>195</v>
      </c>
      <c r="J922" s="2" t="s">
        <v>19</v>
      </c>
      <c r="K922" s="2" t="s">
        <v>1108</v>
      </c>
      <c r="L922" s="7" t="str">
        <f>HYPERLINK("http://slimages.macys.com/is/image/MCY/12280226 ")</f>
        <v xml:space="preserve">http://slimages.macys.com/is/image/MCY/12280226 </v>
      </c>
    </row>
    <row r="923" spans="1:12" ht="24.75" x14ac:dyDescent="0.25">
      <c r="A923" s="4" t="s">
        <v>6218</v>
      </c>
      <c r="B923" s="2" t="s">
        <v>4367</v>
      </c>
      <c r="C923" s="3">
        <v>1</v>
      </c>
      <c r="D923" s="5">
        <v>9.99</v>
      </c>
      <c r="E923" s="3" t="s">
        <v>4368</v>
      </c>
      <c r="F923" s="2" t="s">
        <v>417</v>
      </c>
      <c r="G923" s="6" t="s">
        <v>154</v>
      </c>
      <c r="H923" s="2" t="s">
        <v>194</v>
      </c>
      <c r="I923" s="2" t="s">
        <v>195</v>
      </c>
      <c r="J923" s="2" t="s">
        <v>19</v>
      </c>
      <c r="K923" s="2" t="s">
        <v>247</v>
      </c>
      <c r="L923" s="7" t="str">
        <f>HYPERLINK("http://slimages.macys.com/is/image/MCY/13368198 ")</f>
        <v xml:space="preserve">http://slimages.macys.com/is/image/MCY/13368198 </v>
      </c>
    </row>
    <row r="924" spans="1:12" ht="24.75" x14ac:dyDescent="0.25">
      <c r="A924" s="4" t="s">
        <v>6219</v>
      </c>
      <c r="B924" s="2" t="s">
        <v>4367</v>
      </c>
      <c r="C924" s="3">
        <v>1</v>
      </c>
      <c r="D924" s="5">
        <v>9.99</v>
      </c>
      <c r="E924" s="3" t="s">
        <v>4368</v>
      </c>
      <c r="F924" s="2" t="s">
        <v>417</v>
      </c>
      <c r="G924" s="6" t="s">
        <v>234</v>
      </c>
      <c r="H924" s="2" t="s">
        <v>194</v>
      </c>
      <c r="I924" s="2" t="s">
        <v>195</v>
      </c>
      <c r="J924" s="2" t="s">
        <v>19</v>
      </c>
      <c r="K924" s="2" t="s">
        <v>247</v>
      </c>
      <c r="L924" s="7" t="str">
        <f>HYPERLINK("http://slimages.macys.com/is/image/MCY/13368198 ")</f>
        <v xml:space="preserve">http://slimages.macys.com/is/image/MCY/13368198 </v>
      </c>
    </row>
    <row r="925" spans="1:12" ht="24.75" x14ac:dyDescent="0.25">
      <c r="A925" s="4" t="s">
        <v>6220</v>
      </c>
      <c r="B925" s="2" t="s">
        <v>4280</v>
      </c>
      <c r="C925" s="3">
        <v>1</v>
      </c>
      <c r="D925" s="5">
        <v>9.99</v>
      </c>
      <c r="E925" s="3" t="s">
        <v>4281</v>
      </c>
      <c r="F925" s="2" t="s">
        <v>33</v>
      </c>
      <c r="G925" s="6" t="s">
        <v>181</v>
      </c>
      <c r="H925" s="2" t="s">
        <v>1473</v>
      </c>
      <c r="I925" s="2" t="s">
        <v>1426</v>
      </c>
      <c r="J925" s="2" t="s">
        <v>19</v>
      </c>
      <c r="K925" s="2" t="s">
        <v>648</v>
      </c>
      <c r="L925" s="7" t="str">
        <f>HYPERLINK("http://slimages.macys.com/is/image/MCY/11456814 ")</f>
        <v xml:space="preserve">http://slimages.macys.com/is/image/MCY/11456814 </v>
      </c>
    </row>
    <row r="926" spans="1:12" ht="24.75" x14ac:dyDescent="0.25">
      <c r="A926" s="4" t="s">
        <v>6221</v>
      </c>
      <c r="B926" s="2" t="s">
        <v>6222</v>
      </c>
      <c r="C926" s="3">
        <v>1</v>
      </c>
      <c r="D926" s="5">
        <v>9.98</v>
      </c>
      <c r="E926" s="3" t="s">
        <v>6223</v>
      </c>
      <c r="F926" s="2" t="s">
        <v>74</v>
      </c>
      <c r="G926" s="6" t="s">
        <v>234</v>
      </c>
      <c r="H926" s="2" t="s">
        <v>1473</v>
      </c>
      <c r="I926" s="2" t="s">
        <v>1426</v>
      </c>
      <c r="J926" s="2"/>
      <c r="K926" s="2"/>
      <c r="L926" s="7" t="str">
        <f>HYPERLINK("http://slimages.macys.com/is/image/MCY/9798859 ")</f>
        <v xml:space="preserve">http://slimages.macys.com/is/image/MCY/9798859 </v>
      </c>
    </row>
    <row r="927" spans="1:12" ht="24.75" x14ac:dyDescent="0.25">
      <c r="A927" s="4" t="s">
        <v>6224</v>
      </c>
      <c r="B927" s="2" t="s">
        <v>4280</v>
      </c>
      <c r="C927" s="3">
        <v>1</v>
      </c>
      <c r="D927" s="5">
        <v>9.99</v>
      </c>
      <c r="E927" s="3" t="s">
        <v>4281</v>
      </c>
      <c r="F927" s="2" t="s">
        <v>136</v>
      </c>
      <c r="G927" s="6" t="s">
        <v>234</v>
      </c>
      <c r="H927" s="2" t="s">
        <v>1473</v>
      </c>
      <c r="I927" s="2" t="s">
        <v>1426</v>
      </c>
      <c r="J927" s="2"/>
      <c r="K927" s="2"/>
      <c r="L927" s="7" t="str">
        <f>HYPERLINK("http://slimages.macys.com/is/image/MCY/9663876 ")</f>
        <v xml:space="preserve">http://slimages.macys.com/is/image/MCY/9663876 </v>
      </c>
    </row>
    <row r="928" spans="1:12" ht="24.75" x14ac:dyDescent="0.25">
      <c r="A928" s="4" t="s">
        <v>4282</v>
      </c>
      <c r="B928" s="2" t="s">
        <v>4283</v>
      </c>
      <c r="C928" s="3">
        <v>1</v>
      </c>
      <c r="D928" s="5">
        <v>9.99</v>
      </c>
      <c r="E928" s="3" t="s">
        <v>4284</v>
      </c>
      <c r="F928" s="2" t="s">
        <v>94</v>
      </c>
      <c r="G928" s="6" t="s">
        <v>234</v>
      </c>
      <c r="H928" s="2" t="s">
        <v>1473</v>
      </c>
      <c r="I928" s="2" t="s">
        <v>1426</v>
      </c>
      <c r="J928" s="2" t="s">
        <v>19</v>
      </c>
      <c r="K928" s="2" t="s">
        <v>495</v>
      </c>
      <c r="L928" s="7" t="str">
        <f>HYPERLINK("http://slimages.macys.com/is/image/MCY/10703455 ")</f>
        <v xml:space="preserve">http://slimages.macys.com/is/image/MCY/10703455 </v>
      </c>
    </row>
    <row r="929" spans="1:12" ht="24.75" x14ac:dyDescent="0.25">
      <c r="A929" s="4" t="s">
        <v>6225</v>
      </c>
      <c r="B929" s="2" t="s">
        <v>6226</v>
      </c>
      <c r="C929" s="3">
        <v>1</v>
      </c>
      <c r="D929" s="5">
        <v>9.99</v>
      </c>
      <c r="E929" s="3" t="s">
        <v>6227</v>
      </c>
      <c r="F929" s="2" t="s">
        <v>15</v>
      </c>
      <c r="G929" s="6" t="s">
        <v>181</v>
      </c>
      <c r="H929" s="2" t="s">
        <v>1473</v>
      </c>
      <c r="I929" s="2" t="s">
        <v>1426</v>
      </c>
      <c r="J929" s="2" t="s">
        <v>19</v>
      </c>
      <c r="K929" s="2" t="s">
        <v>495</v>
      </c>
      <c r="L929" s="7" t="str">
        <f>HYPERLINK("http://slimages.macys.com/is/image/MCY/11882171 ")</f>
        <v xml:space="preserve">http://slimages.macys.com/is/image/MCY/11882171 </v>
      </c>
    </row>
    <row r="930" spans="1:12" ht="24.75" x14ac:dyDescent="0.25">
      <c r="A930" s="4" t="s">
        <v>3236</v>
      </c>
      <c r="B930" s="2" t="s">
        <v>3237</v>
      </c>
      <c r="C930" s="3">
        <v>4</v>
      </c>
      <c r="D930" s="5">
        <v>9.99</v>
      </c>
      <c r="E930" s="3" t="s">
        <v>3238</v>
      </c>
      <c r="F930" s="2" t="s">
        <v>64</v>
      </c>
      <c r="G930" s="6" t="s">
        <v>181</v>
      </c>
      <c r="H930" s="2" t="s">
        <v>194</v>
      </c>
      <c r="I930" s="2" t="s">
        <v>195</v>
      </c>
      <c r="J930" s="2" t="s">
        <v>19</v>
      </c>
      <c r="K930" s="2" t="s">
        <v>247</v>
      </c>
      <c r="L930" s="7" t="str">
        <f t="shared" ref="L930:L935" si="12">HYPERLINK("http://slimages.macys.com/is/image/MCY/15522855 ")</f>
        <v xml:space="preserve">http://slimages.macys.com/is/image/MCY/15522855 </v>
      </c>
    </row>
    <row r="931" spans="1:12" ht="24.75" x14ac:dyDescent="0.25">
      <c r="A931" s="4" t="s">
        <v>4286</v>
      </c>
      <c r="B931" s="2" t="s">
        <v>3237</v>
      </c>
      <c r="C931" s="3">
        <v>3</v>
      </c>
      <c r="D931" s="5">
        <v>9.99</v>
      </c>
      <c r="E931" s="3" t="s">
        <v>3238</v>
      </c>
      <c r="F931" s="2" t="s">
        <v>64</v>
      </c>
      <c r="G931" s="6" t="s">
        <v>154</v>
      </c>
      <c r="H931" s="2" t="s">
        <v>194</v>
      </c>
      <c r="I931" s="2" t="s">
        <v>195</v>
      </c>
      <c r="J931" s="2" t="s">
        <v>19</v>
      </c>
      <c r="K931" s="2" t="s">
        <v>247</v>
      </c>
      <c r="L931" s="7" t="str">
        <f t="shared" si="12"/>
        <v xml:space="preserve">http://slimages.macys.com/is/image/MCY/15522855 </v>
      </c>
    </row>
    <row r="932" spans="1:12" ht="24.75" x14ac:dyDescent="0.25">
      <c r="A932" s="4" t="s">
        <v>6228</v>
      </c>
      <c r="B932" s="2" t="s">
        <v>3237</v>
      </c>
      <c r="C932" s="3">
        <v>1</v>
      </c>
      <c r="D932" s="5">
        <v>9.99</v>
      </c>
      <c r="E932" s="3" t="s">
        <v>3238</v>
      </c>
      <c r="F932" s="2" t="s">
        <v>566</v>
      </c>
      <c r="G932" s="6" t="s">
        <v>156</v>
      </c>
      <c r="H932" s="2" t="s">
        <v>194</v>
      </c>
      <c r="I932" s="2" t="s">
        <v>195</v>
      </c>
      <c r="J932" s="2" t="s">
        <v>19</v>
      </c>
      <c r="K932" s="2" t="s">
        <v>247</v>
      </c>
      <c r="L932" s="7" t="str">
        <f t="shared" si="12"/>
        <v xml:space="preserve">http://slimages.macys.com/is/image/MCY/15522855 </v>
      </c>
    </row>
    <row r="933" spans="1:12" ht="24.75" x14ac:dyDescent="0.25">
      <c r="A933" s="4" t="s">
        <v>4288</v>
      </c>
      <c r="B933" s="2" t="s">
        <v>3237</v>
      </c>
      <c r="C933" s="3">
        <v>1</v>
      </c>
      <c r="D933" s="5">
        <v>9.99</v>
      </c>
      <c r="E933" s="3" t="s">
        <v>3238</v>
      </c>
      <c r="F933" s="2" t="s">
        <v>413</v>
      </c>
      <c r="G933" s="6" t="s">
        <v>181</v>
      </c>
      <c r="H933" s="2" t="s">
        <v>194</v>
      </c>
      <c r="I933" s="2" t="s">
        <v>195</v>
      </c>
      <c r="J933" s="2" t="s">
        <v>19</v>
      </c>
      <c r="K933" s="2" t="s">
        <v>247</v>
      </c>
      <c r="L933" s="7" t="str">
        <f t="shared" si="12"/>
        <v xml:space="preserve">http://slimages.macys.com/is/image/MCY/15522855 </v>
      </c>
    </row>
    <row r="934" spans="1:12" ht="24.75" x14ac:dyDescent="0.25">
      <c r="A934" s="4" t="s">
        <v>6229</v>
      </c>
      <c r="B934" s="2" t="s">
        <v>3237</v>
      </c>
      <c r="C934" s="3">
        <v>2</v>
      </c>
      <c r="D934" s="5">
        <v>9.99</v>
      </c>
      <c r="E934" s="3" t="s">
        <v>3238</v>
      </c>
      <c r="F934" s="2" t="s">
        <v>170</v>
      </c>
      <c r="G934" s="6" t="s">
        <v>234</v>
      </c>
      <c r="H934" s="2" t="s">
        <v>194</v>
      </c>
      <c r="I934" s="2" t="s">
        <v>195</v>
      </c>
      <c r="J934" s="2" t="s">
        <v>19</v>
      </c>
      <c r="K934" s="2" t="s">
        <v>247</v>
      </c>
      <c r="L934" s="7" t="str">
        <f t="shared" si="12"/>
        <v xml:space="preserve">http://slimages.macys.com/is/image/MCY/15522855 </v>
      </c>
    </row>
    <row r="935" spans="1:12" ht="24.75" x14ac:dyDescent="0.25">
      <c r="A935" s="4" t="s">
        <v>3239</v>
      </c>
      <c r="B935" s="2" t="s">
        <v>3237</v>
      </c>
      <c r="C935" s="3">
        <v>1</v>
      </c>
      <c r="D935" s="5">
        <v>9.99</v>
      </c>
      <c r="E935" s="3" t="s">
        <v>3238</v>
      </c>
      <c r="F935" s="2" t="s">
        <v>170</v>
      </c>
      <c r="G935" s="6" t="s">
        <v>154</v>
      </c>
      <c r="H935" s="2" t="s">
        <v>194</v>
      </c>
      <c r="I935" s="2" t="s">
        <v>195</v>
      </c>
      <c r="J935" s="2" t="s">
        <v>19</v>
      </c>
      <c r="K935" s="2" t="s">
        <v>247</v>
      </c>
      <c r="L935" s="7" t="str">
        <f t="shared" si="12"/>
        <v xml:space="preserve">http://slimages.macys.com/is/image/MCY/15522855 </v>
      </c>
    </row>
    <row r="936" spans="1:12" ht="24.75" x14ac:dyDescent="0.25">
      <c r="A936" s="4" t="s">
        <v>6230</v>
      </c>
      <c r="B936" s="2" t="s">
        <v>2033</v>
      </c>
      <c r="C936" s="3">
        <v>1</v>
      </c>
      <c r="D936" s="5">
        <v>9.99</v>
      </c>
      <c r="E936" s="3" t="s">
        <v>5274</v>
      </c>
      <c r="F936" s="2" t="s">
        <v>15</v>
      </c>
      <c r="G936" s="6" t="s">
        <v>154</v>
      </c>
      <c r="H936" s="2" t="s">
        <v>1473</v>
      </c>
      <c r="I936" s="2" t="s">
        <v>1426</v>
      </c>
      <c r="J936" s="2" t="s">
        <v>19</v>
      </c>
      <c r="K936" s="2" t="s">
        <v>990</v>
      </c>
      <c r="L936" s="7" t="str">
        <f>HYPERLINK("http://slimages.macys.com/is/image/MCY/10746490 ")</f>
        <v xml:space="preserve">http://slimages.macys.com/is/image/MCY/10746490 </v>
      </c>
    </row>
    <row r="937" spans="1:12" ht="24.75" x14ac:dyDescent="0.25">
      <c r="A937" s="4" t="s">
        <v>5254</v>
      </c>
      <c r="B937" s="2" t="s">
        <v>2051</v>
      </c>
      <c r="C937" s="3">
        <v>1</v>
      </c>
      <c r="D937" s="5">
        <v>9.99</v>
      </c>
      <c r="E937" s="3" t="s">
        <v>2052</v>
      </c>
      <c r="F937" s="2" t="s">
        <v>1322</v>
      </c>
      <c r="G937" s="6" t="s">
        <v>154</v>
      </c>
      <c r="H937" s="2" t="s">
        <v>1473</v>
      </c>
      <c r="I937" s="2" t="s">
        <v>1426</v>
      </c>
      <c r="J937" s="2" t="s">
        <v>19</v>
      </c>
      <c r="K937" s="2" t="s">
        <v>495</v>
      </c>
      <c r="L937" s="7" t="str">
        <f>HYPERLINK("http://slimages.macys.com/is/image/MCY/12267126 ")</f>
        <v xml:space="preserve">http://slimages.macys.com/is/image/MCY/12267126 </v>
      </c>
    </row>
    <row r="938" spans="1:12" ht="24.75" x14ac:dyDescent="0.25">
      <c r="A938" s="4" t="s">
        <v>6231</v>
      </c>
      <c r="B938" s="2" t="s">
        <v>2064</v>
      </c>
      <c r="C938" s="3">
        <v>1</v>
      </c>
      <c r="D938" s="5">
        <v>9.99</v>
      </c>
      <c r="E938" s="3" t="s">
        <v>2065</v>
      </c>
      <c r="F938" s="2" t="s">
        <v>33</v>
      </c>
      <c r="G938" s="6"/>
      <c r="H938" s="2" t="s">
        <v>1425</v>
      </c>
      <c r="I938" s="2" t="s">
        <v>1426</v>
      </c>
      <c r="J938" s="2" t="s">
        <v>19</v>
      </c>
      <c r="K938" s="2" t="s">
        <v>990</v>
      </c>
      <c r="L938" s="7" t="str">
        <f>HYPERLINK("http://slimages.macys.com/is/image/MCY/10464932 ")</f>
        <v xml:space="preserve">http://slimages.macys.com/is/image/MCY/10464932 </v>
      </c>
    </row>
    <row r="939" spans="1:12" ht="24.75" x14ac:dyDescent="0.25">
      <c r="A939" s="4" t="s">
        <v>6232</v>
      </c>
      <c r="B939" s="2" t="s">
        <v>2064</v>
      </c>
      <c r="C939" s="3">
        <v>1</v>
      </c>
      <c r="D939" s="5">
        <v>9.99</v>
      </c>
      <c r="E939" s="3" t="s">
        <v>3279</v>
      </c>
      <c r="F939" s="2" t="s">
        <v>1788</v>
      </c>
      <c r="G939" s="6" t="s">
        <v>156</v>
      </c>
      <c r="H939" s="2" t="s">
        <v>1473</v>
      </c>
      <c r="I939" s="2" t="s">
        <v>1426</v>
      </c>
      <c r="J939" s="2" t="s">
        <v>19</v>
      </c>
      <c r="K939" s="2" t="s">
        <v>990</v>
      </c>
      <c r="L939" s="7" t="str">
        <f>HYPERLINK("http://slimages.macys.com/is/image/MCY/11130625 ")</f>
        <v xml:space="preserve">http://slimages.macys.com/is/image/MCY/11130625 </v>
      </c>
    </row>
    <row r="940" spans="1:12" ht="24.75" x14ac:dyDescent="0.25">
      <c r="A940" s="4" t="s">
        <v>6233</v>
      </c>
      <c r="B940" s="2" t="s">
        <v>6234</v>
      </c>
      <c r="C940" s="3">
        <v>1</v>
      </c>
      <c r="D940" s="5">
        <v>9.99</v>
      </c>
      <c r="E940" s="3" t="s">
        <v>6235</v>
      </c>
      <c r="F940" s="2" t="s">
        <v>26</v>
      </c>
      <c r="G940" s="6" t="s">
        <v>181</v>
      </c>
      <c r="H940" s="2" t="s">
        <v>1473</v>
      </c>
      <c r="I940" s="2" t="s">
        <v>1426</v>
      </c>
      <c r="J940" s="2" t="s">
        <v>19</v>
      </c>
      <c r="K940" s="2" t="s">
        <v>648</v>
      </c>
      <c r="L940" s="7" t="str">
        <f>HYPERLINK("http://slimages.macys.com/is/image/MCY/11417319 ")</f>
        <v xml:space="preserve">http://slimages.macys.com/is/image/MCY/11417319 </v>
      </c>
    </row>
    <row r="941" spans="1:12" ht="24.75" x14ac:dyDescent="0.25">
      <c r="A941" s="4" t="s">
        <v>6236</v>
      </c>
      <c r="B941" s="2" t="s">
        <v>4326</v>
      </c>
      <c r="C941" s="3">
        <v>2</v>
      </c>
      <c r="D941" s="5">
        <v>9.99</v>
      </c>
      <c r="E941" s="3" t="s">
        <v>4327</v>
      </c>
      <c r="F941" s="2" t="s">
        <v>79</v>
      </c>
      <c r="G941" s="6" t="s">
        <v>154</v>
      </c>
      <c r="H941" s="2" t="s">
        <v>1473</v>
      </c>
      <c r="I941" s="2" t="s">
        <v>1426</v>
      </c>
      <c r="J941" s="2" t="s">
        <v>19</v>
      </c>
      <c r="K941" s="2" t="s">
        <v>495</v>
      </c>
      <c r="L941" s="7" t="str">
        <f>HYPERLINK("http://slimages.macys.com/is/image/MCY/10742489 ")</f>
        <v xml:space="preserve">http://slimages.macys.com/is/image/MCY/10742489 </v>
      </c>
    </row>
    <row r="942" spans="1:12" ht="24.75" x14ac:dyDescent="0.25">
      <c r="A942" s="4" t="s">
        <v>5293</v>
      </c>
      <c r="B942" s="2" t="s">
        <v>2075</v>
      </c>
      <c r="C942" s="3">
        <v>1</v>
      </c>
      <c r="D942" s="5">
        <v>9.99</v>
      </c>
      <c r="E942" s="3" t="s">
        <v>2076</v>
      </c>
      <c r="F942" s="2" t="s">
        <v>15</v>
      </c>
      <c r="G942" s="6" t="s">
        <v>154</v>
      </c>
      <c r="H942" s="2" t="s">
        <v>1473</v>
      </c>
      <c r="I942" s="2" t="s">
        <v>1426</v>
      </c>
      <c r="J942" s="2" t="s">
        <v>19</v>
      </c>
      <c r="K942" s="2" t="s">
        <v>990</v>
      </c>
      <c r="L942" s="7" t="str">
        <f t="shared" ref="L942:L949" si="13">HYPERLINK("http://slimages.macys.com/is/image/MCY/15161436 ")</f>
        <v xml:space="preserve">http://slimages.macys.com/is/image/MCY/15161436 </v>
      </c>
    </row>
    <row r="943" spans="1:12" ht="24.75" x14ac:dyDescent="0.25">
      <c r="A943" s="4" t="s">
        <v>6237</v>
      </c>
      <c r="B943" s="2" t="s">
        <v>2075</v>
      </c>
      <c r="C943" s="3">
        <v>1</v>
      </c>
      <c r="D943" s="5">
        <v>9.99</v>
      </c>
      <c r="E943" s="3" t="s">
        <v>2076</v>
      </c>
      <c r="F943" s="2" t="s">
        <v>413</v>
      </c>
      <c r="G943" s="6" t="s">
        <v>234</v>
      </c>
      <c r="H943" s="2" t="s">
        <v>1473</v>
      </c>
      <c r="I943" s="2" t="s">
        <v>1426</v>
      </c>
      <c r="J943" s="2" t="s">
        <v>19</v>
      </c>
      <c r="K943" s="2" t="s">
        <v>990</v>
      </c>
      <c r="L943" s="7" t="str">
        <f t="shared" si="13"/>
        <v xml:space="preserve">http://slimages.macys.com/is/image/MCY/15161436 </v>
      </c>
    </row>
    <row r="944" spans="1:12" ht="24.75" x14ac:dyDescent="0.25">
      <c r="A944" s="4" t="s">
        <v>6238</v>
      </c>
      <c r="B944" s="2" t="s">
        <v>2075</v>
      </c>
      <c r="C944" s="3">
        <v>1</v>
      </c>
      <c r="D944" s="5">
        <v>9.99</v>
      </c>
      <c r="E944" s="3" t="s">
        <v>2076</v>
      </c>
      <c r="F944" s="2" t="s">
        <v>94</v>
      </c>
      <c r="G944" s="6" t="s">
        <v>181</v>
      </c>
      <c r="H944" s="2" t="s">
        <v>1473</v>
      </c>
      <c r="I944" s="2" t="s">
        <v>1426</v>
      </c>
      <c r="J944" s="2" t="s">
        <v>19</v>
      </c>
      <c r="K944" s="2" t="s">
        <v>990</v>
      </c>
      <c r="L944" s="7" t="str">
        <f t="shared" si="13"/>
        <v xml:space="preserve">http://slimages.macys.com/is/image/MCY/15161436 </v>
      </c>
    </row>
    <row r="945" spans="1:12" ht="24.75" x14ac:dyDescent="0.25">
      <c r="A945" s="4" t="s">
        <v>2079</v>
      </c>
      <c r="B945" s="2" t="s">
        <v>2075</v>
      </c>
      <c r="C945" s="3">
        <v>1</v>
      </c>
      <c r="D945" s="5">
        <v>9.99</v>
      </c>
      <c r="E945" s="3" t="s">
        <v>2076</v>
      </c>
      <c r="F945" s="2" t="s">
        <v>26</v>
      </c>
      <c r="G945" s="6" t="s">
        <v>154</v>
      </c>
      <c r="H945" s="2" t="s">
        <v>1473</v>
      </c>
      <c r="I945" s="2" t="s">
        <v>1426</v>
      </c>
      <c r="J945" s="2" t="s">
        <v>19</v>
      </c>
      <c r="K945" s="2" t="s">
        <v>990</v>
      </c>
      <c r="L945" s="7" t="str">
        <f t="shared" si="13"/>
        <v xml:space="preserve">http://slimages.macys.com/is/image/MCY/15161436 </v>
      </c>
    </row>
    <row r="946" spans="1:12" ht="24.75" x14ac:dyDescent="0.25">
      <c r="A946" s="4" t="s">
        <v>6239</v>
      </c>
      <c r="B946" s="2" t="s">
        <v>2075</v>
      </c>
      <c r="C946" s="3">
        <v>1</v>
      </c>
      <c r="D946" s="5">
        <v>9.99</v>
      </c>
      <c r="E946" s="3" t="s">
        <v>2076</v>
      </c>
      <c r="F946" s="2" t="s">
        <v>1945</v>
      </c>
      <c r="G946" s="6" t="s">
        <v>154</v>
      </c>
      <c r="H946" s="2" t="s">
        <v>1473</v>
      </c>
      <c r="I946" s="2" t="s">
        <v>1426</v>
      </c>
      <c r="J946" s="2" t="s">
        <v>19</v>
      </c>
      <c r="K946" s="2" t="s">
        <v>990</v>
      </c>
      <c r="L946" s="7" t="str">
        <f t="shared" si="13"/>
        <v xml:space="preserve">http://slimages.macys.com/is/image/MCY/15161436 </v>
      </c>
    </row>
    <row r="947" spans="1:12" ht="24.75" x14ac:dyDescent="0.25">
      <c r="A947" s="4" t="s">
        <v>5284</v>
      </c>
      <c r="B947" s="2" t="s">
        <v>2075</v>
      </c>
      <c r="C947" s="3">
        <v>1</v>
      </c>
      <c r="D947" s="5">
        <v>9.99</v>
      </c>
      <c r="E947" s="3" t="s">
        <v>2076</v>
      </c>
      <c r="F947" s="2" t="s">
        <v>820</v>
      </c>
      <c r="G947" s="6" t="s">
        <v>154</v>
      </c>
      <c r="H947" s="2" t="s">
        <v>1473</v>
      </c>
      <c r="I947" s="2" t="s">
        <v>1426</v>
      </c>
      <c r="J947" s="2" t="s">
        <v>19</v>
      </c>
      <c r="K947" s="2" t="s">
        <v>990</v>
      </c>
      <c r="L947" s="7" t="str">
        <f t="shared" si="13"/>
        <v xml:space="preserve">http://slimages.macys.com/is/image/MCY/15161436 </v>
      </c>
    </row>
    <row r="948" spans="1:12" ht="24.75" x14ac:dyDescent="0.25">
      <c r="A948" s="4" t="s">
        <v>6240</v>
      </c>
      <c r="B948" s="2" t="s">
        <v>2075</v>
      </c>
      <c r="C948" s="3">
        <v>1</v>
      </c>
      <c r="D948" s="5">
        <v>9.99</v>
      </c>
      <c r="E948" s="3" t="s">
        <v>2076</v>
      </c>
      <c r="F948" s="2" t="s">
        <v>26</v>
      </c>
      <c r="G948" s="6" t="s">
        <v>245</v>
      </c>
      <c r="H948" s="2" t="s">
        <v>1473</v>
      </c>
      <c r="I948" s="2" t="s">
        <v>1426</v>
      </c>
      <c r="J948" s="2" t="s">
        <v>19</v>
      </c>
      <c r="K948" s="2" t="s">
        <v>990</v>
      </c>
      <c r="L948" s="7" t="str">
        <f t="shared" si="13"/>
        <v xml:space="preserve">http://slimages.macys.com/is/image/MCY/15161436 </v>
      </c>
    </row>
    <row r="949" spans="1:12" ht="24.75" x14ac:dyDescent="0.25">
      <c r="A949" s="4" t="s">
        <v>5290</v>
      </c>
      <c r="B949" s="2" t="s">
        <v>2075</v>
      </c>
      <c r="C949" s="3">
        <v>2</v>
      </c>
      <c r="D949" s="5">
        <v>9.99</v>
      </c>
      <c r="E949" s="3" t="s">
        <v>2076</v>
      </c>
      <c r="F949" s="2" t="s">
        <v>1322</v>
      </c>
      <c r="G949" s="6" t="s">
        <v>181</v>
      </c>
      <c r="H949" s="2" t="s">
        <v>1473</v>
      </c>
      <c r="I949" s="2" t="s">
        <v>1426</v>
      </c>
      <c r="J949" s="2" t="s">
        <v>19</v>
      </c>
      <c r="K949" s="2" t="s">
        <v>990</v>
      </c>
      <c r="L949" s="7" t="str">
        <f t="shared" si="13"/>
        <v xml:space="preserve">http://slimages.macys.com/is/image/MCY/15161436 </v>
      </c>
    </row>
    <row r="950" spans="1:12" ht="24.75" x14ac:dyDescent="0.25">
      <c r="A950" s="4" t="s">
        <v>3255</v>
      </c>
      <c r="B950" s="2" t="s">
        <v>2083</v>
      </c>
      <c r="C950" s="3">
        <v>2</v>
      </c>
      <c r="D950" s="5">
        <v>9.99</v>
      </c>
      <c r="E950" s="3" t="s">
        <v>2084</v>
      </c>
      <c r="F950" s="2" t="s">
        <v>136</v>
      </c>
      <c r="G950" s="6" t="s">
        <v>200</v>
      </c>
      <c r="H950" s="2" t="s">
        <v>1473</v>
      </c>
      <c r="I950" s="2" t="s">
        <v>1426</v>
      </c>
      <c r="J950" s="2" t="s">
        <v>19</v>
      </c>
      <c r="K950" s="2" t="s">
        <v>648</v>
      </c>
      <c r="L950" s="7" t="str">
        <f>HYPERLINK("http://slimages.macys.com/is/image/MCY/10703349 ")</f>
        <v xml:space="preserve">http://slimages.macys.com/is/image/MCY/10703349 </v>
      </c>
    </row>
    <row r="951" spans="1:12" ht="24.75" x14ac:dyDescent="0.25">
      <c r="A951" s="4" t="s">
        <v>4343</v>
      </c>
      <c r="B951" s="2" t="s">
        <v>2083</v>
      </c>
      <c r="C951" s="3">
        <v>1</v>
      </c>
      <c r="D951" s="5">
        <v>9.99</v>
      </c>
      <c r="E951" s="3" t="s">
        <v>2084</v>
      </c>
      <c r="F951" s="2" t="s">
        <v>15</v>
      </c>
      <c r="G951" s="6" t="s">
        <v>234</v>
      </c>
      <c r="H951" s="2" t="s">
        <v>1473</v>
      </c>
      <c r="I951" s="2" t="s">
        <v>1426</v>
      </c>
      <c r="J951" s="2" t="s">
        <v>19</v>
      </c>
      <c r="K951" s="2" t="s">
        <v>648</v>
      </c>
      <c r="L951" s="7" t="str">
        <f>HYPERLINK("http://slimages.macys.com/is/image/MCY/10703349 ")</f>
        <v xml:space="preserve">http://slimages.macys.com/is/image/MCY/10703349 </v>
      </c>
    </row>
    <row r="952" spans="1:12" ht="24.75" x14ac:dyDescent="0.25">
      <c r="A952" s="4" t="s">
        <v>3256</v>
      </c>
      <c r="B952" s="2" t="s">
        <v>2083</v>
      </c>
      <c r="C952" s="3">
        <v>1</v>
      </c>
      <c r="D952" s="5">
        <v>9.99</v>
      </c>
      <c r="E952" s="3" t="s">
        <v>2084</v>
      </c>
      <c r="F952" s="2" t="s">
        <v>74</v>
      </c>
      <c r="G952" s="6" t="s">
        <v>156</v>
      </c>
      <c r="H952" s="2" t="s">
        <v>1473</v>
      </c>
      <c r="I952" s="2" t="s">
        <v>1426</v>
      </c>
      <c r="J952" s="2" t="s">
        <v>19</v>
      </c>
      <c r="K952" s="2" t="s">
        <v>648</v>
      </c>
      <c r="L952" s="7" t="str">
        <f>HYPERLINK("http://slimages.macys.com/is/image/MCY/10703349 ")</f>
        <v xml:space="preserve">http://slimages.macys.com/is/image/MCY/10703349 </v>
      </c>
    </row>
    <row r="953" spans="1:12" ht="24.75" x14ac:dyDescent="0.25">
      <c r="A953" s="4" t="s">
        <v>6241</v>
      </c>
      <c r="B953" s="2" t="s">
        <v>6242</v>
      </c>
      <c r="C953" s="3">
        <v>1</v>
      </c>
      <c r="D953" s="5">
        <v>9.99</v>
      </c>
      <c r="E953" s="3" t="s">
        <v>6243</v>
      </c>
      <c r="F953" s="2" t="s">
        <v>70</v>
      </c>
      <c r="G953" s="6"/>
      <c r="H953" s="2" t="s">
        <v>1425</v>
      </c>
      <c r="I953" s="2" t="s">
        <v>1426</v>
      </c>
      <c r="J953" s="2" t="s">
        <v>19</v>
      </c>
      <c r="K953" s="2" t="s">
        <v>648</v>
      </c>
      <c r="L953" s="7" t="str">
        <f>HYPERLINK("http://slimages.macys.com/is/image/MCY/9694121 ")</f>
        <v xml:space="preserve">http://slimages.macys.com/is/image/MCY/9694121 </v>
      </c>
    </row>
    <row r="954" spans="1:12" ht="24.75" x14ac:dyDescent="0.25">
      <c r="A954" s="4" t="s">
        <v>6244</v>
      </c>
      <c r="B954" s="2" t="s">
        <v>6245</v>
      </c>
      <c r="C954" s="3">
        <v>1</v>
      </c>
      <c r="D954" s="5">
        <v>9.99</v>
      </c>
      <c r="E954" s="3" t="s">
        <v>6246</v>
      </c>
      <c r="F954" s="2" t="s">
        <v>413</v>
      </c>
      <c r="G954" s="6" t="s">
        <v>156</v>
      </c>
      <c r="H954" s="2" t="s">
        <v>1473</v>
      </c>
      <c r="I954" s="2" t="s">
        <v>1426</v>
      </c>
      <c r="J954" s="2" t="s">
        <v>19</v>
      </c>
      <c r="K954" s="2" t="s">
        <v>495</v>
      </c>
      <c r="L954" s="7" t="str">
        <f>HYPERLINK("http://slimages.macys.com/is/image/MCY/11831365 ")</f>
        <v xml:space="preserve">http://slimages.macys.com/is/image/MCY/11831365 </v>
      </c>
    </row>
    <row r="955" spans="1:12" ht="24.75" x14ac:dyDescent="0.25">
      <c r="A955" s="4" t="s">
        <v>6247</v>
      </c>
      <c r="B955" s="2" t="s">
        <v>6248</v>
      </c>
      <c r="C955" s="3">
        <v>1</v>
      </c>
      <c r="D955" s="5">
        <v>9.99</v>
      </c>
      <c r="E955" s="3" t="s">
        <v>6249</v>
      </c>
      <c r="F955" s="2" t="s">
        <v>413</v>
      </c>
      <c r="G955" s="6" t="s">
        <v>245</v>
      </c>
      <c r="H955" s="2" t="s">
        <v>1473</v>
      </c>
      <c r="I955" s="2" t="s">
        <v>1426</v>
      </c>
      <c r="J955" s="2" t="s">
        <v>19</v>
      </c>
      <c r="K955" s="2" t="s">
        <v>495</v>
      </c>
      <c r="L955" s="7" t="str">
        <f>HYPERLINK("http://slimages.macys.com/is/image/MCY/11517436 ")</f>
        <v xml:space="preserve">http://slimages.macys.com/is/image/MCY/11517436 </v>
      </c>
    </row>
    <row r="956" spans="1:12" ht="24.75" x14ac:dyDescent="0.25">
      <c r="A956" s="4" t="s">
        <v>6250</v>
      </c>
      <c r="B956" s="2" t="s">
        <v>2090</v>
      </c>
      <c r="C956" s="3">
        <v>1</v>
      </c>
      <c r="D956" s="5">
        <v>9.99</v>
      </c>
      <c r="E956" s="3" t="s">
        <v>2091</v>
      </c>
      <c r="F956" s="2" t="s">
        <v>94</v>
      </c>
      <c r="G956" s="6" t="s">
        <v>181</v>
      </c>
      <c r="H956" s="2" t="s">
        <v>1473</v>
      </c>
      <c r="I956" s="2" t="s">
        <v>1426</v>
      </c>
      <c r="J956" s="2" t="s">
        <v>19</v>
      </c>
      <c r="K956" s="2" t="s">
        <v>495</v>
      </c>
      <c r="L956" s="7" t="str">
        <f>HYPERLINK("http://slimages.macys.com/is/image/MCY/11531541 ")</f>
        <v xml:space="preserve">http://slimages.macys.com/is/image/MCY/11531541 </v>
      </c>
    </row>
    <row r="957" spans="1:12" ht="24.75" x14ac:dyDescent="0.25">
      <c r="A957" s="4" t="s">
        <v>6251</v>
      </c>
      <c r="B957" s="2" t="s">
        <v>6252</v>
      </c>
      <c r="C957" s="3">
        <v>1</v>
      </c>
      <c r="D957" s="5">
        <v>9.99</v>
      </c>
      <c r="E957" s="3" t="s">
        <v>6253</v>
      </c>
      <c r="F957" s="2" t="s">
        <v>413</v>
      </c>
      <c r="G957" s="6" t="s">
        <v>181</v>
      </c>
      <c r="H957" s="2" t="s">
        <v>1473</v>
      </c>
      <c r="I957" s="2" t="s">
        <v>1426</v>
      </c>
      <c r="J957" s="2" t="s">
        <v>19</v>
      </c>
      <c r="K957" s="2" t="s">
        <v>495</v>
      </c>
      <c r="L957" s="7" t="str">
        <f>HYPERLINK("http://slimages.macys.com/is/image/MCY/11517420 ")</f>
        <v xml:space="preserve">http://slimages.macys.com/is/image/MCY/11517420 </v>
      </c>
    </row>
    <row r="958" spans="1:12" ht="24.75" x14ac:dyDescent="0.25">
      <c r="A958" s="4" t="s">
        <v>3268</v>
      </c>
      <c r="B958" s="2" t="s">
        <v>3265</v>
      </c>
      <c r="C958" s="3">
        <v>1</v>
      </c>
      <c r="D958" s="5">
        <v>9.99</v>
      </c>
      <c r="E958" s="3" t="s">
        <v>3266</v>
      </c>
      <c r="F958" s="2" t="s">
        <v>3267</v>
      </c>
      <c r="G958" s="6" t="s">
        <v>156</v>
      </c>
      <c r="H958" s="2" t="s">
        <v>1473</v>
      </c>
      <c r="I958" s="2" t="s">
        <v>1426</v>
      </c>
      <c r="J958" s="2" t="s">
        <v>19</v>
      </c>
      <c r="K958" s="2" t="s">
        <v>495</v>
      </c>
      <c r="L958" s="7" t="str">
        <f>HYPERLINK("http://slimages.macys.com/is/image/MCY/11532809 ")</f>
        <v xml:space="preserve">http://slimages.macys.com/is/image/MCY/11532809 </v>
      </c>
    </row>
    <row r="959" spans="1:12" ht="24.75" x14ac:dyDescent="0.25">
      <c r="A959" s="4" t="s">
        <v>6254</v>
      </c>
      <c r="B959" s="2" t="s">
        <v>2093</v>
      </c>
      <c r="C959" s="3">
        <v>1</v>
      </c>
      <c r="D959" s="5">
        <v>9.99</v>
      </c>
      <c r="E959" s="3" t="s">
        <v>2094</v>
      </c>
      <c r="F959" s="2" t="s">
        <v>136</v>
      </c>
      <c r="G959" s="6" t="s">
        <v>245</v>
      </c>
      <c r="H959" s="2" t="s">
        <v>1473</v>
      </c>
      <c r="I959" s="2" t="s">
        <v>1426</v>
      </c>
      <c r="J959" s="2" t="s">
        <v>19</v>
      </c>
      <c r="K959" s="2" t="s">
        <v>495</v>
      </c>
      <c r="L959" s="7" t="str">
        <f>HYPERLINK("http://slimages.macys.com/is/image/MCY/10464865 ")</f>
        <v xml:space="preserve">http://slimages.macys.com/is/image/MCY/10464865 </v>
      </c>
    </row>
    <row r="960" spans="1:12" ht="24.75" x14ac:dyDescent="0.25">
      <c r="A960" s="4" t="s">
        <v>2092</v>
      </c>
      <c r="B960" s="2" t="s">
        <v>2093</v>
      </c>
      <c r="C960" s="3">
        <v>1</v>
      </c>
      <c r="D960" s="5">
        <v>9.99</v>
      </c>
      <c r="E960" s="3" t="s">
        <v>2094</v>
      </c>
      <c r="F960" s="2" t="s">
        <v>136</v>
      </c>
      <c r="G960" s="6" t="s">
        <v>156</v>
      </c>
      <c r="H960" s="2" t="s">
        <v>1473</v>
      </c>
      <c r="I960" s="2" t="s">
        <v>1426</v>
      </c>
      <c r="J960" s="2" t="s">
        <v>19</v>
      </c>
      <c r="K960" s="2" t="s">
        <v>495</v>
      </c>
      <c r="L960" s="7" t="str">
        <f>HYPERLINK("http://slimages.macys.com/is/image/MCY/10464865 ")</f>
        <v xml:space="preserve">http://slimages.macys.com/is/image/MCY/10464865 </v>
      </c>
    </row>
    <row r="961" spans="1:12" ht="24.75" x14ac:dyDescent="0.25">
      <c r="A961" s="4" t="s">
        <v>6255</v>
      </c>
      <c r="B961" s="2" t="s">
        <v>2093</v>
      </c>
      <c r="C961" s="3">
        <v>3</v>
      </c>
      <c r="D961" s="5">
        <v>9.99</v>
      </c>
      <c r="E961" s="3" t="s">
        <v>2094</v>
      </c>
      <c r="F961" s="2" t="s">
        <v>136</v>
      </c>
      <c r="G961" s="6" t="s">
        <v>181</v>
      </c>
      <c r="H961" s="2" t="s">
        <v>1473</v>
      </c>
      <c r="I961" s="2" t="s">
        <v>1426</v>
      </c>
      <c r="J961" s="2" t="s">
        <v>19</v>
      </c>
      <c r="K961" s="2" t="s">
        <v>495</v>
      </c>
      <c r="L961" s="7" t="str">
        <f>HYPERLINK("http://slimages.macys.com/is/image/MCY/10464865 ")</f>
        <v xml:space="preserve">http://slimages.macys.com/is/image/MCY/10464865 </v>
      </c>
    </row>
    <row r="962" spans="1:12" ht="24.75" x14ac:dyDescent="0.25">
      <c r="A962" s="4" t="s">
        <v>6256</v>
      </c>
      <c r="B962" s="2" t="s">
        <v>2093</v>
      </c>
      <c r="C962" s="3">
        <v>2</v>
      </c>
      <c r="D962" s="5">
        <v>9.99</v>
      </c>
      <c r="E962" s="3" t="s">
        <v>2094</v>
      </c>
      <c r="F962" s="2" t="s">
        <v>136</v>
      </c>
      <c r="G962" s="6" t="s">
        <v>234</v>
      </c>
      <c r="H962" s="2" t="s">
        <v>1473</v>
      </c>
      <c r="I962" s="2" t="s">
        <v>1426</v>
      </c>
      <c r="J962" s="2" t="s">
        <v>19</v>
      </c>
      <c r="K962" s="2" t="s">
        <v>495</v>
      </c>
      <c r="L962" s="7" t="str">
        <f>HYPERLINK("http://slimages.macys.com/is/image/MCY/10464865 ")</f>
        <v xml:space="preserve">http://slimages.macys.com/is/image/MCY/10464865 </v>
      </c>
    </row>
    <row r="963" spans="1:12" ht="24.75" x14ac:dyDescent="0.25">
      <c r="A963" s="4" t="s">
        <v>5326</v>
      </c>
      <c r="B963" s="2" t="s">
        <v>3265</v>
      </c>
      <c r="C963" s="3">
        <v>3</v>
      </c>
      <c r="D963" s="5">
        <v>9.99</v>
      </c>
      <c r="E963" s="3" t="s">
        <v>3266</v>
      </c>
      <c r="F963" s="2" t="s">
        <v>3267</v>
      </c>
      <c r="G963" s="6" t="s">
        <v>181</v>
      </c>
      <c r="H963" s="2" t="s">
        <v>1473</v>
      </c>
      <c r="I963" s="2" t="s">
        <v>1426</v>
      </c>
      <c r="J963" s="2" t="s">
        <v>19</v>
      </c>
      <c r="K963" s="2" t="s">
        <v>495</v>
      </c>
      <c r="L963" s="7" t="str">
        <f>HYPERLINK("http://slimages.macys.com/is/image/MCY/11532809 ")</f>
        <v xml:space="preserve">http://slimages.macys.com/is/image/MCY/11532809 </v>
      </c>
    </row>
    <row r="964" spans="1:12" ht="24.75" x14ac:dyDescent="0.25">
      <c r="A964" s="4" t="s">
        <v>6257</v>
      </c>
      <c r="B964" s="2" t="s">
        <v>2093</v>
      </c>
      <c r="C964" s="3">
        <v>3</v>
      </c>
      <c r="D964" s="5">
        <v>9.99</v>
      </c>
      <c r="E964" s="3" t="s">
        <v>2094</v>
      </c>
      <c r="F964" s="2" t="s">
        <v>136</v>
      </c>
      <c r="G964" s="6" t="s">
        <v>154</v>
      </c>
      <c r="H964" s="2" t="s">
        <v>1473</v>
      </c>
      <c r="I964" s="2" t="s">
        <v>1426</v>
      </c>
      <c r="J964" s="2" t="s">
        <v>19</v>
      </c>
      <c r="K964" s="2" t="s">
        <v>495</v>
      </c>
      <c r="L964" s="7" t="str">
        <f>HYPERLINK("http://slimages.macys.com/is/image/MCY/10464865 ")</f>
        <v xml:space="preserve">http://slimages.macys.com/is/image/MCY/10464865 </v>
      </c>
    </row>
    <row r="965" spans="1:12" ht="24.75" x14ac:dyDescent="0.25">
      <c r="A965" s="4" t="s">
        <v>6258</v>
      </c>
      <c r="B965" s="2" t="s">
        <v>2103</v>
      </c>
      <c r="C965" s="3">
        <v>1</v>
      </c>
      <c r="D965" s="5">
        <v>9.99</v>
      </c>
      <c r="E965" s="3" t="s">
        <v>2104</v>
      </c>
      <c r="F965" s="2" t="s">
        <v>38</v>
      </c>
      <c r="G965" s="6" t="s">
        <v>245</v>
      </c>
      <c r="H965" s="2" t="s">
        <v>1473</v>
      </c>
      <c r="I965" s="2" t="s">
        <v>1426</v>
      </c>
      <c r="J965" s="2" t="s">
        <v>19</v>
      </c>
      <c r="K965" s="2" t="s">
        <v>495</v>
      </c>
      <c r="L965" s="7" t="str">
        <f>HYPERLINK("http://slimages.macys.com/is/image/MCY/10746425 ")</f>
        <v xml:space="preserve">http://slimages.macys.com/is/image/MCY/10746425 </v>
      </c>
    </row>
    <row r="966" spans="1:12" ht="24.75" x14ac:dyDescent="0.25">
      <c r="A966" s="4" t="s">
        <v>6259</v>
      </c>
      <c r="B966" s="2" t="s">
        <v>6260</v>
      </c>
      <c r="C966" s="3">
        <v>1</v>
      </c>
      <c r="D966" s="5">
        <v>9.99</v>
      </c>
      <c r="E966" s="3" t="s">
        <v>6261</v>
      </c>
      <c r="F966" s="2" t="s">
        <v>331</v>
      </c>
      <c r="G966" s="6" t="s">
        <v>245</v>
      </c>
      <c r="H966" s="2" t="s">
        <v>1473</v>
      </c>
      <c r="I966" s="2" t="s">
        <v>1426</v>
      </c>
      <c r="J966" s="2" t="s">
        <v>19</v>
      </c>
      <c r="K966" s="2" t="s">
        <v>495</v>
      </c>
      <c r="L966" s="7" t="str">
        <f>HYPERLINK("http://slimages.macys.com/is/image/MCY/12269204 ")</f>
        <v xml:space="preserve">http://slimages.macys.com/is/image/MCY/12269204 </v>
      </c>
    </row>
    <row r="967" spans="1:12" ht="24.75" x14ac:dyDescent="0.25">
      <c r="A967" s="4" t="s">
        <v>5325</v>
      </c>
      <c r="B967" s="2" t="s">
        <v>5316</v>
      </c>
      <c r="C967" s="3">
        <v>1</v>
      </c>
      <c r="D967" s="5">
        <v>9.99</v>
      </c>
      <c r="E967" s="3" t="s">
        <v>5317</v>
      </c>
      <c r="F967" s="2" t="s">
        <v>33</v>
      </c>
      <c r="G967" s="6" t="s">
        <v>181</v>
      </c>
      <c r="H967" s="2" t="s">
        <v>1473</v>
      </c>
      <c r="I967" s="2" t="s">
        <v>1426</v>
      </c>
      <c r="J967" s="2" t="s">
        <v>19</v>
      </c>
      <c r="K967" s="2" t="s">
        <v>495</v>
      </c>
      <c r="L967" s="7" t="str">
        <f>HYPERLINK("http://slimages.macys.com/is/image/MCY/12269156 ")</f>
        <v xml:space="preserve">http://slimages.macys.com/is/image/MCY/12269156 </v>
      </c>
    </row>
    <row r="968" spans="1:12" ht="24.75" x14ac:dyDescent="0.25">
      <c r="A968" s="4" t="s">
        <v>6262</v>
      </c>
      <c r="B968" s="2" t="s">
        <v>3270</v>
      </c>
      <c r="C968" s="3">
        <v>1</v>
      </c>
      <c r="D968" s="5">
        <v>9.99</v>
      </c>
      <c r="E968" s="3" t="s">
        <v>3271</v>
      </c>
      <c r="F968" s="2" t="s">
        <v>79</v>
      </c>
      <c r="G968" s="6" t="s">
        <v>154</v>
      </c>
      <c r="H968" s="2" t="s">
        <v>1473</v>
      </c>
      <c r="I968" s="2" t="s">
        <v>1426</v>
      </c>
      <c r="J968" s="2" t="s">
        <v>19</v>
      </c>
      <c r="K968" s="2" t="s">
        <v>495</v>
      </c>
      <c r="L968" s="7" t="str">
        <f>HYPERLINK("http://slimages.macys.com/is/image/MCY/11774711 ")</f>
        <v xml:space="preserve">http://slimages.macys.com/is/image/MCY/11774711 </v>
      </c>
    </row>
    <row r="969" spans="1:12" ht="24.75" x14ac:dyDescent="0.25">
      <c r="A969" s="4" t="s">
        <v>6263</v>
      </c>
      <c r="B969" s="2" t="s">
        <v>2113</v>
      </c>
      <c r="C969" s="3">
        <v>1</v>
      </c>
      <c r="D969" s="5">
        <v>9.99</v>
      </c>
      <c r="E969" s="3" t="s">
        <v>2114</v>
      </c>
      <c r="F969" s="2" t="s">
        <v>331</v>
      </c>
      <c r="G969" s="6"/>
      <c r="H969" s="2" t="s">
        <v>1425</v>
      </c>
      <c r="I969" s="2" t="s">
        <v>1426</v>
      </c>
      <c r="J969" s="2" t="s">
        <v>19</v>
      </c>
      <c r="K969" s="2" t="s">
        <v>648</v>
      </c>
      <c r="L969" s="7" t="str">
        <f>HYPERLINK("http://slimages.macys.com/is/image/MCY/10703601 ")</f>
        <v xml:space="preserve">http://slimages.macys.com/is/image/MCY/10703601 </v>
      </c>
    </row>
    <row r="970" spans="1:12" ht="24.75" x14ac:dyDescent="0.25">
      <c r="A970" s="4" t="s">
        <v>2112</v>
      </c>
      <c r="B970" s="2" t="s">
        <v>2113</v>
      </c>
      <c r="C970" s="3">
        <v>1</v>
      </c>
      <c r="D970" s="5">
        <v>9.99</v>
      </c>
      <c r="E970" s="3" t="s">
        <v>2114</v>
      </c>
      <c r="F970" s="2" t="s">
        <v>74</v>
      </c>
      <c r="G970" s="6"/>
      <c r="H970" s="2" t="s">
        <v>1425</v>
      </c>
      <c r="I970" s="2" t="s">
        <v>1426</v>
      </c>
      <c r="J970" s="2" t="s">
        <v>19</v>
      </c>
      <c r="K970" s="2" t="s">
        <v>648</v>
      </c>
      <c r="L970" s="7" t="str">
        <f>HYPERLINK("http://slimages.macys.com/is/image/MCY/10703601 ")</f>
        <v xml:space="preserve">http://slimages.macys.com/is/image/MCY/10703601 </v>
      </c>
    </row>
    <row r="971" spans="1:12" ht="24.75" x14ac:dyDescent="0.25">
      <c r="A971" s="4" t="s">
        <v>6264</v>
      </c>
      <c r="B971" s="2" t="s">
        <v>757</v>
      </c>
      <c r="C971" s="3">
        <v>1</v>
      </c>
      <c r="D971" s="5">
        <v>37.130000000000003</v>
      </c>
      <c r="E971" s="3" t="s">
        <v>6265</v>
      </c>
      <c r="F971" s="2" t="s">
        <v>26</v>
      </c>
      <c r="G971" s="6"/>
      <c r="H971" s="2" t="s">
        <v>312</v>
      </c>
      <c r="I971" s="2" t="s">
        <v>503</v>
      </c>
      <c r="J971" s="2"/>
      <c r="K971" s="2"/>
      <c r="L971" s="7"/>
    </row>
    <row r="972" spans="1:12" ht="24.75" x14ac:dyDescent="0.25">
      <c r="A972" s="4" t="s">
        <v>6266</v>
      </c>
      <c r="B972" s="2" t="s">
        <v>6267</v>
      </c>
      <c r="C972" s="3">
        <v>1</v>
      </c>
      <c r="D972" s="5">
        <v>17.989999999999998</v>
      </c>
      <c r="E972" s="3" t="s">
        <v>6268</v>
      </c>
      <c r="F972" s="2" t="s">
        <v>1322</v>
      </c>
      <c r="G972" s="6" t="s">
        <v>154</v>
      </c>
      <c r="H972" s="2" t="s">
        <v>1522</v>
      </c>
      <c r="I972" s="2" t="s">
        <v>1469</v>
      </c>
      <c r="J972" s="2"/>
      <c r="K972" s="2"/>
      <c r="L972" s="7"/>
    </row>
    <row r="973" spans="1:12" ht="24.75" x14ac:dyDescent="0.25">
      <c r="A973" s="4" t="s">
        <v>6269</v>
      </c>
      <c r="B973" s="2" t="s">
        <v>6270</v>
      </c>
      <c r="C973" s="3">
        <v>2</v>
      </c>
      <c r="D973" s="5">
        <v>17.98</v>
      </c>
      <c r="E973" s="3">
        <v>100014642</v>
      </c>
      <c r="F973" s="2" t="s">
        <v>33</v>
      </c>
      <c r="G973" s="6" t="s">
        <v>234</v>
      </c>
      <c r="H973" s="2" t="s">
        <v>1522</v>
      </c>
      <c r="I973" s="2" t="s">
        <v>1469</v>
      </c>
      <c r="J973" s="2"/>
      <c r="K973" s="2"/>
      <c r="L973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2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.5703125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36.75" x14ac:dyDescent="0.25">
      <c r="A2" s="4" t="s">
        <v>6271</v>
      </c>
      <c r="B2" s="2" t="s">
        <v>3287</v>
      </c>
      <c r="C2" s="3">
        <v>1</v>
      </c>
      <c r="D2" s="5">
        <v>139</v>
      </c>
      <c r="E2" s="3" t="s">
        <v>3288</v>
      </c>
      <c r="F2" s="2" t="s">
        <v>136</v>
      </c>
      <c r="G2" s="6" t="s">
        <v>106</v>
      </c>
      <c r="H2" s="2" t="s">
        <v>95</v>
      </c>
      <c r="I2" s="2" t="s">
        <v>96</v>
      </c>
      <c r="J2" s="2" t="s">
        <v>19</v>
      </c>
      <c r="K2" s="2" t="s">
        <v>3296</v>
      </c>
      <c r="L2" s="7" t="str">
        <f>HYPERLINK("http://slimages.macys.com/is/image/MCY/12746908 ")</f>
        <v xml:space="preserve">http://slimages.macys.com/is/image/MCY/12746908 </v>
      </c>
    </row>
    <row r="3" spans="1:12" ht="36.75" x14ac:dyDescent="0.25">
      <c r="A3" s="4" t="s">
        <v>6272</v>
      </c>
      <c r="B3" s="2" t="s">
        <v>3287</v>
      </c>
      <c r="C3" s="3">
        <v>1</v>
      </c>
      <c r="D3" s="5">
        <v>139</v>
      </c>
      <c r="E3" s="3" t="s">
        <v>3288</v>
      </c>
      <c r="F3" s="2" t="s">
        <v>136</v>
      </c>
      <c r="G3" s="6" t="s">
        <v>22</v>
      </c>
      <c r="H3" s="2" t="s">
        <v>95</v>
      </c>
      <c r="I3" s="2" t="s">
        <v>96</v>
      </c>
      <c r="J3" s="2" t="s">
        <v>19</v>
      </c>
      <c r="K3" s="2" t="s">
        <v>3296</v>
      </c>
      <c r="L3" s="7" t="str">
        <f>HYPERLINK("http://slimages.macys.com/is/image/MCY/12746908 ")</f>
        <v xml:space="preserve">http://slimages.macys.com/is/image/MCY/12746908 </v>
      </c>
    </row>
    <row r="4" spans="1:12" ht="48.75" x14ac:dyDescent="0.25">
      <c r="A4" s="4" t="s">
        <v>2132</v>
      </c>
      <c r="B4" s="2" t="s">
        <v>2129</v>
      </c>
      <c r="C4" s="3">
        <v>1</v>
      </c>
      <c r="D4" s="5">
        <v>148</v>
      </c>
      <c r="E4" s="3" t="s">
        <v>2130</v>
      </c>
      <c r="F4" s="2" t="s">
        <v>413</v>
      </c>
      <c r="G4" s="6" t="s">
        <v>141</v>
      </c>
      <c r="H4" s="2" t="s">
        <v>17</v>
      </c>
      <c r="I4" s="2" t="s">
        <v>40</v>
      </c>
      <c r="J4" s="2" t="s">
        <v>19</v>
      </c>
      <c r="K4" s="2" t="s">
        <v>2131</v>
      </c>
      <c r="L4" s="7" t="str">
        <f>HYPERLINK("http://slimages.macys.com/is/image/MCY/13313400 ")</f>
        <v xml:space="preserve">http://slimages.macys.com/is/image/MCY/13313400 </v>
      </c>
    </row>
    <row r="5" spans="1:12" ht="48.75" x14ac:dyDescent="0.25">
      <c r="A5" s="4" t="s">
        <v>6273</v>
      </c>
      <c r="B5" s="2" t="s">
        <v>2129</v>
      </c>
      <c r="C5" s="3">
        <v>1</v>
      </c>
      <c r="D5" s="5">
        <v>148</v>
      </c>
      <c r="E5" s="3" t="s">
        <v>2130</v>
      </c>
      <c r="F5" s="2" t="s">
        <v>413</v>
      </c>
      <c r="G5" s="6" t="s">
        <v>27</v>
      </c>
      <c r="H5" s="2" t="s">
        <v>17</v>
      </c>
      <c r="I5" s="2" t="s">
        <v>40</v>
      </c>
      <c r="J5" s="2" t="s">
        <v>19</v>
      </c>
      <c r="K5" s="2" t="s">
        <v>2131</v>
      </c>
      <c r="L5" s="7" t="str">
        <f>HYPERLINK("http://slimages.macys.com/is/image/MCY/13313400 ")</f>
        <v xml:space="preserve">http://slimages.macys.com/is/image/MCY/13313400 </v>
      </c>
    </row>
    <row r="6" spans="1:12" ht="24.75" x14ac:dyDescent="0.25">
      <c r="A6" s="4" t="s">
        <v>90</v>
      </c>
      <c r="B6" s="2" t="s">
        <v>72</v>
      </c>
      <c r="C6" s="3">
        <v>1</v>
      </c>
      <c r="D6" s="5">
        <v>128</v>
      </c>
      <c r="E6" s="3" t="s">
        <v>73</v>
      </c>
      <c r="F6" s="2" t="s">
        <v>53</v>
      </c>
      <c r="G6" s="6" t="s">
        <v>16</v>
      </c>
      <c r="H6" s="2" t="s">
        <v>17</v>
      </c>
      <c r="I6" s="2" t="s">
        <v>18</v>
      </c>
      <c r="J6" s="2" t="s">
        <v>19</v>
      </c>
      <c r="K6" s="2" t="s">
        <v>75</v>
      </c>
      <c r="L6" s="7" t="str">
        <f>HYPERLINK("http://slimages.macys.com/is/image/MCY/12646967 ")</f>
        <v xml:space="preserve">http://slimages.macys.com/is/image/MCY/12646967 </v>
      </c>
    </row>
    <row r="7" spans="1:12" ht="24.75" x14ac:dyDescent="0.25">
      <c r="A7" s="4" t="s">
        <v>6274</v>
      </c>
      <c r="B7" s="2" t="s">
        <v>87</v>
      </c>
      <c r="C7" s="3">
        <v>1</v>
      </c>
      <c r="D7" s="5">
        <v>128</v>
      </c>
      <c r="E7" s="3" t="s">
        <v>88</v>
      </c>
      <c r="F7" s="2" t="s">
        <v>89</v>
      </c>
      <c r="G7" s="6" t="s">
        <v>27</v>
      </c>
      <c r="H7" s="2" t="s">
        <v>17</v>
      </c>
      <c r="I7" s="2" t="s">
        <v>18</v>
      </c>
      <c r="J7" s="2" t="s">
        <v>19</v>
      </c>
      <c r="K7" s="2" t="s">
        <v>75</v>
      </c>
      <c r="L7" s="7" t="str">
        <f>HYPERLINK("http://slimages.macys.com/is/image/MCY/12877462 ")</f>
        <v xml:space="preserve">http://slimages.macys.com/is/image/MCY/12877462 </v>
      </c>
    </row>
    <row r="8" spans="1:12" ht="24.75" x14ac:dyDescent="0.25">
      <c r="A8" s="4" t="s">
        <v>6275</v>
      </c>
      <c r="B8" s="2" t="s">
        <v>72</v>
      </c>
      <c r="C8" s="3">
        <v>1</v>
      </c>
      <c r="D8" s="5">
        <v>128</v>
      </c>
      <c r="E8" s="3" t="s">
        <v>73</v>
      </c>
      <c r="F8" s="2" t="s">
        <v>53</v>
      </c>
      <c r="G8" s="6" t="s">
        <v>22</v>
      </c>
      <c r="H8" s="2" t="s">
        <v>17</v>
      </c>
      <c r="I8" s="2" t="s">
        <v>18</v>
      </c>
      <c r="J8" s="2" t="s">
        <v>19</v>
      </c>
      <c r="K8" s="2" t="s">
        <v>75</v>
      </c>
      <c r="L8" s="7" t="str">
        <f>HYPERLINK("http://slimages.macys.com/is/image/MCY/12646967 ")</f>
        <v xml:space="preserve">http://slimages.macys.com/is/image/MCY/12646967 </v>
      </c>
    </row>
    <row r="9" spans="1:12" ht="24.75" x14ac:dyDescent="0.25">
      <c r="A9" s="4" t="s">
        <v>6276</v>
      </c>
      <c r="B9" s="2" t="s">
        <v>5354</v>
      </c>
      <c r="C9" s="3">
        <v>1</v>
      </c>
      <c r="D9" s="5">
        <v>119</v>
      </c>
      <c r="E9" s="3" t="s">
        <v>5355</v>
      </c>
      <c r="F9" s="2" t="s">
        <v>57</v>
      </c>
      <c r="G9" s="6" t="s">
        <v>5361</v>
      </c>
      <c r="H9" s="2" t="s">
        <v>17</v>
      </c>
      <c r="I9" s="2" t="s">
        <v>5356</v>
      </c>
      <c r="J9" s="2" t="s">
        <v>19</v>
      </c>
      <c r="K9" s="2" t="s">
        <v>118</v>
      </c>
      <c r="L9" s="7" t="str">
        <f>HYPERLINK("http://slimages.macys.com/is/image/MCY/12936412 ")</f>
        <v xml:space="preserve">http://slimages.macys.com/is/image/MCY/12936412 </v>
      </c>
    </row>
    <row r="10" spans="1:12" ht="36.75" x14ac:dyDescent="0.25">
      <c r="A10" s="4" t="s">
        <v>6277</v>
      </c>
      <c r="B10" s="2" t="s">
        <v>6278</v>
      </c>
      <c r="C10" s="3">
        <v>1</v>
      </c>
      <c r="D10" s="5">
        <v>119</v>
      </c>
      <c r="E10" s="3" t="s">
        <v>6279</v>
      </c>
      <c r="F10" s="2" t="s">
        <v>89</v>
      </c>
      <c r="G10" s="6" t="s">
        <v>4401</v>
      </c>
      <c r="H10" s="2" t="s">
        <v>17</v>
      </c>
      <c r="I10" s="2" t="s">
        <v>5356</v>
      </c>
      <c r="J10" s="2" t="s">
        <v>19</v>
      </c>
      <c r="K10" s="2" t="s">
        <v>2419</v>
      </c>
      <c r="L10" s="7" t="str">
        <f>HYPERLINK("http://slimages.macys.com/is/image/MCY/12383449 ")</f>
        <v xml:space="preserve">http://slimages.macys.com/is/image/MCY/12383449 </v>
      </c>
    </row>
    <row r="11" spans="1:12" ht="24.75" x14ac:dyDescent="0.25">
      <c r="A11" s="4" t="s">
        <v>2138</v>
      </c>
      <c r="B11" s="2" t="s">
        <v>104</v>
      </c>
      <c r="C11" s="3">
        <v>1</v>
      </c>
      <c r="D11" s="5">
        <v>119</v>
      </c>
      <c r="E11" s="3" t="s">
        <v>105</v>
      </c>
      <c r="F11" s="2" t="s">
        <v>26</v>
      </c>
      <c r="G11" s="6" t="s">
        <v>58</v>
      </c>
      <c r="H11" s="2" t="s">
        <v>17</v>
      </c>
      <c r="I11" s="2" t="s">
        <v>18</v>
      </c>
      <c r="J11" s="2" t="s">
        <v>19</v>
      </c>
      <c r="K11" s="2" t="s">
        <v>107</v>
      </c>
      <c r="L11" s="7" t="str">
        <f>HYPERLINK("http://slimages.macys.com/is/image/MCY/12326948 ")</f>
        <v xml:space="preserve">http://slimages.macys.com/is/image/MCY/12326948 </v>
      </c>
    </row>
    <row r="12" spans="1:12" ht="24.75" x14ac:dyDescent="0.25">
      <c r="A12" s="4" t="s">
        <v>103</v>
      </c>
      <c r="B12" s="2" t="s">
        <v>104</v>
      </c>
      <c r="C12" s="3">
        <v>1</v>
      </c>
      <c r="D12" s="5">
        <v>119</v>
      </c>
      <c r="E12" s="3" t="s">
        <v>105</v>
      </c>
      <c r="F12" s="2" t="s">
        <v>26</v>
      </c>
      <c r="G12" s="6" t="s">
        <v>106</v>
      </c>
      <c r="H12" s="2" t="s">
        <v>17</v>
      </c>
      <c r="I12" s="2" t="s">
        <v>18</v>
      </c>
      <c r="J12" s="2" t="s">
        <v>19</v>
      </c>
      <c r="K12" s="2" t="s">
        <v>107</v>
      </c>
      <c r="L12" s="7" t="str">
        <f>HYPERLINK("http://slimages.macys.com/is/image/MCY/12326948 ")</f>
        <v xml:space="preserve">http://slimages.macys.com/is/image/MCY/12326948 </v>
      </c>
    </row>
    <row r="13" spans="1:12" ht="24.75" x14ac:dyDescent="0.25">
      <c r="A13" s="4" t="s">
        <v>6280</v>
      </c>
      <c r="B13" s="2" t="s">
        <v>6281</v>
      </c>
      <c r="C13" s="3">
        <v>1</v>
      </c>
      <c r="D13" s="5">
        <v>89.5</v>
      </c>
      <c r="E13" s="3">
        <v>10723464</v>
      </c>
      <c r="F13" s="2" t="s">
        <v>887</v>
      </c>
      <c r="G13" s="6" t="s">
        <v>27</v>
      </c>
      <c r="H13" s="2" t="s">
        <v>17</v>
      </c>
      <c r="I13" s="2" t="s">
        <v>121</v>
      </c>
      <c r="J13" s="2" t="s">
        <v>19</v>
      </c>
      <c r="K13" s="2" t="s">
        <v>34</v>
      </c>
      <c r="L13" s="7" t="str">
        <f>HYPERLINK("http://slimages.macys.com/is/image/MCY/12743599 ")</f>
        <v xml:space="preserve">http://slimages.macys.com/is/image/MCY/12743599 </v>
      </c>
    </row>
    <row r="14" spans="1:12" ht="24.75" x14ac:dyDescent="0.25">
      <c r="A14" s="4" t="s">
        <v>6282</v>
      </c>
      <c r="B14" s="2" t="s">
        <v>6283</v>
      </c>
      <c r="C14" s="3">
        <v>1</v>
      </c>
      <c r="D14" s="5">
        <v>89</v>
      </c>
      <c r="E14" s="3" t="s">
        <v>6284</v>
      </c>
      <c r="F14" s="2" t="s">
        <v>417</v>
      </c>
      <c r="G14" s="6"/>
      <c r="H14" s="2" t="s">
        <v>6285</v>
      </c>
      <c r="I14" s="2" t="s">
        <v>6286</v>
      </c>
      <c r="J14" s="2" t="s">
        <v>19</v>
      </c>
      <c r="K14" s="2" t="s">
        <v>230</v>
      </c>
      <c r="L14" s="7" t="str">
        <f>HYPERLINK("http://slimages.macys.com/is/image/MCY/12248141 ")</f>
        <v xml:space="preserve">http://slimages.macys.com/is/image/MCY/12248141 </v>
      </c>
    </row>
    <row r="15" spans="1:12" ht="24.75" x14ac:dyDescent="0.25">
      <c r="A15" s="4" t="s">
        <v>6287</v>
      </c>
      <c r="B15" s="2" t="s">
        <v>6288</v>
      </c>
      <c r="C15" s="3">
        <v>1</v>
      </c>
      <c r="D15" s="5">
        <v>109.5</v>
      </c>
      <c r="E15" s="3" t="s">
        <v>6289</v>
      </c>
      <c r="F15" s="2" t="s">
        <v>74</v>
      </c>
      <c r="G15" s="6"/>
      <c r="H15" s="2" t="s">
        <v>127</v>
      </c>
      <c r="I15" s="2" t="s">
        <v>128</v>
      </c>
      <c r="J15" s="2" t="s">
        <v>19</v>
      </c>
      <c r="K15" s="2" t="s">
        <v>137</v>
      </c>
      <c r="L15" s="7" t="str">
        <f>HYPERLINK("http://slimages.macys.com/is/image/MCY/14313203 ")</f>
        <v xml:space="preserve">http://slimages.macys.com/is/image/MCY/14313203 </v>
      </c>
    </row>
    <row r="16" spans="1:12" ht="24.75" x14ac:dyDescent="0.25">
      <c r="A16" s="4" t="s">
        <v>6290</v>
      </c>
      <c r="B16" s="2" t="s">
        <v>4413</v>
      </c>
      <c r="C16" s="3">
        <v>1</v>
      </c>
      <c r="D16" s="5">
        <v>99</v>
      </c>
      <c r="E16" s="3" t="s">
        <v>4414</v>
      </c>
      <c r="F16" s="2" t="s">
        <v>887</v>
      </c>
      <c r="G16" s="6" t="s">
        <v>3309</v>
      </c>
      <c r="H16" s="2" t="s">
        <v>17</v>
      </c>
      <c r="I16" s="2" t="s">
        <v>145</v>
      </c>
      <c r="J16" s="2" t="s">
        <v>19</v>
      </c>
      <c r="K16" s="2" t="s">
        <v>75</v>
      </c>
      <c r="L16" s="7" t="str">
        <f>HYPERLINK("http://slimages.macys.com/is/image/MCY/11407685 ")</f>
        <v xml:space="preserve">http://slimages.macys.com/is/image/MCY/11407685 </v>
      </c>
    </row>
    <row r="17" spans="1:12" ht="24.75" x14ac:dyDescent="0.25">
      <c r="A17" s="4" t="s">
        <v>6291</v>
      </c>
      <c r="B17" s="2" t="s">
        <v>6292</v>
      </c>
      <c r="C17" s="3">
        <v>1</v>
      </c>
      <c r="D17" s="5">
        <v>89</v>
      </c>
      <c r="E17" s="3" t="s">
        <v>6293</v>
      </c>
      <c r="F17" s="2" t="s">
        <v>15</v>
      </c>
      <c r="G17" s="6" t="s">
        <v>141</v>
      </c>
      <c r="H17" s="2" t="s">
        <v>95</v>
      </c>
      <c r="I17" s="2" t="s">
        <v>96</v>
      </c>
      <c r="J17" s="2" t="s">
        <v>19</v>
      </c>
      <c r="K17" s="2" t="s">
        <v>607</v>
      </c>
      <c r="L17" s="7" t="str">
        <f>HYPERLINK("http://slimages.macys.com/is/image/MCY/12228319 ")</f>
        <v xml:space="preserve">http://slimages.macys.com/is/image/MCY/12228319 </v>
      </c>
    </row>
    <row r="18" spans="1:12" ht="24.75" x14ac:dyDescent="0.25">
      <c r="A18" s="4" t="s">
        <v>6294</v>
      </c>
      <c r="B18" s="2" t="s">
        <v>149</v>
      </c>
      <c r="C18" s="3">
        <v>1</v>
      </c>
      <c r="D18" s="5">
        <v>89</v>
      </c>
      <c r="E18" s="3" t="s">
        <v>150</v>
      </c>
      <c r="F18" s="2" t="s">
        <v>74</v>
      </c>
      <c r="G18" s="6" t="s">
        <v>141</v>
      </c>
      <c r="H18" s="2" t="s">
        <v>95</v>
      </c>
      <c r="I18" s="2" t="s">
        <v>96</v>
      </c>
      <c r="J18" s="2" t="s">
        <v>19</v>
      </c>
      <c r="K18" s="2" t="s">
        <v>151</v>
      </c>
      <c r="L18" s="7" t="str">
        <f>HYPERLINK("http://slimages.macys.com/is/image/MCY/12794413 ")</f>
        <v xml:space="preserve">http://slimages.macys.com/is/image/MCY/12794413 </v>
      </c>
    </row>
    <row r="19" spans="1:12" ht="24.75" x14ac:dyDescent="0.25">
      <c r="A19" s="4" t="s">
        <v>6295</v>
      </c>
      <c r="B19" s="2" t="s">
        <v>3316</v>
      </c>
      <c r="C19" s="3">
        <v>1</v>
      </c>
      <c r="D19" s="5">
        <v>79</v>
      </c>
      <c r="E19" s="3">
        <v>10716840</v>
      </c>
      <c r="F19" s="2" t="s">
        <v>956</v>
      </c>
      <c r="G19" s="6" t="s">
        <v>16</v>
      </c>
      <c r="H19" s="2" t="s">
        <v>2154</v>
      </c>
      <c r="I19" s="2" t="s">
        <v>2155</v>
      </c>
      <c r="J19" s="2" t="s">
        <v>19</v>
      </c>
      <c r="K19" s="2" t="s">
        <v>3323</v>
      </c>
      <c r="L19" s="7" t="str">
        <f>HYPERLINK("http://slimages.macys.com/is/image/MCY/11853430 ")</f>
        <v xml:space="preserve">http://slimages.macys.com/is/image/MCY/11853430 </v>
      </c>
    </row>
    <row r="20" spans="1:12" ht="24.75" x14ac:dyDescent="0.25">
      <c r="A20" s="4" t="s">
        <v>6296</v>
      </c>
      <c r="B20" s="2" t="s">
        <v>3316</v>
      </c>
      <c r="C20" s="3">
        <v>1</v>
      </c>
      <c r="D20" s="5">
        <v>79</v>
      </c>
      <c r="E20" s="3">
        <v>10716840</v>
      </c>
      <c r="F20" s="2" t="s">
        <v>956</v>
      </c>
      <c r="G20" s="6" t="s">
        <v>106</v>
      </c>
      <c r="H20" s="2" t="s">
        <v>2154</v>
      </c>
      <c r="I20" s="2" t="s">
        <v>2155</v>
      </c>
      <c r="J20" s="2" t="s">
        <v>19</v>
      </c>
      <c r="K20" s="2" t="s">
        <v>3323</v>
      </c>
      <c r="L20" s="7" t="str">
        <f>HYPERLINK("http://slimages.macys.com/is/image/MCY/11853430 ")</f>
        <v xml:space="preserve">http://slimages.macys.com/is/image/MCY/11853430 </v>
      </c>
    </row>
    <row r="21" spans="1:12" ht="24.75" x14ac:dyDescent="0.25">
      <c r="A21" s="4" t="s">
        <v>6297</v>
      </c>
      <c r="B21" s="2" t="s">
        <v>6298</v>
      </c>
      <c r="C21" s="3">
        <v>1</v>
      </c>
      <c r="D21" s="5">
        <v>79</v>
      </c>
      <c r="E21" s="3">
        <v>10713360</v>
      </c>
      <c r="F21" s="2" t="s">
        <v>74</v>
      </c>
      <c r="G21" s="6" t="s">
        <v>156</v>
      </c>
      <c r="H21" s="2" t="s">
        <v>2154</v>
      </c>
      <c r="I21" s="2" t="s">
        <v>2155</v>
      </c>
      <c r="J21" s="2" t="s">
        <v>19</v>
      </c>
      <c r="K21" s="2" t="s">
        <v>34</v>
      </c>
      <c r="L21" s="7" t="str">
        <f>HYPERLINK("http://slimages.macys.com/is/image/MCY/11627104 ")</f>
        <v xml:space="preserve">http://slimages.macys.com/is/image/MCY/11627104 </v>
      </c>
    </row>
    <row r="22" spans="1:12" ht="24.75" x14ac:dyDescent="0.25">
      <c r="A22" s="4" t="s">
        <v>155</v>
      </c>
      <c r="B22" s="2" t="s">
        <v>153</v>
      </c>
      <c r="C22" s="3">
        <v>1</v>
      </c>
      <c r="D22" s="5">
        <v>79.5</v>
      </c>
      <c r="E22" s="3">
        <v>10719732</v>
      </c>
      <c r="F22" s="2" t="s">
        <v>33</v>
      </c>
      <c r="G22" s="6" t="s">
        <v>156</v>
      </c>
      <c r="H22" s="2" t="s">
        <v>17</v>
      </c>
      <c r="I22" s="2" t="s">
        <v>121</v>
      </c>
      <c r="J22" s="2" t="s">
        <v>19</v>
      </c>
      <c r="K22" s="2" t="s">
        <v>34</v>
      </c>
      <c r="L22" s="7" t="str">
        <f>HYPERLINK("http://slimages.macys.com/is/image/MCY/10534487 ")</f>
        <v xml:space="preserve">http://slimages.macys.com/is/image/MCY/10534487 </v>
      </c>
    </row>
    <row r="23" spans="1:12" x14ac:dyDescent="0.25">
      <c r="A23" s="4" t="s">
        <v>6299</v>
      </c>
      <c r="B23" s="2" t="s">
        <v>6300</v>
      </c>
      <c r="C23" s="3">
        <v>1</v>
      </c>
      <c r="D23" s="5">
        <v>79.5</v>
      </c>
      <c r="E23" s="3" t="s">
        <v>6301</v>
      </c>
      <c r="F23" s="2" t="s">
        <v>74</v>
      </c>
      <c r="G23" s="6" t="s">
        <v>3715</v>
      </c>
      <c r="H23" s="2" t="s">
        <v>206</v>
      </c>
      <c r="I23" s="2" t="s">
        <v>1010</v>
      </c>
      <c r="J23" s="2" t="s">
        <v>19</v>
      </c>
      <c r="K23" s="2" t="s">
        <v>3423</v>
      </c>
      <c r="L23" s="7" t="str">
        <f>HYPERLINK("http://slimages.macys.com/is/image/MCY/10121611 ")</f>
        <v xml:space="preserve">http://slimages.macys.com/is/image/MCY/10121611 </v>
      </c>
    </row>
    <row r="24" spans="1:12" x14ac:dyDescent="0.25">
      <c r="A24" s="4" t="s">
        <v>6302</v>
      </c>
      <c r="B24" s="2" t="s">
        <v>6300</v>
      </c>
      <c r="C24" s="3">
        <v>1</v>
      </c>
      <c r="D24" s="5">
        <v>79.5</v>
      </c>
      <c r="E24" s="3" t="s">
        <v>6301</v>
      </c>
      <c r="F24" s="2" t="s">
        <v>74</v>
      </c>
      <c r="G24" s="6" t="s">
        <v>165</v>
      </c>
      <c r="H24" s="2" t="s">
        <v>206</v>
      </c>
      <c r="I24" s="2" t="s">
        <v>1010</v>
      </c>
      <c r="J24" s="2" t="s">
        <v>19</v>
      </c>
      <c r="K24" s="2" t="s">
        <v>3423</v>
      </c>
      <c r="L24" s="7" t="str">
        <f>HYPERLINK("http://slimages.macys.com/is/image/MCY/10121611 ")</f>
        <v xml:space="preserve">http://slimages.macys.com/is/image/MCY/10121611 </v>
      </c>
    </row>
    <row r="25" spans="1:12" ht="24.75" x14ac:dyDescent="0.25">
      <c r="A25" s="4" t="s">
        <v>3339</v>
      </c>
      <c r="B25" s="2" t="s">
        <v>3334</v>
      </c>
      <c r="C25" s="3">
        <v>1</v>
      </c>
      <c r="D25" s="5">
        <v>67.5</v>
      </c>
      <c r="E25" s="3" t="s">
        <v>3335</v>
      </c>
      <c r="F25" s="2" t="s">
        <v>74</v>
      </c>
      <c r="G25" s="6"/>
      <c r="H25" s="2" t="s">
        <v>127</v>
      </c>
      <c r="I25" s="2" t="s">
        <v>128</v>
      </c>
      <c r="J25" s="2" t="s">
        <v>19</v>
      </c>
      <c r="K25" s="2" t="s">
        <v>1480</v>
      </c>
      <c r="L25" s="7" t="str">
        <f>HYPERLINK("http://slimages.macys.com/is/image/MCY/11832694 ")</f>
        <v xml:space="preserve">http://slimages.macys.com/is/image/MCY/11832694 </v>
      </c>
    </row>
    <row r="26" spans="1:12" ht="24.75" x14ac:dyDescent="0.25">
      <c r="A26" s="4" t="s">
        <v>3342</v>
      </c>
      <c r="B26" s="2" t="s">
        <v>198</v>
      </c>
      <c r="C26" s="3">
        <v>1</v>
      </c>
      <c r="D26" s="5">
        <v>52.13</v>
      </c>
      <c r="E26" s="3">
        <v>100054438</v>
      </c>
      <c r="F26" s="2" t="s">
        <v>199</v>
      </c>
      <c r="G26" s="6" t="s">
        <v>181</v>
      </c>
      <c r="H26" s="2" t="s">
        <v>194</v>
      </c>
      <c r="I26" s="2" t="s">
        <v>195</v>
      </c>
      <c r="J26" s="2" t="s">
        <v>19</v>
      </c>
      <c r="K26" s="2" t="s">
        <v>201</v>
      </c>
      <c r="L26" s="7" t="str">
        <f>HYPERLINK("http://slimages.macys.com/is/image/MCY/12316594 ")</f>
        <v xml:space="preserve">http://slimages.macys.com/is/image/MCY/12316594 </v>
      </c>
    </row>
    <row r="27" spans="1:12" ht="24.75" x14ac:dyDescent="0.25">
      <c r="A27" s="4" t="s">
        <v>3345</v>
      </c>
      <c r="B27" s="2" t="s">
        <v>3346</v>
      </c>
      <c r="C27" s="3">
        <v>1</v>
      </c>
      <c r="D27" s="5">
        <v>52.13</v>
      </c>
      <c r="E27" s="3" t="s">
        <v>3347</v>
      </c>
      <c r="F27" s="2" t="s">
        <v>887</v>
      </c>
      <c r="G27" s="6" t="s">
        <v>154</v>
      </c>
      <c r="H27" s="2" t="s">
        <v>194</v>
      </c>
      <c r="I27" s="2" t="s">
        <v>195</v>
      </c>
      <c r="J27" s="2" t="s">
        <v>19</v>
      </c>
      <c r="K27" s="2" t="s">
        <v>3350</v>
      </c>
      <c r="L27" s="7" t="str">
        <f>HYPERLINK("http://slimages.macys.com/is/image/MCY/12034735 ")</f>
        <v xml:space="preserve">http://slimages.macys.com/is/image/MCY/12034735 </v>
      </c>
    </row>
    <row r="28" spans="1:12" x14ac:dyDescent="0.25">
      <c r="A28" s="4" t="s">
        <v>232</v>
      </c>
      <c r="B28" s="2" t="s">
        <v>178</v>
      </c>
      <c r="C28" s="3">
        <v>1</v>
      </c>
      <c r="D28" s="5">
        <v>55.65</v>
      </c>
      <c r="E28" s="3" t="s">
        <v>179</v>
      </c>
      <c r="F28" s="2" t="s">
        <v>74</v>
      </c>
      <c r="G28" s="6" t="s">
        <v>181</v>
      </c>
      <c r="H28" s="2" t="s">
        <v>182</v>
      </c>
      <c r="I28" s="2" t="s">
        <v>183</v>
      </c>
      <c r="J28" s="2" t="s">
        <v>19</v>
      </c>
      <c r="K28" s="2" t="s">
        <v>34</v>
      </c>
      <c r="L28" s="7" t="str">
        <f>HYPERLINK("http://slimages.macys.com/is/image/MCY/12935648 ")</f>
        <v xml:space="preserve">http://slimages.macys.com/is/image/MCY/12935648 </v>
      </c>
    </row>
    <row r="29" spans="1:12" x14ac:dyDescent="0.25">
      <c r="A29" s="4" t="s">
        <v>6303</v>
      </c>
      <c r="B29" s="2" t="s">
        <v>6304</v>
      </c>
      <c r="C29" s="3">
        <v>1</v>
      </c>
      <c r="D29" s="5">
        <v>60.15</v>
      </c>
      <c r="E29" s="3" t="s">
        <v>6305</v>
      </c>
      <c r="F29" s="2" t="s">
        <v>74</v>
      </c>
      <c r="G29" s="6" t="s">
        <v>181</v>
      </c>
      <c r="H29" s="2" t="s">
        <v>182</v>
      </c>
      <c r="I29" s="2" t="s">
        <v>183</v>
      </c>
      <c r="J29" s="2" t="s">
        <v>19</v>
      </c>
      <c r="K29" s="2" t="s">
        <v>160</v>
      </c>
      <c r="L29" s="7" t="str">
        <f>HYPERLINK("http://slimages.macys.com/is/image/MCY/12938516 ")</f>
        <v xml:space="preserve">http://slimages.macys.com/is/image/MCY/12938516 </v>
      </c>
    </row>
    <row r="30" spans="1:12" ht="24.75" x14ac:dyDescent="0.25">
      <c r="A30" s="4" t="s">
        <v>6306</v>
      </c>
      <c r="B30" s="2" t="s">
        <v>2176</v>
      </c>
      <c r="C30" s="3">
        <v>1</v>
      </c>
      <c r="D30" s="5">
        <v>51.75</v>
      </c>
      <c r="E30" s="3">
        <v>100053415</v>
      </c>
      <c r="F30" s="2" t="s">
        <v>15</v>
      </c>
      <c r="G30" s="6" t="s">
        <v>234</v>
      </c>
      <c r="H30" s="2" t="s">
        <v>228</v>
      </c>
      <c r="I30" s="2" t="s">
        <v>229</v>
      </c>
      <c r="J30" s="2" t="s">
        <v>19</v>
      </c>
      <c r="K30" s="2" t="s">
        <v>230</v>
      </c>
      <c r="L30" s="7" t="str">
        <f>HYPERLINK("http://slimages.macys.com/is/image/MCY/12317942 ")</f>
        <v xml:space="preserve">http://slimages.macys.com/is/image/MCY/12317942 </v>
      </c>
    </row>
    <row r="31" spans="1:12" ht="24.75" x14ac:dyDescent="0.25">
      <c r="A31" s="4" t="s">
        <v>6307</v>
      </c>
      <c r="B31" s="2" t="s">
        <v>4455</v>
      </c>
      <c r="C31" s="3">
        <v>1</v>
      </c>
      <c r="D31" s="5">
        <v>58.5</v>
      </c>
      <c r="E31" s="3" t="s">
        <v>6308</v>
      </c>
      <c r="F31" s="2" t="s">
        <v>79</v>
      </c>
      <c r="G31" s="6"/>
      <c r="H31" s="2" t="s">
        <v>188</v>
      </c>
      <c r="I31" s="2" t="s">
        <v>189</v>
      </c>
      <c r="J31" s="2" t="s">
        <v>19</v>
      </c>
      <c r="K31" s="2" t="s">
        <v>201</v>
      </c>
      <c r="L31" s="7" t="str">
        <f>HYPERLINK("http://slimages.macys.com/is/image/MCY/10678558 ")</f>
        <v xml:space="preserve">http://slimages.macys.com/is/image/MCY/10678558 </v>
      </c>
    </row>
    <row r="32" spans="1:12" ht="24.75" x14ac:dyDescent="0.25">
      <c r="A32" s="4" t="s">
        <v>259</v>
      </c>
      <c r="B32" s="2" t="s">
        <v>255</v>
      </c>
      <c r="C32" s="3">
        <v>2</v>
      </c>
      <c r="D32" s="5">
        <v>62.15</v>
      </c>
      <c r="E32" s="3" t="s">
        <v>256</v>
      </c>
      <c r="F32" s="2" t="s">
        <v>26</v>
      </c>
      <c r="G32" s="6" t="s">
        <v>156</v>
      </c>
      <c r="H32" s="2" t="s">
        <v>182</v>
      </c>
      <c r="I32" s="2" t="s">
        <v>183</v>
      </c>
      <c r="J32" s="2" t="s">
        <v>19</v>
      </c>
      <c r="K32" s="2" t="s">
        <v>258</v>
      </c>
      <c r="L32" s="7" t="str">
        <f>HYPERLINK("http://slimages.macys.com/is/image/MCY/12851794 ")</f>
        <v xml:space="preserve">http://slimages.macys.com/is/image/MCY/12851794 </v>
      </c>
    </row>
    <row r="33" spans="1:12" ht="24.75" x14ac:dyDescent="0.25">
      <c r="A33" s="4" t="s">
        <v>254</v>
      </c>
      <c r="B33" s="2" t="s">
        <v>255</v>
      </c>
      <c r="C33" s="3">
        <v>1</v>
      </c>
      <c r="D33" s="5">
        <v>62.15</v>
      </c>
      <c r="E33" s="3" t="s">
        <v>256</v>
      </c>
      <c r="F33" s="2" t="s">
        <v>257</v>
      </c>
      <c r="G33" s="6" t="s">
        <v>234</v>
      </c>
      <c r="H33" s="2" t="s">
        <v>182</v>
      </c>
      <c r="I33" s="2" t="s">
        <v>183</v>
      </c>
      <c r="J33" s="2" t="s">
        <v>19</v>
      </c>
      <c r="K33" s="2" t="s">
        <v>258</v>
      </c>
      <c r="L33" s="7" t="str">
        <f>HYPERLINK("http://slimages.macys.com/is/image/MCY/12851794 ")</f>
        <v xml:space="preserve">http://slimages.macys.com/is/image/MCY/12851794 </v>
      </c>
    </row>
    <row r="34" spans="1:12" ht="24.75" x14ac:dyDescent="0.25">
      <c r="A34" s="4" t="s">
        <v>2182</v>
      </c>
      <c r="B34" s="2" t="s">
        <v>255</v>
      </c>
      <c r="C34" s="3">
        <v>1</v>
      </c>
      <c r="D34" s="5">
        <v>62.15</v>
      </c>
      <c r="E34" s="3" t="s">
        <v>256</v>
      </c>
      <c r="F34" s="2" t="s">
        <v>257</v>
      </c>
      <c r="G34" s="6" t="s">
        <v>154</v>
      </c>
      <c r="H34" s="2" t="s">
        <v>182</v>
      </c>
      <c r="I34" s="2" t="s">
        <v>183</v>
      </c>
      <c r="J34" s="2" t="s">
        <v>19</v>
      </c>
      <c r="K34" s="2" t="s">
        <v>258</v>
      </c>
      <c r="L34" s="7" t="str">
        <f>HYPERLINK("http://slimages.macys.com/is/image/MCY/12851794 ")</f>
        <v xml:space="preserve">http://slimages.macys.com/is/image/MCY/12851794 </v>
      </c>
    </row>
    <row r="35" spans="1:12" ht="24.75" x14ac:dyDescent="0.25">
      <c r="A35" s="4" t="s">
        <v>2181</v>
      </c>
      <c r="B35" s="2" t="s">
        <v>255</v>
      </c>
      <c r="C35" s="3">
        <v>2</v>
      </c>
      <c r="D35" s="5">
        <v>62.15</v>
      </c>
      <c r="E35" s="3" t="s">
        <v>256</v>
      </c>
      <c r="F35" s="2" t="s">
        <v>257</v>
      </c>
      <c r="G35" s="6" t="s">
        <v>181</v>
      </c>
      <c r="H35" s="2" t="s">
        <v>182</v>
      </c>
      <c r="I35" s="2" t="s">
        <v>183</v>
      </c>
      <c r="J35" s="2" t="s">
        <v>19</v>
      </c>
      <c r="K35" s="2" t="s">
        <v>258</v>
      </c>
      <c r="L35" s="7" t="str">
        <f>HYPERLINK("http://slimages.macys.com/is/image/MCY/12851794 ")</f>
        <v xml:space="preserve">http://slimages.macys.com/is/image/MCY/12851794 </v>
      </c>
    </row>
    <row r="36" spans="1:12" ht="24.75" x14ac:dyDescent="0.25">
      <c r="A36" s="4" t="s">
        <v>6309</v>
      </c>
      <c r="B36" s="2" t="s">
        <v>261</v>
      </c>
      <c r="C36" s="3">
        <v>1</v>
      </c>
      <c r="D36" s="5">
        <v>52.13</v>
      </c>
      <c r="E36" s="3" t="s">
        <v>4494</v>
      </c>
      <c r="F36" s="2" t="s">
        <v>64</v>
      </c>
      <c r="G36" s="6" t="s">
        <v>154</v>
      </c>
      <c r="H36" s="2" t="s">
        <v>246</v>
      </c>
      <c r="I36" s="2" t="s">
        <v>189</v>
      </c>
      <c r="J36" s="2" t="s">
        <v>19</v>
      </c>
      <c r="K36" s="2" t="s">
        <v>263</v>
      </c>
      <c r="L36" s="7" t="str">
        <f>HYPERLINK("http://slimages.macys.com/is/image/MCY/16351261 ")</f>
        <v xml:space="preserve">http://slimages.macys.com/is/image/MCY/16351261 </v>
      </c>
    </row>
    <row r="37" spans="1:12" ht="24.75" x14ac:dyDescent="0.25">
      <c r="A37" s="4" t="s">
        <v>6310</v>
      </c>
      <c r="B37" s="2" t="s">
        <v>3355</v>
      </c>
      <c r="C37" s="3">
        <v>1</v>
      </c>
      <c r="D37" s="5">
        <v>59.63</v>
      </c>
      <c r="E37" s="3" t="s">
        <v>3356</v>
      </c>
      <c r="F37" s="2"/>
      <c r="G37" s="6" t="s">
        <v>245</v>
      </c>
      <c r="H37" s="2" t="s">
        <v>246</v>
      </c>
      <c r="I37" s="2" t="s">
        <v>189</v>
      </c>
      <c r="J37" s="2" t="s">
        <v>19</v>
      </c>
      <c r="K37" s="2" t="s">
        <v>34</v>
      </c>
      <c r="L37" s="7" t="str">
        <f>HYPERLINK("http://slimages.macys.com/is/image/MCY/11420502 ")</f>
        <v xml:space="preserve">http://slimages.macys.com/is/image/MCY/11420502 </v>
      </c>
    </row>
    <row r="38" spans="1:12" ht="36.75" x14ac:dyDescent="0.25">
      <c r="A38" s="4" t="s">
        <v>6311</v>
      </c>
      <c r="B38" s="2" t="s">
        <v>6312</v>
      </c>
      <c r="C38" s="3">
        <v>1</v>
      </c>
      <c r="D38" s="5">
        <v>59.63</v>
      </c>
      <c r="E38" s="3" t="s">
        <v>6313</v>
      </c>
      <c r="F38" s="2" t="s">
        <v>89</v>
      </c>
      <c r="G38" s="6" t="s">
        <v>181</v>
      </c>
      <c r="H38" s="2" t="s">
        <v>246</v>
      </c>
      <c r="I38" s="2" t="s">
        <v>189</v>
      </c>
      <c r="J38" s="2" t="s">
        <v>19</v>
      </c>
      <c r="K38" s="2" t="s">
        <v>6314</v>
      </c>
      <c r="L38" s="7" t="str">
        <f>HYPERLINK("http://slimages.macys.com/is/image/MCY/12664103 ")</f>
        <v xml:space="preserve">http://slimages.macys.com/is/image/MCY/12664103 </v>
      </c>
    </row>
    <row r="39" spans="1:12" ht="24.75" x14ac:dyDescent="0.25">
      <c r="A39" s="4" t="s">
        <v>6315</v>
      </c>
      <c r="B39" s="2" t="s">
        <v>2188</v>
      </c>
      <c r="C39" s="3">
        <v>1</v>
      </c>
      <c r="D39" s="5">
        <v>69.5</v>
      </c>
      <c r="E39" s="3">
        <v>100058338</v>
      </c>
      <c r="F39" s="2" t="s">
        <v>64</v>
      </c>
      <c r="G39" s="6" t="s">
        <v>65</v>
      </c>
      <c r="H39" s="2" t="s">
        <v>386</v>
      </c>
      <c r="I39" s="2" t="s">
        <v>207</v>
      </c>
      <c r="J39" s="2" t="s">
        <v>19</v>
      </c>
      <c r="K39" s="2" t="s">
        <v>338</v>
      </c>
      <c r="L39" s="7" t="str">
        <f>HYPERLINK("http://slimages.macys.com/is/image/MCY/11943173 ")</f>
        <v xml:space="preserve">http://slimages.macys.com/is/image/MCY/11943173 </v>
      </c>
    </row>
    <row r="40" spans="1:12" ht="24.75" x14ac:dyDescent="0.25">
      <c r="A40" s="4" t="s">
        <v>6316</v>
      </c>
      <c r="B40" s="2" t="s">
        <v>3358</v>
      </c>
      <c r="C40" s="3">
        <v>1</v>
      </c>
      <c r="D40" s="5">
        <v>52.13</v>
      </c>
      <c r="E40" s="3" t="s">
        <v>3359</v>
      </c>
      <c r="F40" s="2" t="s">
        <v>26</v>
      </c>
      <c r="G40" s="6" t="s">
        <v>234</v>
      </c>
      <c r="H40" s="2" t="s">
        <v>246</v>
      </c>
      <c r="I40" s="2" t="s">
        <v>189</v>
      </c>
      <c r="J40" s="2" t="s">
        <v>19</v>
      </c>
      <c r="K40" s="2" t="s">
        <v>705</v>
      </c>
      <c r="L40" s="7" t="str">
        <f>HYPERLINK("http://slimages.macys.com/is/image/MCY/13300525 ")</f>
        <v xml:space="preserve">http://slimages.macys.com/is/image/MCY/13300525 </v>
      </c>
    </row>
    <row r="41" spans="1:12" ht="24.75" x14ac:dyDescent="0.25">
      <c r="A41" s="4" t="s">
        <v>6317</v>
      </c>
      <c r="B41" s="2" t="s">
        <v>279</v>
      </c>
      <c r="C41" s="3">
        <v>1</v>
      </c>
      <c r="D41" s="5">
        <v>69.5</v>
      </c>
      <c r="E41" s="3" t="s">
        <v>280</v>
      </c>
      <c r="F41" s="2" t="s">
        <v>15</v>
      </c>
      <c r="G41" s="6" t="s">
        <v>219</v>
      </c>
      <c r="H41" s="2" t="s">
        <v>127</v>
      </c>
      <c r="I41" s="2" t="s">
        <v>128</v>
      </c>
      <c r="J41" s="2" t="s">
        <v>19</v>
      </c>
      <c r="K41" s="2" t="s">
        <v>34</v>
      </c>
      <c r="L41" s="7" t="str">
        <f>HYPERLINK("http://slimages.macys.com/is/image/MCY/12549690 ")</f>
        <v xml:space="preserve">http://slimages.macys.com/is/image/MCY/12549690 </v>
      </c>
    </row>
    <row r="42" spans="1:12" ht="24.75" x14ac:dyDescent="0.25">
      <c r="A42" s="4" t="s">
        <v>6318</v>
      </c>
      <c r="B42" s="2" t="s">
        <v>2195</v>
      </c>
      <c r="C42" s="3">
        <v>1</v>
      </c>
      <c r="D42" s="5">
        <v>48.38</v>
      </c>
      <c r="E42" s="3" t="s">
        <v>2196</v>
      </c>
      <c r="F42" s="2" t="s">
        <v>74</v>
      </c>
      <c r="G42" s="6" t="s">
        <v>6319</v>
      </c>
      <c r="H42" s="2" t="s">
        <v>349</v>
      </c>
      <c r="I42" s="2" t="s">
        <v>408</v>
      </c>
      <c r="J42" s="2" t="s">
        <v>19</v>
      </c>
      <c r="K42" s="2" t="s">
        <v>160</v>
      </c>
      <c r="L42" s="7" t="str">
        <f>HYPERLINK("http://slimages.macys.com/is/image/MCY/13535632 ")</f>
        <v xml:space="preserve">http://slimages.macys.com/is/image/MCY/13535632 </v>
      </c>
    </row>
    <row r="43" spans="1:12" ht="36.75" x14ac:dyDescent="0.25">
      <c r="A43" s="4" t="s">
        <v>6320</v>
      </c>
      <c r="B43" s="2" t="s">
        <v>2198</v>
      </c>
      <c r="C43" s="3">
        <v>2</v>
      </c>
      <c r="D43" s="5">
        <v>52.13</v>
      </c>
      <c r="E43" s="3">
        <v>100020408</v>
      </c>
      <c r="F43" s="2" t="s">
        <v>26</v>
      </c>
      <c r="G43" s="6" t="s">
        <v>200</v>
      </c>
      <c r="H43" s="2" t="s">
        <v>194</v>
      </c>
      <c r="I43" s="2" t="s">
        <v>195</v>
      </c>
      <c r="J43" s="2" t="s">
        <v>19</v>
      </c>
      <c r="K43" s="2" t="s">
        <v>2199</v>
      </c>
      <c r="L43" s="7" t="str">
        <f>HYPERLINK("http://slimages.macys.com/is/image/MCY/9504840 ")</f>
        <v xml:space="preserve">http://slimages.macys.com/is/image/MCY/9504840 </v>
      </c>
    </row>
    <row r="44" spans="1:12" ht="36.75" x14ac:dyDescent="0.25">
      <c r="A44" s="4" t="s">
        <v>2197</v>
      </c>
      <c r="B44" s="2" t="s">
        <v>2198</v>
      </c>
      <c r="C44" s="3">
        <v>1</v>
      </c>
      <c r="D44" s="5">
        <v>52.13</v>
      </c>
      <c r="E44" s="3">
        <v>100020408</v>
      </c>
      <c r="F44" s="2" t="s">
        <v>26</v>
      </c>
      <c r="G44" s="6" t="s">
        <v>181</v>
      </c>
      <c r="H44" s="2" t="s">
        <v>194</v>
      </c>
      <c r="I44" s="2" t="s">
        <v>195</v>
      </c>
      <c r="J44" s="2" t="s">
        <v>19</v>
      </c>
      <c r="K44" s="2" t="s">
        <v>2199</v>
      </c>
      <c r="L44" s="7" t="str">
        <f>HYPERLINK("http://slimages.macys.com/is/image/MCY/9504840 ")</f>
        <v xml:space="preserve">http://slimages.macys.com/is/image/MCY/9504840 </v>
      </c>
    </row>
    <row r="45" spans="1:12" ht="24.75" x14ac:dyDescent="0.25">
      <c r="A45" s="4" t="s">
        <v>6321</v>
      </c>
      <c r="B45" s="2" t="s">
        <v>293</v>
      </c>
      <c r="C45" s="3">
        <v>1</v>
      </c>
      <c r="D45" s="5">
        <v>52.13</v>
      </c>
      <c r="E45" s="3" t="s">
        <v>294</v>
      </c>
      <c r="F45" s="2" t="s">
        <v>26</v>
      </c>
      <c r="G45" s="6" t="s">
        <v>234</v>
      </c>
      <c r="H45" s="2" t="s">
        <v>194</v>
      </c>
      <c r="I45" s="2" t="s">
        <v>195</v>
      </c>
      <c r="J45" s="2" t="s">
        <v>19</v>
      </c>
      <c r="K45" s="2" t="s">
        <v>160</v>
      </c>
      <c r="L45" s="7" t="str">
        <f>HYPERLINK("http://slimages.macys.com/is/image/MCY/12143831 ")</f>
        <v xml:space="preserve">http://slimages.macys.com/is/image/MCY/12143831 </v>
      </c>
    </row>
    <row r="46" spans="1:12" ht="24.75" x14ac:dyDescent="0.25">
      <c r="A46" s="4" t="s">
        <v>6322</v>
      </c>
      <c r="B46" s="2" t="s">
        <v>297</v>
      </c>
      <c r="C46" s="3">
        <v>1</v>
      </c>
      <c r="D46" s="5">
        <v>59.63</v>
      </c>
      <c r="E46" s="3" t="s">
        <v>3369</v>
      </c>
      <c r="F46" s="2" t="s">
        <v>74</v>
      </c>
      <c r="G46" s="6" t="s">
        <v>165</v>
      </c>
      <c r="H46" s="2" t="s">
        <v>188</v>
      </c>
      <c r="I46" s="2" t="s">
        <v>189</v>
      </c>
      <c r="J46" s="2" t="s">
        <v>19</v>
      </c>
      <c r="K46" s="2" t="s">
        <v>34</v>
      </c>
      <c r="L46" s="7" t="str">
        <f>HYPERLINK("http://slimages.macys.com/is/image/MCY/11884459 ")</f>
        <v xml:space="preserve">http://slimages.macys.com/is/image/MCY/11884459 </v>
      </c>
    </row>
    <row r="47" spans="1:12" ht="24.75" x14ac:dyDescent="0.25">
      <c r="A47" s="4" t="s">
        <v>6323</v>
      </c>
      <c r="B47" s="2" t="s">
        <v>4479</v>
      </c>
      <c r="C47" s="3">
        <v>1</v>
      </c>
      <c r="D47" s="5">
        <v>52.13</v>
      </c>
      <c r="E47" s="3" t="s">
        <v>4480</v>
      </c>
      <c r="F47" s="2" t="s">
        <v>26</v>
      </c>
      <c r="G47" s="6" t="s">
        <v>348</v>
      </c>
      <c r="H47" s="2" t="s">
        <v>349</v>
      </c>
      <c r="I47" s="2" t="s">
        <v>285</v>
      </c>
      <c r="J47" s="2" t="s">
        <v>19</v>
      </c>
      <c r="K47" s="2" t="s">
        <v>323</v>
      </c>
      <c r="L47" s="7" t="str">
        <f>HYPERLINK("http://slimages.macys.com/is/image/MCY/11708086 ")</f>
        <v xml:space="preserve">http://slimages.macys.com/is/image/MCY/11708086 </v>
      </c>
    </row>
    <row r="48" spans="1:12" ht="24.75" x14ac:dyDescent="0.25">
      <c r="A48" s="4" t="s">
        <v>6324</v>
      </c>
      <c r="B48" s="2" t="s">
        <v>6325</v>
      </c>
      <c r="C48" s="3">
        <v>1</v>
      </c>
      <c r="D48" s="5">
        <v>52.13</v>
      </c>
      <c r="E48" s="3">
        <v>100022111</v>
      </c>
      <c r="F48" s="2" t="s">
        <v>413</v>
      </c>
      <c r="G48" s="6" t="s">
        <v>156</v>
      </c>
      <c r="H48" s="2" t="s">
        <v>194</v>
      </c>
      <c r="I48" s="2" t="s">
        <v>307</v>
      </c>
      <c r="J48" s="2" t="s">
        <v>19</v>
      </c>
      <c r="K48" s="2" t="s">
        <v>160</v>
      </c>
      <c r="L48" s="7" t="str">
        <f>HYPERLINK("http://slimages.macys.com/is/image/MCY/9450453 ")</f>
        <v xml:space="preserve">http://slimages.macys.com/is/image/MCY/9450453 </v>
      </c>
    </row>
    <row r="49" spans="1:12" ht="24.75" x14ac:dyDescent="0.25">
      <c r="A49" s="4" t="s">
        <v>6326</v>
      </c>
      <c r="B49" s="2" t="s">
        <v>325</v>
      </c>
      <c r="C49" s="3">
        <v>1</v>
      </c>
      <c r="D49" s="5">
        <v>52.13</v>
      </c>
      <c r="E49" s="3" t="s">
        <v>326</v>
      </c>
      <c r="F49" s="2" t="s">
        <v>74</v>
      </c>
      <c r="G49" s="6"/>
      <c r="H49" s="2" t="s">
        <v>312</v>
      </c>
      <c r="I49" s="2" t="s">
        <v>307</v>
      </c>
      <c r="J49" s="2" t="s">
        <v>19</v>
      </c>
      <c r="K49" s="2" t="s">
        <v>327</v>
      </c>
      <c r="L49" s="7" t="str">
        <f>HYPERLINK("http://slimages.macys.com/is/image/MCY/9484121 ")</f>
        <v xml:space="preserve">http://slimages.macys.com/is/image/MCY/9484121 </v>
      </c>
    </row>
    <row r="50" spans="1:12" ht="24.75" x14ac:dyDescent="0.25">
      <c r="A50" s="4" t="s">
        <v>6327</v>
      </c>
      <c r="B50" s="2" t="s">
        <v>6328</v>
      </c>
      <c r="C50" s="3">
        <v>1</v>
      </c>
      <c r="D50" s="5">
        <v>52.13</v>
      </c>
      <c r="E50" s="3" t="s">
        <v>6329</v>
      </c>
      <c r="F50" s="2" t="s">
        <v>64</v>
      </c>
      <c r="G50" s="6" t="s">
        <v>200</v>
      </c>
      <c r="H50" s="2" t="s">
        <v>246</v>
      </c>
      <c r="I50" s="2" t="s">
        <v>189</v>
      </c>
      <c r="J50" s="2" t="s">
        <v>19</v>
      </c>
      <c r="K50" s="2" t="s">
        <v>34</v>
      </c>
      <c r="L50" s="7" t="str">
        <f>HYPERLINK("http://slimages.macys.com/is/image/MCY/11937711 ")</f>
        <v xml:space="preserve">http://slimages.macys.com/is/image/MCY/11937711 </v>
      </c>
    </row>
    <row r="51" spans="1:12" ht="24.75" x14ac:dyDescent="0.25">
      <c r="A51" s="4" t="s">
        <v>6330</v>
      </c>
      <c r="B51" s="2" t="s">
        <v>6331</v>
      </c>
      <c r="C51" s="3">
        <v>1</v>
      </c>
      <c r="D51" s="5">
        <v>69.5</v>
      </c>
      <c r="E51" s="3" t="s">
        <v>6332</v>
      </c>
      <c r="F51" s="2" t="s">
        <v>53</v>
      </c>
      <c r="G51" s="6" t="s">
        <v>219</v>
      </c>
      <c r="H51" s="2" t="s">
        <v>127</v>
      </c>
      <c r="I51" s="2" t="s">
        <v>128</v>
      </c>
      <c r="J51" s="2" t="s">
        <v>19</v>
      </c>
      <c r="K51" s="2" t="s">
        <v>160</v>
      </c>
      <c r="L51" s="7" t="str">
        <f>HYPERLINK("http://slimages.macys.com/is/image/MCY/12793627 ")</f>
        <v xml:space="preserve">http://slimages.macys.com/is/image/MCY/12793627 </v>
      </c>
    </row>
    <row r="52" spans="1:12" ht="24.75" x14ac:dyDescent="0.25">
      <c r="A52" s="4" t="s">
        <v>6333</v>
      </c>
      <c r="B52" s="2" t="s">
        <v>6334</v>
      </c>
      <c r="C52" s="3">
        <v>1</v>
      </c>
      <c r="D52" s="5">
        <v>48.65</v>
      </c>
      <c r="E52" s="3" t="s">
        <v>6335</v>
      </c>
      <c r="F52" s="2" t="s">
        <v>252</v>
      </c>
      <c r="G52" s="6" t="s">
        <v>245</v>
      </c>
      <c r="H52" s="2" t="s">
        <v>182</v>
      </c>
      <c r="I52" s="2" t="s">
        <v>183</v>
      </c>
      <c r="J52" s="2" t="s">
        <v>19</v>
      </c>
      <c r="K52" s="2" t="s">
        <v>34</v>
      </c>
      <c r="L52" s="7" t="str">
        <f>HYPERLINK("http://slimages.macys.com/is/image/MCY/12935690 ")</f>
        <v xml:space="preserve">http://slimages.macys.com/is/image/MCY/12935690 </v>
      </c>
    </row>
    <row r="53" spans="1:12" ht="24.75" x14ac:dyDescent="0.25">
      <c r="A53" s="4" t="s">
        <v>6336</v>
      </c>
      <c r="B53" s="2" t="s">
        <v>2227</v>
      </c>
      <c r="C53" s="3">
        <v>1</v>
      </c>
      <c r="D53" s="5">
        <v>79.5</v>
      </c>
      <c r="E53" s="3">
        <v>100050172</v>
      </c>
      <c r="F53" s="2" t="s">
        <v>64</v>
      </c>
      <c r="G53" s="6" t="s">
        <v>112</v>
      </c>
      <c r="H53" s="2" t="s">
        <v>386</v>
      </c>
      <c r="I53" s="2" t="s">
        <v>391</v>
      </c>
      <c r="J53" s="2" t="s">
        <v>19</v>
      </c>
      <c r="K53" s="2" t="s">
        <v>392</v>
      </c>
      <c r="L53" s="7" t="str">
        <f>HYPERLINK("http://slimages.macys.com/is/image/MCY/12067831 ")</f>
        <v xml:space="preserve">http://slimages.macys.com/is/image/MCY/12067831 </v>
      </c>
    </row>
    <row r="54" spans="1:12" ht="24.75" x14ac:dyDescent="0.25">
      <c r="A54" s="4" t="s">
        <v>4493</v>
      </c>
      <c r="B54" s="2" t="s">
        <v>261</v>
      </c>
      <c r="C54" s="3">
        <v>1</v>
      </c>
      <c r="D54" s="5">
        <v>52.13</v>
      </c>
      <c r="E54" s="3" t="s">
        <v>4494</v>
      </c>
      <c r="F54" s="2" t="s">
        <v>1584</v>
      </c>
      <c r="G54" s="6" t="s">
        <v>154</v>
      </c>
      <c r="H54" s="2" t="s">
        <v>246</v>
      </c>
      <c r="I54" s="2" t="s">
        <v>189</v>
      </c>
      <c r="J54" s="2" t="s">
        <v>19</v>
      </c>
      <c r="K54" s="2" t="s">
        <v>263</v>
      </c>
      <c r="L54" s="7" t="str">
        <f>HYPERLINK("http://slimages.macys.com/is/image/MCY/16351261 ")</f>
        <v xml:space="preserve">http://slimages.macys.com/is/image/MCY/16351261 </v>
      </c>
    </row>
    <row r="55" spans="1:12" ht="24.75" x14ac:dyDescent="0.25">
      <c r="A55" s="4" t="s">
        <v>6337</v>
      </c>
      <c r="B55" s="2" t="s">
        <v>2236</v>
      </c>
      <c r="C55" s="3">
        <v>1</v>
      </c>
      <c r="D55" s="5">
        <v>48.38</v>
      </c>
      <c r="E55" s="3" t="s">
        <v>2237</v>
      </c>
      <c r="F55" s="2" t="s">
        <v>64</v>
      </c>
      <c r="G55" s="6" t="s">
        <v>181</v>
      </c>
      <c r="H55" s="2" t="s">
        <v>246</v>
      </c>
      <c r="I55" s="2" t="s">
        <v>189</v>
      </c>
      <c r="J55" s="2" t="s">
        <v>19</v>
      </c>
      <c r="K55" s="2" t="s">
        <v>241</v>
      </c>
      <c r="L55" s="7" t="str">
        <f>HYPERLINK("http://slimages.macys.com/is/image/MCY/11938495 ")</f>
        <v xml:space="preserve">http://slimages.macys.com/is/image/MCY/11938495 </v>
      </c>
    </row>
    <row r="56" spans="1:12" ht="24.75" x14ac:dyDescent="0.25">
      <c r="A56" s="4" t="s">
        <v>6338</v>
      </c>
      <c r="B56" s="2" t="s">
        <v>6339</v>
      </c>
      <c r="C56" s="3">
        <v>1</v>
      </c>
      <c r="D56" s="5">
        <v>44.63</v>
      </c>
      <c r="E56" s="3" t="s">
        <v>6340</v>
      </c>
      <c r="F56" s="2" t="s">
        <v>79</v>
      </c>
      <c r="G56" s="6" t="s">
        <v>16</v>
      </c>
      <c r="H56" s="2" t="s">
        <v>213</v>
      </c>
      <c r="I56" s="2" t="s">
        <v>214</v>
      </c>
      <c r="J56" s="2" t="s">
        <v>19</v>
      </c>
      <c r="K56" s="2" t="s">
        <v>338</v>
      </c>
      <c r="L56" s="7" t="str">
        <f>HYPERLINK("http://slimages.macys.com/is/image/MCY/12284095 ")</f>
        <v xml:space="preserve">http://slimages.macys.com/is/image/MCY/12284095 </v>
      </c>
    </row>
    <row r="57" spans="1:12" ht="24.75" x14ac:dyDescent="0.25">
      <c r="A57" s="4" t="s">
        <v>354</v>
      </c>
      <c r="B57" s="2" t="s">
        <v>355</v>
      </c>
      <c r="C57" s="3">
        <v>2</v>
      </c>
      <c r="D57" s="5">
        <v>48</v>
      </c>
      <c r="E57" s="3">
        <v>100053387</v>
      </c>
      <c r="F57" s="2" t="s">
        <v>111</v>
      </c>
      <c r="G57" s="6" t="s">
        <v>27</v>
      </c>
      <c r="H57" s="2" t="s">
        <v>228</v>
      </c>
      <c r="I57" s="2" t="s">
        <v>229</v>
      </c>
      <c r="J57" s="2" t="s">
        <v>19</v>
      </c>
      <c r="K57" s="2" t="s">
        <v>338</v>
      </c>
      <c r="L57" s="7" t="str">
        <f t="shared" ref="L57:L62" si="0">HYPERLINK("http://slimages.macys.com/is/image/MCY/13829477 ")</f>
        <v xml:space="preserve">http://slimages.macys.com/is/image/MCY/13829477 </v>
      </c>
    </row>
    <row r="58" spans="1:12" ht="24.75" x14ac:dyDescent="0.25">
      <c r="A58" s="4" t="s">
        <v>2238</v>
      </c>
      <c r="B58" s="2" t="s">
        <v>355</v>
      </c>
      <c r="C58" s="3">
        <v>1</v>
      </c>
      <c r="D58" s="5">
        <v>48</v>
      </c>
      <c r="E58" s="3">
        <v>100053387</v>
      </c>
      <c r="F58" s="2" t="s">
        <v>111</v>
      </c>
      <c r="G58" s="6" t="s">
        <v>22</v>
      </c>
      <c r="H58" s="2" t="s">
        <v>228</v>
      </c>
      <c r="I58" s="2" t="s">
        <v>229</v>
      </c>
      <c r="J58" s="2" t="s">
        <v>19</v>
      </c>
      <c r="K58" s="2" t="s">
        <v>338</v>
      </c>
      <c r="L58" s="7" t="str">
        <f t="shared" si="0"/>
        <v xml:space="preserve">http://slimages.macys.com/is/image/MCY/13829477 </v>
      </c>
    </row>
    <row r="59" spans="1:12" ht="24.75" x14ac:dyDescent="0.25">
      <c r="A59" s="4" t="s">
        <v>357</v>
      </c>
      <c r="B59" s="2" t="s">
        <v>355</v>
      </c>
      <c r="C59" s="3">
        <v>2</v>
      </c>
      <c r="D59" s="5">
        <v>48</v>
      </c>
      <c r="E59" s="3">
        <v>100053387</v>
      </c>
      <c r="F59" s="2" t="s">
        <v>111</v>
      </c>
      <c r="G59" s="6" t="s">
        <v>16</v>
      </c>
      <c r="H59" s="2" t="s">
        <v>228</v>
      </c>
      <c r="I59" s="2" t="s">
        <v>229</v>
      </c>
      <c r="J59" s="2" t="s">
        <v>19</v>
      </c>
      <c r="K59" s="2" t="s">
        <v>338</v>
      </c>
      <c r="L59" s="7" t="str">
        <f t="shared" si="0"/>
        <v xml:space="preserve">http://slimages.macys.com/is/image/MCY/13829477 </v>
      </c>
    </row>
    <row r="60" spans="1:12" ht="24.75" x14ac:dyDescent="0.25">
      <c r="A60" s="4" t="s">
        <v>356</v>
      </c>
      <c r="B60" s="2" t="s">
        <v>355</v>
      </c>
      <c r="C60" s="3">
        <v>3</v>
      </c>
      <c r="D60" s="5">
        <v>48</v>
      </c>
      <c r="E60" s="3">
        <v>100053387</v>
      </c>
      <c r="F60" s="2" t="s">
        <v>111</v>
      </c>
      <c r="G60" s="6" t="s">
        <v>65</v>
      </c>
      <c r="H60" s="2" t="s">
        <v>228</v>
      </c>
      <c r="I60" s="2" t="s">
        <v>229</v>
      </c>
      <c r="J60" s="2" t="s">
        <v>19</v>
      </c>
      <c r="K60" s="2" t="s">
        <v>338</v>
      </c>
      <c r="L60" s="7" t="str">
        <f t="shared" si="0"/>
        <v xml:space="preserve">http://slimages.macys.com/is/image/MCY/13829477 </v>
      </c>
    </row>
    <row r="61" spans="1:12" ht="24.75" x14ac:dyDescent="0.25">
      <c r="A61" s="4" t="s">
        <v>2241</v>
      </c>
      <c r="B61" s="2" t="s">
        <v>355</v>
      </c>
      <c r="C61" s="3">
        <v>1</v>
      </c>
      <c r="D61" s="5">
        <v>48</v>
      </c>
      <c r="E61" s="3">
        <v>100053387</v>
      </c>
      <c r="F61" s="2" t="s">
        <v>111</v>
      </c>
      <c r="G61" s="6" t="s">
        <v>58</v>
      </c>
      <c r="H61" s="2" t="s">
        <v>228</v>
      </c>
      <c r="I61" s="2" t="s">
        <v>229</v>
      </c>
      <c r="J61" s="2" t="s">
        <v>19</v>
      </c>
      <c r="K61" s="2" t="s">
        <v>338</v>
      </c>
      <c r="L61" s="7" t="str">
        <f t="shared" si="0"/>
        <v xml:space="preserve">http://slimages.macys.com/is/image/MCY/13829477 </v>
      </c>
    </row>
    <row r="62" spans="1:12" ht="24.75" x14ac:dyDescent="0.25">
      <c r="A62" s="4" t="s">
        <v>2242</v>
      </c>
      <c r="B62" s="2" t="s">
        <v>355</v>
      </c>
      <c r="C62" s="3">
        <v>1</v>
      </c>
      <c r="D62" s="5">
        <v>48</v>
      </c>
      <c r="E62" s="3">
        <v>100053387</v>
      </c>
      <c r="F62" s="2" t="s">
        <v>111</v>
      </c>
      <c r="G62" s="6" t="s">
        <v>106</v>
      </c>
      <c r="H62" s="2" t="s">
        <v>228</v>
      </c>
      <c r="I62" s="2" t="s">
        <v>229</v>
      </c>
      <c r="J62" s="2" t="s">
        <v>19</v>
      </c>
      <c r="K62" s="2" t="s">
        <v>338</v>
      </c>
      <c r="L62" s="7" t="str">
        <f t="shared" si="0"/>
        <v xml:space="preserve">http://slimages.macys.com/is/image/MCY/13829477 </v>
      </c>
    </row>
    <row r="63" spans="1:12" ht="24.75" x14ac:dyDescent="0.25">
      <c r="A63" s="4" t="s">
        <v>4499</v>
      </c>
      <c r="B63" s="2" t="s">
        <v>359</v>
      </c>
      <c r="C63" s="3">
        <v>1</v>
      </c>
      <c r="D63" s="5">
        <v>59.5</v>
      </c>
      <c r="E63" s="3" t="s">
        <v>360</v>
      </c>
      <c r="F63" s="2" t="s">
        <v>26</v>
      </c>
      <c r="G63" s="6" t="s">
        <v>336</v>
      </c>
      <c r="H63" s="2" t="s">
        <v>127</v>
      </c>
      <c r="I63" s="2" t="s">
        <v>128</v>
      </c>
      <c r="J63" s="2" t="s">
        <v>19</v>
      </c>
      <c r="K63" s="2" t="s">
        <v>361</v>
      </c>
      <c r="L63" s="7" t="str">
        <f>HYPERLINK("http://slimages.macys.com/is/image/MCY/10890960 ")</f>
        <v xml:space="preserve">http://slimages.macys.com/is/image/MCY/10890960 </v>
      </c>
    </row>
    <row r="64" spans="1:12" ht="36.75" x14ac:dyDescent="0.25">
      <c r="A64" s="4" t="s">
        <v>6341</v>
      </c>
      <c r="B64" s="2" t="s">
        <v>4501</v>
      </c>
      <c r="C64" s="3">
        <v>1</v>
      </c>
      <c r="D64" s="5">
        <v>52.13</v>
      </c>
      <c r="E64" s="3" t="s">
        <v>4502</v>
      </c>
      <c r="F64" s="2" t="s">
        <v>125</v>
      </c>
      <c r="G64" s="6" t="s">
        <v>112</v>
      </c>
      <c r="H64" s="2" t="s">
        <v>246</v>
      </c>
      <c r="I64" s="2" t="s">
        <v>189</v>
      </c>
      <c r="J64" s="2" t="s">
        <v>19</v>
      </c>
      <c r="K64" s="2" t="s">
        <v>395</v>
      </c>
      <c r="L64" s="7" t="str">
        <f>HYPERLINK("http://slimages.macys.com/is/image/MCY/13973791 ")</f>
        <v xml:space="preserve">http://slimages.macys.com/is/image/MCY/13973791 </v>
      </c>
    </row>
    <row r="65" spans="1:12" ht="24.75" x14ac:dyDescent="0.25">
      <c r="A65" s="4" t="s">
        <v>6342</v>
      </c>
      <c r="B65" s="2" t="s">
        <v>6343</v>
      </c>
      <c r="C65" s="3">
        <v>1</v>
      </c>
      <c r="D65" s="5">
        <v>44.63</v>
      </c>
      <c r="E65" s="3" t="s">
        <v>6344</v>
      </c>
      <c r="F65" s="2" t="s">
        <v>70</v>
      </c>
      <c r="G65" s="6" t="s">
        <v>181</v>
      </c>
      <c r="H65" s="2" t="s">
        <v>284</v>
      </c>
      <c r="I65" s="2" t="s">
        <v>285</v>
      </c>
      <c r="J65" s="2" t="s">
        <v>19</v>
      </c>
      <c r="K65" s="2" t="s">
        <v>118</v>
      </c>
      <c r="L65" s="7" t="str">
        <f>HYPERLINK("http://slimages.macys.com/is/image/MCY/12075238 ")</f>
        <v xml:space="preserve">http://slimages.macys.com/is/image/MCY/12075238 </v>
      </c>
    </row>
    <row r="66" spans="1:12" ht="24.75" x14ac:dyDescent="0.25">
      <c r="A66" s="4" t="s">
        <v>6345</v>
      </c>
      <c r="B66" s="2" t="s">
        <v>6346</v>
      </c>
      <c r="C66" s="3">
        <v>1</v>
      </c>
      <c r="D66" s="5">
        <v>52.13</v>
      </c>
      <c r="E66" s="3" t="s">
        <v>6347</v>
      </c>
      <c r="F66" s="2" t="s">
        <v>413</v>
      </c>
      <c r="G66" s="6"/>
      <c r="H66" s="2" t="s">
        <v>188</v>
      </c>
      <c r="I66" s="2" t="s">
        <v>189</v>
      </c>
      <c r="J66" s="2" t="s">
        <v>19</v>
      </c>
      <c r="K66" s="2" t="s">
        <v>220</v>
      </c>
      <c r="L66" s="7" t="str">
        <f>HYPERLINK("http://slimages.macys.com/is/image/MCY/11940207 ")</f>
        <v xml:space="preserve">http://slimages.macys.com/is/image/MCY/11940207 </v>
      </c>
    </row>
    <row r="67" spans="1:12" ht="24.75" x14ac:dyDescent="0.25">
      <c r="A67" s="4" t="s">
        <v>6348</v>
      </c>
      <c r="B67" s="2" t="s">
        <v>371</v>
      </c>
      <c r="C67" s="3">
        <v>1</v>
      </c>
      <c r="D67" s="5">
        <v>44.5</v>
      </c>
      <c r="E67" s="3" t="s">
        <v>372</v>
      </c>
      <c r="F67" s="2" t="s">
        <v>111</v>
      </c>
      <c r="G67" s="6" t="s">
        <v>234</v>
      </c>
      <c r="H67" s="2" t="s">
        <v>194</v>
      </c>
      <c r="I67" s="2" t="s">
        <v>195</v>
      </c>
      <c r="J67" s="2" t="s">
        <v>19</v>
      </c>
      <c r="K67" s="2" t="s">
        <v>107</v>
      </c>
      <c r="L67" s="7" t="str">
        <f>HYPERLINK("http://slimages.macys.com/is/image/MCY/12279939 ")</f>
        <v xml:space="preserve">http://slimages.macys.com/is/image/MCY/12279939 </v>
      </c>
    </row>
    <row r="68" spans="1:12" ht="24.75" x14ac:dyDescent="0.25">
      <c r="A68" s="4" t="s">
        <v>6349</v>
      </c>
      <c r="B68" s="2" t="s">
        <v>2252</v>
      </c>
      <c r="C68" s="3">
        <v>2</v>
      </c>
      <c r="D68" s="5">
        <v>48</v>
      </c>
      <c r="E68" s="3">
        <v>100050014</v>
      </c>
      <c r="F68" s="2" t="s">
        <v>111</v>
      </c>
      <c r="G68" s="6" t="s">
        <v>27</v>
      </c>
      <c r="H68" s="2" t="s">
        <v>228</v>
      </c>
      <c r="I68" s="2" t="s">
        <v>229</v>
      </c>
      <c r="J68" s="2" t="s">
        <v>19</v>
      </c>
      <c r="K68" s="2" t="s">
        <v>387</v>
      </c>
      <c r="L68" s="7" t="str">
        <f>HYPERLINK("http://slimages.macys.com/is/image/MCY/11804490 ")</f>
        <v xml:space="preserve">http://slimages.macys.com/is/image/MCY/11804490 </v>
      </c>
    </row>
    <row r="69" spans="1:12" ht="24.75" x14ac:dyDescent="0.25">
      <c r="A69" s="4" t="s">
        <v>6350</v>
      </c>
      <c r="B69" s="2" t="s">
        <v>2254</v>
      </c>
      <c r="C69" s="3">
        <v>1</v>
      </c>
      <c r="D69" s="5">
        <v>44.5</v>
      </c>
      <c r="E69" s="3" t="s">
        <v>6351</v>
      </c>
      <c r="F69" s="2" t="s">
        <v>252</v>
      </c>
      <c r="G69" s="6" t="s">
        <v>181</v>
      </c>
      <c r="H69" s="2" t="s">
        <v>194</v>
      </c>
      <c r="I69" s="2" t="s">
        <v>195</v>
      </c>
      <c r="J69" s="2" t="s">
        <v>19</v>
      </c>
      <c r="K69" s="2" t="s">
        <v>6352</v>
      </c>
      <c r="L69" s="7" t="str">
        <f>HYPERLINK("http://slimages.macys.com/is/image/MCY/11937871 ")</f>
        <v xml:space="preserve">http://slimages.macys.com/is/image/MCY/11937871 </v>
      </c>
    </row>
    <row r="70" spans="1:12" ht="24.75" x14ac:dyDescent="0.25">
      <c r="A70" s="4" t="s">
        <v>6353</v>
      </c>
      <c r="B70" s="2" t="s">
        <v>2252</v>
      </c>
      <c r="C70" s="3">
        <v>1</v>
      </c>
      <c r="D70" s="5">
        <v>48</v>
      </c>
      <c r="E70" s="3">
        <v>100050014</v>
      </c>
      <c r="F70" s="2" t="s">
        <v>111</v>
      </c>
      <c r="G70" s="6" t="s">
        <v>58</v>
      </c>
      <c r="H70" s="2" t="s">
        <v>228</v>
      </c>
      <c r="I70" s="2" t="s">
        <v>229</v>
      </c>
      <c r="J70" s="2" t="s">
        <v>19</v>
      </c>
      <c r="K70" s="2" t="s">
        <v>387</v>
      </c>
      <c r="L70" s="7" t="str">
        <f>HYPERLINK("http://slimages.macys.com/is/image/MCY/11804490 ")</f>
        <v xml:space="preserve">http://slimages.macys.com/is/image/MCY/11804490 </v>
      </c>
    </row>
    <row r="71" spans="1:12" ht="24.75" x14ac:dyDescent="0.25">
      <c r="A71" s="4" t="s">
        <v>6354</v>
      </c>
      <c r="B71" s="2" t="s">
        <v>6355</v>
      </c>
      <c r="C71" s="3">
        <v>1</v>
      </c>
      <c r="D71" s="5">
        <v>55.65</v>
      </c>
      <c r="E71" s="3" t="s">
        <v>6356</v>
      </c>
      <c r="F71" s="2" t="s">
        <v>111</v>
      </c>
      <c r="G71" s="6" t="s">
        <v>234</v>
      </c>
      <c r="H71" s="2" t="s">
        <v>182</v>
      </c>
      <c r="I71" s="2" t="s">
        <v>183</v>
      </c>
      <c r="J71" s="2" t="s">
        <v>19</v>
      </c>
      <c r="K71" s="2" t="s">
        <v>34</v>
      </c>
      <c r="L71" s="7" t="str">
        <f>HYPERLINK("http://slimages.macys.com/is/image/MCY/12740327 ")</f>
        <v xml:space="preserve">http://slimages.macys.com/is/image/MCY/12740327 </v>
      </c>
    </row>
    <row r="72" spans="1:12" ht="24.75" x14ac:dyDescent="0.25">
      <c r="A72" s="4" t="s">
        <v>6357</v>
      </c>
      <c r="B72" s="2" t="s">
        <v>381</v>
      </c>
      <c r="C72" s="3">
        <v>1</v>
      </c>
      <c r="D72" s="5">
        <v>48.38</v>
      </c>
      <c r="E72" s="3" t="s">
        <v>382</v>
      </c>
      <c r="F72" s="2"/>
      <c r="G72" s="6" t="s">
        <v>802</v>
      </c>
      <c r="H72" s="2" t="s">
        <v>188</v>
      </c>
      <c r="I72" s="2" t="s">
        <v>214</v>
      </c>
      <c r="J72" s="2" t="s">
        <v>19</v>
      </c>
      <c r="K72" s="2" t="s">
        <v>383</v>
      </c>
      <c r="L72" s="7" t="str">
        <f>HYPERLINK("http://slimages.macys.com/is/image/MCY/11420562 ")</f>
        <v xml:space="preserve">http://slimages.macys.com/is/image/MCY/11420562 </v>
      </c>
    </row>
    <row r="73" spans="1:12" ht="24.75" x14ac:dyDescent="0.25">
      <c r="A73" s="4" t="s">
        <v>6358</v>
      </c>
      <c r="B73" s="2" t="s">
        <v>390</v>
      </c>
      <c r="C73" s="3">
        <v>1</v>
      </c>
      <c r="D73" s="5">
        <v>69.5</v>
      </c>
      <c r="E73" s="3">
        <v>100055524</v>
      </c>
      <c r="F73" s="2" t="s">
        <v>64</v>
      </c>
      <c r="G73" s="6" t="s">
        <v>22</v>
      </c>
      <c r="H73" s="2" t="s">
        <v>386</v>
      </c>
      <c r="I73" s="2" t="s">
        <v>391</v>
      </c>
      <c r="J73" s="2" t="s">
        <v>19</v>
      </c>
      <c r="K73" s="2" t="s">
        <v>392</v>
      </c>
      <c r="L73" s="7" t="str">
        <f>HYPERLINK("http://slimages.macys.com/is/image/MCY/11535527 ")</f>
        <v xml:space="preserve">http://slimages.macys.com/is/image/MCY/11535527 </v>
      </c>
    </row>
    <row r="74" spans="1:12" ht="24.75" x14ac:dyDescent="0.25">
      <c r="A74" s="4" t="s">
        <v>404</v>
      </c>
      <c r="B74" s="2" t="s">
        <v>405</v>
      </c>
      <c r="C74" s="3">
        <v>1</v>
      </c>
      <c r="D74" s="5">
        <v>44.63</v>
      </c>
      <c r="E74" s="3" t="s">
        <v>406</v>
      </c>
      <c r="F74" s="2" t="s">
        <v>74</v>
      </c>
      <c r="G74" s="6" t="s">
        <v>407</v>
      </c>
      <c r="H74" s="2" t="s">
        <v>349</v>
      </c>
      <c r="I74" s="2" t="s">
        <v>408</v>
      </c>
      <c r="J74" s="2" t="s">
        <v>19</v>
      </c>
      <c r="K74" s="2" t="s">
        <v>409</v>
      </c>
      <c r="L74" s="7" t="str">
        <f>HYPERLINK("http://slimages.macys.com/is/image/MCY/13534846 ")</f>
        <v xml:space="preserve">http://slimages.macys.com/is/image/MCY/13534846 </v>
      </c>
    </row>
    <row r="75" spans="1:12" ht="24.75" x14ac:dyDescent="0.25">
      <c r="A75" s="4" t="s">
        <v>6359</v>
      </c>
      <c r="B75" s="2" t="s">
        <v>405</v>
      </c>
      <c r="C75" s="3">
        <v>1</v>
      </c>
      <c r="D75" s="5">
        <v>44.63</v>
      </c>
      <c r="E75" s="3" t="s">
        <v>406</v>
      </c>
      <c r="F75" s="2" t="s">
        <v>74</v>
      </c>
      <c r="G75" s="6" t="s">
        <v>2458</v>
      </c>
      <c r="H75" s="2" t="s">
        <v>349</v>
      </c>
      <c r="I75" s="2" t="s">
        <v>408</v>
      </c>
      <c r="J75" s="2" t="s">
        <v>19</v>
      </c>
      <c r="K75" s="2" t="s">
        <v>409</v>
      </c>
      <c r="L75" s="7" t="str">
        <f>HYPERLINK("http://slimages.macys.com/is/image/MCY/13534846 ")</f>
        <v xml:space="preserve">http://slimages.macys.com/is/image/MCY/13534846 </v>
      </c>
    </row>
    <row r="76" spans="1:12" ht="36.75" x14ac:dyDescent="0.25">
      <c r="A76" s="4" t="s">
        <v>410</v>
      </c>
      <c r="B76" s="2" t="s">
        <v>411</v>
      </c>
      <c r="C76" s="3">
        <v>1</v>
      </c>
      <c r="D76" s="5">
        <v>44.63</v>
      </c>
      <c r="E76" s="3" t="s">
        <v>412</v>
      </c>
      <c r="F76" s="2" t="s">
        <v>413</v>
      </c>
      <c r="G76" s="6" t="s">
        <v>181</v>
      </c>
      <c r="H76" s="2" t="s">
        <v>284</v>
      </c>
      <c r="I76" s="2" t="s">
        <v>285</v>
      </c>
      <c r="J76" s="2" t="s">
        <v>19</v>
      </c>
      <c r="K76" s="2" t="s">
        <v>274</v>
      </c>
      <c r="L76" s="7" t="str">
        <f>HYPERLINK("http://slimages.macys.com/is/image/MCY/12237188 ")</f>
        <v xml:space="preserve">http://slimages.macys.com/is/image/MCY/12237188 </v>
      </c>
    </row>
    <row r="77" spans="1:12" ht="24.75" x14ac:dyDescent="0.25">
      <c r="A77" s="4" t="s">
        <v>6360</v>
      </c>
      <c r="B77" s="2" t="s">
        <v>6361</v>
      </c>
      <c r="C77" s="3">
        <v>1</v>
      </c>
      <c r="D77" s="5">
        <v>48</v>
      </c>
      <c r="E77" s="3">
        <v>100046429</v>
      </c>
      <c r="F77" s="2" t="s">
        <v>1614</v>
      </c>
      <c r="G77" s="6" t="s">
        <v>156</v>
      </c>
      <c r="H77" s="2" t="s">
        <v>228</v>
      </c>
      <c r="I77" s="2" t="s">
        <v>229</v>
      </c>
      <c r="J77" s="2" t="s">
        <v>19</v>
      </c>
      <c r="K77" s="2" t="s">
        <v>230</v>
      </c>
      <c r="L77" s="7" t="str">
        <f>HYPERLINK("http://slimages.macys.com/is/image/MCY/10888553 ")</f>
        <v xml:space="preserve">http://slimages.macys.com/is/image/MCY/10888553 </v>
      </c>
    </row>
    <row r="78" spans="1:12" ht="24.75" x14ac:dyDescent="0.25">
      <c r="A78" s="4" t="s">
        <v>6362</v>
      </c>
      <c r="B78" s="2" t="s">
        <v>5452</v>
      </c>
      <c r="C78" s="3">
        <v>3</v>
      </c>
      <c r="D78" s="5">
        <v>39.5</v>
      </c>
      <c r="E78" s="3">
        <v>100054428</v>
      </c>
      <c r="F78" s="2" t="s">
        <v>74</v>
      </c>
      <c r="G78" s="6" t="s">
        <v>234</v>
      </c>
      <c r="H78" s="2" t="s">
        <v>194</v>
      </c>
      <c r="I78" s="2" t="s">
        <v>503</v>
      </c>
      <c r="J78" s="2" t="s">
        <v>19</v>
      </c>
      <c r="K78" s="2" t="s">
        <v>5453</v>
      </c>
      <c r="L78" s="7" t="str">
        <f>HYPERLINK("http://slimages.macys.com/is/image/MCY/15299160 ")</f>
        <v xml:space="preserve">http://slimages.macys.com/is/image/MCY/15299160 </v>
      </c>
    </row>
    <row r="79" spans="1:12" ht="24.75" x14ac:dyDescent="0.25">
      <c r="A79" s="4" t="s">
        <v>3403</v>
      </c>
      <c r="B79" s="2" t="s">
        <v>2268</v>
      </c>
      <c r="C79" s="3">
        <v>1</v>
      </c>
      <c r="D79" s="5">
        <v>44.63</v>
      </c>
      <c r="E79" s="3" t="s">
        <v>2269</v>
      </c>
      <c r="F79" s="2" t="s">
        <v>94</v>
      </c>
      <c r="G79" s="6"/>
      <c r="H79" s="2" t="s">
        <v>349</v>
      </c>
      <c r="I79" s="2" t="s">
        <v>285</v>
      </c>
      <c r="J79" s="2" t="s">
        <v>19</v>
      </c>
      <c r="K79" s="2" t="s">
        <v>160</v>
      </c>
      <c r="L79" s="7" t="str">
        <f>HYPERLINK("http://slimages.macys.com/is/image/MCY/13039993 ")</f>
        <v xml:space="preserve">http://slimages.macys.com/is/image/MCY/13039993 </v>
      </c>
    </row>
    <row r="80" spans="1:12" ht="24.75" x14ac:dyDescent="0.25">
      <c r="A80" s="4" t="s">
        <v>5462</v>
      </c>
      <c r="B80" s="2" t="s">
        <v>3405</v>
      </c>
      <c r="C80" s="3">
        <v>1</v>
      </c>
      <c r="D80" s="5">
        <v>44.5</v>
      </c>
      <c r="E80" s="3" t="s">
        <v>3406</v>
      </c>
      <c r="F80" s="2" t="s">
        <v>252</v>
      </c>
      <c r="G80" s="6" t="s">
        <v>234</v>
      </c>
      <c r="H80" s="2" t="s">
        <v>194</v>
      </c>
      <c r="I80" s="2" t="s">
        <v>195</v>
      </c>
      <c r="J80" s="2" t="s">
        <v>19</v>
      </c>
      <c r="K80" s="2" t="s">
        <v>3411</v>
      </c>
      <c r="L80" s="7" t="str">
        <f>HYPERLINK("http://slimages.macys.com/is/image/MCY/11937854 ")</f>
        <v xml:space="preserve">http://slimages.macys.com/is/image/MCY/11937854 </v>
      </c>
    </row>
    <row r="81" spans="1:12" ht="24.75" x14ac:dyDescent="0.25">
      <c r="A81" s="4" t="s">
        <v>2274</v>
      </c>
      <c r="B81" s="2" t="s">
        <v>453</v>
      </c>
      <c r="C81" s="3">
        <v>1</v>
      </c>
      <c r="D81" s="5">
        <v>44.63</v>
      </c>
      <c r="E81" s="3" t="s">
        <v>454</v>
      </c>
      <c r="F81" s="2" t="s">
        <v>74</v>
      </c>
      <c r="G81" s="6"/>
      <c r="H81" s="2" t="s">
        <v>349</v>
      </c>
      <c r="I81" s="2" t="s">
        <v>285</v>
      </c>
      <c r="J81" s="2" t="s">
        <v>19</v>
      </c>
      <c r="K81" s="2" t="s">
        <v>323</v>
      </c>
      <c r="L81" s="7" t="str">
        <f>HYPERLINK("http://slimages.macys.com/is/image/MCY/12343071 ")</f>
        <v xml:space="preserve">http://slimages.macys.com/is/image/MCY/12343071 </v>
      </c>
    </row>
    <row r="82" spans="1:12" ht="24.75" x14ac:dyDescent="0.25">
      <c r="A82" s="4" t="s">
        <v>2273</v>
      </c>
      <c r="B82" s="2" t="s">
        <v>453</v>
      </c>
      <c r="C82" s="3">
        <v>1</v>
      </c>
      <c r="D82" s="5">
        <v>44.63</v>
      </c>
      <c r="E82" s="3" t="s">
        <v>454</v>
      </c>
      <c r="F82" s="2" t="s">
        <v>74</v>
      </c>
      <c r="G82" s="6" t="s">
        <v>746</v>
      </c>
      <c r="H82" s="2" t="s">
        <v>349</v>
      </c>
      <c r="I82" s="2" t="s">
        <v>285</v>
      </c>
      <c r="J82" s="2" t="s">
        <v>19</v>
      </c>
      <c r="K82" s="2" t="s">
        <v>323</v>
      </c>
      <c r="L82" s="7" t="str">
        <f>HYPERLINK("http://slimages.macys.com/is/image/MCY/12343071 ")</f>
        <v xml:space="preserve">http://slimages.macys.com/is/image/MCY/12343071 </v>
      </c>
    </row>
    <row r="83" spans="1:12" ht="24.75" x14ac:dyDescent="0.25">
      <c r="A83" s="4" t="s">
        <v>455</v>
      </c>
      <c r="B83" s="2" t="s">
        <v>456</v>
      </c>
      <c r="C83" s="3">
        <v>2</v>
      </c>
      <c r="D83" s="5">
        <v>44.63</v>
      </c>
      <c r="E83" s="3" t="s">
        <v>457</v>
      </c>
      <c r="F83" s="2" t="s">
        <v>26</v>
      </c>
      <c r="G83" s="6" t="s">
        <v>348</v>
      </c>
      <c r="H83" s="2" t="s">
        <v>349</v>
      </c>
      <c r="I83" s="2" t="s">
        <v>458</v>
      </c>
      <c r="J83" s="2" t="s">
        <v>19</v>
      </c>
      <c r="K83" s="2" t="s">
        <v>459</v>
      </c>
      <c r="L83" s="7" t="str">
        <f>HYPERLINK("http://slimages.macys.com/is/image/MCY/11030035 ")</f>
        <v xml:space="preserve">http://slimages.macys.com/is/image/MCY/11030035 </v>
      </c>
    </row>
    <row r="84" spans="1:12" ht="24.75" x14ac:dyDescent="0.25">
      <c r="A84" s="4" t="s">
        <v>2275</v>
      </c>
      <c r="B84" s="2" t="s">
        <v>456</v>
      </c>
      <c r="C84" s="3">
        <v>2</v>
      </c>
      <c r="D84" s="5">
        <v>44.63</v>
      </c>
      <c r="E84" s="3" t="s">
        <v>457</v>
      </c>
      <c r="F84" s="2" t="s">
        <v>26</v>
      </c>
      <c r="G84" s="6" t="s">
        <v>2276</v>
      </c>
      <c r="H84" s="2" t="s">
        <v>349</v>
      </c>
      <c r="I84" s="2" t="s">
        <v>458</v>
      </c>
      <c r="J84" s="2" t="s">
        <v>19</v>
      </c>
      <c r="K84" s="2" t="s">
        <v>459</v>
      </c>
      <c r="L84" s="7" t="str">
        <f>HYPERLINK("http://slimages.macys.com/is/image/MCY/11030035 ")</f>
        <v xml:space="preserve">http://slimages.macys.com/is/image/MCY/11030035 </v>
      </c>
    </row>
    <row r="85" spans="1:12" ht="24.75" x14ac:dyDescent="0.25">
      <c r="A85" s="4" t="s">
        <v>4546</v>
      </c>
      <c r="B85" s="2" t="s">
        <v>456</v>
      </c>
      <c r="C85" s="3">
        <v>3</v>
      </c>
      <c r="D85" s="5">
        <v>44.63</v>
      </c>
      <c r="E85" s="3" t="s">
        <v>457</v>
      </c>
      <c r="F85" s="2" t="s">
        <v>26</v>
      </c>
      <c r="G85" s="6" t="s">
        <v>746</v>
      </c>
      <c r="H85" s="2" t="s">
        <v>349</v>
      </c>
      <c r="I85" s="2" t="s">
        <v>458</v>
      </c>
      <c r="J85" s="2" t="s">
        <v>19</v>
      </c>
      <c r="K85" s="2" t="s">
        <v>459</v>
      </c>
      <c r="L85" s="7" t="str">
        <f>HYPERLINK("http://slimages.macys.com/is/image/MCY/11030035 ")</f>
        <v xml:space="preserve">http://slimages.macys.com/is/image/MCY/11030035 </v>
      </c>
    </row>
    <row r="86" spans="1:12" ht="24.75" x14ac:dyDescent="0.25">
      <c r="A86" s="4" t="s">
        <v>6363</v>
      </c>
      <c r="B86" s="2" t="s">
        <v>693</v>
      </c>
      <c r="C86" s="3">
        <v>1</v>
      </c>
      <c r="D86" s="5">
        <v>34.99</v>
      </c>
      <c r="E86" s="3" t="s">
        <v>6364</v>
      </c>
      <c r="F86" s="2" t="s">
        <v>94</v>
      </c>
      <c r="G86" s="6" t="s">
        <v>348</v>
      </c>
      <c r="H86" s="2" t="s">
        <v>349</v>
      </c>
      <c r="I86" s="2" t="s">
        <v>408</v>
      </c>
      <c r="J86" s="2" t="s">
        <v>19</v>
      </c>
      <c r="K86" s="2" t="s">
        <v>409</v>
      </c>
      <c r="L86" s="7" t="str">
        <f>HYPERLINK("http://slimages.macys.com/is/image/MCY/9543348 ")</f>
        <v xml:space="preserve">http://slimages.macys.com/is/image/MCY/9543348 </v>
      </c>
    </row>
    <row r="87" spans="1:12" ht="24.75" x14ac:dyDescent="0.25">
      <c r="A87" s="4" t="s">
        <v>6365</v>
      </c>
      <c r="B87" s="2" t="s">
        <v>485</v>
      </c>
      <c r="C87" s="3">
        <v>1</v>
      </c>
      <c r="D87" s="5">
        <v>44.63</v>
      </c>
      <c r="E87" s="3" t="s">
        <v>486</v>
      </c>
      <c r="F87" s="2" t="s">
        <v>26</v>
      </c>
      <c r="G87" s="6" t="s">
        <v>27</v>
      </c>
      <c r="H87" s="2" t="s">
        <v>246</v>
      </c>
      <c r="I87" s="2" t="s">
        <v>487</v>
      </c>
      <c r="J87" s="2" t="s">
        <v>19</v>
      </c>
      <c r="K87" s="2" t="s">
        <v>409</v>
      </c>
      <c r="L87" s="7" t="str">
        <f>HYPERLINK("http://slimages.macys.com/is/image/MCY/11806851 ")</f>
        <v xml:space="preserve">http://slimages.macys.com/is/image/MCY/11806851 </v>
      </c>
    </row>
    <row r="88" spans="1:12" ht="24.75" x14ac:dyDescent="0.25">
      <c r="A88" s="4" t="s">
        <v>6366</v>
      </c>
      <c r="B88" s="2" t="s">
        <v>6367</v>
      </c>
      <c r="C88" s="3">
        <v>1</v>
      </c>
      <c r="D88" s="5">
        <v>44.5</v>
      </c>
      <c r="E88" s="3" t="s">
        <v>6368</v>
      </c>
      <c r="F88" s="2" t="s">
        <v>413</v>
      </c>
      <c r="G88" s="6"/>
      <c r="H88" s="2" t="s">
        <v>127</v>
      </c>
      <c r="I88" s="2" t="s">
        <v>128</v>
      </c>
      <c r="J88" s="2" t="s">
        <v>19</v>
      </c>
      <c r="K88" s="2" t="s">
        <v>241</v>
      </c>
      <c r="L88" s="7" t="str">
        <f>HYPERLINK("http://slimages.macys.com/is/image/MCY/11588918 ")</f>
        <v xml:space="preserve">http://slimages.macys.com/is/image/MCY/11588918 </v>
      </c>
    </row>
    <row r="89" spans="1:12" ht="24.75" x14ac:dyDescent="0.25">
      <c r="A89" s="4" t="s">
        <v>2284</v>
      </c>
      <c r="B89" s="2" t="s">
        <v>492</v>
      </c>
      <c r="C89" s="3">
        <v>1</v>
      </c>
      <c r="D89" s="5">
        <v>44.5</v>
      </c>
      <c r="E89" s="3" t="s">
        <v>493</v>
      </c>
      <c r="F89" s="2" t="s">
        <v>494</v>
      </c>
      <c r="G89" s="6" t="s">
        <v>181</v>
      </c>
      <c r="H89" s="2" t="s">
        <v>194</v>
      </c>
      <c r="I89" s="2" t="s">
        <v>195</v>
      </c>
      <c r="J89" s="2" t="s">
        <v>19</v>
      </c>
      <c r="K89" s="2" t="s">
        <v>495</v>
      </c>
      <c r="L89" s="7" t="str">
        <f>HYPERLINK("http://slimages.macys.com/is/image/MCY/11937857 ")</f>
        <v xml:space="preserve">http://slimages.macys.com/is/image/MCY/11937857 </v>
      </c>
    </row>
    <row r="90" spans="1:12" ht="24.75" x14ac:dyDescent="0.25">
      <c r="A90" s="4" t="s">
        <v>5479</v>
      </c>
      <c r="B90" s="2" t="s">
        <v>492</v>
      </c>
      <c r="C90" s="3">
        <v>1</v>
      </c>
      <c r="D90" s="5">
        <v>44.5</v>
      </c>
      <c r="E90" s="3" t="s">
        <v>493</v>
      </c>
      <c r="F90" s="2" t="s">
        <v>494</v>
      </c>
      <c r="G90" s="6" t="s">
        <v>200</v>
      </c>
      <c r="H90" s="2" t="s">
        <v>194</v>
      </c>
      <c r="I90" s="2" t="s">
        <v>195</v>
      </c>
      <c r="J90" s="2" t="s">
        <v>19</v>
      </c>
      <c r="K90" s="2" t="s">
        <v>495</v>
      </c>
      <c r="L90" s="7" t="str">
        <f>HYPERLINK("http://slimages.macys.com/is/image/MCY/11937857 ")</f>
        <v xml:space="preserve">http://slimages.macys.com/is/image/MCY/11937857 </v>
      </c>
    </row>
    <row r="91" spans="1:12" ht="36.75" x14ac:dyDescent="0.25">
      <c r="A91" s="4" t="s">
        <v>6369</v>
      </c>
      <c r="B91" s="2" t="s">
        <v>502</v>
      </c>
      <c r="C91" s="3">
        <v>1</v>
      </c>
      <c r="D91" s="5">
        <v>40.880000000000003</v>
      </c>
      <c r="E91" s="3">
        <v>100047671</v>
      </c>
      <c r="F91" s="2" t="s">
        <v>79</v>
      </c>
      <c r="G91" s="6" t="s">
        <v>141</v>
      </c>
      <c r="H91" s="2" t="s">
        <v>194</v>
      </c>
      <c r="I91" s="2" t="s">
        <v>503</v>
      </c>
      <c r="J91" s="2" t="s">
        <v>19</v>
      </c>
      <c r="K91" s="2" t="s">
        <v>504</v>
      </c>
      <c r="L91" s="7" t="str">
        <f>HYPERLINK("http://slimages.macys.com/is/image/MCY/11937756 ")</f>
        <v xml:space="preserve">http://slimages.macys.com/is/image/MCY/11937756 </v>
      </c>
    </row>
    <row r="92" spans="1:12" ht="36.75" x14ac:dyDescent="0.25">
      <c r="A92" s="4" t="s">
        <v>5484</v>
      </c>
      <c r="B92" s="2" t="s">
        <v>502</v>
      </c>
      <c r="C92" s="3">
        <v>2</v>
      </c>
      <c r="D92" s="5">
        <v>40.880000000000003</v>
      </c>
      <c r="E92" s="3">
        <v>100047671</v>
      </c>
      <c r="F92" s="2" t="s">
        <v>506</v>
      </c>
      <c r="G92" s="6" t="s">
        <v>16</v>
      </c>
      <c r="H92" s="2" t="s">
        <v>194</v>
      </c>
      <c r="I92" s="2" t="s">
        <v>503</v>
      </c>
      <c r="J92" s="2" t="s">
        <v>19</v>
      </c>
      <c r="K92" s="2" t="s">
        <v>504</v>
      </c>
      <c r="L92" s="7" t="str">
        <f>HYPERLINK("http://slimages.macys.com/is/image/MCY/11937756 ")</f>
        <v xml:space="preserve">http://slimages.macys.com/is/image/MCY/11937756 </v>
      </c>
    </row>
    <row r="93" spans="1:12" ht="36.75" x14ac:dyDescent="0.25">
      <c r="A93" s="4" t="s">
        <v>6370</v>
      </c>
      <c r="B93" s="2" t="s">
        <v>502</v>
      </c>
      <c r="C93" s="3">
        <v>2</v>
      </c>
      <c r="D93" s="5">
        <v>40.880000000000003</v>
      </c>
      <c r="E93" s="3">
        <v>100047671</v>
      </c>
      <c r="F93" s="2" t="s">
        <v>506</v>
      </c>
      <c r="G93" s="6" t="s">
        <v>112</v>
      </c>
      <c r="H93" s="2" t="s">
        <v>194</v>
      </c>
      <c r="I93" s="2" t="s">
        <v>503</v>
      </c>
      <c r="J93" s="2" t="s">
        <v>19</v>
      </c>
      <c r="K93" s="2" t="s">
        <v>504</v>
      </c>
      <c r="L93" s="7" t="str">
        <f>HYPERLINK("http://slimages.macys.com/is/image/MCY/11937756 ")</f>
        <v xml:space="preserve">http://slimages.macys.com/is/image/MCY/11937756 </v>
      </c>
    </row>
    <row r="94" spans="1:12" ht="36.75" x14ac:dyDescent="0.25">
      <c r="A94" s="4" t="s">
        <v>2297</v>
      </c>
      <c r="B94" s="2" t="s">
        <v>502</v>
      </c>
      <c r="C94" s="3">
        <v>1</v>
      </c>
      <c r="D94" s="5">
        <v>40.880000000000003</v>
      </c>
      <c r="E94" s="3">
        <v>100047671</v>
      </c>
      <c r="F94" s="2" t="s">
        <v>506</v>
      </c>
      <c r="G94" s="6" t="s">
        <v>22</v>
      </c>
      <c r="H94" s="2" t="s">
        <v>194</v>
      </c>
      <c r="I94" s="2" t="s">
        <v>503</v>
      </c>
      <c r="J94" s="2" t="s">
        <v>19</v>
      </c>
      <c r="K94" s="2" t="s">
        <v>504</v>
      </c>
      <c r="L94" s="7" t="str">
        <f>HYPERLINK("http://slimages.macys.com/is/image/MCY/11937756 ")</f>
        <v xml:space="preserve">http://slimages.macys.com/is/image/MCY/11937756 </v>
      </c>
    </row>
    <row r="95" spans="1:12" ht="24.75" x14ac:dyDescent="0.25">
      <c r="A95" s="4" t="s">
        <v>2299</v>
      </c>
      <c r="B95" s="2" t="s">
        <v>2300</v>
      </c>
      <c r="C95" s="3">
        <v>1</v>
      </c>
      <c r="D95" s="5">
        <v>44.63</v>
      </c>
      <c r="E95" s="3" t="s">
        <v>2301</v>
      </c>
      <c r="F95" s="2" t="s">
        <v>15</v>
      </c>
      <c r="G95" s="6" t="s">
        <v>181</v>
      </c>
      <c r="H95" s="2" t="s">
        <v>194</v>
      </c>
      <c r="I95" s="2" t="s">
        <v>195</v>
      </c>
      <c r="J95" s="2" t="s">
        <v>19</v>
      </c>
      <c r="K95" s="2" t="s">
        <v>2302</v>
      </c>
      <c r="L95" s="7" t="str">
        <f>HYPERLINK("http://slimages.macys.com/is/image/MCY/12668044 ")</f>
        <v xml:space="preserve">http://slimages.macys.com/is/image/MCY/12668044 </v>
      </c>
    </row>
    <row r="96" spans="1:12" ht="24.75" x14ac:dyDescent="0.25">
      <c r="A96" s="4" t="s">
        <v>6371</v>
      </c>
      <c r="B96" s="2" t="s">
        <v>4572</v>
      </c>
      <c r="C96" s="3">
        <v>1</v>
      </c>
      <c r="D96" s="5">
        <v>48.38</v>
      </c>
      <c r="E96" s="3" t="s">
        <v>4573</v>
      </c>
      <c r="F96" s="2" t="s">
        <v>64</v>
      </c>
      <c r="G96" s="6" t="s">
        <v>187</v>
      </c>
      <c r="H96" s="2" t="s">
        <v>188</v>
      </c>
      <c r="I96" s="2" t="s">
        <v>189</v>
      </c>
      <c r="J96" s="2" t="s">
        <v>19</v>
      </c>
      <c r="K96" s="2" t="s">
        <v>4574</v>
      </c>
      <c r="L96" s="7" t="str">
        <f>HYPERLINK("http://slimages.macys.com/is/image/MCY/12894516 ")</f>
        <v xml:space="preserve">http://slimages.macys.com/is/image/MCY/12894516 </v>
      </c>
    </row>
    <row r="97" spans="1:12" ht="24.75" x14ac:dyDescent="0.25">
      <c r="A97" s="4" t="s">
        <v>5491</v>
      </c>
      <c r="B97" s="2" t="s">
        <v>4572</v>
      </c>
      <c r="C97" s="3">
        <v>1</v>
      </c>
      <c r="D97" s="5">
        <v>48.38</v>
      </c>
      <c r="E97" s="3" t="s">
        <v>4573</v>
      </c>
      <c r="F97" s="2" t="s">
        <v>64</v>
      </c>
      <c r="G97" s="6" t="s">
        <v>219</v>
      </c>
      <c r="H97" s="2" t="s">
        <v>188</v>
      </c>
      <c r="I97" s="2" t="s">
        <v>189</v>
      </c>
      <c r="J97" s="2" t="s">
        <v>19</v>
      </c>
      <c r="K97" s="2" t="s">
        <v>4574</v>
      </c>
      <c r="L97" s="7" t="str">
        <f>HYPERLINK("http://slimages.macys.com/is/image/MCY/12894516 ")</f>
        <v xml:space="preserve">http://slimages.macys.com/is/image/MCY/12894516 </v>
      </c>
    </row>
    <row r="98" spans="1:12" ht="24.75" x14ac:dyDescent="0.25">
      <c r="A98" s="4" t="s">
        <v>6372</v>
      </c>
      <c r="B98" s="2" t="s">
        <v>4572</v>
      </c>
      <c r="C98" s="3">
        <v>1</v>
      </c>
      <c r="D98" s="5">
        <v>48.38</v>
      </c>
      <c r="E98" s="3" t="s">
        <v>4573</v>
      </c>
      <c r="F98" s="2" t="s">
        <v>64</v>
      </c>
      <c r="G98" s="6"/>
      <c r="H98" s="2" t="s">
        <v>188</v>
      </c>
      <c r="I98" s="2" t="s">
        <v>189</v>
      </c>
      <c r="J98" s="2" t="s">
        <v>19</v>
      </c>
      <c r="K98" s="2" t="s">
        <v>4574</v>
      </c>
      <c r="L98" s="7" t="str">
        <f>HYPERLINK("http://slimages.macys.com/is/image/MCY/12894516 ")</f>
        <v xml:space="preserve">http://slimages.macys.com/is/image/MCY/12894516 </v>
      </c>
    </row>
    <row r="99" spans="1:12" ht="36.75" x14ac:dyDescent="0.25">
      <c r="A99" s="4" t="s">
        <v>6373</v>
      </c>
      <c r="B99" s="2" t="s">
        <v>519</v>
      </c>
      <c r="C99" s="3">
        <v>1</v>
      </c>
      <c r="D99" s="5">
        <v>44.63</v>
      </c>
      <c r="E99" s="3" t="s">
        <v>520</v>
      </c>
      <c r="F99" s="2" t="s">
        <v>74</v>
      </c>
      <c r="G99" s="6" t="s">
        <v>181</v>
      </c>
      <c r="H99" s="2" t="s">
        <v>194</v>
      </c>
      <c r="I99" s="2" t="s">
        <v>195</v>
      </c>
      <c r="J99" s="2" t="s">
        <v>19</v>
      </c>
      <c r="K99" s="2" t="s">
        <v>521</v>
      </c>
      <c r="L99" s="7" t="str">
        <f>HYPERLINK("http://slimages.macys.com/is/image/MCY/12279325 ")</f>
        <v xml:space="preserve">http://slimages.macys.com/is/image/MCY/12279325 </v>
      </c>
    </row>
    <row r="100" spans="1:12" ht="36.75" x14ac:dyDescent="0.25">
      <c r="A100" s="4" t="s">
        <v>3442</v>
      </c>
      <c r="B100" s="2" t="s">
        <v>519</v>
      </c>
      <c r="C100" s="3">
        <v>1</v>
      </c>
      <c r="D100" s="5">
        <v>44.63</v>
      </c>
      <c r="E100" s="3" t="s">
        <v>520</v>
      </c>
      <c r="F100" s="2" t="s">
        <v>74</v>
      </c>
      <c r="G100" s="6" t="s">
        <v>234</v>
      </c>
      <c r="H100" s="2" t="s">
        <v>194</v>
      </c>
      <c r="I100" s="2" t="s">
        <v>195</v>
      </c>
      <c r="J100" s="2" t="s">
        <v>19</v>
      </c>
      <c r="K100" s="2" t="s">
        <v>521</v>
      </c>
      <c r="L100" s="7" t="str">
        <f>HYPERLINK("http://slimages.macys.com/is/image/MCY/12279325 ")</f>
        <v xml:space="preserve">http://slimages.macys.com/is/image/MCY/12279325 </v>
      </c>
    </row>
    <row r="101" spans="1:12" ht="36.75" x14ac:dyDescent="0.25">
      <c r="A101" s="4" t="s">
        <v>6374</v>
      </c>
      <c r="B101" s="2" t="s">
        <v>519</v>
      </c>
      <c r="C101" s="3">
        <v>1</v>
      </c>
      <c r="D101" s="5">
        <v>44.63</v>
      </c>
      <c r="E101" s="3" t="s">
        <v>520</v>
      </c>
      <c r="F101" s="2" t="s">
        <v>74</v>
      </c>
      <c r="G101" s="6" t="s">
        <v>245</v>
      </c>
      <c r="H101" s="2" t="s">
        <v>194</v>
      </c>
      <c r="I101" s="2" t="s">
        <v>195</v>
      </c>
      <c r="J101" s="2" t="s">
        <v>19</v>
      </c>
      <c r="K101" s="2" t="s">
        <v>521</v>
      </c>
      <c r="L101" s="7" t="str">
        <f>HYPERLINK("http://slimages.macys.com/is/image/MCY/12279325 ")</f>
        <v xml:space="preserve">http://slimages.macys.com/is/image/MCY/12279325 </v>
      </c>
    </row>
    <row r="102" spans="1:12" ht="36.75" x14ac:dyDescent="0.25">
      <c r="A102" s="4" t="s">
        <v>2308</v>
      </c>
      <c r="B102" s="2" t="s">
        <v>519</v>
      </c>
      <c r="C102" s="3">
        <v>1</v>
      </c>
      <c r="D102" s="5">
        <v>44.63</v>
      </c>
      <c r="E102" s="3" t="s">
        <v>520</v>
      </c>
      <c r="F102" s="2" t="s">
        <v>74</v>
      </c>
      <c r="G102" s="6" t="s">
        <v>154</v>
      </c>
      <c r="H102" s="2" t="s">
        <v>194</v>
      </c>
      <c r="I102" s="2" t="s">
        <v>195</v>
      </c>
      <c r="J102" s="2" t="s">
        <v>19</v>
      </c>
      <c r="K102" s="2" t="s">
        <v>521</v>
      </c>
      <c r="L102" s="7" t="str">
        <f>HYPERLINK("http://slimages.macys.com/is/image/MCY/12279325 ")</f>
        <v xml:space="preserve">http://slimages.macys.com/is/image/MCY/12279325 </v>
      </c>
    </row>
    <row r="103" spans="1:12" ht="36.75" x14ac:dyDescent="0.25">
      <c r="A103" s="4" t="s">
        <v>2311</v>
      </c>
      <c r="B103" s="2" t="s">
        <v>519</v>
      </c>
      <c r="C103" s="3">
        <v>1</v>
      </c>
      <c r="D103" s="5">
        <v>44.63</v>
      </c>
      <c r="E103" s="3" t="s">
        <v>520</v>
      </c>
      <c r="F103" s="2" t="s">
        <v>26</v>
      </c>
      <c r="G103" s="6" t="s">
        <v>156</v>
      </c>
      <c r="H103" s="2" t="s">
        <v>194</v>
      </c>
      <c r="I103" s="2" t="s">
        <v>195</v>
      </c>
      <c r="J103" s="2" t="s">
        <v>19</v>
      </c>
      <c r="K103" s="2" t="s">
        <v>521</v>
      </c>
      <c r="L103" s="7" t="str">
        <f>HYPERLINK("http://slimages.macys.com/is/image/MCY/12279320 ")</f>
        <v xml:space="preserve">http://slimages.macys.com/is/image/MCY/12279320 </v>
      </c>
    </row>
    <row r="104" spans="1:12" ht="24.75" x14ac:dyDescent="0.25">
      <c r="A104" s="4" t="s">
        <v>6375</v>
      </c>
      <c r="B104" s="2" t="s">
        <v>2313</v>
      </c>
      <c r="C104" s="3">
        <v>1</v>
      </c>
      <c r="D104" s="5">
        <v>52.13</v>
      </c>
      <c r="E104" s="3" t="s">
        <v>2314</v>
      </c>
      <c r="F104" s="2" t="s">
        <v>572</v>
      </c>
      <c r="G104" s="6" t="s">
        <v>27</v>
      </c>
      <c r="H104" s="2" t="s">
        <v>246</v>
      </c>
      <c r="I104" s="2" t="s">
        <v>487</v>
      </c>
      <c r="J104" s="2" t="s">
        <v>19</v>
      </c>
      <c r="K104" s="2" t="s">
        <v>409</v>
      </c>
      <c r="L104" s="7" t="str">
        <f>HYPERLINK("http://slimages.macys.com/is/image/MCY/11806897 ")</f>
        <v xml:space="preserve">http://slimages.macys.com/is/image/MCY/11806897 </v>
      </c>
    </row>
    <row r="105" spans="1:12" ht="24.75" x14ac:dyDescent="0.25">
      <c r="A105" s="4" t="s">
        <v>4583</v>
      </c>
      <c r="B105" s="2" t="s">
        <v>527</v>
      </c>
      <c r="C105" s="3">
        <v>1</v>
      </c>
      <c r="D105" s="5">
        <v>48.38</v>
      </c>
      <c r="E105" s="3" t="s">
        <v>528</v>
      </c>
      <c r="F105" s="2" t="s">
        <v>417</v>
      </c>
      <c r="G105" s="6" t="s">
        <v>746</v>
      </c>
      <c r="H105" s="2" t="s">
        <v>349</v>
      </c>
      <c r="I105" s="2" t="s">
        <v>285</v>
      </c>
      <c r="J105" s="2" t="s">
        <v>19</v>
      </c>
      <c r="K105" s="2" t="s">
        <v>160</v>
      </c>
      <c r="L105" s="7" t="str">
        <f>HYPERLINK("http://slimages.macys.com/is/image/MCY/12715708 ")</f>
        <v xml:space="preserve">http://slimages.macys.com/is/image/MCY/12715708 </v>
      </c>
    </row>
    <row r="106" spans="1:12" ht="24.75" x14ac:dyDescent="0.25">
      <c r="A106" s="4" t="s">
        <v>3450</v>
      </c>
      <c r="B106" s="2" t="s">
        <v>527</v>
      </c>
      <c r="C106" s="3">
        <v>2</v>
      </c>
      <c r="D106" s="5">
        <v>48.38</v>
      </c>
      <c r="E106" s="3" t="s">
        <v>528</v>
      </c>
      <c r="F106" s="2" t="s">
        <v>417</v>
      </c>
      <c r="G106" s="6" t="s">
        <v>348</v>
      </c>
      <c r="H106" s="2" t="s">
        <v>349</v>
      </c>
      <c r="I106" s="2" t="s">
        <v>285</v>
      </c>
      <c r="J106" s="2" t="s">
        <v>19</v>
      </c>
      <c r="K106" s="2" t="s">
        <v>160</v>
      </c>
      <c r="L106" s="7" t="str">
        <f>HYPERLINK("http://slimages.macys.com/is/image/MCY/12715708 ")</f>
        <v xml:space="preserve">http://slimages.macys.com/is/image/MCY/12715708 </v>
      </c>
    </row>
    <row r="107" spans="1:12" ht="24.75" x14ac:dyDescent="0.25">
      <c r="A107" s="4" t="s">
        <v>2320</v>
      </c>
      <c r="B107" s="2" t="s">
        <v>530</v>
      </c>
      <c r="C107" s="3">
        <v>1</v>
      </c>
      <c r="D107" s="5">
        <v>44.63</v>
      </c>
      <c r="E107" s="3" t="s">
        <v>531</v>
      </c>
      <c r="F107" s="2" t="s">
        <v>532</v>
      </c>
      <c r="G107" s="6" t="s">
        <v>154</v>
      </c>
      <c r="H107" s="2" t="s">
        <v>194</v>
      </c>
      <c r="I107" s="2" t="s">
        <v>195</v>
      </c>
      <c r="J107" s="2" t="s">
        <v>19</v>
      </c>
      <c r="K107" s="2" t="s">
        <v>533</v>
      </c>
      <c r="L107" s="7" t="str">
        <f>HYPERLINK("http://slimages.macys.com/is/image/MCY/12316730 ")</f>
        <v xml:space="preserve">http://slimages.macys.com/is/image/MCY/12316730 </v>
      </c>
    </row>
    <row r="108" spans="1:12" ht="24.75" x14ac:dyDescent="0.25">
      <c r="A108" s="4" t="s">
        <v>3453</v>
      </c>
      <c r="B108" s="2" t="s">
        <v>2322</v>
      </c>
      <c r="C108" s="3">
        <v>1</v>
      </c>
      <c r="D108" s="5">
        <v>44.63</v>
      </c>
      <c r="E108" s="3">
        <v>100062919</v>
      </c>
      <c r="F108" s="2" t="s">
        <v>74</v>
      </c>
      <c r="G108" s="6" t="s">
        <v>154</v>
      </c>
      <c r="H108" s="2" t="s">
        <v>194</v>
      </c>
      <c r="I108" s="2" t="s">
        <v>195</v>
      </c>
      <c r="J108" s="2" t="s">
        <v>19</v>
      </c>
      <c r="K108" s="2" t="s">
        <v>610</v>
      </c>
      <c r="L108" s="7" t="str">
        <f>HYPERLINK("http://slimages.macys.com/is/image/MCY/11937752 ")</f>
        <v xml:space="preserve">http://slimages.macys.com/is/image/MCY/11937752 </v>
      </c>
    </row>
    <row r="109" spans="1:12" ht="24.75" x14ac:dyDescent="0.25">
      <c r="A109" s="4" t="s">
        <v>6376</v>
      </c>
      <c r="B109" s="2" t="s">
        <v>539</v>
      </c>
      <c r="C109" s="3">
        <v>1</v>
      </c>
      <c r="D109" s="5">
        <v>49.99</v>
      </c>
      <c r="E109" s="3" t="s">
        <v>540</v>
      </c>
      <c r="F109" s="2" t="s">
        <v>376</v>
      </c>
      <c r="G109" s="6" t="s">
        <v>205</v>
      </c>
      <c r="H109" s="2" t="s">
        <v>127</v>
      </c>
      <c r="I109" s="2" t="s">
        <v>541</v>
      </c>
      <c r="J109" s="2" t="s">
        <v>19</v>
      </c>
      <c r="K109" s="2" t="s">
        <v>137</v>
      </c>
      <c r="L109" s="7" t="str">
        <f>HYPERLINK("http://slimages.macys.com/is/image/MCY/10438351 ")</f>
        <v xml:space="preserve">http://slimages.macys.com/is/image/MCY/10438351 </v>
      </c>
    </row>
    <row r="110" spans="1:12" ht="36.75" x14ac:dyDescent="0.25">
      <c r="A110" s="4" t="s">
        <v>6377</v>
      </c>
      <c r="B110" s="2" t="s">
        <v>6378</v>
      </c>
      <c r="C110" s="3">
        <v>1</v>
      </c>
      <c r="D110" s="5">
        <v>40.880000000000003</v>
      </c>
      <c r="E110" s="3" t="s">
        <v>6379</v>
      </c>
      <c r="F110" s="2" t="s">
        <v>331</v>
      </c>
      <c r="G110" s="6" t="s">
        <v>234</v>
      </c>
      <c r="H110" s="2" t="s">
        <v>284</v>
      </c>
      <c r="I110" s="2" t="s">
        <v>285</v>
      </c>
      <c r="J110" s="2" t="s">
        <v>19</v>
      </c>
      <c r="K110" s="2" t="s">
        <v>274</v>
      </c>
      <c r="L110" s="7" t="str">
        <f>HYPERLINK("http://slimages.macys.com/is/image/MCY/12672467 ")</f>
        <v xml:space="preserve">http://slimages.macys.com/is/image/MCY/12672467 </v>
      </c>
    </row>
    <row r="111" spans="1:12" ht="48.75" x14ac:dyDescent="0.25">
      <c r="A111" s="4" t="s">
        <v>5501</v>
      </c>
      <c r="B111" s="2" t="s">
        <v>551</v>
      </c>
      <c r="C111" s="3">
        <v>2</v>
      </c>
      <c r="D111" s="5">
        <v>48</v>
      </c>
      <c r="E111" s="3">
        <v>100053418</v>
      </c>
      <c r="F111" s="2" t="s">
        <v>26</v>
      </c>
      <c r="G111" s="6" t="s">
        <v>234</v>
      </c>
      <c r="H111" s="2" t="s">
        <v>228</v>
      </c>
      <c r="I111" s="2" t="s">
        <v>229</v>
      </c>
      <c r="J111" s="2" t="s">
        <v>19</v>
      </c>
      <c r="K111" s="2" t="s">
        <v>552</v>
      </c>
      <c r="L111" s="7" t="str">
        <f>HYPERLINK("http://slimages.macys.com/is/image/MCY/12158587 ")</f>
        <v xml:space="preserve">http://slimages.macys.com/is/image/MCY/12158587 </v>
      </c>
    </row>
    <row r="112" spans="1:12" ht="48.75" x14ac:dyDescent="0.25">
      <c r="A112" s="4" t="s">
        <v>6380</v>
      </c>
      <c r="B112" s="2" t="s">
        <v>551</v>
      </c>
      <c r="C112" s="3">
        <v>1</v>
      </c>
      <c r="D112" s="5">
        <v>48</v>
      </c>
      <c r="E112" s="3">
        <v>100053418</v>
      </c>
      <c r="F112" s="2" t="s">
        <v>26</v>
      </c>
      <c r="G112" s="6" t="s">
        <v>181</v>
      </c>
      <c r="H112" s="2" t="s">
        <v>228</v>
      </c>
      <c r="I112" s="2" t="s">
        <v>229</v>
      </c>
      <c r="J112" s="2" t="s">
        <v>19</v>
      </c>
      <c r="K112" s="2" t="s">
        <v>552</v>
      </c>
      <c r="L112" s="7" t="str">
        <f>HYPERLINK("http://slimages.macys.com/is/image/MCY/12158587 ")</f>
        <v xml:space="preserve">http://slimages.macys.com/is/image/MCY/12158587 </v>
      </c>
    </row>
    <row r="113" spans="1:12" ht="48.75" x14ac:dyDescent="0.25">
      <c r="A113" s="4" t="s">
        <v>550</v>
      </c>
      <c r="B113" s="2" t="s">
        <v>551</v>
      </c>
      <c r="C113" s="3">
        <v>1</v>
      </c>
      <c r="D113" s="5">
        <v>48</v>
      </c>
      <c r="E113" s="3">
        <v>100053418</v>
      </c>
      <c r="F113" s="2" t="s">
        <v>26</v>
      </c>
      <c r="G113" s="6" t="s">
        <v>154</v>
      </c>
      <c r="H113" s="2" t="s">
        <v>228</v>
      </c>
      <c r="I113" s="2" t="s">
        <v>229</v>
      </c>
      <c r="J113" s="2" t="s">
        <v>19</v>
      </c>
      <c r="K113" s="2" t="s">
        <v>552</v>
      </c>
      <c r="L113" s="7" t="str">
        <f>HYPERLINK("http://slimages.macys.com/is/image/MCY/12158587 ")</f>
        <v xml:space="preserve">http://slimages.macys.com/is/image/MCY/12158587 </v>
      </c>
    </row>
    <row r="114" spans="1:12" x14ac:dyDescent="0.25">
      <c r="A114" s="4" t="s">
        <v>6381</v>
      </c>
      <c r="B114" s="2" t="s">
        <v>6382</v>
      </c>
      <c r="C114" s="3">
        <v>1</v>
      </c>
      <c r="D114" s="5">
        <v>48.65</v>
      </c>
      <c r="E114" s="3" t="s">
        <v>6383</v>
      </c>
      <c r="F114" s="2" t="s">
        <v>413</v>
      </c>
      <c r="G114" s="6" t="s">
        <v>156</v>
      </c>
      <c r="H114" s="2" t="s">
        <v>182</v>
      </c>
      <c r="I114" s="2" t="s">
        <v>183</v>
      </c>
      <c r="J114" s="2" t="s">
        <v>19</v>
      </c>
      <c r="K114" s="2" t="s">
        <v>34</v>
      </c>
      <c r="L114" s="7" t="str">
        <f>HYPERLINK("http://slimages.macys.com/is/image/MCY/12751270 ")</f>
        <v xml:space="preserve">http://slimages.macys.com/is/image/MCY/12751270 </v>
      </c>
    </row>
    <row r="115" spans="1:12" ht="24.75" x14ac:dyDescent="0.25">
      <c r="A115" s="4" t="s">
        <v>2333</v>
      </c>
      <c r="B115" s="2" t="s">
        <v>2334</v>
      </c>
      <c r="C115" s="3">
        <v>2</v>
      </c>
      <c r="D115" s="5">
        <v>59.5</v>
      </c>
      <c r="E115" s="3" t="s">
        <v>2335</v>
      </c>
      <c r="F115" s="2" t="s">
        <v>74</v>
      </c>
      <c r="G115" s="6" t="s">
        <v>187</v>
      </c>
      <c r="H115" s="2" t="s">
        <v>127</v>
      </c>
      <c r="I115" s="2" t="s">
        <v>128</v>
      </c>
      <c r="J115" s="2" t="s">
        <v>19</v>
      </c>
      <c r="K115" s="2" t="s">
        <v>160</v>
      </c>
      <c r="L115" s="7" t="str">
        <f>HYPERLINK("http://slimages.macys.com/is/image/MCY/9599934 ")</f>
        <v xml:space="preserve">http://slimages.macys.com/is/image/MCY/9599934 </v>
      </c>
    </row>
    <row r="116" spans="1:12" ht="24.75" x14ac:dyDescent="0.25">
      <c r="A116" s="4" t="s">
        <v>3460</v>
      </c>
      <c r="B116" s="2" t="s">
        <v>3461</v>
      </c>
      <c r="C116" s="3">
        <v>1</v>
      </c>
      <c r="D116" s="5">
        <v>40.880000000000003</v>
      </c>
      <c r="E116" s="3" t="s">
        <v>3462</v>
      </c>
      <c r="F116" s="2" t="s">
        <v>26</v>
      </c>
      <c r="G116" s="6" t="s">
        <v>156</v>
      </c>
      <c r="H116" s="2" t="s">
        <v>284</v>
      </c>
      <c r="I116" s="2" t="s">
        <v>285</v>
      </c>
      <c r="J116" s="2" t="s">
        <v>19</v>
      </c>
      <c r="K116" s="2" t="s">
        <v>2204</v>
      </c>
      <c r="L116" s="7" t="str">
        <f>HYPERLINK("http://slimages.macys.com/is/image/MCY/12035057 ")</f>
        <v xml:space="preserve">http://slimages.macys.com/is/image/MCY/12035057 </v>
      </c>
    </row>
    <row r="117" spans="1:12" ht="24.75" x14ac:dyDescent="0.25">
      <c r="A117" s="4" t="s">
        <v>6384</v>
      </c>
      <c r="B117" s="2" t="s">
        <v>614</v>
      </c>
      <c r="C117" s="3">
        <v>1</v>
      </c>
      <c r="D117" s="5">
        <v>40.880000000000003</v>
      </c>
      <c r="E117" s="3" t="s">
        <v>6385</v>
      </c>
      <c r="F117" s="2" t="s">
        <v>26</v>
      </c>
      <c r="G117" s="6" t="s">
        <v>187</v>
      </c>
      <c r="H117" s="2" t="s">
        <v>632</v>
      </c>
      <c r="I117" s="2" t="s">
        <v>408</v>
      </c>
      <c r="J117" s="2" t="s">
        <v>19</v>
      </c>
      <c r="K117" s="2" t="s">
        <v>409</v>
      </c>
      <c r="L117" s="7" t="str">
        <f>HYPERLINK("http://slimages.macys.com/is/image/MCY/12672193 ")</f>
        <v xml:space="preserve">http://slimages.macys.com/is/image/MCY/12672193 </v>
      </c>
    </row>
    <row r="118" spans="1:12" ht="24.75" x14ac:dyDescent="0.25">
      <c r="A118" s="4" t="s">
        <v>6386</v>
      </c>
      <c r="B118" s="2" t="s">
        <v>6387</v>
      </c>
      <c r="C118" s="3">
        <v>1</v>
      </c>
      <c r="D118" s="5">
        <v>44.63</v>
      </c>
      <c r="E118" s="3" t="s">
        <v>6388</v>
      </c>
      <c r="F118" s="2" t="s">
        <v>170</v>
      </c>
      <c r="G118" s="6"/>
      <c r="H118" s="2" t="s">
        <v>188</v>
      </c>
      <c r="I118" s="2" t="s">
        <v>189</v>
      </c>
      <c r="J118" s="2" t="s">
        <v>19</v>
      </c>
      <c r="K118" s="2" t="s">
        <v>1230</v>
      </c>
      <c r="L118" s="7" t="str">
        <f>HYPERLINK("http://slimages.macys.com/is/image/MCY/11516881 ")</f>
        <v xml:space="preserve">http://slimages.macys.com/is/image/MCY/11516881 </v>
      </c>
    </row>
    <row r="119" spans="1:12" ht="48.75" x14ac:dyDescent="0.25">
      <c r="A119" s="4" t="s">
        <v>4599</v>
      </c>
      <c r="B119" s="2" t="s">
        <v>599</v>
      </c>
      <c r="C119" s="3">
        <v>1</v>
      </c>
      <c r="D119" s="5">
        <v>37.130000000000003</v>
      </c>
      <c r="E119" s="3" t="s">
        <v>600</v>
      </c>
      <c r="F119" s="2" t="s">
        <v>15</v>
      </c>
      <c r="G119" s="6" t="s">
        <v>200</v>
      </c>
      <c r="H119" s="2" t="s">
        <v>194</v>
      </c>
      <c r="I119" s="2" t="s">
        <v>195</v>
      </c>
      <c r="J119" s="2" t="s">
        <v>19</v>
      </c>
      <c r="K119" s="2" t="s">
        <v>601</v>
      </c>
      <c r="L119" s="7" t="str">
        <f>HYPERLINK("http://slimages.macys.com/is/image/MCY/12734338 ")</f>
        <v xml:space="preserve">http://slimages.macys.com/is/image/MCY/12734338 </v>
      </c>
    </row>
    <row r="120" spans="1:12" ht="48.75" x14ac:dyDescent="0.25">
      <c r="A120" s="4" t="s">
        <v>603</v>
      </c>
      <c r="B120" s="2" t="s">
        <v>599</v>
      </c>
      <c r="C120" s="3">
        <v>3</v>
      </c>
      <c r="D120" s="5">
        <v>37.130000000000003</v>
      </c>
      <c r="E120" s="3" t="s">
        <v>600</v>
      </c>
      <c r="F120" s="2" t="s">
        <v>125</v>
      </c>
      <c r="G120" s="6" t="s">
        <v>154</v>
      </c>
      <c r="H120" s="2" t="s">
        <v>194</v>
      </c>
      <c r="I120" s="2" t="s">
        <v>195</v>
      </c>
      <c r="J120" s="2" t="s">
        <v>19</v>
      </c>
      <c r="K120" s="2" t="s">
        <v>601</v>
      </c>
      <c r="L120" s="7" t="str">
        <f>HYPERLINK("http://slimages.macys.com/is/image/MCY/12734338 ")</f>
        <v xml:space="preserve">http://slimages.macys.com/is/image/MCY/12734338 </v>
      </c>
    </row>
    <row r="121" spans="1:12" ht="48.75" x14ac:dyDescent="0.25">
      <c r="A121" s="4" t="s">
        <v>4598</v>
      </c>
      <c r="B121" s="2" t="s">
        <v>599</v>
      </c>
      <c r="C121" s="3">
        <v>1</v>
      </c>
      <c r="D121" s="5">
        <v>37.130000000000003</v>
      </c>
      <c r="E121" s="3" t="s">
        <v>600</v>
      </c>
      <c r="F121" s="2" t="s">
        <v>125</v>
      </c>
      <c r="G121" s="6" t="s">
        <v>200</v>
      </c>
      <c r="H121" s="2" t="s">
        <v>194</v>
      </c>
      <c r="I121" s="2" t="s">
        <v>195</v>
      </c>
      <c r="J121" s="2" t="s">
        <v>19</v>
      </c>
      <c r="K121" s="2" t="s">
        <v>601</v>
      </c>
      <c r="L121" s="7" t="str">
        <f>HYPERLINK("http://slimages.macys.com/is/image/MCY/12734338 ")</f>
        <v xml:space="preserve">http://slimages.macys.com/is/image/MCY/12734338 </v>
      </c>
    </row>
    <row r="122" spans="1:12" ht="48.75" x14ac:dyDescent="0.25">
      <c r="A122" s="4" t="s">
        <v>2342</v>
      </c>
      <c r="B122" s="2" t="s">
        <v>599</v>
      </c>
      <c r="C122" s="3">
        <v>1</v>
      </c>
      <c r="D122" s="5">
        <v>37.130000000000003</v>
      </c>
      <c r="E122" s="3" t="s">
        <v>600</v>
      </c>
      <c r="F122" s="2" t="s">
        <v>125</v>
      </c>
      <c r="G122" s="6" t="s">
        <v>181</v>
      </c>
      <c r="H122" s="2" t="s">
        <v>194</v>
      </c>
      <c r="I122" s="2" t="s">
        <v>195</v>
      </c>
      <c r="J122" s="2" t="s">
        <v>19</v>
      </c>
      <c r="K122" s="2" t="s">
        <v>601</v>
      </c>
      <c r="L122" s="7" t="str">
        <f>HYPERLINK("http://slimages.macys.com/is/image/MCY/12734338 ")</f>
        <v xml:space="preserve">http://slimages.macys.com/is/image/MCY/12734338 </v>
      </c>
    </row>
    <row r="123" spans="1:12" ht="24.75" x14ac:dyDescent="0.25">
      <c r="A123" s="4" t="s">
        <v>4600</v>
      </c>
      <c r="B123" s="2" t="s">
        <v>606</v>
      </c>
      <c r="C123" s="3">
        <v>1</v>
      </c>
      <c r="D123" s="5">
        <v>37.130000000000003</v>
      </c>
      <c r="E123" s="3">
        <v>100054430</v>
      </c>
      <c r="F123" s="2" t="s">
        <v>15</v>
      </c>
      <c r="G123" s="6" t="s">
        <v>16</v>
      </c>
      <c r="H123" s="2" t="s">
        <v>194</v>
      </c>
      <c r="I123" s="2" t="s">
        <v>503</v>
      </c>
      <c r="J123" s="2" t="s">
        <v>19</v>
      </c>
      <c r="K123" s="2" t="s">
        <v>607</v>
      </c>
      <c r="L123" s="7" t="str">
        <f>HYPERLINK("http://slimages.macys.com/is/image/MCY/12063680 ")</f>
        <v xml:space="preserve">http://slimages.macys.com/is/image/MCY/12063680 </v>
      </c>
    </row>
    <row r="124" spans="1:12" ht="24.75" x14ac:dyDescent="0.25">
      <c r="A124" s="4" t="s">
        <v>2344</v>
      </c>
      <c r="B124" s="2" t="s">
        <v>606</v>
      </c>
      <c r="C124" s="3">
        <v>2</v>
      </c>
      <c r="D124" s="5">
        <v>37.130000000000003</v>
      </c>
      <c r="E124" s="3">
        <v>100054430</v>
      </c>
      <c r="F124" s="2" t="s">
        <v>15</v>
      </c>
      <c r="G124" s="6" t="s">
        <v>27</v>
      </c>
      <c r="H124" s="2" t="s">
        <v>194</v>
      </c>
      <c r="I124" s="2" t="s">
        <v>503</v>
      </c>
      <c r="J124" s="2" t="s">
        <v>19</v>
      </c>
      <c r="K124" s="2" t="s">
        <v>607</v>
      </c>
      <c r="L124" s="7" t="str">
        <f>HYPERLINK("http://slimages.macys.com/is/image/MCY/12063680 ")</f>
        <v xml:space="preserve">http://slimages.macys.com/is/image/MCY/12063680 </v>
      </c>
    </row>
    <row r="125" spans="1:12" ht="24.75" x14ac:dyDescent="0.25">
      <c r="A125" s="4" t="s">
        <v>2343</v>
      </c>
      <c r="B125" s="2" t="s">
        <v>606</v>
      </c>
      <c r="C125" s="3">
        <v>1</v>
      </c>
      <c r="D125" s="5">
        <v>37.130000000000003</v>
      </c>
      <c r="E125" s="3">
        <v>100054430</v>
      </c>
      <c r="F125" s="2" t="s">
        <v>15</v>
      </c>
      <c r="G125" s="6" t="s">
        <v>58</v>
      </c>
      <c r="H125" s="2" t="s">
        <v>194</v>
      </c>
      <c r="I125" s="2" t="s">
        <v>503</v>
      </c>
      <c r="J125" s="2" t="s">
        <v>19</v>
      </c>
      <c r="K125" s="2" t="s">
        <v>607</v>
      </c>
      <c r="L125" s="7" t="str">
        <f>HYPERLINK("http://slimages.macys.com/is/image/MCY/12063680 ")</f>
        <v xml:space="preserve">http://slimages.macys.com/is/image/MCY/12063680 </v>
      </c>
    </row>
    <row r="126" spans="1:12" ht="24.75" x14ac:dyDescent="0.25">
      <c r="A126" s="4" t="s">
        <v>2345</v>
      </c>
      <c r="B126" s="2" t="s">
        <v>606</v>
      </c>
      <c r="C126" s="3">
        <v>1</v>
      </c>
      <c r="D126" s="5">
        <v>37.130000000000003</v>
      </c>
      <c r="E126" s="3">
        <v>100054430</v>
      </c>
      <c r="F126" s="2" t="s">
        <v>15</v>
      </c>
      <c r="G126" s="6" t="s">
        <v>65</v>
      </c>
      <c r="H126" s="2" t="s">
        <v>194</v>
      </c>
      <c r="I126" s="2" t="s">
        <v>503</v>
      </c>
      <c r="J126" s="2" t="s">
        <v>19</v>
      </c>
      <c r="K126" s="2" t="s">
        <v>607</v>
      </c>
      <c r="L126" s="7" t="str">
        <f>HYPERLINK("http://slimages.macys.com/is/image/MCY/12063680 ")</f>
        <v xml:space="preserve">http://slimages.macys.com/is/image/MCY/12063680 </v>
      </c>
    </row>
    <row r="127" spans="1:12" ht="24.75" x14ac:dyDescent="0.25">
      <c r="A127" s="4" t="s">
        <v>5519</v>
      </c>
      <c r="B127" s="2" t="s">
        <v>609</v>
      </c>
      <c r="C127" s="3">
        <v>1</v>
      </c>
      <c r="D127" s="5">
        <v>44.63</v>
      </c>
      <c r="E127" s="3">
        <v>100015690</v>
      </c>
      <c r="F127" s="2" t="s">
        <v>74</v>
      </c>
      <c r="G127" s="6" t="s">
        <v>181</v>
      </c>
      <c r="H127" s="2" t="s">
        <v>194</v>
      </c>
      <c r="I127" s="2" t="s">
        <v>195</v>
      </c>
      <c r="J127" s="2" t="s">
        <v>19</v>
      </c>
      <c r="K127" s="2" t="s">
        <v>610</v>
      </c>
      <c r="L127" s="7" t="str">
        <f>HYPERLINK("http://slimages.macys.com/is/image/MCY/9508600 ")</f>
        <v xml:space="preserve">http://slimages.macys.com/is/image/MCY/9508600 </v>
      </c>
    </row>
    <row r="128" spans="1:12" ht="24.75" x14ac:dyDescent="0.25">
      <c r="A128" s="4" t="s">
        <v>4604</v>
      </c>
      <c r="B128" s="2" t="s">
        <v>609</v>
      </c>
      <c r="C128" s="3">
        <v>2</v>
      </c>
      <c r="D128" s="5">
        <v>44.63</v>
      </c>
      <c r="E128" s="3">
        <v>100015690</v>
      </c>
      <c r="F128" s="2" t="s">
        <v>74</v>
      </c>
      <c r="G128" s="6" t="s">
        <v>154</v>
      </c>
      <c r="H128" s="2" t="s">
        <v>194</v>
      </c>
      <c r="I128" s="2" t="s">
        <v>195</v>
      </c>
      <c r="J128" s="2" t="s">
        <v>19</v>
      </c>
      <c r="K128" s="2" t="s">
        <v>610</v>
      </c>
      <c r="L128" s="7" t="str">
        <f>HYPERLINK("http://slimages.macys.com/is/image/MCY/9508600 ")</f>
        <v xml:space="preserve">http://slimages.macys.com/is/image/MCY/9508600 </v>
      </c>
    </row>
    <row r="129" spans="1:12" ht="36.75" x14ac:dyDescent="0.25">
      <c r="A129" s="4" t="s">
        <v>6389</v>
      </c>
      <c r="B129" s="2" t="s">
        <v>6390</v>
      </c>
      <c r="C129" s="3">
        <v>1</v>
      </c>
      <c r="D129" s="5">
        <v>40.880000000000003</v>
      </c>
      <c r="E129" s="3">
        <v>100016238</v>
      </c>
      <c r="F129" s="2" t="s">
        <v>33</v>
      </c>
      <c r="G129" s="6" t="s">
        <v>154</v>
      </c>
      <c r="H129" s="2" t="s">
        <v>194</v>
      </c>
      <c r="I129" s="2" t="s">
        <v>195</v>
      </c>
      <c r="J129" s="2" t="s">
        <v>19</v>
      </c>
      <c r="K129" s="2" t="s">
        <v>6391</v>
      </c>
      <c r="L129" s="7" t="str">
        <f>HYPERLINK("http://slimages.macys.com/is/image/MCY/9577018 ")</f>
        <v xml:space="preserve">http://slimages.macys.com/is/image/MCY/9577018 </v>
      </c>
    </row>
    <row r="130" spans="1:12" ht="24.75" x14ac:dyDescent="0.25">
      <c r="A130" s="4" t="s">
        <v>618</v>
      </c>
      <c r="B130" s="2" t="s">
        <v>617</v>
      </c>
      <c r="C130" s="3">
        <v>1</v>
      </c>
      <c r="D130" s="5">
        <v>44.63</v>
      </c>
      <c r="E130" s="3">
        <v>100054444</v>
      </c>
      <c r="F130" s="2" t="s">
        <v>111</v>
      </c>
      <c r="G130" s="6" t="s">
        <v>200</v>
      </c>
      <c r="H130" s="2" t="s">
        <v>194</v>
      </c>
      <c r="I130" s="2" t="s">
        <v>195</v>
      </c>
      <c r="J130" s="2" t="s">
        <v>19</v>
      </c>
      <c r="K130" s="2" t="s">
        <v>546</v>
      </c>
      <c r="L130" s="7" t="str">
        <f>HYPERLINK("http://slimages.macys.com/is/image/MCY/12279794 ")</f>
        <v xml:space="preserve">http://slimages.macys.com/is/image/MCY/12279794 </v>
      </c>
    </row>
    <row r="131" spans="1:12" ht="24.75" x14ac:dyDescent="0.25">
      <c r="A131" s="4" t="s">
        <v>4609</v>
      </c>
      <c r="B131" s="2" t="s">
        <v>4610</v>
      </c>
      <c r="C131" s="3">
        <v>1</v>
      </c>
      <c r="D131" s="5">
        <v>69.5</v>
      </c>
      <c r="E131" s="3">
        <v>100061462</v>
      </c>
      <c r="F131" s="2" t="s">
        <v>64</v>
      </c>
      <c r="G131" s="6" t="s">
        <v>27</v>
      </c>
      <c r="H131" s="2" t="s">
        <v>386</v>
      </c>
      <c r="I131" s="2" t="s">
        <v>207</v>
      </c>
      <c r="J131" s="2" t="s">
        <v>19</v>
      </c>
      <c r="K131" s="2" t="s">
        <v>338</v>
      </c>
      <c r="L131" s="7" t="str">
        <f>HYPERLINK("http://slimages.macys.com/is/image/MCY/11943173 ")</f>
        <v xml:space="preserve">http://slimages.macys.com/is/image/MCY/11943173 </v>
      </c>
    </row>
    <row r="132" spans="1:12" ht="36.75" x14ac:dyDescent="0.25">
      <c r="A132" s="4" t="s">
        <v>6392</v>
      </c>
      <c r="B132" s="2" t="s">
        <v>626</v>
      </c>
      <c r="C132" s="3">
        <v>1</v>
      </c>
      <c r="D132" s="5">
        <v>40.880000000000003</v>
      </c>
      <c r="E132" s="3" t="s">
        <v>6393</v>
      </c>
      <c r="F132" s="2" t="s">
        <v>572</v>
      </c>
      <c r="G132" s="6" t="s">
        <v>363</v>
      </c>
      <c r="H132" s="2" t="s">
        <v>188</v>
      </c>
      <c r="I132" s="2" t="s">
        <v>525</v>
      </c>
      <c r="J132" s="2" t="s">
        <v>19</v>
      </c>
      <c r="K132" s="2" t="s">
        <v>6394</v>
      </c>
      <c r="L132" s="7" t="str">
        <f>HYPERLINK("http://slimages.macys.com/is/image/MCY/11620896 ")</f>
        <v xml:space="preserve">http://slimages.macys.com/is/image/MCY/11620896 </v>
      </c>
    </row>
    <row r="133" spans="1:12" ht="24.75" x14ac:dyDescent="0.25">
      <c r="A133" s="4" t="s">
        <v>2350</v>
      </c>
      <c r="B133" s="2" t="s">
        <v>2351</v>
      </c>
      <c r="C133" s="3">
        <v>3</v>
      </c>
      <c r="D133" s="5">
        <v>37.130000000000003</v>
      </c>
      <c r="E133" s="3" t="s">
        <v>2352</v>
      </c>
      <c r="F133" s="2" t="s">
        <v>417</v>
      </c>
      <c r="G133" s="6" t="s">
        <v>181</v>
      </c>
      <c r="H133" s="2" t="s">
        <v>194</v>
      </c>
      <c r="I133" s="2" t="s">
        <v>195</v>
      </c>
      <c r="J133" s="2" t="s">
        <v>19</v>
      </c>
      <c r="K133" s="2" t="s">
        <v>438</v>
      </c>
      <c r="L133" s="7" t="str">
        <f>HYPERLINK("http://slimages.macys.com/is/image/MCY/12667948 ")</f>
        <v xml:space="preserve">http://slimages.macys.com/is/image/MCY/12667948 </v>
      </c>
    </row>
    <row r="134" spans="1:12" ht="24.75" x14ac:dyDescent="0.25">
      <c r="A134" s="4" t="s">
        <v>3482</v>
      </c>
      <c r="B134" s="2" t="s">
        <v>2351</v>
      </c>
      <c r="C134" s="3">
        <v>1</v>
      </c>
      <c r="D134" s="5">
        <v>37.130000000000003</v>
      </c>
      <c r="E134" s="3" t="s">
        <v>2352</v>
      </c>
      <c r="F134" s="2" t="s">
        <v>111</v>
      </c>
      <c r="G134" s="6" t="s">
        <v>154</v>
      </c>
      <c r="H134" s="2" t="s">
        <v>194</v>
      </c>
      <c r="I134" s="2" t="s">
        <v>195</v>
      </c>
      <c r="J134" s="2" t="s">
        <v>19</v>
      </c>
      <c r="K134" s="2" t="s">
        <v>438</v>
      </c>
      <c r="L134" s="7" t="str">
        <f>HYPERLINK("http://slimages.macys.com/is/image/MCY/12667948 ")</f>
        <v xml:space="preserve">http://slimages.macys.com/is/image/MCY/12667948 </v>
      </c>
    </row>
    <row r="135" spans="1:12" ht="24.75" x14ac:dyDescent="0.25">
      <c r="A135" s="4" t="s">
        <v>5526</v>
      </c>
      <c r="B135" s="2" t="s">
        <v>2351</v>
      </c>
      <c r="C135" s="3">
        <v>1</v>
      </c>
      <c r="D135" s="5">
        <v>37.130000000000003</v>
      </c>
      <c r="E135" s="3" t="s">
        <v>2352</v>
      </c>
      <c r="F135" s="2" t="s">
        <v>111</v>
      </c>
      <c r="G135" s="6" t="s">
        <v>156</v>
      </c>
      <c r="H135" s="2" t="s">
        <v>194</v>
      </c>
      <c r="I135" s="2" t="s">
        <v>195</v>
      </c>
      <c r="J135" s="2" t="s">
        <v>19</v>
      </c>
      <c r="K135" s="2" t="s">
        <v>438</v>
      </c>
      <c r="L135" s="7" t="str">
        <f>HYPERLINK("http://slimages.macys.com/is/image/MCY/12667948 ")</f>
        <v xml:space="preserve">http://slimages.macys.com/is/image/MCY/12667948 </v>
      </c>
    </row>
    <row r="136" spans="1:12" ht="24.75" x14ac:dyDescent="0.25">
      <c r="A136" s="4" t="s">
        <v>6395</v>
      </c>
      <c r="B136" s="2" t="s">
        <v>2354</v>
      </c>
      <c r="C136" s="3">
        <v>1</v>
      </c>
      <c r="D136" s="5">
        <v>44.63</v>
      </c>
      <c r="E136" s="3" t="s">
        <v>2355</v>
      </c>
      <c r="F136" s="2" t="s">
        <v>26</v>
      </c>
      <c r="G136" s="6" t="s">
        <v>126</v>
      </c>
      <c r="H136" s="2" t="s">
        <v>188</v>
      </c>
      <c r="I136" s="2" t="s">
        <v>214</v>
      </c>
      <c r="J136" s="2" t="s">
        <v>19</v>
      </c>
      <c r="K136" s="2" t="s">
        <v>253</v>
      </c>
      <c r="L136" s="7" t="str">
        <f>HYPERLINK("http://slimages.macys.com/is/image/MCY/9910745 ")</f>
        <v xml:space="preserve">http://slimages.macys.com/is/image/MCY/9910745 </v>
      </c>
    </row>
    <row r="137" spans="1:12" ht="24.75" x14ac:dyDescent="0.25">
      <c r="A137" s="4" t="s">
        <v>5534</v>
      </c>
      <c r="B137" s="2" t="s">
        <v>2357</v>
      </c>
      <c r="C137" s="3">
        <v>1</v>
      </c>
      <c r="D137" s="5">
        <v>40.880000000000003</v>
      </c>
      <c r="E137" s="3" t="s">
        <v>2358</v>
      </c>
      <c r="F137" s="2" t="s">
        <v>15</v>
      </c>
      <c r="G137" s="6" t="s">
        <v>234</v>
      </c>
      <c r="H137" s="2" t="s">
        <v>284</v>
      </c>
      <c r="I137" s="2" t="s">
        <v>285</v>
      </c>
      <c r="J137" s="2" t="s">
        <v>19</v>
      </c>
      <c r="K137" s="2" t="s">
        <v>160</v>
      </c>
      <c r="L137" s="7" t="str">
        <f>HYPERLINK("http://slimages.macys.com/is/image/MCY/12671658 ")</f>
        <v xml:space="preserve">http://slimages.macys.com/is/image/MCY/12671658 </v>
      </c>
    </row>
    <row r="138" spans="1:12" ht="24.75" x14ac:dyDescent="0.25">
      <c r="A138" s="4" t="s">
        <v>6396</v>
      </c>
      <c r="B138" s="2" t="s">
        <v>2357</v>
      </c>
      <c r="C138" s="3">
        <v>1</v>
      </c>
      <c r="D138" s="5">
        <v>40.880000000000003</v>
      </c>
      <c r="E138" s="3" t="s">
        <v>2358</v>
      </c>
      <c r="F138" s="2" t="s">
        <v>15</v>
      </c>
      <c r="G138" s="6" t="s">
        <v>156</v>
      </c>
      <c r="H138" s="2" t="s">
        <v>284</v>
      </c>
      <c r="I138" s="2" t="s">
        <v>285</v>
      </c>
      <c r="J138" s="2" t="s">
        <v>19</v>
      </c>
      <c r="K138" s="2" t="s">
        <v>160</v>
      </c>
      <c r="L138" s="7" t="str">
        <f>HYPERLINK("http://slimages.macys.com/is/image/MCY/12671658 ")</f>
        <v xml:space="preserve">http://slimages.macys.com/is/image/MCY/12671658 </v>
      </c>
    </row>
    <row r="139" spans="1:12" ht="24.75" x14ac:dyDescent="0.25">
      <c r="A139" s="4" t="s">
        <v>2356</v>
      </c>
      <c r="B139" s="2" t="s">
        <v>2357</v>
      </c>
      <c r="C139" s="3">
        <v>1</v>
      </c>
      <c r="D139" s="5">
        <v>40.880000000000003</v>
      </c>
      <c r="E139" s="3" t="s">
        <v>2358</v>
      </c>
      <c r="F139" s="2" t="s">
        <v>15</v>
      </c>
      <c r="G139" s="6" t="s">
        <v>181</v>
      </c>
      <c r="H139" s="2" t="s">
        <v>284</v>
      </c>
      <c r="I139" s="2" t="s">
        <v>285</v>
      </c>
      <c r="J139" s="2" t="s">
        <v>19</v>
      </c>
      <c r="K139" s="2" t="s">
        <v>160</v>
      </c>
      <c r="L139" s="7" t="str">
        <f>HYPERLINK("http://slimages.macys.com/is/image/MCY/12671658 ")</f>
        <v xml:space="preserve">http://slimages.macys.com/is/image/MCY/12671658 </v>
      </c>
    </row>
    <row r="140" spans="1:12" ht="48.75" x14ac:dyDescent="0.25">
      <c r="A140" s="4" t="s">
        <v>6397</v>
      </c>
      <c r="B140" s="2" t="s">
        <v>841</v>
      </c>
      <c r="C140" s="3">
        <v>1</v>
      </c>
      <c r="D140" s="5">
        <v>34.99</v>
      </c>
      <c r="E140" s="3" t="s">
        <v>842</v>
      </c>
      <c r="F140" s="2" t="s">
        <v>26</v>
      </c>
      <c r="G140" s="6" t="s">
        <v>6319</v>
      </c>
      <c r="H140" s="2" t="s">
        <v>349</v>
      </c>
      <c r="I140" s="2" t="s">
        <v>408</v>
      </c>
      <c r="J140" s="2" t="s">
        <v>19</v>
      </c>
      <c r="K140" s="2" t="s">
        <v>787</v>
      </c>
      <c r="L140" s="7" t="str">
        <f>HYPERLINK("http://slimages.macys.com/is/image/MCY/3935281 ")</f>
        <v xml:space="preserve">http://slimages.macys.com/is/image/MCY/3935281 </v>
      </c>
    </row>
    <row r="141" spans="1:12" ht="24.75" x14ac:dyDescent="0.25">
      <c r="A141" s="4" t="s">
        <v>3498</v>
      </c>
      <c r="B141" s="2" t="s">
        <v>641</v>
      </c>
      <c r="C141" s="3">
        <v>16</v>
      </c>
      <c r="D141" s="5">
        <v>34.99</v>
      </c>
      <c r="E141" s="3" t="s">
        <v>642</v>
      </c>
      <c r="F141" s="2" t="s">
        <v>64</v>
      </c>
      <c r="G141" s="6" t="s">
        <v>746</v>
      </c>
      <c r="H141" s="2" t="s">
        <v>349</v>
      </c>
      <c r="I141" s="2" t="s">
        <v>408</v>
      </c>
      <c r="J141" s="2" t="s">
        <v>19</v>
      </c>
      <c r="K141" s="2" t="s">
        <v>409</v>
      </c>
      <c r="L141" s="7" t="str">
        <f>HYPERLINK("http://slimages.macys.com/is/image/MCY/9297288 ")</f>
        <v xml:space="preserve">http://slimages.macys.com/is/image/MCY/9297288 </v>
      </c>
    </row>
    <row r="142" spans="1:12" ht="24.75" x14ac:dyDescent="0.25">
      <c r="A142" s="4" t="s">
        <v>3503</v>
      </c>
      <c r="B142" s="2" t="s">
        <v>641</v>
      </c>
      <c r="C142" s="3">
        <v>1</v>
      </c>
      <c r="D142" s="5">
        <v>34.99</v>
      </c>
      <c r="E142" s="3" t="s">
        <v>642</v>
      </c>
      <c r="F142" s="2" t="s">
        <v>64</v>
      </c>
      <c r="G142" s="6" t="s">
        <v>2276</v>
      </c>
      <c r="H142" s="2" t="s">
        <v>349</v>
      </c>
      <c r="I142" s="2" t="s">
        <v>408</v>
      </c>
      <c r="J142" s="2" t="s">
        <v>19</v>
      </c>
      <c r="K142" s="2" t="s">
        <v>409</v>
      </c>
      <c r="L142" s="7" t="str">
        <f>HYPERLINK("http://slimages.macys.com/is/image/MCY/9297288 ")</f>
        <v xml:space="preserve">http://slimages.macys.com/is/image/MCY/9297288 </v>
      </c>
    </row>
    <row r="143" spans="1:12" ht="24.75" x14ac:dyDescent="0.25">
      <c r="A143" s="4" t="s">
        <v>6398</v>
      </c>
      <c r="B143" s="2" t="s">
        <v>6399</v>
      </c>
      <c r="C143" s="3">
        <v>1</v>
      </c>
      <c r="D143" s="5">
        <v>44.5</v>
      </c>
      <c r="E143" s="3" t="s">
        <v>6400</v>
      </c>
      <c r="F143" s="2" t="s">
        <v>1322</v>
      </c>
      <c r="G143" s="6" t="s">
        <v>154</v>
      </c>
      <c r="H143" s="2" t="s">
        <v>194</v>
      </c>
      <c r="I143" s="2" t="s">
        <v>307</v>
      </c>
      <c r="J143" s="2" t="s">
        <v>19</v>
      </c>
      <c r="K143" s="2" t="s">
        <v>438</v>
      </c>
      <c r="L143" s="7" t="str">
        <f>HYPERLINK("http://slimages.macys.com/is/image/MCY/12034758 ")</f>
        <v xml:space="preserve">http://slimages.macys.com/is/image/MCY/12034758 </v>
      </c>
    </row>
    <row r="144" spans="1:12" ht="24.75" x14ac:dyDescent="0.25">
      <c r="A144" s="4" t="s">
        <v>6401</v>
      </c>
      <c r="B144" s="2" t="s">
        <v>385</v>
      </c>
      <c r="C144" s="3">
        <v>1</v>
      </c>
      <c r="D144" s="5">
        <v>69.5</v>
      </c>
      <c r="E144" s="3">
        <v>100057469</v>
      </c>
      <c r="F144" s="2" t="s">
        <v>74</v>
      </c>
      <c r="G144" s="6" t="s">
        <v>58</v>
      </c>
      <c r="H144" s="2" t="s">
        <v>386</v>
      </c>
      <c r="I144" s="2" t="s">
        <v>207</v>
      </c>
      <c r="J144" s="2" t="s">
        <v>19</v>
      </c>
      <c r="K144" s="2" t="s">
        <v>387</v>
      </c>
      <c r="L144" s="7" t="str">
        <f>HYPERLINK("http://slimages.macys.com/is/image/MCY/11782675 ")</f>
        <v xml:space="preserve">http://slimages.macys.com/is/image/MCY/11782675 </v>
      </c>
    </row>
    <row r="145" spans="1:12" ht="24.75" x14ac:dyDescent="0.25">
      <c r="A145" s="4" t="s">
        <v>6402</v>
      </c>
      <c r="B145" s="2" t="s">
        <v>4617</v>
      </c>
      <c r="C145" s="3">
        <v>1</v>
      </c>
      <c r="D145" s="5">
        <v>40.880000000000003</v>
      </c>
      <c r="E145" s="3" t="s">
        <v>6403</v>
      </c>
      <c r="F145" s="2" t="s">
        <v>413</v>
      </c>
      <c r="G145" s="6"/>
      <c r="H145" s="2" t="s">
        <v>312</v>
      </c>
      <c r="I145" s="2" t="s">
        <v>195</v>
      </c>
      <c r="J145" s="2" t="s">
        <v>19</v>
      </c>
      <c r="K145" s="2" t="s">
        <v>6404</v>
      </c>
      <c r="L145" s="7" t="str">
        <f>HYPERLINK("http://slimages.macys.com/is/image/MCY/12404897 ")</f>
        <v xml:space="preserve">http://slimages.macys.com/is/image/MCY/12404897 </v>
      </c>
    </row>
    <row r="146" spans="1:12" ht="24.75" x14ac:dyDescent="0.25">
      <c r="A146" s="4" t="s">
        <v>6405</v>
      </c>
      <c r="B146" s="2" t="s">
        <v>5548</v>
      </c>
      <c r="C146" s="3">
        <v>1</v>
      </c>
      <c r="D146" s="5">
        <v>40.880000000000003</v>
      </c>
      <c r="E146" s="3" t="s">
        <v>5549</v>
      </c>
      <c r="F146" s="2" t="s">
        <v>26</v>
      </c>
      <c r="G146" s="6" t="s">
        <v>234</v>
      </c>
      <c r="H146" s="2" t="s">
        <v>284</v>
      </c>
      <c r="I146" s="2" t="s">
        <v>285</v>
      </c>
      <c r="J146" s="2" t="s">
        <v>19</v>
      </c>
      <c r="K146" s="2" t="s">
        <v>323</v>
      </c>
      <c r="L146" s="7" t="str">
        <f>HYPERLINK("http://slimages.macys.com/is/image/MCY/12077631 ")</f>
        <v xml:space="preserve">http://slimages.macys.com/is/image/MCY/12077631 </v>
      </c>
    </row>
    <row r="147" spans="1:12" ht="24.75" x14ac:dyDescent="0.25">
      <c r="A147" s="4" t="s">
        <v>6406</v>
      </c>
      <c r="B147" s="2" t="s">
        <v>2542</v>
      </c>
      <c r="C147" s="3">
        <v>1</v>
      </c>
      <c r="D147" s="5">
        <v>59.5</v>
      </c>
      <c r="E147" s="3">
        <v>100061927</v>
      </c>
      <c r="F147" s="2" t="s">
        <v>252</v>
      </c>
      <c r="G147" s="6" t="s">
        <v>16</v>
      </c>
      <c r="H147" s="2" t="s">
        <v>386</v>
      </c>
      <c r="I147" s="2" t="s">
        <v>207</v>
      </c>
      <c r="J147" s="2" t="s">
        <v>19</v>
      </c>
      <c r="K147" s="2" t="s">
        <v>1251</v>
      </c>
      <c r="L147" s="7" t="str">
        <f>HYPERLINK("http://slimages.macys.com/is/image/MCY/11963036 ")</f>
        <v xml:space="preserve">http://slimages.macys.com/is/image/MCY/11963036 </v>
      </c>
    </row>
    <row r="148" spans="1:12" ht="24.75" x14ac:dyDescent="0.25">
      <c r="A148" s="4" t="s">
        <v>6407</v>
      </c>
      <c r="B148" s="2" t="s">
        <v>4631</v>
      </c>
      <c r="C148" s="3">
        <v>1</v>
      </c>
      <c r="D148" s="5">
        <v>40.880000000000003</v>
      </c>
      <c r="E148" s="3" t="s">
        <v>4632</v>
      </c>
      <c r="F148" s="2" t="s">
        <v>125</v>
      </c>
      <c r="G148" s="6" t="s">
        <v>181</v>
      </c>
      <c r="H148" s="2" t="s">
        <v>194</v>
      </c>
      <c r="I148" s="2" t="s">
        <v>195</v>
      </c>
      <c r="J148" s="2" t="s">
        <v>19</v>
      </c>
      <c r="K148" s="2" t="s">
        <v>107</v>
      </c>
      <c r="L148" s="7" t="str">
        <f>HYPERLINK("http://slimages.macys.com/is/image/MCY/12279952 ")</f>
        <v xml:space="preserve">http://slimages.macys.com/is/image/MCY/12279952 </v>
      </c>
    </row>
    <row r="149" spans="1:12" ht="24.75" x14ac:dyDescent="0.25">
      <c r="A149" s="4" t="s">
        <v>662</v>
      </c>
      <c r="B149" s="2" t="s">
        <v>663</v>
      </c>
      <c r="C149" s="3">
        <v>2</v>
      </c>
      <c r="D149" s="5">
        <v>29.99</v>
      </c>
      <c r="E149" s="3" t="s">
        <v>664</v>
      </c>
      <c r="F149" s="2" t="s">
        <v>15</v>
      </c>
      <c r="G149" s="6" t="s">
        <v>154</v>
      </c>
      <c r="H149" s="2" t="s">
        <v>284</v>
      </c>
      <c r="I149" s="2" t="s">
        <v>408</v>
      </c>
      <c r="J149" s="2" t="s">
        <v>19</v>
      </c>
      <c r="K149" s="2" t="s">
        <v>409</v>
      </c>
      <c r="L149" s="7" t="str">
        <f>HYPERLINK("http://slimages.macys.com/is/image/MCY/13397153 ")</f>
        <v xml:space="preserve">http://slimages.macys.com/is/image/MCY/13397153 </v>
      </c>
    </row>
    <row r="150" spans="1:12" ht="24.75" x14ac:dyDescent="0.25">
      <c r="A150" s="4" t="s">
        <v>4633</v>
      </c>
      <c r="B150" s="2" t="s">
        <v>663</v>
      </c>
      <c r="C150" s="3">
        <v>1</v>
      </c>
      <c r="D150" s="5">
        <v>29.99</v>
      </c>
      <c r="E150" s="3" t="s">
        <v>664</v>
      </c>
      <c r="F150" s="2" t="s">
        <v>15</v>
      </c>
      <c r="G150" s="6" t="s">
        <v>181</v>
      </c>
      <c r="H150" s="2" t="s">
        <v>284</v>
      </c>
      <c r="I150" s="2" t="s">
        <v>408</v>
      </c>
      <c r="J150" s="2" t="s">
        <v>19</v>
      </c>
      <c r="K150" s="2" t="s">
        <v>409</v>
      </c>
      <c r="L150" s="7" t="str">
        <f>HYPERLINK("http://slimages.macys.com/is/image/MCY/13397153 ")</f>
        <v xml:space="preserve">http://slimages.macys.com/is/image/MCY/13397153 </v>
      </c>
    </row>
    <row r="151" spans="1:12" ht="24.75" x14ac:dyDescent="0.25">
      <c r="A151" s="4" t="s">
        <v>6408</v>
      </c>
      <c r="B151" s="2" t="s">
        <v>2376</v>
      </c>
      <c r="C151" s="3">
        <v>3</v>
      </c>
      <c r="D151" s="5">
        <v>40.880000000000003</v>
      </c>
      <c r="E151" s="3" t="s">
        <v>2377</v>
      </c>
      <c r="F151" s="2" t="s">
        <v>26</v>
      </c>
      <c r="G151" s="6" t="s">
        <v>181</v>
      </c>
      <c r="H151" s="2" t="s">
        <v>284</v>
      </c>
      <c r="I151" s="2" t="s">
        <v>285</v>
      </c>
      <c r="J151" s="2" t="s">
        <v>19</v>
      </c>
      <c r="K151" s="2" t="s">
        <v>34</v>
      </c>
      <c r="L151" s="7" t="str">
        <f>HYPERLINK("http://slimages.macys.com/is/image/MCY/12671730 ")</f>
        <v xml:space="preserve">http://slimages.macys.com/is/image/MCY/12671730 </v>
      </c>
    </row>
    <row r="152" spans="1:12" ht="24.75" x14ac:dyDescent="0.25">
      <c r="A152" s="4" t="s">
        <v>2374</v>
      </c>
      <c r="B152" s="2" t="s">
        <v>2372</v>
      </c>
      <c r="C152" s="3">
        <v>1</v>
      </c>
      <c r="D152" s="5">
        <v>44.5</v>
      </c>
      <c r="E152" s="3" t="s">
        <v>2373</v>
      </c>
      <c r="F152" s="2" t="s">
        <v>26</v>
      </c>
      <c r="G152" s="6"/>
      <c r="H152" s="2" t="s">
        <v>194</v>
      </c>
      <c r="I152" s="2" t="s">
        <v>195</v>
      </c>
      <c r="J152" s="2" t="s">
        <v>19</v>
      </c>
      <c r="K152" s="2" t="s">
        <v>648</v>
      </c>
      <c r="L152" s="7" t="str">
        <f>HYPERLINK("http://slimages.macys.com/is/image/MCY/12667980 ")</f>
        <v xml:space="preserve">http://slimages.macys.com/is/image/MCY/12667980 </v>
      </c>
    </row>
    <row r="153" spans="1:12" ht="24.75" x14ac:dyDescent="0.25">
      <c r="A153" s="4" t="s">
        <v>6409</v>
      </c>
      <c r="B153" s="2" t="s">
        <v>3520</v>
      </c>
      <c r="C153" s="3">
        <v>1</v>
      </c>
      <c r="D153" s="5">
        <v>40.880000000000003</v>
      </c>
      <c r="E153" s="3" t="s">
        <v>3521</v>
      </c>
      <c r="F153" s="2" t="s">
        <v>70</v>
      </c>
      <c r="G153" s="6" t="s">
        <v>245</v>
      </c>
      <c r="H153" s="2" t="s">
        <v>194</v>
      </c>
      <c r="I153" s="2" t="s">
        <v>195</v>
      </c>
      <c r="J153" s="2" t="s">
        <v>19</v>
      </c>
      <c r="K153" s="2" t="s">
        <v>607</v>
      </c>
      <c r="L153" s="7" t="str">
        <f>HYPERLINK("http://slimages.macys.com/is/image/MCY/11466715 ")</f>
        <v xml:space="preserve">http://slimages.macys.com/is/image/MCY/11466715 </v>
      </c>
    </row>
    <row r="154" spans="1:12" ht="24.75" x14ac:dyDescent="0.25">
      <c r="A154" s="4" t="s">
        <v>2380</v>
      </c>
      <c r="B154" s="2" t="s">
        <v>682</v>
      </c>
      <c r="C154" s="3">
        <v>1</v>
      </c>
      <c r="D154" s="5">
        <v>40.880000000000003</v>
      </c>
      <c r="E154" s="3" t="s">
        <v>683</v>
      </c>
      <c r="F154" s="2" t="s">
        <v>111</v>
      </c>
      <c r="G154" s="6" t="s">
        <v>181</v>
      </c>
      <c r="H154" s="2" t="s">
        <v>194</v>
      </c>
      <c r="I154" s="2" t="s">
        <v>503</v>
      </c>
      <c r="J154" s="2" t="s">
        <v>19</v>
      </c>
      <c r="K154" s="2" t="s">
        <v>546</v>
      </c>
      <c r="L154" s="7" t="str">
        <f>HYPERLINK("http://slimages.macys.com/is/image/MCY/12316740 ")</f>
        <v xml:space="preserve">http://slimages.macys.com/is/image/MCY/12316740 </v>
      </c>
    </row>
    <row r="155" spans="1:12" ht="48.75" x14ac:dyDescent="0.25">
      <c r="A155" s="4" t="s">
        <v>6410</v>
      </c>
      <c r="B155" s="2" t="s">
        <v>432</v>
      </c>
      <c r="C155" s="3">
        <v>3</v>
      </c>
      <c r="D155" s="5">
        <v>37.130000000000003</v>
      </c>
      <c r="E155" s="3" t="s">
        <v>4646</v>
      </c>
      <c r="F155" s="2" t="s">
        <v>26</v>
      </c>
      <c r="G155" s="6" t="s">
        <v>181</v>
      </c>
      <c r="H155" s="2" t="s">
        <v>284</v>
      </c>
      <c r="I155" s="2" t="s">
        <v>408</v>
      </c>
      <c r="J155" s="2" t="s">
        <v>19</v>
      </c>
      <c r="K155" s="2" t="s">
        <v>775</v>
      </c>
      <c r="L155" s="7" t="str">
        <f>HYPERLINK("http://slimages.macys.com/is/image/MCY/12672509 ")</f>
        <v xml:space="preserve">http://slimages.macys.com/is/image/MCY/12672509 </v>
      </c>
    </row>
    <row r="156" spans="1:12" ht="48.75" x14ac:dyDescent="0.25">
      <c r="A156" s="4" t="s">
        <v>5557</v>
      </c>
      <c r="B156" s="2" t="s">
        <v>432</v>
      </c>
      <c r="C156" s="3">
        <v>1</v>
      </c>
      <c r="D156" s="5">
        <v>37.130000000000003</v>
      </c>
      <c r="E156" s="3" t="s">
        <v>4646</v>
      </c>
      <c r="F156" s="2" t="s">
        <v>26</v>
      </c>
      <c r="G156" s="6" t="s">
        <v>234</v>
      </c>
      <c r="H156" s="2" t="s">
        <v>284</v>
      </c>
      <c r="I156" s="2" t="s">
        <v>408</v>
      </c>
      <c r="J156" s="2" t="s">
        <v>19</v>
      </c>
      <c r="K156" s="2" t="s">
        <v>775</v>
      </c>
      <c r="L156" s="7" t="str">
        <f>HYPERLINK("http://slimages.macys.com/is/image/MCY/12672509 ")</f>
        <v xml:space="preserve">http://slimages.macys.com/is/image/MCY/12672509 </v>
      </c>
    </row>
    <row r="157" spans="1:12" ht="24.75" x14ac:dyDescent="0.25">
      <c r="A157" s="4" t="s">
        <v>2392</v>
      </c>
      <c r="B157" s="2" t="s">
        <v>2385</v>
      </c>
      <c r="C157" s="3">
        <v>1</v>
      </c>
      <c r="D157" s="5">
        <v>39.5</v>
      </c>
      <c r="E157" s="3" t="s">
        <v>2386</v>
      </c>
      <c r="F157" s="2" t="s">
        <v>26</v>
      </c>
      <c r="G157" s="6" t="s">
        <v>181</v>
      </c>
      <c r="H157" s="2" t="s">
        <v>194</v>
      </c>
      <c r="I157" s="2" t="s">
        <v>195</v>
      </c>
      <c r="J157" s="2" t="s">
        <v>19</v>
      </c>
      <c r="K157" s="2" t="s">
        <v>201</v>
      </c>
      <c r="L157" s="7" t="str">
        <f>HYPERLINK("http://slimages.macys.com/is/image/MCY/12034726 ")</f>
        <v xml:space="preserve">http://slimages.macys.com/is/image/MCY/12034726 </v>
      </c>
    </row>
    <row r="158" spans="1:12" ht="24.75" x14ac:dyDescent="0.25">
      <c r="A158" s="4" t="s">
        <v>2391</v>
      </c>
      <c r="B158" s="2" t="s">
        <v>707</v>
      </c>
      <c r="C158" s="3">
        <v>1</v>
      </c>
      <c r="D158" s="5">
        <v>40.880000000000003</v>
      </c>
      <c r="E158" s="3">
        <v>100047657</v>
      </c>
      <c r="F158" s="2" t="s">
        <v>376</v>
      </c>
      <c r="G158" s="6" t="s">
        <v>22</v>
      </c>
      <c r="H158" s="2" t="s">
        <v>194</v>
      </c>
      <c r="I158" s="2" t="s">
        <v>195</v>
      </c>
      <c r="J158" s="2" t="s">
        <v>19</v>
      </c>
      <c r="K158" s="2" t="s">
        <v>546</v>
      </c>
      <c r="L158" s="7" t="str">
        <f>HYPERLINK("http://slimages.macys.com/is/image/MCY/12143636 ")</f>
        <v xml:space="preserve">http://slimages.macys.com/is/image/MCY/12143636 </v>
      </c>
    </row>
    <row r="159" spans="1:12" ht="24.75" x14ac:dyDescent="0.25">
      <c r="A159" s="4" t="s">
        <v>2389</v>
      </c>
      <c r="B159" s="2" t="s">
        <v>707</v>
      </c>
      <c r="C159" s="3">
        <v>1</v>
      </c>
      <c r="D159" s="5">
        <v>40.880000000000003</v>
      </c>
      <c r="E159" s="3">
        <v>100047657</v>
      </c>
      <c r="F159" s="2" t="s">
        <v>376</v>
      </c>
      <c r="G159" s="6" t="s">
        <v>16</v>
      </c>
      <c r="H159" s="2" t="s">
        <v>194</v>
      </c>
      <c r="I159" s="2" t="s">
        <v>195</v>
      </c>
      <c r="J159" s="2" t="s">
        <v>19</v>
      </c>
      <c r="K159" s="2" t="s">
        <v>546</v>
      </c>
      <c r="L159" s="7" t="str">
        <f>HYPERLINK("http://slimages.macys.com/is/image/MCY/12143636 ")</f>
        <v xml:space="preserve">http://slimages.macys.com/is/image/MCY/12143636 </v>
      </c>
    </row>
    <row r="160" spans="1:12" ht="24.75" x14ac:dyDescent="0.25">
      <c r="A160" s="4" t="s">
        <v>6411</v>
      </c>
      <c r="B160" s="2" t="s">
        <v>2385</v>
      </c>
      <c r="C160" s="3">
        <v>1</v>
      </c>
      <c r="D160" s="5">
        <v>39.5</v>
      </c>
      <c r="E160" s="3" t="s">
        <v>2386</v>
      </c>
      <c r="F160" s="2" t="s">
        <v>417</v>
      </c>
      <c r="G160" s="6" t="s">
        <v>154</v>
      </c>
      <c r="H160" s="2" t="s">
        <v>194</v>
      </c>
      <c r="I160" s="2" t="s">
        <v>195</v>
      </c>
      <c r="J160" s="2" t="s">
        <v>19</v>
      </c>
      <c r="K160" s="2" t="s">
        <v>201</v>
      </c>
      <c r="L160" s="7" t="str">
        <f>HYPERLINK("http://slimages.macys.com/is/image/MCY/12034726 ")</f>
        <v xml:space="preserve">http://slimages.macys.com/is/image/MCY/12034726 </v>
      </c>
    </row>
    <row r="161" spans="1:12" ht="24.75" x14ac:dyDescent="0.25">
      <c r="A161" s="4" t="s">
        <v>6412</v>
      </c>
      <c r="B161" s="2" t="s">
        <v>2394</v>
      </c>
      <c r="C161" s="3">
        <v>1</v>
      </c>
      <c r="D161" s="5">
        <v>40.880000000000003</v>
      </c>
      <c r="E161" s="3" t="s">
        <v>2395</v>
      </c>
      <c r="F161" s="2" t="s">
        <v>33</v>
      </c>
      <c r="G161" s="6" t="s">
        <v>234</v>
      </c>
      <c r="H161" s="2" t="s">
        <v>194</v>
      </c>
      <c r="I161" s="2" t="s">
        <v>195</v>
      </c>
      <c r="J161" s="2" t="s">
        <v>19</v>
      </c>
      <c r="K161" s="2" t="s">
        <v>34</v>
      </c>
      <c r="L161" s="7" t="str">
        <f>HYPERLINK("http://slimages.macys.com/is/image/MCY/12950238 ")</f>
        <v xml:space="preserve">http://slimages.macys.com/is/image/MCY/12950238 </v>
      </c>
    </row>
    <row r="162" spans="1:12" ht="24.75" x14ac:dyDescent="0.25">
      <c r="A162" s="4" t="s">
        <v>6413</v>
      </c>
      <c r="B162" s="2" t="s">
        <v>2394</v>
      </c>
      <c r="C162" s="3">
        <v>1</v>
      </c>
      <c r="D162" s="5">
        <v>40.880000000000003</v>
      </c>
      <c r="E162" s="3" t="s">
        <v>2395</v>
      </c>
      <c r="F162" s="2" t="s">
        <v>33</v>
      </c>
      <c r="G162" s="6" t="s">
        <v>200</v>
      </c>
      <c r="H162" s="2" t="s">
        <v>194</v>
      </c>
      <c r="I162" s="2" t="s">
        <v>195</v>
      </c>
      <c r="J162" s="2" t="s">
        <v>19</v>
      </c>
      <c r="K162" s="2" t="s">
        <v>34</v>
      </c>
      <c r="L162" s="7" t="str">
        <f>HYPERLINK("http://slimages.macys.com/is/image/MCY/12950238 ")</f>
        <v xml:space="preserve">http://slimages.macys.com/is/image/MCY/12950238 </v>
      </c>
    </row>
    <row r="163" spans="1:12" ht="24.75" x14ac:dyDescent="0.25">
      <c r="A163" s="4" t="s">
        <v>2393</v>
      </c>
      <c r="B163" s="2" t="s">
        <v>2394</v>
      </c>
      <c r="C163" s="3">
        <v>3</v>
      </c>
      <c r="D163" s="5">
        <v>40.880000000000003</v>
      </c>
      <c r="E163" s="3" t="s">
        <v>2395</v>
      </c>
      <c r="F163" s="2" t="s">
        <v>33</v>
      </c>
      <c r="G163" s="6" t="s">
        <v>181</v>
      </c>
      <c r="H163" s="2" t="s">
        <v>194</v>
      </c>
      <c r="I163" s="2" t="s">
        <v>195</v>
      </c>
      <c r="J163" s="2" t="s">
        <v>19</v>
      </c>
      <c r="K163" s="2" t="s">
        <v>34</v>
      </c>
      <c r="L163" s="7" t="str">
        <f>HYPERLINK("http://slimages.macys.com/is/image/MCY/12950238 ")</f>
        <v xml:space="preserve">http://slimages.macys.com/is/image/MCY/12950238 </v>
      </c>
    </row>
    <row r="164" spans="1:12" ht="24.75" x14ac:dyDescent="0.25">
      <c r="A164" s="4" t="s">
        <v>2398</v>
      </c>
      <c r="B164" s="2" t="s">
        <v>453</v>
      </c>
      <c r="C164" s="3">
        <v>1</v>
      </c>
      <c r="D164" s="5">
        <v>37.130000000000003</v>
      </c>
      <c r="E164" s="3" t="s">
        <v>721</v>
      </c>
      <c r="F164" s="2" t="s">
        <v>417</v>
      </c>
      <c r="G164" s="6" t="s">
        <v>181</v>
      </c>
      <c r="H164" s="2" t="s">
        <v>284</v>
      </c>
      <c r="I164" s="2" t="s">
        <v>285</v>
      </c>
      <c r="J164" s="2" t="s">
        <v>19</v>
      </c>
      <c r="K164" s="2" t="s">
        <v>323</v>
      </c>
      <c r="L164" s="7" t="str">
        <f>HYPERLINK("http://slimages.macys.com/is/image/MCY/9678668 ")</f>
        <v xml:space="preserve">http://slimages.macys.com/is/image/MCY/9678668 </v>
      </c>
    </row>
    <row r="165" spans="1:12" ht="24.75" x14ac:dyDescent="0.25">
      <c r="A165" s="4" t="s">
        <v>722</v>
      </c>
      <c r="B165" s="2" t="s">
        <v>453</v>
      </c>
      <c r="C165" s="3">
        <v>1</v>
      </c>
      <c r="D165" s="5">
        <v>37.130000000000003</v>
      </c>
      <c r="E165" s="3" t="s">
        <v>721</v>
      </c>
      <c r="F165" s="2" t="s">
        <v>417</v>
      </c>
      <c r="G165" s="6" t="s">
        <v>154</v>
      </c>
      <c r="H165" s="2" t="s">
        <v>284</v>
      </c>
      <c r="I165" s="2" t="s">
        <v>285</v>
      </c>
      <c r="J165" s="2" t="s">
        <v>19</v>
      </c>
      <c r="K165" s="2" t="s">
        <v>323</v>
      </c>
      <c r="L165" s="7" t="str">
        <f>HYPERLINK("http://slimages.macys.com/is/image/MCY/9678668 ")</f>
        <v xml:space="preserve">http://slimages.macys.com/is/image/MCY/9678668 </v>
      </c>
    </row>
    <row r="166" spans="1:12" ht="48.75" x14ac:dyDescent="0.25">
      <c r="A166" s="4" t="s">
        <v>6414</v>
      </c>
      <c r="B166" s="2" t="s">
        <v>432</v>
      </c>
      <c r="C166" s="3">
        <v>1</v>
      </c>
      <c r="D166" s="5">
        <v>37.130000000000003</v>
      </c>
      <c r="E166" s="3" t="s">
        <v>4646</v>
      </c>
      <c r="F166" s="2" t="s">
        <v>331</v>
      </c>
      <c r="G166" s="6" t="s">
        <v>154</v>
      </c>
      <c r="H166" s="2" t="s">
        <v>284</v>
      </c>
      <c r="I166" s="2" t="s">
        <v>408</v>
      </c>
      <c r="J166" s="2" t="s">
        <v>19</v>
      </c>
      <c r="K166" s="2" t="s">
        <v>775</v>
      </c>
      <c r="L166" s="7" t="str">
        <f>HYPERLINK("http://slimages.macys.com/is/image/MCY/12672509 ")</f>
        <v xml:space="preserve">http://slimages.macys.com/is/image/MCY/12672509 </v>
      </c>
    </row>
    <row r="167" spans="1:12" ht="24.75" x14ac:dyDescent="0.25">
      <c r="A167" s="4" t="s">
        <v>730</v>
      </c>
      <c r="B167" s="2" t="s">
        <v>456</v>
      </c>
      <c r="C167" s="3">
        <v>1</v>
      </c>
      <c r="D167" s="5">
        <v>37.130000000000003</v>
      </c>
      <c r="E167" s="3" t="s">
        <v>731</v>
      </c>
      <c r="F167" s="2" t="s">
        <v>331</v>
      </c>
      <c r="G167" s="6" t="s">
        <v>154</v>
      </c>
      <c r="H167" s="2" t="s">
        <v>284</v>
      </c>
      <c r="I167" s="2" t="s">
        <v>458</v>
      </c>
      <c r="J167" s="2" t="s">
        <v>19</v>
      </c>
      <c r="K167" s="2" t="s">
        <v>442</v>
      </c>
      <c r="L167" s="7" t="str">
        <f>HYPERLINK("http://slimages.macys.com/is/image/MCY/10242537 ")</f>
        <v xml:space="preserve">http://slimages.macys.com/is/image/MCY/10242537 </v>
      </c>
    </row>
    <row r="168" spans="1:12" ht="24.75" x14ac:dyDescent="0.25">
      <c r="A168" s="4" t="s">
        <v>732</v>
      </c>
      <c r="B168" s="2" t="s">
        <v>456</v>
      </c>
      <c r="C168" s="3">
        <v>1</v>
      </c>
      <c r="D168" s="5">
        <v>37.130000000000003</v>
      </c>
      <c r="E168" s="3" t="s">
        <v>731</v>
      </c>
      <c r="F168" s="2" t="s">
        <v>331</v>
      </c>
      <c r="G168" s="6" t="s">
        <v>200</v>
      </c>
      <c r="H168" s="2" t="s">
        <v>284</v>
      </c>
      <c r="I168" s="2" t="s">
        <v>458</v>
      </c>
      <c r="J168" s="2" t="s">
        <v>19</v>
      </c>
      <c r="K168" s="2" t="s">
        <v>442</v>
      </c>
      <c r="L168" s="7" t="str">
        <f>HYPERLINK("http://slimages.macys.com/is/image/MCY/10242537 ")</f>
        <v xml:space="preserve">http://slimages.macys.com/is/image/MCY/10242537 </v>
      </c>
    </row>
    <row r="169" spans="1:12" ht="24.75" x14ac:dyDescent="0.25">
      <c r="A169" s="4" t="s">
        <v>6415</v>
      </c>
      <c r="B169" s="2" t="s">
        <v>5582</v>
      </c>
      <c r="C169" s="3">
        <v>2</v>
      </c>
      <c r="D169" s="5">
        <v>40.880000000000003</v>
      </c>
      <c r="E169" s="3" t="s">
        <v>5583</v>
      </c>
      <c r="F169" s="2" t="s">
        <v>26</v>
      </c>
      <c r="G169" s="6" t="s">
        <v>154</v>
      </c>
      <c r="H169" s="2" t="s">
        <v>284</v>
      </c>
      <c r="I169" s="2" t="s">
        <v>408</v>
      </c>
      <c r="J169" s="2" t="s">
        <v>19</v>
      </c>
      <c r="K169" s="2" t="s">
        <v>409</v>
      </c>
      <c r="L169" s="7" t="str">
        <f>HYPERLINK("http://slimages.macys.com/is/image/MCY/11708886 ")</f>
        <v xml:space="preserve">http://slimages.macys.com/is/image/MCY/11708886 </v>
      </c>
    </row>
    <row r="170" spans="1:12" ht="24.75" x14ac:dyDescent="0.25">
      <c r="A170" s="4" t="s">
        <v>6416</v>
      </c>
      <c r="B170" s="2" t="s">
        <v>707</v>
      </c>
      <c r="C170" s="3">
        <v>1</v>
      </c>
      <c r="D170" s="5">
        <v>40.880000000000003</v>
      </c>
      <c r="E170" s="3" t="s">
        <v>742</v>
      </c>
      <c r="F170" s="2" t="s">
        <v>199</v>
      </c>
      <c r="G170" s="6" t="s">
        <v>336</v>
      </c>
      <c r="H170" s="2" t="s">
        <v>312</v>
      </c>
      <c r="I170" s="2" t="s">
        <v>195</v>
      </c>
      <c r="J170" s="2" t="s">
        <v>19</v>
      </c>
      <c r="K170" s="2" t="s">
        <v>546</v>
      </c>
      <c r="L170" s="7" t="str">
        <f>HYPERLINK("http://slimages.macys.com/is/image/MCY/12143632 ")</f>
        <v xml:space="preserve">http://slimages.macys.com/is/image/MCY/12143632 </v>
      </c>
    </row>
    <row r="171" spans="1:12" ht="36.75" x14ac:dyDescent="0.25">
      <c r="A171" s="4" t="s">
        <v>6417</v>
      </c>
      <c r="B171" s="2" t="s">
        <v>3545</v>
      </c>
      <c r="C171" s="3">
        <v>1</v>
      </c>
      <c r="D171" s="5">
        <v>36.99</v>
      </c>
      <c r="E171" s="3" t="s">
        <v>3546</v>
      </c>
      <c r="F171" s="2" t="s">
        <v>74</v>
      </c>
      <c r="G171" s="6" t="s">
        <v>234</v>
      </c>
      <c r="H171" s="2" t="s">
        <v>284</v>
      </c>
      <c r="I171" s="2" t="s">
        <v>285</v>
      </c>
      <c r="J171" s="2" t="s">
        <v>19</v>
      </c>
      <c r="K171" s="2" t="s">
        <v>3554</v>
      </c>
      <c r="L171" s="7" t="str">
        <f>HYPERLINK("http://slimages.macys.com/is/image/MCY/13041414 ")</f>
        <v xml:space="preserve">http://slimages.macys.com/is/image/MCY/13041414 </v>
      </c>
    </row>
    <row r="172" spans="1:12" ht="24.75" x14ac:dyDescent="0.25">
      <c r="A172" s="4" t="s">
        <v>6418</v>
      </c>
      <c r="B172" s="2" t="s">
        <v>2460</v>
      </c>
      <c r="C172" s="3">
        <v>1</v>
      </c>
      <c r="D172" s="5">
        <v>34.880000000000003</v>
      </c>
      <c r="E172" s="3">
        <v>100009313</v>
      </c>
      <c r="F172" s="2" t="s">
        <v>74</v>
      </c>
      <c r="G172" s="6" t="s">
        <v>65</v>
      </c>
      <c r="H172" s="2" t="s">
        <v>194</v>
      </c>
      <c r="I172" s="2" t="s">
        <v>503</v>
      </c>
      <c r="J172" s="2" t="s">
        <v>19</v>
      </c>
      <c r="K172" s="2" t="s">
        <v>353</v>
      </c>
      <c r="L172" s="7" t="str">
        <f>HYPERLINK("http://slimages.macys.com/is/image/MCY/9340611 ")</f>
        <v xml:space="preserve">http://slimages.macys.com/is/image/MCY/9340611 </v>
      </c>
    </row>
    <row r="173" spans="1:12" ht="24.75" x14ac:dyDescent="0.25">
      <c r="A173" s="4" t="s">
        <v>2407</v>
      </c>
      <c r="B173" s="2" t="s">
        <v>768</v>
      </c>
      <c r="C173" s="3">
        <v>1</v>
      </c>
      <c r="D173" s="5">
        <v>34.880000000000003</v>
      </c>
      <c r="E173" s="3">
        <v>100054400</v>
      </c>
      <c r="F173" s="2" t="s">
        <v>64</v>
      </c>
      <c r="G173" s="6" t="s">
        <v>58</v>
      </c>
      <c r="H173" s="2" t="s">
        <v>194</v>
      </c>
      <c r="I173" s="2" t="s">
        <v>195</v>
      </c>
      <c r="J173" s="2" t="s">
        <v>19</v>
      </c>
      <c r="K173" s="2" t="s">
        <v>546</v>
      </c>
      <c r="L173" s="7" t="str">
        <f>HYPERLINK("http://slimages.macys.com/is/image/MCY/12850455 ")</f>
        <v xml:space="preserve">http://slimages.macys.com/is/image/MCY/12850455 </v>
      </c>
    </row>
    <row r="174" spans="1:12" ht="48.75" x14ac:dyDescent="0.25">
      <c r="A174" s="4" t="s">
        <v>769</v>
      </c>
      <c r="B174" s="2" t="s">
        <v>750</v>
      </c>
      <c r="C174" s="3">
        <v>1</v>
      </c>
      <c r="D174" s="5">
        <v>44.63</v>
      </c>
      <c r="E174" s="3" t="s">
        <v>770</v>
      </c>
      <c r="F174" s="2" t="s">
        <v>752</v>
      </c>
      <c r="G174" s="6"/>
      <c r="H174" s="2" t="s">
        <v>312</v>
      </c>
      <c r="I174" s="2" t="s">
        <v>195</v>
      </c>
      <c r="J174" s="2" t="s">
        <v>19</v>
      </c>
      <c r="K174" s="2" t="s">
        <v>771</v>
      </c>
      <c r="L174" s="7" t="str">
        <f>HYPERLINK("http://slimages.macys.com/is/image/MCY/12734332 ")</f>
        <v xml:space="preserve">http://slimages.macys.com/is/image/MCY/12734332 </v>
      </c>
    </row>
    <row r="175" spans="1:12" ht="48.75" x14ac:dyDescent="0.25">
      <c r="A175" s="4" t="s">
        <v>4683</v>
      </c>
      <c r="B175" s="2" t="s">
        <v>750</v>
      </c>
      <c r="C175" s="3">
        <v>1</v>
      </c>
      <c r="D175" s="5">
        <v>44.63</v>
      </c>
      <c r="E175" s="3" t="s">
        <v>770</v>
      </c>
      <c r="F175" s="2" t="s">
        <v>752</v>
      </c>
      <c r="G175" s="6"/>
      <c r="H175" s="2" t="s">
        <v>312</v>
      </c>
      <c r="I175" s="2" t="s">
        <v>195</v>
      </c>
      <c r="J175" s="2" t="s">
        <v>19</v>
      </c>
      <c r="K175" s="2" t="s">
        <v>771</v>
      </c>
      <c r="L175" s="7" t="str">
        <f>HYPERLINK("http://slimages.macys.com/is/image/MCY/12734332 ")</f>
        <v xml:space="preserve">http://slimages.macys.com/is/image/MCY/12734332 </v>
      </c>
    </row>
    <row r="176" spans="1:12" ht="48.75" x14ac:dyDescent="0.25">
      <c r="A176" s="4" t="s">
        <v>6419</v>
      </c>
      <c r="B176" s="2" t="s">
        <v>750</v>
      </c>
      <c r="C176" s="3">
        <v>1</v>
      </c>
      <c r="D176" s="5">
        <v>44.63</v>
      </c>
      <c r="E176" s="3" t="s">
        <v>770</v>
      </c>
      <c r="F176" s="2" t="s">
        <v>752</v>
      </c>
      <c r="G176" s="6"/>
      <c r="H176" s="2" t="s">
        <v>312</v>
      </c>
      <c r="I176" s="2" t="s">
        <v>195</v>
      </c>
      <c r="J176" s="2" t="s">
        <v>19</v>
      </c>
      <c r="K176" s="2" t="s">
        <v>771</v>
      </c>
      <c r="L176" s="7" t="str">
        <f>HYPERLINK("http://slimages.macys.com/is/image/MCY/12734332 ")</f>
        <v xml:space="preserve">http://slimages.macys.com/is/image/MCY/12734332 </v>
      </c>
    </row>
    <row r="177" spans="1:12" ht="48.75" x14ac:dyDescent="0.25">
      <c r="A177" s="4" t="s">
        <v>3559</v>
      </c>
      <c r="B177" s="2" t="s">
        <v>750</v>
      </c>
      <c r="C177" s="3">
        <v>6</v>
      </c>
      <c r="D177" s="5">
        <v>44.63</v>
      </c>
      <c r="E177" s="3" t="s">
        <v>770</v>
      </c>
      <c r="F177" s="2" t="s">
        <v>752</v>
      </c>
      <c r="G177" s="6"/>
      <c r="H177" s="2" t="s">
        <v>312</v>
      </c>
      <c r="I177" s="2" t="s">
        <v>195</v>
      </c>
      <c r="J177" s="2" t="s">
        <v>19</v>
      </c>
      <c r="K177" s="2" t="s">
        <v>771</v>
      </c>
      <c r="L177" s="7" t="str">
        <f>HYPERLINK("http://slimages.macys.com/is/image/MCY/12734332 ")</f>
        <v xml:space="preserve">http://slimages.macys.com/is/image/MCY/12734332 </v>
      </c>
    </row>
    <row r="178" spans="1:12" ht="36.75" x14ac:dyDescent="0.25">
      <c r="A178" s="4" t="s">
        <v>4684</v>
      </c>
      <c r="B178" s="2" t="s">
        <v>4685</v>
      </c>
      <c r="C178" s="3">
        <v>1</v>
      </c>
      <c r="D178" s="5">
        <v>36.99</v>
      </c>
      <c r="E178" s="3" t="s">
        <v>4686</v>
      </c>
      <c r="F178" s="2" t="s">
        <v>74</v>
      </c>
      <c r="G178" s="6" t="s">
        <v>234</v>
      </c>
      <c r="H178" s="2" t="s">
        <v>284</v>
      </c>
      <c r="I178" s="2" t="s">
        <v>285</v>
      </c>
      <c r="J178" s="2" t="s">
        <v>19</v>
      </c>
      <c r="K178" s="2" t="s">
        <v>4687</v>
      </c>
      <c r="L178" s="7" t="str">
        <f>HYPERLINK("http://slimages.macys.com/is/image/MCY/13291017 ")</f>
        <v xml:space="preserve">http://slimages.macys.com/is/image/MCY/13291017 </v>
      </c>
    </row>
    <row r="179" spans="1:12" ht="24.75" x14ac:dyDescent="0.25">
      <c r="A179" s="4" t="s">
        <v>6420</v>
      </c>
      <c r="B179" s="2" t="s">
        <v>6421</v>
      </c>
      <c r="C179" s="3">
        <v>1</v>
      </c>
      <c r="D179" s="5">
        <v>41.65</v>
      </c>
      <c r="E179" s="3" t="s">
        <v>6422</v>
      </c>
      <c r="F179" s="2" t="s">
        <v>26</v>
      </c>
      <c r="G179" s="6" t="s">
        <v>245</v>
      </c>
      <c r="H179" s="2" t="s">
        <v>182</v>
      </c>
      <c r="I179" s="2" t="s">
        <v>183</v>
      </c>
      <c r="J179" s="2" t="s">
        <v>19</v>
      </c>
      <c r="K179" s="2" t="s">
        <v>338</v>
      </c>
      <c r="L179" s="7" t="str">
        <f>HYPERLINK("http://slimages.macys.com/is/image/MCY/11953719 ")</f>
        <v xml:space="preserve">http://slimages.macys.com/is/image/MCY/11953719 </v>
      </c>
    </row>
    <row r="180" spans="1:12" ht="24.75" x14ac:dyDescent="0.25">
      <c r="A180" s="4" t="s">
        <v>6423</v>
      </c>
      <c r="B180" s="2" t="s">
        <v>6421</v>
      </c>
      <c r="C180" s="3">
        <v>1</v>
      </c>
      <c r="D180" s="5">
        <v>41.65</v>
      </c>
      <c r="E180" s="3" t="s">
        <v>6422</v>
      </c>
      <c r="F180" s="2" t="s">
        <v>26</v>
      </c>
      <c r="G180" s="6" t="s">
        <v>234</v>
      </c>
      <c r="H180" s="2" t="s">
        <v>182</v>
      </c>
      <c r="I180" s="2" t="s">
        <v>183</v>
      </c>
      <c r="J180" s="2" t="s">
        <v>19</v>
      </c>
      <c r="K180" s="2" t="s">
        <v>338</v>
      </c>
      <c r="L180" s="7" t="str">
        <f>HYPERLINK("http://slimages.macys.com/is/image/MCY/11953719 ")</f>
        <v xml:space="preserve">http://slimages.macys.com/is/image/MCY/11953719 </v>
      </c>
    </row>
    <row r="181" spans="1:12" ht="24.75" x14ac:dyDescent="0.25">
      <c r="A181" s="4" t="s">
        <v>3570</v>
      </c>
      <c r="B181" s="2" t="s">
        <v>777</v>
      </c>
      <c r="C181" s="3">
        <v>1</v>
      </c>
      <c r="D181" s="5">
        <v>34.880000000000003</v>
      </c>
      <c r="E181" s="3">
        <v>100042380</v>
      </c>
      <c r="F181" s="2" t="s">
        <v>74</v>
      </c>
      <c r="G181" s="6" t="s">
        <v>156</v>
      </c>
      <c r="H181" s="2" t="s">
        <v>194</v>
      </c>
      <c r="I181" s="2" t="s">
        <v>503</v>
      </c>
      <c r="J181" s="2" t="s">
        <v>19</v>
      </c>
      <c r="K181" s="2" t="s">
        <v>353</v>
      </c>
      <c r="L181" s="7" t="str">
        <f>HYPERLINK("http://slimages.macys.com/is/image/MCY/11145974 ")</f>
        <v xml:space="preserve">http://slimages.macys.com/is/image/MCY/11145974 </v>
      </c>
    </row>
    <row r="182" spans="1:12" ht="24.75" x14ac:dyDescent="0.25">
      <c r="A182" s="4" t="s">
        <v>6424</v>
      </c>
      <c r="B182" s="2" t="s">
        <v>777</v>
      </c>
      <c r="C182" s="3">
        <v>1</v>
      </c>
      <c r="D182" s="5">
        <v>34.880000000000003</v>
      </c>
      <c r="E182" s="3">
        <v>100042380</v>
      </c>
      <c r="F182" s="2" t="s">
        <v>1788</v>
      </c>
      <c r="G182" s="6" t="s">
        <v>181</v>
      </c>
      <c r="H182" s="2" t="s">
        <v>194</v>
      </c>
      <c r="I182" s="2" t="s">
        <v>503</v>
      </c>
      <c r="J182" s="2" t="s">
        <v>19</v>
      </c>
      <c r="K182" s="2" t="s">
        <v>353</v>
      </c>
      <c r="L182" s="7" t="str">
        <f>HYPERLINK("http://slimages.macys.com/is/image/MCY/11145974 ")</f>
        <v xml:space="preserve">http://slimages.macys.com/is/image/MCY/11145974 </v>
      </c>
    </row>
    <row r="183" spans="1:12" ht="24.75" x14ac:dyDescent="0.25">
      <c r="A183" s="4" t="s">
        <v>6425</v>
      </c>
      <c r="B183" s="2" t="s">
        <v>777</v>
      </c>
      <c r="C183" s="3">
        <v>1</v>
      </c>
      <c r="D183" s="5">
        <v>34.880000000000003</v>
      </c>
      <c r="E183" s="3">
        <v>100042380</v>
      </c>
      <c r="F183" s="2" t="s">
        <v>1788</v>
      </c>
      <c r="G183" s="6" t="s">
        <v>245</v>
      </c>
      <c r="H183" s="2" t="s">
        <v>194</v>
      </c>
      <c r="I183" s="2" t="s">
        <v>503</v>
      </c>
      <c r="J183" s="2" t="s">
        <v>19</v>
      </c>
      <c r="K183" s="2" t="s">
        <v>353</v>
      </c>
      <c r="L183" s="7" t="str">
        <f>HYPERLINK("http://slimages.macys.com/is/image/MCY/11145974 ")</f>
        <v xml:space="preserve">http://slimages.macys.com/is/image/MCY/11145974 </v>
      </c>
    </row>
    <row r="184" spans="1:12" ht="24.75" x14ac:dyDescent="0.25">
      <c r="A184" s="4" t="s">
        <v>6426</v>
      </c>
      <c r="B184" s="2" t="s">
        <v>777</v>
      </c>
      <c r="C184" s="3">
        <v>1</v>
      </c>
      <c r="D184" s="5">
        <v>34.880000000000003</v>
      </c>
      <c r="E184" s="3">
        <v>100042380</v>
      </c>
      <c r="F184" s="2" t="s">
        <v>1788</v>
      </c>
      <c r="G184" s="6" t="s">
        <v>154</v>
      </c>
      <c r="H184" s="2" t="s">
        <v>194</v>
      </c>
      <c r="I184" s="2" t="s">
        <v>503</v>
      </c>
      <c r="J184" s="2" t="s">
        <v>19</v>
      </c>
      <c r="K184" s="2" t="s">
        <v>353</v>
      </c>
      <c r="L184" s="7" t="str">
        <f>HYPERLINK("http://slimages.macys.com/is/image/MCY/11145974 ")</f>
        <v xml:space="preserve">http://slimages.macys.com/is/image/MCY/11145974 </v>
      </c>
    </row>
    <row r="185" spans="1:12" ht="24.75" x14ac:dyDescent="0.25">
      <c r="A185" s="4" t="s">
        <v>3566</v>
      </c>
      <c r="B185" s="2" t="s">
        <v>3567</v>
      </c>
      <c r="C185" s="3">
        <v>1</v>
      </c>
      <c r="D185" s="5">
        <v>40.880000000000003</v>
      </c>
      <c r="E185" s="3" t="s">
        <v>3568</v>
      </c>
      <c r="F185" s="2" t="s">
        <v>64</v>
      </c>
      <c r="G185" s="6" t="s">
        <v>336</v>
      </c>
      <c r="H185" s="2" t="s">
        <v>188</v>
      </c>
      <c r="I185" s="2" t="s">
        <v>214</v>
      </c>
      <c r="J185" s="2" t="s">
        <v>19</v>
      </c>
      <c r="K185" s="2" t="s">
        <v>387</v>
      </c>
      <c r="L185" s="7" t="str">
        <f>HYPERLINK("http://slimages.macys.com/is/image/MCY/12723447 ")</f>
        <v xml:space="preserve">http://slimages.macys.com/is/image/MCY/12723447 </v>
      </c>
    </row>
    <row r="186" spans="1:12" ht="24.75" x14ac:dyDescent="0.25">
      <c r="A186" s="4" t="s">
        <v>6427</v>
      </c>
      <c r="B186" s="2" t="s">
        <v>777</v>
      </c>
      <c r="C186" s="3">
        <v>1</v>
      </c>
      <c r="D186" s="5">
        <v>34.880000000000003</v>
      </c>
      <c r="E186" s="3" t="s">
        <v>778</v>
      </c>
      <c r="F186" s="2" t="s">
        <v>26</v>
      </c>
      <c r="G186" s="6"/>
      <c r="H186" s="2" t="s">
        <v>312</v>
      </c>
      <c r="I186" s="2" t="s">
        <v>503</v>
      </c>
      <c r="J186" s="2" t="s">
        <v>19</v>
      </c>
      <c r="K186" s="2" t="s">
        <v>353</v>
      </c>
      <c r="L186" s="7" t="str">
        <f>HYPERLINK("http://slimages.macys.com/is/image/MCY/11146051 ")</f>
        <v xml:space="preserve">http://slimages.macys.com/is/image/MCY/11146051 </v>
      </c>
    </row>
    <row r="187" spans="1:12" ht="24.75" x14ac:dyDescent="0.25">
      <c r="A187" s="4" t="s">
        <v>6428</v>
      </c>
      <c r="B187" s="2" t="s">
        <v>6429</v>
      </c>
      <c r="C187" s="3">
        <v>1</v>
      </c>
      <c r="D187" s="5">
        <v>45</v>
      </c>
      <c r="E187" s="3" t="s">
        <v>6430</v>
      </c>
      <c r="F187" s="2" t="s">
        <v>111</v>
      </c>
      <c r="G187" s="6" t="s">
        <v>446</v>
      </c>
      <c r="H187" s="2" t="s">
        <v>447</v>
      </c>
      <c r="I187" s="2" t="s">
        <v>792</v>
      </c>
      <c r="J187" s="2" t="s">
        <v>2474</v>
      </c>
      <c r="K187" s="2" t="s">
        <v>160</v>
      </c>
      <c r="L187" s="7" t="str">
        <f>HYPERLINK("http://slimages.macys.com/is/image/MCY/12258130 ")</f>
        <v xml:space="preserve">http://slimages.macys.com/is/image/MCY/12258130 </v>
      </c>
    </row>
    <row r="188" spans="1:12" ht="24.75" x14ac:dyDescent="0.25">
      <c r="A188" s="4" t="s">
        <v>6431</v>
      </c>
      <c r="B188" s="2" t="s">
        <v>6432</v>
      </c>
      <c r="C188" s="3">
        <v>1</v>
      </c>
      <c r="D188" s="5">
        <v>40.880000000000003</v>
      </c>
      <c r="E188" s="3">
        <v>100016242</v>
      </c>
      <c r="F188" s="2" t="s">
        <v>1788</v>
      </c>
      <c r="G188" s="6" t="s">
        <v>234</v>
      </c>
      <c r="H188" s="2" t="s">
        <v>194</v>
      </c>
      <c r="I188" s="2" t="s">
        <v>195</v>
      </c>
      <c r="J188" s="2" t="s">
        <v>19</v>
      </c>
      <c r="K188" s="2" t="s">
        <v>201</v>
      </c>
      <c r="L188" s="7" t="str">
        <f>HYPERLINK("http://slimages.macys.com/is/image/MCY/9551952 ")</f>
        <v xml:space="preserve">http://slimages.macys.com/is/image/MCY/9551952 </v>
      </c>
    </row>
    <row r="189" spans="1:12" ht="24.75" x14ac:dyDescent="0.25">
      <c r="A189" s="4" t="s">
        <v>6433</v>
      </c>
      <c r="B189" s="2" t="s">
        <v>1140</v>
      </c>
      <c r="C189" s="3">
        <v>1</v>
      </c>
      <c r="D189" s="5">
        <v>44.63</v>
      </c>
      <c r="E189" s="3" t="s">
        <v>6434</v>
      </c>
      <c r="F189" s="2" t="s">
        <v>74</v>
      </c>
      <c r="G189" s="6" t="s">
        <v>746</v>
      </c>
      <c r="H189" s="2" t="s">
        <v>349</v>
      </c>
      <c r="I189" s="2" t="s">
        <v>285</v>
      </c>
      <c r="J189" s="2" t="s">
        <v>19</v>
      </c>
      <c r="K189" s="2" t="s">
        <v>442</v>
      </c>
      <c r="L189" s="7" t="str">
        <f>HYPERLINK("http://slimages.macys.com/is/image/MCY/11708034 ")</f>
        <v xml:space="preserve">http://slimages.macys.com/is/image/MCY/11708034 </v>
      </c>
    </row>
    <row r="190" spans="1:12" ht="24.75" x14ac:dyDescent="0.25">
      <c r="A190" s="4" t="s">
        <v>810</v>
      </c>
      <c r="B190" s="2" t="s">
        <v>811</v>
      </c>
      <c r="C190" s="3">
        <v>1</v>
      </c>
      <c r="D190" s="5">
        <v>37.130000000000003</v>
      </c>
      <c r="E190" s="3" t="s">
        <v>812</v>
      </c>
      <c r="F190" s="2" t="s">
        <v>170</v>
      </c>
      <c r="G190" s="6" t="s">
        <v>181</v>
      </c>
      <c r="H190" s="2" t="s">
        <v>194</v>
      </c>
      <c r="I190" s="2" t="s">
        <v>195</v>
      </c>
      <c r="J190" s="2" t="s">
        <v>19</v>
      </c>
      <c r="K190" s="2" t="s">
        <v>160</v>
      </c>
      <c r="L190" s="7" t="str">
        <f>HYPERLINK("http://slimages.macys.com/is/image/MCY/11804348 ")</f>
        <v xml:space="preserve">http://slimages.macys.com/is/image/MCY/11804348 </v>
      </c>
    </row>
    <row r="191" spans="1:12" ht="24.75" x14ac:dyDescent="0.25">
      <c r="A191" s="4" t="s">
        <v>4697</v>
      </c>
      <c r="B191" s="2" t="s">
        <v>811</v>
      </c>
      <c r="C191" s="3">
        <v>2</v>
      </c>
      <c r="D191" s="5">
        <v>37.130000000000003</v>
      </c>
      <c r="E191" s="3" t="s">
        <v>812</v>
      </c>
      <c r="F191" s="2" t="s">
        <v>170</v>
      </c>
      <c r="G191" s="6" t="s">
        <v>234</v>
      </c>
      <c r="H191" s="2" t="s">
        <v>194</v>
      </c>
      <c r="I191" s="2" t="s">
        <v>195</v>
      </c>
      <c r="J191" s="2" t="s">
        <v>19</v>
      </c>
      <c r="K191" s="2" t="s">
        <v>160</v>
      </c>
      <c r="L191" s="7" t="str">
        <f>HYPERLINK("http://slimages.macys.com/is/image/MCY/11804348 ")</f>
        <v xml:space="preserve">http://slimages.macys.com/is/image/MCY/11804348 </v>
      </c>
    </row>
    <row r="192" spans="1:12" ht="24.75" x14ac:dyDescent="0.25">
      <c r="A192" s="4" t="s">
        <v>813</v>
      </c>
      <c r="B192" s="2" t="s">
        <v>811</v>
      </c>
      <c r="C192" s="3">
        <v>2</v>
      </c>
      <c r="D192" s="5">
        <v>37.130000000000003</v>
      </c>
      <c r="E192" s="3" t="s">
        <v>812</v>
      </c>
      <c r="F192" s="2" t="s">
        <v>170</v>
      </c>
      <c r="G192" s="6" t="s">
        <v>154</v>
      </c>
      <c r="H192" s="2" t="s">
        <v>194</v>
      </c>
      <c r="I192" s="2" t="s">
        <v>195</v>
      </c>
      <c r="J192" s="2" t="s">
        <v>19</v>
      </c>
      <c r="K192" s="2" t="s">
        <v>160</v>
      </c>
      <c r="L192" s="7" t="str">
        <f>HYPERLINK("http://slimages.macys.com/is/image/MCY/11804348 ")</f>
        <v xml:space="preserve">http://slimages.macys.com/is/image/MCY/11804348 </v>
      </c>
    </row>
    <row r="193" spans="1:12" ht="24.75" x14ac:dyDescent="0.25">
      <c r="A193" s="4" t="s">
        <v>6435</v>
      </c>
      <c r="B193" s="2" t="s">
        <v>6436</v>
      </c>
      <c r="C193" s="3">
        <v>1</v>
      </c>
      <c r="D193" s="5">
        <v>44.63</v>
      </c>
      <c r="E193" s="3" t="s">
        <v>6437</v>
      </c>
      <c r="F193" s="2" t="s">
        <v>64</v>
      </c>
      <c r="G193" s="6" t="s">
        <v>16</v>
      </c>
      <c r="H193" s="2" t="s">
        <v>246</v>
      </c>
      <c r="I193" s="2" t="s">
        <v>487</v>
      </c>
      <c r="J193" s="2" t="s">
        <v>19</v>
      </c>
      <c r="K193" s="2" t="s">
        <v>409</v>
      </c>
      <c r="L193" s="7" t="str">
        <f>HYPERLINK("http://slimages.macys.com/is/image/MCY/11951837 ")</f>
        <v xml:space="preserve">http://slimages.macys.com/is/image/MCY/11951837 </v>
      </c>
    </row>
    <row r="194" spans="1:12" ht="24.75" x14ac:dyDescent="0.25">
      <c r="A194" s="4" t="s">
        <v>6438</v>
      </c>
      <c r="B194" s="2" t="s">
        <v>818</v>
      </c>
      <c r="C194" s="3">
        <v>1</v>
      </c>
      <c r="D194" s="5">
        <v>36.5</v>
      </c>
      <c r="E194" s="3" t="s">
        <v>819</v>
      </c>
      <c r="F194" s="2" t="s">
        <v>820</v>
      </c>
      <c r="G194" s="6" t="s">
        <v>200</v>
      </c>
      <c r="H194" s="2" t="s">
        <v>194</v>
      </c>
      <c r="I194" s="2" t="s">
        <v>195</v>
      </c>
      <c r="J194" s="2" t="s">
        <v>19</v>
      </c>
      <c r="K194" s="2" t="s">
        <v>201</v>
      </c>
      <c r="L194" s="7" t="str">
        <f>HYPERLINK("http://slimages.macys.com/is/image/MCY/11935616 ")</f>
        <v xml:space="preserve">http://slimages.macys.com/is/image/MCY/11935616 </v>
      </c>
    </row>
    <row r="195" spans="1:12" ht="24.75" x14ac:dyDescent="0.25">
      <c r="A195" s="4" t="s">
        <v>2432</v>
      </c>
      <c r="B195" s="2" t="s">
        <v>818</v>
      </c>
      <c r="C195" s="3">
        <v>1</v>
      </c>
      <c r="D195" s="5">
        <v>36.5</v>
      </c>
      <c r="E195" s="3" t="s">
        <v>819</v>
      </c>
      <c r="F195" s="2" t="s">
        <v>820</v>
      </c>
      <c r="G195" s="6" t="s">
        <v>181</v>
      </c>
      <c r="H195" s="2" t="s">
        <v>194</v>
      </c>
      <c r="I195" s="2" t="s">
        <v>195</v>
      </c>
      <c r="J195" s="2" t="s">
        <v>19</v>
      </c>
      <c r="K195" s="2" t="s">
        <v>201</v>
      </c>
      <c r="L195" s="7" t="str">
        <f>HYPERLINK("http://slimages.macys.com/is/image/MCY/11935616 ")</f>
        <v xml:space="preserve">http://slimages.macys.com/is/image/MCY/11935616 </v>
      </c>
    </row>
    <row r="196" spans="1:12" ht="24.75" x14ac:dyDescent="0.25">
      <c r="A196" s="4" t="s">
        <v>822</v>
      </c>
      <c r="B196" s="2" t="s">
        <v>818</v>
      </c>
      <c r="C196" s="3">
        <v>1</v>
      </c>
      <c r="D196" s="5">
        <v>36.5</v>
      </c>
      <c r="E196" s="3" t="s">
        <v>819</v>
      </c>
      <c r="F196" s="2" t="s">
        <v>820</v>
      </c>
      <c r="G196" s="6" t="s">
        <v>156</v>
      </c>
      <c r="H196" s="2" t="s">
        <v>194</v>
      </c>
      <c r="I196" s="2" t="s">
        <v>195</v>
      </c>
      <c r="J196" s="2" t="s">
        <v>19</v>
      </c>
      <c r="K196" s="2" t="s">
        <v>201</v>
      </c>
      <c r="L196" s="7" t="str">
        <f>HYPERLINK("http://slimages.macys.com/is/image/MCY/11935616 ")</f>
        <v xml:space="preserve">http://slimages.macys.com/is/image/MCY/11935616 </v>
      </c>
    </row>
    <row r="197" spans="1:12" ht="24.75" x14ac:dyDescent="0.25">
      <c r="A197" s="4" t="s">
        <v>821</v>
      </c>
      <c r="B197" s="2" t="s">
        <v>818</v>
      </c>
      <c r="C197" s="3">
        <v>2</v>
      </c>
      <c r="D197" s="5">
        <v>36.5</v>
      </c>
      <c r="E197" s="3" t="s">
        <v>819</v>
      </c>
      <c r="F197" s="2" t="s">
        <v>820</v>
      </c>
      <c r="G197" s="6" t="s">
        <v>154</v>
      </c>
      <c r="H197" s="2" t="s">
        <v>194</v>
      </c>
      <c r="I197" s="2" t="s">
        <v>195</v>
      </c>
      <c r="J197" s="2" t="s">
        <v>19</v>
      </c>
      <c r="K197" s="2" t="s">
        <v>201</v>
      </c>
      <c r="L197" s="7" t="str">
        <f>HYPERLINK("http://slimages.macys.com/is/image/MCY/11935616 ")</f>
        <v xml:space="preserve">http://slimages.macys.com/is/image/MCY/11935616 </v>
      </c>
    </row>
    <row r="198" spans="1:12" ht="24.75" x14ac:dyDescent="0.25">
      <c r="A198" s="4" t="s">
        <v>3591</v>
      </c>
      <c r="B198" s="2" t="s">
        <v>818</v>
      </c>
      <c r="C198" s="3">
        <v>1</v>
      </c>
      <c r="D198" s="5">
        <v>36.5</v>
      </c>
      <c r="E198" s="3" t="s">
        <v>819</v>
      </c>
      <c r="F198" s="2" t="s">
        <v>64</v>
      </c>
      <c r="G198" s="6" t="s">
        <v>181</v>
      </c>
      <c r="H198" s="2" t="s">
        <v>194</v>
      </c>
      <c r="I198" s="2" t="s">
        <v>195</v>
      </c>
      <c r="J198" s="2" t="s">
        <v>19</v>
      </c>
      <c r="K198" s="2" t="s">
        <v>201</v>
      </c>
      <c r="L198" s="7" t="str">
        <f>HYPERLINK("http://slimages.macys.com/is/image/MCY/11935616 ")</f>
        <v xml:space="preserve">http://slimages.macys.com/is/image/MCY/11935616 </v>
      </c>
    </row>
    <row r="199" spans="1:12" ht="24.75" x14ac:dyDescent="0.25">
      <c r="A199" s="4" t="s">
        <v>2433</v>
      </c>
      <c r="B199" s="2" t="s">
        <v>824</v>
      </c>
      <c r="C199" s="3">
        <v>1</v>
      </c>
      <c r="D199" s="5">
        <v>36.5</v>
      </c>
      <c r="E199" s="3" t="s">
        <v>825</v>
      </c>
      <c r="F199" s="2" t="s">
        <v>26</v>
      </c>
      <c r="G199" s="6" t="s">
        <v>181</v>
      </c>
      <c r="H199" s="2" t="s">
        <v>194</v>
      </c>
      <c r="I199" s="2" t="s">
        <v>307</v>
      </c>
      <c r="J199" s="2" t="s">
        <v>19</v>
      </c>
      <c r="K199" s="2" t="s">
        <v>160</v>
      </c>
      <c r="L199" s="7" t="str">
        <f>HYPERLINK("http://slimages.macys.com/is/image/MCY/11936006 ")</f>
        <v xml:space="preserve">http://slimages.macys.com/is/image/MCY/11936006 </v>
      </c>
    </row>
    <row r="200" spans="1:12" ht="24.75" x14ac:dyDescent="0.25">
      <c r="A200" s="4" t="s">
        <v>6439</v>
      </c>
      <c r="B200" s="2" t="s">
        <v>827</v>
      </c>
      <c r="C200" s="3">
        <v>1</v>
      </c>
      <c r="D200" s="5">
        <v>37.130000000000003</v>
      </c>
      <c r="E200" s="3">
        <v>100009535</v>
      </c>
      <c r="F200" s="2" t="s">
        <v>566</v>
      </c>
      <c r="G200" s="6" t="s">
        <v>27</v>
      </c>
      <c r="H200" s="2" t="s">
        <v>194</v>
      </c>
      <c r="I200" s="2" t="s">
        <v>503</v>
      </c>
      <c r="J200" s="2" t="s">
        <v>19</v>
      </c>
      <c r="K200" s="2" t="s">
        <v>353</v>
      </c>
      <c r="L200" s="7" t="str">
        <f>HYPERLINK("http://slimages.macys.com/is/image/MCY/9340634 ")</f>
        <v xml:space="preserve">http://slimages.macys.com/is/image/MCY/9340634 </v>
      </c>
    </row>
    <row r="201" spans="1:12" ht="24.75" x14ac:dyDescent="0.25">
      <c r="A201" s="4" t="s">
        <v>3596</v>
      </c>
      <c r="B201" s="2" t="s">
        <v>827</v>
      </c>
      <c r="C201" s="3">
        <v>1</v>
      </c>
      <c r="D201" s="5">
        <v>37.130000000000003</v>
      </c>
      <c r="E201" s="3">
        <v>100009535</v>
      </c>
      <c r="F201" s="2" t="s">
        <v>170</v>
      </c>
      <c r="G201" s="6" t="s">
        <v>58</v>
      </c>
      <c r="H201" s="2" t="s">
        <v>194</v>
      </c>
      <c r="I201" s="2" t="s">
        <v>503</v>
      </c>
      <c r="J201" s="2" t="s">
        <v>19</v>
      </c>
      <c r="K201" s="2" t="s">
        <v>353</v>
      </c>
      <c r="L201" s="7" t="str">
        <f>HYPERLINK("http://slimages.macys.com/is/image/MCY/9450411 ")</f>
        <v xml:space="preserve">http://slimages.macys.com/is/image/MCY/9450411 </v>
      </c>
    </row>
    <row r="202" spans="1:12" ht="24.75" x14ac:dyDescent="0.25">
      <c r="A202" s="4" t="s">
        <v>6440</v>
      </c>
      <c r="B202" s="2" t="s">
        <v>827</v>
      </c>
      <c r="C202" s="3">
        <v>1</v>
      </c>
      <c r="D202" s="5">
        <v>37.130000000000003</v>
      </c>
      <c r="E202" s="3">
        <v>100009535</v>
      </c>
      <c r="F202" s="2" t="s">
        <v>64</v>
      </c>
      <c r="G202" s="6" t="s">
        <v>27</v>
      </c>
      <c r="H202" s="2" t="s">
        <v>194</v>
      </c>
      <c r="I202" s="2" t="s">
        <v>503</v>
      </c>
      <c r="J202" s="2" t="s">
        <v>19</v>
      </c>
      <c r="K202" s="2" t="s">
        <v>353</v>
      </c>
      <c r="L202" s="7" t="str">
        <f>HYPERLINK("http://slimages.macys.com/is/image/MCY/9340634 ")</f>
        <v xml:space="preserve">http://slimages.macys.com/is/image/MCY/9340634 </v>
      </c>
    </row>
    <row r="203" spans="1:12" ht="24.75" x14ac:dyDescent="0.25">
      <c r="A203" s="4" t="s">
        <v>6441</v>
      </c>
      <c r="B203" s="2" t="s">
        <v>827</v>
      </c>
      <c r="C203" s="3">
        <v>1</v>
      </c>
      <c r="D203" s="5">
        <v>37.130000000000003</v>
      </c>
      <c r="E203" s="3">
        <v>100009535</v>
      </c>
      <c r="F203" s="2" t="s">
        <v>376</v>
      </c>
      <c r="G203" s="6" t="s">
        <v>141</v>
      </c>
      <c r="H203" s="2" t="s">
        <v>194</v>
      </c>
      <c r="I203" s="2" t="s">
        <v>503</v>
      </c>
      <c r="J203" s="2" t="s">
        <v>19</v>
      </c>
      <c r="K203" s="2" t="s">
        <v>353</v>
      </c>
      <c r="L203" s="7" t="str">
        <f>HYPERLINK("http://slimages.macys.com/is/image/MCY/9340634 ")</f>
        <v xml:space="preserve">http://slimages.macys.com/is/image/MCY/9340634 </v>
      </c>
    </row>
    <row r="204" spans="1:12" ht="24.75" x14ac:dyDescent="0.25">
      <c r="A204" s="4" t="s">
        <v>830</v>
      </c>
      <c r="B204" s="2" t="s">
        <v>827</v>
      </c>
      <c r="C204" s="3">
        <v>1</v>
      </c>
      <c r="D204" s="5">
        <v>37.130000000000003</v>
      </c>
      <c r="E204" s="3">
        <v>100009535</v>
      </c>
      <c r="F204" s="2" t="s">
        <v>376</v>
      </c>
      <c r="G204" s="6" t="s">
        <v>22</v>
      </c>
      <c r="H204" s="2" t="s">
        <v>194</v>
      </c>
      <c r="I204" s="2" t="s">
        <v>503</v>
      </c>
      <c r="J204" s="2" t="s">
        <v>19</v>
      </c>
      <c r="K204" s="2" t="s">
        <v>353</v>
      </c>
      <c r="L204" s="7" t="str">
        <f>HYPERLINK("http://slimages.macys.com/is/image/MCY/9340634 ")</f>
        <v xml:space="preserve">http://slimages.macys.com/is/image/MCY/9340634 </v>
      </c>
    </row>
    <row r="205" spans="1:12" ht="24.75" x14ac:dyDescent="0.25">
      <c r="A205" s="4" t="s">
        <v>6442</v>
      </c>
      <c r="B205" s="2" t="s">
        <v>827</v>
      </c>
      <c r="C205" s="3">
        <v>1</v>
      </c>
      <c r="D205" s="5">
        <v>37.130000000000003</v>
      </c>
      <c r="E205" s="3">
        <v>100009535</v>
      </c>
      <c r="F205" s="2" t="s">
        <v>26</v>
      </c>
      <c r="G205" s="6" t="s">
        <v>141</v>
      </c>
      <c r="H205" s="2" t="s">
        <v>194</v>
      </c>
      <c r="I205" s="2" t="s">
        <v>503</v>
      </c>
      <c r="J205" s="2" t="s">
        <v>19</v>
      </c>
      <c r="K205" s="2" t="s">
        <v>353</v>
      </c>
      <c r="L205" s="7" t="str">
        <f>HYPERLINK("http://slimages.macys.com/is/image/MCY/9450411 ")</f>
        <v xml:space="preserve">http://slimages.macys.com/is/image/MCY/9450411 </v>
      </c>
    </row>
    <row r="206" spans="1:12" ht="24.75" x14ac:dyDescent="0.25">
      <c r="A206" s="4" t="s">
        <v>3597</v>
      </c>
      <c r="B206" s="2" t="s">
        <v>827</v>
      </c>
      <c r="C206" s="3">
        <v>3</v>
      </c>
      <c r="D206" s="5">
        <v>37.130000000000003</v>
      </c>
      <c r="E206" s="3">
        <v>100009535</v>
      </c>
      <c r="F206" s="2" t="s">
        <v>376</v>
      </c>
      <c r="G206" s="6" t="s">
        <v>27</v>
      </c>
      <c r="H206" s="2" t="s">
        <v>194</v>
      </c>
      <c r="I206" s="2" t="s">
        <v>503</v>
      </c>
      <c r="J206" s="2" t="s">
        <v>19</v>
      </c>
      <c r="K206" s="2" t="s">
        <v>353</v>
      </c>
      <c r="L206" s="7" t="str">
        <f>HYPERLINK("http://slimages.macys.com/is/image/MCY/9340634 ")</f>
        <v xml:space="preserve">http://slimages.macys.com/is/image/MCY/9340634 </v>
      </c>
    </row>
    <row r="207" spans="1:12" ht="24.75" x14ac:dyDescent="0.25">
      <c r="A207" s="4" t="s">
        <v>6443</v>
      </c>
      <c r="B207" s="2" t="s">
        <v>827</v>
      </c>
      <c r="C207" s="3">
        <v>1</v>
      </c>
      <c r="D207" s="5">
        <v>37.130000000000003</v>
      </c>
      <c r="E207" s="3">
        <v>100009535</v>
      </c>
      <c r="F207" s="2" t="s">
        <v>376</v>
      </c>
      <c r="G207" s="6" t="s">
        <v>106</v>
      </c>
      <c r="H207" s="2" t="s">
        <v>194</v>
      </c>
      <c r="I207" s="2" t="s">
        <v>503</v>
      </c>
      <c r="J207" s="2" t="s">
        <v>19</v>
      </c>
      <c r="K207" s="2" t="s">
        <v>353</v>
      </c>
      <c r="L207" s="7" t="str">
        <f>HYPERLINK("http://slimages.macys.com/is/image/MCY/9340634 ")</f>
        <v xml:space="preserve">http://slimages.macys.com/is/image/MCY/9340634 </v>
      </c>
    </row>
    <row r="208" spans="1:12" ht="24.75" x14ac:dyDescent="0.25">
      <c r="A208" s="4" t="s">
        <v>5619</v>
      </c>
      <c r="B208" s="2" t="s">
        <v>827</v>
      </c>
      <c r="C208" s="3">
        <v>2</v>
      </c>
      <c r="D208" s="5">
        <v>37.130000000000003</v>
      </c>
      <c r="E208" s="3">
        <v>100009535</v>
      </c>
      <c r="F208" s="2" t="s">
        <v>376</v>
      </c>
      <c r="G208" s="6" t="s">
        <v>58</v>
      </c>
      <c r="H208" s="2" t="s">
        <v>194</v>
      </c>
      <c r="I208" s="2" t="s">
        <v>503</v>
      </c>
      <c r="J208" s="2" t="s">
        <v>19</v>
      </c>
      <c r="K208" s="2" t="s">
        <v>353</v>
      </c>
      <c r="L208" s="7" t="str">
        <f>HYPERLINK("http://slimages.macys.com/is/image/MCY/9340634 ")</f>
        <v xml:space="preserve">http://slimages.macys.com/is/image/MCY/9340634 </v>
      </c>
    </row>
    <row r="209" spans="1:12" ht="24.75" x14ac:dyDescent="0.25">
      <c r="A209" s="4" t="s">
        <v>6444</v>
      </c>
      <c r="B209" s="2" t="s">
        <v>6445</v>
      </c>
      <c r="C209" s="3">
        <v>1</v>
      </c>
      <c r="D209" s="5">
        <v>40.880000000000003</v>
      </c>
      <c r="E209" s="3" t="s">
        <v>6446</v>
      </c>
      <c r="F209" s="2" t="s">
        <v>417</v>
      </c>
      <c r="G209" s="6" t="s">
        <v>154</v>
      </c>
      <c r="H209" s="2" t="s">
        <v>284</v>
      </c>
      <c r="I209" s="2" t="s">
        <v>285</v>
      </c>
      <c r="J209" s="2" t="s">
        <v>19</v>
      </c>
      <c r="K209" s="2" t="s">
        <v>6447</v>
      </c>
      <c r="L209" s="7" t="str">
        <f>HYPERLINK("http://slimages.macys.com/is/image/MCY/12716783 ")</f>
        <v xml:space="preserve">http://slimages.macys.com/is/image/MCY/12716783 </v>
      </c>
    </row>
    <row r="210" spans="1:12" ht="24.75" x14ac:dyDescent="0.25">
      <c r="A210" s="4" t="s">
        <v>6448</v>
      </c>
      <c r="B210" s="2" t="s">
        <v>6449</v>
      </c>
      <c r="C210" s="3">
        <v>1</v>
      </c>
      <c r="D210" s="5">
        <v>44.5</v>
      </c>
      <c r="E210" s="3" t="s">
        <v>6450</v>
      </c>
      <c r="F210" s="2" t="s">
        <v>38</v>
      </c>
      <c r="G210" s="6" t="s">
        <v>106</v>
      </c>
      <c r="H210" s="2" t="s">
        <v>246</v>
      </c>
      <c r="I210" s="2" t="s">
        <v>487</v>
      </c>
      <c r="J210" s="2" t="s">
        <v>19</v>
      </c>
      <c r="K210" s="2" t="s">
        <v>409</v>
      </c>
      <c r="L210" s="7" t="str">
        <f>HYPERLINK("http://slimages.macys.com/is/image/MCY/11699445 ")</f>
        <v xml:space="preserve">http://slimages.macys.com/is/image/MCY/11699445 </v>
      </c>
    </row>
    <row r="211" spans="1:12" ht="48.75" x14ac:dyDescent="0.25">
      <c r="A211" s="4" t="s">
        <v>846</v>
      </c>
      <c r="B211" s="2" t="s">
        <v>841</v>
      </c>
      <c r="C211" s="3">
        <v>2</v>
      </c>
      <c r="D211" s="5">
        <v>34.99</v>
      </c>
      <c r="E211" s="3" t="s">
        <v>842</v>
      </c>
      <c r="F211" s="2" t="s">
        <v>26</v>
      </c>
      <c r="G211" s="6" t="s">
        <v>847</v>
      </c>
      <c r="H211" s="2" t="s">
        <v>349</v>
      </c>
      <c r="I211" s="2" t="s">
        <v>408</v>
      </c>
      <c r="J211" s="2" t="s">
        <v>19</v>
      </c>
      <c r="K211" s="2" t="s">
        <v>787</v>
      </c>
      <c r="L211" s="7" t="str">
        <f>HYPERLINK("http://slimages.macys.com/is/image/MCY/3935281 ")</f>
        <v xml:space="preserve">http://slimages.macys.com/is/image/MCY/3935281 </v>
      </c>
    </row>
    <row r="212" spans="1:12" ht="48.75" x14ac:dyDescent="0.25">
      <c r="A212" s="4" t="s">
        <v>2457</v>
      </c>
      <c r="B212" s="2" t="s">
        <v>841</v>
      </c>
      <c r="C212" s="3">
        <v>2</v>
      </c>
      <c r="D212" s="5">
        <v>34.99</v>
      </c>
      <c r="E212" s="3" t="s">
        <v>842</v>
      </c>
      <c r="F212" s="2" t="s">
        <v>26</v>
      </c>
      <c r="G212" s="6" t="s">
        <v>2458</v>
      </c>
      <c r="H212" s="2" t="s">
        <v>349</v>
      </c>
      <c r="I212" s="2" t="s">
        <v>408</v>
      </c>
      <c r="J212" s="2" t="s">
        <v>19</v>
      </c>
      <c r="K212" s="2" t="s">
        <v>787</v>
      </c>
      <c r="L212" s="7" t="str">
        <f>HYPERLINK("http://slimages.macys.com/is/image/MCY/3935281 ")</f>
        <v xml:space="preserve">http://slimages.macys.com/is/image/MCY/3935281 </v>
      </c>
    </row>
    <row r="213" spans="1:12" ht="24.75" x14ac:dyDescent="0.25">
      <c r="A213" s="4" t="s">
        <v>6451</v>
      </c>
      <c r="B213" s="2" t="s">
        <v>2460</v>
      </c>
      <c r="C213" s="3">
        <v>1</v>
      </c>
      <c r="D213" s="5">
        <v>34.880000000000003</v>
      </c>
      <c r="E213" s="3" t="s">
        <v>2461</v>
      </c>
      <c r="F213" s="2" t="s">
        <v>26</v>
      </c>
      <c r="G213" s="6" t="s">
        <v>165</v>
      </c>
      <c r="H213" s="2" t="s">
        <v>312</v>
      </c>
      <c r="I213" s="2" t="s">
        <v>503</v>
      </c>
      <c r="J213" s="2" t="s">
        <v>19</v>
      </c>
      <c r="K213" s="2" t="s">
        <v>353</v>
      </c>
      <c r="L213" s="7" t="str">
        <f>HYPERLINK("http://slimages.macys.com/is/image/MCY/9325305 ")</f>
        <v xml:space="preserve">http://slimages.macys.com/is/image/MCY/9325305 </v>
      </c>
    </row>
    <row r="214" spans="1:12" ht="48.75" x14ac:dyDescent="0.25">
      <c r="A214" s="4" t="s">
        <v>840</v>
      </c>
      <c r="B214" s="2" t="s">
        <v>841</v>
      </c>
      <c r="C214" s="3">
        <v>2</v>
      </c>
      <c r="D214" s="5">
        <v>34.99</v>
      </c>
      <c r="E214" s="3" t="s">
        <v>842</v>
      </c>
      <c r="F214" s="2" t="s">
        <v>26</v>
      </c>
      <c r="G214" s="6" t="s">
        <v>407</v>
      </c>
      <c r="H214" s="2" t="s">
        <v>349</v>
      </c>
      <c r="I214" s="2" t="s">
        <v>408</v>
      </c>
      <c r="J214" s="2" t="s">
        <v>19</v>
      </c>
      <c r="K214" s="2" t="s">
        <v>787</v>
      </c>
      <c r="L214" s="7" t="str">
        <f>HYPERLINK("http://slimages.macys.com/is/image/MCY/3935281 ")</f>
        <v xml:space="preserve">http://slimages.macys.com/is/image/MCY/3935281 </v>
      </c>
    </row>
    <row r="215" spans="1:12" ht="24.75" x14ac:dyDescent="0.25">
      <c r="A215" s="4" t="s">
        <v>6452</v>
      </c>
      <c r="B215" s="2" t="s">
        <v>6453</v>
      </c>
      <c r="C215" s="3">
        <v>1</v>
      </c>
      <c r="D215" s="5">
        <v>37.130000000000003</v>
      </c>
      <c r="E215" s="3" t="s">
        <v>6454</v>
      </c>
      <c r="F215" s="2" t="s">
        <v>74</v>
      </c>
      <c r="G215" s="6" t="s">
        <v>6455</v>
      </c>
      <c r="H215" s="2" t="s">
        <v>284</v>
      </c>
      <c r="I215" s="2" t="s">
        <v>285</v>
      </c>
      <c r="J215" s="2" t="s">
        <v>19</v>
      </c>
      <c r="K215" s="2" t="s">
        <v>6456</v>
      </c>
      <c r="L215" s="7" t="str">
        <f>HYPERLINK("http://slimages.macys.com/is/image/MCY/11434064 ")</f>
        <v xml:space="preserve">http://slimages.macys.com/is/image/MCY/11434064 </v>
      </c>
    </row>
    <row r="216" spans="1:12" ht="24.75" x14ac:dyDescent="0.25">
      <c r="A216" s="4" t="s">
        <v>6457</v>
      </c>
      <c r="B216" s="2" t="s">
        <v>6453</v>
      </c>
      <c r="C216" s="3">
        <v>2</v>
      </c>
      <c r="D216" s="5">
        <v>37.130000000000003</v>
      </c>
      <c r="E216" s="3" t="s">
        <v>6454</v>
      </c>
      <c r="F216" s="2" t="s">
        <v>74</v>
      </c>
      <c r="G216" s="6" t="s">
        <v>6458</v>
      </c>
      <c r="H216" s="2" t="s">
        <v>284</v>
      </c>
      <c r="I216" s="2" t="s">
        <v>285</v>
      </c>
      <c r="J216" s="2" t="s">
        <v>19</v>
      </c>
      <c r="K216" s="2" t="s">
        <v>6456</v>
      </c>
      <c r="L216" s="7" t="str">
        <f>HYPERLINK("http://slimages.macys.com/is/image/MCY/11434064 ")</f>
        <v xml:space="preserve">http://slimages.macys.com/is/image/MCY/11434064 </v>
      </c>
    </row>
    <row r="217" spans="1:12" ht="24.75" x14ac:dyDescent="0.25">
      <c r="A217" s="4" t="s">
        <v>6459</v>
      </c>
      <c r="B217" s="2" t="s">
        <v>849</v>
      </c>
      <c r="C217" s="3">
        <v>1</v>
      </c>
      <c r="D217" s="5">
        <v>40.65</v>
      </c>
      <c r="E217" s="3" t="s">
        <v>850</v>
      </c>
      <c r="F217" s="2" t="s">
        <v>15</v>
      </c>
      <c r="G217" s="6" t="s">
        <v>245</v>
      </c>
      <c r="H217" s="2" t="s">
        <v>182</v>
      </c>
      <c r="I217" s="2" t="s">
        <v>183</v>
      </c>
      <c r="J217" s="2" t="s">
        <v>19</v>
      </c>
      <c r="K217" s="2" t="s">
        <v>851</v>
      </c>
      <c r="L217" s="7" t="str">
        <f>HYPERLINK("http://slimages.macys.com/is/image/MCY/12851655 ")</f>
        <v xml:space="preserve">http://slimages.macys.com/is/image/MCY/12851655 </v>
      </c>
    </row>
    <row r="218" spans="1:12" ht="24.75" x14ac:dyDescent="0.25">
      <c r="A218" s="4" t="s">
        <v>6460</v>
      </c>
      <c r="B218" s="2" t="s">
        <v>849</v>
      </c>
      <c r="C218" s="3">
        <v>1</v>
      </c>
      <c r="D218" s="5">
        <v>40.65</v>
      </c>
      <c r="E218" s="3" t="s">
        <v>850</v>
      </c>
      <c r="F218" s="2" t="s">
        <v>15</v>
      </c>
      <c r="G218" s="6" t="s">
        <v>156</v>
      </c>
      <c r="H218" s="2" t="s">
        <v>182</v>
      </c>
      <c r="I218" s="2" t="s">
        <v>183</v>
      </c>
      <c r="J218" s="2" t="s">
        <v>19</v>
      </c>
      <c r="K218" s="2" t="s">
        <v>851</v>
      </c>
      <c r="L218" s="7" t="str">
        <f>HYPERLINK("http://slimages.macys.com/is/image/MCY/12851655 ")</f>
        <v xml:space="preserve">http://slimages.macys.com/is/image/MCY/12851655 </v>
      </c>
    </row>
    <row r="219" spans="1:12" ht="24.75" x14ac:dyDescent="0.25">
      <c r="A219" s="4" t="s">
        <v>852</v>
      </c>
      <c r="B219" s="2" t="s">
        <v>853</v>
      </c>
      <c r="C219" s="3">
        <v>1</v>
      </c>
      <c r="D219" s="5">
        <v>37.130000000000003</v>
      </c>
      <c r="E219" s="3" t="s">
        <v>854</v>
      </c>
      <c r="F219" s="2" t="s">
        <v>74</v>
      </c>
      <c r="G219" s="6" t="s">
        <v>65</v>
      </c>
      <c r="H219" s="2" t="s">
        <v>246</v>
      </c>
      <c r="I219" s="2" t="s">
        <v>214</v>
      </c>
      <c r="J219" s="2" t="s">
        <v>19</v>
      </c>
      <c r="K219" s="2" t="s">
        <v>353</v>
      </c>
      <c r="L219" s="7" t="str">
        <f>HYPERLINK("http://slimages.macys.com/is/image/MCY/10679381 ")</f>
        <v xml:space="preserve">http://slimages.macys.com/is/image/MCY/10679381 </v>
      </c>
    </row>
    <row r="220" spans="1:12" ht="24.75" x14ac:dyDescent="0.25">
      <c r="A220" s="4" t="s">
        <v>6461</v>
      </c>
      <c r="B220" s="2" t="s">
        <v>856</v>
      </c>
      <c r="C220" s="3">
        <v>1</v>
      </c>
      <c r="D220" s="5">
        <v>48</v>
      </c>
      <c r="E220" s="3">
        <v>100013497</v>
      </c>
      <c r="F220" s="2" t="s">
        <v>252</v>
      </c>
      <c r="G220" s="6" t="s">
        <v>112</v>
      </c>
      <c r="H220" s="2" t="s">
        <v>228</v>
      </c>
      <c r="I220" s="2" t="s">
        <v>857</v>
      </c>
      <c r="J220" s="2" t="s">
        <v>19</v>
      </c>
      <c r="K220" s="2" t="s">
        <v>387</v>
      </c>
      <c r="L220" s="7" t="str">
        <f>HYPERLINK("http://slimages.macys.com/is/image/MCY/9478981 ")</f>
        <v xml:space="preserve">http://slimages.macys.com/is/image/MCY/9478981 </v>
      </c>
    </row>
    <row r="221" spans="1:12" ht="24.75" x14ac:dyDescent="0.25">
      <c r="A221" s="4" t="s">
        <v>6462</v>
      </c>
      <c r="B221" s="2" t="s">
        <v>856</v>
      </c>
      <c r="C221" s="3">
        <v>1</v>
      </c>
      <c r="D221" s="5">
        <v>48</v>
      </c>
      <c r="E221" s="3">
        <v>100013497</v>
      </c>
      <c r="F221" s="2" t="s">
        <v>252</v>
      </c>
      <c r="G221" s="6" t="s">
        <v>65</v>
      </c>
      <c r="H221" s="2" t="s">
        <v>228</v>
      </c>
      <c r="I221" s="2" t="s">
        <v>857</v>
      </c>
      <c r="J221" s="2" t="s">
        <v>19</v>
      </c>
      <c r="K221" s="2" t="s">
        <v>387</v>
      </c>
      <c r="L221" s="7" t="str">
        <f>HYPERLINK("http://slimages.macys.com/is/image/MCY/9478981 ")</f>
        <v xml:space="preserve">http://slimages.macys.com/is/image/MCY/9478981 </v>
      </c>
    </row>
    <row r="222" spans="1:12" ht="24.75" x14ac:dyDescent="0.25">
      <c r="A222" s="4" t="s">
        <v>2464</v>
      </c>
      <c r="B222" s="2" t="s">
        <v>818</v>
      </c>
      <c r="C222" s="3">
        <v>1</v>
      </c>
      <c r="D222" s="5">
        <v>36.5</v>
      </c>
      <c r="E222" s="3" t="s">
        <v>2465</v>
      </c>
      <c r="F222" s="2" t="s">
        <v>26</v>
      </c>
      <c r="G222" s="6" t="s">
        <v>181</v>
      </c>
      <c r="H222" s="2" t="s">
        <v>194</v>
      </c>
      <c r="I222" s="2" t="s">
        <v>195</v>
      </c>
      <c r="J222" s="2" t="s">
        <v>19</v>
      </c>
      <c r="K222" s="2" t="s">
        <v>247</v>
      </c>
      <c r="L222" s="7" t="str">
        <f>HYPERLINK("http://slimages.macys.com/is/image/MCY/11764566 ")</f>
        <v xml:space="preserve">http://slimages.macys.com/is/image/MCY/11764566 </v>
      </c>
    </row>
    <row r="223" spans="1:12" ht="24.75" x14ac:dyDescent="0.25">
      <c r="A223" s="4" t="s">
        <v>2466</v>
      </c>
      <c r="B223" s="2" t="s">
        <v>818</v>
      </c>
      <c r="C223" s="3">
        <v>1</v>
      </c>
      <c r="D223" s="5">
        <v>36.5</v>
      </c>
      <c r="E223" s="3" t="s">
        <v>2465</v>
      </c>
      <c r="F223" s="2" t="s">
        <v>26</v>
      </c>
      <c r="G223" s="6" t="s">
        <v>156</v>
      </c>
      <c r="H223" s="2" t="s">
        <v>194</v>
      </c>
      <c r="I223" s="2" t="s">
        <v>195</v>
      </c>
      <c r="J223" s="2" t="s">
        <v>19</v>
      </c>
      <c r="K223" s="2" t="s">
        <v>247</v>
      </c>
      <c r="L223" s="7" t="str">
        <f>HYPERLINK("http://slimages.macys.com/is/image/MCY/11764566 ")</f>
        <v xml:space="preserve">http://slimages.macys.com/is/image/MCY/11764566 </v>
      </c>
    </row>
    <row r="224" spans="1:12" ht="24.75" x14ac:dyDescent="0.25">
      <c r="A224" s="4" t="s">
        <v>3605</v>
      </c>
      <c r="B224" s="2" t="s">
        <v>818</v>
      </c>
      <c r="C224" s="3">
        <v>1</v>
      </c>
      <c r="D224" s="5">
        <v>36.5</v>
      </c>
      <c r="E224" s="3" t="s">
        <v>2465</v>
      </c>
      <c r="F224" s="2" t="s">
        <v>26</v>
      </c>
      <c r="G224" s="6" t="s">
        <v>154</v>
      </c>
      <c r="H224" s="2" t="s">
        <v>194</v>
      </c>
      <c r="I224" s="2" t="s">
        <v>195</v>
      </c>
      <c r="J224" s="2" t="s">
        <v>19</v>
      </c>
      <c r="K224" s="2" t="s">
        <v>247</v>
      </c>
      <c r="L224" s="7" t="str">
        <f>HYPERLINK("http://slimages.macys.com/is/image/MCY/11764566 ")</f>
        <v xml:space="preserve">http://slimages.macys.com/is/image/MCY/11764566 </v>
      </c>
    </row>
    <row r="225" spans="1:12" ht="36.75" x14ac:dyDescent="0.25">
      <c r="A225" s="4" t="s">
        <v>6463</v>
      </c>
      <c r="B225" s="2" t="s">
        <v>5632</v>
      </c>
      <c r="C225" s="3">
        <v>1</v>
      </c>
      <c r="D225" s="5">
        <v>37.130000000000003</v>
      </c>
      <c r="E225" s="3">
        <v>100022657</v>
      </c>
      <c r="F225" s="2" t="s">
        <v>74</v>
      </c>
      <c r="G225" s="6" t="s">
        <v>200</v>
      </c>
      <c r="H225" s="2" t="s">
        <v>284</v>
      </c>
      <c r="I225" s="2" t="s">
        <v>408</v>
      </c>
      <c r="J225" s="2" t="s">
        <v>19</v>
      </c>
      <c r="K225" s="2" t="s">
        <v>500</v>
      </c>
      <c r="L225" s="7" t="str">
        <f>HYPERLINK("http://slimages.macys.com/is/image/MCY/9449861 ")</f>
        <v xml:space="preserve">http://slimages.macys.com/is/image/MCY/9449861 </v>
      </c>
    </row>
    <row r="226" spans="1:12" ht="36.75" x14ac:dyDescent="0.25">
      <c r="A226" s="4" t="s">
        <v>6464</v>
      </c>
      <c r="B226" s="2" t="s">
        <v>5632</v>
      </c>
      <c r="C226" s="3">
        <v>1</v>
      </c>
      <c r="D226" s="5">
        <v>37.130000000000003</v>
      </c>
      <c r="E226" s="3">
        <v>100022657</v>
      </c>
      <c r="F226" s="2" t="s">
        <v>74</v>
      </c>
      <c r="G226" s="6" t="s">
        <v>154</v>
      </c>
      <c r="H226" s="2" t="s">
        <v>284</v>
      </c>
      <c r="I226" s="2" t="s">
        <v>408</v>
      </c>
      <c r="J226" s="2" t="s">
        <v>19</v>
      </c>
      <c r="K226" s="2" t="s">
        <v>500</v>
      </c>
      <c r="L226" s="7" t="str">
        <f>HYPERLINK("http://slimages.macys.com/is/image/MCY/9449861 ")</f>
        <v xml:space="preserve">http://slimages.macys.com/is/image/MCY/9449861 </v>
      </c>
    </row>
    <row r="227" spans="1:12" ht="24.75" x14ac:dyDescent="0.25">
      <c r="A227" s="4" t="s">
        <v>5635</v>
      </c>
      <c r="B227" s="2" t="s">
        <v>2476</v>
      </c>
      <c r="C227" s="3">
        <v>1</v>
      </c>
      <c r="D227" s="5">
        <v>40.880000000000003</v>
      </c>
      <c r="E227" s="3" t="s">
        <v>2477</v>
      </c>
      <c r="F227" s="2" t="s">
        <v>752</v>
      </c>
      <c r="G227" s="6" t="s">
        <v>234</v>
      </c>
      <c r="H227" s="2" t="s">
        <v>194</v>
      </c>
      <c r="I227" s="2" t="s">
        <v>195</v>
      </c>
      <c r="J227" s="2" t="s">
        <v>19</v>
      </c>
      <c r="K227" s="2" t="s">
        <v>34</v>
      </c>
      <c r="L227" s="7" t="str">
        <f>HYPERLINK("http://slimages.macys.com/is/image/MCY/12279885 ")</f>
        <v xml:space="preserve">http://slimages.macys.com/is/image/MCY/12279885 </v>
      </c>
    </row>
    <row r="228" spans="1:12" ht="24.75" x14ac:dyDescent="0.25">
      <c r="A228" s="4" t="s">
        <v>3614</v>
      </c>
      <c r="B228" s="2" t="s">
        <v>2476</v>
      </c>
      <c r="C228" s="3">
        <v>2</v>
      </c>
      <c r="D228" s="5">
        <v>40.880000000000003</v>
      </c>
      <c r="E228" s="3" t="s">
        <v>2479</v>
      </c>
      <c r="F228" s="2" t="s">
        <v>1614</v>
      </c>
      <c r="G228" s="6" t="s">
        <v>234</v>
      </c>
      <c r="H228" s="2" t="s">
        <v>194</v>
      </c>
      <c r="I228" s="2" t="s">
        <v>195</v>
      </c>
      <c r="J228" s="2" t="s">
        <v>19</v>
      </c>
      <c r="K228" s="2" t="s">
        <v>34</v>
      </c>
      <c r="L228" s="7" t="str">
        <f>HYPERLINK("http://slimages.macys.com/is/image/MCY/11526932 ")</f>
        <v xml:space="preserve">http://slimages.macys.com/is/image/MCY/11526932 </v>
      </c>
    </row>
    <row r="229" spans="1:12" ht="24.75" x14ac:dyDescent="0.25">
      <c r="A229" s="4" t="s">
        <v>6465</v>
      </c>
      <c r="B229" s="2" t="s">
        <v>3616</v>
      </c>
      <c r="C229" s="3">
        <v>1</v>
      </c>
      <c r="D229" s="5">
        <v>42.38</v>
      </c>
      <c r="E229" s="3" t="s">
        <v>3617</v>
      </c>
      <c r="F229" s="2" t="s">
        <v>70</v>
      </c>
      <c r="G229" s="6" t="s">
        <v>2276</v>
      </c>
      <c r="H229" s="2" t="s">
        <v>349</v>
      </c>
      <c r="I229" s="2" t="s">
        <v>3622</v>
      </c>
      <c r="J229" s="2" t="s">
        <v>19</v>
      </c>
      <c r="K229" s="2" t="s">
        <v>3623</v>
      </c>
      <c r="L229" s="7" t="str">
        <f>HYPERLINK("http://slimages.macys.com/is/image/MCY/12877154 ")</f>
        <v xml:space="preserve">http://slimages.macys.com/is/image/MCY/12877154 </v>
      </c>
    </row>
    <row r="230" spans="1:12" ht="24.75" x14ac:dyDescent="0.25">
      <c r="A230" s="4" t="s">
        <v>6466</v>
      </c>
      <c r="B230" s="2" t="s">
        <v>2483</v>
      </c>
      <c r="C230" s="3">
        <v>1</v>
      </c>
      <c r="D230" s="5">
        <v>34.880000000000003</v>
      </c>
      <c r="E230" s="3">
        <v>100058189</v>
      </c>
      <c r="F230" s="2" t="s">
        <v>15</v>
      </c>
      <c r="G230" s="6" t="s">
        <v>16</v>
      </c>
      <c r="H230" s="2" t="s">
        <v>194</v>
      </c>
      <c r="I230" s="2" t="s">
        <v>195</v>
      </c>
      <c r="J230" s="2" t="s">
        <v>19</v>
      </c>
      <c r="K230" s="2" t="s">
        <v>648</v>
      </c>
      <c r="L230" s="7" t="str">
        <f>HYPERLINK("http://slimages.macys.com/is/image/MCY/12802459 ")</f>
        <v xml:space="preserve">http://slimages.macys.com/is/image/MCY/12802459 </v>
      </c>
    </row>
    <row r="231" spans="1:12" ht="24.75" x14ac:dyDescent="0.25">
      <c r="A231" s="4" t="s">
        <v>6467</v>
      </c>
      <c r="B231" s="2" t="s">
        <v>2483</v>
      </c>
      <c r="C231" s="3">
        <v>1</v>
      </c>
      <c r="D231" s="5">
        <v>34.880000000000003</v>
      </c>
      <c r="E231" s="3">
        <v>100058189</v>
      </c>
      <c r="F231" s="2" t="s">
        <v>15</v>
      </c>
      <c r="G231" s="6" t="s">
        <v>112</v>
      </c>
      <c r="H231" s="2" t="s">
        <v>194</v>
      </c>
      <c r="I231" s="2" t="s">
        <v>195</v>
      </c>
      <c r="J231" s="2" t="s">
        <v>19</v>
      </c>
      <c r="K231" s="2" t="s">
        <v>648</v>
      </c>
      <c r="L231" s="7" t="str">
        <f>HYPERLINK("http://slimages.macys.com/is/image/MCY/12802459 ")</f>
        <v xml:space="preserve">http://slimages.macys.com/is/image/MCY/12802459 </v>
      </c>
    </row>
    <row r="232" spans="1:12" ht="24.75" x14ac:dyDescent="0.25">
      <c r="A232" s="4" t="s">
        <v>6468</v>
      </c>
      <c r="B232" s="2" t="s">
        <v>6469</v>
      </c>
      <c r="C232" s="3">
        <v>1</v>
      </c>
      <c r="D232" s="5">
        <v>49.5</v>
      </c>
      <c r="E232" s="3" t="s">
        <v>6470</v>
      </c>
      <c r="F232" s="2" t="s">
        <v>74</v>
      </c>
      <c r="G232" s="6"/>
      <c r="H232" s="2" t="s">
        <v>206</v>
      </c>
      <c r="I232" s="2" t="s">
        <v>207</v>
      </c>
      <c r="J232" s="2" t="s">
        <v>19</v>
      </c>
      <c r="K232" s="2" t="s">
        <v>6471</v>
      </c>
      <c r="L232" s="7" t="str">
        <f>HYPERLINK("http://slimages.macys.com/is/image/MCY/9380994 ")</f>
        <v xml:space="preserve">http://slimages.macys.com/is/image/MCY/9380994 </v>
      </c>
    </row>
    <row r="233" spans="1:12" ht="24.75" x14ac:dyDescent="0.25">
      <c r="A233" s="4" t="s">
        <v>885</v>
      </c>
      <c r="B233" s="2" t="s">
        <v>886</v>
      </c>
      <c r="C233" s="3">
        <v>1</v>
      </c>
      <c r="D233" s="5">
        <v>37.130000000000003</v>
      </c>
      <c r="E233" s="3">
        <v>100016232</v>
      </c>
      <c r="F233" s="2" t="s">
        <v>887</v>
      </c>
      <c r="G233" s="6" t="s">
        <v>181</v>
      </c>
      <c r="H233" s="2" t="s">
        <v>194</v>
      </c>
      <c r="I233" s="2" t="s">
        <v>195</v>
      </c>
      <c r="J233" s="2" t="s">
        <v>19</v>
      </c>
      <c r="K233" s="2" t="s">
        <v>201</v>
      </c>
      <c r="L233" s="7" t="str">
        <f>HYPERLINK("http://slimages.macys.com/is/image/MCY/9551936 ")</f>
        <v xml:space="preserve">http://slimages.macys.com/is/image/MCY/9551936 </v>
      </c>
    </row>
    <row r="234" spans="1:12" ht="24.75" x14ac:dyDescent="0.25">
      <c r="A234" s="4" t="s">
        <v>5641</v>
      </c>
      <c r="B234" s="2" t="s">
        <v>890</v>
      </c>
      <c r="C234" s="3">
        <v>1</v>
      </c>
      <c r="D234" s="5">
        <v>34.5</v>
      </c>
      <c r="E234" s="3" t="s">
        <v>891</v>
      </c>
      <c r="F234" s="2" t="s">
        <v>64</v>
      </c>
      <c r="G234" s="6" t="s">
        <v>27</v>
      </c>
      <c r="H234" s="2" t="s">
        <v>228</v>
      </c>
      <c r="I234" s="2" t="s">
        <v>229</v>
      </c>
      <c r="J234" s="2" t="s">
        <v>19</v>
      </c>
      <c r="K234" s="2" t="s">
        <v>253</v>
      </c>
      <c r="L234" s="7" t="str">
        <f>HYPERLINK("http://slimages.macys.com/is/image/MCY/3623510 ")</f>
        <v xml:space="preserve">http://slimages.macys.com/is/image/MCY/3623510 </v>
      </c>
    </row>
    <row r="235" spans="1:12" ht="24.75" x14ac:dyDescent="0.25">
      <c r="A235" s="4" t="s">
        <v>897</v>
      </c>
      <c r="B235" s="2" t="s">
        <v>898</v>
      </c>
      <c r="C235" s="3">
        <v>1</v>
      </c>
      <c r="D235" s="5">
        <v>37.130000000000003</v>
      </c>
      <c r="E235" s="3">
        <v>100009193</v>
      </c>
      <c r="F235" s="2" t="s">
        <v>170</v>
      </c>
      <c r="G235" s="6" t="s">
        <v>141</v>
      </c>
      <c r="H235" s="2" t="s">
        <v>194</v>
      </c>
      <c r="I235" s="2" t="s">
        <v>503</v>
      </c>
      <c r="J235" s="2" t="s">
        <v>19</v>
      </c>
      <c r="K235" s="2" t="s">
        <v>353</v>
      </c>
      <c r="L235" s="7" t="str">
        <f>HYPERLINK("http://slimages.macys.com/is/image/MCY/11804644 ")</f>
        <v xml:space="preserve">http://slimages.macys.com/is/image/MCY/11804644 </v>
      </c>
    </row>
    <row r="236" spans="1:12" ht="24.75" x14ac:dyDescent="0.25">
      <c r="A236" s="4" t="s">
        <v>5643</v>
      </c>
      <c r="B236" s="2" t="s">
        <v>898</v>
      </c>
      <c r="C236" s="3">
        <v>1</v>
      </c>
      <c r="D236" s="5">
        <v>37.130000000000003</v>
      </c>
      <c r="E236" s="3">
        <v>100009193</v>
      </c>
      <c r="F236" s="2" t="s">
        <v>376</v>
      </c>
      <c r="G236" s="6" t="s">
        <v>27</v>
      </c>
      <c r="H236" s="2" t="s">
        <v>194</v>
      </c>
      <c r="I236" s="2" t="s">
        <v>503</v>
      </c>
      <c r="J236" s="2" t="s">
        <v>19</v>
      </c>
      <c r="K236" s="2" t="s">
        <v>353</v>
      </c>
      <c r="L236" s="7" t="str">
        <f>HYPERLINK("http://slimages.macys.com/is/image/MCY/11804644 ")</f>
        <v xml:space="preserve">http://slimages.macys.com/is/image/MCY/11804644 </v>
      </c>
    </row>
    <row r="237" spans="1:12" ht="24.75" x14ac:dyDescent="0.25">
      <c r="A237" s="4" t="s">
        <v>6472</v>
      </c>
      <c r="B237" s="2" t="s">
        <v>898</v>
      </c>
      <c r="C237" s="3">
        <v>2</v>
      </c>
      <c r="D237" s="5">
        <v>37.130000000000003</v>
      </c>
      <c r="E237" s="3">
        <v>100009193</v>
      </c>
      <c r="F237" s="2" t="s">
        <v>376</v>
      </c>
      <c r="G237" s="6" t="s">
        <v>16</v>
      </c>
      <c r="H237" s="2" t="s">
        <v>194</v>
      </c>
      <c r="I237" s="2" t="s">
        <v>503</v>
      </c>
      <c r="J237" s="2" t="s">
        <v>19</v>
      </c>
      <c r="K237" s="2" t="s">
        <v>353</v>
      </c>
      <c r="L237" s="7" t="str">
        <f>HYPERLINK("http://slimages.macys.com/is/image/MCY/11804644 ")</f>
        <v xml:space="preserve">http://slimages.macys.com/is/image/MCY/11804644 </v>
      </c>
    </row>
    <row r="238" spans="1:12" ht="24.75" x14ac:dyDescent="0.25">
      <c r="A238" s="4" t="s">
        <v>6473</v>
      </c>
      <c r="B238" s="2" t="s">
        <v>898</v>
      </c>
      <c r="C238" s="3">
        <v>1</v>
      </c>
      <c r="D238" s="5">
        <v>37.130000000000003</v>
      </c>
      <c r="E238" s="3">
        <v>100009193</v>
      </c>
      <c r="F238" s="2" t="s">
        <v>376</v>
      </c>
      <c r="G238" s="6" t="s">
        <v>112</v>
      </c>
      <c r="H238" s="2" t="s">
        <v>194</v>
      </c>
      <c r="I238" s="2" t="s">
        <v>503</v>
      </c>
      <c r="J238" s="2" t="s">
        <v>19</v>
      </c>
      <c r="K238" s="2" t="s">
        <v>353</v>
      </c>
      <c r="L238" s="7" t="str">
        <f>HYPERLINK("http://slimages.macys.com/is/image/MCY/11804644 ")</f>
        <v xml:space="preserve">http://slimages.macys.com/is/image/MCY/11804644 </v>
      </c>
    </row>
    <row r="239" spans="1:12" ht="24.75" x14ac:dyDescent="0.25">
      <c r="A239" s="4" t="s">
        <v>6474</v>
      </c>
      <c r="B239" s="2" t="s">
        <v>904</v>
      </c>
      <c r="C239" s="3">
        <v>1</v>
      </c>
      <c r="D239" s="5">
        <v>34.5</v>
      </c>
      <c r="E239" s="3" t="s">
        <v>907</v>
      </c>
      <c r="F239" s="2" t="s">
        <v>26</v>
      </c>
      <c r="G239" s="6" t="s">
        <v>245</v>
      </c>
      <c r="H239" s="2" t="s">
        <v>228</v>
      </c>
      <c r="I239" s="2" t="s">
        <v>229</v>
      </c>
      <c r="J239" s="2" t="s">
        <v>19</v>
      </c>
      <c r="K239" s="2" t="s">
        <v>253</v>
      </c>
      <c r="L239" s="7" t="str">
        <f>HYPERLINK("http://slimages.macys.com/is/image/MCY/12794164 ")</f>
        <v xml:space="preserve">http://slimages.macys.com/is/image/MCY/12794164 </v>
      </c>
    </row>
    <row r="240" spans="1:12" ht="24.75" x14ac:dyDescent="0.25">
      <c r="A240" s="4" t="s">
        <v>6475</v>
      </c>
      <c r="B240" s="2" t="s">
        <v>6476</v>
      </c>
      <c r="C240" s="3">
        <v>1</v>
      </c>
      <c r="D240" s="5">
        <v>37.130000000000003</v>
      </c>
      <c r="E240" s="3" t="s">
        <v>6477</v>
      </c>
      <c r="F240" s="2" t="s">
        <v>680</v>
      </c>
      <c r="G240" s="6" t="s">
        <v>16</v>
      </c>
      <c r="H240" s="2" t="s">
        <v>246</v>
      </c>
      <c r="I240" s="2" t="s">
        <v>189</v>
      </c>
      <c r="J240" s="2" t="s">
        <v>19</v>
      </c>
      <c r="K240" s="2" t="s">
        <v>332</v>
      </c>
      <c r="L240" s="7" t="str">
        <f>HYPERLINK("http://slimages.macys.com/is/image/MCY/12224912 ")</f>
        <v xml:space="preserve">http://slimages.macys.com/is/image/MCY/12224912 </v>
      </c>
    </row>
    <row r="241" spans="1:12" ht="24.75" x14ac:dyDescent="0.25">
      <c r="A241" s="4" t="s">
        <v>5649</v>
      </c>
      <c r="B241" s="2" t="s">
        <v>453</v>
      </c>
      <c r="C241" s="3">
        <v>2</v>
      </c>
      <c r="D241" s="5">
        <v>37.130000000000003</v>
      </c>
      <c r="E241" s="3" t="s">
        <v>721</v>
      </c>
      <c r="F241" s="2" t="s">
        <v>74</v>
      </c>
      <c r="G241" s="6" t="s">
        <v>200</v>
      </c>
      <c r="H241" s="2" t="s">
        <v>284</v>
      </c>
      <c r="I241" s="2" t="s">
        <v>285</v>
      </c>
      <c r="J241" s="2" t="s">
        <v>19</v>
      </c>
      <c r="K241" s="2" t="s">
        <v>323</v>
      </c>
      <c r="L241" s="7" t="str">
        <f>HYPERLINK("http://slimages.macys.com/is/image/MCY/9678668 ")</f>
        <v xml:space="preserve">http://slimages.macys.com/is/image/MCY/9678668 </v>
      </c>
    </row>
    <row r="242" spans="1:12" ht="24.75" x14ac:dyDescent="0.25">
      <c r="A242" s="4" t="s">
        <v>6478</v>
      </c>
      <c r="B242" s="2" t="s">
        <v>453</v>
      </c>
      <c r="C242" s="3">
        <v>2</v>
      </c>
      <c r="D242" s="5">
        <v>37.130000000000003</v>
      </c>
      <c r="E242" s="3" t="s">
        <v>721</v>
      </c>
      <c r="F242" s="2" t="s">
        <v>74</v>
      </c>
      <c r="G242" s="6" t="s">
        <v>156</v>
      </c>
      <c r="H242" s="2" t="s">
        <v>284</v>
      </c>
      <c r="I242" s="2" t="s">
        <v>285</v>
      </c>
      <c r="J242" s="2" t="s">
        <v>19</v>
      </c>
      <c r="K242" s="2" t="s">
        <v>323</v>
      </c>
      <c r="L242" s="7" t="str">
        <f>HYPERLINK("http://slimages.macys.com/is/image/MCY/9678668 ")</f>
        <v xml:space="preserve">http://slimages.macys.com/is/image/MCY/9678668 </v>
      </c>
    </row>
    <row r="243" spans="1:12" ht="24.75" x14ac:dyDescent="0.25">
      <c r="A243" s="4" t="s">
        <v>2494</v>
      </c>
      <c r="B243" s="2" t="s">
        <v>453</v>
      </c>
      <c r="C243" s="3">
        <v>3</v>
      </c>
      <c r="D243" s="5">
        <v>37.130000000000003</v>
      </c>
      <c r="E243" s="3" t="s">
        <v>721</v>
      </c>
      <c r="F243" s="2" t="s">
        <v>74</v>
      </c>
      <c r="G243" s="6" t="s">
        <v>154</v>
      </c>
      <c r="H243" s="2" t="s">
        <v>284</v>
      </c>
      <c r="I243" s="2" t="s">
        <v>285</v>
      </c>
      <c r="J243" s="2" t="s">
        <v>19</v>
      </c>
      <c r="K243" s="2" t="s">
        <v>323</v>
      </c>
      <c r="L243" s="7" t="str">
        <f>HYPERLINK("http://slimages.macys.com/is/image/MCY/9678668 ")</f>
        <v xml:space="preserve">http://slimages.macys.com/is/image/MCY/9678668 </v>
      </c>
    </row>
    <row r="244" spans="1:12" ht="24.75" x14ac:dyDescent="0.25">
      <c r="A244" s="4" t="s">
        <v>5650</v>
      </c>
      <c r="B244" s="2" t="s">
        <v>453</v>
      </c>
      <c r="C244" s="3">
        <v>5</v>
      </c>
      <c r="D244" s="5">
        <v>37.130000000000003</v>
      </c>
      <c r="E244" s="3" t="s">
        <v>721</v>
      </c>
      <c r="F244" s="2" t="s">
        <v>74</v>
      </c>
      <c r="G244" s="6" t="s">
        <v>181</v>
      </c>
      <c r="H244" s="2" t="s">
        <v>284</v>
      </c>
      <c r="I244" s="2" t="s">
        <v>285</v>
      </c>
      <c r="J244" s="2" t="s">
        <v>19</v>
      </c>
      <c r="K244" s="2" t="s">
        <v>323</v>
      </c>
      <c r="L244" s="7" t="str">
        <f>HYPERLINK("http://slimages.macys.com/is/image/MCY/9678668 ")</f>
        <v xml:space="preserve">http://slimages.macys.com/is/image/MCY/9678668 </v>
      </c>
    </row>
    <row r="245" spans="1:12" ht="24.75" x14ac:dyDescent="0.25">
      <c r="A245" s="4" t="s">
        <v>5651</v>
      </c>
      <c r="B245" s="2" t="s">
        <v>453</v>
      </c>
      <c r="C245" s="3">
        <v>4</v>
      </c>
      <c r="D245" s="5">
        <v>37.130000000000003</v>
      </c>
      <c r="E245" s="3" t="s">
        <v>721</v>
      </c>
      <c r="F245" s="2" t="s">
        <v>74</v>
      </c>
      <c r="G245" s="6" t="s">
        <v>234</v>
      </c>
      <c r="H245" s="2" t="s">
        <v>284</v>
      </c>
      <c r="I245" s="2" t="s">
        <v>285</v>
      </c>
      <c r="J245" s="2" t="s">
        <v>19</v>
      </c>
      <c r="K245" s="2" t="s">
        <v>323</v>
      </c>
      <c r="L245" s="7" t="str">
        <f>HYPERLINK("http://slimages.macys.com/is/image/MCY/9678668 ")</f>
        <v xml:space="preserve">http://slimages.macys.com/is/image/MCY/9678668 </v>
      </c>
    </row>
    <row r="246" spans="1:12" ht="24.75" x14ac:dyDescent="0.25">
      <c r="A246" s="4" t="s">
        <v>6479</v>
      </c>
      <c r="B246" s="2" t="s">
        <v>5653</v>
      </c>
      <c r="C246" s="3">
        <v>1</v>
      </c>
      <c r="D246" s="5">
        <v>52.13</v>
      </c>
      <c r="E246" s="3" t="s">
        <v>5654</v>
      </c>
      <c r="F246" s="2" t="s">
        <v>5655</v>
      </c>
      <c r="G246" s="6" t="s">
        <v>205</v>
      </c>
      <c r="H246" s="2" t="s">
        <v>188</v>
      </c>
      <c r="I246" s="2" t="s">
        <v>487</v>
      </c>
      <c r="J246" s="2" t="s">
        <v>19</v>
      </c>
      <c r="K246" s="2" t="s">
        <v>409</v>
      </c>
      <c r="L246" s="7" t="str">
        <f>HYPERLINK("http://slimages.macys.com/is/image/MCY/12894162 ")</f>
        <v xml:space="preserve">http://slimages.macys.com/is/image/MCY/12894162 </v>
      </c>
    </row>
    <row r="247" spans="1:12" ht="24.75" x14ac:dyDescent="0.25">
      <c r="A247" s="4" t="s">
        <v>2495</v>
      </c>
      <c r="B247" s="2" t="s">
        <v>2496</v>
      </c>
      <c r="C247" s="3">
        <v>1</v>
      </c>
      <c r="D247" s="5">
        <v>37.130000000000003</v>
      </c>
      <c r="E247" s="3" t="s">
        <v>2497</v>
      </c>
      <c r="F247" s="2" t="s">
        <v>252</v>
      </c>
      <c r="G247" s="6" t="s">
        <v>234</v>
      </c>
      <c r="H247" s="2" t="s">
        <v>194</v>
      </c>
      <c r="I247" s="2" t="s">
        <v>307</v>
      </c>
      <c r="J247" s="2" t="s">
        <v>19</v>
      </c>
      <c r="K247" s="2" t="s">
        <v>160</v>
      </c>
      <c r="L247" s="7" t="str">
        <f>HYPERLINK("http://slimages.macys.com/is/image/MCY/12316773 ")</f>
        <v xml:space="preserve">http://slimages.macys.com/is/image/MCY/12316773 </v>
      </c>
    </row>
    <row r="248" spans="1:12" ht="24.75" x14ac:dyDescent="0.25">
      <c r="A248" s="4" t="s">
        <v>6480</v>
      </c>
      <c r="B248" s="2" t="s">
        <v>3655</v>
      </c>
      <c r="C248" s="3">
        <v>1</v>
      </c>
      <c r="D248" s="5">
        <v>37.130000000000003</v>
      </c>
      <c r="E248" s="3" t="s">
        <v>3656</v>
      </c>
      <c r="F248" s="2" t="s">
        <v>64</v>
      </c>
      <c r="G248" s="6" t="s">
        <v>219</v>
      </c>
      <c r="H248" s="2" t="s">
        <v>188</v>
      </c>
      <c r="I248" s="2" t="s">
        <v>189</v>
      </c>
      <c r="J248" s="2" t="s">
        <v>19</v>
      </c>
      <c r="K248" s="2" t="s">
        <v>107</v>
      </c>
      <c r="L248" s="7" t="str">
        <f>HYPERLINK("http://slimages.macys.com/is/image/MCY/12649415 ")</f>
        <v xml:space="preserve">http://slimages.macys.com/is/image/MCY/12649415 </v>
      </c>
    </row>
    <row r="249" spans="1:12" ht="24.75" x14ac:dyDescent="0.25">
      <c r="A249" s="4" t="s">
        <v>6481</v>
      </c>
      <c r="B249" s="2" t="s">
        <v>2460</v>
      </c>
      <c r="C249" s="3">
        <v>1</v>
      </c>
      <c r="D249" s="5">
        <v>34.880000000000003</v>
      </c>
      <c r="E249" s="3">
        <v>100009313</v>
      </c>
      <c r="F249" s="2" t="s">
        <v>376</v>
      </c>
      <c r="G249" s="6" t="s">
        <v>106</v>
      </c>
      <c r="H249" s="2" t="s">
        <v>194</v>
      </c>
      <c r="I249" s="2" t="s">
        <v>503</v>
      </c>
      <c r="J249" s="2" t="s">
        <v>19</v>
      </c>
      <c r="K249" s="2" t="s">
        <v>353</v>
      </c>
      <c r="L249" s="7" t="str">
        <f>HYPERLINK("http://slimages.macys.com/is/image/MCY/9340611 ")</f>
        <v xml:space="preserve">http://slimages.macys.com/is/image/MCY/9340611 </v>
      </c>
    </row>
    <row r="250" spans="1:12" ht="24.75" x14ac:dyDescent="0.25">
      <c r="A250" s="4" t="s">
        <v>6482</v>
      </c>
      <c r="B250" s="2" t="s">
        <v>2460</v>
      </c>
      <c r="C250" s="3">
        <v>1</v>
      </c>
      <c r="D250" s="5">
        <v>34.880000000000003</v>
      </c>
      <c r="E250" s="3">
        <v>100009313</v>
      </c>
      <c r="F250" s="2" t="s">
        <v>376</v>
      </c>
      <c r="G250" s="6" t="s">
        <v>58</v>
      </c>
      <c r="H250" s="2" t="s">
        <v>194</v>
      </c>
      <c r="I250" s="2" t="s">
        <v>503</v>
      </c>
      <c r="J250" s="2" t="s">
        <v>19</v>
      </c>
      <c r="K250" s="2" t="s">
        <v>353</v>
      </c>
      <c r="L250" s="7" t="str">
        <f>HYPERLINK("http://slimages.macys.com/is/image/MCY/9340611 ")</f>
        <v xml:space="preserve">http://slimages.macys.com/is/image/MCY/9340611 </v>
      </c>
    </row>
    <row r="251" spans="1:12" ht="24.75" x14ac:dyDescent="0.25">
      <c r="A251" s="4" t="s">
        <v>5678</v>
      </c>
      <c r="B251" s="2" t="s">
        <v>948</v>
      </c>
      <c r="C251" s="3">
        <v>1</v>
      </c>
      <c r="D251" s="5">
        <v>34.880000000000003</v>
      </c>
      <c r="E251" s="3">
        <v>100038962</v>
      </c>
      <c r="F251" s="2" t="s">
        <v>376</v>
      </c>
      <c r="G251" s="6" t="s">
        <v>27</v>
      </c>
      <c r="H251" s="2" t="s">
        <v>194</v>
      </c>
      <c r="I251" s="2" t="s">
        <v>195</v>
      </c>
      <c r="J251" s="2" t="s">
        <v>19</v>
      </c>
      <c r="K251" s="2" t="s">
        <v>353</v>
      </c>
      <c r="L251" s="7" t="str">
        <f>HYPERLINK("http://slimages.macys.com/is/image/MCY/11145019 ")</f>
        <v xml:space="preserve">http://slimages.macys.com/is/image/MCY/11145019 </v>
      </c>
    </row>
    <row r="252" spans="1:12" ht="24.75" x14ac:dyDescent="0.25">
      <c r="A252" s="4" t="s">
        <v>5668</v>
      </c>
      <c r="B252" s="2" t="s">
        <v>5666</v>
      </c>
      <c r="C252" s="3">
        <v>1</v>
      </c>
      <c r="D252" s="5">
        <v>40.880000000000003</v>
      </c>
      <c r="E252" s="3" t="s">
        <v>5667</v>
      </c>
      <c r="F252" s="2" t="s">
        <v>170</v>
      </c>
      <c r="G252" s="6" t="s">
        <v>200</v>
      </c>
      <c r="H252" s="2" t="s">
        <v>284</v>
      </c>
      <c r="I252" s="2" t="s">
        <v>285</v>
      </c>
      <c r="J252" s="2" t="s">
        <v>19</v>
      </c>
      <c r="K252" s="2" t="s">
        <v>160</v>
      </c>
      <c r="L252" s="7" t="str">
        <f>HYPERLINK("http://slimages.macys.com/is/image/MCY/12285042 ")</f>
        <v xml:space="preserve">http://slimages.macys.com/is/image/MCY/12285042 </v>
      </c>
    </row>
    <row r="253" spans="1:12" ht="24.75" x14ac:dyDescent="0.25">
      <c r="A253" s="4" t="s">
        <v>6483</v>
      </c>
      <c r="B253" s="2" t="s">
        <v>4743</v>
      </c>
      <c r="C253" s="3">
        <v>1</v>
      </c>
      <c r="D253" s="5">
        <v>40.880000000000003</v>
      </c>
      <c r="E253" s="3">
        <v>100013714</v>
      </c>
      <c r="F253" s="2" t="s">
        <v>413</v>
      </c>
      <c r="G253" s="6" t="s">
        <v>181</v>
      </c>
      <c r="H253" s="2" t="s">
        <v>284</v>
      </c>
      <c r="I253" s="2" t="s">
        <v>285</v>
      </c>
      <c r="J253" s="2" t="s">
        <v>19</v>
      </c>
      <c r="K253" s="2" t="s">
        <v>160</v>
      </c>
      <c r="L253" s="7" t="str">
        <f>HYPERLINK("http://slimages.macys.com/is/image/MCY/9357589 ")</f>
        <v xml:space="preserve">http://slimages.macys.com/is/image/MCY/9357589 </v>
      </c>
    </row>
    <row r="254" spans="1:12" ht="24.75" x14ac:dyDescent="0.25">
      <c r="A254" s="4" t="s">
        <v>6484</v>
      </c>
      <c r="B254" s="2" t="s">
        <v>5666</v>
      </c>
      <c r="C254" s="3">
        <v>1</v>
      </c>
      <c r="D254" s="5">
        <v>40.880000000000003</v>
      </c>
      <c r="E254" s="3" t="s">
        <v>5667</v>
      </c>
      <c r="F254" s="2" t="s">
        <v>170</v>
      </c>
      <c r="G254" s="6" t="s">
        <v>154</v>
      </c>
      <c r="H254" s="2" t="s">
        <v>284</v>
      </c>
      <c r="I254" s="2" t="s">
        <v>285</v>
      </c>
      <c r="J254" s="2" t="s">
        <v>19</v>
      </c>
      <c r="K254" s="2" t="s">
        <v>160</v>
      </c>
      <c r="L254" s="7" t="str">
        <f>HYPERLINK("http://slimages.macys.com/is/image/MCY/12285042 ")</f>
        <v xml:space="preserve">http://slimages.macys.com/is/image/MCY/12285042 </v>
      </c>
    </row>
    <row r="255" spans="1:12" ht="24.75" x14ac:dyDescent="0.25">
      <c r="A255" s="4" t="s">
        <v>6485</v>
      </c>
      <c r="B255" s="2" t="s">
        <v>808</v>
      </c>
      <c r="C255" s="3">
        <v>1</v>
      </c>
      <c r="D255" s="5">
        <v>37.130000000000003</v>
      </c>
      <c r="E255" s="3" t="s">
        <v>5680</v>
      </c>
      <c r="F255" s="2" t="s">
        <v>170</v>
      </c>
      <c r="G255" s="6"/>
      <c r="H255" s="2" t="s">
        <v>312</v>
      </c>
      <c r="I255" s="2" t="s">
        <v>503</v>
      </c>
      <c r="J255" s="2" t="s">
        <v>19</v>
      </c>
      <c r="K255" s="2" t="s">
        <v>546</v>
      </c>
      <c r="L255" s="7" t="str">
        <f>HYPERLINK("http://slimages.macys.com/is/image/MCY/12144056 ")</f>
        <v xml:space="preserve">http://slimages.macys.com/is/image/MCY/12144056 </v>
      </c>
    </row>
    <row r="256" spans="1:12" ht="36.75" x14ac:dyDescent="0.25">
      <c r="A256" s="4" t="s">
        <v>6486</v>
      </c>
      <c r="B256" s="2" t="s">
        <v>961</v>
      </c>
      <c r="C256" s="3">
        <v>1</v>
      </c>
      <c r="D256" s="5">
        <v>40.880000000000003</v>
      </c>
      <c r="E256" s="3">
        <v>100026212</v>
      </c>
      <c r="F256" s="2" t="s">
        <v>79</v>
      </c>
      <c r="G256" s="6" t="s">
        <v>234</v>
      </c>
      <c r="H256" s="2" t="s">
        <v>194</v>
      </c>
      <c r="I256" s="2" t="s">
        <v>195</v>
      </c>
      <c r="J256" s="2" t="s">
        <v>19</v>
      </c>
      <c r="K256" s="2" t="s">
        <v>962</v>
      </c>
      <c r="L256" s="7" t="str">
        <f>HYPERLINK("http://slimages.macys.com/is/image/MCY/10139221 ")</f>
        <v xml:space="preserve">http://slimages.macys.com/is/image/MCY/10139221 </v>
      </c>
    </row>
    <row r="257" spans="1:12" ht="36.75" x14ac:dyDescent="0.25">
      <c r="A257" s="4" t="s">
        <v>6487</v>
      </c>
      <c r="B257" s="2" t="s">
        <v>969</v>
      </c>
      <c r="C257" s="3">
        <v>1</v>
      </c>
      <c r="D257" s="5">
        <v>37.130000000000003</v>
      </c>
      <c r="E257" s="3">
        <v>100026210</v>
      </c>
      <c r="F257" s="2" t="s">
        <v>85</v>
      </c>
      <c r="G257" s="6" t="s">
        <v>234</v>
      </c>
      <c r="H257" s="2" t="s">
        <v>194</v>
      </c>
      <c r="I257" s="2" t="s">
        <v>195</v>
      </c>
      <c r="J257" s="2" t="s">
        <v>19</v>
      </c>
      <c r="K257" s="2" t="s">
        <v>965</v>
      </c>
      <c r="L257" s="7" t="str">
        <f>HYPERLINK("http://slimages.macys.com/is/image/MCY/9714233 ")</f>
        <v xml:space="preserve">http://slimages.macys.com/is/image/MCY/9714233 </v>
      </c>
    </row>
    <row r="258" spans="1:12" ht="36.75" x14ac:dyDescent="0.25">
      <c r="A258" s="4" t="s">
        <v>6488</v>
      </c>
      <c r="B258" s="2" t="s">
        <v>961</v>
      </c>
      <c r="C258" s="3">
        <v>1</v>
      </c>
      <c r="D258" s="5">
        <v>40.880000000000003</v>
      </c>
      <c r="E258" s="3">
        <v>100026212</v>
      </c>
      <c r="F258" s="2" t="s">
        <v>376</v>
      </c>
      <c r="G258" s="6" t="s">
        <v>156</v>
      </c>
      <c r="H258" s="2" t="s">
        <v>194</v>
      </c>
      <c r="I258" s="2" t="s">
        <v>195</v>
      </c>
      <c r="J258" s="2" t="s">
        <v>19</v>
      </c>
      <c r="K258" s="2" t="s">
        <v>962</v>
      </c>
      <c r="L258" s="7" t="str">
        <f>HYPERLINK("http://slimages.macys.com/is/image/MCY/10139221 ")</f>
        <v xml:space="preserve">http://slimages.macys.com/is/image/MCY/10139221 </v>
      </c>
    </row>
    <row r="259" spans="1:12" ht="36.75" x14ac:dyDescent="0.25">
      <c r="A259" s="4" t="s">
        <v>963</v>
      </c>
      <c r="B259" s="2" t="s">
        <v>964</v>
      </c>
      <c r="C259" s="3">
        <v>1</v>
      </c>
      <c r="D259" s="5">
        <v>37.130000000000003</v>
      </c>
      <c r="E259" s="3">
        <v>100026210</v>
      </c>
      <c r="F259" s="2" t="s">
        <v>193</v>
      </c>
      <c r="G259" s="6" t="s">
        <v>181</v>
      </c>
      <c r="H259" s="2" t="s">
        <v>194</v>
      </c>
      <c r="I259" s="2" t="s">
        <v>195</v>
      </c>
      <c r="J259" s="2" t="s">
        <v>19</v>
      </c>
      <c r="K259" s="2" t="s">
        <v>965</v>
      </c>
      <c r="L259" s="7" t="str">
        <f>HYPERLINK("http://slimages.macys.com/is/image/MCY/10049790 ")</f>
        <v xml:space="preserve">http://slimages.macys.com/is/image/MCY/10049790 </v>
      </c>
    </row>
    <row r="260" spans="1:12" ht="36.75" x14ac:dyDescent="0.25">
      <c r="A260" s="4" t="s">
        <v>6489</v>
      </c>
      <c r="B260" s="2" t="s">
        <v>969</v>
      </c>
      <c r="C260" s="3">
        <v>1</v>
      </c>
      <c r="D260" s="5">
        <v>37.130000000000003</v>
      </c>
      <c r="E260" s="3">
        <v>100026210</v>
      </c>
      <c r="F260" s="2" t="s">
        <v>85</v>
      </c>
      <c r="G260" s="6" t="s">
        <v>154</v>
      </c>
      <c r="H260" s="2" t="s">
        <v>194</v>
      </c>
      <c r="I260" s="2" t="s">
        <v>195</v>
      </c>
      <c r="J260" s="2" t="s">
        <v>19</v>
      </c>
      <c r="K260" s="2" t="s">
        <v>965</v>
      </c>
      <c r="L260" s="7" t="str">
        <f>HYPERLINK("http://slimages.macys.com/is/image/MCY/9714233 ")</f>
        <v xml:space="preserve">http://slimages.macys.com/is/image/MCY/9714233 </v>
      </c>
    </row>
    <row r="261" spans="1:12" ht="24.75" x14ac:dyDescent="0.25">
      <c r="A261" s="4" t="s">
        <v>6490</v>
      </c>
      <c r="B261" s="2" t="s">
        <v>5542</v>
      </c>
      <c r="C261" s="3">
        <v>1</v>
      </c>
      <c r="D261" s="5">
        <v>40.880000000000003</v>
      </c>
      <c r="E261" s="3" t="s">
        <v>6491</v>
      </c>
      <c r="F261" s="2" t="s">
        <v>26</v>
      </c>
      <c r="G261" s="6" t="s">
        <v>156</v>
      </c>
      <c r="H261" s="2" t="s">
        <v>284</v>
      </c>
      <c r="I261" s="2" t="s">
        <v>285</v>
      </c>
      <c r="J261" s="2" t="s">
        <v>19</v>
      </c>
      <c r="K261" s="2" t="s">
        <v>160</v>
      </c>
      <c r="L261" s="7" t="str">
        <f>HYPERLINK("http://slimages.macys.com/is/image/MCY/12671699 ")</f>
        <v xml:space="preserve">http://slimages.macys.com/is/image/MCY/12671699 </v>
      </c>
    </row>
    <row r="262" spans="1:12" ht="24.75" x14ac:dyDescent="0.25">
      <c r="A262" s="4" t="s">
        <v>3681</v>
      </c>
      <c r="B262" s="2" t="s">
        <v>641</v>
      </c>
      <c r="C262" s="3">
        <v>1</v>
      </c>
      <c r="D262" s="5">
        <v>29.99</v>
      </c>
      <c r="E262" s="3" t="s">
        <v>2506</v>
      </c>
      <c r="F262" s="2" t="s">
        <v>26</v>
      </c>
      <c r="G262" s="6" t="s">
        <v>181</v>
      </c>
      <c r="H262" s="2" t="s">
        <v>284</v>
      </c>
      <c r="I262" s="2" t="s">
        <v>408</v>
      </c>
      <c r="J262" s="2" t="s">
        <v>19</v>
      </c>
      <c r="K262" s="2" t="s">
        <v>409</v>
      </c>
      <c r="L262" s="7" t="str">
        <f>HYPERLINK("http://slimages.macys.com/is/image/MCY/9387631 ")</f>
        <v xml:space="preserve">http://slimages.macys.com/is/image/MCY/9387631 </v>
      </c>
    </row>
    <row r="263" spans="1:12" ht="24.75" x14ac:dyDescent="0.25">
      <c r="A263" s="4" t="s">
        <v>981</v>
      </c>
      <c r="B263" s="2" t="s">
        <v>641</v>
      </c>
      <c r="C263" s="3">
        <v>1</v>
      </c>
      <c r="D263" s="5">
        <v>29.99</v>
      </c>
      <c r="E263" s="3" t="s">
        <v>971</v>
      </c>
      <c r="F263" s="2" t="s">
        <v>38</v>
      </c>
      <c r="G263" s="6" t="s">
        <v>794</v>
      </c>
      <c r="H263" s="2" t="s">
        <v>632</v>
      </c>
      <c r="I263" s="2" t="s">
        <v>408</v>
      </c>
      <c r="J263" s="2" t="s">
        <v>19</v>
      </c>
      <c r="K263" s="2" t="s">
        <v>409</v>
      </c>
      <c r="L263" s="7" t="str">
        <f>HYPERLINK("http://slimages.macys.com/is/image/MCY/8140828 ")</f>
        <v xml:space="preserve">http://slimages.macys.com/is/image/MCY/8140828 </v>
      </c>
    </row>
    <row r="264" spans="1:12" ht="24.75" x14ac:dyDescent="0.25">
      <c r="A264" s="4" t="s">
        <v>6492</v>
      </c>
      <c r="B264" s="2" t="s">
        <v>4756</v>
      </c>
      <c r="C264" s="3">
        <v>1</v>
      </c>
      <c r="D264" s="5">
        <v>44</v>
      </c>
      <c r="E264" s="3" t="s">
        <v>4757</v>
      </c>
      <c r="F264" s="2" t="s">
        <v>331</v>
      </c>
      <c r="G264" s="6" t="s">
        <v>791</v>
      </c>
      <c r="H264" s="2" t="s">
        <v>447</v>
      </c>
      <c r="I264" s="2" t="s">
        <v>792</v>
      </c>
      <c r="J264" s="2" t="s">
        <v>19</v>
      </c>
      <c r="K264" s="2" t="s">
        <v>160</v>
      </c>
      <c r="L264" s="7" t="str">
        <f>HYPERLINK("http://slimages.macys.com/is/image/MCY/14875672 ")</f>
        <v xml:space="preserve">http://slimages.macys.com/is/image/MCY/14875672 </v>
      </c>
    </row>
    <row r="265" spans="1:12" ht="24.75" x14ac:dyDescent="0.25">
      <c r="A265" s="4" t="s">
        <v>2508</v>
      </c>
      <c r="B265" s="2" t="s">
        <v>2509</v>
      </c>
      <c r="C265" s="3">
        <v>1</v>
      </c>
      <c r="D265" s="5">
        <v>40.5</v>
      </c>
      <c r="E265" s="3">
        <v>100063117</v>
      </c>
      <c r="F265" s="2" t="s">
        <v>64</v>
      </c>
      <c r="G265" s="6" t="s">
        <v>65</v>
      </c>
      <c r="H265" s="2" t="s">
        <v>228</v>
      </c>
      <c r="I265" s="2" t="s">
        <v>229</v>
      </c>
      <c r="J265" s="2" t="s">
        <v>19</v>
      </c>
      <c r="K265" s="2" t="s">
        <v>338</v>
      </c>
      <c r="L265" s="7" t="str">
        <f>HYPERLINK("http://slimages.macys.com/is/image/MCY/12849918 ")</f>
        <v xml:space="preserve">http://slimages.macys.com/is/image/MCY/12849918 </v>
      </c>
    </row>
    <row r="266" spans="1:12" ht="24.75" x14ac:dyDescent="0.25">
      <c r="A266" s="4" t="s">
        <v>6493</v>
      </c>
      <c r="B266" s="2" t="s">
        <v>6494</v>
      </c>
      <c r="C266" s="3">
        <v>1</v>
      </c>
      <c r="D266" s="5">
        <v>34.99</v>
      </c>
      <c r="E266" s="3">
        <v>100022371</v>
      </c>
      <c r="F266" s="2" t="s">
        <v>132</v>
      </c>
      <c r="G266" s="6" t="s">
        <v>156</v>
      </c>
      <c r="H266" s="2" t="s">
        <v>284</v>
      </c>
      <c r="I266" s="2" t="s">
        <v>285</v>
      </c>
      <c r="J266" s="2" t="s">
        <v>19</v>
      </c>
      <c r="K266" s="2" t="s">
        <v>34</v>
      </c>
      <c r="L266" s="7" t="str">
        <f>HYPERLINK("http://slimages.macys.com/is/image/MCY/13980598 ")</f>
        <v xml:space="preserve">http://slimages.macys.com/is/image/MCY/13980598 </v>
      </c>
    </row>
    <row r="267" spans="1:12" ht="24.75" x14ac:dyDescent="0.25">
      <c r="A267" s="4" t="s">
        <v>6495</v>
      </c>
      <c r="B267" s="2" t="s">
        <v>6494</v>
      </c>
      <c r="C267" s="3">
        <v>1</v>
      </c>
      <c r="D267" s="5">
        <v>34.99</v>
      </c>
      <c r="E267" s="3" t="s">
        <v>6496</v>
      </c>
      <c r="F267" s="2" t="s">
        <v>26</v>
      </c>
      <c r="G267" s="6" t="s">
        <v>156</v>
      </c>
      <c r="H267" s="2" t="s">
        <v>284</v>
      </c>
      <c r="I267" s="2" t="s">
        <v>285</v>
      </c>
      <c r="J267" s="2" t="s">
        <v>19</v>
      </c>
      <c r="K267" s="2" t="s">
        <v>34</v>
      </c>
      <c r="L267" s="7" t="str">
        <f>HYPERLINK("http://slimages.macys.com/is/image/MCY/11534595 ")</f>
        <v xml:space="preserve">http://slimages.macys.com/is/image/MCY/11534595 </v>
      </c>
    </row>
    <row r="268" spans="1:12" ht="24.75" x14ac:dyDescent="0.25">
      <c r="A268" s="4" t="s">
        <v>6497</v>
      </c>
      <c r="B268" s="2" t="s">
        <v>2511</v>
      </c>
      <c r="C268" s="3">
        <v>1</v>
      </c>
      <c r="D268" s="5">
        <v>27.99</v>
      </c>
      <c r="E268" s="3" t="s">
        <v>2512</v>
      </c>
      <c r="F268" s="2" t="s">
        <v>15</v>
      </c>
      <c r="G268" s="6" t="s">
        <v>156</v>
      </c>
      <c r="H268" s="2" t="s">
        <v>1522</v>
      </c>
      <c r="I268" s="2" t="s">
        <v>1469</v>
      </c>
      <c r="J268" s="2" t="s">
        <v>19</v>
      </c>
      <c r="K268" s="2" t="s">
        <v>495</v>
      </c>
      <c r="L268" s="7" t="str">
        <f>HYPERLINK("http://slimages.macys.com/is/image/MCY/11882106 ")</f>
        <v xml:space="preserve">http://slimages.macys.com/is/image/MCY/11882106 </v>
      </c>
    </row>
    <row r="269" spans="1:12" ht="24.75" x14ac:dyDescent="0.25">
      <c r="A269" s="4" t="s">
        <v>986</v>
      </c>
      <c r="B269" s="2" t="s">
        <v>936</v>
      </c>
      <c r="C269" s="3">
        <v>1</v>
      </c>
      <c r="D269" s="5">
        <v>34.5</v>
      </c>
      <c r="E269" s="3">
        <v>100040726</v>
      </c>
      <c r="F269" s="2" t="s">
        <v>417</v>
      </c>
      <c r="G269" s="6" t="s">
        <v>22</v>
      </c>
      <c r="H269" s="2" t="s">
        <v>228</v>
      </c>
      <c r="I269" s="2" t="s">
        <v>229</v>
      </c>
      <c r="J269" s="2" t="s">
        <v>19</v>
      </c>
      <c r="K269" s="2" t="s">
        <v>230</v>
      </c>
      <c r="L269" s="7" t="str">
        <f>HYPERLINK("http://slimages.macys.com/is/image/MCY/10985237 ")</f>
        <v xml:space="preserve">http://slimages.macys.com/is/image/MCY/10985237 </v>
      </c>
    </row>
    <row r="270" spans="1:12" ht="24.75" x14ac:dyDescent="0.25">
      <c r="A270" s="4" t="s">
        <v>6498</v>
      </c>
      <c r="B270" s="2" t="s">
        <v>4763</v>
      </c>
      <c r="C270" s="3">
        <v>1</v>
      </c>
      <c r="D270" s="5">
        <v>34.5</v>
      </c>
      <c r="E270" s="3" t="s">
        <v>4764</v>
      </c>
      <c r="F270" s="2" t="s">
        <v>417</v>
      </c>
      <c r="G270" s="6" t="s">
        <v>187</v>
      </c>
      <c r="H270" s="2" t="s">
        <v>426</v>
      </c>
      <c r="I270" s="2" t="s">
        <v>229</v>
      </c>
      <c r="J270" s="2" t="s">
        <v>19</v>
      </c>
      <c r="K270" s="2" t="s">
        <v>215</v>
      </c>
      <c r="L270" s="7" t="str">
        <f>HYPERLINK("http://slimages.macys.com/is/image/MCY/9326670 ")</f>
        <v xml:space="preserve">http://slimages.macys.com/is/image/MCY/9326670 </v>
      </c>
    </row>
    <row r="271" spans="1:12" ht="24.75" x14ac:dyDescent="0.25">
      <c r="A271" s="4" t="s">
        <v>6499</v>
      </c>
      <c r="B271" s="2" t="s">
        <v>4763</v>
      </c>
      <c r="C271" s="3">
        <v>1</v>
      </c>
      <c r="D271" s="5">
        <v>34.5</v>
      </c>
      <c r="E271" s="3" t="s">
        <v>4764</v>
      </c>
      <c r="F271" s="2" t="s">
        <v>417</v>
      </c>
      <c r="G271" s="6" t="s">
        <v>794</v>
      </c>
      <c r="H271" s="2" t="s">
        <v>426</v>
      </c>
      <c r="I271" s="2" t="s">
        <v>229</v>
      </c>
      <c r="J271" s="2" t="s">
        <v>19</v>
      </c>
      <c r="K271" s="2" t="s">
        <v>215</v>
      </c>
      <c r="L271" s="7" t="str">
        <f>HYPERLINK("http://slimages.macys.com/is/image/MCY/9326670 ")</f>
        <v xml:space="preserve">http://slimages.macys.com/is/image/MCY/9326670 </v>
      </c>
    </row>
    <row r="272" spans="1:12" ht="24.75" x14ac:dyDescent="0.25">
      <c r="A272" s="4" t="s">
        <v>5695</v>
      </c>
      <c r="B272" s="2" t="s">
        <v>926</v>
      </c>
      <c r="C272" s="3">
        <v>1</v>
      </c>
      <c r="D272" s="5">
        <v>37.130000000000003</v>
      </c>
      <c r="E272" s="3">
        <v>100009311</v>
      </c>
      <c r="F272" s="2" t="s">
        <v>79</v>
      </c>
      <c r="G272" s="6" t="s">
        <v>58</v>
      </c>
      <c r="H272" s="2" t="s">
        <v>194</v>
      </c>
      <c r="I272" s="2" t="s">
        <v>928</v>
      </c>
      <c r="J272" s="2" t="s">
        <v>19</v>
      </c>
      <c r="K272" s="2" t="s">
        <v>929</v>
      </c>
      <c r="L272" s="7" t="str">
        <f t="shared" ref="L272:L279" si="1">HYPERLINK("http://slimages.macys.com/is/image/MCY/10249272 ")</f>
        <v xml:space="preserve">http://slimages.macys.com/is/image/MCY/10249272 </v>
      </c>
    </row>
    <row r="273" spans="1:12" ht="24.75" x14ac:dyDescent="0.25">
      <c r="A273" s="4" t="s">
        <v>6500</v>
      </c>
      <c r="B273" s="2" t="s">
        <v>926</v>
      </c>
      <c r="C273" s="3">
        <v>2</v>
      </c>
      <c r="D273" s="5">
        <v>37.130000000000003</v>
      </c>
      <c r="E273" s="3">
        <v>100009311</v>
      </c>
      <c r="F273" s="2" t="s">
        <v>70</v>
      </c>
      <c r="G273" s="6" t="s">
        <v>16</v>
      </c>
      <c r="H273" s="2" t="s">
        <v>194</v>
      </c>
      <c r="I273" s="2" t="s">
        <v>928</v>
      </c>
      <c r="J273" s="2" t="s">
        <v>19</v>
      </c>
      <c r="K273" s="2" t="s">
        <v>929</v>
      </c>
      <c r="L273" s="7" t="str">
        <f t="shared" si="1"/>
        <v xml:space="preserve">http://slimages.macys.com/is/image/MCY/10249272 </v>
      </c>
    </row>
    <row r="274" spans="1:12" ht="24.75" x14ac:dyDescent="0.25">
      <c r="A274" s="4" t="s">
        <v>3693</v>
      </c>
      <c r="B274" s="2" t="s">
        <v>926</v>
      </c>
      <c r="C274" s="3">
        <v>1</v>
      </c>
      <c r="D274" s="5">
        <v>37.130000000000003</v>
      </c>
      <c r="E274" s="3">
        <v>100009311</v>
      </c>
      <c r="F274" s="2" t="s">
        <v>70</v>
      </c>
      <c r="G274" s="6" t="s">
        <v>22</v>
      </c>
      <c r="H274" s="2" t="s">
        <v>194</v>
      </c>
      <c r="I274" s="2" t="s">
        <v>928</v>
      </c>
      <c r="J274" s="2" t="s">
        <v>19</v>
      </c>
      <c r="K274" s="2" t="s">
        <v>929</v>
      </c>
      <c r="L274" s="7" t="str">
        <f t="shared" si="1"/>
        <v xml:space="preserve">http://slimages.macys.com/is/image/MCY/10249272 </v>
      </c>
    </row>
    <row r="275" spans="1:12" ht="24.75" x14ac:dyDescent="0.25">
      <c r="A275" s="4" t="s">
        <v>6501</v>
      </c>
      <c r="B275" s="2" t="s">
        <v>926</v>
      </c>
      <c r="C275" s="3">
        <v>1</v>
      </c>
      <c r="D275" s="5">
        <v>37.130000000000003</v>
      </c>
      <c r="E275" s="3">
        <v>100009311</v>
      </c>
      <c r="F275" s="2" t="s">
        <v>70</v>
      </c>
      <c r="G275" s="6" t="s">
        <v>106</v>
      </c>
      <c r="H275" s="2" t="s">
        <v>194</v>
      </c>
      <c r="I275" s="2" t="s">
        <v>928</v>
      </c>
      <c r="J275" s="2" t="s">
        <v>19</v>
      </c>
      <c r="K275" s="2" t="s">
        <v>929</v>
      </c>
      <c r="L275" s="7" t="str">
        <f t="shared" si="1"/>
        <v xml:space="preserve">http://slimages.macys.com/is/image/MCY/10249272 </v>
      </c>
    </row>
    <row r="276" spans="1:12" ht="24.75" x14ac:dyDescent="0.25">
      <c r="A276" s="4" t="s">
        <v>6502</v>
      </c>
      <c r="B276" s="2" t="s">
        <v>926</v>
      </c>
      <c r="C276" s="3">
        <v>2</v>
      </c>
      <c r="D276" s="5">
        <v>37.130000000000003</v>
      </c>
      <c r="E276" s="3">
        <v>100009311</v>
      </c>
      <c r="F276" s="2" t="s">
        <v>70</v>
      </c>
      <c r="G276" s="6" t="s">
        <v>27</v>
      </c>
      <c r="H276" s="2" t="s">
        <v>194</v>
      </c>
      <c r="I276" s="2" t="s">
        <v>928</v>
      </c>
      <c r="J276" s="2" t="s">
        <v>19</v>
      </c>
      <c r="K276" s="2" t="s">
        <v>929</v>
      </c>
      <c r="L276" s="7" t="str">
        <f t="shared" si="1"/>
        <v xml:space="preserve">http://slimages.macys.com/is/image/MCY/10249272 </v>
      </c>
    </row>
    <row r="277" spans="1:12" ht="24.75" x14ac:dyDescent="0.25">
      <c r="A277" s="4" t="s">
        <v>6503</v>
      </c>
      <c r="B277" s="2" t="s">
        <v>926</v>
      </c>
      <c r="C277" s="3">
        <v>1</v>
      </c>
      <c r="D277" s="5">
        <v>37.130000000000003</v>
      </c>
      <c r="E277" s="3">
        <v>100009311</v>
      </c>
      <c r="F277" s="2" t="s">
        <v>376</v>
      </c>
      <c r="G277" s="6" t="s">
        <v>65</v>
      </c>
      <c r="H277" s="2" t="s">
        <v>194</v>
      </c>
      <c r="I277" s="2" t="s">
        <v>928</v>
      </c>
      <c r="J277" s="2" t="s">
        <v>19</v>
      </c>
      <c r="K277" s="2" t="s">
        <v>929</v>
      </c>
      <c r="L277" s="7" t="str">
        <f t="shared" si="1"/>
        <v xml:space="preserve">http://slimages.macys.com/is/image/MCY/10249272 </v>
      </c>
    </row>
    <row r="278" spans="1:12" ht="24.75" x14ac:dyDescent="0.25">
      <c r="A278" s="4" t="s">
        <v>3691</v>
      </c>
      <c r="B278" s="2" t="s">
        <v>926</v>
      </c>
      <c r="C278" s="3">
        <v>1</v>
      </c>
      <c r="D278" s="5">
        <v>37.130000000000003</v>
      </c>
      <c r="E278" s="3">
        <v>100009311</v>
      </c>
      <c r="F278" s="2" t="s">
        <v>79</v>
      </c>
      <c r="G278" s="6" t="s">
        <v>112</v>
      </c>
      <c r="H278" s="2" t="s">
        <v>194</v>
      </c>
      <c r="I278" s="2" t="s">
        <v>928</v>
      </c>
      <c r="J278" s="2" t="s">
        <v>19</v>
      </c>
      <c r="K278" s="2" t="s">
        <v>929</v>
      </c>
      <c r="L278" s="7" t="str">
        <f t="shared" si="1"/>
        <v xml:space="preserve">http://slimages.macys.com/is/image/MCY/10249272 </v>
      </c>
    </row>
    <row r="279" spans="1:12" ht="24.75" x14ac:dyDescent="0.25">
      <c r="A279" s="4" t="s">
        <v>6504</v>
      </c>
      <c r="B279" s="2" t="s">
        <v>926</v>
      </c>
      <c r="C279" s="3">
        <v>1</v>
      </c>
      <c r="D279" s="5">
        <v>37.130000000000003</v>
      </c>
      <c r="E279" s="3">
        <v>100009311</v>
      </c>
      <c r="F279" s="2" t="s">
        <v>70</v>
      </c>
      <c r="G279" s="6" t="s">
        <v>65</v>
      </c>
      <c r="H279" s="2" t="s">
        <v>194</v>
      </c>
      <c r="I279" s="2" t="s">
        <v>928</v>
      </c>
      <c r="J279" s="2" t="s">
        <v>19</v>
      </c>
      <c r="K279" s="2" t="s">
        <v>929</v>
      </c>
      <c r="L279" s="7" t="str">
        <f t="shared" si="1"/>
        <v xml:space="preserve">http://slimages.macys.com/is/image/MCY/10249272 </v>
      </c>
    </row>
    <row r="280" spans="1:12" ht="24.75" x14ac:dyDescent="0.25">
      <c r="A280" s="4" t="s">
        <v>6505</v>
      </c>
      <c r="B280" s="2" t="s">
        <v>6506</v>
      </c>
      <c r="C280" s="3">
        <v>1</v>
      </c>
      <c r="D280" s="5">
        <v>34.5</v>
      </c>
      <c r="E280" s="3">
        <v>100021219</v>
      </c>
      <c r="F280" s="2" t="s">
        <v>15</v>
      </c>
      <c r="G280" s="6" t="s">
        <v>58</v>
      </c>
      <c r="H280" s="2" t="s">
        <v>228</v>
      </c>
      <c r="I280" s="2" t="s">
        <v>863</v>
      </c>
      <c r="J280" s="2" t="s">
        <v>19</v>
      </c>
      <c r="K280" s="2" t="s">
        <v>215</v>
      </c>
      <c r="L280" s="7" t="str">
        <f>HYPERLINK("http://slimages.macys.com/is/image/MCY/9426979 ")</f>
        <v xml:space="preserve">http://slimages.macys.com/is/image/MCY/9426979 </v>
      </c>
    </row>
    <row r="281" spans="1:12" ht="24.75" x14ac:dyDescent="0.25">
      <c r="A281" s="4" t="s">
        <v>6507</v>
      </c>
      <c r="B281" s="2" t="s">
        <v>6506</v>
      </c>
      <c r="C281" s="3">
        <v>1</v>
      </c>
      <c r="D281" s="5">
        <v>34.5</v>
      </c>
      <c r="E281" s="3">
        <v>100021219</v>
      </c>
      <c r="F281" s="2" t="s">
        <v>15</v>
      </c>
      <c r="G281" s="6" t="s">
        <v>106</v>
      </c>
      <c r="H281" s="2" t="s">
        <v>228</v>
      </c>
      <c r="I281" s="2" t="s">
        <v>863</v>
      </c>
      <c r="J281" s="2" t="s">
        <v>19</v>
      </c>
      <c r="K281" s="2" t="s">
        <v>215</v>
      </c>
      <c r="L281" s="7" t="str">
        <f>HYPERLINK("http://slimages.macys.com/is/image/MCY/9426979 ")</f>
        <v xml:space="preserve">http://slimages.macys.com/is/image/MCY/9426979 </v>
      </c>
    </row>
    <row r="282" spans="1:12" ht="24.75" x14ac:dyDescent="0.25">
      <c r="A282" s="4" t="s">
        <v>6508</v>
      </c>
      <c r="B282" s="2" t="s">
        <v>6506</v>
      </c>
      <c r="C282" s="3">
        <v>2</v>
      </c>
      <c r="D282" s="5">
        <v>34.5</v>
      </c>
      <c r="E282" s="3">
        <v>100021219</v>
      </c>
      <c r="F282" s="2" t="s">
        <v>15</v>
      </c>
      <c r="G282" s="6" t="s">
        <v>27</v>
      </c>
      <c r="H282" s="2" t="s">
        <v>228</v>
      </c>
      <c r="I282" s="2" t="s">
        <v>863</v>
      </c>
      <c r="J282" s="2" t="s">
        <v>19</v>
      </c>
      <c r="K282" s="2" t="s">
        <v>215</v>
      </c>
      <c r="L282" s="7" t="str">
        <f>HYPERLINK("http://slimages.macys.com/is/image/MCY/9426979 ")</f>
        <v xml:space="preserve">http://slimages.macys.com/is/image/MCY/9426979 </v>
      </c>
    </row>
    <row r="283" spans="1:12" ht="48.75" x14ac:dyDescent="0.25">
      <c r="A283" s="4" t="s">
        <v>6509</v>
      </c>
      <c r="B283" s="2" t="s">
        <v>5662</v>
      </c>
      <c r="C283" s="3">
        <v>1</v>
      </c>
      <c r="D283" s="5">
        <v>29.99</v>
      </c>
      <c r="E283" s="3" t="s">
        <v>5700</v>
      </c>
      <c r="F283" s="2" t="s">
        <v>566</v>
      </c>
      <c r="G283" s="6" t="s">
        <v>181</v>
      </c>
      <c r="H283" s="2" t="s">
        <v>284</v>
      </c>
      <c r="I283" s="2" t="s">
        <v>408</v>
      </c>
      <c r="J283" s="2" t="s">
        <v>19</v>
      </c>
      <c r="K283" s="2" t="s">
        <v>775</v>
      </c>
      <c r="L283" s="7" t="str">
        <f>HYPERLINK("http://slimages.macys.com/is/image/MCY/3173200 ")</f>
        <v xml:space="preserve">http://slimages.macys.com/is/image/MCY/3173200 </v>
      </c>
    </row>
    <row r="284" spans="1:12" ht="24.75" x14ac:dyDescent="0.25">
      <c r="A284" s="4" t="s">
        <v>3697</v>
      </c>
      <c r="B284" s="2" t="s">
        <v>904</v>
      </c>
      <c r="C284" s="3">
        <v>1</v>
      </c>
      <c r="D284" s="5">
        <v>34.5</v>
      </c>
      <c r="E284" s="3" t="s">
        <v>997</v>
      </c>
      <c r="F284" s="2" t="s">
        <v>998</v>
      </c>
      <c r="G284" s="6"/>
      <c r="H284" s="2" t="s">
        <v>426</v>
      </c>
      <c r="I284" s="2" t="s">
        <v>229</v>
      </c>
      <c r="J284" s="2" t="s">
        <v>19</v>
      </c>
      <c r="K284" s="2" t="s">
        <v>353</v>
      </c>
      <c r="L284" s="7" t="str">
        <f>HYPERLINK("http://slimages.macys.com/is/image/MCY/11934830 ")</f>
        <v xml:space="preserve">http://slimages.macys.com/is/image/MCY/11934830 </v>
      </c>
    </row>
    <row r="285" spans="1:12" ht="24.75" x14ac:dyDescent="0.25">
      <c r="A285" s="4" t="s">
        <v>5706</v>
      </c>
      <c r="B285" s="2" t="s">
        <v>904</v>
      </c>
      <c r="C285" s="3">
        <v>1</v>
      </c>
      <c r="D285" s="5">
        <v>34.5</v>
      </c>
      <c r="E285" s="3" t="s">
        <v>5707</v>
      </c>
      <c r="F285" s="2" t="s">
        <v>33</v>
      </c>
      <c r="G285" s="6"/>
      <c r="H285" s="2" t="s">
        <v>426</v>
      </c>
      <c r="I285" s="2" t="s">
        <v>229</v>
      </c>
      <c r="J285" s="2" t="s">
        <v>19</v>
      </c>
      <c r="K285" s="2" t="s">
        <v>353</v>
      </c>
      <c r="L285" s="7" t="str">
        <f>HYPERLINK("http://slimages.macys.com/is/image/MCY/11934830 ")</f>
        <v xml:space="preserve">http://slimages.macys.com/is/image/MCY/11934830 </v>
      </c>
    </row>
    <row r="286" spans="1:12" ht="24.75" x14ac:dyDescent="0.25">
      <c r="A286" s="4" t="s">
        <v>6510</v>
      </c>
      <c r="B286" s="2" t="s">
        <v>6511</v>
      </c>
      <c r="C286" s="3">
        <v>2</v>
      </c>
      <c r="D286" s="5">
        <v>34.99</v>
      </c>
      <c r="E286" s="3" t="s">
        <v>6512</v>
      </c>
      <c r="F286" s="2" t="s">
        <v>53</v>
      </c>
      <c r="G286" s="6"/>
      <c r="H286" s="2" t="s">
        <v>632</v>
      </c>
      <c r="I286" s="2" t="s">
        <v>285</v>
      </c>
      <c r="J286" s="2" t="s">
        <v>19</v>
      </c>
      <c r="K286" s="2" t="s">
        <v>442</v>
      </c>
      <c r="L286" s="7" t="str">
        <f>HYPERLINK("http://slimages.macys.com/is/image/MCY/3730991 ")</f>
        <v xml:space="preserve">http://slimages.macys.com/is/image/MCY/3730991 </v>
      </c>
    </row>
    <row r="287" spans="1:12" ht="24.75" x14ac:dyDescent="0.25">
      <c r="A287" s="4" t="s">
        <v>6513</v>
      </c>
      <c r="B287" s="2" t="s">
        <v>992</v>
      </c>
      <c r="C287" s="3">
        <v>1</v>
      </c>
      <c r="D287" s="5">
        <v>34.5</v>
      </c>
      <c r="E287" s="3" t="s">
        <v>993</v>
      </c>
      <c r="F287" s="2" t="s">
        <v>74</v>
      </c>
      <c r="G287" s="6" t="s">
        <v>187</v>
      </c>
      <c r="H287" s="2" t="s">
        <v>426</v>
      </c>
      <c r="I287" s="2" t="s">
        <v>229</v>
      </c>
      <c r="J287" s="2" t="s">
        <v>19</v>
      </c>
      <c r="K287" s="2" t="s">
        <v>353</v>
      </c>
      <c r="L287" s="7" t="str">
        <f>HYPERLINK("http://slimages.macys.com/is/image/MCY/11934830 ")</f>
        <v xml:space="preserve">http://slimages.macys.com/is/image/MCY/11934830 </v>
      </c>
    </row>
    <row r="288" spans="1:12" ht="24.75" x14ac:dyDescent="0.25">
      <c r="A288" s="4" t="s">
        <v>6514</v>
      </c>
      <c r="B288" s="2" t="s">
        <v>6511</v>
      </c>
      <c r="C288" s="3">
        <v>2</v>
      </c>
      <c r="D288" s="5">
        <v>34.99</v>
      </c>
      <c r="E288" s="3" t="s">
        <v>6512</v>
      </c>
      <c r="F288" s="2" t="s">
        <v>53</v>
      </c>
      <c r="G288" s="6" t="s">
        <v>794</v>
      </c>
      <c r="H288" s="2" t="s">
        <v>632</v>
      </c>
      <c r="I288" s="2" t="s">
        <v>285</v>
      </c>
      <c r="J288" s="2" t="s">
        <v>19</v>
      </c>
      <c r="K288" s="2" t="s">
        <v>442</v>
      </c>
      <c r="L288" s="7" t="str">
        <f>HYPERLINK("http://slimages.macys.com/is/image/MCY/3730991 ")</f>
        <v xml:space="preserve">http://slimages.macys.com/is/image/MCY/3730991 </v>
      </c>
    </row>
    <row r="289" spans="1:12" ht="24.75" x14ac:dyDescent="0.25">
      <c r="A289" s="4" t="s">
        <v>999</v>
      </c>
      <c r="B289" s="2" t="s">
        <v>992</v>
      </c>
      <c r="C289" s="3">
        <v>1</v>
      </c>
      <c r="D289" s="5">
        <v>34.5</v>
      </c>
      <c r="E289" s="3" t="s">
        <v>993</v>
      </c>
      <c r="F289" s="2" t="s">
        <v>74</v>
      </c>
      <c r="G289" s="6" t="s">
        <v>794</v>
      </c>
      <c r="H289" s="2" t="s">
        <v>426</v>
      </c>
      <c r="I289" s="2" t="s">
        <v>229</v>
      </c>
      <c r="J289" s="2" t="s">
        <v>19</v>
      </c>
      <c r="K289" s="2" t="s">
        <v>353</v>
      </c>
      <c r="L289" s="7" t="str">
        <f>HYPERLINK("http://slimages.macys.com/is/image/MCY/11934830 ")</f>
        <v xml:space="preserve">http://slimages.macys.com/is/image/MCY/11934830 </v>
      </c>
    </row>
    <row r="290" spans="1:12" ht="24.75" x14ac:dyDescent="0.25">
      <c r="A290" s="4" t="s">
        <v>6515</v>
      </c>
      <c r="B290" s="2" t="s">
        <v>6511</v>
      </c>
      <c r="C290" s="3">
        <v>1</v>
      </c>
      <c r="D290" s="5">
        <v>34.99</v>
      </c>
      <c r="E290" s="3" t="s">
        <v>6512</v>
      </c>
      <c r="F290" s="2" t="s">
        <v>53</v>
      </c>
      <c r="G290" s="6"/>
      <c r="H290" s="2" t="s">
        <v>632</v>
      </c>
      <c r="I290" s="2" t="s">
        <v>285</v>
      </c>
      <c r="J290" s="2" t="s">
        <v>19</v>
      </c>
      <c r="K290" s="2" t="s">
        <v>442</v>
      </c>
      <c r="L290" s="7" t="str">
        <f>HYPERLINK("http://slimages.macys.com/is/image/MCY/3730991 ")</f>
        <v xml:space="preserve">http://slimages.macys.com/is/image/MCY/3730991 </v>
      </c>
    </row>
    <row r="291" spans="1:12" ht="36.75" x14ac:dyDescent="0.25">
      <c r="A291" s="4" t="s">
        <v>6516</v>
      </c>
      <c r="B291" s="2" t="s">
        <v>5715</v>
      </c>
      <c r="C291" s="3">
        <v>2</v>
      </c>
      <c r="D291" s="5">
        <v>40.880000000000003</v>
      </c>
      <c r="E291" s="3" t="s">
        <v>5716</v>
      </c>
      <c r="F291" s="2" t="s">
        <v>331</v>
      </c>
      <c r="G291" s="6" t="s">
        <v>154</v>
      </c>
      <c r="H291" s="2" t="s">
        <v>284</v>
      </c>
      <c r="I291" s="2" t="s">
        <v>285</v>
      </c>
      <c r="J291" s="2" t="s">
        <v>19</v>
      </c>
      <c r="K291" s="2" t="s">
        <v>5717</v>
      </c>
      <c r="L291" s="7" t="str">
        <f>HYPERLINK("http://slimages.macys.com/is/image/MCY/13700613 ")</f>
        <v xml:space="preserve">http://slimages.macys.com/is/image/MCY/13700613 </v>
      </c>
    </row>
    <row r="292" spans="1:12" ht="36.75" x14ac:dyDescent="0.25">
      <c r="A292" s="4" t="s">
        <v>6517</v>
      </c>
      <c r="B292" s="2" t="s">
        <v>5715</v>
      </c>
      <c r="C292" s="3">
        <v>3</v>
      </c>
      <c r="D292" s="5">
        <v>40.880000000000003</v>
      </c>
      <c r="E292" s="3" t="s">
        <v>5716</v>
      </c>
      <c r="F292" s="2" t="s">
        <v>331</v>
      </c>
      <c r="G292" s="6" t="s">
        <v>181</v>
      </c>
      <c r="H292" s="2" t="s">
        <v>284</v>
      </c>
      <c r="I292" s="2" t="s">
        <v>285</v>
      </c>
      <c r="J292" s="2" t="s">
        <v>19</v>
      </c>
      <c r="K292" s="2" t="s">
        <v>5717</v>
      </c>
      <c r="L292" s="7" t="str">
        <f>HYPERLINK("http://slimages.macys.com/is/image/MCY/13700613 ")</f>
        <v xml:space="preserve">http://slimages.macys.com/is/image/MCY/13700613 </v>
      </c>
    </row>
    <row r="293" spans="1:12" ht="36.75" x14ac:dyDescent="0.25">
      <c r="A293" s="4" t="s">
        <v>6518</v>
      </c>
      <c r="B293" s="2" t="s">
        <v>5715</v>
      </c>
      <c r="C293" s="3">
        <v>1</v>
      </c>
      <c r="D293" s="5">
        <v>40.880000000000003</v>
      </c>
      <c r="E293" s="3" t="s">
        <v>5716</v>
      </c>
      <c r="F293" s="2" t="s">
        <v>1584</v>
      </c>
      <c r="G293" s="6" t="s">
        <v>234</v>
      </c>
      <c r="H293" s="2" t="s">
        <v>284</v>
      </c>
      <c r="I293" s="2" t="s">
        <v>285</v>
      </c>
      <c r="J293" s="2" t="s">
        <v>19</v>
      </c>
      <c r="K293" s="2" t="s">
        <v>5717</v>
      </c>
      <c r="L293" s="7" t="str">
        <f>HYPERLINK("http://slimages.macys.com/is/image/MCY/13700621 ")</f>
        <v xml:space="preserve">http://slimages.macys.com/is/image/MCY/13700621 </v>
      </c>
    </row>
    <row r="294" spans="1:12" ht="36.75" x14ac:dyDescent="0.25">
      <c r="A294" s="4" t="s">
        <v>6519</v>
      </c>
      <c r="B294" s="2" t="s">
        <v>5715</v>
      </c>
      <c r="C294" s="3">
        <v>1</v>
      </c>
      <c r="D294" s="5">
        <v>40.880000000000003</v>
      </c>
      <c r="E294" s="3" t="s">
        <v>5716</v>
      </c>
      <c r="F294" s="2" t="s">
        <v>956</v>
      </c>
      <c r="G294" s="6" t="s">
        <v>181</v>
      </c>
      <c r="H294" s="2" t="s">
        <v>284</v>
      </c>
      <c r="I294" s="2" t="s">
        <v>285</v>
      </c>
      <c r="J294" s="2" t="s">
        <v>19</v>
      </c>
      <c r="K294" s="2" t="s">
        <v>5717</v>
      </c>
      <c r="L294" s="7" t="str">
        <f>HYPERLINK("http://slimages.macys.com/is/image/MCY/13700621 ")</f>
        <v xml:space="preserve">http://slimages.macys.com/is/image/MCY/13700621 </v>
      </c>
    </row>
    <row r="295" spans="1:12" x14ac:dyDescent="0.25">
      <c r="A295" s="4" t="s">
        <v>6520</v>
      </c>
      <c r="B295" s="2" t="s">
        <v>6521</v>
      </c>
      <c r="C295" s="3">
        <v>1</v>
      </c>
      <c r="D295" s="5">
        <v>49.5</v>
      </c>
      <c r="E295" s="3" t="s">
        <v>6522</v>
      </c>
      <c r="F295" s="2" t="s">
        <v>70</v>
      </c>
      <c r="G295" s="6"/>
      <c r="H295" s="2" t="s">
        <v>206</v>
      </c>
      <c r="I295" s="2" t="s">
        <v>207</v>
      </c>
      <c r="J295" s="2"/>
      <c r="K295" s="2"/>
      <c r="L295" s="7" t="str">
        <f>HYPERLINK("http://slimages.macys.com/is/image/MCY/11631009 ")</f>
        <v xml:space="preserve">http://slimages.macys.com/is/image/MCY/11631009 </v>
      </c>
    </row>
    <row r="296" spans="1:12" ht="24.75" x14ac:dyDescent="0.25">
      <c r="A296" s="4" t="s">
        <v>6523</v>
      </c>
      <c r="B296" s="2" t="s">
        <v>2521</v>
      </c>
      <c r="C296" s="3">
        <v>1</v>
      </c>
      <c r="D296" s="5">
        <v>34.5</v>
      </c>
      <c r="E296" s="3">
        <v>100045823</v>
      </c>
      <c r="F296" s="2" t="s">
        <v>26</v>
      </c>
      <c r="G296" s="6" t="s">
        <v>234</v>
      </c>
      <c r="H296" s="2" t="s">
        <v>228</v>
      </c>
      <c r="I296" s="2" t="s">
        <v>229</v>
      </c>
      <c r="J296" s="2" t="s">
        <v>19</v>
      </c>
      <c r="K296" s="2" t="s">
        <v>215</v>
      </c>
      <c r="L296" s="7" t="str">
        <f>HYPERLINK("http://slimages.macys.com/is/image/MCY/11804428 ")</f>
        <v xml:space="preserve">http://slimages.macys.com/is/image/MCY/11804428 </v>
      </c>
    </row>
    <row r="297" spans="1:12" ht="24.75" x14ac:dyDescent="0.25">
      <c r="A297" s="4" t="s">
        <v>1017</v>
      </c>
      <c r="B297" s="2" t="s">
        <v>1012</v>
      </c>
      <c r="C297" s="3">
        <v>1</v>
      </c>
      <c r="D297" s="5">
        <v>37.130000000000003</v>
      </c>
      <c r="E297" s="3" t="s">
        <v>1013</v>
      </c>
      <c r="F297" s="2" t="s">
        <v>494</v>
      </c>
      <c r="G297" s="6" t="s">
        <v>106</v>
      </c>
      <c r="H297" s="2" t="s">
        <v>246</v>
      </c>
      <c r="I297" s="2" t="s">
        <v>214</v>
      </c>
      <c r="J297" s="2" t="s">
        <v>19</v>
      </c>
      <c r="K297" s="2" t="s">
        <v>253</v>
      </c>
      <c r="L297" s="7" t="str">
        <f>HYPERLINK("http://slimages.macys.com/is/image/MCY/10679372 ")</f>
        <v xml:space="preserve">http://slimages.macys.com/is/image/MCY/10679372 </v>
      </c>
    </row>
    <row r="298" spans="1:12" ht="24.75" x14ac:dyDescent="0.25">
      <c r="A298" s="4" t="s">
        <v>1011</v>
      </c>
      <c r="B298" s="2" t="s">
        <v>1012</v>
      </c>
      <c r="C298" s="3">
        <v>1</v>
      </c>
      <c r="D298" s="5">
        <v>37.130000000000003</v>
      </c>
      <c r="E298" s="3" t="s">
        <v>1013</v>
      </c>
      <c r="F298" s="2" t="s">
        <v>64</v>
      </c>
      <c r="G298" s="6" t="s">
        <v>106</v>
      </c>
      <c r="H298" s="2" t="s">
        <v>246</v>
      </c>
      <c r="I298" s="2" t="s">
        <v>214</v>
      </c>
      <c r="J298" s="2" t="s">
        <v>19</v>
      </c>
      <c r="K298" s="2" t="s">
        <v>253</v>
      </c>
      <c r="L298" s="7" t="str">
        <f>HYPERLINK("http://slimages.macys.com/is/image/MCY/10679372 ")</f>
        <v xml:space="preserve">http://slimages.macys.com/is/image/MCY/10679372 </v>
      </c>
    </row>
    <row r="299" spans="1:12" ht="24.75" x14ac:dyDescent="0.25">
      <c r="A299" s="4" t="s">
        <v>3717</v>
      </c>
      <c r="B299" s="2" t="s">
        <v>1012</v>
      </c>
      <c r="C299" s="3">
        <v>1</v>
      </c>
      <c r="D299" s="5">
        <v>37.130000000000003</v>
      </c>
      <c r="E299" s="3" t="s">
        <v>1013</v>
      </c>
      <c r="F299" s="2" t="s">
        <v>64</v>
      </c>
      <c r="G299" s="6" t="s">
        <v>27</v>
      </c>
      <c r="H299" s="2" t="s">
        <v>246</v>
      </c>
      <c r="I299" s="2" t="s">
        <v>214</v>
      </c>
      <c r="J299" s="2" t="s">
        <v>19</v>
      </c>
      <c r="K299" s="2" t="s">
        <v>253</v>
      </c>
      <c r="L299" s="7" t="str">
        <f>HYPERLINK("http://slimages.macys.com/is/image/MCY/10679372 ")</f>
        <v xml:space="preserve">http://slimages.macys.com/is/image/MCY/10679372 </v>
      </c>
    </row>
    <row r="300" spans="1:12" ht="24.75" x14ac:dyDescent="0.25">
      <c r="A300" s="4" t="s">
        <v>6524</v>
      </c>
      <c r="B300" s="2" t="s">
        <v>2530</v>
      </c>
      <c r="C300" s="3">
        <v>1</v>
      </c>
      <c r="D300" s="5">
        <v>34.5</v>
      </c>
      <c r="E300" s="3">
        <v>100054339</v>
      </c>
      <c r="F300" s="2" t="s">
        <v>26</v>
      </c>
      <c r="G300" s="6" t="s">
        <v>200</v>
      </c>
      <c r="H300" s="2" t="s">
        <v>228</v>
      </c>
      <c r="I300" s="2" t="s">
        <v>857</v>
      </c>
      <c r="J300" s="2" t="s">
        <v>19</v>
      </c>
      <c r="K300" s="2" t="s">
        <v>338</v>
      </c>
      <c r="L300" s="7" t="str">
        <f>HYPERLINK("http://slimages.macys.com/is/image/MCY/12144139 ")</f>
        <v xml:space="preserve">http://slimages.macys.com/is/image/MCY/12144139 </v>
      </c>
    </row>
    <row r="301" spans="1:12" ht="24.75" x14ac:dyDescent="0.25">
      <c r="A301" s="4" t="s">
        <v>6525</v>
      </c>
      <c r="B301" s="2" t="s">
        <v>2530</v>
      </c>
      <c r="C301" s="3">
        <v>1</v>
      </c>
      <c r="D301" s="5">
        <v>34.5</v>
      </c>
      <c r="E301" s="3">
        <v>100054339</v>
      </c>
      <c r="F301" s="2" t="s">
        <v>26</v>
      </c>
      <c r="G301" s="6" t="s">
        <v>234</v>
      </c>
      <c r="H301" s="2" t="s">
        <v>228</v>
      </c>
      <c r="I301" s="2" t="s">
        <v>857</v>
      </c>
      <c r="J301" s="2" t="s">
        <v>19</v>
      </c>
      <c r="K301" s="2" t="s">
        <v>338</v>
      </c>
      <c r="L301" s="7" t="str">
        <f>HYPERLINK("http://slimages.macys.com/is/image/MCY/12144139 ")</f>
        <v xml:space="preserve">http://slimages.macys.com/is/image/MCY/12144139 </v>
      </c>
    </row>
    <row r="302" spans="1:12" ht="24.75" x14ac:dyDescent="0.25">
      <c r="A302" s="4" t="s">
        <v>3718</v>
      </c>
      <c r="B302" s="2" t="s">
        <v>2530</v>
      </c>
      <c r="C302" s="3">
        <v>1</v>
      </c>
      <c r="D302" s="5">
        <v>34.5</v>
      </c>
      <c r="E302" s="3">
        <v>100054339</v>
      </c>
      <c r="F302" s="2" t="s">
        <v>26</v>
      </c>
      <c r="G302" s="6" t="s">
        <v>181</v>
      </c>
      <c r="H302" s="2" t="s">
        <v>228</v>
      </c>
      <c r="I302" s="2" t="s">
        <v>857</v>
      </c>
      <c r="J302" s="2" t="s">
        <v>19</v>
      </c>
      <c r="K302" s="2" t="s">
        <v>338</v>
      </c>
      <c r="L302" s="7" t="str">
        <f>HYPERLINK("http://slimages.macys.com/is/image/MCY/12144139 ")</f>
        <v xml:space="preserve">http://slimages.macys.com/is/image/MCY/12144139 </v>
      </c>
    </row>
    <row r="303" spans="1:12" ht="24.75" x14ac:dyDescent="0.25">
      <c r="A303" s="4" t="s">
        <v>6526</v>
      </c>
      <c r="B303" s="2" t="s">
        <v>3710</v>
      </c>
      <c r="C303" s="3">
        <v>1</v>
      </c>
      <c r="D303" s="5">
        <v>37.130000000000003</v>
      </c>
      <c r="E303" s="3" t="s">
        <v>6527</v>
      </c>
      <c r="F303" s="2" t="s">
        <v>15</v>
      </c>
      <c r="G303" s="6" t="s">
        <v>794</v>
      </c>
      <c r="H303" s="2" t="s">
        <v>632</v>
      </c>
      <c r="I303" s="2" t="s">
        <v>408</v>
      </c>
      <c r="J303" s="2" t="s">
        <v>19</v>
      </c>
      <c r="K303" s="2" t="s">
        <v>409</v>
      </c>
      <c r="L303" s="7" t="str">
        <f>HYPERLINK("http://slimages.macys.com/is/image/MCY/9198224 ")</f>
        <v xml:space="preserve">http://slimages.macys.com/is/image/MCY/9198224 </v>
      </c>
    </row>
    <row r="304" spans="1:12" ht="24.75" x14ac:dyDescent="0.25">
      <c r="A304" s="4" t="s">
        <v>6528</v>
      </c>
      <c r="B304" s="2" t="s">
        <v>1002</v>
      </c>
      <c r="C304" s="3">
        <v>1</v>
      </c>
      <c r="D304" s="5">
        <v>44.63</v>
      </c>
      <c r="E304" s="3">
        <v>100015592</v>
      </c>
      <c r="F304" s="2" t="s">
        <v>74</v>
      </c>
      <c r="G304" s="6" t="s">
        <v>154</v>
      </c>
      <c r="H304" s="2" t="s">
        <v>194</v>
      </c>
      <c r="I304" s="2" t="s">
        <v>195</v>
      </c>
      <c r="J304" s="2" t="s">
        <v>19</v>
      </c>
      <c r="K304" s="2" t="s">
        <v>137</v>
      </c>
      <c r="L304" s="7" t="str">
        <f>HYPERLINK("http://slimages.macys.com/is/image/MCY/9653304 ")</f>
        <v xml:space="preserve">http://slimages.macys.com/is/image/MCY/9653304 </v>
      </c>
    </row>
    <row r="305" spans="1:12" ht="24.75" x14ac:dyDescent="0.25">
      <c r="A305" s="4" t="s">
        <v>1031</v>
      </c>
      <c r="B305" s="2" t="s">
        <v>1002</v>
      </c>
      <c r="C305" s="3">
        <v>1</v>
      </c>
      <c r="D305" s="5">
        <v>44.63</v>
      </c>
      <c r="E305" s="3">
        <v>100015592</v>
      </c>
      <c r="F305" s="2" t="s">
        <v>74</v>
      </c>
      <c r="G305" s="6" t="s">
        <v>234</v>
      </c>
      <c r="H305" s="2" t="s">
        <v>194</v>
      </c>
      <c r="I305" s="2" t="s">
        <v>195</v>
      </c>
      <c r="J305" s="2" t="s">
        <v>19</v>
      </c>
      <c r="K305" s="2" t="s">
        <v>137</v>
      </c>
      <c r="L305" s="7" t="str">
        <f>HYPERLINK("http://slimages.macys.com/is/image/MCY/9653304 ")</f>
        <v xml:space="preserve">http://slimages.macys.com/is/image/MCY/9653304 </v>
      </c>
    </row>
    <row r="306" spans="1:12" ht="24.75" x14ac:dyDescent="0.25">
      <c r="A306" s="4" t="s">
        <v>6529</v>
      </c>
      <c r="B306" s="2" t="s">
        <v>1002</v>
      </c>
      <c r="C306" s="3">
        <v>1</v>
      </c>
      <c r="D306" s="5">
        <v>44.63</v>
      </c>
      <c r="E306" s="3">
        <v>100015592</v>
      </c>
      <c r="F306" s="2" t="s">
        <v>74</v>
      </c>
      <c r="G306" s="6" t="s">
        <v>181</v>
      </c>
      <c r="H306" s="2" t="s">
        <v>194</v>
      </c>
      <c r="I306" s="2" t="s">
        <v>195</v>
      </c>
      <c r="J306" s="2" t="s">
        <v>19</v>
      </c>
      <c r="K306" s="2" t="s">
        <v>137</v>
      </c>
      <c r="L306" s="7" t="str">
        <f>HYPERLINK("http://slimages.macys.com/is/image/MCY/9653304 ")</f>
        <v xml:space="preserve">http://slimages.macys.com/is/image/MCY/9653304 </v>
      </c>
    </row>
    <row r="307" spans="1:12" ht="24.75" x14ac:dyDescent="0.25">
      <c r="A307" s="4" t="s">
        <v>2533</v>
      </c>
      <c r="B307" s="2" t="s">
        <v>1028</v>
      </c>
      <c r="C307" s="3">
        <v>2</v>
      </c>
      <c r="D307" s="5">
        <v>37.130000000000003</v>
      </c>
      <c r="E307" s="3" t="s">
        <v>2532</v>
      </c>
      <c r="F307" s="2" t="s">
        <v>26</v>
      </c>
      <c r="G307" s="6"/>
      <c r="H307" s="2" t="s">
        <v>632</v>
      </c>
      <c r="I307" s="2" t="s">
        <v>408</v>
      </c>
      <c r="J307" s="2" t="s">
        <v>19</v>
      </c>
      <c r="K307" s="2" t="s">
        <v>409</v>
      </c>
      <c r="L307" s="7" t="str">
        <f>HYPERLINK("http://slimages.macys.com/is/image/MCY/8191312 ")</f>
        <v xml:space="preserve">http://slimages.macys.com/is/image/MCY/8191312 </v>
      </c>
    </row>
    <row r="308" spans="1:12" ht="24.75" x14ac:dyDescent="0.25">
      <c r="A308" s="4" t="s">
        <v>6530</v>
      </c>
      <c r="B308" s="2" t="s">
        <v>1028</v>
      </c>
      <c r="C308" s="3">
        <v>1</v>
      </c>
      <c r="D308" s="5">
        <v>36.5</v>
      </c>
      <c r="E308" s="3" t="s">
        <v>6531</v>
      </c>
      <c r="F308" s="2" t="s">
        <v>136</v>
      </c>
      <c r="G308" s="6"/>
      <c r="H308" s="2" t="s">
        <v>632</v>
      </c>
      <c r="I308" s="2" t="s">
        <v>408</v>
      </c>
      <c r="J308" s="2" t="s">
        <v>19</v>
      </c>
      <c r="K308" s="2" t="s">
        <v>409</v>
      </c>
      <c r="L308" s="7" t="str">
        <f>HYPERLINK("http://slimages.macys.com/is/image/MCY/8191311 ")</f>
        <v xml:space="preserve">http://slimages.macys.com/is/image/MCY/8191311 </v>
      </c>
    </row>
    <row r="309" spans="1:12" ht="24.75" x14ac:dyDescent="0.25">
      <c r="A309" s="4" t="s">
        <v>6532</v>
      </c>
      <c r="B309" s="2" t="s">
        <v>1028</v>
      </c>
      <c r="C309" s="3">
        <v>1</v>
      </c>
      <c r="D309" s="5">
        <v>36.5</v>
      </c>
      <c r="E309" s="3" t="s">
        <v>6531</v>
      </c>
      <c r="F309" s="2" t="s">
        <v>136</v>
      </c>
      <c r="G309" s="6"/>
      <c r="H309" s="2" t="s">
        <v>632</v>
      </c>
      <c r="I309" s="2" t="s">
        <v>408</v>
      </c>
      <c r="J309" s="2" t="s">
        <v>19</v>
      </c>
      <c r="K309" s="2" t="s">
        <v>409</v>
      </c>
      <c r="L309" s="7" t="str">
        <f>HYPERLINK("http://slimages.macys.com/is/image/MCY/8191311 ")</f>
        <v xml:space="preserve">http://slimages.macys.com/is/image/MCY/8191311 </v>
      </c>
    </row>
    <row r="310" spans="1:12" ht="24.75" x14ac:dyDescent="0.25">
      <c r="A310" s="4" t="s">
        <v>2531</v>
      </c>
      <c r="B310" s="2" t="s">
        <v>1028</v>
      </c>
      <c r="C310" s="3">
        <v>1</v>
      </c>
      <c r="D310" s="5">
        <v>37.130000000000003</v>
      </c>
      <c r="E310" s="3" t="s">
        <v>2532</v>
      </c>
      <c r="F310" s="2" t="s">
        <v>26</v>
      </c>
      <c r="G310" s="6"/>
      <c r="H310" s="2" t="s">
        <v>632</v>
      </c>
      <c r="I310" s="2" t="s">
        <v>408</v>
      </c>
      <c r="J310" s="2" t="s">
        <v>19</v>
      </c>
      <c r="K310" s="2" t="s">
        <v>409</v>
      </c>
      <c r="L310" s="7" t="str">
        <f>HYPERLINK("http://slimages.macys.com/is/image/MCY/8191312 ")</f>
        <v xml:space="preserve">http://slimages.macys.com/is/image/MCY/8191312 </v>
      </c>
    </row>
    <row r="311" spans="1:12" ht="36.75" x14ac:dyDescent="0.25">
      <c r="A311" s="4" t="s">
        <v>6533</v>
      </c>
      <c r="B311" s="2" t="s">
        <v>1040</v>
      </c>
      <c r="C311" s="3">
        <v>1</v>
      </c>
      <c r="D311" s="5">
        <v>44.63</v>
      </c>
      <c r="E311" s="3" t="s">
        <v>1041</v>
      </c>
      <c r="F311" s="2" t="s">
        <v>89</v>
      </c>
      <c r="G311" s="6" t="s">
        <v>141</v>
      </c>
      <c r="H311" s="2" t="s">
        <v>246</v>
      </c>
      <c r="I311" s="2" t="s">
        <v>487</v>
      </c>
      <c r="J311" s="2" t="s">
        <v>19</v>
      </c>
      <c r="K311" s="2" t="s">
        <v>500</v>
      </c>
      <c r="L311" s="7" t="str">
        <f>HYPERLINK("http://slimages.macys.com/is/image/MCY/11231757 ")</f>
        <v xml:space="preserve">http://slimages.macys.com/is/image/MCY/11231757 </v>
      </c>
    </row>
    <row r="312" spans="1:12" ht="24.75" x14ac:dyDescent="0.25">
      <c r="A312" s="4" t="s">
        <v>1046</v>
      </c>
      <c r="B312" s="2" t="s">
        <v>1047</v>
      </c>
      <c r="C312" s="3">
        <v>1</v>
      </c>
      <c r="D312" s="5">
        <v>34.880000000000003</v>
      </c>
      <c r="E312" s="3">
        <v>100009312</v>
      </c>
      <c r="F312" s="2" t="s">
        <v>74</v>
      </c>
      <c r="G312" s="6" t="s">
        <v>234</v>
      </c>
      <c r="H312" s="2" t="s">
        <v>194</v>
      </c>
      <c r="I312" s="2" t="s">
        <v>195</v>
      </c>
      <c r="J312" s="2" t="s">
        <v>19</v>
      </c>
      <c r="K312" s="2" t="s">
        <v>353</v>
      </c>
      <c r="L312" s="7" t="str">
        <f t="shared" ref="L312:L318" si="2">HYPERLINK("http://slimages.macys.com/is/image/MCY/9603701 ")</f>
        <v xml:space="preserve">http://slimages.macys.com/is/image/MCY/9603701 </v>
      </c>
    </row>
    <row r="313" spans="1:12" ht="24.75" x14ac:dyDescent="0.25">
      <c r="A313" s="4" t="s">
        <v>6534</v>
      </c>
      <c r="B313" s="2" t="s">
        <v>1047</v>
      </c>
      <c r="C313" s="3">
        <v>1</v>
      </c>
      <c r="D313" s="5">
        <v>34.880000000000003</v>
      </c>
      <c r="E313" s="3">
        <v>100009312</v>
      </c>
      <c r="F313" s="2" t="s">
        <v>74</v>
      </c>
      <c r="G313" s="6" t="s">
        <v>181</v>
      </c>
      <c r="H313" s="2" t="s">
        <v>194</v>
      </c>
      <c r="I313" s="2" t="s">
        <v>195</v>
      </c>
      <c r="J313" s="2" t="s">
        <v>19</v>
      </c>
      <c r="K313" s="2" t="s">
        <v>353</v>
      </c>
      <c r="L313" s="7" t="str">
        <f t="shared" si="2"/>
        <v xml:space="preserve">http://slimages.macys.com/is/image/MCY/9603701 </v>
      </c>
    </row>
    <row r="314" spans="1:12" ht="24.75" x14ac:dyDescent="0.25">
      <c r="A314" s="4" t="s">
        <v>2539</v>
      </c>
      <c r="B314" s="2" t="s">
        <v>1047</v>
      </c>
      <c r="C314" s="3">
        <v>2</v>
      </c>
      <c r="D314" s="5">
        <v>34.880000000000003</v>
      </c>
      <c r="E314" s="3">
        <v>100009312</v>
      </c>
      <c r="F314" s="2" t="s">
        <v>74</v>
      </c>
      <c r="G314" s="6" t="s">
        <v>154</v>
      </c>
      <c r="H314" s="2" t="s">
        <v>194</v>
      </c>
      <c r="I314" s="2" t="s">
        <v>195</v>
      </c>
      <c r="J314" s="2" t="s">
        <v>19</v>
      </c>
      <c r="K314" s="2" t="s">
        <v>353</v>
      </c>
      <c r="L314" s="7" t="str">
        <f t="shared" si="2"/>
        <v xml:space="preserve">http://slimages.macys.com/is/image/MCY/9603701 </v>
      </c>
    </row>
    <row r="315" spans="1:12" ht="24.75" x14ac:dyDescent="0.25">
      <c r="A315" s="4" t="s">
        <v>4798</v>
      </c>
      <c r="B315" s="2" t="s">
        <v>1047</v>
      </c>
      <c r="C315" s="3">
        <v>1</v>
      </c>
      <c r="D315" s="5">
        <v>34.880000000000003</v>
      </c>
      <c r="E315" s="3">
        <v>100009312</v>
      </c>
      <c r="F315" s="2" t="s">
        <v>506</v>
      </c>
      <c r="G315" s="6" t="s">
        <v>181</v>
      </c>
      <c r="H315" s="2" t="s">
        <v>194</v>
      </c>
      <c r="I315" s="2" t="s">
        <v>195</v>
      </c>
      <c r="J315" s="2" t="s">
        <v>19</v>
      </c>
      <c r="K315" s="2" t="s">
        <v>353</v>
      </c>
      <c r="L315" s="7" t="str">
        <f t="shared" si="2"/>
        <v xml:space="preserve">http://slimages.macys.com/is/image/MCY/9603701 </v>
      </c>
    </row>
    <row r="316" spans="1:12" ht="24.75" x14ac:dyDescent="0.25">
      <c r="A316" s="4" t="s">
        <v>6535</v>
      </c>
      <c r="B316" s="2" t="s">
        <v>1047</v>
      </c>
      <c r="C316" s="3">
        <v>1</v>
      </c>
      <c r="D316" s="5">
        <v>34.880000000000003</v>
      </c>
      <c r="E316" s="3">
        <v>100009312</v>
      </c>
      <c r="F316" s="2" t="s">
        <v>64</v>
      </c>
      <c r="G316" s="6" t="s">
        <v>181</v>
      </c>
      <c r="H316" s="2" t="s">
        <v>194</v>
      </c>
      <c r="I316" s="2" t="s">
        <v>195</v>
      </c>
      <c r="J316" s="2" t="s">
        <v>19</v>
      </c>
      <c r="K316" s="2" t="s">
        <v>353</v>
      </c>
      <c r="L316" s="7" t="str">
        <f t="shared" si="2"/>
        <v xml:space="preserve">http://slimages.macys.com/is/image/MCY/9603701 </v>
      </c>
    </row>
    <row r="317" spans="1:12" ht="24.75" x14ac:dyDescent="0.25">
      <c r="A317" s="4" t="s">
        <v>6536</v>
      </c>
      <c r="B317" s="2" t="s">
        <v>1047</v>
      </c>
      <c r="C317" s="3">
        <v>1</v>
      </c>
      <c r="D317" s="5">
        <v>34.880000000000003</v>
      </c>
      <c r="E317" s="3">
        <v>100009312</v>
      </c>
      <c r="F317" s="2" t="s">
        <v>26</v>
      </c>
      <c r="G317" s="6" t="s">
        <v>156</v>
      </c>
      <c r="H317" s="2" t="s">
        <v>194</v>
      </c>
      <c r="I317" s="2" t="s">
        <v>195</v>
      </c>
      <c r="J317" s="2" t="s">
        <v>19</v>
      </c>
      <c r="K317" s="2" t="s">
        <v>353</v>
      </c>
      <c r="L317" s="7" t="str">
        <f t="shared" si="2"/>
        <v xml:space="preserve">http://slimages.macys.com/is/image/MCY/9603701 </v>
      </c>
    </row>
    <row r="318" spans="1:12" ht="24.75" x14ac:dyDescent="0.25">
      <c r="A318" s="4" t="s">
        <v>6537</v>
      </c>
      <c r="B318" s="2" t="s">
        <v>1047</v>
      </c>
      <c r="C318" s="3">
        <v>1</v>
      </c>
      <c r="D318" s="5">
        <v>34.880000000000003</v>
      </c>
      <c r="E318" s="3">
        <v>100009312</v>
      </c>
      <c r="F318" s="2" t="s">
        <v>64</v>
      </c>
      <c r="G318" s="6" t="s">
        <v>200</v>
      </c>
      <c r="H318" s="2" t="s">
        <v>194</v>
      </c>
      <c r="I318" s="2" t="s">
        <v>195</v>
      </c>
      <c r="J318" s="2" t="s">
        <v>19</v>
      </c>
      <c r="K318" s="2" t="s">
        <v>353</v>
      </c>
      <c r="L318" s="7" t="str">
        <f t="shared" si="2"/>
        <v xml:space="preserve">http://slimages.macys.com/is/image/MCY/9603701 </v>
      </c>
    </row>
    <row r="319" spans="1:12" ht="24.75" x14ac:dyDescent="0.25">
      <c r="A319" s="4" t="s">
        <v>6538</v>
      </c>
      <c r="B319" s="2" t="s">
        <v>6539</v>
      </c>
      <c r="C319" s="3">
        <v>1</v>
      </c>
      <c r="D319" s="5">
        <v>37.130000000000003</v>
      </c>
      <c r="E319" s="3" t="s">
        <v>6540</v>
      </c>
      <c r="F319" s="2" t="s">
        <v>64</v>
      </c>
      <c r="G319" s="6" t="s">
        <v>181</v>
      </c>
      <c r="H319" s="2" t="s">
        <v>246</v>
      </c>
      <c r="I319" s="2" t="s">
        <v>189</v>
      </c>
      <c r="J319" s="2" t="s">
        <v>19</v>
      </c>
      <c r="K319" s="2" t="s">
        <v>160</v>
      </c>
      <c r="L319" s="7" t="str">
        <f>HYPERLINK("http://slimages.macys.com/is/image/MCY/12326932 ")</f>
        <v xml:space="preserve">http://slimages.macys.com/is/image/MCY/12326932 </v>
      </c>
    </row>
    <row r="320" spans="1:12" ht="24.75" x14ac:dyDescent="0.25">
      <c r="A320" s="4" t="s">
        <v>2544</v>
      </c>
      <c r="B320" s="2" t="s">
        <v>1058</v>
      </c>
      <c r="C320" s="3">
        <v>1</v>
      </c>
      <c r="D320" s="5">
        <v>39.5</v>
      </c>
      <c r="E320" s="3" t="s">
        <v>1059</v>
      </c>
      <c r="F320" s="2" t="s">
        <v>15</v>
      </c>
      <c r="G320" s="6"/>
      <c r="H320" s="2" t="s">
        <v>312</v>
      </c>
      <c r="I320" s="2" t="s">
        <v>195</v>
      </c>
      <c r="J320" s="2" t="s">
        <v>19</v>
      </c>
      <c r="K320" s="2" t="s">
        <v>438</v>
      </c>
      <c r="L320" s="7" t="str">
        <f>HYPERLINK("http://slimages.macys.com/is/image/MCY/11935984 ")</f>
        <v xml:space="preserve">http://slimages.macys.com/is/image/MCY/11935984 </v>
      </c>
    </row>
    <row r="321" spans="1:12" ht="24.75" x14ac:dyDescent="0.25">
      <c r="A321" s="4" t="s">
        <v>6541</v>
      </c>
      <c r="B321" s="2" t="s">
        <v>1058</v>
      </c>
      <c r="C321" s="3">
        <v>1</v>
      </c>
      <c r="D321" s="5">
        <v>39.5</v>
      </c>
      <c r="E321" s="3" t="s">
        <v>1059</v>
      </c>
      <c r="F321" s="2" t="s">
        <v>15</v>
      </c>
      <c r="G321" s="6"/>
      <c r="H321" s="2" t="s">
        <v>312</v>
      </c>
      <c r="I321" s="2" t="s">
        <v>195</v>
      </c>
      <c r="J321" s="2" t="s">
        <v>19</v>
      </c>
      <c r="K321" s="2" t="s">
        <v>438</v>
      </c>
      <c r="L321" s="7" t="str">
        <f>HYPERLINK("http://slimages.macys.com/is/image/MCY/11935984 ")</f>
        <v xml:space="preserve">http://slimages.macys.com/is/image/MCY/11935984 </v>
      </c>
    </row>
    <row r="322" spans="1:12" ht="24.75" x14ac:dyDescent="0.25">
      <c r="A322" s="4" t="s">
        <v>2551</v>
      </c>
      <c r="B322" s="2" t="s">
        <v>1062</v>
      </c>
      <c r="C322" s="3">
        <v>2</v>
      </c>
      <c r="D322" s="5">
        <v>36.5</v>
      </c>
      <c r="E322" s="3" t="s">
        <v>1063</v>
      </c>
      <c r="F322" s="2" t="s">
        <v>26</v>
      </c>
      <c r="G322" s="6" t="s">
        <v>181</v>
      </c>
      <c r="H322" s="2" t="s">
        <v>194</v>
      </c>
      <c r="I322" s="2" t="s">
        <v>195</v>
      </c>
      <c r="J322" s="2" t="s">
        <v>19</v>
      </c>
      <c r="K322" s="2" t="s">
        <v>247</v>
      </c>
      <c r="L322" s="7" t="str">
        <f>HYPERLINK("http://slimages.macys.com/is/image/MCY/11515386 ")</f>
        <v xml:space="preserve">http://slimages.macys.com/is/image/MCY/11515386 </v>
      </c>
    </row>
    <row r="323" spans="1:12" ht="48.75" x14ac:dyDescent="0.25">
      <c r="A323" s="4" t="s">
        <v>6542</v>
      </c>
      <c r="B323" s="2" t="s">
        <v>1065</v>
      </c>
      <c r="C323" s="3">
        <v>1</v>
      </c>
      <c r="D323" s="5">
        <v>37.130000000000003</v>
      </c>
      <c r="E323" s="3">
        <v>100016108</v>
      </c>
      <c r="F323" s="2" t="s">
        <v>26</v>
      </c>
      <c r="G323" s="6" t="s">
        <v>156</v>
      </c>
      <c r="H323" s="2" t="s">
        <v>194</v>
      </c>
      <c r="I323" s="2" t="s">
        <v>919</v>
      </c>
      <c r="J323" s="2" t="s">
        <v>19</v>
      </c>
      <c r="K323" s="2" t="s">
        <v>1066</v>
      </c>
      <c r="L323" s="7" t="str">
        <f>HYPERLINK("http://slimages.macys.com/is/image/MCY/9582082 ")</f>
        <v xml:space="preserve">http://slimages.macys.com/is/image/MCY/9582082 </v>
      </c>
    </row>
    <row r="324" spans="1:12" ht="24.75" x14ac:dyDescent="0.25">
      <c r="A324" s="4" t="s">
        <v>6543</v>
      </c>
      <c r="B324" s="2" t="s">
        <v>2553</v>
      </c>
      <c r="C324" s="3">
        <v>1</v>
      </c>
      <c r="D324" s="5">
        <v>34.880000000000003</v>
      </c>
      <c r="E324" s="3">
        <v>100054401</v>
      </c>
      <c r="F324" s="2" t="s">
        <v>579</v>
      </c>
      <c r="G324" s="6" t="s">
        <v>141</v>
      </c>
      <c r="H324" s="2" t="s">
        <v>194</v>
      </c>
      <c r="I324" s="2" t="s">
        <v>195</v>
      </c>
      <c r="J324" s="2" t="s">
        <v>19</v>
      </c>
      <c r="K324" s="2" t="s">
        <v>353</v>
      </c>
      <c r="L324" s="7" t="str">
        <f>HYPERLINK("http://slimages.macys.com/is/image/MCY/12279828 ")</f>
        <v xml:space="preserve">http://slimages.macys.com/is/image/MCY/12279828 </v>
      </c>
    </row>
    <row r="325" spans="1:12" ht="24.75" x14ac:dyDescent="0.25">
      <c r="A325" s="4" t="s">
        <v>2552</v>
      </c>
      <c r="B325" s="2" t="s">
        <v>2553</v>
      </c>
      <c r="C325" s="3">
        <v>2</v>
      </c>
      <c r="D325" s="5">
        <v>34.880000000000003</v>
      </c>
      <c r="E325" s="3">
        <v>100054401</v>
      </c>
      <c r="F325" s="2" t="s">
        <v>579</v>
      </c>
      <c r="G325" s="6" t="s">
        <v>16</v>
      </c>
      <c r="H325" s="2" t="s">
        <v>194</v>
      </c>
      <c r="I325" s="2" t="s">
        <v>195</v>
      </c>
      <c r="J325" s="2" t="s">
        <v>19</v>
      </c>
      <c r="K325" s="2" t="s">
        <v>353</v>
      </c>
      <c r="L325" s="7" t="str">
        <f>HYPERLINK("http://slimages.macys.com/is/image/MCY/12279828 ")</f>
        <v xml:space="preserve">http://slimages.macys.com/is/image/MCY/12279828 </v>
      </c>
    </row>
    <row r="326" spans="1:12" ht="24.75" x14ac:dyDescent="0.25">
      <c r="A326" s="4" t="s">
        <v>6544</v>
      </c>
      <c r="B326" s="2" t="s">
        <v>2553</v>
      </c>
      <c r="C326" s="3">
        <v>2</v>
      </c>
      <c r="D326" s="5">
        <v>34.880000000000003</v>
      </c>
      <c r="E326" s="3">
        <v>100054401</v>
      </c>
      <c r="F326" s="2" t="s">
        <v>579</v>
      </c>
      <c r="G326" s="6" t="s">
        <v>22</v>
      </c>
      <c r="H326" s="2" t="s">
        <v>194</v>
      </c>
      <c r="I326" s="2" t="s">
        <v>195</v>
      </c>
      <c r="J326" s="2" t="s">
        <v>19</v>
      </c>
      <c r="K326" s="2" t="s">
        <v>353</v>
      </c>
      <c r="L326" s="7" t="str">
        <f>HYPERLINK("http://slimages.macys.com/is/image/MCY/12279828 ")</f>
        <v xml:space="preserve">http://slimages.macys.com/is/image/MCY/12279828 </v>
      </c>
    </row>
    <row r="327" spans="1:12" ht="24.75" x14ac:dyDescent="0.25">
      <c r="A327" s="4" t="s">
        <v>6545</v>
      </c>
      <c r="B327" s="2" t="s">
        <v>2553</v>
      </c>
      <c r="C327" s="3">
        <v>1</v>
      </c>
      <c r="D327" s="5">
        <v>34.880000000000003</v>
      </c>
      <c r="E327" s="3">
        <v>100054401</v>
      </c>
      <c r="F327" s="2" t="s">
        <v>579</v>
      </c>
      <c r="G327" s="6" t="s">
        <v>27</v>
      </c>
      <c r="H327" s="2" t="s">
        <v>194</v>
      </c>
      <c r="I327" s="2" t="s">
        <v>195</v>
      </c>
      <c r="J327" s="2" t="s">
        <v>19</v>
      </c>
      <c r="K327" s="2" t="s">
        <v>353</v>
      </c>
      <c r="L327" s="7" t="str">
        <f>HYPERLINK("http://slimages.macys.com/is/image/MCY/12279828 ")</f>
        <v xml:space="preserve">http://slimages.macys.com/is/image/MCY/12279828 </v>
      </c>
    </row>
    <row r="328" spans="1:12" ht="24.75" x14ac:dyDescent="0.25">
      <c r="A328" s="4" t="s">
        <v>6546</v>
      </c>
      <c r="B328" s="2" t="s">
        <v>6547</v>
      </c>
      <c r="C328" s="3">
        <v>1</v>
      </c>
      <c r="D328" s="5">
        <v>37.130000000000003</v>
      </c>
      <c r="E328" s="3" t="s">
        <v>6548</v>
      </c>
      <c r="F328" s="2" t="s">
        <v>413</v>
      </c>
      <c r="G328" s="6" t="s">
        <v>27</v>
      </c>
      <c r="H328" s="2" t="s">
        <v>246</v>
      </c>
      <c r="I328" s="2" t="s">
        <v>189</v>
      </c>
      <c r="J328" s="2" t="s">
        <v>19</v>
      </c>
      <c r="K328" s="2" t="s">
        <v>839</v>
      </c>
      <c r="L328" s="7" t="str">
        <f>HYPERLINK("http://slimages.macys.com/is/image/MCY/12746342 ")</f>
        <v xml:space="preserve">http://slimages.macys.com/is/image/MCY/12746342 </v>
      </c>
    </row>
    <row r="329" spans="1:12" ht="24.75" x14ac:dyDescent="0.25">
      <c r="A329" s="4" t="s">
        <v>6549</v>
      </c>
      <c r="B329" s="2" t="s">
        <v>2553</v>
      </c>
      <c r="C329" s="3">
        <v>1</v>
      </c>
      <c r="D329" s="5">
        <v>34.880000000000003</v>
      </c>
      <c r="E329" s="3">
        <v>100054401</v>
      </c>
      <c r="F329" s="2" t="s">
        <v>579</v>
      </c>
      <c r="G329" s="6" t="s">
        <v>112</v>
      </c>
      <c r="H329" s="2" t="s">
        <v>194</v>
      </c>
      <c r="I329" s="2" t="s">
        <v>195</v>
      </c>
      <c r="J329" s="2" t="s">
        <v>19</v>
      </c>
      <c r="K329" s="2" t="s">
        <v>353</v>
      </c>
      <c r="L329" s="7" t="str">
        <f>HYPERLINK("http://slimages.macys.com/is/image/MCY/12279828 ")</f>
        <v xml:space="preserve">http://slimages.macys.com/is/image/MCY/12279828 </v>
      </c>
    </row>
    <row r="330" spans="1:12" ht="24.75" x14ac:dyDescent="0.25">
      <c r="A330" s="4" t="s">
        <v>3738</v>
      </c>
      <c r="B330" s="2" t="s">
        <v>1069</v>
      </c>
      <c r="C330" s="3">
        <v>1</v>
      </c>
      <c r="D330" s="5">
        <v>34.5</v>
      </c>
      <c r="E330" s="3">
        <v>100050028</v>
      </c>
      <c r="F330" s="2" t="s">
        <v>180</v>
      </c>
      <c r="G330" s="6" t="s">
        <v>58</v>
      </c>
      <c r="H330" s="2" t="s">
        <v>228</v>
      </c>
      <c r="I330" s="2" t="s">
        <v>229</v>
      </c>
      <c r="J330" s="2" t="s">
        <v>19</v>
      </c>
      <c r="K330" s="2" t="s">
        <v>353</v>
      </c>
      <c r="L330" s="7" t="str">
        <f>HYPERLINK("http://slimages.macys.com/is/image/MCY/11527150 ")</f>
        <v xml:space="preserve">http://slimages.macys.com/is/image/MCY/11527150 </v>
      </c>
    </row>
    <row r="331" spans="1:12" ht="24.75" x14ac:dyDescent="0.25">
      <c r="A331" s="4" t="s">
        <v>1070</v>
      </c>
      <c r="B331" s="2" t="s">
        <v>898</v>
      </c>
      <c r="C331" s="3">
        <v>1</v>
      </c>
      <c r="D331" s="5">
        <v>37.130000000000003</v>
      </c>
      <c r="E331" s="3">
        <v>100009193</v>
      </c>
      <c r="F331" s="2" t="s">
        <v>506</v>
      </c>
      <c r="G331" s="6" t="s">
        <v>16</v>
      </c>
      <c r="H331" s="2" t="s">
        <v>194</v>
      </c>
      <c r="I331" s="2" t="s">
        <v>503</v>
      </c>
      <c r="J331" s="2" t="s">
        <v>19</v>
      </c>
      <c r="K331" s="2" t="s">
        <v>353</v>
      </c>
      <c r="L331" s="7" t="str">
        <f t="shared" ref="L331:L343" si="3">HYPERLINK("http://slimages.macys.com/is/image/MCY/11804644 ")</f>
        <v xml:space="preserve">http://slimages.macys.com/is/image/MCY/11804644 </v>
      </c>
    </row>
    <row r="332" spans="1:12" ht="24.75" x14ac:dyDescent="0.25">
      <c r="A332" s="4" t="s">
        <v>6550</v>
      </c>
      <c r="B332" s="2" t="s">
        <v>898</v>
      </c>
      <c r="C332" s="3">
        <v>2</v>
      </c>
      <c r="D332" s="5">
        <v>37.130000000000003</v>
      </c>
      <c r="E332" s="3">
        <v>100009193</v>
      </c>
      <c r="F332" s="2" t="s">
        <v>26</v>
      </c>
      <c r="G332" s="6" t="s">
        <v>22</v>
      </c>
      <c r="H332" s="2" t="s">
        <v>194</v>
      </c>
      <c r="I332" s="2" t="s">
        <v>503</v>
      </c>
      <c r="J332" s="2" t="s">
        <v>19</v>
      </c>
      <c r="K332" s="2" t="s">
        <v>353</v>
      </c>
      <c r="L332" s="7" t="str">
        <f t="shared" si="3"/>
        <v xml:space="preserve">http://slimages.macys.com/is/image/MCY/11804644 </v>
      </c>
    </row>
    <row r="333" spans="1:12" ht="24.75" x14ac:dyDescent="0.25">
      <c r="A333" s="4" t="s">
        <v>6551</v>
      </c>
      <c r="B333" s="2" t="s">
        <v>898</v>
      </c>
      <c r="C333" s="3">
        <v>1</v>
      </c>
      <c r="D333" s="5">
        <v>37.130000000000003</v>
      </c>
      <c r="E333" s="3">
        <v>100009193</v>
      </c>
      <c r="F333" s="2" t="s">
        <v>26</v>
      </c>
      <c r="G333" s="6" t="s">
        <v>58</v>
      </c>
      <c r="H333" s="2" t="s">
        <v>194</v>
      </c>
      <c r="I333" s="2" t="s">
        <v>503</v>
      </c>
      <c r="J333" s="2" t="s">
        <v>19</v>
      </c>
      <c r="K333" s="2" t="s">
        <v>353</v>
      </c>
      <c r="L333" s="7" t="str">
        <f t="shared" si="3"/>
        <v xml:space="preserve">http://slimages.macys.com/is/image/MCY/11804644 </v>
      </c>
    </row>
    <row r="334" spans="1:12" ht="24.75" x14ac:dyDescent="0.25">
      <c r="A334" s="4" t="s">
        <v>5744</v>
      </c>
      <c r="B334" s="2" t="s">
        <v>898</v>
      </c>
      <c r="C334" s="3">
        <v>1</v>
      </c>
      <c r="D334" s="5">
        <v>37.130000000000003</v>
      </c>
      <c r="E334" s="3">
        <v>100009193</v>
      </c>
      <c r="F334" s="2" t="s">
        <v>15</v>
      </c>
      <c r="G334" s="6" t="s">
        <v>22</v>
      </c>
      <c r="H334" s="2" t="s">
        <v>194</v>
      </c>
      <c r="I334" s="2" t="s">
        <v>503</v>
      </c>
      <c r="J334" s="2" t="s">
        <v>19</v>
      </c>
      <c r="K334" s="2" t="s">
        <v>353</v>
      </c>
      <c r="L334" s="7" t="str">
        <f t="shared" si="3"/>
        <v xml:space="preserve">http://slimages.macys.com/is/image/MCY/11804644 </v>
      </c>
    </row>
    <row r="335" spans="1:12" ht="24.75" x14ac:dyDescent="0.25">
      <c r="A335" s="4" t="s">
        <v>5743</v>
      </c>
      <c r="B335" s="2" t="s">
        <v>898</v>
      </c>
      <c r="C335" s="3">
        <v>5</v>
      </c>
      <c r="D335" s="5">
        <v>37.130000000000003</v>
      </c>
      <c r="E335" s="3">
        <v>100009193</v>
      </c>
      <c r="F335" s="2" t="s">
        <v>15</v>
      </c>
      <c r="G335" s="6" t="s">
        <v>16</v>
      </c>
      <c r="H335" s="2" t="s">
        <v>194</v>
      </c>
      <c r="I335" s="2" t="s">
        <v>503</v>
      </c>
      <c r="J335" s="2" t="s">
        <v>19</v>
      </c>
      <c r="K335" s="2" t="s">
        <v>353</v>
      </c>
      <c r="L335" s="7" t="str">
        <f t="shared" si="3"/>
        <v xml:space="preserve">http://slimages.macys.com/is/image/MCY/11804644 </v>
      </c>
    </row>
    <row r="336" spans="1:12" ht="24.75" x14ac:dyDescent="0.25">
      <c r="A336" s="4" t="s">
        <v>2558</v>
      </c>
      <c r="B336" s="2" t="s">
        <v>898</v>
      </c>
      <c r="C336" s="3">
        <v>2</v>
      </c>
      <c r="D336" s="5">
        <v>37.130000000000003</v>
      </c>
      <c r="E336" s="3">
        <v>100009193</v>
      </c>
      <c r="F336" s="2" t="s">
        <v>15</v>
      </c>
      <c r="G336" s="6" t="s">
        <v>27</v>
      </c>
      <c r="H336" s="2" t="s">
        <v>194</v>
      </c>
      <c r="I336" s="2" t="s">
        <v>503</v>
      </c>
      <c r="J336" s="2" t="s">
        <v>19</v>
      </c>
      <c r="K336" s="2" t="s">
        <v>353</v>
      </c>
      <c r="L336" s="7" t="str">
        <f t="shared" si="3"/>
        <v xml:space="preserve">http://slimages.macys.com/is/image/MCY/11804644 </v>
      </c>
    </row>
    <row r="337" spans="1:12" ht="24.75" x14ac:dyDescent="0.25">
      <c r="A337" s="4" t="s">
        <v>6552</v>
      </c>
      <c r="B337" s="2" t="s">
        <v>898</v>
      </c>
      <c r="C337" s="3">
        <v>3</v>
      </c>
      <c r="D337" s="5">
        <v>37.130000000000003</v>
      </c>
      <c r="E337" s="3">
        <v>100009193</v>
      </c>
      <c r="F337" s="2" t="s">
        <v>15</v>
      </c>
      <c r="G337" s="6" t="s">
        <v>58</v>
      </c>
      <c r="H337" s="2" t="s">
        <v>194</v>
      </c>
      <c r="I337" s="2" t="s">
        <v>503</v>
      </c>
      <c r="J337" s="2" t="s">
        <v>19</v>
      </c>
      <c r="K337" s="2" t="s">
        <v>353</v>
      </c>
      <c r="L337" s="7" t="str">
        <f t="shared" si="3"/>
        <v xml:space="preserve">http://slimages.macys.com/is/image/MCY/11804644 </v>
      </c>
    </row>
    <row r="338" spans="1:12" ht="24.75" x14ac:dyDescent="0.25">
      <c r="A338" s="4" t="s">
        <v>2557</v>
      </c>
      <c r="B338" s="2" t="s">
        <v>898</v>
      </c>
      <c r="C338" s="3">
        <v>1</v>
      </c>
      <c r="D338" s="5">
        <v>37.130000000000003</v>
      </c>
      <c r="E338" s="3">
        <v>100009193</v>
      </c>
      <c r="F338" s="2" t="s">
        <v>15</v>
      </c>
      <c r="G338" s="6" t="s">
        <v>106</v>
      </c>
      <c r="H338" s="2" t="s">
        <v>194</v>
      </c>
      <c r="I338" s="2" t="s">
        <v>503</v>
      </c>
      <c r="J338" s="2" t="s">
        <v>19</v>
      </c>
      <c r="K338" s="2" t="s">
        <v>353</v>
      </c>
      <c r="L338" s="7" t="str">
        <f t="shared" si="3"/>
        <v xml:space="preserve">http://slimages.macys.com/is/image/MCY/11804644 </v>
      </c>
    </row>
    <row r="339" spans="1:12" ht="24.75" x14ac:dyDescent="0.25">
      <c r="A339" s="4" t="s">
        <v>6553</v>
      </c>
      <c r="B339" s="2" t="s">
        <v>898</v>
      </c>
      <c r="C339" s="3">
        <v>2</v>
      </c>
      <c r="D339" s="5">
        <v>37.130000000000003</v>
      </c>
      <c r="E339" s="3">
        <v>100009193</v>
      </c>
      <c r="F339" s="2" t="s">
        <v>506</v>
      </c>
      <c r="G339" s="6" t="s">
        <v>112</v>
      </c>
      <c r="H339" s="2" t="s">
        <v>194</v>
      </c>
      <c r="I339" s="2" t="s">
        <v>503</v>
      </c>
      <c r="J339" s="2" t="s">
        <v>19</v>
      </c>
      <c r="K339" s="2" t="s">
        <v>353</v>
      </c>
      <c r="L339" s="7" t="str">
        <f t="shared" si="3"/>
        <v xml:space="preserve">http://slimages.macys.com/is/image/MCY/11804644 </v>
      </c>
    </row>
    <row r="340" spans="1:12" ht="24.75" x14ac:dyDescent="0.25">
      <c r="A340" s="4" t="s">
        <v>1074</v>
      </c>
      <c r="B340" s="2" t="s">
        <v>898</v>
      </c>
      <c r="C340" s="3">
        <v>3</v>
      </c>
      <c r="D340" s="5">
        <v>37.130000000000003</v>
      </c>
      <c r="E340" s="3">
        <v>100009193</v>
      </c>
      <c r="F340" s="2" t="s">
        <v>506</v>
      </c>
      <c r="G340" s="6" t="s">
        <v>22</v>
      </c>
      <c r="H340" s="2" t="s">
        <v>194</v>
      </c>
      <c r="I340" s="2" t="s">
        <v>503</v>
      </c>
      <c r="J340" s="2" t="s">
        <v>19</v>
      </c>
      <c r="K340" s="2" t="s">
        <v>353</v>
      </c>
      <c r="L340" s="7" t="str">
        <f t="shared" si="3"/>
        <v xml:space="preserve">http://slimages.macys.com/is/image/MCY/11804644 </v>
      </c>
    </row>
    <row r="341" spans="1:12" ht="24.75" x14ac:dyDescent="0.25">
      <c r="A341" s="4" t="s">
        <v>5742</v>
      </c>
      <c r="B341" s="2" t="s">
        <v>898</v>
      </c>
      <c r="C341" s="3">
        <v>1</v>
      </c>
      <c r="D341" s="5">
        <v>37.130000000000003</v>
      </c>
      <c r="E341" s="3">
        <v>100009193</v>
      </c>
      <c r="F341" s="2" t="s">
        <v>566</v>
      </c>
      <c r="G341" s="6" t="s">
        <v>16</v>
      </c>
      <c r="H341" s="2" t="s">
        <v>194</v>
      </c>
      <c r="I341" s="2" t="s">
        <v>503</v>
      </c>
      <c r="J341" s="2" t="s">
        <v>19</v>
      </c>
      <c r="K341" s="2" t="s">
        <v>353</v>
      </c>
      <c r="L341" s="7" t="str">
        <f t="shared" si="3"/>
        <v xml:space="preserve">http://slimages.macys.com/is/image/MCY/11804644 </v>
      </c>
    </row>
    <row r="342" spans="1:12" ht="24.75" x14ac:dyDescent="0.25">
      <c r="A342" s="4" t="s">
        <v>6554</v>
      </c>
      <c r="B342" s="2" t="s">
        <v>898</v>
      </c>
      <c r="C342" s="3">
        <v>1</v>
      </c>
      <c r="D342" s="5">
        <v>37.130000000000003</v>
      </c>
      <c r="E342" s="3">
        <v>100009193</v>
      </c>
      <c r="F342" s="2" t="s">
        <v>566</v>
      </c>
      <c r="G342" s="6" t="s">
        <v>112</v>
      </c>
      <c r="H342" s="2" t="s">
        <v>194</v>
      </c>
      <c r="I342" s="2" t="s">
        <v>503</v>
      </c>
      <c r="J342" s="2" t="s">
        <v>19</v>
      </c>
      <c r="K342" s="2" t="s">
        <v>353</v>
      </c>
      <c r="L342" s="7" t="str">
        <f t="shared" si="3"/>
        <v xml:space="preserve">http://slimages.macys.com/is/image/MCY/11804644 </v>
      </c>
    </row>
    <row r="343" spans="1:12" ht="24.75" x14ac:dyDescent="0.25">
      <c r="A343" s="4" t="s">
        <v>1072</v>
      </c>
      <c r="B343" s="2" t="s">
        <v>898</v>
      </c>
      <c r="C343" s="3">
        <v>1</v>
      </c>
      <c r="D343" s="5">
        <v>37.130000000000003</v>
      </c>
      <c r="E343" s="3">
        <v>100009193</v>
      </c>
      <c r="F343" s="2" t="s">
        <v>15</v>
      </c>
      <c r="G343" s="6" t="s">
        <v>141</v>
      </c>
      <c r="H343" s="2" t="s">
        <v>194</v>
      </c>
      <c r="I343" s="2" t="s">
        <v>503</v>
      </c>
      <c r="J343" s="2" t="s">
        <v>19</v>
      </c>
      <c r="K343" s="2" t="s">
        <v>353</v>
      </c>
      <c r="L343" s="7" t="str">
        <f t="shared" si="3"/>
        <v xml:space="preserve">http://slimages.macys.com/is/image/MCY/11804644 </v>
      </c>
    </row>
    <row r="344" spans="1:12" ht="24.75" x14ac:dyDescent="0.25">
      <c r="A344" s="4" t="s">
        <v>6555</v>
      </c>
      <c r="B344" s="2" t="s">
        <v>5746</v>
      </c>
      <c r="C344" s="3">
        <v>1</v>
      </c>
      <c r="D344" s="5">
        <v>59.5</v>
      </c>
      <c r="E344" s="3" t="s">
        <v>5747</v>
      </c>
      <c r="F344" s="2" t="s">
        <v>74</v>
      </c>
      <c r="G344" s="6" t="s">
        <v>126</v>
      </c>
      <c r="H344" s="2" t="s">
        <v>206</v>
      </c>
      <c r="I344" s="2" t="s">
        <v>207</v>
      </c>
      <c r="J344" s="2" t="s">
        <v>19</v>
      </c>
      <c r="K344" s="2" t="s">
        <v>409</v>
      </c>
      <c r="L344" s="7" t="str">
        <f>HYPERLINK("http://slimages.macys.com/is/image/MCY/9796578 ")</f>
        <v xml:space="preserve">http://slimages.macys.com/is/image/MCY/9796578 </v>
      </c>
    </row>
    <row r="345" spans="1:12" ht="24.75" x14ac:dyDescent="0.25">
      <c r="A345" s="4" t="s">
        <v>6556</v>
      </c>
      <c r="B345" s="2" t="s">
        <v>2566</v>
      </c>
      <c r="C345" s="3">
        <v>1</v>
      </c>
      <c r="D345" s="5">
        <v>34.880000000000003</v>
      </c>
      <c r="E345" s="3" t="s">
        <v>2567</v>
      </c>
      <c r="F345" s="2" t="s">
        <v>15</v>
      </c>
      <c r="G345" s="6" t="s">
        <v>187</v>
      </c>
      <c r="H345" s="2" t="s">
        <v>632</v>
      </c>
      <c r="I345" s="2" t="s">
        <v>2548</v>
      </c>
      <c r="J345" s="2" t="s">
        <v>19</v>
      </c>
      <c r="K345" s="2" t="s">
        <v>34</v>
      </c>
      <c r="L345" s="7" t="str">
        <f>HYPERLINK("http://slimages.macys.com/is/image/MCY/12716939 ")</f>
        <v xml:space="preserve">http://slimages.macys.com/is/image/MCY/12716939 </v>
      </c>
    </row>
    <row r="346" spans="1:12" ht="24.75" x14ac:dyDescent="0.25">
      <c r="A346" s="4" t="s">
        <v>2569</v>
      </c>
      <c r="B346" s="2" t="s">
        <v>2566</v>
      </c>
      <c r="C346" s="3">
        <v>1</v>
      </c>
      <c r="D346" s="5">
        <v>34.880000000000003</v>
      </c>
      <c r="E346" s="3" t="s">
        <v>2567</v>
      </c>
      <c r="F346" s="2" t="s">
        <v>15</v>
      </c>
      <c r="G346" s="6" t="s">
        <v>794</v>
      </c>
      <c r="H346" s="2" t="s">
        <v>632</v>
      </c>
      <c r="I346" s="2" t="s">
        <v>2548</v>
      </c>
      <c r="J346" s="2" t="s">
        <v>19</v>
      </c>
      <c r="K346" s="2" t="s">
        <v>34</v>
      </c>
      <c r="L346" s="7" t="str">
        <f>HYPERLINK("http://slimages.macys.com/is/image/MCY/12716939 ")</f>
        <v xml:space="preserve">http://slimages.macys.com/is/image/MCY/12716939 </v>
      </c>
    </row>
    <row r="347" spans="1:12" ht="24.75" x14ac:dyDescent="0.25">
      <c r="A347" s="4" t="s">
        <v>6557</v>
      </c>
      <c r="B347" s="2" t="s">
        <v>6558</v>
      </c>
      <c r="C347" s="3">
        <v>1</v>
      </c>
      <c r="D347" s="5">
        <v>40.880000000000003</v>
      </c>
      <c r="E347" s="3" t="s">
        <v>6559</v>
      </c>
      <c r="F347" s="2" t="s">
        <v>3267</v>
      </c>
      <c r="G347" s="6" t="s">
        <v>156</v>
      </c>
      <c r="H347" s="2" t="s">
        <v>284</v>
      </c>
      <c r="I347" s="2" t="s">
        <v>285</v>
      </c>
      <c r="J347" s="2" t="s">
        <v>19</v>
      </c>
      <c r="K347" s="2" t="s">
        <v>160</v>
      </c>
      <c r="L347" s="7" t="str">
        <f>HYPERLINK("http://slimages.macys.com/is/image/MCY/12671722 ")</f>
        <v xml:space="preserve">http://slimages.macys.com/is/image/MCY/12671722 </v>
      </c>
    </row>
    <row r="348" spans="1:12" ht="24.75" x14ac:dyDescent="0.25">
      <c r="A348" s="4" t="s">
        <v>6560</v>
      </c>
      <c r="B348" s="2" t="s">
        <v>1394</v>
      </c>
      <c r="C348" s="3">
        <v>1</v>
      </c>
      <c r="D348" s="5">
        <v>37.130000000000003</v>
      </c>
      <c r="E348" s="3" t="s">
        <v>5757</v>
      </c>
      <c r="F348" s="2" t="s">
        <v>53</v>
      </c>
      <c r="G348" s="6" t="s">
        <v>234</v>
      </c>
      <c r="H348" s="2" t="s">
        <v>194</v>
      </c>
      <c r="I348" s="2" t="s">
        <v>195</v>
      </c>
      <c r="J348" s="2" t="s">
        <v>19</v>
      </c>
      <c r="K348" s="2" t="s">
        <v>34</v>
      </c>
      <c r="L348" s="7" t="str">
        <f>HYPERLINK("http://slimages.macys.com/is/image/MCY/13367997 ")</f>
        <v xml:space="preserve">http://slimages.macys.com/is/image/MCY/13367997 </v>
      </c>
    </row>
    <row r="349" spans="1:12" ht="24.75" x14ac:dyDescent="0.25">
      <c r="A349" s="4" t="s">
        <v>6561</v>
      </c>
      <c r="B349" s="2" t="s">
        <v>5759</v>
      </c>
      <c r="C349" s="3">
        <v>1</v>
      </c>
      <c r="D349" s="5">
        <v>37.130000000000003</v>
      </c>
      <c r="E349" s="3">
        <v>100054435</v>
      </c>
      <c r="F349" s="2" t="s">
        <v>199</v>
      </c>
      <c r="G349" s="6" t="s">
        <v>154</v>
      </c>
      <c r="H349" s="2" t="s">
        <v>194</v>
      </c>
      <c r="I349" s="2" t="s">
        <v>857</v>
      </c>
      <c r="J349" s="2" t="s">
        <v>19</v>
      </c>
      <c r="K349" s="2" t="s">
        <v>201</v>
      </c>
      <c r="L349" s="7" t="str">
        <f>HYPERLINK("http://slimages.macys.com/is/image/MCY/12279823 ")</f>
        <v xml:space="preserve">http://slimages.macys.com/is/image/MCY/12279823 </v>
      </c>
    </row>
    <row r="350" spans="1:12" ht="24.75" x14ac:dyDescent="0.25">
      <c r="A350" s="4" t="s">
        <v>5758</v>
      </c>
      <c r="B350" s="2" t="s">
        <v>5759</v>
      </c>
      <c r="C350" s="3">
        <v>1</v>
      </c>
      <c r="D350" s="5">
        <v>37.130000000000003</v>
      </c>
      <c r="E350" s="3">
        <v>100054435</v>
      </c>
      <c r="F350" s="2" t="s">
        <v>199</v>
      </c>
      <c r="G350" s="6" t="s">
        <v>181</v>
      </c>
      <c r="H350" s="2" t="s">
        <v>194</v>
      </c>
      <c r="I350" s="2" t="s">
        <v>857</v>
      </c>
      <c r="J350" s="2" t="s">
        <v>19</v>
      </c>
      <c r="K350" s="2" t="s">
        <v>201</v>
      </c>
      <c r="L350" s="7" t="str">
        <f>HYPERLINK("http://slimages.macys.com/is/image/MCY/12279823 ")</f>
        <v xml:space="preserve">http://slimages.macys.com/is/image/MCY/12279823 </v>
      </c>
    </row>
    <row r="351" spans="1:12" ht="24.75" x14ac:dyDescent="0.25">
      <c r="A351" s="4" t="s">
        <v>5766</v>
      </c>
      <c r="B351" s="2" t="s">
        <v>1106</v>
      </c>
      <c r="C351" s="3">
        <v>1</v>
      </c>
      <c r="D351" s="5">
        <v>32.5</v>
      </c>
      <c r="E351" s="3" t="s">
        <v>4834</v>
      </c>
      <c r="F351" s="2" t="s">
        <v>74</v>
      </c>
      <c r="G351" s="6" t="s">
        <v>181</v>
      </c>
      <c r="H351" s="2" t="s">
        <v>194</v>
      </c>
      <c r="I351" s="2" t="s">
        <v>195</v>
      </c>
      <c r="J351" s="2" t="s">
        <v>19</v>
      </c>
      <c r="K351" s="2" t="s">
        <v>1108</v>
      </c>
      <c r="L351" s="7" t="str">
        <f>HYPERLINK("http://slimages.macys.com/is/image/MCY/11526915 ")</f>
        <v xml:space="preserve">http://slimages.macys.com/is/image/MCY/11526915 </v>
      </c>
    </row>
    <row r="352" spans="1:12" ht="24.75" x14ac:dyDescent="0.25">
      <c r="A352" s="4" t="s">
        <v>5767</v>
      </c>
      <c r="B352" s="2" t="s">
        <v>1114</v>
      </c>
      <c r="C352" s="3">
        <v>1</v>
      </c>
      <c r="D352" s="5">
        <v>37.130000000000003</v>
      </c>
      <c r="E352" s="3">
        <v>100042369</v>
      </c>
      <c r="F352" s="2" t="s">
        <v>64</v>
      </c>
      <c r="G352" s="6" t="s">
        <v>16</v>
      </c>
      <c r="H352" s="2" t="s">
        <v>194</v>
      </c>
      <c r="I352" s="2" t="s">
        <v>195</v>
      </c>
      <c r="J352" s="2"/>
      <c r="K352" s="2"/>
      <c r="L352" s="7" t="str">
        <f>HYPERLINK("http://slimages.macys.com/is/image/MCY/11934939 ")</f>
        <v xml:space="preserve">http://slimages.macys.com/is/image/MCY/11934939 </v>
      </c>
    </row>
    <row r="353" spans="1:12" ht="24.75" x14ac:dyDescent="0.25">
      <c r="A353" s="4" t="s">
        <v>6562</v>
      </c>
      <c r="B353" s="2" t="s">
        <v>1114</v>
      </c>
      <c r="C353" s="3">
        <v>1</v>
      </c>
      <c r="D353" s="5">
        <v>36.5</v>
      </c>
      <c r="E353" s="3">
        <v>100042369</v>
      </c>
      <c r="F353" s="2" t="s">
        <v>199</v>
      </c>
      <c r="G353" s="6" t="s">
        <v>16</v>
      </c>
      <c r="H353" s="2" t="s">
        <v>194</v>
      </c>
      <c r="I353" s="2" t="s">
        <v>195</v>
      </c>
      <c r="J353" s="2" t="s">
        <v>19</v>
      </c>
      <c r="K353" s="2" t="s">
        <v>353</v>
      </c>
      <c r="L353" s="7" t="str">
        <f>HYPERLINK("http://slimages.macys.com/is/image/MCY/11934953 ")</f>
        <v xml:space="preserve">http://slimages.macys.com/is/image/MCY/11934953 </v>
      </c>
    </row>
    <row r="354" spans="1:12" ht="24.75" x14ac:dyDescent="0.25">
      <c r="A354" s="4" t="s">
        <v>1120</v>
      </c>
      <c r="B354" s="2" t="s">
        <v>1118</v>
      </c>
      <c r="C354" s="3">
        <v>1</v>
      </c>
      <c r="D354" s="5">
        <v>37.130000000000003</v>
      </c>
      <c r="E354" s="3">
        <v>100070736</v>
      </c>
      <c r="F354" s="2" t="s">
        <v>376</v>
      </c>
      <c r="G354" s="6" t="s">
        <v>154</v>
      </c>
      <c r="H354" s="2" t="s">
        <v>194</v>
      </c>
      <c r="I354" s="2" t="s">
        <v>195</v>
      </c>
      <c r="J354" s="2" t="s">
        <v>19</v>
      </c>
      <c r="K354" s="2" t="s">
        <v>353</v>
      </c>
      <c r="L354" s="7" t="str">
        <f>HYPERLINK("http://slimages.macys.com/is/image/MCY/13120823 ")</f>
        <v xml:space="preserve">http://slimages.macys.com/is/image/MCY/13120823 </v>
      </c>
    </row>
    <row r="355" spans="1:12" ht="24.75" x14ac:dyDescent="0.25">
      <c r="A355" s="4" t="s">
        <v>1125</v>
      </c>
      <c r="B355" s="2" t="s">
        <v>1118</v>
      </c>
      <c r="C355" s="3">
        <v>1</v>
      </c>
      <c r="D355" s="5">
        <v>37.130000000000003</v>
      </c>
      <c r="E355" s="3">
        <v>100070736</v>
      </c>
      <c r="F355" s="2" t="s">
        <v>74</v>
      </c>
      <c r="G355" s="6" t="s">
        <v>181</v>
      </c>
      <c r="H355" s="2" t="s">
        <v>194</v>
      </c>
      <c r="I355" s="2" t="s">
        <v>195</v>
      </c>
      <c r="J355" s="2" t="s">
        <v>19</v>
      </c>
      <c r="K355" s="2" t="s">
        <v>353</v>
      </c>
      <c r="L355" s="7" t="str">
        <f>HYPERLINK("http://slimages.macys.com/is/image/MCY/13120823 ")</f>
        <v xml:space="preserve">http://slimages.macys.com/is/image/MCY/13120823 </v>
      </c>
    </row>
    <row r="356" spans="1:12" ht="24.75" x14ac:dyDescent="0.25">
      <c r="A356" s="4" t="s">
        <v>1124</v>
      </c>
      <c r="B356" s="2" t="s">
        <v>1118</v>
      </c>
      <c r="C356" s="3">
        <v>1</v>
      </c>
      <c r="D356" s="5">
        <v>37.130000000000003</v>
      </c>
      <c r="E356" s="3">
        <v>100070736</v>
      </c>
      <c r="F356" s="2" t="s">
        <v>74</v>
      </c>
      <c r="G356" s="6" t="s">
        <v>234</v>
      </c>
      <c r="H356" s="2" t="s">
        <v>194</v>
      </c>
      <c r="I356" s="2" t="s">
        <v>195</v>
      </c>
      <c r="J356" s="2" t="s">
        <v>19</v>
      </c>
      <c r="K356" s="2" t="s">
        <v>353</v>
      </c>
      <c r="L356" s="7" t="str">
        <f>HYPERLINK("http://slimages.macys.com/is/image/MCY/13120823 ")</f>
        <v xml:space="preserve">http://slimages.macys.com/is/image/MCY/13120823 </v>
      </c>
    </row>
    <row r="357" spans="1:12" ht="24.75" x14ac:dyDescent="0.25">
      <c r="A357" s="4" t="s">
        <v>1123</v>
      </c>
      <c r="B357" s="2" t="s">
        <v>1118</v>
      </c>
      <c r="C357" s="3">
        <v>1</v>
      </c>
      <c r="D357" s="5">
        <v>37.130000000000003</v>
      </c>
      <c r="E357" s="3">
        <v>100070736</v>
      </c>
      <c r="F357" s="2" t="s">
        <v>74</v>
      </c>
      <c r="G357" s="6" t="s">
        <v>156</v>
      </c>
      <c r="H357" s="2" t="s">
        <v>194</v>
      </c>
      <c r="I357" s="2" t="s">
        <v>195</v>
      </c>
      <c r="J357" s="2" t="s">
        <v>19</v>
      </c>
      <c r="K357" s="2" t="s">
        <v>353</v>
      </c>
      <c r="L357" s="7" t="str">
        <f>HYPERLINK("http://slimages.macys.com/is/image/MCY/13120823 ")</f>
        <v xml:space="preserve">http://slimages.macys.com/is/image/MCY/13120823 </v>
      </c>
    </row>
    <row r="358" spans="1:12" ht="24.75" x14ac:dyDescent="0.25">
      <c r="A358" s="4" t="s">
        <v>1126</v>
      </c>
      <c r="B358" s="2" t="s">
        <v>1118</v>
      </c>
      <c r="C358" s="3">
        <v>2</v>
      </c>
      <c r="D358" s="5">
        <v>37.130000000000003</v>
      </c>
      <c r="E358" s="3">
        <v>100070736</v>
      </c>
      <c r="F358" s="2" t="s">
        <v>74</v>
      </c>
      <c r="G358" s="6" t="s">
        <v>154</v>
      </c>
      <c r="H358" s="2" t="s">
        <v>194</v>
      </c>
      <c r="I358" s="2" t="s">
        <v>195</v>
      </c>
      <c r="J358" s="2" t="s">
        <v>19</v>
      </c>
      <c r="K358" s="2" t="s">
        <v>353</v>
      </c>
      <c r="L358" s="7" t="str">
        <f>HYPERLINK("http://slimages.macys.com/is/image/MCY/13120823 ")</f>
        <v xml:space="preserve">http://slimages.macys.com/is/image/MCY/13120823 </v>
      </c>
    </row>
    <row r="359" spans="1:12" ht="24.75" x14ac:dyDescent="0.25">
      <c r="A359" s="4" t="s">
        <v>3755</v>
      </c>
      <c r="B359" s="2" t="s">
        <v>1128</v>
      </c>
      <c r="C359" s="3">
        <v>1</v>
      </c>
      <c r="D359" s="5">
        <v>32.5</v>
      </c>
      <c r="E359" s="3" t="s">
        <v>1129</v>
      </c>
      <c r="F359" s="2" t="s">
        <v>252</v>
      </c>
      <c r="G359" s="6" t="s">
        <v>200</v>
      </c>
      <c r="H359" s="2" t="s">
        <v>194</v>
      </c>
      <c r="I359" s="2" t="s">
        <v>195</v>
      </c>
      <c r="J359" s="2" t="s">
        <v>19</v>
      </c>
      <c r="K359" s="2" t="s">
        <v>1108</v>
      </c>
      <c r="L359" s="7" t="str">
        <f>HYPERLINK("http://slimages.macys.com/is/image/MCY/12850781 ")</f>
        <v xml:space="preserve">http://slimages.macys.com/is/image/MCY/12850781 </v>
      </c>
    </row>
    <row r="360" spans="1:12" ht="24.75" x14ac:dyDescent="0.25">
      <c r="A360" s="4" t="s">
        <v>6563</v>
      </c>
      <c r="B360" s="2" t="s">
        <v>1132</v>
      </c>
      <c r="C360" s="3">
        <v>1</v>
      </c>
      <c r="D360" s="5">
        <v>34.5</v>
      </c>
      <c r="E360" s="3" t="s">
        <v>6564</v>
      </c>
      <c r="F360" s="2" t="s">
        <v>252</v>
      </c>
      <c r="G360" s="6" t="s">
        <v>238</v>
      </c>
      <c r="H360" s="2" t="s">
        <v>426</v>
      </c>
      <c r="I360" s="2" t="s">
        <v>229</v>
      </c>
      <c r="J360" s="2" t="s">
        <v>19</v>
      </c>
      <c r="K360" s="2" t="s">
        <v>253</v>
      </c>
      <c r="L360" s="7" t="str">
        <f>HYPERLINK("http://slimages.macys.com/is/image/MCY/1650191 ")</f>
        <v xml:space="preserve">http://slimages.macys.com/is/image/MCY/1650191 </v>
      </c>
    </row>
    <row r="361" spans="1:12" ht="24.75" x14ac:dyDescent="0.25">
      <c r="A361" s="4" t="s">
        <v>6565</v>
      </c>
      <c r="B361" s="2" t="s">
        <v>1106</v>
      </c>
      <c r="C361" s="3">
        <v>1</v>
      </c>
      <c r="D361" s="5">
        <v>32.5</v>
      </c>
      <c r="E361" s="3" t="s">
        <v>1149</v>
      </c>
      <c r="F361" s="2" t="s">
        <v>26</v>
      </c>
      <c r="G361" s="6"/>
      <c r="H361" s="2" t="s">
        <v>312</v>
      </c>
      <c r="I361" s="2" t="s">
        <v>195</v>
      </c>
      <c r="J361" s="2" t="s">
        <v>19</v>
      </c>
      <c r="K361" s="2" t="s">
        <v>1150</v>
      </c>
      <c r="L361" s="7" t="str">
        <f>HYPERLINK("http://slimages.macys.com/is/image/MCY/11764459 ")</f>
        <v xml:space="preserve">http://slimages.macys.com/is/image/MCY/11764459 </v>
      </c>
    </row>
    <row r="362" spans="1:12" ht="24.75" x14ac:dyDescent="0.25">
      <c r="A362" s="4" t="s">
        <v>6566</v>
      </c>
      <c r="B362" s="2" t="s">
        <v>1167</v>
      </c>
      <c r="C362" s="3">
        <v>1</v>
      </c>
      <c r="D362" s="5">
        <v>34.5</v>
      </c>
      <c r="E362" s="3" t="s">
        <v>6567</v>
      </c>
      <c r="F362" s="2" t="s">
        <v>417</v>
      </c>
      <c r="G362" s="6" t="s">
        <v>141</v>
      </c>
      <c r="H362" s="2" t="s">
        <v>228</v>
      </c>
      <c r="I362" s="2" t="s">
        <v>863</v>
      </c>
      <c r="J362" s="2" t="s">
        <v>19</v>
      </c>
      <c r="K362" s="2" t="s">
        <v>230</v>
      </c>
      <c r="L362" s="7" t="str">
        <f>HYPERLINK("http://slimages.macys.com/is/image/MCY/3623515 ")</f>
        <v xml:space="preserve">http://slimages.macys.com/is/image/MCY/3623515 </v>
      </c>
    </row>
    <row r="363" spans="1:12" ht="24.75" x14ac:dyDescent="0.25">
      <c r="A363" s="4" t="s">
        <v>6568</v>
      </c>
      <c r="B363" s="2" t="s">
        <v>6569</v>
      </c>
      <c r="C363" s="3">
        <v>1</v>
      </c>
      <c r="D363" s="5">
        <v>27.99</v>
      </c>
      <c r="E363" s="3" t="s">
        <v>6570</v>
      </c>
      <c r="F363" s="2" t="s">
        <v>33</v>
      </c>
      <c r="G363" s="6" t="s">
        <v>154</v>
      </c>
      <c r="H363" s="2" t="s">
        <v>1522</v>
      </c>
      <c r="I363" s="2" t="s">
        <v>1469</v>
      </c>
      <c r="J363" s="2" t="s">
        <v>19</v>
      </c>
      <c r="K363" s="2" t="s">
        <v>495</v>
      </c>
      <c r="L363" s="7" t="str">
        <f>HYPERLINK("http://slimages.macys.com/is/image/MCY/11830613 ")</f>
        <v xml:space="preserve">http://slimages.macys.com/is/image/MCY/11830613 </v>
      </c>
    </row>
    <row r="364" spans="1:12" ht="24.75" x14ac:dyDescent="0.25">
      <c r="A364" s="4" t="s">
        <v>5783</v>
      </c>
      <c r="B364" s="2" t="s">
        <v>1199</v>
      </c>
      <c r="C364" s="3">
        <v>2</v>
      </c>
      <c r="D364" s="5">
        <v>37.130000000000003</v>
      </c>
      <c r="E364" s="3">
        <v>100009324</v>
      </c>
      <c r="F364" s="2" t="s">
        <v>70</v>
      </c>
      <c r="G364" s="6" t="s">
        <v>16</v>
      </c>
      <c r="H364" s="2" t="s">
        <v>194</v>
      </c>
      <c r="I364" s="2" t="s">
        <v>195</v>
      </c>
      <c r="J364" s="2" t="s">
        <v>19</v>
      </c>
      <c r="K364" s="2" t="s">
        <v>353</v>
      </c>
      <c r="L364" s="7" t="str">
        <f>HYPERLINK("http://slimages.macys.com/is/image/MCY/9404224 ")</f>
        <v xml:space="preserve">http://slimages.macys.com/is/image/MCY/9404224 </v>
      </c>
    </row>
    <row r="365" spans="1:12" ht="24.75" x14ac:dyDescent="0.25">
      <c r="A365" s="4" t="s">
        <v>2597</v>
      </c>
      <c r="B365" s="2" t="s">
        <v>1199</v>
      </c>
      <c r="C365" s="3">
        <v>2</v>
      </c>
      <c r="D365" s="5">
        <v>37.130000000000003</v>
      </c>
      <c r="E365" s="3">
        <v>100009324</v>
      </c>
      <c r="F365" s="2" t="s">
        <v>70</v>
      </c>
      <c r="G365" s="6" t="s">
        <v>27</v>
      </c>
      <c r="H365" s="2" t="s">
        <v>194</v>
      </c>
      <c r="I365" s="2" t="s">
        <v>195</v>
      </c>
      <c r="J365" s="2" t="s">
        <v>19</v>
      </c>
      <c r="K365" s="2" t="s">
        <v>353</v>
      </c>
      <c r="L365" s="7" t="str">
        <f>HYPERLINK("http://slimages.macys.com/is/image/MCY/9404224 ")</f>
        <v xml:space="preserve">http://slimages.macys.com/is/image/MCY/9404224 </v>
      </c>
    </row>
    <row r="366" spans="1:12" ht="24.75" x14ac:dyDescent="0.25">
      <c r="A366" s="4" t="s">
        <v>6571</v>
      </c>
      <c r="B366" s="2" t="s">
        <v>1199</v>
      </c>
      <c r="C366" s="3">
        <v>1</v>
      </c>
      <c r="D366" s="5">
        <v>37.130000000000003</v>
      </c>
      <c r="E366" s="3">
        <v>100009324</v>
      </c>
      <c r="F366" s="2" t="s">
        <v>33</v>
      </c>
      <c r="G366" s="6" t="s">
        <v>22</v>
      </c>
      <c r="H366" s="2" t="s">
        <v>194</v>
      </c>
      <c r="I366" s="2" t="s">
        <v>195</v>
      </c>
      <c r="J366" s="2" t="s">
        <v>19</v>
      </c>
      <c r="K366" s="2" t="s">
        <v>353</v>
      </c>
      <c r="L366" s="7" t="str">
        <f>HYPERLINK("http://slimages.macys.com/is/image/MCY/12316457 ")</f>
        <v xml:space="preserve">http://slimages.macys.com/is/image/MCY/12316457 </v>
      </c>
    </row>
    <row r="367" spans="1:12" ht="24.75" x14ac:dyDescent="0.25">
      <c r="A367" s="4" t="s">
        <v>6572</v>
      </c>
      <c r="B367" s="2" t="s">
        <v>1199</v>
      </c>
      <c r="C367" s="3">
        <v>1</v>
      </c>
      <c r="D367" s="5">
        <v>37.130000000000003</v>
      </c>
      <c r="E367" s="3">
        <v>100009324</v>
      </c>
      <c r="F367" s="2" t="s">
        <v>33</v>
      </c>
      <c r="G367" s="6" t="s">
        <v>16</v>
      </c>
      <c r="H367" s="2" t="s">
        <v>194</v>
      </c>
      <c r="I367" s="2" t="s">
        <v>195</v>
      </c>
      <c r="J367" s="2" t="s">
        <v>19</v>
      </c>
      <c r="K367" s="2" t="s">
        <v>353</v>
      </c>
      <c r="L367" s="7" t="str">
        <f>HYPERLINK("http://slimages.macys.com/is/image/MCY/12316457 ")</f>
        <v xml:space="preserve">http://slimages.macys.com/is/image/MCY/12316457 </v>
      </c>
    </row>
    <row r="368" spans="1:12" ht="24.75" x14ac:dyDescent="0.25">
      <c r="A368" s="4" t="s">
        <v>6573</v>
      </c>
      <c r="B368" s="2" t="s">
        <v>1106</v>
      </c>
      <c r="C368" s="3">
        <v>1</v>
      </c>
      <c r="D368" s="5">
        <v>33.380000000000003</v>
      </c>
      <c r="E368" s="3" t="s">
        <v>3775</v>
      </c>
      <c r="F368" s="2" t="s">
        <v>417</v>
      </c>
      <c r="G368" s="6" t="s">
        <v>200</v>
      </c>
      <c r="H368" s="2" t="s">
        <v>194</v>
      </c>
      <c r="I368" s="2" t="s">
        <v>195</v>
      </c>
      <c r="J368" s="2" t="s">
        <v>19</v>
      </c>
      <c r="K368" s="2" t="s">
        <v>1108</v>
      </c>
      <c r="L368" s="7" t="str">
        <f>HYPERLINK("http://slimages.macys.com/is/image/MCY/12034216 ")</f>
        <v xml:space="preserve">http://slimages.macys.com/is/image/MCY/12034216 </v>
      </c>
    </row>
    <row r="369" spans="1:12" ht="24.75" x14ac:dyDescent="0.25">
      <c r="A369" s="4" t="s">
        <v>5788</v>
      </c>
      <c r="B369" s="2" t="s">
        <v>1106</v>
      </c>
      <c r="C369" s="3">
        <v>1</v>
      </c>
      <c r="D369" s="5">
        <v>32.5</v>
      </c>
      <c r="E369" s="3" t="s">
        <v>2600</v>
      </c>
      <c r="F369" s="2" t="s">
        <v>15</v>
      </c>
      <c r="G369" s="6" t="s">
        <v>154</v>
      </c>
      <c r="H369" s="2" t="s">
        <v>194</v>
      </c>
      <c r="I369" s="2" t="s">
        <v>195</v>
      </c>
      <c r="J369" s="2" t="s">
        <v>19</v>
      </c>
      <c r="K369" s="2" t="s">
        <v>1108</v>
      </c>
      <c r="L369" s="7" t="str">
        <f>HYPERLINK("http://slimages.macys.com/is/image/MCY/11776301 ")</f>
        <v xml:space="preserve">http://slimages.macys.com/is/image/MCY/11776301 </v>
      </c>
    </row>
    <row r="370" spans="1:12" ht="24.75" x14ac:dyDescent="0.25">
      <c r="A370" s="4" t="s">
        <v>6574</v>
      </c>
      <c r="B370" s="2" t="s">
        <v>1106</v>
      </c>
      <c r="C370" s="3">
        <v>1</v>
      </c>
      <c r="D370" s="5">
        <v>32.5</v>
      </c>
      <c r="E370" s="3" t="s">
        <v>2600</v>
      </c>
      <c r="F370" s="2" t="s">
        <v>15</v>
      </c>
      <c r="G370" s="6" t="s">
        <v>156</v>
      </c>
      <c r="H370" s="2" t="s">
        <v>194</v>
      </c>
      <c r="I370" s="2" t="s">
        <v>195</v>
      </c>
      <c r="J370" s="2" t="s">
        <v>19</v>
      </c>
      <c r="K370" s="2" t="s">
        <v>1108</v>
      </c>
      <c r="L370" s="7" t="str">
        <f>HYPERLINK("http://slimages.macys.com/is/image/MCY/11776301 ")</f>
        <v xml:space="preserve">http://slimages.macys.com/is/image/MCY/11776301 </v>
      </c>
    </row>
    <row r="371" spans="1:12" ht="24.75" x14ac:dyDescent="0.25">
      <c r="A371" s="4" t="s">
        <v>6575</v>
      </c>
      <c r="B371" s="2" t="s">
        <v>1181</v>
      </c>
      <c r="C371" s="3">
        <v>1</v>
      </c>
      <c r="D371" s="5">
        <v>37.130000000000003</v>
      </c>
      <c r="E371" s="3">
        <v>100064797</v>
      </c>
      <c r="F371" s="2" t="s">
        <v>15</v>
      </c>
      <c r="G371" s="6" t="s">
        <v>245</v>
      </c>
      <c r="H371" s="2" t="s">
        <v>194</v>
      </c>
      <c r="I371" s="2" t="s">
        <v>195</v>
      </c>
      <c r="J371" s="2" t="s">
        <v>19</v>
      </c>
      <c r="K371" s="2" t="s">
        <v>247</v>
      </c>
      <c r="L371" s="7" t="str">
        <f>HYPERLINK("http://slimages.macys.com/is/image/MCY/12950007 ")</f>
        <v xml:space="preserve">http://slimages.macys.com/is/image/MCY/12950007 </v>
      </c>
    </row>
    <row r="372" spans="1:12" ht="24.75" x14ac:dyDescent="0.25">
      <c r="A372" s="4" t="s">
        <v>6576</v>
      </c>
      <c r="B372" s="2" t="s">
        <v>1106</v>
      </c>
      <c r="C372" s="3">
        <v>1</v>
      </c>
      <c r="D372" s="5">
        <v>33.380000000000003</v>
      </c>
      <c r="E372" s="3" t="s">
        <v>3775</v>
      </c>
      <c r="F372" s="2" t="s">
        <v>417</v>
      </c>
      <c r="G372" s="6" t="s">
        <v>154</v>
      </c>
      <c r="H372" s="2" t="s">
        <v>194</v>
      </c>
      <c r="I372" s="2" t="s">
        <v>195</v>
      </c>
      <c r="J372" s="2" t="s">
        <v>19</v>
      </c>
      <c r="K372" s="2" t="s">
        <v>1108</v>
      </c>
      <c r="L372" s="7" t="str">
        <f>HYPERLINK("http://slimages.macys.com/is/image/MCY/12034216 ")</f>
        <v xml:space="preserve">http://slimages.macys.com/is/image/MCY/12034216 </v>
      </c>
    </row>
    <row r="373" spans="1:12" ht="24.75" x14ac:dyDescent="0.25">
      <c r="A373" s="4" t="s">
        <v>6577</v>
      </c>
      <c r="B373" s="2" t="s">
        <v>4858</v>
      </c>
      <c r="C373" s="3">
        <v>1</v>
      </c>
      <c r="D373" s="5">
        <v>37.130000000000003</v>
      </c>
      <c r="E373" s="3" t="s">
        <v>4859</v>
      </c>
      <c r="F373" s="2" t="s">
        <v>26</v>
      </c>
      <c r="G373" s="6" t="s">
        <v>200</v>
      </c>
      <c r="H373" s="2" t="s">
        <v>246</v>
      </c>
      <c r="I373" s="2" t="s">
        <v>189</v>
      </c>
      <c r="J373" s="2" t="s">
        <v>19</v>
      </c>
      <c r="K373" s="2" t="s">
        <v>34</v>
      </c>
      <c r="L373" s="7" t="str">
        <f>HYPERLINK("http://slimages.macys.com/is/image/MCY/12327034 ")</f>
        <v xml:space="preserve">http://slimages.macys.com/is/image/MCY/12327034 </v>
      </c>
    </row>
    <row r="374" spans="1:12" ht="24.75" x14ac:dyDescent="0.25">
      <c r="A374" s="4" t="s">
        <v>3776</v>
      </c>
      <c r="B374" s="2" t="s">
        <v>1183</v>
      </c>
      <c r="C374" s="3">
        <v>1</v>
      </c>
      <c r="D374" s="5">
        <v>34.5</v>
      </c>
      <c r="E374" s="3" t="s">
        <v>3777</v>
      </c>
      <c r="F374" s="2" t="s">
        <v>74</v>
      </c>
      <c r="G374" s="6" t="s">
        <v>156</v>
      </c>
      <c r="H374" s="2" t="s">
        <v>228</v>
      </c>
      <c r="I374" s="2" t="s">
        <v>229</v>
      </c>
      <c r="J374" s="2" t="s">
        <v>19</v>
      </c>
      <c r="K374" s="2" t="s">
        <v>253</v>
      </c>
      <c r="L374" s="7" t="str">
        <f>HYPERLINK("http://slimages.macys.com/is/image/MCY/11269044 ")</f>
        <v xml:space="preserve">http://slimages.macys.com/is/image/MCY/11269044 </v>
      </c>
    </row>
    <row r="375" spans="1:12" ht="24.75" x14ac:dyDescent="0.25">
      <c r="A375" s="4" t="s">
        <v>5794</v>
      </c>
      <c r="B375" s="2" t="s">
        <v>1183</v>
      </c>
      <c r="C375" s="3">
        <v>2</v>
      </c>
      <c r="D375" s="5">
        <v>34.5</v>
      </c>
      <c r="E375" s="3" t="s">
        <v>2602</v>
      </c>
      <c r="F375" s="2" t="s">
        <v>26</v>
      </c>
      <c r="G375" s="6" t="s">
        <v>234</v>
      </c>
      <c r="H375" s="2" t="s">
        <v>228</v>
      </c>
      <c r="I375" s="2" t="s">
        <v>229</v>
      </c>
      <c r="J375" s="2" t="s">
        <v>19</v>
      </c>
      <c r="K375" s="2" t="s">
        <v>253</v>
      </c>
      <c r="L375" s="7" t="str">
        <f>HYPERLINK("http://slimages.macys.com/is/image/MCY/11269044 ")</f>
        <v xml:space="preserve">http://slimages.macys.com/is/image/MCY/11269044 </v>
      </c>
    </row>
    <row r="376" spans="1:12" ht="24.75" x14ac:dyDescent="0.25">
      <c r="A376" s="4" t="s">
        <v>2604</v>
      </c>
      <c r="B376" s="2" t="s">
        <v>1183</v>
      </c>
      <c r="C376" s="3">
        <v>1</v>
      </c>
      <c r="D376" s="5">
        <v>34.5</v>
      </c>
      <c r="E376" s="3">
        <v>100010006</v>
      </c>
      <c r="F376" s="2" t="s">
        <v>417</v>
      </c>
      <c r="G376" s="6" t="s">
        <v>181</v>
      </c>
      <c r="H376" s="2" t="s">
        <v>228</v>
      </c>
      <c r="I376" s="2" t="s">
        <v>229</v>
      </c>
      <c r="J376" s="2" t="s">
        <v>19</v>
      </c>
      <c r="K376" s="2" t="s">
        <v>253</v>
      </c>
      <c r="L376" s="7" t="str">
        <f>HYPERLINK("http://slimages.macys.com/is/image/MCY/11269044 ")</f>
        <v xml:space="preserve">http://slimages.macys.com/is/image/MCY/11269044 </v>
      </c>
    </row>
    <row r="377" spans="1:12" ht="24.75" x14ac:dyDescent="0.25">
      <c r="A377" s="4" t="s">
        <v>5793</v>
      </c>
      <c r="B377" s="2" t="s">
        <v>1185</v>
      </c>
      <c r="C377" s="3">
        <v>1</v>
      </c>
      <c r="D377" s="5">
        <v>34.5</v>
      </c>
      <c r="E377" s="3" t="s">
        <v>1186</v>
      </c>
      <c r="F377" s="2" t="s">
        <v>376</v>
      </c>
      <c r="G377" s="6" t="s">
        <v>234</v>
      </c>
      <c r="H377" s="2" t="s">
        <v>228</v>
      </c>
      <c r="I377" s="2" t="s">
        <v>229</v>
      </c>
      <c r="J377" s="2" t="s">
        <v>19</v>
      </c>
      <c r="K377" s="2" t="s">
        <v>253</v>
      </c>
      <c r="L377" s="7" t="str">
        <f>HYPERLINK("http://slimages.macys.com/is/image/MCY/11269044 ")</f>
        <v xml:space="preserve">http://slimages.macys.com/is/image/MCY/11269044 </v>
      </c>
    </row>
    <row r="378" spans="1:12" ht="24.75" x14ac:dyDescent="0.25">
      <c r="A378" s="4" t="s">
        <v>6578</v>
      </c>
      <c r="B378" s="2" t="s">
        <v>1090</v>
      </c>
      <c r="C378" s="3">
        <v>1</v>
      </c>
      <c r="D378" s="5">
        <v>34.5</v>
      </c>
      <c r="E378" s="3" t="s">
        <v>6579</v>
      </c>
      <c r="F378" s="2" t="s">
        <v>74</v>
      </c>
      <c r="G378" s="6" t="s">
        <v>187</v>
      </c>
      <c r="H378" s="2" t="s">
        <v>426</v>
      </c>
      <c r="I378" s="2" t="s">
        <v>229</v>
      </c>
      <c r="J378" s="2" t="s">
        <v>19</v>
      </c>
      <c r="K378" s="2" t="s">
        <v>253</v>
      </c>
      <c r="L378" s="7" t="str">
        <f>HYPERLINK("http://slimages.macys.com/is/image/MCY/9335717 ")</f>
        <v xml:space="preserve">http://slimages.macys.com/is/image/MCY/9335717 </v>
      </c>
    </row>
    <row r="379" spans="1:12" ht="24.75" x14ac:dyDescent="0.25">
      <c r="A379" s="4" t="s">
        <v>6580</v>
      </c>
      <c r="B379" s="2" t="s">
        <v>1196</v>
      </c>
      <c r="C379" s="3">
        <v>1</v>
      </c>
      <c r="D379" s="5">
        <v>37.130000000000003</v>
      </c>
      <c r="E379" s="3">
        <v>100020406</v>
      </c>
      <c r="F379" s="2" t="s">
        <v>887</v>
      </c>
      <c r="G379" s="6" t="s">
        <v>200</v>
      </c>
      <c r="H379" s="2" t="s">
        <v>194</v>
      </c>
      <c r="I379" s="2" t="s">
        <v>195</v>
      </c>
      <c r="J379" s="2" t="s">
        <v>19</v>
      </c>
      <c r="K379" s="2" t="s">
        <v>648</v>
      </c>
      <c r="L379" s="7" t="str">
        <f>HYPERLINK("http://slimages.macys.com/is/image/MCY/9577038 ")</f>
        <v xml:space="preserve">http://slimages.macys.com/is/image/MCY/9577038 </v>
      </c>
    </row>
    <row r="380" spans="1:12" ht="24.75" x14ac:dyDescent="0.25">
      <c r="A380" s="4" t="s">
        <v>6581</v>
      </c>
      <c r="B380" s="2" t="s">
        <v>1196</v>
      </c>
      <c r="C380" s="3">
        <v>1</v>
      </c>
      <c r="D380" s="5">
        <v>37.130000000000003</v>
      </c>
      <c r="E380" s="3">
        <v>100020406</v>
      </c>
      <c r="F380" s="2" t="s">
        <v>887</v>
      </c>
      <c r="G380" s="6" t="s">
        <v>181</v>
      </c>
      <c r="H380" s="2" t="s">
        <v>194</v>
      </c>
      <c r="I380" s="2" t="s">
        <v>195</v>
      </c>
      <c r="J380" s="2" t="s">
        <v>19</v>
      </c>
      <c r="K380" s="2" t="s">
        <v>648</v>
      </c>
      <c r="L380" s="7" t="str">
        <f>HYPERLINK("http://slimages.macys.com/is/image/MCY/9577038 ")</f>
        <v xml:space="preserve">http://slimages.macys.com/is/image/MCY/9577038 </v>
      </c>
    </row>
    <row r="381" spans="1:12" ht="24.75" x14ac:dyDescent="0.25">
      <c r="A381" s="4" t="s">
        <v>2606</v>
      </c>
      <c r="B381" s="2" t="s">
        <v>1196</v>
      </c>
      <c r="C381" s="3">
        <v>1</v>
      </c>
      <c r="D381" s="5">
        <v>37.130000000000003</v>
      </c>
      <c r="E381" s="3">
        <v>100020406</v>
      </c>
      <c r="F381" s="2" t="s">
        <v>887</v>
      </c>
      <c r="G381" s="6" t="s">
        <v>234</v>
      </c>
      <c r="H381" s="2" t="s">
        <v>194</v>
      </c>
      <c r="I381" s="2" t="s">
        <v>195</v>
      </c>
      <c r="J381" s="2" t="s">
        <v>19</v>
      </c>
      <c r="K381" s="2" t="s">
        <v>648</v>
      </c>
      <c r="L381" s="7" t="str">
        <f>HYPERLINK("http://slimages.macys.com/is/image/MCY/9577038 ")</f>
        <v xml:space="preserve">http://slimages.macys.com/is/image/MCY/9577038 </v>
      </c>
    </row>
    <row r="382" spans="1:12" ht="48.75" x14ac:dyDescent="0.25">
      <c r="A382" s="4" t="s">
        <v>6582</v>
      </c>
      <c r="B382" s="2" t="s">
        <v>6583</v>
      </c>
      <c r="C382" s="3">
        <v>1</v>
      </c>
      <c r="D382" s="5">
        <v>40.880000000000003</v>
      </c>
      <c r="E382" s="3" t="s">
        <v>6584</v>
      </c>
      <c r="F382" s="2" t="s">
        <v>74</v>
      </c>
      <c r="G382" s="6" t="s">
        <v>200</v>
      </c>
      <c r="H382" s="2" t="s">
        <v>284</v>
      </c>
      <c r="I382" s="2" t="s">
        <v>285</v>
      </c>
      <c r="J382" s="2" t="s">
        <v>19</v>
      </c>
      <c r="K382" s="2" t="s">
        <v>6585</v>
      </c>
      <c r="L382" s="7" t="str">
        <f>HYPERLINK("http://slimages.macys.com/is/image/MCY/12280771 ")</f>
        <v xml:space="preserve">http://slimages.macys.com/is/image/MCY/12280771 </v>
      </c>
    </row>
    <row r="383" spans="1:12" ht="24.75" x14ac:dyDescent="0.25">
      <c r="A383" s="4" t="s">
        <v>6586</v>
      </c>
      <c r="B383" s="2" t="s">
        <v>6587</v>
      </c>
      <c r="C383" s="3">
        <v>1</v>
      </c>
      <c r="D383" s="5">
        <v>34.5</v>
      </c>
      <c r="E383" s="3" t="s">
        <v>6588</v>
      </c>
      <c r="F383" s="2" t="s">
        <v>33</v>
      </c>
      <c r="G383" s="6" t="s">
        <v>6589</v>
      </c>
      <c r="H383" s="2" t="s">
        <v>426</v>
      </c>
      <c r="I383" s="2" t="s">
        <v>229</v>
      </c>
      <c r="J383" s="2" t="s">
        <v>19</v>
      </c>
      <c r="K383" s="2" t="s">
        <v>253</v>
      </c>
      <c r="L383" s="7" t="str">
        <f>HYPERLINK("http://slimages.macys.com/is/image/MCY/2176967 ")</f>
        <v xml:space="preserve">http://slimages.macys.com/is/image/MCY/2176967 </v>
      </c>
    </row>
    <row r="384" spans="1:12" ht="24.75" x14ac:dyDescent="0.25">
      <c r="A384" s="4" t="s">
        <v>1202</v>
      </c>
      <c r="B384" s="2" t="s">
        <v>1203</v>
      </c>
      <c r="C384" s="3">
        <v>1</v>
      </c>
      <c r="D384" s="5">
        <v>34.5</v>
      </c>
      <c r="E384" s="3" t="s">
        <v>1204</v>
      </c>
      <c r="F384" s="2" t="s">
        <v>506</v>
      </c>
      <c r="G384" s="6" t="s">
        <v>165</v>
      </c>
      <c r="H384" s="2" t="s">
        <v>426</v>
      </c>
      <c r="I384" s="2" t="s">
        <v>229</v>
      </c>
      <c r="J384" s="2" t="s">
        <v>19</v>
      </c>
      <c r="K384" s="2" t="s">
        <v>253</v>
      </c>
      <c r="L384" s="7" t="str">
        <f>HYPERLINK("http://slimages.macys.com/is/image/MCY/13535247 ")</f>
        <v xml:space="preserve">http://slimages.macys.com/is/image/MCY/13535247 </v>
      </c>
    </row>
    <row r="385" spans="1:12" ht="24.75" x14ac:dyDescent="0.25">
      <c r="A385" s="4" t="s">
        <v>3783</v>
      </c>
      <c r="B385" s="2" t="s">
        <v>1203</v>
      </c>
      <c r="C385" s="3">
        <v>1</v>
      </c>
      <c r="D385" s="5">
        <v>34.5</v>
      </c>
      <c r="E385" s="3" t="s">
        <v>1204</v>
      </c>
      <c r="F385" s="2" t="s">
        <v>506</v>
      </c>
      <c r="G385" s="6" t="s">
        <v>238</v>
      </c>
      <c r="H385" s="2" t="s">
        <v>426</v>
      </c>
      <c r="I385" s="2" t="s">
        <v>229</v>
      </c>
      <c r="J385" s="2" t="s">
        <v>19</v>
      </c>
      <c r="K385" s="2" t="s">
        <v>253</v>
      </c>
      <c r="L385" s="7" t="str">
        <f>HYPERLINK("http://slimages.macys.com/is/image/MCY/13535247 ")</f>
        <v xml:space="preserve">http://slimages.macys.com/is/image/MCY/13535247 </v>
      </c>
    </row>
    <row r="386" spans="1:12" ht="24.75" x14ac:dyDescent="0.25">
      <c r="A386" s="4" t="s">
        <v>1207</v>
      </c>
      <c r="B386" s="2" t="s">
        <v>1208</v>
      </c>
      <c r="C386" s="3">
        <v>1</v>
      </c>
      <c r="D386" s="5">
        <v>37.130000000000003</v>
      </c>
      <c r="E386" s="3">
        <v>100013470</v>
      </c>
      <c r="F386" s="2" t="s">
        <v>15</v>
      </c>
      <c r="G386" s="6" t="s">
        <v>27</v>
      </c>
      <c r="H386" s="2" t="s">
        <v>194</v>
      </c>
      <c r="I386" s="2" t="s">
        <v>195</v>
      </c>
      <c r="J386" s="2" t="s">
        <v>19</v>
      </c>
      <c r="K386" s="2" t="s">
        <v>353</v>
      </c>
      <c r="L386" s="7" t="str">
        <f>HYPERLINK("http://slimages.macys.com/is/image/MCY/9426968 ")</f>
        <v xml:space="preserve">http://slimages.macys.com/is/image/MCY/9426968 </v>
      </c>
    </row>
    <row r="387" spans="1:12" ht="24.75" x14ac:dyDescent="0.25">
      <c r="A387" s="4" t="s">
        <v>6590</v>
      </c>
      <c r="B387" s="2" t="s">
        <v>1199</v>
      </c>
      <c r="C387" s="3">
        <v>1</v>
      </c>
      <c r="D387" s="5">
        <v>37.130000000000003</v>
      </c>
      <c r="E387" s="3">
        <v>100009324</v>
      </c>
      <c r="F387" s="2" t="s">
        <v>376</v>
      </c>
      <c r="G387" s="6" t="s">
        <v>27</v>
      </c>
      <c r="H387" s="2" t="s">
        <v>194</v>
      </c>
      <c r="I387" s="2" t="s">
        <v>195</v>
      </c>
      <c r="J387" s="2" t="s">
        <v>19</v>
      </c>
      <c r="K387" s="2" t="s">
        <v>353</v>
      </c>
      <c r="L387" s="7" t="str">
        <f>HYPERLINK("http://slimages.macys.com/is/image/MCY/9404224 ")</f>
        <v xml:space="preserve">http://slimages.macys.com/is/image/MCY/9404224 </v>
      </c>
    </row>
    <row r="388" spans="1:12" ht="24.75" x14ac:dyDescent="0.25">
      <c r="A388" s="4" t="s">
        <v>6591</v>
      </c>
      <c r="B388" s="2" t="s">
        <v>1228</v>
      </c>
      <c r="C388" s="3">
        <v>1</v>
      </c>
      <c r="D388" s="5">
        <v>37.130000000000003</v>
      </c>
      <c r="E388" s="3" t="s">
        <v>1229</v>
      </c>
      <c r="F388" s="2" t="s">
        <v>64</v>
      </c>
      <c r="G388" s="6" t="s">
        <v>181</v>
      </c>
      <c r="H388" s="2" t="s">
        <v>246</v>
      </c>
      <c r="I388" s="2" t="s">
        <v>189</v>
      </c>
      <c r="J388" s="2" t="s">
        <v>19</v>
      </c>
      <c r="K388" s="2" t="s">
        <v>1230</v>
      </c>
      <c r="L388" s="7" t="str">
        <f>HYPERLINK("http://slimages.macys.com/is/image/MCY/12048293 ")</f>
        <v xml:space="preserve">http://slimages.macys.com/is/image/MCY/12048293 </v>
      </c>
    </row>
    <row r="389" spans="1:12" ht="24.75" x14ac:dyDescent="0.25">
      <c r="A389" s="4" t="s">
        <v>6592</v>
      </c>
      <c r="B389" s="2" t="s">
        <v>1215</v>
      </c>
      <c r="C389" s="3">
        <v>1</v>
      </c>
      <c r="D389" s="5">
        <v>37.130000000000003</v>
      </c>
      <c r="E389" s="3" t="s">
        <v>1216</v>
      </c>
      <c r="F389" s="2" t="s">
        <v>579</v>
      </c>
      <c r="G389" s="6" t="s">
        <v>200</v>
      </c>
      <c r="H389" s="2" t="s">
        <v>194</v>
      </c>
      <c r="I389" s="2" t="s">
        <v>580</v>
      </c>
      <c r="J389" s="2" t="s">
        <v>19</v>
      </c>
      <c r="K389" s="2" t="s">
        <v>247</v>
      </c>
      <c r="L389" s="7" t="str">
        <f>HYPERLINK("http://slimages.macys.com/is/image/MCY/12950186 ")</f>
        <v xml:space="preserve">http://slimages.macys.com/is/image/MCY/12950186 </v>
      </c>
    </row>
    <row r="390" spans="1:12" ht="24.75" x14ac:dyDescent="0.25">
      <c r="A390" s="4" t="s">
        <v>1224</v>
      </c>
      <c r="B390" s="2" t="s">
        <v>1215</v>
      </c>
      <c r="C390" s="3">
        <v>2</v>
      </c>
      <c r="D390" s="5">
        <v>37.130000000000003</v>
      </c>
      <c r="E390" s="3" t="s">
        <v>1216</v>
      </c>
      <c r="F390" s="2" t="s">
        <v>579</v>
      </c>
      <c r="G390" s="6" t="s">
        <v>181</v>
      </c>
      <c r="H390" s="2" t="s">
        <v>194</v>
      </c>
      <c r="I390" s="2" t="s">
        <v>580</v>
      </c>
      <c r="J390" s="2" t="s">
        <v>19</v>
      </c>
      <c r="K390" s="2" t="s">
        <v>247</v>
      </c>
      <c r="L390" s="7" t="str">
        <f>HYPERLINK("http://slimages.macys.com/is/image/MCY/12950186 ")</f>
        <v xml:space="preserve">http://slimages.macys.com/is/image/MCY/12950186 </v>
      </c>
    </row>
    <row r="391" spans="1:12" ht="24.75" x14ac:dyDescent="0.25">
      <c r="A391" s="4" t="s">
        <v>1214</v>
      </c>
      <c r="B391" s="2" t="s">
        <v>1215</v>
      </c>
      <c r="C391" s="3">
        <v>1</v>
      </c>
      <c r="D391" s="5">
        <v>37.130000000000003</v>
      </c>
      <c r="E391" s="3" t="s">
        <v>1216</v>
      </c>
      <c r="F391" s="2" t="s">
        <v>579</v>
      </c>
      <c r="G391" s="6" t="s">
        <v>156</v>
      </c>
      <c r="H391" s="2" t="s">
        <v>194</v>
      </c>
      <c r="I391" s="2" t="s">
        <v>580</v>
      </c>
      <c r="J391" s="2" t="s">
        <v>19</v>
      </c>
      <c r="K391" s="2" t="s">
        <v>247</v>
      </c>
      <c r="L391" s="7" t="str">
        <f>HYPERLINK("http://slimages.macys.com/is/image/MCY/12950186 ")</f>
        <v xml:space="preserve">http://slimages.macys.com/is/image/MCY/12950186 </v>
      </c>
    </row>
    <row r="392" spans="1:12" ht="24.75" x14ac:dyDescent="0.25">
      <c r="A392" s="4" t="s">
        <v>6593</v>
      </c>
      <c r="B392" s="2" t="s">
        <v>1228</v>
      </c>
      <c r="C392" s="3">
        <v>1</v>
      </c>
      <c r="D392" s="5">
        <v>37.130000000000003</v>
      </c>
      <c r="E392" s="3" t="s">
        <v>1229</v>
      </c>
      <c r="F392" s="2" t="s">
        <v>26</v>
      </c>
      <c r="G392" s="6" t="s">
        <v>156</v>
      </c>
      <c r="H392" s="2" t="s">
        <v>246</v>
      </c>
      <c r="I392" s="2" t="s">
        <v>189</v>
      </c>
      <c r="J392" s="2" t="s">
        <v>19</v>
      </c>
      <c r="K392" s="2" t="s">
        <v>1230</v>
      </c>
      <c r="L392" s="7" t="str">
        <f>HYPERLINK("http://slimages.macys.com/is/image/MCY/12048293 ")</f>
        <v xml:space="preserve">http://slimages.macys.com/is/image/MCY/12048293 </v>
      </c>
    </row>
    <row r="393" spans="1:12" ht="24.75" x14ac:dyDescent="0.25">
      <c r="A393" s="4" t="s">
        <v>5821</v>
      </c>
      <c r="B393" s="2" t="s">
        <v>1232</v>
      </c>
      <c r="C393" s="3">
        <v>1</v>
      </c>
      <c r="D393" s="5">
        <v>34.880000000000003</v>
      </c>
      <c r="E393" s="3" t="s">
        <v>1238</v>
      </c>
      <c r="F393" s="2" t="s">
        <v>26</v>
      </c>
      <c r="G393" s="6" t="s">
        <v>27</v>
      </c>
      <c r="H393" s="2" t="s">
        <v>194</v>
      </c>
      <c r="I393" s="2" t="s">
        <v>195</v>
      </c>
      <c r="J393" s="2" t="s">
        <v>19</v>
      </c>
      <c r="K393" s="2" t="s">
        <v>353</v>
      </c>
      <c r="L393" s="7" t="str">
        <f>HYPERLINK("http://slimages.macys.com/is/image/MCY/8312314 ")</f>
        <v xml:space="preserve">http://slimages.macys.com/is/image/MCY/8312314 </v>
      </c>
    </row>
    <row r="394" spans="1:12" ht="24.75" x14ac:dyDescent="0.25">
      <c r="A394" s="4" t="s">
        <v>6594</v>
      </c>
      <c r="B394" s="2" t="s">
        <v>1232</v>
      </c>
      <c r="C394" s="3">
        <v>1</v>
      </c>
      <c r="D394" s="5">
        <v>34.880000000000003</v>
      </c>
      <c r="E394" s="3" t="s">
        <v>1238</v>
      </c>
      <c r="F394" s="2" t="s">
        <v>26</v>
      </c>
      <c r="G394" s="6" t="s">
        <v>58</v>
      </c>
      <c r="H394" s="2" t="s">
        <v>194</v>
      </c>
      <c r="I394" s="2" t="s">
        <v>195</v>
      </c>
      <c r="J394" s="2" t="s">
        <v>19</v>
      </c>
      <c r="K394" s="2" t="s">
        <v>353</v>
      </c>
      <c r="L394" s="7" t="str">
        <f>HYPERLINK("http://slimages.macys.com/is/image/MCY/8312314 ")</f>
        <v xml:space="preserve">http://slimages.macys.com/is/image/MCY/8312314 </v>
      </c>
    </row>
    <row r="395" spans="1:12" ht="24.75" x14ac:dyDescent="0.25">
      <c r="A395" s="4" t="s">
        <v>6595</v>
      </c>
      <c r="B395" s="2" t="s">
        <v>1241</v>
      </c>
      <c r="C395" s="3">
        <v>1</v>
      </c>
      <c r="D395" s="5">
        <v>37.130000000000003</v>
      </c>
      <c r="E395" s="3" t="s">
        <v>1242</v>
      </c>
      <c r="F395" s="2" t="s">
        <v>199</v>
      </c>
      <c r="G395" s="6" t="s">
        <v>126</v>
      </c>
      <c r="H395" s="2" t="s">
        <v>312</v>
      </c>
      <c r="I395" s="2" t="s">
        <v>195</v>
      </c>
      <c r="J395" s="2" t="s">
        <v>19</v>
      </c>
      <c r="K395" s="2" t="s">
        <v>353</v>
      </c>
      <c r="L395" s="7" t="str">
        <f>HYPERLINK("http://slimages.macys.com/is/image/MCY/11934909 ")</f>
        <v xml:space="preserve">http://slimages.macys.com/is/image/MCY/11934909 </v>
      </c>
    </row>
    <row r="396" spans="1:12" ht="24.75" x14ac:dyDescent="0.25">
      <c r="A396" s="4" t="s">
        <v>6596</v>
      </c>
      <c r="B396" s="2" t="s">
        <v>6597</v>
      </c>
      <c r="C396" s="3">
        <v>1</v>
      </c>
      <c r="D396" s="5">
        <v>47.5</v>
      </c>
      <c r="E396" s="3" t="s">
        <v>6598</v>
      </c>
      <c r="F396" s="2" t="s">
        <v>532</v>
      </c>
      <c r="G396" s="6" t="s">
        <v>219</v>
      </c>
      <c r="H396" s="2" t="s">
        <v>127</v>
      </c>
      <c r="I396" s="2" t="s">
        <v>128</v>
      </c>
      <c r="J396" s="2" t="s">
        <v>19</v>
      </c>
      <c r="K396" s="2" t="s">
        <v>160</v>
      </c>
      <c r="L396" s="7" t="str">
        <f>HYPERLINK("http://slimages.macys.com/is/image/MCY/9577675 ")</f>
        <v xml:space="preserve">http://slimages.macys.com/is/image/MCY/9577675 </v>
      </c>
    </row>
    <row r="397" spans="1:12" ht="24.75" x14ac:dyDescent="0.25">
      <c r="A397" s="4" t="s">
        <v>3810</v>
      </c>
      <c r="B397" s="2" t="s">
        <v>1244</v>
      </c>
      <c r="C397" s="3">
        <v>1</v>
      </c>
      <c r="D397" s="5">
        <v>37.130000000000003</v>
      </c>
      <c r="E397" s="3">
        <v>100058183</v>
      </c>
      <c r="F397" s="2" t="s">
        <v>26</v>
      </c>
      <c r="G397" s="6" t="s">
        <v>58</v>
      </c>
      <c r="H397" s="2" t="s">
        <v>194</v>
      </c>
      <c r="I397" s="2" t="s">
        <v>195</v>
      </c>
      <c r="J397" s="2" t="s">
        <v>19</v>
      </c>
      <c r="K397" s="2" t="s">
        <v>353</v>
      </c>
      <c r="L397" s="7" t="str">
        <f>HYPERLINK("http://slimages.macys.com/is/image/MCY/12793647 ")</f>
        <v xml:space="preserve">http://slimages.macys.com/is/image/MCY/12793647 </v>
      </c>
    </row>
    <row r="398" spans="1:12" ht="24.75" x14ac:dyDescent="0.25">
      <c r="A398" s="4" t="s">
        <v>6599</v>
      </c>
      <c r="B398" s="2" t="s">
        <v>1232</v>
      </c>
      <c r="C398" s="3">
        <v>1</v>
      </c>
      <c r="D398" s="5">
        <v>34.880000000000003</v>
      </c>
      <c r="E398" s="3" t="s">
        <v>1246</v>
      </c>
      <c r="F398" s="2" t="s">
        <v>74</v>
      </c>
      <c r="G398" s="6" t="s">
        <v>238</v>
      </c>
      <c r="H398" s="2" t="s">
        <v>312</v>
      </c>
      <c r="I398" s="2" t="s">
        <v>195</v>
      </c>
      <c r="J398" s="2" t="s">
        <v>19</v>
      </c>
      <c r="K398" s="2" t="s">
        <v>353</v>
      </c>
      <c r="L398" s="7" t="str">
        <f>HYPERLINK("http://slimages.macys.com/is/image/MCY/8256708 ")</f>
        <v xml:space="preserve">http://slimages.macys.com/is/image/MCY/8256708 </v>
      </c>
    </row>
    <row r="399" spans="1:12" ht="24.75" x14ac:dyDescent="0.25">
      <c r="A399" s="4" t="s">
        <v>6600</v>
      </c>
      <c r="B399" s="2" t="s">
        <v>3813</v>
      </c>
      <c r="C399" s="3">
        <v>1</v>
      </c>
      <c r="D399" s="5">
        <v>59.5</v>
      </c>
      <c r="E399" s="3" t="s">
        <v>3814</v>
      </c>
      <c r="F399" s="2" t="s">
        <v>132</v>
      </c>
      <c r="G399" s="6" t="s">
        <v>219</v>
      </c>
      <c r="H399" s="2" t="s">
        <v>206</v>
      </c>
      <c r="I399" s="2" t="s">
        <v>207</v>
      </c>
      <c r="J399" s="2" t="s">
        <v>19</v>
      </c>
      <c r="K399" s="2" t="s">
        <v>267</v>
      </c>
      <c r="L399" s="7" t="str">
        <f>HYPERLINK("http://slimages.macys.com/is/image/MCY/13839706 ")</f>
        <v xml:space="preserve">http://slimages.macys.com/is/image/MCY/13839706 </v>
      </c>
    </row>
    <row r="400" spans="1:12" ht="24.75" x14ac:dyDescent="0.25">
      <c r="A400" s="4" t="s">
        <v>4896</v>
      </c>
      <c r="B400" s="2" t="s">
        <v>1232</v>
      </c>
      <c r="C400" s="3">
        <v>1</v>
      </c>
      <c r="D400" s="5">
        <v>34.880000000000003</v>
      </c>
      <c r="E400" s="3" t="s">
        <v>4895</v>
      </c>
      <c r="F400" s="2" t="s">
        <v>376</v>
      </c>
      <c r="G400" s="6" t="s">
        <v>126</v>
      </c>
      <c r="H400" s="2" t="s">
        <v>312</v>
      </c>
      <c r="I400" s="2" t="s">
        <v>195</v>
      </c>
      <c r="J400" s="2" t="s">
        <v>19</v>
      </c>
      <c r="K400" s="2" t="s">
        <v>353</v>
      </c>
      <c r="L400" s="7" t="str">
        <f>HYPERLINK("http://slimages.macys.com/is/image/MCY/8256708 ")</f>
        <v xml:space="preserve">http://slimages.macys.com/is/image/MCY/8256708 </v>
      </c>
    </row>
    <row r="401" spans="1:12" ht="24.75" x14ac:dyDescent="0.25">
      <c r="A401" s="4" t="s">
        <v>1247</v>
      </c>
      <c r="B401" s="2" t="s">
        <v>1232</v>
      </c>
      <c r="C401" s="3">
        <v>1</v>
      </c>
      <c r="D401" s="5">
        <v>34.880000000000003</v>
      </c>
      <c r="E401" s="3" t="s">
        <v>1246</v>
      </c>
      <c r="F401" s="2" t="s">
        <v>74</v>
      </c>
      <c r="G401" s="6" t="s">
        <v>336</v>
      </c>
      <c r="H401" s="2" t="s">
        <v>312</v>
      </c>
      <c r="I401" s="2" t="s">
        <v>195</v>
      </c>
      <c r="J401" s="2" t="s">
        <v>19</v>
      </c>
      <c r="K401" s="2" t="s">
        <v>353</v>
      </c>
      <c r="L401" s="7" t="str">
        <f>HYPERLINK("http://slimages.macys.com/is/image/MCY/8256708 ")</f>
        <v xml:space="preserve">http://slimages.macys.com/is/image/MCY/8256708 </v>
      </c>
    </row>
    <row r="402" spans="1:12" ht="24.75" x14ac:dyDescent="0.25">
      <c r="A402" s="4" t="s">
        <v>6601</v>
      </c>
      <c r="B402" s="2" t="s">
        <v>6602</v>
      </c>
      <c r="C402" s="3">
        <v>1</v>
      </c>
      <c r="D402" s="5">
        <v>29.63</v>
      </c>
      <c r="E402" s="3" t="s">
        <v>6603</v>
      </c>
      <c r="F402" s="2" t="s">
        <v>94</v>
      </c>
      <c r="G402" s="6" t="s">
        <v>156</v>
      </c>
      <c r="H402" s="2" t="s">
        <v>284</v>
      </c>
      <c r="I402" s="2" t="s">
        <v>285</v>
      </c>
      <c r="J402" s="2" t="s">
        <v>19</v>
      </c>
      <c r="K402" s="2" t="s">
        <v>6604</v>
      </c>
      <c r="L402" s="7" t="str">
        <f>HYPERLINK("http://slimages.macys.com/is/image/MCY/11627250 ")</f>
        <v xml:space="preserve">http://slimages.macys.com/is/image/MCY/11627250 </v>
      </c>
    </row>
    <row r="403" spans="1:12" ht="24.75" x14ac:dyDescent="0.25">
      <c r="A403" s="4" t="s">
        <v>6605</v>
      </c>
      <c r="B403" s="2" t="s">
        <v>5974</v>
      </c>
      <c r="C403" s="3">
        <v>1</v>
      </c>
      <c r="D403" s="5">
        <v>24.99</v>
      </c>
      <c r="E403" s="3" t="s">
        <v>6606</v>
      </c>
      <c r="F403" s="2" t="s">
        <v>74</v>
      </c>
      <c r="G403" s="6" t="s">
        <v>234</v>
      </c>
      <c r="H403" s="2" t="s">
        <v>284</v>
      </c>
      <c r="I403" s="2" t="s">
        <v>285</v>
      </c>
      <c r="J403" s="2"/>
      <c r="K403" s="2"/>
      <c r="L403" s="7" t="str">
        <f>HYPERLINK("http://slimages.macys.com/is/image/MCY/11785949 ")</f>
        <v xml:space="preserve">http://slimages.macys.com/is/image/MCY/11785949 </v>
      </c>
    </row>
    <row r="404" spans="1:12" ht="24.75" x14ac:dyDescent="0.25">
      <c r="A404" s="4" t="s">
        <v>6607</v>
      </c>
      <c r="B404" s="2" t="s">
        <v>3820</v>
      </c>
      <c r="C404" s="3">
        <v>1</v>
      </c>
      <c r="D404" s="5">
        <v>27.99</v>
      </c>
      <c r="E404" s="3" t="s">
        <v>3821</v>
      </c>
      <c r="F404" s="2" t="s">
        <v>94</v>
      </c>
      <c r="G404" s="6" t="s">
        <v>2276</v>
      </c>
      <c r="H404" s="2" t="s">
        <v>349</v>
      </c>
      <c r="I404" s="2" t="s">
        <v>285</v>
      </c>
      <c r="J404" s="2" t="s">
        <v>19</v>
      </c>
      <c r="K404" s="2" t="s">
        <v>3828</v>
      </c>
      <c r="L404" s="7" t="str">
        <f>HYPERLINK("http://slimages.macys.com/is/image/MCY/12659245 ")</f>
        <v xml:space="preserve">http://slimages.macys.com/is/image/MCY/12659245 </v>
      </c>
    </row>
    <row r="405" spans="1:12" ht="36.75" x14ac:dyDescent="0.25">
      <c r="A405" s="4" t="s">
        <v>3822</v>
      </c>
      <c r="B405" s="2" t="s">
        <v>2655</v>
      </c>
      <c r="C405" s="3">
        <v>1</v>
      </c>
      <c r="D405" s="5">
        <v>27.99</v>
      </c>
      <c r="E405" s="3" t="s">
        <v>2656</v>
      </c>
      <c r="F405" s="2" t="s">
        <v>225</v>
      </c>
      <c r="G405" s="6" t="s">
        <v>165</v>
      </c>
      <c r="H405" s="2" t="s">
        <v>312</v>
      </c>
      <c r="I405" s="2" t="s">
        <v>928</v>
      </c>
      <c r="J405" s="2" t="s">
        <v>19</v>
      </c>
      <c r="K405" s="2" t="s">
        <v>2657</v>
      </c>
      <c r="L405" s="7" t="str">
        <f>HYPERLINK("http://slimages.macys.com/is/image/MCY/2910492 ")</f>
        <v xml:space="preserve">http://slimages.macys.com/is/image/MCY/2910492 </v>
      </c>
    </row>
    <row r="406" spans="1:12" ht="24.75" x14ac:dyDescent="0.25">
      <c r="A406" s="4" t="s">
        <v>6608</v>
      </c>
      <c r="B406" s="2" t="s">
        <v>1250</v>
      </c>
      <c r="C406" s="3">
        <v>1</v>
      </c>
      <c r="D406" s="5">
        <v>34.5</v>
      </c>
      <c r="E406" s="3">
        <v>100003654</v>
      </c>
      <c r="F406" s="2" t="s">
        <v>417</v>
      </c>
      <c r="G406" s="6" t="s">
        <v>112</v>
      </c>
      <c r="H406" s="2" t="s">
        <v>228</v>
      </c>
      <c r="I406" s="2" t="s">
        <v>229</v>
      </c>
      <c r="J406" s="2" t="s">
        <v>19</v>
      </c>
      <c r="K406" s="2" t="s">
        <v>1251</v>
      </c>
      <c r="L406" s="7" t="str">
        <f>HYPERLINK("http://slimages.macys.com/is/image/MCY/9100235 ")</f>
        <v xml:space="preserve">http://slimages.macys.com/is/image/MCY/9100235 </v>
      </c>
    </row>
    <row r="407" spans="1:12" ht="24.75" x14ac:dyDescent="0.25">
      <c r="A407" s="4" t="s">
        <v>6609</v>
      </c>
      <c r="B407" s="2" t="s">
        <v>4915</v>
      </c>
      <c r="C407" s="3">
        <v>1</v>
      </c>
      <c r="D407" s="5">
        <v>34.880000000000003</v>
      </c>
      <c r="E407" s="3" t="s">
        <v>4916</v>
      </c>
      <c r="F407" s="2" t="s">
        <v>26</v>
      </c>
      <c r="G407" s="6"/>
      <c r="H407" s="2" t="s">
        <v>312</v>
      </c>
      <c r="I407" s="2" t="s">
        <v>229</v>
      </c>
      <c r="J407" s="2" t="s">
        <v>19</v>
      </c>
      <c r="K407" s="2" t="s">
        <v>253</v>
      </c>
      <c r="L407" s="7" t="str">
        <f>HYPERLINK("http://slimages.macys.com/is/image/MCY/9489387 ")</f>
        <v xml:space="preserve">http://slimages.macys.com/is/image/MCY/9489387 </v>
      </c>
    </row>
    <row r="408" spans="1:12" ht="24.75" x14ac:dyDescent="0.25">
      <c r="A408" s="4" t="s">
        <v>6610</v>
      </c>
      <c r="B408" s="2" t="s">
        <v>2686</v>
      </c>
      <c r="C408" s="3">
        <v>1</v>
      </c>
      <c r="D408" s="5">
        <v>34.5</v>
      </c>
      <c r="E408" s="3">
        <v>100062501</v>
      </c>
      <c r="F408" s="2" t="s">
        <v>64</v>
      </c>
      <c r="G408" s="6" t="s">
        <v>112</v>
      </c>
      <c r="H408" s="2" t="s">
        <v>228</v>
      </c>
      <c r="I408" s="2" t="s">
        <v>229</v>
      </c>
      <c r="J408" s="2" t="s">
        <v>19</v>
      </c>
      <c r="K408" s="2" t="s">
        <v>253</v>
      </c>
      <c r="L408" s="7" t="str">
        <f>HYPERLINK("http://slimages.macys.com/is/image/MCY/12849901 ")</f>
        <v xml:space="preserve">http://slimages.macys.com/is/image/MCY/12849901 </v>
      </c>
    </row>
    <row r="409" spans="1:12" ht="24.75" x14ac:dyDescent="0.25">
      <c r="A409" s="4" t="s">
        <v>6611</v>
      </c>
      <c r="B409" s="2" t="s">
        <v>1265</v>
      </c>
      <c r="C409" s="3">
        <v>1</v>
      </c>
      <c r="D409" s="5">
        <v>37.130000000000003</v>
      </c>
      <c r="E409" s="3">
        <v>100020742</v>
      </c>
      <c r="F409" s="2" t="s">
        <v>132</v>
      </c>
      <c r="G409" s="6" t="s">
        <v>154</v>
      </c>
      <c r="H409" s="2" t="s">
        <v>194</v>
      </c>
      <c r="I409" s="2" t="s">
        <v>503</v>
      </c>
      <c r="J409" s="2" t="s">
        <v>19</v>
      </c>
      <c r="K409" s="2" t="s">
        <v>201</v>
      </c>
      <c r="L409" s="7" t="str">
        <f>HYPERLINK("http://slimages.macys.com/is/image/MCY/12035316 ")</f>
        <v xml:space="preserve">http://slimages.macys.com/is/image/MCY/12035316 </v>
      </c>
    </row>
    <row r="410" spans="1:12" ht="24.75" x14ac:dyDescent="0.25">
      <c r="A410" s="4" t="s">
        <v>2666</v>
      </c>
      <c r="B410" s="2" t="s">
        <v>1268</v>
      </c>
      <c r="C410" s="3">
        <v>2</v>
      </c>
      <c r="D410" s="5">
        <v>36.5</v>
      </c>
      <c r="E410" s="3" t="s">
        <v>1269</v>
      </c>
      <c r="F410" s="2" t="s">
        <v>111</v>
      </c>
      <c r="G410" s="6" t="s">
        <v>181</v>
      </c>
      <c r="H410" s="2" t="s">
        <v>194</v>
      </c>
      <c r="I410" s="2" t="s">
        <v>195</v>
      </c>
      <c r="J410" s="2" t="s">
        <v>19</v>
      </c>
      <c r="K410" s="2" t="s">
        <v>1108</v>
      </c>
      <c r="L410" s="7" t="str">
        <f>HYPERLINK("http://slimages.macys.com/is/image/MCY/11764670 ")</f>
        <v xml:space="preserve">http://slimages.macys.com/is/image/MCY/11764670 </v>
      </c>
    </row>
    <row r="411" spans="1:12" ht="24.75" x14ac:dyDescent="0.25">
      <c r="A411" s="4" t="s">
        <v>4921</v>
      </c>
      <c r="B411" s="2" t="s">
        <v>4922</v>
      </c>
      <c r="C411" s="3">
        <v>1</v>
      </c>
      <c r="D411" s="5">
        <v>44.63</v>
      </c>
      <c r="E411" s="3">
        <v>100047681</v>
      </c>
      <c r="F411" s="2" t="s">
        <v>74</v>
      </c>
      <c r="G411" s="6" t="s">
        <v>156</v>
      </c>
      <c r="H411" s="2" t="s">
        <v>194</v>
      </c>
      <c r="I411" s="2" t="s">
        <v>195</v>
      </c>
      <c r="J411" s="2" t="s">
        <v>19</v>
      </c>
      <c r="K411" s="2" t="s">
        <v>247</v>
      </c>
      <c r="L411" s="7" t="str">
        <f>HYPERLINK("http://slimages.macys.com/is/image/MCY/11935520 ")</f>
        <v xml:space="preserve">http://slimages.macys.com/is/image/MCY/11935520 </v>
      </c>
    </row>
    <row r="412" spans="1:12" ht="24.75" x14ac:dyDescent="0.25">
      <c r="A412" s="4" t="s">
        <v>5847</v>
      </c>
      <c r="B412" s="2" t="s">
        <v>4922</v>
      </c>
      <c r="C412" s="3">
        <v>1</v>
      </c>
      <c r="D412" s="5">
        <v>44.63</v>
      </c>
      <c r="E412" s="3">
        <v>100047681</v>
      </c>
      <c r="F412" s="2" t="s">
        <v>74</v>
      </c>
      <c r="G412" s="6" t="s">
        <v>154</v>
      </c>
      <c r="H412" s="2" t="s">
        <v>194</v>
      </c>
      <c r="I412" s="2" t="s">
        <v>195</v>
      </c>
      <c r="J412" s="2" t="s">
        <v>19</v>
      </c>
      <c r="K412" s="2" t="s">
        <v>247</v>
      </c>
      <c r="L412" s="7" t="str">
        <f>HYPERLINK("http://slimages.macys.com/is/image/MCY/11935520 ")</f>
        <v xml:space="preserve">http://slimages.macys.com/is/image/MCY/11935520 </v>
      </c>
    </row>
    <row r="413" spans="1:12" ht="24.75" x14ac:dyDescent="0.25">
      <c r="A413" s="4" t="s">
        <v>1303</v>
      </c>
      <c r="B413" s="2" t="s">
        <v>1279</v>
      </c>
      <c r="C413" s="3">
        <v>1</v>
      </c>
      <c r="D413" s="5">
        <v>27.99</v>
      </c>
      <c r="E413" s="3" t="s">
        <v>1286</v>
      </c>
      <c r="F413" s="2" t="s">
        <v>506</v>
      </c>
      <c r="G413" s="6" t="s">
        <v>234</v>
      </c>
      <c r="H413" s="2" t="s">
        <v>194</v>
      </c>
      <c r="I413" s="2" t="s">
        <v>919</v>
      </c>
      <c r="J413" s="2" t="s">
        <v>19</v>
      </c>
      <c r="K413" s="2" t="s">
        <v>409</v>
      </c>
      <c r="L413" s="7" t="str">
        <f>HYPERLINK("http://slimages.macys.com/is/image/MCY/8185331 ")</f>
        <v xml:space="preserve">http://slimages.macys.com/is/image/MCY/8185331 </v>
      </c>
    </row>
    <row r="414" spans="1:12" ht="24.75" x14ac:dyDescent="0.25">
      <c r="A414" s="4" t="s">
        <v>1281</v>
      </c>
      <c r="B414" s="2" t="s">
        <v>1279</v>
      </c>
      <c r="C414" s="3">
        <v>1</v>
      </c>
      <c r="D414" s="5">
        <v>27.99</v>
      </c>
      <c r="E414" s="3" t="s">
        <v>1280</v>
      </c>
      <c r="F414" s="2" t="s">
        <v>566</v>
      </c>
      <c r="G414" s="6"/>
      <c r="H414" s="2" t="s">
        <v>312</v>
      </c>
      <c r="I414" s="2" t="s">
        <v>1112</v>
      </c>
      <c r="J414" s="2" t="s">
        <v>19</v>
      </c>
      <c r="K414" s="2" t="s">
        <v>409</v>
      </c>
      <c r="L414" s="7" t="str">
        <f>HYPERLINK("http://slimages.macys.com/is/image/MCY/3832970 ")</f>
        <v xml:space="preserve">http://slimages.macys.com/is/image/MCY/3832970 </v>
      </c>
    </row>
    <row r="415" spans="1:12" ht="24.75" x14ac:dyDescent="0.25">
      <c r="A415" s="4" t="s">
        <v>1278</v>
      </c>
      <c r="B415" s="2" t="s">
        <v>1279</v>
      </c>
      <c r="C415" s="3">
        <v>1</v>
      </c>
      <c r="D415" s="5">
        <v>27.99</v>
      </c>
      <c r="E415" s="3" t="s">
        <v>1280</v>
      </c>
      <c r="F415" s="2" t="s">
        <v>566</v>
      </c>
      <c r="G415" s="6"/>
      <c r="H415" s="2" t="s">
        <v>312</v>
      </c>
      <c r="I415" s="2" t="s">
        <v>1112</v>
      </c>
      <c r="J415" s="2" t="s">
        <v>19</v>
      </c>
      <c r="K415" s="2" t="s">
        <v>409</v>
      </c>
      <c r="L415" s="7" t="str">
        <f>HYPERLINK("http://slimages.macys.com/is/image/MCY/3832970 ")</f>
        <v xml:space="preserve">http://slimages.macys.com/is/image/MCY/3832970 </v>
      </c>
    </row>
    <row r="416" spans="1:12" ht="24.75" x14ac:dyDescent="0.25">
      <c r="A416" s="4" t="s">
        <v>1288</v>
      </c>
      <c r="B416" s="2" t="s">
        <v>1279</v>
      </c>
      <c r="C416" s="3">
        <v>1</v>
      </c>
      <c r="D416" s="5">
        <v>27.99</v>
      </c>
      <c r="E416" s="3" t="s">
        <v>1280</v>
      </c>
      <c r="F416" s="2" t="s">
        <v>566</v>
      </c>
      <c r="G416" s="6"/>
      <c r="H416" s="2" t="s">
        <v>312</v>
      </c>
      <c r="I416" s="2" t="s">
        <v>1112</v>
      </c>
      <c r="J416" s="2" t="s">
        <v>19</v>
      </c>
      <c r="K416" s="2" t="s">
        <v>409</v>
      </c>
      <c r="L416" s="7" t="str">
        <f>HYPERLINK("http://slimages.macys.com/is/image/MCY/3832970 ")</f>
        <v xml:space="preserve">http://slimages.macys.com/is/image/MCY/3832970 </v>
      </c>
    </row>
    <row r="417" spans="1:12" ht="24.75" x14ac:dyDescent="0.25">
      <c r="A417" s="4" t="s">
        <v>1301</v>
      </c>
      <c r="B417" s="2" t="s">
        <v>1279</v>
      </c>
      <c r="C417" s="3">
        <v>1</v>
      </c>
      <c r="D417" s="5">
        <v>27.99</v>
      </c>
      <c r="E417" s="3" t="s">
        <v>1302</v>
      </c>
      <c r="F417" s="2" t="s">
        <v>566</v>
      </c>
      <c r="G417" s="6" t="s">
        <v>154</v>
      </c>
      <c r="H417" s="2" t="s">
        <v>194</v>
      </c>
      <c r="I417" s="2" t="s">
        <v>919</v>
      </c>
      <c r="J417" s="2" t="s">
        <v>19</v>
      </c>
      <c r="K417" s="2" t="s">
        <v>409</v>
      </c>
      <c r="L417" s="7" t="str">
        <f>HYPERLINK("http://slimages.macys.com/is/image/MCY/3244804 ")</f>
        <v xml:space="preserve">http://slimages.macys.com/is/image/MCY/3244804 </v>
      </c>
    </row>
    <row r="418" spans="1:12" ht="24.75" x14ac:dyDescent="0.25">
      <c r="A418" s="4" t="s">
        <v>1298</v>
      </c>
      <c r="B418" s="2" t="s">
        <v>1279</v>
      </c>
      <c r="C418" s="3">
        <v>1</v>
      </c>
      <c r="D418" s="5">
        <v>27.99</v>
      </c>
      <c r="E418" s="3" t="s">
        <v>1286</v>
      </c>
      <c r="F418" s="2" t="s">
        <v>506</v>
      </c>
      <c r="G418" s="6" t="s">
        <v>200</v>
      </c>
      <c r="H418" s="2" t="s">
        <v>194</v>
      </c>
      <c r="I418" s="2" t="s">
        <v>919</v>
      </c>
      <c r="J418" s="2" t="s">
        <v>19</v>
      </c>
      <c r="K418" s="2" t="s">
        <v>409</v>
      </c>
      <c r="L418" s="7" t="str">
        <f>HYPERLINK("http://slimages.macys.com/is/image/MCY/8185331 ")</f>
        <v xml:space="preserve">http://slimages.macys.com/is/image/MCY/8185331 </v>
      </c>
    </row>
    <row r="419" spans="1:12" ht="24.75" x14ac:dyDescent="0.25">
      <c r="A419" s="4" t="s">
        <v>1285</v>
      </c>
      <c r="B419" s="2" t="s">
        <v>1279</v>
      </c>
      <c r="C419" s="3">
        <v>4</v>
      </c>
      <c r="D419" s="5">
        <v>27.99</v>
      </c>
      <c r="E419" s="3" t="s">
        <v>1286</v>
      </c>
      <c r="F419" s="2" t="s">
        <v>506</v>
      </c>
      <c r="G419" s="6" t="s">
        <v>154</v>
      </c>
      <c r="H419" s="2" t="s">
        <v>194</v>
      </c>
      <c r="I419" s="2" t="s">
        <v>919</v>
      </c>
      <c r="J419" s="2" t="s">
        <v>19</v>
      </c>
      <c r="K419" s="2" t="s">
        <v>409</v>
      </c>
      <c r="L419" s="7" t="str">
        <f>HYPERLINK("http://slimages.macys.com/is/image/MCY/8185331 ")</f>
        <v xml:space="preserve">http://slimages.macys.com/is/image/MCY/8185331 </v>
      </c>
    </row>
    <row r="420" spans="1:12" ht="24.75" x14ac:dyDescent="0.25">
      <c r="A420" s="4" t="s">
        <v>1300</v>
      </c>
      <c r="B420" s="2" t="s">
        <v>1279</v>
      </c>
      <c r="C420" s="3">
        <v>1</v>
      </c>
      <c r="D420" s="5">
        <v>27.99</v>
      </c>
      <c r="E420" s="3" t="s">
        <v>1286</v>
      </c>
      <c r="F420" s="2" t="s">
        <v>506</v>
      </c>
      <c r="G420" s="6" t="s">
        <v>181</v>
      </c>
      <c r="H420" s="2" t="s">
        <v>194</v>
      </c>
      <c r="I420" s="2" t="s">
        <v>919</v>
      </c>
      <c r="J420" s="2" t="s">
        <v>19</v>
      </c>
      <c r="K420" s="2" t="s">
        <v>409</v>
      </c>
      <c r="L420" s="7" t="str">
        <f>HYPERLINK("http://slimages.macys.com/is/image/MCY/8185331 ")</f>
        <v xml:space="preserve">http://slimages.macys.com/is/image/MCY/8185331 </v>
      </c>
    </row>
    <row r="421" spans="1:12" ht="24.75" x14ac:dyDescent="0.25">
      <c r="A421" s="4" t="s">
        <v>1299</v>
      </c>
      <c r="B421" s="2" t="s">
        <v>1279</v>
      </c>
      <c r="C421" s="3">
        <v>1</v>
      </c>
      <c r="D421" s="5">
        <v>27.99</v>
      </c>
      <c r="E421" s="3" t="s">
        <v>1286</v>
      </c>
      <c r="F421" s="2" t="s">
        <v>506</v>
      </c>
      <c r="G421" s="6" t="s">
        <v>156</v>
      </c>
      <c r="H421" s="2" t="s">
        <v>194</v>
      </c>
      <c r="I421" s="2" t="s">
        <v>919</v>
      </c>
      <c r="J421" s="2" t="s">
        <v>19</v>
      </c>
      <c r="K421" s="2" t="s">
        <v>409</v>
      </c>
      <c r="L421" s="7" t="str">
        <f>HYPERLINK("http://slimages.macys.com/is/image/MCY/8185331 ")</f>
        <v xml:space="preserve">http://slimages.macys.com/is/image/MCY/8185331 </v>
      </c>
    </row>
    <row r="422" spans="1:12" ht="24.75" x14ac:dyDescent="0.25">
      <c r="A422" s="4" t="s">
        <v>1282</v>
      </c>
      <c r="B422" s="2" t="s">
        <v>1283</v>
      </c>
      <c r="C422" s="3">
        <v>2</v>
      </c>
      <c r="D422" s="5">
        <v>37.130000000000003</v>
      </c>
      <c r="E422" s="3" t="s">
        <v>1284</v>
      </c>
      <c r="F422" s="2" t="s">
        <v>74</v>
      </c>
      <c r="G422" s="6"/>
      <c r="H422" s="2" t="s">
        <v>312</v>
      </c>
      <c r="I422" s="2" t="s">
        <v>195</v>
      </c>
      <c r="J422" s="2" t="s">
        <v>19</v>
      </c>
      <c r="K422" s="2" t="s">
        <v>247</v>
      </c>
      <c r="L422" s="7" t="str">
        <f>HYPERLINK("http://slimages.macys.com/is/image/MCY/9108604 ")</f>
        <v xml:space="preserve">http://slimages.macys.com/is/image/MCY/9108604 </v>
      </c>
    </row>
    <row r="423" spans="1:12" ht="24.75" x14ac:dyDescent="0.25">
      <c r="A423" s="4" t="s">
        <v>1287</v>
      </c>
      <c r="B423" s="2" t="s">
        <v>1279</v>
      </c>
      <c r="C423" s="3">
        <v>1</v>
      </c>
      <c r="D423" s="5">
        <v>27.99</v>
      </c>
      <c r="E423" s="3" t="s">
        <v>1280</v>
      </c>
      <c r="F423" s="2" t="s">
        <v>566</v>
      </c>
      <c r="G423" s="6"/>
      <c r="H423" s="2" t="s">
        <v>312</v>
      </c>
      <c r="I423" s="2" t="s">
        <v>1112</v>
      </c>
      <c r="J423" s="2" t="s">
        <v>19</v>
      </c>
      <c r="K423" s="2" t="s">
        <v>409</v>
      </c>
      <c r="L423" s="7" t="str">
        <f>HYPERLINK("http://slimages.macys.com/is/image/MCY/3832970 ")</f>
        <v xml:space="preserve">http://slimages.macys.com/is/image/MCY/3832970 </v>
      </c>
    </row>
    <row r="424" spans="1:12" ht="24.75" x14ac:dyDescent="0.25">
      <c r="A424" s="4" t="s">
        <v>6612</v>
      </c>
      <c r="B424" s="2" t="s">
        <v>1416</v>
      </c>
      <c r="C424" s="3">
        <v>1</v>
      </c>
      <c r="D424" s="5">
        <v>21.99</v>
      </c>
      <c r="E424" s="3" t="s">
        <v>3842</v>
      </c>
      <c r="F424" s="2" t="s">
        <v>74</v>
      </c>
      <c r="G424" s="6" t="s">
        <v>934</v>
      </c>
      <c r="H424" s="2" t="s">
        <v>312</v>
      </c>
      <c r="I424" s="2" t="s">
        <v>195</v>
      </c>
      <c r="J424" s="2" t="s">
        <v>19</v>
      </c>
      <c r="K424" s="2" t="s">
        <v>353</v>
      </c>
      <c r="L424" s="7" t="str">
        <f>HYPERLINK("http://slimages.macys.com/is/image/MCY/16058397 ")</f>
        <v xml:space="preserve">http://slimages.macys.com/is/image/MCY/16058397 </v>
      </c>
    </row>
    <row r="425" spans="1:12" ht="24.75" x14ac:dyDescent="0.25">
      <c r="A425" s="4" t="s">
        <v>6613</v>
      </c>
      <c r="B425" s="2" t="s">
        <v>1307</v>
      </c>
      <c r="C425" s="3">
        <v>1</v>
      </c>
      <c r="D425" s="5">
        <v>32.5</v>
      </c>
      <c r="E425" s="3" t="s">
        <v>1308</v>
      </c>
      <c r="F425" s="2" t="s">
        <v>193</v>
      </c>
      <c r="G425" s="6" t="s">
        <v>156</v>
      </c>
      <c r="H425" s="2" t="s">
        <v>194</v>
      </c>
      <c r="I425" s="2" t="s">
        <v>195</v>
      </c>
      <c r="J425" s="2" t="s">
        <v>19</v>
      </c>
      <c r="K425" s="2" t="s">
        <v>1108</v>
      </c>
      <c r="L425" s="7" t="str">
        <f>HYPERLINK("http://slimages.macys.com/is/image/MCY/12950211 ")</f>
        <v xml:space="preserve">http://slimages.macys.com/is/image/MCY/12950211 </v>
      </c>
    </row>
    <row r="426" spans="1:12" ht="24.75" x14ac:dyDescent="0.25">
      <c r="A426" s="4" t="s">
        <v>2671</v>
      </c>
      <c r="B426" s="2" t="s">
        <v>1307</v>
      </c>
      <c r="C426" s="3">
        <v>2</v>
      </c>
      <c r="D426" s="5">
        <v>32.5</v>
      </c>
      <c r="E426" s="3" t="s">
        <v>1308</v>
      </c>
      <c r="F426" s="2" t="s">
        <v>193</v>
      </c>
      <c r="G426" s="6" t="s">
        <v>181</v>
      </c>
      <c r="H426" s="2" t="s">
        <v>194</v>
      </c>
      <c r="I426" s="2" t="s">
        <v>195</v>
      </c>
      <c r="J426" s="2" t="s">
        <v>19</v>
      </c>
      <c r="K426" s="2" t="s">
        <v>1108</v>
      </c>
      <c r="L426" s="7" t="str">
        <f>HYPERLINK("http://slimages.macys.com/is/image/MCY/12950211 ")</f>
        <v xml:space="preserve">http://slimages.macys.com/is/image/MCY/12950211 </v>
      </c>
    </row>
    <row r="427" spans="1:12" ht="24.75" x14ac:dyDescent="0.25">
      <c r="A427" s="4" t="s">
        <v>4938</v>
      </c>
      <c r="B427" s="2" t="s">
        <v>1307</v>
      </c>
      <c r="C427" s="3">
        <v>1</v>
      </c>
      <c r="D427" s="5">
        <v>32.5</v>
      </c>
      <c r="E427" s="3" t="s">
        <v>1308</v>
      </c>
      <c r="F427" s="2" t="s">
        <v>193</v>
      </c>
      <c r="G427" s="6" t="s">
        <v>234</v>
      </c>
      <c r="H427" s="2" t="s">
        <v>194</v>
      </c>
      <c r="I427" s="2" t="s">
        <v>195</v>
      </c>
      <c r="J427" s="2" t="s">
        <v>19</v>
      </c>
      <c r="K427" s="2" t="s">
        <v>1108</v>
      </c>
      <c r="L427" s="7" t="str">
        <f>HYPERLINK("http://slimages.macys.com/is/image/MCY/12950211 ")</f>
        <v xml:space="preserve">http://slimages.macys.com/is/image/MCY/12950211 </v>
      </c>
    </row>
    <row r="428" spans="1:12" ht="24.75" x14ac:dyDescent="0.25">
      <c r="A428" s="4" t="s">
        <v>6614</v>
      </c>
      <c r="B428" s="2" t="s">
        <v>1314</v>
      </c>
      <c r="C428" s="3">
        <v>1</v>
      </c>
      <c r="D428" s="5">
        <v>24.99</v>
      </c>
      <c r="E428" s="3">
        <v>100010068</v>
      </c>
      <c r="F428" s="2" t="s">
        <v>998</v>
      </c>
      <c r="G428" s="6" t="s">
        <v>141</v>
      </c>
      <c r="H428" s="2" t="s">
        <v>228</v>
      </c>
      <c r="I428" s="2" t="s">
        <v>863</v>
      </c>
      <c r="J428" s="2" t="s">
        <v>19</v>
      </c>
      <c r="K428" s="2" t="s">
        <v>1315</v>
      </c>
      <c r="L428" s="7" t="str">
        <f>HYPERLINK("http://slimages.macys.com/is/image/MCY/9190991 ")</f>
        <v xml:space="preserve">http://slimages.macys.com/is/image/MCY/9190991 </v>
      </c>
    </row>
    <row r="429" spans="1:12" ht="24.75" x14ac:dyDescent="0.25">
      <c r="A429" s="4" t="s">
        <v>6615</v>
      </c>
      <c r="B429" s="2" t="s">
        <v>1324</v>
      </c>
      <c r="C429" s="3">
        <v>1</v>
      </c>
      <c r="D429" s="5">
        <v>37.130000000000003</v>
      </c>
      <c r="E429" s="3" t="s">
        <v>1325</v>
      </c>
      <c r="F429" s="2" t="s">
        <v>752</v>
      </c>
      <c r="G429" s="6" t="s">
        <v>154</v>
      </c>
      <c r="H429" s="2" t="s">
        <v>194</v>
      </c>
      <c r="I429" s="2" t="s">
        <v>580</v>
      </c>
      <c r="J429" s="2" t="s">
        <v>19</v>
      </c>
      <c r="K429" s="2" t="s">
        <v>160</v>
      </c>
      <c r="L429" s="7" t="str">
        <f>HYPERLINK("http://slimages.macys.com/is/image/MCY/12667972 ")</f>
        <v xml:space="preserve">http://slimages.macys.com/is/image/MCY/12667972 </v>
      </c>
    </row>
    <row r="430" spans="1:12" ht="24.75" x14ac:dyDescent="0.25">
      <c r="A430" s="4" t="s">
        <v>6616</v>
      </c>
      <c r="B430" s="2" t="s">
        <v>1343</v>
      </c>
      <c r="C430" s="3">
        <v>1</v>
      </c>
      <c r="D430" s="5">
        <v>24.99</v>
      </c>
      <c r="E430" s="3" t="s">
        <v>6617</v>
      </c>
      <c r="F430" s="2" t="s">
        <v>878</v>
      </c>
      <c r="G430" s="6" t="s">
        <v>934</v>
      </c>
      <c r="H430" s="2" t="s">
        <v>426</v>
      </c>
      <c r="I430" s="2" t="s">
        <v>229</v>
      </c>
      <c r="J430" s="2" t="s">
        <v>19</v>
      </c>
      <c r="K430" s="2" t="s">
        <v>253</v>
      </c>
      <c r="L430" s="7" t="str">
        <f>HYPERLINK("http://slimages.macys.com/is/image/MCY/8185688 ")</f>
        <v xml:space="preserve">http://slimages.macys.com/is/image/MCY/8185688 </v>
      </c>
    </row>
    <row r="431" spans="1:12" ht="24.75" x14ac:dyDescent="0.25">
      <c r="A431" s="4" t="s">
        <v>6618</v>
      </c>
      <c r="B431" s="2" t="s">
        <v>2678</v>
      </c>
      <c r="C431" s="3">
        <v>1</v>
      </c>
      <c r="D431" s="5">
        <v>24.99</v>
      </c>
      <c r="E431" s="3" t="s">
        <v>6619</v>
      </c>
      <c r="F431" s="2" t="s">
        <v>878</v>
      </c>
      <c r="G431" s="6" t="s">
        <v>16</v>
      </c>
      <c r="H431" s="2" t="s">
        <v>228</v>
      </c>
      <c r="I431" s="2" t="s">
        <v>863</v>
      </c>
      <c r="J431" s="2" t="s">
        <v>19</v>
      </c>
      <c r="K431" s="2" t="s">
        <v>253</v>
      </c>
      <c r="L431" s="7" t="str">
        <f>HYPERLINK("http://slimages.macys.com/is/image/MCY/11804521 ")</f>
        <v xml:space="preserve">http://slimages.macys.com/is/image/MCY/11804521 </v>
      </c>
    </row>
    <row r="432" spans="1:12" ht="24.75" x14ac:dyDescent="0.25">
      <c r="A432" s="4" t="s">
        <v>6620</v>
      </c>
      <c r="B432" s="2" t="s">
        <v>2678</v>
      </c>
      <c r="C432" s="3">
        <v>1</v>
      </c>
      <c r="D432" s="5">
        <v>24.99</v>
      </c>
      <c r="E432" s="3" t="s">
        <v>2679</v>
      </c>
      <c r="F432" s="2" t="s">
        <v>2680</v>
      </c>
      <c r="G432" s="6" t="s">
        <v>16</v>
      </c>
      <c r="H432" s="2" t="s">
        <v>228</v>
      </c>
      <c r="I432" s="2" t="s">
        <v>863</v>
      </c>
      <c r="J432" s="2"/>
      <c r="K432" s="2"/>
      <c r="L432" s="7" t="str">
        <f>HYPERLINK("http://slimages.macys.com/is/image/MCY/9257806 ")</f>
        <v xml:space="preserve">http://slimages.macys.com/is/image/MCY/9257806 </v>
      </c>
    </row>
    <row r="433" spans="1:12" ht="24.75" x14ac:dyDescent="0.25">
      <c r="A433" s="4" t="s">
        <v>6621</v>
      </c>
      <c r="B433" s="2" t="s">
        <v>1343</v>
      </c>
      <c r="C433" s="3">
        <v>1</v>
      </c>
      <c r="D433" s="5">
        <v>24.99</v>
      </c>
      <c r="E433" s="3" t="s">
        <v>6622</v>
      </c>
      <c r="F433" s="2" t="s">
        <v>331</v>
      </c>
      <c r="G433" s="6" t="s">
        <v>165</v>
      </c>
      <c r="H433" s="2" t="s">
        <v>426</v>
      </c>
      <c r="I433" s="2" t="s">
        <v>229</v>
      </c>
      <c r="J433" s="2" t="s">
        <v>19</v>
      </c>
      <c r="K433" s="2" t="s">
        <v>253</v>
      </c>
      <c r="L433" s="7" t="str">
        <f>HYPERLINK("http://slimages.macys.com/is/image/MCY/8185690 ")</f>
        <v xml:space="preserve">http://slimages.macys.com/is/image/MCY/8185690 </v>
      </c>
    </row>
    <row r="434" spans="1:12" ht="24.75" x14ac:dyDescent="0.25">
      <c r="A434" s="4" t="s">
        <v>6623</v>
      </c>
      <c r="B434" s="2" t="s">
        <v>1330</v>
      </c>
      <c r="C434" s="3">
        <v>1</v>
      </c>
      <c r="D434" s="5">
        <v>37.130000000000003</v>
      </c>
      <c r="E434" s="3" t="s">
        <v>1331</v>
      </c>
      <c r="F434" s="2" t="s">
        <v>74</v>
      </c>
      <c r="G434" s="6" t="s">
        <v>156</v>
      </c>
      <c r="H434" s="2" t="s">
        <v>194</v>
      </c>
      <c r="I434" s="2" t="s">
        <v>195</v>
      </c>
      <c r="J434" s="2" t="s">
        <v>19</v>
      </c>
      <c r="K434" s="2" t="s">
        <v>247</v>
      </c>
      <c r="L434" s="7" t="str">
        <f>HYPERLINK("http://slimages.macys.com/is/image/MCY/10889638 ")</f>
        <v xml:space="preserve">http://slimages.macys.com/is/image/MCY/10889638 </v>
      </c>
    </row>
    <row r="435" spans="1:12" ht="24.75" x14ac:dyDescent="0.25">
      <c r="A435" s="4" t="s">
        <v>6624</v>
      </c>
      <c r="B435" s="2" t="s">
        <v>1330</v>
      </c>
      <c r="C435" s="3">
        <v>1</v>
      </c>
      <c r="D435" s="5">
        <v>33.5</v>
      </c>
      <c r="E435" s="3" t="s">
        <v>1331</v>
      </c>
      <c r="F435" s="2" t="s">
        <v>38</v>
      </c>
      <c r="G435" s="6" t="s">
        <v>181</v>
      </c>
      <c r="H435" s="2" t="s">
        <v>194</v>
      </c>
      <c r="I435" s="2" t="s">
        <v>195</v>
      </c>
      <c r="J435" s="2" t="s">
        <v>19</v>
      </c>
      <c r="K435" s="2" t="s">
        <v>247</v>
      </c>
      <c r="L435" s="7" t="str">
        <f>HYPERLINK("http://slimages.macys.com/is/image/MCY/10889638 ")</f>
        <v xml:space="preserve">http://slimages.macys.com/is/image/MCY/10889638 </v>
      </c>
    </row>
    <row r="436" spans="1:12" ht="24.75" x14ac:dyDescent="0.25">
      <c r="A436" s="4" t="s">
        <v>3867</v>
      </c>
      <c r="B436" s="2" t="s">
        <v>2683</v>
      </c>
      <c r="C436" s="3">
        <v>1</v>
      </c>
      <c r="D436" s="5">
        <v>33.380000000000003</v>
      </c>
      <c r="E436" s="3" t="s">
        <v>2684</v>
      </c>
      <c r="F436" s="2" t="s">
        <v>752</v>
      </c>
      <c r="G436" s="6" t="s">
        <v>181</v>
      </c>
      <c r="H436" s="2" t="s">
        <v>194</v>
      </c>
      <c r="I436" s="2" t="s">
        <v>195</v>
      </c>
      <c r="J436" s="2" t="s">
        <v>19</v>
      </c>
      <c r="K436" s="2" t="s">
        <v>247</v>
      </c>
      <c r="L436" s="7" t="str">
        <f>HYPERLINK("http://slimages.macys.com/is/image/MCY/12404928 ")</f>
        <v xml:space="preserve">http://slimages.macys.com/is/image/MCY/12404928 </v>
      </c>
    </row>
    <row r="437" spans="1:12" ht="24.75" x14ac:dyDescent="0.25">
      <c r="A437" s="4" t="s">
        <v>5873</v>
      </c>
      <c r="B437" s="2" t="s">
        <v>2683</v>
      </c>
      <c r="C437" s="3">
        <v>1</v>
      </c>
      <c r="D437" s="5">
        <v>33.380000000000003</v>
      </c>
      <c r="E437" s="3" t="s">
        <v>2684</v>
      </c>
      <c r="F437" s="2" t="s">
        <v>15</v>
      </c>
      <c r="G437" s="6" t="s">
        <v>245</v>
      </c>
      <c r="H437" s="2" t="s">
        <v>194</v>
      </c>
      <c r="I437" s="2" t="s">
        <v>195</v>
      </c>
      <c r="J437" s="2" t="s">
        <v>19</v>
      </c>
      <c r="K437" s="2" t="s">
        <v>247</v>
      </c>
      <c r="L437" s="7" t="str">
        <f>HYPERLINK("http://slimages.macys.com/is/image/MCY/12404928 ")</f>
        <v xml:space="preserve">http://slimages.macys.com/is/image/MCY/12404928 </v>
      </c>
    </row>
    <row r="438" spans="1:12" ht="24.75" x14ac:dyDescent="0.25">
      <c r="A438" s="4" t="s">
        <v>6625</v>
      </c>
      <c r="B438" s="2" t="s">
        <v>3872</v>
      </c>
      <c r="C438" s="3">
        <v>1</v>
      </c>
      <c r="D438" s="5">
        <v>24.99</v>
      </c>
      <c r="E438" s="3" t="s">
        <v>6626</v>
      </c>
      <c r="F438" s="2" t="s">
        <v>15</v>
      </c>
      <c r="G438" s="6" t="s">
        <v>112</v>
      </c>
      <c r="H438" s="2" t="s">
        <v>1473</v>
      </c>
      <c r="I438" s="2" t="s">
        <v>1426</v>
      </c>
      <c r="J438" s="2" t="s">
        <v>19</v>
      </c>
      <c r="K438" s="2" t="s">
        <v>353</v>
      </c>
      <c r="L438" s="7" t="str">
        <f>HYPERLINK("http://slimages.macys.com/is/image/MCY/11207216 ")</f>
        <v xml:space="preserve">http://slimages.macys.com/is/image/MCY/11207216 </v>
      </c>
    </row>
    <row r="439" spans="1:12" ht="48.75" x14ac:dyDescent="0.25">
      <c r="A439" s="4" t="s">
        <v>4951</v>
      </c>
      <c r="B439" s="2" t="s">
        <v>1155</v>
      </c>
      <c r="C439" s="3">
        <v>1</v>
      </c>
      <c r="D439" s="5">
        <v>37.130000000000003</v>
      </c>
      <c r="E439" s="3" t="s">
        <v>3875</v>
      </c>
      <c r="F439" s="2" t="s">
        <v>26</v>
      </c>
      <c r="G439" s="6" t="s">
        <v>234</v>
      </c>
      <c r="H439" s="2" t="s">
        <v>194</v>
      </c>
      <c r="I439" s="2" t="s">
        <v>195</v>
      </c>
      <c r="J439" s="2" t="s">
        <v>19</v>
      </c>
      <c r="K439" s="2" t="s">
        <v>3879</v>
      </c>
      <c r="L439" s="7" t="str">
        <f>HYPERLINK("http://slimages.macys.com/is/image/MCY/12404881 ")</f>
        <v xml:space="preserve">http://slimages.macys.com/is/image/MCY/12404881 </v>
      </c>
    </row>
    <row r="440" spans="1:12" ht="24.75" x14ac:dyDescent="0.25">
      <c r="A440" s="4" t="s">
        <v>6627</v>
      </c>
      <c r="B440" s="2" t="s">
        <v>1346</v>
      </c>
      <c r="C440" s="3">
        <v>1</v>
      </c>
      <c r="D440" s="5">
        <v>59.5</v>
      </c>
      <c r="E440" s="3" t="s">
        <v>1347</v>
      </c>
      <c r="F440" s="2" t="s">
        <v>680</v>
      </c>
      <c r="G440" s="6"/>
      <c r="H440" s="2" t="s">
        <v>206</v>
      </c>
      <c r="I440" s="2" t="s">
        <v>207</v>
      </c>
      <c r="J440" s="2" t="s">
        <v>19</v>
      </c>
      <c r="K440" s="2" t="s">
        <v>1348</v>
      </c>
      <c r="L440" s="7" t="str">
        <f>HYPERLINK("http://slimages.macys.com/is/image/MCY/9236109 ")</f>
        <v xml:space="preserve">http://slimages.macys.com/is/image/MCY/9236109 </v>
      </c>
    </row>
    <row r="441" spans="1:12" ht="48.75" x14ac:dyDescent="0.25">
      <c r="A441" s="4" t="s">
        <v>6628</v>
      </c>
      <c r="B441" s="2" t="s">
        <v>1155</v>
      </c>
      <c r="C441" s="3">
        <v>1</v>
      </c>
      <c r="D441" s="5">
        <v>37.130000000000003</v>
      </c>
      <c r="E441" s="3" t="s">
        <v>3875</v>
      </c>
      <c r="F441" s="2" t="s">
        <v>15</v>
      </c>
      <c r="G441" s="6" t="s">
        <v>156</v>
      </c>
      <c r="H441" s="2" t="s">
        <v>194</v>
      </c>
      <c r="I441" s="2" t="s">
        <v>195</v>
      </c>
      <c r="J441" s="2" t="s">
        <v>19</v>
      </c>
      <c r="K441" s="2" t="s">
        <v>3879</v>
      </c>
      <c r="L441" s="7" t="str">
        <f>HYPERLINK("http://slimages.macys.com/is/image/MCY/12404881 ")</f>
        <v xml:space="preserve">http://slimages.macys.com/is/image/MCY/12404881 </v>
      </c>
    </row>
    <row r="442" spans="1:12" ht="24.75" x14ac:dyDescent="0.25">
      <c r="A442" s="4" t="s">
        <v>3884</v>
      </c>
      <c r="B442" s="2" t="s">
        <v>1253</v>
      </c>
      <c r="C442" s="3">
        <v>1</v>
      </c>
      <c r="D442" s="5">
        <v>24.99</v>
      </c>
      <c r="E442" s="3" t="s">
        <v>2688</v>
      </c>
      <c r="F442" s="2" t="s">
        <v>506</v>
      </c>
      <c r="G442" s="6" t="s">
        <v>934</v>
      </c>
      <c r="H442" s="2" t="s">
        <v>426</v>
      </c>
      <c r="I442" s="2" t="s">
        <v>863</v>
      </c>
      <c r="J442" s="2" t="s">
        <v>19</v>
      </c>
      <c r="K442" s="2" t="s">
        <v>253</v>
      </c>
      <c r="L442" s="7" t="str">
        <f>HYPERLINK("http://slimages.macys.com/is/image/MCY/9029356 ")</f>
        <v xml:space="preserve">http://slimages.macys.com/is/image/MCY/9029356 </v>
      </c>
    </row>
    <row r="443" spans="1:12" ht="24.75" x14ac:dyDescent="0.25">
      <c r="A443" s="4" t="s">
        <v>6629</v>
      </c>
      <c r="B443" s="2" t="s">
        <v>1318</v>
      </c>
      <c r="C443" s="3">
        <v>1</v>
      </c>
      <c r="D443" s="5">
        <v>24.99</v>
      </c>
      <c r="E443" s="3" t="s">
        <v>1321</v>
      </c>
      <c r="F443" s="2" t="s">
        <v>89</v>
      </c>
      <c r="G443" s="6" t="s">
        <v>16</v>
      </c>
      <c r="H443" s="2" t="s">
        <v>228</v>
      </c>
      <c r="I443" s="2" t="s">
        <v>229</v>
      </c>
      <c r="J443" s="2" t="s">
        <v>19</v>
      </c>
      <c r="K443" s="2" t="s">
        <v>253</v>
      </c>
      <c r="L443" s="7" t="str">
        <f>HYPERLINK("http://slimages.macys.com/is/image/MCY/9029356 ")</f>
        <v xml:space="preserve">http://slimages.macys.com/is/image/MCY/9029356 </v>
      </c>
    </row>
    <row r="444" spans="1:12" ht="24.75" x14ac:dyDescent="0.25">
      <c r="A444" s="4" t="s">
        <v>5882</v>
      </c>
      <c r="B444" s="2" t="s">
        <v>1318</v>
      </c>
      <c r="C444" s="3">
        <v>1</v>
      </c>
      <c r="D444" s="5">
        <v>24.99</v>
      </c>
      <c r="E444" s="3" t="s">
        <v>1321</v>
      </c>
      <c r="F444" s="2" t="s">
        <v>89</v>
      </c>
      <c r="G444" s="6" t="s">
        <v>27</v>
      </c>
      <c r="H444" s="2" t="s">
        <v>228</v>
      </c>
      <c r="I444" s="2" t="s">
        <v>229</v>
      </c>
      <c r="J444" s="2" t="s">
        <v>19</v>
      </c>
      <c r="K444" s="2" t="s">
        <v>253</v>
      </c>
      <c r="L444" s="7" t="str">
        <f>HYPERLINK("http://slimages.macys.com/is/image/MCY/9029356 ")</f>
        <v xml:space="preserve">http://slimages.macys.com/is/image/MCY/9029356 </v>
      </c>
    </row>
    <row r="445" spans="1:12" ht="24.75" x14ac:dyDescent="0.25">
      <c r="A445" s="4" t="s">
        <v>6630</v>
      </c>
      <c r="B445" s="2" t="s">
        <v>1356</v>
      </c>
      <c r="C445" s="3">
        <v>1</v>
      </c>
      <c r="D445" s="5">
        <v>34.5</v>
      </c>
      <c r="E445" s="3">
        <v>100045812</v>
      </c>
      <c r="F445" s="2" t="s">
        <v>111</v>
      </c>
      <c r="G445" s="6" t="s">
        <v>141</v>
      </c>
      <c r="H445" s="2" t="s">
        <v>228</v>
      </c>
      <c r="I445" s="2" t="s">
        <v>229</v>
      </c>
      <c r="J445" s="2" t="s">
        <v>19</v>
      </c>
      <c r="K445" s="2" t="s">
        <v>353</v>
      </c>
      <c r="L445" s="7" t="str">
        <f>HYPERLINK("http://slimages.macys.com/is/image/MCY/11936020 ")</f>
        <v xml:space="preserve">http://slimages.macys.com/is/image/MCY/11936020 </v>
      </c>
    </row>
    <row r="446" spans="1:12" ht="24.75" x14ac:dyDescent="0.25">
      <c r="A446" s="4" t="s">
        <v>6631</v>
      </c>
      <c r="B446" s="2" t="s">
        <v>1318</v>
      </c>
      <c r="C446" s="3">
        <v>3</v>
      </c>
      <c r="D446" s="5">
        <v>24.99</v>
      </c>
      <c r="E446" s="3">
        <v>100003708</v>
      </c>
      <c r="F446" s="2" t="s">
        <v>417</v>
      </c>
      <c r="G446" s="6" t="s">
        <v>16</v>
      </c>
      <c r="H446" s="2" t="s">
        <v>228</v>
      </c>
      <c r="I446" s="2" t="s">
        <v>229</v>
      </c>
      <c r="J446" s="2" t="s">
        <v>19</v>
      </c>
      <c r="K446" s="2" t="s">
        <v>253</v>
      </c>
      <c r="L446" s="7" t="str">
        <f>HYPERLINK("http://slimages.macys.com/is/image/MCY/9029356 ")</f>
        <v xml:space="preserve">http://slimages.macys.com/is/image/MCY/9029356 </v>
      </c>
    </row>
    <row r="447" spans="1:12" ht="24.75" x14ac:dyDescent="0.25">
      <c r="A447" s="4" t="s">
        <v>2690</v>
      </c>
      <c r="B447" s="2" t="s">
        <v>1318</v>
      </c>
      <c r="C447" s="3">
        <v>1</v>
      </c>
      <c r="D447" s="5">
        <v>24.99</v>
      </c>
      <c r="E447" s="3">
        <v>100003708</v>
      </c>
      <c r="F447" s="2" t="s">
        <v>417</v>
      </c>
      <c r="G447" s="6" t="s">
        <v>112</v>
      </c>
      <c r="H447" s="2" t="s">
        <v>228</v>
      </c>
      <c r="I447" s="2" t="s">
        <v>229</v>
      </c>
      <c r="J447" s="2" t="s">
        <v>19</v>
      </c>
      <c r="K447" s="2" t="s">
        <v>253</v>
      </c>
      <c r="L447" s="7" t="str">
        <f>HYPERLINK("http://slimages.macys.com/is/image/MCY/9029356 ")</f>
        <v xml:space="preserve">http://slimages.macys.com/is/image/MCY/9029356 </v>
      </c>
    </row>
    <row r="448" spans="1:12" ht="24.75" x14ac:dyDescent="0.25">
      <c r="A448" s="4" t="s">
        <v>6632</v>
      </c>
      <c r="B448" s="2" t="s">
        <v>1318</v>
      </c>
      <c r="C448" s="3">
        <v>2</v>
      </c>
      <c r="D448" s="5">
        <v>24.99</v>
      </c>
      <c r="E448" s="3">
        <v>100003708</v>
      </c>
      <c r="F448" s="2" t="s">
        <v>417</v>
      </c>
      <c r="G448" s="6" t="s">
        <v>22</v>
      </c>
      <c r="H448" s="2" t="s">
        <v>228</v>
      </c>
      <c r="I448" s="2" t="s">
        <v>229</v>
      </c>
      <c r="J448" s="2" t="s">
        <v>19</v>
      </c>
      <c r="K448" s="2" t="s">
        <v>253</v>
      </c>
      <c r="L448" s="7" t="str">
        <f>HYPERLINK("http://slimages.macys.com/is/image/MCY/9029356 ")</f>
        <v xml:space="preserve">http://slimages.macys.com/is/image/MCY/9029356 </v>
      </c>
    </row>
    <row r="449" spans="1:12" ht="24.75" x14ac:dyDescent="0.25">
      <c r="A449" s="4" t="s">
        <v>2704</v>
      </c>
      <c r="B449" s="2" t="s">
        <v>1356</v>
      </c>
      <c r="C449" s="3">
        <v>1</v>
      </c>
      <c r="D449" s="5">
        <v>34.5</v>
      </c>
      <c r="E449" s="3">
        <v>100045813</v>
      </c>
      <c r="F449" s="2" t="s">
        <v>111</v>
      </c>
      <c r="G449" s="6" t="s">
        <v>22</v>
      </c>
      <c r="H449" s="2" t="s">
        <v>228</v>
      </c>
      <c r="I449" s="2" t="s">
        <v>229</v>
      </c>
      <c r="J449" s="2" t="s">
        <v>19</v>
      </c>
      <c r="K449" s="2" t="s">
        <v>353</v>
      </c>
      <c r="L449" s="7" t="str">
        <f>HYPERLINK("http://slimages.macys.com/is/image/MCY/11936020 ")</f>
        <v xml:space="preserve">http://slimages.macys.com/is/image/MCY/11936020 </v>
      </c>
    </row>
    <row r="450" spans="1:12" ht="24.75" x14ac:dyDescent="0.25">
      <c r="A450" s="4" t="s">
        <v>6633</v>
      </c>
      <c r="B450" s="2" t="s">
        <v>1356</v>
      </c>
      <c r="C450" s="3">
        <v>1</v>
      </c>
      <c r="D450" s="5">
        <v>34.5</v>
      </c>
      <c r="E450" s="3">
        <v>100045813</v>
      </c>
      <c r="F450" s="2" t="s">
        <v>111</v>
      </c>
      <c r="G450" s="6" t="s">
        <v>141</v>
      </c>
      <c r="H450" s="2" t="s">
        <v>228</v>
      </c>
      <c r="I450" s="2" t="s">
        <v>229</v>
      </c>
      <c r="J450" s="2" t="s">
        <v>19</v>
      </c>
      <c r="K450" s="2" t="s">
        <v>353</v>
      </c>
      <c r="L450" s="7" t="str">
        <f>HYPERLINK("http://slimages.macys.com/is/image/MCY/11936020 ")</f>
        <v xml:space="preserve">http://slimages.macys.com/is/image/MCY/11936020 </v>
      </c>
    </row>
    <row r="451" spans="1:12" ht="24.75" x14ac:dyDescent="0.25">
      <c r="A451" s="4" t="s">
        <v>6634</v>
      </c>
      <c r="B451" s="2" t="s">
        <v>1318</v>
      </c>
      <c r="C451" s="3">
        <v>1</v>
      </c>
      <c r="D451" s="5">
        <v>24.99</v>
      </c>
      <c r="E451" s="3" t="s">
        <v>1321</v>
      </c>
      <c r="F451" s="2" t="s">
        <v>376</v>
      </c>
      <c r="G451" s="6" t="s">
        <v>27</v>
      </c>
      <c r="H451" s="2" t="s">
        <v>228</v>
      </c>
      <c r="I451" s="2" t="s">
        <v>229</v>
      </c>
      <c r="J451" s="2" t="s">
        <v>19</v>
      </c>
      <c r="K451" s="2" t="s">
        <v>253</v>
      </c>
      <c r="L451" s="7" t="str">
        <f>HYPERLINK("http://slimages.macys.com/is/image/MCY/9029356 ")</f>
        <v xml:space="preserve">http://slimages.macys.com/is/image/MCY/9029356 </v>
      </c>
    </row>
    <row r="452" spans="1:12" ht="24.75" x14ac:dyDescent="0.25">
      <c r="A452" s="4" t="s">
        <v>6635</v>
      </c>
      <c r="B452" s="2" t="s">
        <v>1318</v>
      </c>
      <c r="C452" s="3">
        <v>1</v>
      </c>
      <c r="D452" s="5">
        <v>24.99</v>
      </c>
      <c r="E452" s="3" t="s">
        <v>1321</v>
      </c>
      <c r="F452" s="2" t="s">
        <v>193</v>
      </c>
      <c r="G452" s="6" t="s">
        <v>58</v>
      </c>
      <c r="H452" s="2" t="s">
        <v>228</v>
      </c>
      <c r="I452" s="2" t="s">
        <v>229</v>
      </c>
      <c r="J452" s="2" t="s">
        <v>19</v>
      </c>
      <c r="K452" s="2" t="s">
        <v>253</v>
      </c>
      <c r="L452" s="7" t="str">
        <f>HYPERLINK("http://slimages.macys.com/is/image/MCY/9029356 ")</f>
        <v xml:space="preserve">http://slimages.macys.com/is/image/MCY/9029356 </v>
      </c>
    </row>
    <row r="453" spans="1:12" ht="24.75" x14ac:dyDescent="0.25">
      <c r="A453" s="4" t="s">
        <v>2696</v>
      </c>
      <c r="B453" s="2" t="s">
        <v>1356</v>
      </c>
      <c r="C453" s="3">
        <v>1</v>
      </c>
      <c r="D453" s="5">
        <v>34.5</v>
      </c>
      <c r="E453" s="3">
        <v>100045815</v>
      </c>
      <c r="F453" s="2" t="s">
        <v>26</v>
      </c>
      <c r="G453" s="6" t="s">
        <v>58</v>
      </c>
      <c r="H453" s="2" t="s">
        <v>228</v>
      </c>
      <c r="I453" s="2" t="s">
        <v>229</v>
      </c>
      <c r="J453" s="2" t="s">
        <v>19</v>
      </c>
      <c r="K453" s="2" t="s">
        <v>353</v>
      </c>
      <c r="L453" s="7" t="str">
        <f>HYPERLINK("http://slimages.macys.com/is/image/MCY/11936020 ")</f>
        <v xml:space="preserve">http://slimages.macys.com/is/image/MCY/11936020 </v>
      </c>
    </row>
    <row r="454" spans="1:12" ht="24.75" x14ac:dyDescent="0.25">
      <c r="A454" s="4" t="s">
        <v>6636</v>
      </c>
      <c r="B454" s="2" t="s">
        <v>1318</v>
      </c>
      <c r="C454" s="3">
        <v>1</v>
      </c>
      <c r="D454" s="5">
        <v>24.99</v>
      </c>
      <c r="E454" s="3" t="s">
        <v>1321</v>
      </c>
      <c r="F454" s="2" t="s">
        <v>64</v>
      </c>
      <c r="G454" s="6" t="s">
        <v>141</v>
      </c>
      <c r="H454" s="2" t="s">
        <v>228</v>
      </c>
      <c r="I454" s="2" t="s">
        <v>229</v>
      </c>
      <c r="J454" s="2" t="s">
        <v>19</v>
      </c>
      <c r="K454" s="2" t="s">
        <v>253</v>
      </c>
      <c r="L454" s="7" t="str">
        <f>HYPERLINK("http://slimages.macys.com/is/image/MCY/9029356 ")</f>
        <v xml:space="preserve">http://slimages.macys.com/is/image/MCY/9029356 </v>
      </c>
    </row>
    <row r="455" spans="1:12" ht="24.75" x14ac:dyDescent="0.25">
      <c r="A455" s="4" t="s">
        <v>6637</v>
      </c>
      <c r="B455" s="2" t="s">
        <v>1318</v>
      </c>
      <c r="C455" s="3">
        <v>2</v>
      </c>
      <c r="D455" s="5">
        <v>24.99</v>
      </c>
      <c r="E455" s="3" t="s">
        <v>1321</v>
      </c>
      <c r="F455" s="2" t="s">
        <v>70</v>
      </c>
      <c r="G455" s="6" t="s">
        <v>27</v>
      </c>
      <c r="H455" s="2" t="s">
        <v>228</v>
      </c>
      <c r="I455" s="2" t="s">
        <v>229</v>
      </c>
      <c r="J455" s="2" t="s">
        <v>19</v>
      </c>
      <c r="K455" s="2" t="s">
        <v>253</v>
      </c>
      <c r="L455" s="7" t="str">
        <f>HYPERLINK("http://slimages.macys.com/is/image/MCY/9029356 ")</f>
        <v xml:space="preserve">http://slimages.macys.com/is/image/MCY/9029356 </v>
      </c>
    </row>
    <row r="456" spans="1:12" ht="24.75" x14ac:dyDescent="0.25">
      <c r="A456" s="4" t="s">
        <v>5881</v>
      </c>
      <c r="B456" s="2" t="s">
        <v>1318</v>
      </c>
      <c r="C456" s="3">
        <v>2</v>
      </c>
      <c r="D456" s="5">
        <v>24.99</v>
      </c>
      <c r="E456" s="3" t="s">
        <v>1321</v>
      </c>
      <c r="F456" s="2" t="s">
        <v>64</v>
      </c>
      <c r="G456" s="6" t="s">
        <v>106</v>
      </c>
      <c r="H456" s="2" t="s">
        <v>228</v>
      </c>
      <c r="I456" s="2" t="s">
        <v>229</v>
      </c>
      <c r="J456" s="2" t="s">
        <v>19</v>
      </c>
      <c r="K456" s="2" t="s">
        <v>253</v>
      </c>
      <c r="L456" s="7" t="str">
        <f>HYPERLINK("http://slimages.macys.com/is/image/MCY/9029356 ")</f>
        <v xml:space="preserve">http://slimages.macys.com/is/image/MCY/9029356 </v>
      </c>
    </row>
    <row r="457" spans="1:12" ht="24.75" x14ac:dyDescent="0.25">
      <c r="A457" s="4" t="s">
        <v>5883</v>
      </c>
      <c r="B457" s="2" t="s">
        <v>1318</v>
      </c>
      <c r="C457" s="3">
        <v>1</v>
      </c>
      <c r="D457" s="5">
        <v>24.99</v>
      </c>
      <c r="E457" s="3" t="s">
        <v>1321</v>
      </c>
      <c r="F457" s="2" t="s">
        <v>506</v>
      </c>
      <c r="G457" s="6" t="s">
        <v>22</v>
      </c>
      <c r="H457" s="2" t="s">
        <v>228</v>
      </c>
      <c r="I457" s="2" t="s">
        <v>229</v>
      </c>
      <c r="J457" s="2" t="s">
        <v>19</v>
      </c>
      <c r="K457" s="2" t="s">
        <v>253</v>
      </c>
      <c r="L457" s="7" t="str">
        <f>HYPERLINK("http://slimages.macys.com/is/image/MCY/8296032 ")</f>
        <v xml:space="preserve">http://slimages.macys.com/is/image/MCY/8296032 </v>
      </c>
    </row>
    <row r="458" spans="1:12" ht="24.75" x14ac:dyDescent="0.25">
      <c r="A458" s="4" t="s">
        <v>3880</v>
      </c>
      <c r="B458" s="2" t="s">
        <v>1318</v>
      </c>
      <c r="C458" s="3">
        <v>2</v>
      </c>
      <c r="D458" s="5">
        <v>24.99</v>
      </c>
      <c r="E458" s="3" t="s">
        <v>1321</v>
      </c>
      <c r="F458" s="2" t="s">
        <v>506</v>
      </c>
      <c r="G458" s="6" t="s">
        <v>27</v>
      </c>
      <c r="H458" s="2" t="s">
        <v>228</v>
      </c>
      <c r="I458" s="2" t="s">
        <v>229</v>
      </c>
      <c r="J458" s="2" t="s">
        <v>19</v>
      </c>
      <c r="K458" s="2" t="s">
        <v>253</v>
      </c>
      <c r="L458" s="7" t="str">
        <f>HYPERLINK("http://slimages.macys.com/is/image/MCY/8296032 ")</f>
        <v xml:space="preserve">http://slimages.macys.com/is/image/MCY/8296032 </v>
      </c>
    </row>
    <row r="459" spans="1:12" ht="24.75" x14ac:dyDescent="0.25">
      <c r="A459" s="4" t="s">
        <v>6638</v>
      </c>
      <c r="B459" s="2" t="s">
        <v>1318</v>
      </c>
      <c r="C459" s="3">
        <v>1</v>
      </c>
      <c r="D459" s="5">
        <v>24.99</v>
      </c>
      <c r="E459" s="3" t="s">
        <v>1321</v>
      </c>
      <c r="F459" s="2" t="s">
        <v>193</v>
      </c>
      <c r="G459" s="6" t="s">
        <v>27</v>
      </c>
      <c r="H459" s="2" t="s">
        <v>228</v>
      </c>
      <c r="I459" s="2" t="s">
        <v>229</v>
      </c>
      <c r="J459" s="2" t="s">
        <v>19</v>
      </c>
      <c r="K459" s="2" t="s">
        <v>253</v>
      </c>
      <c r="L459" s="7" t="str">
        <f>HYPERLINK("http://slimages.macys.com/is/image/MCY/9029356 ")</f>
        <v xml:space="preserve">http://slimages.macys.com/is/image/MCY/9029356 </v>
      </c>
    </row>
    <row r="460" spans="1:12" ht="24.75" x14ac:dyDescent="0.25">
      <c r="A460" s="4" t="s">
        <v>6639</v>
      </c>
      <c r="B460" s="2" t="s">
        <v>1318</v>
      </c>
      <c r="C460" s="3">
        <v>1</v>
      </c>
      <c r="D460" s="5">
        <v>24.99</v>
      </c>
      <c r="E460" s="3" t="s">
        <v>1321</v>
      </c>
      <c r="F460" s="2" t="s">
        <v>193</v>
      </c>
      <c r="G460" s="6" t="s">
        <v>141</v>
      </c>
      <c r="H460" s="2" t="s">
        <v>228</v>
      </c>
      <c r="I460" s="2" t="s">
        <v>229</v>
      </c>
      <c r="J460" s="2" t="s">
        <v>19</v>
      </c>
      <c r="K460" s="2" t="s">
        <v>253</v>
      </c>
      <c r="L460" s="7" t="str">
        <f>HYPERLINK("http://slimages.macys.com/is/image/MCY/9029356 ")</f>
        <v xml:space="preserve">http://slimages.macys.com/is/image/MCY/9029356 </v>
      </c>
    </row>
    <row r="461" spans="1:12" ht="24.75" x14ac:dyDescent="0.25">
      <c r="A461" s="4" t="s">
        <v>6640</v>
      </c>
      <c r="B461" s="2" t="s">
        <v>1318</v>
      </c>
      <c r="C461" s="3">
        <v>1</v>
      </c>
      <c r="D461" s="5">
        <v>24.99</v>
      </c>
      <c r="E461" s="3">
        <v>100003708</v>
      </c>
      <c r="F461" s="2" t="s">
        <v>417</v>
      </c>
      <c r="G461" s="6" t="s">
        <v>141</v>
      </c>
      <c r="H461" s="2" t="s">
        <v>228</v>
      </c>
      <c r="I461" s="2" t="s">
        <v>229</v>
      </c>
      <c r="J461" s="2" t="s">
        <v>19</v>
      </c>
      <c r="K461" s="2" t="s">
        <v>253</v>
      </c>
      <c r="L461" s="7" t="str">
        <f>HYPERLINK("http://slimages.macys.com/is/image/MCY/9029356 ")</f>
        <v xml:space="preserve">http://slimages.macys.com/is/image/MCY/9029356 </v>
      </c>
    </row>
    <row r="462" spans="1:12" ht="24.75" x14ac:dyDescent="0.25">
      <c r="A462" s="4" t="s">
        <v>1352</v>
      </c>
      <c r="B462" s="2" t="s">
        <v>1318</v>
      </c>
      <c r="C462" s="3">
        <v>2</v>
      </c>
      <c r="D462" s="5">
        <v>24.99</v>
      </c>
      <c r="E462" s="3" t="s">
        <v>1321</v>
      </c>
      <c r="F462" s="2" t="s">
        <v>506</v>
      </c>
      <c r="G462" s="6" t="s">
        <v>141</v>
      </c>
      <c r="H462" s="2" t="s">
        <v>228</v>
      </c>
      <c r="I462" s="2" t="s">
        <v>229</v>
      </c>
      <c r="J462" s="2" t="s">
        <v>19</v>
      </c>
      <c r="K462" s="2" t="s">
        <v>253</v>
      </c>
      <c r="L462" s="7" t="str">
        <f>HYPERLINK("http://slimages.macys.com/is/image/MCY/8296032 ")</f>
        <v xml:space="preserve">http://slimages.macys.com/is/image/MCY/8296032 </v>
      </c>
    </row>
    <row r="463" spans="1:12" ht="24.75" x14ac:dyDescent="0.25">
      <c r="A463" s="4" t="s">
        <v>2692</v>
      </c>
      <c r="B463" s="2" t="s">
        <v>1318</v>
      </c>
      <c r="C463" s="3">
        <v>1</v>
      </c>
      <c r="D463" s="5">
        <v>24.99</v>
      </c>
      <c r="E463" s="3" t="s">
        <v>1321</v>
      </c>
      <c r="F463" s="2" t="s">
        <v>506</v>
      </c>
      <c r="G463" s="6" t="s">
        <v>112</v>
      </c>
      <c r="H463" s="2" t="s">
        <v>228</v>
      </c>
      <c r="I463" s="2" t="s">
        <v>229</v>
      </c>
      <c r="J463" s="2" t="s">
        <v>19</v>
      </c>
      <c r="K463" s="2" t="s">
        <v>253</v>
      </c>
      <c r="L463" s="7" t="str">
        <f>HYPERLINK("http://slimages.macys.com/is/image/MCY/8296032 ")</f>
        <v xml:space="preserve">http://slimages.macys.com/is/image/MCY/8296032 </v>
      </c>
    </row>
    <row r="464" spans="1:12" ht="24.75" x14ac:dyDescent="0.25">
      <c r="A464" s="4" t="s">
        <v>1350</v>
      </c>
      <c r="B464" s="2" t="s">
        <v>1318</v>
      </c>
      <c r="C464" s="3">
        <v>4</v>
      </c>
      <c r="D464" s="5">
        <v>24.99</v>
      </c>
      <c r="E464" s="3" t="s">
        <v>1321</v>
      </c>
      <c r="F464" s="2" t="s">
        <v>506</v>
      </c>
      <c r="G464" s="6" t="s">
        <v>58</v>
      </c>
      <c r="H464" s="2" t="s">
        <v>228</v>
      </c>
      <c r="I464" s="2" t="s">
        <v>229</v>
      </c>
      <c r="J464" s="2" t="s">
        <v>19</v>
      </c>
      <c r="K464" s="2" t="s">
        <v>253</v>
      </c>
      <c r="L464" s="7" t="str">
        <f>HYPERLINK("http://slimages.macys.com/is/image/MCY/8296032 ")</f>
        <v xml:space="preserve">http://slimages.macys.com/is/image/MCY/8296032 </v>
      </c>
    </row>
    <row r="465" spans="1:12" ht="24.75" x14ac:dyDescent="0.25">
      <c r="A465" s="4" t="s">
        <v>6641</v>
      </c>
      <c r="B465" s="2" t="s">
        <v>1318</v>
      </c>
      <c r="C465" s="3">
        <v>1</v>
      </c>
      <c r="D465" s="5">
        <v>24.99</v>
      </c>
      <c r="E465" s="3" t="s">
        <v>1321</v>
      </c>
      <c r="F465" s="2" t="s">
        <v>376</v>
      </c>
      <c r="G465" s="6" t="s">
        <v>16</v>
      </c>
      <c r="H465" s="2" t="s">
        <v>228</v>
      </c>
      <c r="I465" s="2" t="s">
        <v>229</v>
      </c>
      <c r="J465" s="2" t="s">
        <v>19</v>
      </c>
      <c r="K465" s="2" t="s">
        <v>253</v>
      </c>
      <c r="L465" s="7" t="str">
        <f>HYPERLINK("http://slimages.macys.com/is/image/MCY/9029356 ")</f>
        <v xml:space="preserve">http://slimages.macys.com/is/image/MCY/9029356 </v>
      </c>
    </row>
    <row r="466" spans="1:12" ht="24.75" x14ac:dyDescent="0.25">
      <c r="A466" s="4" t="s">
        <v>6642</v>
      </c>
      <c r="B466" s="2" t="s">
        <v>1356</v>
      </c>
      <c r="C466" s="3">
        <v>1</v>
      </c>
      <c r="D466" s="5">
        <v>34.5</v>
      </c>
      <c r="E466" s="3" t="s">
        <v>4956</v>
      </c>
      <c r="F466" s="2" t="s">
        <v>111</v>
      </c>
      <c r="G466" s="6" t="s">
        <v>205</v>
      </c>
      <c r="H466" s="2" t="s">
        <v>426</v>
      </c>
      <c r="I466" s="2" t="s">
        <v>229</v>
      </c>
      <c r="J466" s="2" t="s">
        <v>19</v>
      </c>
      <c r="K466" s="2" t="s">
        <v>107</v>
      </c>
      <c r="L466" s="7" t="str">
        <f>HYPERLINK("http://slimages.macys.com/is/image/MCY/16355207 ")</f>
        <v xml:space="preserve">http://slimages.macys.com/is/image/MCY/16355207 </v>
      </c>
    </row>
    <row r="467" spans="1:12" ht="24.75" x14ac:dyDescent="0.25">
      <c r="A467" s="4" t="s">
        <v>6643</v>
      </c>
      <c r="B467" s="2" t="s">
        <v>1356</v>
      </c>
      <c r="C467" s="3">
        <v>1</v>
      </c>
      <c r="D467" s="5">
        <v>34.5</v>
      </c>
      <c r="E467" s="3" t="s">
        <v>4956</v>
      </c>
      <c r="F467" s="2" t="s">
        <v>111</v>
      </c>
      <c r="G467" s="6" t="s">
        <v>165</v>
      </c>
      <c r="H467" s="2" t="s">
        <v>426</v>
      </c>
      <c r="I467" s="2" t="s">
        <v>229</v>
      </c>
      <c r="J467" s="2" t="s">
        <v>19</v>
      </c>
      <c r="K467" s="2" t="s">
        <v>107</v>
      </c>
      <c r="L467" s="7" t="str">
        <f>HYPERLINK("http://slimages.macys.com/is/image/MCY/16355207 ")</f>
        <v xml:space="preserve">http://slimages.macys.com/is/image/MCY/16355207 </v>
      </c>
    </row>
    <row r="468" spans="1:12" ht="24.75" x14ac:dyDescent="0.25">
      <c r="A468" s="4" t="s">
        <v>6644</v>
      </c>
      <c r="B468" s="2" t="s">
        <v>1253</v>
      </c>
      <c r="C468" s="3">
        <v>2</v>
      </c>
      <c r="D468" s="5">
        <v>24.99</v>
      </c>
      <c r="E468" s="3" t="s">
        <v>2688</v>
      </c>
      <c r="F468" s="2" t="s">
        <v>74</v>
      </c>
      <c r="G468" s="6" t="s">
        <v>802</v>
      </c>
      <c r="H468" s="2" t="s">
        <v>426</v>
      </c>
      <c r="I468" s="2" t="s">
        <v>863</v>
      </c>
      <c r="J468" s="2" t="s">
        <v>19</v>
      </c>
      <c r="K468" s="2" t="s">
        <v>253</v>
      </c>
      <c r="L468" s="7" t="str">
        <f>HYPERLINK("http://slimages.macys.com/is/image/MCY/9029356 ")</f>
        <v xml:space="preserve">http://slimages.macys.com/is/image/MCY/9029356 </v>
      </c>
    </row>
    <row r="469" spans="1:12" ht="24.75" x14ac:dyDescent="0.25">
      <c r="A469" s="4" t="s">
        <v>6645</v>
      </c>
      <c r="B469" s="2" t="s">
        <v>1253</v>
      </c>
      <c r="C469" s="3">
        <v>1</v>
      </c>
      <c r="D469" s="5">
        <v>24.99</v>
      </c>
      <c r="E469" s="3" t="s">
        <v>2688</v>
      </c>
      <c r="F469" s="2" t="s">
        <v>506</v>
      </c>
      <c r="G469" s="6" t="s">
        <v>363</v>
      </c>
      <c r="H469" s="2" t="s">
        <v>426</v>
      </c>
      <c r="I469" s="2" t="s">
        <v>863</v>
      </c>
      <c r="J469" s="2" t="s">
        <v>19</v>
      </c>
      <c r="K469" s="2" t="s">
        <v>253</v>
      </c>
      <c r="L469" s="7" t="str">
        <f>HYPERLINK("http://slimages.macys.com/is/image/MCY/9029356 ")</f>
        <v xml:space="preserve">http://slimages.macys.com/is/image/MCY/9029356 </v>
      </c>
    </row>
    <row r="470" spans="1:12" ht="24.75" x14ac:dyDescent="0.25">
      <c r="A470" s="4" t="s">
        <v>2687</v>
      </c>
      <c r="B470" s="2" t="s">
        <v>1253</v>
      </c>
      <c r="C470" s="3">
        <v>1</v>
      </c>
      <c r="D470" s="5">
        <v>24.99</v>
      </c>
      <c r="E470" s="3" t="s">
        <v>2688</v>
      </c>
      <c r="F470" s="2" t="s">
        <v>506</v>
      </c>
      <c r="G470" s="6" t="s">
        <v>165</v>
      </c>
      <c r="H470" s="2" t="s">
        <v>426</v>
      </c>
      <c r="I470" s="2" t="s">
        <v>863</v>
      </c>
      <c r="J470" s="2" t="s">
        <v>19</v>
      </c>
      <c r="K470" s="2" t="s">
        <v>253</v>
      </c>
      <c r="L470" s="7" t="str">
        <f>HYPERLINK("http://slimages.macys.com/is/image/MCY/9029356 ")</f>
        <v xml:space="preserve">http://slimages.macys.com/is/image/MCY/9029356 </v>
      </c>
    </row>
    <row r="471" spans="1:12" ht="24.75" x14ac:dyDescent="0.25">
      <c r="A471" s="4" t="s">
        <v>6646</v>
      </c>
      <c r="B471" s="2" t="s">
        <v>1253</v>
      </c>
      <c r="C471" s="3">
        <v>1</v>
      </c>
      <c r="D471" s="5">
        <v>24.99</v>
      </c>
      <c r="E471" s="3" t="s">
        <v>2688</v>
      </c>
      <c r="F471" s="2" t="s">
        <v>506</v>
      </c>
      <c r="G471" s="6" t="s">
        <v>802</v>
      </c>
      <c r="H471" s="2" t="s">
        <v>426</v>
      </c>
      <c r="I471" s="2" t="s">
        <v>863</v>
      </c>
      <c r="J471" s="2" t="s">
        <v>19</v>
      </c>
      <c r="K471" s="2" t="s">
        <v>253</v>
      </c>
      <c r="L471" s="7" t="str">
        <f>HYPERLINK("http://slimages.macys.com/is/image/MCY/9029356 ")</f>
        <v xml:space="preserve">http://slimages.macys.com/is/image/MCY/9029356 </v>
      </c>
    </row>
    <row r="472" spans="1:12" ht="24.75" x14ac:dyDescent="0.25">
      <c r="A472" s="4" t="s">
        <v>5886</v>
      </c>
      <c r="B472" s="2" t="s">
        <v>1318</v>
      </c>
      <c r="C472" s="3">
        <v>1</v>
      </c>
      <c r="D472" s="5">
        <v>24.99</v>
      </c>
      <c r="E472" s="3" t="s">
        <v>1321</v>
      </c>
      <c r="F472" s="2" t="s">
        <v>376</v>
      </c>
      <c r="G472" s="6" t="s">
        <v>22</v>
      </c>
      <c r="H472" s="2" t="s">
        <v>228</v>
      </c>
      <c r="I472" s="2" t="s">
        <v>229</v>
      </c>
      <c r="J472" s="2" t="s">
        <v>19</v>
      </c>
      <c r="K472" s="2" t="s">
        <v>253</v>
      </c>
      <c r="L472" s="7" t="str">
        <f>HYPERLINK("http://slimages.macys.com/is/image/MCY/9029356 ")</f>
        <v xml:space="preserve">http://slimages.macys.com/is/image/MCY/9029356 </v>
      </c>
    </row>
    <row r="473" spans="1:12" ht="24.75" x14ac:dyDescent="0.25">
      <c r="A473" s="4" t="s">
        <v>6647</v>
      </c>
      <c r="B473" s="2" t="s">
        <v>1356</v>
      </c>
      <c r="C473" s="3">
        <v>1</v>
      </c>
      <c r="D473" s="5">
        <v>34.5</v>
      </c>
      <c r="E473" s="3">
        <v>100045813</v>
      </c>
      <c r="F473" s="2" t="s">
        <v>111</v>
      </c>
      <c r="G473" s="6" t="s">
        <v>16</v>
      </c>
      <c r="H473" s="2" t="s">
        <v>228</v>
      </c>
      <c r="I473" s="2" t="s">
        <v>229</v>
      </c>
      <c r="J473" s="2" t="s">
        <v>19</v>
      </c>
      <c r="K473" s="2" t="s">
        <v>353</v>
      </c>
      <c r="L473" s="7" t="str">
        <f>HYPERLINK("http://slimages.macys.com/is/image/MCY/11936020 ")</f>
        <v xml:space="preserve">http://slimages.macys.com/is/image/MCY/11936020 </v>
      </c>
    </row>
    <row r="474" spans="1:12" ht="24.75" x14ac:dyDescent="0.25">
      <c r="A474" s="4" t="s">
        <v>3888</v>
      </c>
      <c r="B474" s="2" t="s">
        <v>1365</v>
      </c>
      <c r="C474" s="3">
        <v>3</v>
      </c>
      <c r="D474" s="5">
        <v>37.130000000000003</v>
      </c>
      <c r="E474" s="3">
        <v>100065803</v>
      </c>
      <c r="F474" s="2" t="s">
        <v>74</v>
      </c>
      <c r="G474" s="6" t="s">
        <v>154</v>
      </c>
      <c r="H474" s="2" t="s">
        <v>194</v>
      </c>
      <c r="I474" s="2" t="s">
        <v>195</v>
      </c>
      <c r="J474" s="2" t="s">
        <v>19</v>
      </c>
      <c r="K474" s="2" t="s">
        <v>353</v>
      </c>
      <c r="L474" s="7" t="str">
        <f t="shared" ref="L474:L480" si="4">HYPERLINK("http://slimages.macys.com/is/image/MCY/12850008 ")</f>
        <v xml:space="preserve">http://slimages.macys.com/is/image/MCY/12850008 </v>
      </c>
    </row>
    <row r="475" spans="1:12" ht="24.75" x14ac:dyDescent="0.25">
      <c r="A475" s="4" t="s">
        <v>1367</v>
      </c>
      <c r="B475" s="2" t="s">
        <v>1365</v>
      </c>
      <c r="C475" s="3">
        <v>1</v>
      </c>
      <c r="D475" s="5">
        <v>37.130000000000003</v>
      </c>
      <c r="E475" s="3">
        <v>100065803</v>
      </c>
      <c r="F475" s="2" t="s">
        <v>15</v>
      </c>
      <c r="G475" s="6" t="s">
        <v>245</v>
      </c>
      <c r="H475" s="2" t="s">
        <v>194</v>
      </c>
      <c r="I475" s="2" t="s">
        <v>195</v>
      </c>
      <c r="J475" s="2" t="s">
        <v>19</v>
      </c>
      <c r="K475" s="2" t="s">
        <v>353</v>
      </c>
      <c r="L475" s="7" t="str">
        <f t="shared" si="4"/>
        <v xml:space="preserve">http://slimages.macys.com/is/image/MCY/12850008 </v>
      </c>
    </row>
    <row r="476" spans="1:12" ht="24.75" x14ac:dyDescent="0.25">
      <c r="A476" s="4" t="s">
        <v>3887</v>
      </c>
      <c r="B476" s="2" t="s">
        <v>1365</v>
      </c>
      <c r="C476" s="3">
        <v>2</v>
      </c>
      <c r="D476" s="5">
        <v>37.130000000000003</v>
      </c>
      <c r="E476" s="3">
        <v>100065803</v>
      </c>
      <c r="F476" s="2" t="s">
        <v>74</v>
      </c>
      <c r="G476" s="6" t="s">
        <v>234</v>
      </c>
      <c r="H476" s="2" t="s">
        <v>194</v>
      </c>
      <c r="I476" s="2" t="s">
        <v>195</v>
      </c>
      <c r="J476" s="2" t="s">
        <v>19</v>
      </c>
      <c r="K476" s="2" t="s">
        <v>353</v>
      </c>
      <c r="L476" s="7" t="str">
        <f t="shared" si="4"/>
        <v xml:space="preserve">http://slimages.macys.com/is/image/MCY/12850008 </v>
      </c>
    </row>
    <row r="477" spans="1:12" ht="24.75" x14ac:dyDescent="0.25">
      <c r="A477" s="4" t="s">
        <v>1370</v>
      </c>
      <c r="B477" s="2" t="s">
        <v>1365</v>
      </c>
      <c r="C477" s="3">
        <v>1</v>
      </c>
      <c r="D477" s="5">
        <v>37.130000000000003</v>
      </c>
      <c r="E477" s="3">
        <v>100065803</v>
      </c>
      <c r="F477" s="2" t="s">
        <v>74</v>
      </c>
      <c r="G477" s="6" t="s">
        <v>156</v>
      </c>
      <c r="H477" s="2" t="s">
        <v>194</v>
      </c>
      <c r="I477" s="2" t="s">
        <v>195</v>
      </c>
      <c r="J477" s="2" t="s">
        <v>19</v>
      </c>
      <c r="K477" s="2" t="s">
        <v>353</v>
      </c>
      <c r="L477" s="7" t="str">
        <f t="shared" si="4"/>
        <v xml:space="preserve">http://slimages.macys.com/is/image/MCY/12850008 </v>
      </c>
    </row>
    <row r="478" spans="1:12" ht="24.75" x14ac:dyDescent="0.25">
      <c r="A478" s="4" t="s">
        <v>6648</v>
      </c>
      <c r="B478" s="2" t="s">
        <v>1365</v>
      </c>
      <c r="C478" s="3">
        <v>4</v>
      </c>
      <c r="D478" s="5">
        <v>37.130000000000003</v>
      </c>
      <c r="E478" s="3">
        <v>100065803</v>
      </c>
      <c r="F478" s="2" t="s">
        <v>74</v>
      </c>
      <c r="G478" s="6" t="s">
        <v>181</v>
      </c>
      <c r="H478" s="2" t="s">
        <v>194</v>
      </c>
      <c r="I478" s="2" t="s">
        <v>195</v>
      </c>
      <c r="J478" s="2" t="s">
        <v>19</v>
      </c>
      <c r="K478" s="2" t="s">
        <v>353</v>
      </c>
      <c r="L478" s="7" t="str">
        <f t="shared" si="4"/>
        <v xml:space="preserve">http://slimages.macys.com/is/image/MCY/12850008 </v>
      </c>
    </row>
    <row r="479" spans="1:12" ht="24.75" x14ac:dyDescent="0.25">
      <c r="A479" s="4" t="s">
        <v>4959</v>
      </c>
      <c r="B479" s="2" t="s">
        <v>1365</v>
      </c>
      <c r="C479" s="3">
        <v>1</v>
      </c>
      <c r="D479" s="5">
        <v>37.130000000000003</v>
      </c>
      <c r="E479" s="3">
        <v>100065803</v>
      </c>
      <c r="F479" s="2" t="s">
        <v>15</v>
      </c>
      <c r="G479" s="6" t="s">
        <v>154</v>
      </c>
      <c r="H479" s="2" t="s">
        <v>194</v>
      </c>
      <c r="I479" s="2" t="s">
        <v>195</v>
      </c>
      <c r="J479" s="2" t="s">
        <v>19</v>
      </c>
      <c r="K479" s="2" t="s">
        <v>353</v>
      </c>
      <c r="L479" s="7" t="str">
        <f t="shared" si="4"/>
        <v xml:space="preserve">http://slimages.macys.com/is/image/MCY/12850008 </v>
      </c>
    </row>
    <row r="480" spans="1:12" ht="24.75" x14ac:dyDescent="0.25">
      <c r="A480" s="4" t="s">
        <v>1368</v>
      </c>
      <c r="B480" s="2" t="s">
        <v>1365</v>
      </c>
      <c r="C480" s="3">
        <v>1</v>
      </c>
      <c r="D480" s="5">
        <v>37.130000000000003</v>
      </c>
      <c r="E480" s="3">
        <v>100065803</v>
      </c>
      <c r="F480" s="2" t="s">
        <v>15</v>
      </c>
      <c r="G480" s="6" t="s">
        <v>156</v>
      </c>
      <c r="H480" s="2" t="s">
        <v>194</v>
      </c>
      <c r="I480" s="2" t="s">
        <v>195</v>
      </c>
      <c r="J480" s="2" t="s">
        <v>19</v>
      </c>
      <c r="K480" s="2" t="s">
        <v>353</v>
      </c>
      <c r="L480" s="7" t="str">
        <f t="shared" si="4"/>
        <v xml:space="preserve">http://slimages.macys.com/is/image/MCY/12850008 </v>
      </c>
    </row>
    <row r="481" spans="1:12" ht="24.75" x14ac:dyDescent="0.25">
      <c r="A481" s="4" t="s">
        <v>6649</v>
      </c>
      <c r="B481" s="2" t="s">
        <v>1373</v>
      </c>
      <c r="C481" s="3">
        <v>1</v>
      </c>
      <c r="D481" s="5">
        <v>37.130000000000003</v>
      </c>
      <c r="E481" s="3" t="s">
        <v>1374</v>
      </c>
      <c r="F481" s="2" t="s">
        <v>38</v>
      </c>
      <c r="G481" s="6" t="s">
        <v>154</v>
      </c>
      <c r="H481" s="2" t="s">
        <v>194</v>
      </c>
      <c r="I481" s="2" t="s">
        <v>195</v>
      </c>
      <c r="J481" s="2" t="s">
        <v>19</v>
      </c>
      <c r="K481" s="2" t="s">
        <v>247</v>
      </c>
      <c r="L481" s="7" t="str">
        <f>HYPERLINK("http://slimages.macys.com/is/image/MCY/12034795 ")</f>
        <v xml:space="preserve">http://slimages.macys.com/is/image/MCY/12034795 </v>
      </c>
    </row>
    <row r="482" spans="1:12" ht="24.75" x14ac:dyDescent="0.25">
      <c r="A482" s="4" t="s">
        <v>1383</v>
      </c>
      <c r="B482" s="2" t="s">
        <v>1381</v>
      </c>
      <c r="C482" s="3">
        <v>1</v>
      </c>
      <c r="D482" s="5">
        <v>37.130000000000003</v>
      </c>
      <c r="E482" s="3" t="s">
        <v>1382</v>
      </c>
      <c r="F482" s="2" t="s">
        <v>170</v>
      </c>
      <c r="G482" s="6" t="s">
        <v>156</v>
      </c>
      <c r="H482" s="2" t="s">
        <v>194</v>
      </c>
      <c r="I482" s="2" t="s">
        <v>195</v>
      </c>
      <c r="J482" s="2" t="s">
        <v>19</v>
      </c>
      <c r="K482" s="2" t="s">
        <v>247</v>
      </c>
      <c r="L482" s="7" t="str">
        <f>HYPERLINK("http://slimages.macys.com/is/image/MCY/12668006 ")</f>
        <v xml:space="preserve">http://slimages.macys.com/is/image/MCY/12668006 </v>
      </c>
    </row>
    <row r="483" spans="1:12" ht="24.75" x14ac:dyDescent="0.25">
      <c r="A483" s="4" t="s">
        <v>2707</v>
      </c>
      <c r="B483" s="2" t="s">
        <v>1381</v>
      </c>
      <c r="C483" s="3">
        <v>1</v>
      </c>
      <c r="D483" s="5">
        <v>37.130000000000003</v>
      </c>
      <c r="E483" s="3" t="s">
        <v>1382</v>
      </c>
      <c r="F483" s="2" t="s">
        <v>170</v>
      </c>
      <c r="G483" s="6" t="s">
        <v>234</v>
      </c>
      <c r="H483" s="2" t="s">
        <v>194</v>
      </c>
      <c r="I483" s="2" t="s">
        <v>195</v>
      </c>
      <c r="J483" s="2" t="s">
        <v>19</v>
      </c>
      <c r="K483" s="2" t="s">
        <v>247</v>
      </c>
      <c r="L483" s="7" t="str">
        <f>HYPERLINK("http://slimages.macys.com/is/image/MCY/12668006 ")</f>
        <v xml:space="preserve">http://slimages.macys.com/is/image/MCY/12668006 </v>
      </c>
    </row>
    <row r="484" spans="1:12" ht="24.75" x14ac:dyDescent="0.25">
      <c r="A484" s="4" t="s">
        <v>6650</v>
      </c>
      <c r="B484" s="2" t="s">
        <v>1330</v>
      </c>
      <c r="C484" s="3">
        <v>1</v>
      </c>
      <c r="D484" s="5">
        <v>37.130000000000003</v>
      </c>
      <c r="E484" s="3" t="s">
        <v>1331</v>
      </c>
      <c r="F484" s="2" t="s">
        <v>170</v>
      </c>
      <c r="G484" s="6" t="s">
        <v>200</v>
      </c>
      <c r="H484" s="2" t="s">
        <v>194</v>
      </c>
      <c r="I484" s="2" t="s">
        <v>195</v>
      </c>
      <c r="J484" s="2" t="s">
        <v>19</v>
      </c>
      <c r="K484" s="2" t="s">
        <v>247</v>
      </c>
      <c r="L484" s="7" t="str">
        <f>HYPERLINK("http://slimages.macys.com/is/image/MCY/10889638 ")</f>
        <v xml:space="preserve">http://slimages.macys.com/is/image/MCY/10889638 </v>
      </c>
    </row>
    <row r="485" spans="1:12" ht="24.75" x14ac:dyDescent="0.25">
      <c r="A485" s="4" t="s">
        <v>1386</v>
      </c>
      <c r="B485" s="2" t="s">
        <v>1330</v>
      </c>
      <c r="C485" s="3">
        <v>2</v>
      </c>
      <c r="D485" s="5">
        <v>37.130000000000003</v>
      </c>
      <c r="E485" s="3" t="s">
        <v>1331</v>
      </c>
      <c r="F485" s="2" t="s">
        <v>125</v>
      </c>
      <c r="G485" s="6" t="s">
        <v>200</v>
      </c>
      <c r="H485" s="2" t="s">
        <v>194</v>
      </c>
      <c r="I485" s="2" t="s">
        <v>195</v>
      </c>
      <c r="J485" s="2" t="s">
        <v>19</v>
      </c>
      <c r="K485" s="2" t="s">
        <v>247</v>
      </c>
      <c r="L485" s="7" t="str">
        <f>HYPERLINK("http://slimages.macys.com/is/image/MCY/10889638 ")</f>
        <v xml:space="preserve">http://slimages.macys.com/is/image/MCY/10889638 </v>
      </c>
    </row>
    <row r="486" spans="1:12" ht="24.75" x14ac:dyDescent="0.25">
      <c r="A486" s="4" t="s">
        <v>6651</v>
      </c>
      <c r="B486" s="2" t="s">
        <v>6652</v>
      </c>
      <c r="C486" s="3">
        <v>1</v>
      </c>
      <c r="D486" s="5">
        <v>37.130000000000003</v>
      </c>
      <c r="E486" s="3" t="s">
        <v>6653</v>
      </c>
      <c r="F486" s="2" t="s">
        <v>15</v>
      </c>
      <c r="G486" s="6" t="s">
        <v>181</v>
      </c>
      <c r="H486" s="2" t="s">
        <v>194</v>
      </c>
      <c r="I486" s="2" t="s">
        <v>195</v>
      </c>
      <c r="J486" s="2" t="s">
        <v>19</v>
      </c>
      <c r="K486" s="2" t="s">
        <v>247</v>
      </c>
      <c r="L486" s="7" t="str">
        <f>HYPERLINK("http://slimages.macys.com/is/image/MCY/12793961 ")</f>
        <v xml:space="preserve">http://slimages.macys.com/is/image/MCY/12793961 </v>
      </c>
    </row>
    <row r="487" spans="1:12" ht="60.75" x14ac:dyDescent="0.25">
      <c r="A487" s="4" t="s">
        <v>3894</v>
      </c>
      <c r="B487" s="2" t="s">
        <v>3892</v>
      </c>
      <c r="C487" s="3">
        <v>1</v>
      </c>
      <c r="D487" s="5">
        <v>29.63</v>
      </c>
      <c r="E487" s="3">
        <v>100022669</v>
      </c>
      <c r="F487" s="2" t="s">
        <v>125</v>
      </c>
      <c r="G487" s="6" t="s">
        <v>156</v>
      </c>
      <c r="H487" s="2" t="s">
        <v>194</v>
      </c>
      <c r="I487" s="2" t="s">
        <v>1398</v>
      </c>
      <c r="J487" s="2" t="s">
        <v>19</v>
      </c>
      <c r="K487" s="2" t="s">
        <v>1399</v>
      </c>
      <c r="L487" s="7" t="str">
        <f>HYPERLINK("http://slimages.macys.com/is/image/MCY/13368177 ")</f>
        <v xml:space="preserve">http://slimages.macys.com/is/image/MCY/13368177 </v>
      </c>
    </row>
    <row r="488" spans="1:12" ht="36.75" x14ac:dyDescent="0.25">
      <c r="A488" s="4" t="s">
        <v>1392</v>
      </c>
      <c r="B488" s="2" t="s">
        <v>1388</v>
      </c>
      <c r="C488" s="3">
        <v>1</v>
      </c>
      <c r="D488" s="5">
        <v>29.63</v>
      </c>
      <c r="E488" s="3" t="s">
        <v>1389</v>
      </c>
      <c r="F488" s="2" t="s">
        <v>111</v>
      </c>
      <c r="G488" s="6" t="s">
        <v>200</v>
      </c>
      <c r="H488" s="2" t="s">
        <v>194</v>
      </c>
      <c r="I488" s="2" t="s">
        <v>195</v>
      </c>
      <c r="J488" s="2" t="s">
        <v>19</v>
      </c>
      <c r="K488" s="2" t="s">
        <v>1390</v>
      </c>
      <c r="L488" s="7" t="str">
        <f>HYPERLINK("http://slimages.macys.com/is/image/MCY/12734335 ")</f>
        <v xml:space="preserve">http://slimages.macys.com/is/image/MCY/12734335 </v>
      </c>
    </row>
    <row r="489" spans="1:12" ht="36.75" x14ac:dyDescent="0.25">
      <c r="A489" s="4" t="s">
        <v>1391</v>
      </c>
      <c r="B489" s="2" t="s">
        <v>1388</v>
      </c>
      <c r="C489" s="3">
        <v>1</v>
      </c>
      <c r="D489" s="5">
        <v>29.63</v>
      </c>
      <c r="E489" s="3" t="s">
        <v>1389</v>
      </c>
      <c r="F489" s="2" t="s">
        <v>111</v>
      </c>
      <c r="G489" s="6" t="s">
        <v>181</v>
      </c>
      <c r="H489" s="2" t="s">
        <v>194</v>
      </c>
      <c r="I489" s="2" t="s">
        <v>195</v>
      </c>
      <c r="J489" s="2" t="s">
        <v>19</v>
      </c>
      <c r="K489" s="2" t="s">
        <v>1390</v>
      </c>
      <c r="L489" s="7" t="str">
        <f>HYPERLINK("http://slimages.macys.com/is/image/MCY/12734335 ")</f>
        <v xml:space="preserve">http://slimages.macys.com/is/image/MCY/12734335 </v>
      </c>
    </row>
    <row r="490" spans="1:12" ht="36.75" x14ac:dyDescent="0.25">
      <c r="A490" s="4" t="s">
        <v>1387</v>
      </c>
      <c r="B490" s="2" t="s">
        <v>1388</v>
      </c>
      <c r="C490" s="3">
        <v>2</v>
      </c>
      <c r="D490" s="5">
        <v>29.63</v>
      </c>
      <c r="E490" s="3" t="s">
        <v>1389</v>
      </c>
      <c r="F490" s="2" t="s">
        <v>111</v>
      </c>
      <c r="G490" s="6" t="s">
        <v>154</v>
      </c>
      <c r="H490" s="2" t="s">
        <v>194</v>
      </c>
      <c r="I490" s="2" t="s">
        <v>195</v>
      </c>
      <c r="J490" s="2" t="s">
        <v>19</v>
      </c>
      <c r="K490" s="2" t="s">
        <v>1390</v>
      </c>
      <c r="L490" s="7" t="str">
        <f>HYPERLINK("http://slimages.macys.com/is/image/MCY/12734335 ")</f>
        <v xml:space="preserve">http://slimages.macys.com/is/image/MCY/12734335 </v>
      </c>
    </row>
    <row r="491" spans="1:12" ht="24.75" x14ac:dyDescent="0.25">
      <c r="A491" s="4" t="s">
        <v>6654</v>
      </c>
      <c r="B491" s="2" t="s">
        <v>3900</v>
      </c>
      <c r="C491" s="3">
        <v>1</v>
      </c>
      <c r="D491" s="5">
        <v>24.99</v>
      </c>
      <c r="E491" s="3" t="s">
        <v>6655</v>
      </c>
      <c r="F491" s="2" t="s">
        <v>74</v>
      </c>
      <c r="G491" s="6"/>
      <c r="H491" s="2" t="s">
        <v>1425</v>
      </c>
      <c r="I491" s="2" t="s">
        <v>1469</v>
      </c>
      <c r="J491" s="2" t="s">
        <v>19</v>
      </c>
      <c r="K491" s="2" t="s">
        <v>990</v>
      </c>
      <c r="L491" s="7" t="str">
        <f>HYPERLINK("http://slimages.macys.com/is/image/MCY/12064403 ")</f>
        <v xml:space="preserve">http://slimages.macys.com/is/image/MCY/12064403 </v>
      </c>
    </row>
    <row r="492" spans="1:12" ht="24.75" x14ac:dyDescent="0.25">
      <c r="A492" s="4" t="s">
        <v>6656</v>
      </c>
      <c r="B492" s="2" t="s">
        <v>1394</v>
      </c>
      <c r="C492" s="3">
        <v>1</v>
      </c>
      <c r="D492" s="5">
        <v>37.130000000000003</v>
      </c>
      <c r="E492" s="3" t="s">
        <v>1395</v>
      </c>
      <c r="F492" s="2" t="s">
        <v>33</v>
      </c>
      <c r="G492" s="6" t="s">
        <v>156</v>
      </c>
      <c r="H492" s="2" t="s">
        <v>194</v>
      </c>
      <c r="I492" s="2" t="s">
        <v>195</v>
      </c>
      <c r="J492" s="2" t="s">
        <v>19</v>
      </c>
      <c r="K492" s="2" t="s">
        <v>34</v>
      </c>
      <c r="L492" s="7" t="str">
        <f>HYPERLINK("http://slimages.macys.com/is/image/MCY/13367997 ")</f>
        <v xml:space="preserve">http://slimages.macys.com/is/image/MCY/13367997 </v>
      </c>
    </row>
    <row r="493" spans="1:12" ht="24.75" x14ac:dyDescent="0.25">
      <c r="A493" s="4" t="s">
        <v>6657</v>
      </c>
      <c r="B493" s="2" t="s">
        <v>1394</v>
      </c>
      <c r="C493" s="3">
        <v>1</v>
      </c>
      <c r="D493" s="5">
        <v>37.130000000000003</v>
      </c>
      <c r="E493" s="3" t="s">
        <v>1395</v>
      </c>
      <c r="F493" s="2" t="s">
        <v>33</v>
      </c>
      <c r="G493" s="6" t="s">
        <v>234</v>
      </c>
      <c r="H493" s="2" t="s">
        <v>194</v>
      </c>
      <c r="I493" s="2" t="s">
        <v>195</v>
      </c>
      <c r="J493" s="2" t="s">
        <v>19</v>
      </c>
      <c r="K493" s="2" t="s">
        <v>34</v>
      </c>
      <c r="L493" s="7" t="str">
        <f>HYPERLINK("http://slimages.macys.com/is/image/MCY/13367997 ")</f>
        <v xml:space="preserve">http://slimages.macys.com/is/image/MCY/13367997 </v>
      </c>
    </row>
    <row r="494" spans="1:12" ht="24.75" x14ac:dyDescent="0.25">
      <c r="A494" s="4" t="s">
        <v>6658</v>
      </c>
      <c r="B494" s="2" t="s">
        <v>1394</v>
      </c>
      <c r="C494" s="3">
        <v>1</v>
      </c>
      <c r="D494" s="5">
        <v>37.130000000000003</v>
      </c>
      <c r="E494" s="3" t="s">
        <v>1395</v>
      </c>
      <c r="F494" s="2" t="s">
        <v>33</v>
      </c>
      <c r="G494" s="6" t="s">
        <v>181</v>
      </c>
      <c r="H494" s="2" t="s">
        <v>194</v>
      </c>
      <c r="I494" s="2" t="s">
        <v>195</v>
      </c>
      <c r="J494" s="2" t="s">
        <v>19</v>
      </c>
      <c r="K494" s="2" t="s">
        <v>34</v>
      </c>
      <c r="L494" s="7" t="str">
        <f>HYPERLINK("http://slimages.macys.com/is/image/MCY/13367997 ")</f>
        <v xml:space="preserve">http://slimages.macys.com/is/image/MCY/13367997 </v>
      </c>
    </row>
    <row r="495" spans="1:12" ht="24.75" x14ac:dyDescent="0.25">
      <c r="A495" s="4" t="s">
        <v>1393</v>
      </c>
      <c r="B495" s="2" t="s">
        <v>1394</v>
      </c>
      <c r="C495" s="3">
        <v>2</v>
      </c>
      <c r="D495" s="5">
        <v>37.130000000000003</v>
      </c>
      <c r="E495" s="3" t="s">
        <v>1395</v>
      </c>
      <c r="F495" s="2" t="s">
        <v>33</v>
      </c>
      <c r="G495" s="6" t="s">
        <v>154</v>
      </c>
      <c r="H495" s="2" t="s">
        <v>194</v>
      </c>
      <c r="I495" s="2" t="s">
        <v>195</v>
      </c>
      <c r="J495" s="2" t="s">
        <v>19</v>
      </c>
      <c r="K495" s="2" t="s">
        <v>34</v>
      </c>
      <c r="L495" s="7" t="str">
        <f>HYPERLINK("http://slimages.macys.com/is/image/MCY/13367997 ")</f>
        <v xml:space="preserve">http://slimages.macys.com/is/image/MCY/13367997 </v>
      </c>
    </row>
    <row r="496" spans="1:12" ht="24.75" x14ac:dyDescent="0.25">
      <c r="A496" s="4" t="s">
        <v>6659</v>
      </c>
      <c r="B496" s="2" t="s">
        <v>3897</v>
      </c>
      <c r="C496" s="3">
        <v>2</v>
      </c>
      <c r="D496" s="5">
        <v>65</v>
      </c>
      <c r="E496" s="3" t="s">
        <v>3898</v>
      </c>
      <c r="F496" s="2" t="s">
        <v>887</v>
      </c>
      <c r="G496" s="6" t="s">
        <v>791</v>
      </c>
      <c r="H496" s="2" t="s">
        <v>447</v>
      </c>
      <c r="I496" s="2" t="s">
        <v>792</v>
      </c>
      <c r="J496" s="2" t="s">
        <v>19</v>
      </c>
      <c r="K496" s="2" t="s">
        <v>160</v>
      </c>
      <c r="L496" s="7" t="str">
        <f>HYPERLINK("http://slimages.macys.com/is/image/MCY/13941347 ")</f>
        <v xml:space="preserve">http://slimages.macys.com/is/image/MCY/13941347 </v>
      </c>
    </row>
    <row r="497" spans="1:12" ht="24.75" x14ac:dyDescent="0.25">
      <c r="A497" s="4" t="s">
        <v>6660</v>
      </c>
      <c r="B497" s="2" t="s">
        <v>5860</v>
      </c>
      <c r="C497" s="3">
        <v>1</v>
      </c>
      <c r="D497" s="5">
        <v>36.5</v>
      </c>
      <c r="E497" s="3" t="s">
        <v>6661</v>
      </c>
      <c r="F497" s="2" t="s">
        <v>170</v>
      </c>
      <c r="G497" s="6" t="s">
        <v>245</v>
      </c>
      <c r="H497" s="2" t="s">
        <v>194</v>
      </c>
      <c r="I497" s="2" t="s">
        <v>195</v>
      </c>
      <c r="J497" s="2" t="s">
        <v>19</v>
      </c>
      <c r="K497" s="2" t="s">
        <v>34</v>
      </c>
      <c r="L497" s="7" t="str">
        <f>HYPERLINK("http://slimages.macys.com/is/image/MCY/13367997 ")</f>
        <v xml:space="preserve">http://slimages.macys.com/is/image/MCY/13367997 </v>
      </c>
    </row>
    <row r="498" spans="1:12" ht="24.75" x14ac:dyDescent="0.25">
      <c r="A498" s="4" t="s">
        <v>6662</v>
      </c>
      <c r="B498" s="2" t="s">
        <v>4968</v>
      </c>
      <c r="C498" s="3">
        <v>1</v>
      </c>
      <c r="D498" s="5">
        <v>37.130000000000003</v>
      </c>
      <c r="E498" s="3" t="s">
        <v>4969</v>
      </c>
      <c r="F498" s="2" t="s">
        <v>15</v>
      </c>
      <c r="G498" s="6" t="s">
        <v>181</v>
      </c>
      <c r="H498" s="2" t="s">
        <v>246</v>
      </c>
      <c r="I498" s="2" t="s">
        <v>189</v>
      </c>
      <c r="J498" s="2" t="s">
        <v>19</v>
      </c>
      <c r="K498" s="2" t="s">
        <v>4970</v>
      </c>
      <c r="L498" s="7" t="str">
        <f>HYPERLINK("http://slimages.macys.com/is/image/MCY/11996174 ")</f>
        <v xml:space="preserve">http://slimages.macys.com/is/image/MCY/11996174 </v>
      </c>
    </row>
    <row r="499" spans="1:12" ht="24.75" x14ac:dyDescent="0.25">
      <c r="A499" s="4" t="s">
        <v>6663</v>
      </c>
      <c r="B499" s="2" t="s">
        <v>6511</v>
      </c>
      <c r="C499" s="3">
        <v>2</v>
      </c>
      <c r="D499" s="5">
        <v>34.99</v>
      </c>
      <c r="E499" s="3" t="s">
        <v>6664</v>
      </c>
      <c r="F499" s="2" t="s">
        <v>64</v>
      </c>
      <c r="G499" s="6" t="s">
        <v>794</v>
      </c>
      <c r="H499" s="2" t="s">
        <v>632</v>
      </c>
      <c r="I499" s="2" t="s">
        <v>285</v>
      </c>
      <c r="J499" s="2" t="s">
        <v>19</v>
      </c>
      <c r="K499" s="2" t="s">
        <v>442</v>
      </c>
      <c r="L499" s="7" t="str">
        <f>HYPERLINK("http://slimages.macys.com/is/image/MCY/3737281 ")</f>
        <v xml:space="preserve">http://slimages.macys.com/is/image/MCY/3737281 </v>
      </c>
    </row>
    <row r="500" spans="1:12" ht="24.75" x14ac:dyDescent="0.25">
      <c r="A500" s="4" t="s">
        <v>6665</v>
      </c>
      <c r="B500" s="2" t="s">
        <v>6666</v>
      </c>
      <c r="C500" s="3">
        <v>1</v>
      </c>
      <c r="D500" s="5">
        <v>24.99</v>
      </c>
      <c r="E500" s="3">
        <v>100060498</v>
      </c>
      <c r="F500" s="2" t="s">
        <v>33</v>
      </c>
      <c r="G500" s="6" t="s">
        <v>27</v>
      </c>
      <c r="H500" s="2" t="s">
        <v>228</v>
      </c>
      <c r="I500" s="2" t="s">
        <v>857</v>
      </c>
      <c r="J500" s="2" t="s">
        <v>19</v>
      </c>
      <c r="K500" s="2" t="s">
        <v>230</v>
      </c>
      <c r="L500" s="7" t="str">
        <f>HYPERLINK("http://slimages.macys.com/is/image/MCY/12850401 ")</f>
        <v xml:space="preserve">http://slimages.macys.com/is/image/MCY/12850401 </v>
      </c>
    </row>
    <row r="501" spans="1:12" ht="24.75" x14ac:dyDescent="0.25">
      <c r="A501" s="4" t="s">
        <v>6667</v>
      </c>
      <c r="B501" s="2" t="s">
        <v>2718</v>
      </c>
      <c r="C501" s="3">
        <v>1</v>
      </c>
      <c r="D501" s="5">
        <v>34.880000000000003</v>
      </c>
      <c r="E501" s="3">
        <v>100054890</v>
      </c>
      <c r="F501" s="2" t="s">
        <v>26</v>
      </c>
      <c r="G501" s="6" t="s">
        <v>112</v>
      </c>
      <c r="H501" s="2" t="s">
        <v>194</v>
      </c>
      <c r="I501" s="2" t="s">
        <v>195</v>
      </c>
      <c r="J501" s="2" t="s">
        <v>19</v>
      </c>
      <c r="K501" s="2" t="s">
        <v>353</v>
      </c>
      <c r="L501" s="7" t="str">
        <f>HYPERLINK("http://slimages.macys.com/is/image/MCY/12331068 ")</f>
        <v xml:space="preserve">http://slimages.macys.com/is/image/MCY/12331068 </v>
      </c>
    </row>
    <row r="502" spans="1:12" ht="24.75" x14ac:dyDescent="0.25">
      <c r="A502" s="4" t="s">
        <v>6668</v>
      </c>
      <c r="B502" s="2" t="s">
        <v>1402</v>
      </c>
      <c r="C502" s="3">
        <v>1</v>
      </c>
      <c r="D502" s="5">
        <v>37.130000000000003</v>
      </c>
      <c r="E502" s="3" t="s">
        <v>1403</v>
      </c>
      <c r="F502" s="2" t="s">
        <v>376</v>
      </c>
      <c r="G502" s="6" t="s">
        <v>336</v>
      </c>
      <c r="H502" s="2" t="s">
        <v>312</v>
      </c>
      <c r="I502" s="2" t="s">
        <v>195</v>
      </c>
      <c r="J502" s="2" t="s">
        <v>19</v>
      </c>
      <c r="K502" s="2" t="s">
        <v>353</v>
      </c>
      <c r="L502" s="7" t="str">
        <f>HYPERLINK("http://slimages.macys.com/is/image/MCY/11934909 ")</f>
        <v xml:space="preserve">http://slimages.macys.com/is/image/MCY/11934909 </v>
      </c>
    </row>
    <row r="503" spans="1:12" ht="24.75" x14ac:dyDescent="0.25">
      <c r="A503" s="4" t="s">
        <v>2726</v>
      </c>
      <c r="B503" s="2" t="s">
        <v>1405</v>
      </c>
      <c r="C503" s="3">
        <v>2</v>
      </c>
      <c r="D503" s="5">
        <v>34.880000000000003</v>
      </c>
      <c r="E503" s="3">
        <v>100042372</v>
      </c>
      <c r="F503" s="2" t="s">
        <v>94</v>
      </c>
      <c r="G503" s="6" t="s">
        <v>16</v>
      </c>
      <c r="H503" s="2" t="s">
        <v>194</v>
      </c>
      <c r="I503" s="2" t="s">
        <v>195</v>
      </c>
      <c r="J503" s="2" t="s">
        <v>19</v>
      </c>
      <c r="K503" s="2" t="s">
        <v>353</v>
      </c>
      <c r="L503" s="7" t="str">
        <f>HYPERLINK("http://slimages.macys.com/is/image/MCY/11935225 ")</f>
        <v xml:space="preserve">http://slimages.macys.com/is/image/MCY/11935225 </v>
      </c>
    </row>
    <row r="504" spans="1:12" ht="24.75" x14ac:dyDescent="0.25">
      <c r="A504" s="4" t="s">
        <v>4977</v>
      </c>
      <c r="B504" s="2" t="s">
        <v>1405</v>
      </c>
      <c r="C504" s="3">
        <v>1</v>
      </c>
      <c r="D504" s="5">
        <v>34.880000000000003</v>
      </c>
      <c r="E504" s="3">
        <v>100042372</v>
      </c>
      <c r="F504" s="2" t="s">
        <v>94</v>
      </c>
      <c r="G504" s="6" t="s">
        <v>112</v>
      </c>
      <c r="H504" s="2" t="s">
        <v>194</v>
      </c>
      <c r="I504" s="2" t="s">
        <v>195</v>
      </c>
      <c r="J504" s="2" t="s">
        <v>19</v>
      </c>
      <c r="K504" s="2" t="s">
        <v>353</v>
      </c>
      <c r="L504" s="7" t="str">
        <f>HYPERLINK("http://slimages.macys.com/is/image/MCY/11935225 ")</f>
        <v xml:space="preserve">http://slimages.macys.com/is/image/MCY/11935225 </v>
      </c>
    </row>
    <row r="505" spans="1:12" ht="24.75" x14ac:dyDescent="0.25">
      <c r="A505" s="4" t="s">
        <v>3912</v>
      </c>
      <c r="B505" s="2" t="s">
        <v>3913</v>
      </c>
      <c r="C505" s="3">
        <v>1</v>
      </c>
      <c r="D505" s="5">
        <v>29.63</v>
      </c>
      <c r="E505" s="3" t="s">
        <v>3914</v>
      </c>
      <c r="F505" s="2" t="s">
        <v>15</v>
      </c>
      <c r="G505" s="6" t="s">
        <v>181</v>
      </c>
      <c r="H505" s="2" t="s">
        <v>194</v>
      </c>
      <c r="I505" s="2" t="s">
        <v>195</v>
      </c>
      <c r="J505" s="2" t="s">
        <v>19</v>
      </c>
      <c r="K505" s="2" t="s">
        <v>201</v>
      </c>
      <c r="L505" s="7" t="str">
        <f>HYPERLINK("http://slimages.macys.com/is/image/MCY/12404902 ")</f>
        <v xml:space="preserve">http://slimages.macys.com/is/image/MCY/12404902 </v>
      </c>
    </row>
    <row r="506" spans="1:12" ht="24.75" x14ac:dyDescent="0.25">
      <c r="A506" s="4" t="s">
        <v>6669</v>
      </c>
      <c r="B506" s="2" t="s">
        <v>3913</v>
      </c>
      <c r="C506" s="3">
        <v>1</v>
      </c>
      <c r="D506" s="5">
        <v>29.63</v>
      </c>
      <c r="E506" s="3" t="s">
        <v>3914</v>
      </c>
      <c r="F506" s="2" t="s">
        <v>15</v>
      </c>
      <c r="G506" s="6" t="s">
        <v>154</v>
      </c>
      <c r="H506" s="2" t="s">
        <v>194</v>
      </c>
      <c r="I506" s="2" t="s">
        <v>195</v>
      </c>
      <c r="J506" s="2" t="s">
        <v>19</v>
      </c>
      <c r="K506" s="2" t="s">
        <v>201</v>
      </c>
      <c r="L506" s="7" t="str">
        <f>HYPERLINK("http://slimages.macys.com/is/image/MCY/12404902 ")</f>
        <v xml:space="preserve">http://slimages.macys.com/is/image/MCY/12404902 </v>
      </c>
    </row>
    <row r="507" spans="1:12" x14ac:dyDescent="0.25">
      <c r="A507" s="4" t="s">
        <v>6670</v>
      </c>
      <c r="B507" s="2" t="s">
        <v>6671</v>
      </c>
      <c r="C507" s="3">
        <v>1</v>
      </c>
      <c r="D507" s="5">
        <v>31.15</v>
      </c>
      <c r="E507" s="3" t="s">
        <v>6672</v>
      </c>
      <c r="F507" s="2" t="s">
        <v>26</v>
      </c>
      <c r="G507" s="6" t="s">
        <v>156</v>
      </c>
      <c r="H507" s="2" t="s">
        <v>182</v>
      </c>
      <c r="I507" s="2" t="s">
        <v>183</v>
      </c>
      <c r="J507" s="2" t="s">
        <v>19</v>
      </c>
      <c r="K507" s="2" t="s">
        <v>353</v>
      </c>
      <c r="L507" s="7" t="str">
        <f>HYPERLINK("http://slimages.macys.com/is/image/MCY/12935782 ")</f>
        <v xml:space="preserve">http://slimages.macys.com/is/image/MCY/12935782 </v>
      </c>
    </row>
    <row r="508" spans="1:12" ht="24.75" x14ac:dyDescent="0.25">
      <c r="A508" s="4" t="s">
        <v>6673</v>
      </c>
      <c r="B508" s="2" t="s">
        <v>3913</v>
      </c>
      <c r="C508" s="3">
        <v>1</v>
      </c>
      <c r="D508" s="5">
        <v>29.63</v>
      </c>
      <c r="E508" s="3" t="s">
        <v>3914</v>
      </c>
      <c r="F508" s="2" t="s">
        <v>15</v>
      </c>
      <c r="G508" s="6" t="s">
        <v>200</v>
      </c>
      <c r="H508" s="2" t="s">
        <v>194</v>
      </c>
      <c r="I508" s="2" t="s">
        <v>195</v>
      </c>
      <c r="J508" s="2" t="s">
        <v>19</v>
      </c>
      <c r="K508" s="2" t="s">
        <v>201</v>
      </c>
      <c r="L508" s="7" t="str">
        <f>HYPERLINK("http://slimages.macys.com/is/image/MCY/12404902 ")</f>
        <v xml:space="preserve">http://slimages.macys.com/is/image/MCY/12404902 </v>
      </c>
    </row>
    <row r="509" spans="1:12" ht="24.75" x14ac:dyDescent="0.25">
      <c r="A509" s="4" t="s">
        <v>6674</v>
      </c>
      <c r="B509" s="2" t="s">
        <v>1444</v>
      </c>
      <c r="C509" s="3">
        <v>1</v>
      </c>
      <c r="D509" s="5">
        <v>34.880000000000003</v>
      </c>
      <c r="E509" s="3">
        <v>100042376</v>
      </c>
      <c r="F509" s="2" t="s">
        <v>136</v>
      </c>
      <c r="G509" s="6" t="s">
        <v>58</v>
      </c>
      <c r="H509" s="2" t="s">
        <v>194</v>
      </c>
      <c r="I509" s="2" t="s">
        <v>195</v>
      </c>
      <c r="J509" s="2" t="s">
        <v>19</v>
      </c>
      <c r="K509" s="2" t="s">
        <v>353</v>
      </c>
      <c r="L509" s="7" t="str">
        <f t="shared" ref="L509:L514" si="5">HYPERLINK("http://slimages.macys.com/is/image/MCY/11764758 ")</f>
        <v xml:space="preserve">http://slimages.macys.com/is/image/MCY/11764758 </v>
      </c>
    </row>
    <row r="510" spans="1:12" ht="24.75" x14ac:dyDescent="0.25">
      <c r="A510" s="4" t="s">
        <v>6675</v>
      </c>
      <c r="B510" s="2" t="s">
        <v>1444</v>
      </c>
      <c r="C510" s="3">
        <v>1</v>
      </c>
      <c r="D510" s="5">
        <v>34.880000000000003</v>
      </c>
      <c r="E510" s="3">
        <v>100042376</v>
      </c>
      <c r="F510" s="2" t="s">
        <v>136</v>
      </c>
      <c r="G510" s="6" t="s">
        <v>112</v>
      </c>
      <c r="H510" s="2" t="s">
        <v>194</v>
      </c>
      <c r="I510" s="2" t="s">
        <v>195</v>
      </c>
      <c r="J510" s="2" t="s">
        <v>19</v>
      </c>
      <c r="K510" s="2" t="s">
        <v>353</v>
      </c>
      <c r="L510" s="7" t="str">
        <f t="shared" si="5"/>
        <v xml:space="preserve">http://slimages.macys.com/is/image/MCY/11764758 </v>
      </c>
    </row>
    <row r="511" spans="1:12" ht="24.75" x14ac:dyDescent="0.25">
      <c r="A511" s="4" t="s">
        <v>2731</v>
      </c>
      <c r="B511" s="2" t="s">
        <v>1444</v>
      </c>
      <c r="C511" s="3">
        <v>1</v>
      </c>
      <c r="D511" s="5">
        <v>34.880000000000003</v>
      </c>
      <c r="E511" s="3">
        <v>100042376</v>
      </c>
      <c r="F511" s="2" t="s">
        <v>136</v>
      </c>
      <c r="G511" s="6" t="s">
        <v>16</v>
      </c>
      <c r="H511" s="2" t="s">
        <v>194</v>
      </c>
      <c r="I511" s="2" t="s">
        <v>195</v>
      </c>
      <c r="J511" s="2" t="s">
        <v>19</v>
      </c>
      <c r="K511" s="2" t="s">
        <v>353</v>
      </c>
      <c r="L511" s="7" t="str">
        <f t="shared" si="5"/>
        <v xml:space="preserve">http://slimages.macys.com/is/image/MCY/11764758 </v>
      </c>
    </row>
    <row r="512" spans="1:12" ht="24.75" x14ac:dyDescent="0.25">
      <c r="A512" s="4" t="s">
        <v>4987</v>
      </c>
      <c r="B512" s="2" t="s">
        <v>1444</v>
      </c>
      <c r="C512" s="3">
        <v>1</v>
      </c>
      <c r="D512" s="5">
        <v>34.880000000000003</v>
      </c>
      <c r="E512" s="3">
        <v>100042376</v>
      </c>
      <c r="F512" s="2" t="s">
        <v>136</v>
      </c>
      <c r="G512" s="6" t="s">
        <v>22</v>
      </c>
      <c r="H512" s="2" t="s">
        <v>194</v>
      </c>
      <c r="I512" s="2" t="s">
        <v>195</v>
      </c>
      <c r="J512" s="2" t="s">
        <v>19</v>
      </c>
      <c r="K512" s="2" t="s">
        <v>353</v>
      </c>
      <c r="L512" s="7" t="str">
        <f t="shared" si="5"/>
        <v xml:space="preserve">http://slimages.macys.com/is/image/MCY/11764758 </v>
      </c>
    </row>
    <row r="513" spans="1:12" ht="24.75" x14ac:dyDescent="0.25">
      <c r="A513" s="4" t="s">
        <v>2732</v>
      </c>
      <c r="B513" s="2" t="s">
        <v>1444</v>
      </c>
      <c r="C513" s="3">
        <v>1</v>
      </c>
      <c r="D513" s="5">
        <v>34.880000000000003</v>
      </c>
      <c r="E513" s="3">
        <v>100042376</v>
      </c>
      <c r="F513" s="2" t="s">
        <v>64</v>
      </c>
      <c r="G513" s="6" t="s">
        <v>106</v>
      </c>
      <c r="H513" s="2" t="s">
        <v>194</v>
      </c>
      <c r="I513" s="2" t="s">
        <v>195</v>
      </c>
      <c r="J513" s="2" t="s">
        <v>19</v>
      </c>
      <c r="K513" s="2" t="s">
        <v>353</v>
      </c>
      <c r="L513" s="7" t="str">
        <f t="shared" si="5"/>
        <v xml:space="preserve">http://slimages.macys.com/is/image/MCY/11764758 </v>
      </c>
    </row>
    <row r="514" spans="1:12" ht="24.75" x14ac:dyDescent="0.25">
      <c r="A514" s="4" t="s">
        <v>6676</v>
      </c>
      <c r="B514" s="2" t="s">
        <v>1444</v>
      </c>
      <c r="C514" s="3">
        <v>1</v>
      </c>
      <c r="D514" s="5">
        <v>34.880000000000003</v>
      </c>
      <c r="E514" s="3">
        <v>100042376</v>
      </c>
      <c r="F514" s="2" t="s">
        <v>64</v>
      </c>
      <c r="G514" s="6" t="s">
        <v>16</v>
      </c>
      <c r="H514" s="2" t="s">
        <v>194</v>
      </c>
      <c r="I514" s="2" t="s">
        <v>195</v>
      </c>
      <c r="J514" s="2" t="s">
        <v>19</v>
      </c>
      <c r="K514" s="2" t="s">
        <v>353</v>
      </c>
      <c r="L514" s="7" t="str">
        <f t="shared" si="5"/>
        <v xml:space="preserve">http://slimages.macys.com/is/image/MCY/11764758 </v>
      </c>
    </row>
    <row r="515" spans="1:12" ht="24.75" x14ac:dyDescent="0.25">
      <c r="A515" s="4" t="s">
        <v>6677</v>
      </c>
      <c r="B515" s="2" t="s">
        <v>1356</v>
      </c>
      <c r="C515" s="3">
        <v>1</v>
      </c>
      <c r="D515" s="5">
        <v>34.5</v>
      </c>
      <c r="E515" s="3">
        <v>100045815</v>
      </c>
      <c r="F515" s="2" t="s">
        <v>74</v>
      </c>
      <c r="G515" s="6" t="s">
        <v>112</v>
      </c>
      <c r="H515" s="2" t="s">
        <v>228</v>
      </c>
      <c r="I515" s="2" t="s">
        <v>229</v>
      </c>
      <c r="J515" s="2" t="s">
        <v>19</v>
      </c>
      <c r="K515" s="2" t="s">
        <v>353</v>
      </c>
      <c r="L515" s="7" t="str">
        <f>HYPERLINK("http://slimages.macys.com/is/image/MCY/11936020 ")</f>
        <v xml:space="preserve">http://slimages.macys.com/is/image/MCY/11936020 </v>
      </c>
    </row>
    <row r="516" spans="1:12" ht="24.75" x14ac:dyDescent="0.25">
      <c r="A516" s="4" t="s">
        <v>6678</v>
      </c>
      <c r="B516" s="2" t="s">
        <v>2734</v>
      </c>
      <c r="C516" s="3">
        <v>1</v>
      </c>
      <c r="D516" s="5">
        <v>29.63</v>
      </c>
      <c r="E516" s="3" t="s">
        <v>2735</v>
      </c>
      <c r="F516" s="2" t="s">
        <v>125</v>
      </c>
      <c r="G516" s="6" t="s">
        <v>234</v>
      </c>
      <c r="H516" s="2" t="s">
        <v>194</v>
      </c>
      <c r="I516" s="2" t="s">
        <v>195</v>
      </c>
      <c r="J516" s="2" t="s">
        <v>19</v>
      </c>
      <c r="K516" s="2" t="s">
        <v>137</v>
      </c>
      <c r="L516" s="7" t="str">
        <f>HYPERLINK("http://slimages.macys.com/is/image/MCY/12279918 ")</f>
        <v xml:space="preserve">http://slimages.macys.com/is/image/MCY/12279918 </v>
      </c>
    </row>
    <row r="517" spans="1:12" ht="24.75" x14ac:dyDescent="0.25">
      <c r="A517" s="4" t="s">
        <v>2736</v>
      </c>
      <c r="B517" s="2" t="s">
        <v>2734</v>
      </c>
      <c r="C517" s="3">
        <v>1</v>
      </c>
      <c r="D517" s="5">
        <v>29.63</v>
      </c>
      <c r="E517" s="3" t="s">
        <v>2735</v>
      </c>
      <c r="F517" s="2" t="s">
        <v>252</v>
      </c>
      <c r="G517" s="6" t="s">
        <v>154</v>
      </c>
      <c r="H517" s="2" t="s">
        <v>194</v>
      </c>
      <c r="I517" s="2" t="s">
        <v>195</v>
      </c>
      <c r="J517" s="2" t="s">
        <v>19</v>
      </c>
      <c r="K517" s="2" t="s">
        <v>137</v>
      </c>
      <c r="L517" s="7" t="str">
        <f>HYPERLINK("http://slimages.macys.com/is/image/MCY/12279918 ")</f>
        <v xml:space="preserve">http://slimages.macys.com/is/image/MCY/12279918 </v>
      </c>
    </row>
    <row r="518" spans="1:12" ht="24.75" x14ac:dyDescent="0.25">
      <c r="A518" s="4" t="s">
        <v>2737</v>
      </c>
      <c r="B518" s="2" t="s">
        <v>2734</v>
      </c>
      <c r="C518" s="3">
        <v>1</v>
      </c>
      <c r="D518" s="5">
        <v>29.63</v>
      </c>
      <c r="E518" s="3" t="s">
        <v>2735</v>
      </c>
      <c r="F518" s="2" t="s">
        <v>252</v>
      </c>
      <c r="G518" s="6" t="s">
        <v>156</v>
      </c>
      <c r="H518" s="2" t="s">
        <v>194</v>
      </c>
      <c r="I518" s="2" t="s">
        <v>195</v>
      </c>
      <c r="J518" s="2" t="s">
        <v>19</v>
      </c>
      <c r="K518" s="2" t="s">
        <v>137</v>
      </c>
      <c r="L518" s="7" t="str">
        <f>HYPERLINK("http://slimages.macys.com/is/image/MCY/12279918 ")</f>
        <v xml:space="preserve">http://slimages.macys.com/is/image/MCY/12279918 </v>
      </c>
    </row>
    <row r="519" spans="1:12" ht="24.75" x14ac:dyDescent="0.25">
      <c r="A519" s="4" t="s">
        <v>1422</v>
      </c>
      <c r="B519" s="2" t="s">
        <v>1423</v>
      </c>
      <c r="C519" s="3">
        <v>1</v>
      </c>
      <c r="D519" s="5">
        <v>24.99</v>
      </c>
      <c r="E519" s="3" t="s">
        <v>1424</v>
      </c>
      <c r="F519" s="2" t="s">
        <v>252</v>
      </c>
      <c r="G519" s="6"/>
      <c r="H519" s="2" t="s">
        <v>1425</v>
      </c>
      <c r="I519" s="2" t="s">
        <v>1426</v>
      </c>
      <c r="J519" s="2" t="s">
        <v>19</v>
      </c>
      <c r="K519" s="2" t="s">
        <v>1427</v>
      </c>
      <c r="L519" s="7" t="str">
        <f>HYPERLINK("http://slimages.macys.com/is/image/MCY/11774672 ")</f>
        <v xml:space="preserve">http://slimages.macys.com/is/image/MCY/11774672 </v>
      </c>
    </row>
    <row r="520" spans="1:12" ht="24.75" x14ac:dyDescent="0.25">
      <c r="A520" s="4" t="s">
        <v>1450</v>
      </c>
      <c r="B520" s="2" t="s">
        <v>1416</v>
      </c>
      <c r="C520" s="3">
        <v>1</v>
      </c>
      <c r="D520" s="5">
        <v>21.99</v>
      </c>
      <c r="E520" s="3" t="s">
        <v>1451</v>
      </c>
      <c r="F520" s="2" t="s">
        <v>79</v>
      </c>
      <c r="G520" s="6" t="s">
        <v>27</v>
      </c>
      <c r="H520" s="2" t="s">
        <v>194</v>
      </c>
      <c r="I520" s="2" t="s">
        <v>195</v>
      </c>
      <c r="J520" s="2" t="s">
        <v>19</v>
      </c>
      <c r="K520" s="2" t="s">
        <v>353</v>
      </c>
      <c r="L520" s="7" t="str">
        <f>HYPERLINK("http://slimages.macys.com/is/image/MCY/12033149 ")</f>
        <v xml:space="preserve">http://slimages.macys.com/is/image/MCY/12033149 </v>
      </c>
    </row>
    <row r="521" spans="1:12" ht="24.75" x14ac:dyDescent="0.25">
      <c r="A521" s="4" t="s">
        <v>6679</v>
      </c>
      <c r="B521" s="2" t="s">
        <v>1416</v>
      </c>
      <c r="C521" s="3">
        <v>2</v>
      </c>
      <c r="D521" s="5">
        <v>21.99</v>
      </c>
      <c r="E521" s="3" t="s">
        <v>1451</v>
      </c>
      <c r="F521" s="2" t="s">
        <v>79</v>
      </c>
      <c r="G521" s="6" t="s">
        <v>22</v>
      </c>
      <c r="H521" s="2" t="s">
        <v>194</v>
      </c>
      <c r="I521" s="2" t="s">
        <v>195</v>
      </c>
      <c r="J521" s="2" t="s">
        <v>19</v>
      </c>
      <c r="K521" s="2" t="s">
        <v>353</v>
      </c>
      <c r="L521" s="7" t="str">
        <f>HYPERLINK("http://slimages.macys.com/is/image/MCY/12033149 ")</f>
        <v xml:space="preserve">http://slimages.macys.com/is/image/MCY/12033149 </v>
      </c>
    </row>
    <row r="522" spans="1:12" ht="24.75" x14ac:dyDescent="0.25">
      <c r="A522" s="4" t="s">
        <v>1452</v>
      </c>
      <c r="B522" s="2" t="s">
        <v>1416</v>
      </c>
      <c r="C522" s="3">
        <v>2</v>
      </c>
      <c r="D522" s="5">
        <v>21.99</v>
      </c>
      <c r="E522" s="3" t="s">
        <v>1451</v>
      </c>
      <c r="F522" s="2" t="s">
        <v>79</v>
      </c>
      <c r="G522" s="6" t="s">
        <v>58</v>
      </c>
      <c r="H522" s="2" t="s">
        <v>194</v>
      </c>
      <c r="I522" s="2" t="s">
        <v>195</v>
      </c>
      <c r="J522" s="2" t="s">
        <v>19</v>
      </c>
      <c r="K522" s="2" t="s">
        <v>353</v>
      </c>
      <c r="L522" s="7" t="str">
        <f>HYPERLINK("http://slimages.macys.com/is/image/MCY/12033149 ")</f>
        <v xml:space="preserve">http://slimages.macys.com/is/image/MCY/12033149 </v>
      </c>
    </row>
    <row r="523" spans="1:12" ht="24.75" x14ac:dyDescent="0.25">
      <c r="A523" s="4" t="s">
        <v>6680</v>
      </c>
      <c r="B523" s="2" t="s">
        <v>1416</v>
      </c>
      <c r="C523" s="3">
        <v>1</v>
      </c>
      <c r="D523" s="5">
        <v>21.99</v>
      </c>
      <c r="E523" s="3" t="s">
        <v>1451</v>
      </c>
      <c r="F523" s="2" t="s">
        <v>79</v>
      </c>
      <c r="G523" s="6" t="s">
        <v>65</v>
      </c>
      <c r="H523" s="2" t="s">
        <v>194</v>
      </c>
      <c r="I523" s="2" t="s">
        <v>195</v>
      </c>
      <c r="J523" s="2" t="s">
        <v>19</v>
      </c>
      <c r="K523" s="2" t="s">
        <v>353</v>
      </c>
      <c r="L523" s="7" t="str">
        <f>HYPERLINK("http://slimages.macys.com/is/image/MCY/12033149 ")</f>
        <v xml:space="preserve">http://slimages.macys.com/is/image/MCY/12033149 </v>
      </c>
    </row>
    <row r="524" spans="1:12" ht="24.75" x14ac:dyDescent="0.25">
      <c r="A524" s="4" t="s">
        <v>3920</v>
      </c>
      <c r="B524" s="2" t="s">
        <v>1416</v>
      </c>
      <c r="C524" s="3">
        <v>1</v>
      </c>
      <c r="D524" s="5">
        <v>21.99</v>
      </c>
      <c r="E524" s="3" t="s">
        <v>1451</v>
      </c>
      <c r="F524" s="2" t="s">
        <v>79</v>
      </c>
      <c r="G524" s="6" t="s">
        <v>16</v>
      </c>
      <c r="H524" s="2" t="s">
        <v>194</v>
      </c>
      <c r="I524" s="2" t="s">
        <v>195</v>
      </c>
      <c r="J524" s="2" t="s">
        <v>19</v>
      </c>
      <c r="K524" s="2" t="s">
        <v>353</v>
      </c>
      <c r="L524" s="7" t="str">
        <f>HYPERLINK("http://slimages.macys.com/is/image/MCY/12033149 ")</f>
        <v xml:space="preserve">http://slimages.macys.com/is/image/MCY/12033149 </v>
      </c>
    </row>
    <row r="525" spans="1:12" ht="24.75" x14ac:dyDescent="0.25">
      <c r="A525" s="4" t="s">
        <v>6681</v>
      </c>
      <c r="B525" s="2" t="s">
        <v>1416</v>
      </c>
      <c r="C525" s="3">
        <v>1</v>
      </c>
      <c r="D525" s="5">
        <v>21.99</v>
      </c>
      <c r="E525" s="3" t="s">
        <v>1454</v>
      </c>
      <c r="F525" s="2" t="s">
        <v>1234</v>
      </c>
      <c r="G525" s="6" t="s">
        <v>65</v>
      </c>
      <c r="H525" s="2" t="s">
        <v>194</v>
      </c>
      <c r="I525" s="2" t="s">
        <v>195</v>
      </c>
      <c r="J525" s="2" t="s">
        <v>19</v>
      </c>
      <c r="K525" s="2" t="s">
        <v>353</v>
      </c>
      <c r="L525" s="7" t="str">
        <f>HYPERLINK("http://slimages.macys.com/is/image/MCY/8141463 ")</f>
        <v xml:space="preserve">http://slimages.macys.com/is/image/MCY/8141463 </v>
      </c>
    </row>
    <row r="526" spans="1:12" ht="24.75" x14ac:dyDescent="0.25">
      <c r="A526" s="4" t="s">
        <v>6682</v>
      </c>
      <c r="B526" s="2" t="s">
        <v>5929</v>
      </c>
      <c r="C526" s="3">
        <v>2</v>
      </c>
      <c r="D526" s="5">
        <v>24.99</v>
      </c>
      <c r="E526" s="3" t="s">
        <v>5930</v>
      </c>
      <c r="F526" s="2" t="s">
        <v>74</v>
      </c>
      <c r="G526" s="6" t="s">
        <v>154</v>
      </c>
      <c r="H526" s="2" t="s">
        <v>1522</v>
      </c>
      <c r="I526" s="2" t="s">
        <v>1469</v>
      </c>
      <c r="J526" s="2" t="s">
        <v>19</v>
      </c>
      <c r="K526" s="2" t="s">
        <v>353</v>
      </c>
      <c r="L526" s="7" t="str">
        <f>HYPERLINK("http://slimages.macys.com/is/image/MCY/9127935 ")</f>
        <v xml:space="preserve">http://slimages.macys.com/is/image/MCY/9127935 </v>
      </c>
    </row>
    <row r="527" spans="1:12" ht="24.75" x14ac:dyDescent="0.25">
      <c r="A527" s="4" t="s">
        <v>6683</v>
      </c>
      <c r="B527" s="2" t="s">
        <v>6684</v>
      </c>
      <c r="C527" s="3">
        <v>1</v>
      </c>
      <c r="D527" s="5">
        <v>44</v>
      </c>
      <c r="E527" s="3" t="s">
        <v>6685</v>
      </c>
      <c r="F527" s="2" t="s">
        <v>676</v>
      </c>
      <c r="G527" s="6" t="s">
        <v>446</v>
      </c>
      <c r="H527" s="2" t="s">
        <v>447</v>
      </c>
      <c r="I527" s="2" t="s">
        <v>792</v>
      </c>
      <c r="J527" s="2" t="s">
        <v>19</v>
      </c>
      <c r="K527" s="2" t="s">
        <v>6686</v>
      </c>
      <c r="L527" s="7" t="str">
        <f>HYPERLINK("http://slimages.macys.com/is/image/MCY/14448536 ")</f>
        <v xml:space="preserve">http://slimages.macys.com/is/image/MCY/14448536 </v>
      </c>
    </row>
    <row r="528" spans="1:12" ht="24.75" x14ac:dyDescent="0.25">
      <c r="A528" s="4" t="s">
        <v>6687</v>
      </c>
      <c r="B528" s="2" t="s">
        <v>5929</v>
      </c>
      <c r="C528" s="3">
        <v>1</v>
      </c>
      <c r="D528" s="5">
        <v>24.99</v>
      </c>
      <c r="E528" s="3" t="s">
        <v>5930</v>
      </c>
      <c r="F528" s="2" t="s">
        <v>74</v>
      </c>
      <c r="G528" s="6" t="s">
        <v>181</v>
      </c>
      <c r="H528" s="2" t="s">
        <v>1522</v>
      </c>
      <c r="I528" s="2" t="s">
        <v>1469</v>
      </c>
      <c r="J528" s="2" t="s">
        <v>19</v>
      </c>
      <c r="K528" s="2" t="s">
        <v>353</v>
      </c>
      <c r="L528" s="7" t="str">
        <f>HYPERLINK("http://slimages.macys.com/is/image/MCY/9127935 ")</f>
        <v xml:space="preserve">http://slimages.macys.com/is/image/MCY/9127935 </v>
      </c>
    </row>
    <row r="529" spans="1:12" ht="24.75" x14ac:dyDescent="0.25">
      <c r="A529" s="4" t="s">
        <v>6688</v>
      </c>
      <c r="B529" s="2" t="s">
        <v>1405</v>
      </c>
      <c r="C529" s="3">
        <v>1</v>
      </c>
      <c r="D529" s="5">
        <v>34.880000000000003</v>
      </c>
      <c r="E529" s="3" t="s">
        <v>5938</v>
      </c>
      <c r="F529" s="2" t="s">
        <v>136</v>
      </c>
      <c r="G529" s="6" t="s">
        <v>126</v>
      </c>
      <c r="H529" s="2" t="s">
        <v>312</v>
      </c>
      <c r="I529" s="2" t="s">
        <v>195</v>
      </c>
      <c r="J529" s="2" t="s">
        <v>19</v>
      </c>
      <c r="K529" s="2" t="s">
        <v>353</v>
      </c>
      <c r="L529" s="7" t="str">
        <f>HYPERLINK("http://slimages.macys.com/is/image/MCY/11465628 ")</f>
        <v xml:space="preserve">http://slimages.macys.com/is/image/MCY/11465628 </v>
      </c>
    </row>
    <row r="530" spans="1:12" ht="24.75" x14ac:dyDescent="0.25">
      <c r="A530" s="4" t="s">
        <v>6689</v>
      </c>
      <c r="B530" s="2" t="s">
        <v>1462</v>
      </c>
      <c r="C530" s="3">
        <v>2</v>
      </c>
      <c r="D530" s="5">
        <v>37.130000000000003</v>
      </c>
      <c r="E530" s="3" t="s">
        <v>1463</v>
      </c>
      <c r="F530" s="2" t="s">
        <v>15</v>
      </c>
      <c r="G530" s="6" t="s">
        <v>156</v>
      </c>
      <c r="H530" s="2" t="s">
        <v>194</v>
      </c>
      <c r="I530" s="2" t="s">
        <v>1112</v>
      </c>
      <c r="J530" s="2" t="s">
        <v>19</v>
      </c>
      <c r="K530" s="2" t="s">
        <v>409</v>
      </c>
      <c r="L530" s="7" t="str">
        <f>HYPERLINK("http://slimages.macys.com/is/image/MCY/8106050 ")</f>
        <v xml:space="preserve">http://slimages.macys.com/is/image/MCY/8106050 </v>
      </c>
    </row>
    <row r="531" spans="1:12" ht="24.75" x14ac:dyDescent="0.25">
      <c r="A531" s="4" t="s">
        <v>6690</v>
      </c>
      <c r="B531" s="2" t="s">
        <v>1462</v>
      </c>
      <c r="C531" s="3">
        <v>1</v>
      </c>
      <c r="D531" s="5">
        <v>37.130000000000003</v>
      </c>
      <c r="E531" s="3" t="s">
        <v>1463</v>
      </c>
      <c r="F531" s="2" t="s">
        <v>15</v>
      </c>
      <c r="G531" s="6" t="s">
        <v>234</v>
      </c>
      <c r="H531" s="2" t="s">
        <v>194</v>
      </c>
      <c r="I531" s="2" t="s">
        <v>1112</v>
      </c>
      <c r="J531" s="2" t="s">
        <v>19</v>
      </c>
      <c r="K531" s="2" t="s">
        <v>409</v>
      </c>
      <c r="L531" s="7" t="str">
        <f>HYPERLINK("http://slimages.macys.com/is/image/MCY/8106050 ")</f>
        <v xml:space="preserve">http://slimages.macys.com/is/image/MCY/8106050 </v>
      </c>
    </row>
    <row r="532" spans="1:12" ht="24.75" x14ac:dyDescent="0.25">
      <c r="A532" s="4" t="s">
        <v>6691</v>
      </c>
      <c r="B532" s="2" t="s">
        <v>1467</v>
      </c>
      <c r="C532" s="3">
        <v>1</v>
      </c>
      <c r="D532" s="5">
        <v>24.99</v>
      </c>
      <c r="E532" s="3" t="s">
        <v>1468</v>
      </c>
      <c r="F532" s="2" t="s">
        <v>33</v>
      </c>
      <c r="G532" s="6"/>
      <c r="H532" s="2" t="s">
        <v>1425</v>
      </c>
      <c r="I532" s="2" t="s">
        <v>1469</v>
      </c>
      <c r="J532" s="2" t="s">
        <v>19</v>
      </c>
      <c r="K532" s="2" t="s">
        <v>495</v>
      </c>
      <c r="L532" s="7" t="str">
        <f>HYPERLINK("http://slimages.macys.com/is/image/MCY/11989539 ")</f>
        <v xml:space="preserve">http://slimages.macys.com/is/image/MCY/11989539 </v>
      </c>
    </row>
    <row r="533" spans="1:12" ht="24.75" x14ac:dyDescent="0.25">
      <c r="A533" s="4" t="s">
        <v>2762</v>
      </c>
      <c r="B533" s="2" t="s">
        <v>2763</v>
      </c>
      <c r="C533" s="3">
        <v>1</v>
      </c>
      <c r="D533" s="5">
        <v>24.99</v>
      </c>
      <c r="E533" s="3" t="s">
        <v>2764</v>
      </c>
      <c r="F533" s="2" t="s">
        <v>74</v>
      </c>
      <c r="G533" s="6"/>
      <c r="H533" s="2" t="s">
        <v>1425</v>
      </c>
      <c r="I533" s="2" t="s">
        <v>1469</v>
      </c>
      <c r="J533" s="2" t="s">
        <v>19</v>
      </c>
      <c r="K533" s="2" t="s">
        <v>495</v>
      </c>
      <c r="L533" s="7" t="str">
        <f>HYPERLINK("http://slimages.macys.com/is/image/MCY/12144707 ")</f>
        <v xml:space="preserve">http://slimages.macys.com/is/image/MCY/12144707 </v>
      </c>
    </row>
    <row r="534" spans="1:12" ht="24.75" x14ac:dyDescent="0.25">
      <c r="A534" s="4" t="s">
        <v>6692</v>
      </c>
      <c r="B534" s="2" t="s">
        <v>2763</v>
      </c>
      <c r="C534" s="3">
        <v>1</v>
      </c>
      <c r="D534" s="5">
        <v>24.99</v>
      </c>
      <c r="E534" s="3" t="s">
        <v>6693</v>
      </c>
      <c r="F534" s="2" t="s">
        <v>74</v>
      </c>
      <c r="G534" s="6" t="s">
        <v>234</v>
      </c>
      <c r="H534" s="2" t="s">
        <v>1522</v>
      </c>
      <c r="I534" s="2" t="s">
        <v>1469</v>
      </c>
      <c r="J534" s="2" t="s">
        <v>19</v>
      </c>
      <c r="K534" s="2" t="s">
        <v>495</v>
      </c>
      <c r="L534" s="7" t="str">
        <f>HYPERLINK("http://slimages.macys.com/is/image/MCY/12636267 ")</f>
        <v xml:space="preserve">http://slimages.macys.com/is/image/MCY/12636267 </v>
      </c>
    </row>
    <row r="535" spans="1:12" ht="24.75" x14ac:dyDescent="0.25">
      <c r="A535" s="4" t="s">
        <v>6694</v>
      </c>
      <c r="B535" s="2" t="s">
        <v>2763</v>
      </c>
      <c r="C535" s="3">
        <v>1</v>
      </c>
      <c r="D535" s="5">
        <v>24.99</v>
      </c>
      <c r="E535" s="3" t="s">
        <v>6693</v>
      </c>
      <c r="F535" s="2" t="s">
        <v>74</v>
      </c>
      <c r="G535" s="6" t="s">
        <v>245</v>
      </c>
      <c r="H535" s="2" t="s">
        <v>1522</v>
      </c>
      <c r="I535" s="2" t="s">
        <v>1469</v>
      </c>
      <c r="J535" s="2" t="s">
        <v>19</v>
      </c>
      <c r="K535" s="2" t="s">
        <v>495</v>
      </c>
      <c r="L535" s="7" t="str">
        <f>HYPERLINK("http://slimages.macys.com/is/image/MCY/12636267 ")</f>
        <v xml:space="preserve">http://slimages.macys.com/is/image/MCY/12636267 </v>
      </c>
    </row>
    <row r="536" spans="1:12" ht="36.75" x14ac:dyDescent="0.25">
      <c r="A536" s="4" t="s">
        <v>1481</v>
      </c>
      <c r="B536" s="2" t="s">
        <v>1482</v>
      </c>
      <c r="C536" s="3">
        <v>1</v>
      </c>
      <c r="D536" s="5">
        <v>32.5</v>
      </c>
      <c r="E536" s="3" t="s">
        <v>1483</v>
      </c>
      <c r="F536" s="2" t="s">
        <v>48</v>
      </c>
      <c r="G536" s="6"/>
      <c r="H536" s="2" t="s">
        <v>312</v>
      </c>
      <c r="I536" s="2" t="s">
        <v>195</v>
      </c>
      <c r="J536" s="2" t="s">
        <v>19</v>
      </c>
      <c r="K536" s="2" t="s">
        <v>1484</v>
      </c>
      <c r="L536" s="7" t="str">
        <f>HYPERLINK("http://slimages.macys.com/is/image/MCY/12064112 ")</f>
        <v xml:space="preserve">http://slimages.macys.com/is/image/MCY/12064112 </v>
      </c>
    </row>
    <row r="537" spans="1:12" x14ac:dyDescent="0.25">
      <c r="A537" s="4" t="s">
        <v>6695</v>
      </c>
      <c r="B537" s="2" t="s">
        <v>1486</v>
      </c>
      <c r="C537" s="3">
        <v>1</v>
      </c>
      <c r="D537" s="5">
        <v>39.5</v>
      </c>
      <c r="E537" s="3" t="s">
        <v>1487</v>
      </c>
      <c r="F537" s="2" t="s">
        <v>111</v>
      </c>
      <c r="G537" s="6"/>
      <c r="H537" s="2" t="s">
        <v>206</v>
      </c>
      <c r="I537" s="2" t="s">
        <v>207</v>
      </c>
      <c r="J537" s="2" t="s">
        <v>19</v>
      </c>
      <c r="K537" s="2" t="s">
        <v>1488</v>
      </c>
      <c r="L537" s="7" t="str">
        <f>HYPERLINK("http://slimages.macys.com/is/image/MCY/12953073 ")</f>
        <v xml:space="preserve">http://slimages.macys.com/is/image/MCY/12953073 </v>
      </c>
    </row>
    <row r="538" spans="1:12" ht="24.75" x14ac:dyDescent="0.25">
      <c r="A538" s="4" t="s">
        <v>6696</v>
      </c>
      <c r="B538" s="2" t="s">
        <v>4037</v>
      </c>
      <c r="C538" s="3">
        <v>1</v>
      </c>
      <c r="D538" s="5">
        <v>29.7</v>
      </c>
      <c r="E538" s="3" t="s">
        <v>6697</v>
      </c>
      <c r="F538" s="2" t="s">
        <v>170</v>
      </c>
      <c r="G538" s="6" t="s">
        <v>746</v>
      </c>
      <c r="H538" s="2" t="s">
        <v>349</v>
      </c>
      <c r="I538" s="2" t="s">
        <v>285</v>
      </c>
      <c r="J538" s="2" t="s">
        <v>19</v>
      </c>
      <c r="K538" s="2" t="s">
        <v>160</v>
      </c>
      <c r="L538" s="7" t="str">
        <f>HYPERLINK("http://slimages.macys.com/is/image/MCY/12280519 ")</f>
        <v xml:space="preserve">http://slimages.macys.com/is/image/MCY/12280519 </v>
      </c>
    </row>
    <row r="539" spans="1:12" ht="24.75" x14ac:dyDescent="0.25">
      <c r="A539" s="4" t="s">
        <v>6698</v>
      </c>
      <c r="B539" s="2" t="s">
        <v>2779</v>
      </c>
      <c r="C539" s="3">
        <v>1</v>
      </c>
      <c r="D539" s="5">
        <v>29.63</v>
      </c>
      <c r="E539" s="3" t="s">
        <v>2780</v>
      </c>
      <c r="F539" s="2" t="s">
        <v>125</v>
      </c>
      <c r="G539" s="6" t="s">
        <v>181</v>
      </c>
      <c r="H539" s="2" t="s">
        <v>194</v>
      </c>
      <c r="I539" s="2" t="s">
        <v>195</v>
      </c>
      <c r="J539" s="2" t="s">
        <v>19</v>
      </c>
      <c r="K539" s="2" t="s">
        <v>247</v>
      </c>
      <c r="L539" s="7" t="str">
        <f>HYPERLINK("http://slimages.macys.com/is/image/MCY/12279859 ")</f>
        <v xml:space="preserve">http://slimages.macys.com/is/image/MCY/12279859 </v>
      </c>
    </row>
    <row r="540" spans="1:12" ht="24.75" x14ac:dyDescent="0.25">
      <c r="A540" s="4" t="s">
        <v>6699</v>
      </c>
      <c r="B540" s="2" t="s">
        <v>3820</v>
      </c>
      <c r="C540" s="3">
        <v>1</v>
      </c>
      <c r="D540" s="5">
        <v>24.99</v>
      </c>
      <c r="E540" s="3" t="s">
        <v>3933</v>
      </c>
      <c r="F540" s="2" t="s">
        <v>464</v>
      </c>
      <c r="G540" s="6" t="s">
        <v>200</v>
      </c>
      <c r="H540" s="2" t="s">
        <v>284</v>
      </c>
      <c r="I540" s="2" t="s">
        <v>285</v>
      </c>
      <c r="J540" s="2"/>
      <c r="K540" s="2"/>
      <c r="L540" s="7" t="str">
        <f>HYPERLINK("http://slimages.macys.com/is/image/MCY/11634887 ")</f>
        <v xml:space="preserve">http://slimages.macys.com/is/image/MCY/11634887 </v>
      </c>
    </row>
    <row r="541" spans="1:12" ht="24.75" x14ac:dyDescent="0.25">
      <c r="A541" s="4" t="s">
        <v>6700</v>
      </c>
      <c r="B541" s="2" t="s">
        <v>2779</v>
      </c>
      <c r="C541" s="3">
        <v>1</v>
      </c>
      <c r="D541" s="5">
        <v>29.63</v>
      </c>
      <c r="E541" s="3" t="s">
        <v>2780</v>
      </c>
      <c r="F541" s="2" t="s">
        <v>125</v>
      </c>
      <c r="G541" s="6" t="s">
        <v>200</v>
      </c>
      <c r="H541" s="2" t="s">
        <v>194</v>
      </c>
      <c r="I541" s="2" t="s">
        <v>195</v>
      </c>
      <c r="J541" s="2" t="s">
        <v>19</v>
      </c>
      <c r="K541" s="2" t="s">
        <v>247</v>
      </c>
      <c r="L541" s="7" t="str">
        <f>HYPERLINK("http://slimages.macys.com/is/image/MCY/12279859 ")</f>
        <v xml:space="preserve">http://slimages.macys.com/is/image/MCY/12279859 </v>
      </c>
    </row>
    <row r="542" spans="1:12" ht="24.75" x14ac:dyDescent="0.25">
      <c r="A542" s="4" t="s">
        <v>6701</v>
      </c>
      <c r="B542" s="2" t="s">
        <v>1356</v>
      </c>
      <c r="C542" s="3">
        <v>1</v>
      </c>
      <c r="D542" s="5">
        <v>34.5</v>
      </c>
      <c r="E542" s="3">
        <v>100045814</v>
      </c>
      <c r="F542" s="2" t="s">
        <v>33</v>
      </c>
      <c r="G542" s="6" t="s">
        <v>27</v>
      </c>
      <c r="H542" s="2" t="s">
        <v>228</v>
      </c>
      <c r="I542" s="2" t="s">
        <v>229</v>
      </c>
      <c r="J542" s="2" t="s">
        <v>19</v>
      </c>
      <c r="K542" s="2" t="s">
        <v>353</v>
      </c>
      <c r="L542" s="7" t="str">
        <f>HYPERLINK("http://slimages.macys.com/is/image/MCY/11936020 ")</f>
        <v xml:space="preserve">http://slimages.macys.com/is/image/MCY/11936020 </v>
      </c>
    </row>
    <row r="543" spans="1:12" ht="24.75" x14ac:dyDescent="0.25">
      <c r="A543" s="4" t="s">
        <v>6702</v>
      </c>
      <c r="B543" s="2" t="s">
        <v>3936</v>
      </c>
      <c r="C543" s="3">
        <v>1</v>
      </c>
      <c r="D543" s="5">
        <v>32.5</v>
      </c>
      <c r="E543" s="3" t="s">
        <v>6703</v>
      </c>
      <c r="F543" s="2" t="s">
        <v>252</v>
      </c>
      <c r="G543" s="6"/>
      <c r="H543" s="2" t="s">
        <v>127</v>
      </c>
      <c r="I543" s="2" t="s">
        <v>128</v>
      </c>
      <c r="J543" s="2" t="s">
        <v>19</v>
      </c>
      <c r="K543" s="2" t="s">
        <v>247</v>
      </c>
      <c r="L543" s="7" t="str">
        <f>HYPERLINK("http://slimages.macys.com/is/image/MCY/8644754 ")</f>
        <v xml:space="preserve">http://slimages.macys.com/is/image/MCY/8644754 </v>
      </c>
    </row>
    <row r="544" spans="1:12" ht="24.75" x14ac:dyDescent="0.25">
      <c r="A544" s="4" t="s">
        <v>6704</v>
      </c>
      <c r="B544" s="2" t="s">
        <v>5032</v>
      </c>
      <c r="C544" s="3">
        <v>2</v>
      </c>
      <c r="D544" s="5">
        <v>24.99</v>
      </c>
      <c r="E544" s="3" t="s">
        <v>5033</v>
      </c>
      <c r="F544" s="2" t="s">
        <v>74</v>
      </c>
      <c r="G544" s="6"/>
      <c r="H544" s="2" t="s">
        <v>1425</v>
      </c>
      <c r="I544" s="2" t="s">
        <v>1469</v>
      </c>
      <c r="J544" s="2" t="s">
        <v>19</v>
      </c>
      <c r="K544" s="2" t="s">
        <v>990</v>
      </c>
      <c r="L544" s="7" t="str">
        <f>HYPERLINK("http://slimages.macys.com/is/image/MCY/12645266 ")</f>
        <v xml:space="preserve">http://slimages.macys.com/is/image/MCY/12645266 </v>
      </c>
    </row>
    <row r="545" spans="1:12" ht="24.75" x14ac:dyDescent="0.25">
      <c r="A545" s="4" t="s">
        <v>6705</v>
      </c>
      <c r="B545" s="2" t="s">
        <v>5032</v>
      </c>
      <c r="C545" s="3">
        <v>1</v>
      </c>
      <c r="D545" s="5">
        <v>24.99</v>
      </c>
      <c r="E545" s="3" t="s">
        <v>5033</v>
      </c>
      <c r="F545" s="2" t="s">
        <v>74</v>
      </c>
      <c r="G545" s="6"/>
      <c r="H545" s="2" t="s">
        <v>1425</v>
      </c>
      <c r="I545" s="2" t="s">
        <v>1469</v>
      </c>
      <c r="J545" s="2" t="s">
        <v>19</v>
      </c>
      <c r="K545" s="2" t="s">
        <v>990</v>
      </c>
      <c r="L545" s="7" t="str">
        <f>HYPERLINK("http://slimages.macys.com/is/image/MCY/12645266 ")</f>
        <v xml:space="preserve">http://slimages.macys.com/is/image/MCY/12645266 </v>
      </c>
    </row>
    <row r="546" spans="1:12" ht="24.75" x14ac:dyDescent="0.25">
      <c r="A546" s="4" t="s">
        <v>6706</v>
      </c>
      <c r="B546" s="2" t="s">
        <v>1516</v>
      </c>
      <c r="C546" s="3">
        <v>2</v>
      </c>
      <c r="D546" s="5">
        <v>24.99</v>
      </c>
      <c r="E546" s="3" t="s">
        <v>1517</v>
      </c>
      <c r="F546" s="2" t="s">
        <v>15</v>
      </c>
      <c r="G546" s="6" t="s">
        <v>16</v>
      </c>
      <c r="H546" s="2" t="s">
        <v>1473</v>
      </c>
      <c r="I546" s="2" t="s">
        <v>1426</v>
      </c>
      <c r="J546" s="2" t="s">
        <v>19</v>
      </c>
      <c r="K546" s="2" t="s">
        <v>353</v>
      </c>
      <c r="L546" s="7" t="str">
        <f>HYPERLINK("http://slimages.macys.com/is/image/MCY/11029826 ")</f>
        <v xml:space="preserve">http://slimages.macys.com/is/image/MCY/11029826 </v>
      </c>
    </row>
    <row r="547" spans="1:12" ht="24.75" x14ac:dyDescent="0.25">
      <c r="A547" s="4" t="s">
        <v>6707</v>
      </c>
      <c r="B547" s="2" t="s">
        <v>2804</v>
      </c>
      <c r="C547" s="3">
        <v>1</v>
      </c>
      <c r="D547" s="5">
        <v>24.99</v>
      </c>
      <c r="E547" s="3" t="s">
        <v>6708</v>
      </c>
      <c r="F547" s="2" t="s">
        <v>15</v>
      </c>
      <c r="G547" s="6" t="s">
        <v>112</v>
      </c>
      <c r="H547" s="2" t="s">
        <v>1473</v>
      </c>
      <c r="I547" s="2" t="s">
        <v>1426</v>
      </c>
      <c r="J547" s="2" t="s">
        <v>19</v>
      </c>
      <c r="K547" s="2" t="s">
        <v>353</v>
      </c>
      <c r="L547" s="7" t="str">
        <f>HYPERLINK("http://slimages.macys.com/is/image/MCY/11029945 ")</f>
        <v xml:space="preserve">http://slimages.macys.com/is/image/MCY/11029945 </v>
      </c>
    </row>
    <row r="548" spans="1:12" ht="24.75" x14ac:dyDescent="0.25">
      <c r="A548" s="4" t="s">
        <v>6709</v>
      </c>
      <c r="B548" s="2" t="s">
        <v>5032</v>
      </c>
      <c r="C548" s="3">
        <v>2</v>
      </c>
      <c r="D548" s="5">
        <v>24.99</v>
      </c>
      <c r="E548" s="3" t="s">
        <v>5033</v>
      </c>
      <c r="F548" s="2" t="s">
        <v>70</v>
      </c>
      <c r="G548" s="6"/>
      <c r="H548" s="2" t="s">
        <v>1425</v>
      </c>
      <c r="I548" s="2" t="s">
        <v>1469</v>
      </c>
      <c r="J548" s="2" t="s">
        <v>19</v>
      </c>
      <c r="K548" s="2" t="s">
        <v>990</v>
      </c>
      <c r="L548" s="7" t="str">
        <f>HYPERLINK("http://slimages.macys.com/is/image/MCY/12645266 ")</f>
        <v xml:space="preserve">http://slimages.macys.com/is/image/MCY/12645266 </v>
      </c>
    </row>
    <row r="549" spans="1:12" ht="24.75" x14ac:dyDescent="0.25">
      <c r="A549" s="4" t="s">
        <v>6710</v>
      </c>
      <c r="B549" s="2" t="s">
        <v>5032</v>
      </c>
      <c r="C549" s="3">
        <v>1</v>
      </c>
      <c r="D549" s="5">
        <v>24.99</v>
      </c>
      <c r="E549" s="3" t="s">
        <v>5033</v>
      </c>
      <c r="F549" s="2" t="s">
        <v>70</v>
      </c>
      <c r="G549" s="6"/>
      <c r="H549" s="2" t="s">
        <v>1425</v>
      </c>
      <c r="I549" s="2" t="s">
        <v>1469</v>
      </c>
      <c r="J549" s="2" t="s">
        <v>19</v>
      </c>
      <c r="K549" s="2" t="s">
        <v>990</v>
      </c>
      <c r="L549" s="7" t="str">
        <f>HYPERLINK("http://slimages.macys.com/is/image/MCY/12645266 ")</f>
        <v xml:space="preserve">http://slimages.macys.com/is/image/MCY/12645266 </v>
      </c>
    </row>
    <row r="550" spans="1:12" ht="24.75" x14ac:dyDescent="0.25">
      <c r="A550" s="4" t="s">
        <v>6711</v>
      </c>
      <c r="B550" s="2" t="s">
        <v>5032</v>
      </c>
      <c r="C550" s="3">
        <v>2</v>
      </c>
      <c r="D550" s="5">
        <v>24.99</v>
      </c>
      <c r="E550" s="3" t="s">
        <v>5033</v>
      </c>
      <c r="F550" s="2" t="s">
        <v>70</v>
      </c>
      <c r="G550" s="6" t="s">
        <v>219</v>
      </c>
      <c r="H550" s="2" t="s">
        <v>1425</v>
      </c>
      <c r="I550" s="2" t="s">
        <v>1469</v>
      </c>
      <c r="J550" s="2" t="s">
        <v>19</v>
      </c>
      <c r="K550" s="2" t="s">
        <v>990</v>
      </c>
      <c r="L550" s="7" t="str">
        <f>HYPERLINK("http://slimages.macys.com/is/image/MCY/12645266 ")</f>
        <v xml:space="preserve">http://slimages.macys.com/is/image/MCY/12645266 </v>
      </c>
    </row>
    <row r="551" spans="1:12" ht="24.75" x14ac:dyDescent="0.25">
      <c r="A551" s="4" t="s">
        <v>6712</v>
      </c>
      <c r="B551" s="2" t="s">
        <v>3946</v>
      </c>
      <c r="C551" s="3">
        <v>1</v>
      </c>
      <c r="D551" s="5">
        <v>24.99</v>
      </c>
      <c r="E551" s="3" t="s">
        <v>6713</v>
      </c>
      <c r="F551" s="2" t="s">
        <v>74</v>
      </c>
      <c r="G551" s="6"/>
      <c r="H551" s="2" t="s">
        <v>1425</v>
      </c>
      <c r="I551" s="2" t="s">
        <v>1426</v>
      </c>
      <c r="J551" s="2" t="s">
        <v>19</v>
      </c>
      <c r="K551" s="2" t="s">
        <v>648</v>
      </c>
      <c r="L551" s="7" t="str">
        <f>HYPERLINK("http://slimages.macys.com/is/image/MCY/9484394 ")</f>
        <v xml:space="preserve">http://slimages.macys.com/is/image/MCY/9484394 </v>
      </c>
    </row>
    <row r="552" spans="1:12" ht="24.75" x14ac:dyDescent="0.25">
      <c r="A552" s="4" t="s">
        <v>6714</v>
      </c>
      <c r="B552" s="2" t="s">
        <v>5032</v>
      </c>
      <c r="C552" s="3">
        <v>1</v>
      </c>
      <c r="D552" s="5">
        <v>24.99</v>
      </c>
      <c r="E552" s="3" t="s">
        <v>5033</v>
      </c>
      <c r="F552" s="2" t="s">
        <v>74</v>
      </c>
      <c r="G552" s="6" t="s">
        <v>219</v>
      </c>
      <c r="H552" s="2" t="s">
        <v>1425</v>
      </c>
      <c r="I552" s="2" t="s">
        <v>1469</v>
      </c>
      <c r="J552" s="2" t="s">
        <v>19</v>
      </c>
      <c r="K552" s="2" t="s">
        <v>990</v>
      </c>
      <c r="L552" s="7" t="str">
        <f>HYPERLINK("http://slimages.macys.com/is/image/MCY/12645266 ")</f>
        <v xml:space="preserve">http://slimages.macys.com/is/image/MCY/12645266 </v>
      </c>
    </row>
    <row r="553" spans="1:12" ht="24.75" x14ac:dyDescent="0.25">
      <c r="A553" s="4" t="s">
        <v>2797</v>
      </c>
      <c r="B553" s="2" t="s">
        <v>1516</v>
      </c>
      <c r="C553" s="3">
        <v>1</v>
      </c>
      <c r="D553" s="5">
        <v>24.99</v>
      </c>
      <c r="E553" s="3" t="s">
        <v>1517</v>
      </c>
      <c r="F553" s="2" t="s">
        <v>74</v>
      </c>
      <c r="G553" s="6" t="s">
        <v>22</v>
      </c>
      <c r="H553" s="2" t="s">
        <v>1473</v>
      </c>
      <c r="I553" s="2" t="s">
        <v>1426</v>
      </c>
      <c r="J553" s="2" t="s">
        <v>19</v>
      </c>
      <c r="K553" s="2" t="s">
        <v>353</v>
      </c>
      <c r="L553" s="7" t="str">
        <f>HYPERLINK("http://slimages.macys.com/is/image/MCY/11029826 ")</f>
        <v xml:space="preserve">http://slimages.macys.com/is/image/MCY/11029826 </v>
      </c>
    </row>
    <row r="554" spans="1:12" ht="24.75" x14ac:dyDescent="0.25">
      <c r="A554" s="4" t="s">
        <v>6715</v>
      </c>
      <c r="B554" s="2" t="s">
        <v>3946</v>
      </c>
      <c r="C554" s="3">
        <v>1</v>
      </c>
      <c r="D554" s="5">
        <v>24.99</v>
      </c>
      <c r="E554" s="3" t="s">
        <v>6716</v>
      </c>
      <c r="F554" s="2" t="s">
        <v>15</v>
      </c>
      <c r="G554" s="6" t="s">
        <v>200</v>
      </c>
      <c r="H554" s="2" t="s">
        <v>1473</v>
      </c>
      <c r="I554" s="2" t="s">
        <v>1426</v>
      </c>
      <c r="J554" s="2" t="s">
        <v>19</v>
      </c>
      <c r="K554" s="2" t="s">
        <v>648</v>
      </c>
      <c r="L554" s="7" t="str">
        <f>HYPERLINK("http://slimages.macys.com/is/image/MCY/11456937 ")</f>
        <v xml:space="preserve">http://slimages.macys.com/is/image/MCY/11456937 </v>
      </c>
    </row>
    <row r="555" spans="1:12" ht="24.75" x14ac:dyDescent="0.25">
      <c r="A555" s="4" t="s">
        <v>6717</v>
      </c>
      <c r="B555" s="2" t="s">
        <v>2779</v>
      </c>
      <c r="C555" s="3">
        <v>2</v>
      </c>
      <c r="D555" s="5">
        <v>29.63</v>
      </c>
      <c r="E555" s="3" t="s">
        <v>2810</v>
      </c>
      <c r="F555" s="2" t="s">
        <v>15</v>
      </c>
      <c r="G555" s="6"/>
      <c r="H555" s="2" t="s">
        <v>312</v>
      </c>
      <c r="I555" s="2" t="s">
        <v>195</v>
      </c>
      <c r="J555" s="2" t="s">
        <v>19</v>
      </c>
      <c r="K555" s="2" t="s">
        <v>247</v>
      </c>
      <c r="L555" s="7" t="str">
        <f>HYPERLINK("http://slimages.macys.com/is/image/MCY/12279859 ")</f>
        <v xml:space="preserve">http://slimages.macys.com/is/image/MCY/12279859 </v>
      </c>
    </row>
    <row r="556" spans="1:12" ht="24.75" x14ac:dyDescent="0.25">
      <c r="A556" s="4" t="s">
        <v>6718</v>
      </c>
      <c r="B556" s="2" t="s">
        <v>2746</v>
      </c>
      <c r="C556" s="3">
        <v>1</v>
      </c>
      <c r="D556" s="5">
        <v>29.5</v>
      </c>
      <c r="E556" s="3" t="s">
        <v>2747</v>
      </c>
      <c r="F556" s="2" t="s">
        <v>15</v>
      </c>
      <c r="G556" s="6"/>
      <c r="H556" s="2" t="s">
        <v>312</v>
      </c>
      <c r="I556" s="2" t="s">
        <v>195</v>
      </c>
      <c r="J556" s="2" t="s">
        <v>19</v>
      </c>
      <c r="K556" s="2" t="s">
        <v>1629</v>
      </c>
      <c r="L556" s="7" t="str">
        <f>HYPERLINK("http://slimages.macys.com/is/image/MCY/8604512 ")</f>
        <v xml:space="preserve">http://slimages.macys.com/is/image/MCY/8604512 </v>
      </c>
    </row>
    <row r="557" spans="1:12" ht="24.75" x14ac:dyDescent="0.25">
      <c r="A557" s="4" t="s">
        <v>5039</v>
      </c>
      <c r="B557" s="2" t="s">
        <v>5040</v>
      </c>
      <c r="C557" s="3">
        <v>1</v>
      </c>
      <c r="D557" s="5">
        <v>29.63</v>
      </c>
      <c r="E557" s="3">
        <v>100018082</v>
      </c>
      <c r="F557" s="2" t="s">
        <v>15</v>
      </c>
      <c r="G557" s="6" t="s">
        <v>154</v>
      </c>
      <c r="H557" s="2" t="s">
        <v>194</v>
      </c>
      <c r="I557" s="2" t="s">
        <v>195</v>
      </c>
      <c r="J557" s="2" t="s">
        <v>19</v>
      </c>
      <c r="K557" s="2" t="s">
        <v>1082</v>
      </c>
      <c r="L557" s="7" t="str">
        <f>HYPERLINK("http://slimages.macys.com/is/image/MCY/13367475 ")</f>
        <v xml:space="preserve">http://slimages.macys.com/is/image/MCY/13367475 </v>
      </c>
    </row>
    <row r="558" spans="1:12" ht="24.75" x14ac:dyDescent="0.25">
      <c r="A558" s="4" t="s">
        <v>6719</v>
      </c>
      <c r="B558" s="2" t="s">
        <v>5040</v>
      </c>
      <c r="C558" s="3">
        <v>2</v>
      </c>
      <c r="D558" s="5">
        <v>29.63</v>
      </c>
      <c r="E558" s="3">
        <v>100018082</v>
      </c>
      <c r="F558" s="2" t="s">
        <v>15</v>
      </c>
      <c r="G558" s="6" t="s">
        <v>200</v>
      </c>
      <c r="H558" s="2" t="s">
        <v>194</v>
      </c>
      <c r="I558" s="2" t="s">
        <v>195</v>
      </c>
      <c r="J558" s="2" t="s">
        <v>19</v>
      </c>
      <c r="K558" s="2" t="s">
        <v>1082</v>
      </c>
      <c r="L558" s="7" t="str">
        <f>HYPERLINK("http://slimages.macys.com/is/image/MCY/13367475 ")</f>
        <v xml:space="preserve">http://slimages.macys.com/is/image/MCY/13367475 </v>
      </c>
    </row>
    <row r="559" spans="1:12" ht="24.75" x14ac:dyDescent="0.25">
      <c r="A559" s="4" t="s">
        <v>6720</v>
      </c>
      <c r="B559" s="2" t="s">
        <v>5040</v>
      </c>
      <c r="C559" s="3">
        <v>1</v>
      </c>
      <c r="D559" s="5">
        <v>29.63</v>
      </c>
      <c r="E559" s="3">
        <v>100018082</v>
      </c>
      <c r="F559" s="2" t="s">
        <v>15</v>
      </c>
      <c r="G559" s="6" t="s">
        <v>181</v>
      </c>
      <c r="H559" s="2" t="s">
        <v>194</v>
      </c>
      <c r="I559" s="2" t="s">
        <v>195</v>
      </c>
      <c r="J559" s="2" t="s">
        <v>19</v>
      </c>
      <c r="K559" s="2" t="s">
        <v>1082</v>
      </c>
      <c r="L559" s="7" t="str">
        <f>HYPERLINK("http://slimages.macys.com/is/image/MCY/13367475 ")</f>
        <v xml:space="preserve">http://slimages.macys.com/is/image/MCY/13367475 </v>
      </c>
    </row>
    <row r="560" spans="1:12" ht="24.75" x14ac:dyDescent="0.25">
      <c r="A560" s="4" t="s">
        <v>6721</v>
      </c>
      <c r="B560" s="2" t="s">
        <v>5040</v>
      </c>
      <c r="C560" s="3">
        <v>1</v>
      </c>
      <c r="D560" s="5">
        <v>29.63</v>
      </c>
      <c r="E560" s="3">
        <v>100018082</v>
      </c>
      <c r="F560" s="2" t="s">
        <v>15</v>
      </c>
      <c r="G560" s="6" t="s">
        <v>234</v>
      </c>
      <c r="H560" s="2" t="s">
        <v>194</v>
      </c>
      <c r="I560" s="2" t="s">
        <v>195</v>
      </c>
      <c r="J560" s="2" t="s">
        <v>19</v>
      </c>
      <c r="K560" s="2" t="s">
        <v>1082</v>
      </c>
      <c r="L560" s="7" t="str">
        <f>HYPERLINK("http://slimages.macys.com/is/image/MCY/13367475 ")</f>
        <v xml:space="preserve">http://slimages.macys.com/is/image/MCY/13367475 </v>
      </c>
    </row>
    <row r="561" spans="1:12" ht="24.75" x14ac:dyDescent="0.25">
      <c r="A561" s="4" t="s">
        <v>6722</v>
      </c>
      <c r="B561" s="2" t="s">
        <v>2812</v>
      </c>
      <c r="C561" s="3">
        <v>1</v>
      </c>
      <c r="D561" s="5">
        <v>34.5</v>
      </c>
      <c r="E561" s="3">
        <v>100019421</v>
      </c>
      <c r="F561" s="2" t="s">
        <v>417</v>
      </c>
      <c r="G561" s="6" t="s">
        <v>58</v>
      </c>
      <c r="H561" s="2" t="s">
        <v>228</v>
      </c>
      <c r="I561" s="2" t="s">
        <v>229</v>
      </c>
      <c r="J561" s="2" t="s">
        <v>19</v>
      </c>
      <c r="K561" s="2" t="s">
        <v>353</v>
      </c>
      <c r="L561" s="7" t="str">
        <f>HYPERLINK("http://slimages.macys.com/is/image/MCY/11936020 ")</f>
        <v xml:space="preserve">http://slimages.macys.com/is/image/MCY/11936020 </v>
      </c>
    </row>
    <row r="562" spans="1:12" ht="24.75" x14ac:dyDescent="0.25">
      <c r="A562" s="4" t="s">
        <v>6723</v>
      </c>
      <c r="B562" s="2" t="s">
        <v>2812</v>
      </c>
      <c r="C562" s="3">
        <v>1</v>
      </c>
      <c r="D562" s="5">
        <v>34.5</v>
      </c>
      <c r="E562" s="3">
        <v>100019211</v>
      </c>
      <c r="F562" s="2" t="s">
        <v>417</v>
      </c>
      <c r="G562" s="6" t="s">
        <v>22</v>
      </c>
      <c r="H562" s="2" t="s">
        <v>228</v>
      </c>
      <c r="I562" s="2" t="s">
        <v>229</v>
      </c>
      <c r="J562" s="2" t="s">
        <v>19</v>
      </c>
      <c r="K562" s="2" t="s">
        <v>353</v>
      </c>
      <c r="L562" s="7" t="str">
        <f>HYPERLINK("http://slimages.macys.com/is/image/MCY/9504729 ")</f>
        <v xml:space="preserve">http://slimages.macys.com/is/image/MCY/9504729 </v>
      </c>
    </row>
    <row r="563" spans="1:12" ht="24.75" x14ac:dyDescent="0.25">
      <c r="A563" s="4" t="s">
        <v>6724</v>
      </c>
      <c r="B563" s="2" t="s">
        <v>2812</v>
      </c>
      <c r="C563" s="3">
        <v>1</v>
      </c>
      <c r="D563" s="5">
        <v>34.5</v>
      </c>
      <c r="E563" s="3">
        <v>100019421</v>
      </c>
      <c r="F563" s="2" t="s">
        <v>417</v>
      </c>
      <c r="G563" s="6" t="s">
        <v>106</v>
      </c>
      <c r="H563" s="2" t="s">
        <v>228</v>
      </c>
      <c r="I563" s="2" t="s">
        <v>229</v>
      </c>
      <c r="J563" s="2" t="s">
        <v>19</v>
      </c>
      <c r="K563" s="2" t="s">
        <v>353</v>
      </c>
      <c r="L563" s="7" t="str">
        <f>HYPERLINK("http://slimages.macys.com/is/image/MCY/11936020 ")</f>
        <v xml:space="preserve">http://slimages.macys.com/is/image/MCY/11936020 </v>
      </c>
    </row>
    <row r="564" spans="1:12" ht="24.75" x14ac:dyDescent="0.25">
      <c r="A564" s="4" t="s">
        <v>2830</v>
      </c>
      <c r="B564" s="2" t="s">
        <v>1539</v>
      </c>
      <c r="C564" s="3">
        <v>3</v>
      </c>
      <c r="D564" s="5">
        <v>26.99</v>
      </c>
      <c r="E564" s="3" t="s">
        <v>1548</v>
      </c>
      <c r="F564" s="2" t="s">
        <v>998</v>
      </c>
      <c r="G564" s="6" t="s">
        <v>126</v>
      </c>
      <c r="H564" s="2" t="s">
        <v>1425</v>
      </c>
      <c r="I564" s="2" t="s">
        <v>1426</v>
      </c>
      <c r="J564" s="2" t="s">
        <v>19</v>
      </c>
      <c r="K564" s="2" t="s">
        <v>353</v>
      </c>
      <c r="L564" s="7" t="str">
        <f>HYPERLINK("http://slimages.macys.com/is/image/MCY/11092539 ")</f>
        <v xml:space="preserve">http://slimages.macys.com/is/image/MCY/11092539 </v>
      </c>
    </row>
    <row r="565" spans="1:12" ht="24.75" x14ac:dyDescent="0.25">
      <c r="A565" s="4" t="s">
        <v>3961</v>
      </c>
      <c r="B565" s="2" t="s">
        <v>1539</v>
      </c>
      <c r="C565" s="3">
        <v>1</v>
      </c>
      <c r="D565" s="5">
        <v>26.99</v>
      </c>
      <c r="E565" s="3" t="s">
        <v>1540</v>
      </c>
      <c r="F565" s="2" t="s">
        <v>70</v>
      </c>
      <c r="G565" s="6" t="s">
        <v>58</v>
      </c>
      <c r="H565" s="2" t="s">
        <v>1473</v>
      </c>
      <c r="I565" s="2" t="s">
        <v>1426</v>
      </c>
      <c r="J565" s="2" t="s">
        <v>19</v>
      </c>
      <c r="K565" s="2" t="s">
        <v>353</v>
      </c>
      <c r="L565" s="7" t="str">
        <f>HYPERLINK("http://slimages.macys.com/is/image/MCY/10786732 ")</f>
        <v xml:space="preserve">http://slimages.macys.com/is/image/MCY/10786732 </v>
      </c>
    </row>
    <row r="566" spans="1:12" ht="24.75" x14ac:dyDescent="0.25">
      <c r="A566" s="4" t="s">
        <v>3956</v>
      </c>
      <c r="B566" s="2" t="s">
        <v>1539</v>
      </c>
      <c r="C566" s="3">
        <v>1</v>
      </c>
      <c r="D566" s="5">
        <v>26.99</v>
      </c>
      <c r="E566" s="3" t="s">
        <v>1540</v>
      </c>
      <c r="F566" s="2" t="s">
        <v>15</v>
      </c>
      <c r="G566" s="6" t="s">
        <v>27</v>
      </c>
      <c r="H566" s="2" t="s">
        <v>1473</v>
      </c>
      <c r="I566" s="2" t="s">
        <v>1426</v>
      </c>
      <c r="J566" s="2" t="s">
        <v>19</v>
      </c>
      <c r="K566" s="2" t="s">
        <v>353</v>
      </c>
      <c r="L566" s="7" t="str">
        <f>HYPERLINK("http://slimages.macys.com/is/image/MCY/10786732 ")</f>
        <v xml:space="preserve">http://slimages.macys.com/is/image/MCY/10786732 </v>
      </c>
    </row>
    <row r="567" spans="1:12" ht="24.75" x14ac:dyDescent="0.25">
      <c r="A567" s="4" t="s">
        <v>1544</v>
      </c>
      <c r="B567" s="2" t="s">
        <v>1539</v>
      </c>
      <c r="C567" s="3">
        <v>1</v>
      </c>
      <c r="D567" s="5">
        <v>26.99</v>
      </c>
      <c r="E567" s="3" t="s">
        <v>1540</v>
      </c>
      <c r="F567" s="2" t="s">
        <v>252</v>
      </c>
      <c r="G567" s="6" t="s">
        <v>112</v>
      </c>
      <c r="H567" s="2" t="s">
        <v>1473</v>
      </c>
      <c r="I567" s="2" t="s">
        <v>1426</v>
      </c>
      <c r="J567" s="2" t="s">
        <v>19</v>
      </c>
      <c r="K567" s="2" t="s">
        <v>353</v>
      </c>
      <c r="L567" s="7" t="str">
        <f>HYPERLINK("http://slimages.macys.com/is/image/MCY/10786732 ")</f>
        <v xml:space="preserve">http://slimages.macys.com/is/image/MCY/10786732 </v>
      </c>
    </row>
    <row r="568" spans="1:12" ht="24.75" x14ac:dyDescent="0.25">
      <c r="A568" s="4" t="s">
        <v>3957</v>
      </c>
      <c r="B568" s="2" t="s">
        <v>1539</v>
      </c>
      <c r="C568" s="3">
        <v>1</v>
      </c>
      <c r="D568" s="5">
        <v>26.99</v>
      </c>
      <c r="E568" s="3" t="s">
        <v>1540</v>
      </c>
      <c r="F568" s="2" t="s">
        <v>70</v>
      </c>
      <c r="G568" s="6" t="s">
        <v>16</v>
      </c>
      <c r="H568" s="2" t="s">
        <v>1473</v>
      </c>
      <c r="I568" s="2" t="s">
        <v>1426</v>
      </c>
      <c r="J568" s="2" t="s">
        <v>19</v>
      </c>
      <c r="K568" s="2" t="s">
        <v>353</v>
      </c>
      <c r="L568" s="7" t="str">
        <f>HYPERLINK("http://slimages.macys.com/is/image/MCY/10786732 ")</f>
        <v xml:space="preserve">http://slimages.macys.com/is/image/MCY/10786732 </v>
      </c>
    </row>
    <row r="569" spans="1:12" ht="24.75" x14ac:dyDescent="0.25">
      <c r="A569" s="4" t="s">
        <v>1550</v>
      </c>
      <c r="B569" s="2" t="s">
        <v>1539</v>
      </c>
      <c r="C569" s="3">
        <v>1</v>
      </c>
      <c r="D569" s="5">
        <v>26.99</v>
      </c>
      <c r="E569" s="3" t="s">
        <v>1548</v>
      </c>
      <c r="F569" s="2" t="s">
        <v>998</v>
      </c>
      <c r="G569" s="6" t="s">
        <v>802</v>
      </c>
      <c r="H569" s="2" t="s">
        <v>1425</v>
      </c>
      <c r="I569" s="2" t="s">
        <v>1426</v>
      </c>
      <c r="J569" s="2" t="s">
        <v>19</v>
      </c>
      <c r="K569" s="2" t="s">
        <v>353</v>
      </c>
      <c r="L569" s="7" t="str">
        <f>HYPERLINK("http://slimages.macys.com/is/image/MCY/11092539 ")</f>
        <v xml:space="preserve">http://slimages.macys.com/is/image/MCY/11092539 </v>
      </c>
    </row>
    <row r="570" spans="1:12" ht="24.75" x14ac:dyDescent="0.25">
      <c r="A570" s="4" t="s">
        <v>1547</v>
      </c>
      <c r="B570" s="2" t="s">
        <v>1539</v>
      </c>
      <c r="C570" s="3">
        <v>1</v>
      </c>
      <c r="D570" s="5">
        <v>26.99</v>
      </c>
      <c r="E570" s="3" t="s">
        <v>1548</v>
      </c>
      <c r="F570" s="2" t="s">
        <v>998</v>
      </c>
      <c r="G570" s="6" t="s">
        <v>934</v>
      </c>
      <c r="H570" s="2" t="s">
        <v>1425</v>
      </c>
      <c r="I570" s="2" t="s">
        <v>1426</v>
      </c>
      <c r="J570" s="2" t="s">
        <v>19</v>
      </c>
      <c r="K570" s="2" t="s">
        <v>353</v>
      </c>
      <c r="L570" s="7" t="str">
        <f>HYPERLINK("http://slimages.macys.com/is/image/MCY/11092539 ")</f>
        <v xml:space="preserve">http://slimages.macys.com/is/image/MCY/11092539 </v>
      </c>
    </row>
    <row r="571" spans="1:12" ht="24.75" x14ac:dyDescent="0.25">
      <c r="A571" s="4" t="s">
        <v>6725</v>
      </c>
      <c r="B571" s="2" t="s">
        <v>1539</v>
      </c>
      <c r="C571" s="3">
        <v>1</v>
      </c>
      <c r="D571" s="5">
        <v>26.99</v>
      </c>
      <c r="E571" s="3" t="s">
        <v>1548</v>
      </c>
      <c r="F571" s="2" t="s">
        <v>252</v>
      </c>
      <c r="G571" s="6" t="s">
        <v>238</v>
      </c>
      <c r="H571" s="2" t="s">
        <v>1425</v>
      </c>
      <c r="I571" s="2" t="s">
        <v>1426</v>
      </c>
      <c r="J571" s="2" t="s">
        <v>19</v>
      </c>
      <c r="K571" s="2" t="s">
        <v>353</v>
      </c>
      <c r="L571" s="7" t="str">
        <f>HYPERLINK("http://slimages.macys.com/is/image/MCY/11092539 ")</f>
        <v xml:space="preserve">http://slimages.macys.com/is/image/MCY/11092539 </v>
      </c>
    </row>
    <row r="572" spans="1:12" ht="24.75" x14ac:dyDescent="0.25">
      <c r="A572" s="4" t="s">
        <v>2826</v>
      </c>
      <c r="B572" s="2" t="s">
        <v>1539</v>
      </c>
      <c r="C572" s="3">
        <v>1</v>
      </c>
      <c r="D572" s="5">
        <v>26.99</v>
      </c>
      <c r="E572" s="3" t="s">
        <v>1540</v>
      </c>
      <c r="F572" s="2" t="s">
        <v>998</v>
      </c>
      <c r="G572" s="6" t="s">
        <v>27</v>
      </c>
      <c r="H572" s="2" t="s">
        <v>1473</v>
      </c>
      <c r="I572" s="2" t="s">
        <v>1426</v>
      </c>
      <c r="J572" s="2" t="s">
        <v>19</v>
      </c>
      <c r="K572" s="2" t="s">
        <v>353</v>
      </c>
      <c r="L572" s="7" t="str">
        <f>HYPERLINK("http://slimages.macys.com/is/image/MCY/10786732 ")</f>
        <v xml:space="preserve">http://slimages.macys.com/is/image/MCY/10786732 </v>
      </c>
    </row>
    <row r="573" spans="1:12" ht="24.75" x14ac:dyDescent="0.25">
      <c r="A573" s="4" t="s">
        <v>2827</v>
      </c>
      <c r="B573" s="2" t="s">
        <v>1539</v>
      </c>
      <c r="C573" s="3">
        <v>1</v>
      </c>
      <c r="D573" s="5">
        <v>26.99</v>
      </c>
      <c r="E573" s="3" t="s">
        <v>1540</v>
      </c>
      <c r="F573" s="2" t="s">
        <v>74</v>
      </c>
      <c r="G573" s="6" t="s">
        <v>112</v>
      </c>
      <c r="H573" s="2" t="s">
        <v>1473</v>
      </c>
      <c r="I573" s="2" t="s">
        <v>1426</v>
      </c>
      <c r="J573" s="2" t="s">
        <v>19</v>
      </c>
      <c r="K573" s="2" t="s">
        <v>353</v>
      </c>
      <c r="L573" s="7" t="str">
        <f>HYPERLINK("http://slimages.macys.com/is/image/MCY/10786732 ")</f>
        <v xml:space="preserve">http://slimages.macys.com/is/image/MCY/10786732 </v>
      </c>
    </row>
    <row r="574" spans="1:12" ht="24.75" x14ac:dyDescent="0.25">
      <c r="A574" s="4" t="s">
        <v>1553</v>
      </c>
      <c r="B574" s="2" t="s">
        <v>1539</v>
      </c>
      <c r="C574" s="3">
        <v>1</v>
      </c>
      <c r="D574" s="5">
        <v>26.99</v>
      </c>
      <c r="E574" s="3" t="s">
        <v>1540</v>
      </c>
      <c r="F574" s="2" t="s">
        <v>15</v>
      </c>
      <c r="G574" s="6" t="s">
        <v>16</v>
      </c>
      <c r="H574" s="2" t="s">
        <v>1473</v>
      </c>
      <c r="I574" s="2" t="s">
        <v>1426</v>
      </c>
      <c r="J574" s="2" t="s">
        <v>19</v>
      </c>
      <c r="K574" s="2" t="s">
        <v>353</v>
      </c>
      <c r="L574" s="7" t="str">
        <f>HYPERLINK("http://slimages.macys.com/is/image/MCY/10786732 ")</f>
        <v xml:space="preserve">http://slimages.macys.com/is/image/MCY/10786732 </v>
      </c>
    </row>
    <row r="575" spans="1:12" ht="24.75" x14ac:dyDescent="0.25">
      <c r="A575" s="4" t="s">
        <v>1552</v>
      </c>
      <c r="B575" s="2" t="s">
        <v>1539</v>
      </c>
      <c r="C575" s="3">
        <v>1</v>
      </c>
      <c r="D575" s="5">
        <v>26.99</v>
      </c>
      <c r="E575" s="3" t="s">
        <v>1540</v>
      </c>
      <c r="F575" s="2" t="s">
        <v>998</v>
      </c>
      <c r="G575" s="6" t="s">
        <v>22</v>
      </c>
      <c r="H575" s="2" t="s">
        <v>1473</v>
      </c>
      <c r="I575" s="2" t="s">
        <v>1426</v>
      </c>
      <c r="J575" s="2" t="s">
        <v>19</v>
      </c>
      <c r="K575" s="2" t="s">
        <v>353</v>
      </c>
      <c r="L575" s="7" t="str">
        <f>HYPERLINK("http://slimages.macys.com/is/image/MCY/10786732 ")</f>
        <v xml:space="preserve">http://slimages.macys.com/is/image/MCY/10786732 </v>
      </c>
    </row>
    <row r="576" spans="1:12" ht="24.75" x14ac:dyDescent="0.25">
      <c r="A576" s="4" t="s">
        <v>2815</v>
      </c>
      <c r="B576" s="2" t="s">
        <v>1539</v>
      </c>
      <c r="C576" s="3">
        <v>1</v>
      </c>
      <c r="D576" s="5">
        <v>26.99</v>
      </c>
      <c r="E576" s="3" t="s">
        <v>1540</v>
      </c>
      <c r="F576" s="2" t="s">
        <v>1234</v>
      </c>
      <c r="G576" s="6" t="s">
        <v>58</v>
      </c>
      <c r="H576" s="2" t="s">
        <v>1473</v>
      </c>
      <c r="I576" s="2" t="s">
        <v>1426</v>
      </c>
      <c r="J576" s="2" t="s">
        <v>19</v>
      </c>
      <c r="K576" s="2" t="s">
        <v>353</v>
      </c>
      <c r="L576" s="7" t="str">
        <f>HYPERLINK("http://slimages.macys.com/is/image/MCY/10786732 ")</f>
        <v xml:space="preserve">http://slimages.macys.com/is/image/MCY/10786732 </v>
      </c>
    </row>
    <row r="577" spans="1:12" ht="24.75" x14ac:dyDescent="0.25">
      <c r="A577" s="4" t="s">
        <v>3965</v>
      </c>
      <c r="B577" s="2" t="s">
        <v>1649</v>
      </c>
      <c r="C577" s="3">
        <v>1</v>
      </c>
      <c r="D577" s="5">
        <v>19.989999999999998</v>
      </c>
      <c r="E577" s="3" t="s">
        <v>1650</v>
      </c>
      <c r="F577" s="2" t="s">
        <v>413</v>
      </c>
      <c r="G577" s="6" t="s">
        <v>234</v>
      </c>
      <c r="H577" s="2" t="s">
        <v>194</v>
      </c>
      <c r="I577" s="2" t="s">
        <v>195</v>
      </c>
      <c r="J577" s="2" t="s">
        <v>19</v>
      </c>
      <c r="K577" s="2" t="s">
        <v>247</v>
      </c>
      <c r="L577" s="7" t="str">
        <f>HYPERLINK("http://slimages.macys.com/is/image/MCY/11466486 ")</f>
        <v xml:space="preserve">http://slimages.macys.com/is/image/MCY/11466486 </v>
      </c>
    </row>
    <row r="578" spans="1:12" ht="24.75" x14ac:dyDescent="0.25">
      <c r="A578" s="4" t="s">
        <v>2832</v>
      </c>
      <c r="B578" s="2" t="s">
        <v>1649</v>
      </c>
      <c r="C578" s="3">
        <v>1</v>
      </c>
      <c r="D578" s="5">
        <v>19.989999999999998</v>
      </c>
      <c r="E578" s="3" t="s">
        <v>1650</v>
      </c>
      <c r="F578" s="2" t="s">
        <v>413</v>
      </c>
      <c r="G578" s="6" t="s">
        <v>181</v>
      </c>
      <c r="H578" s="2" t="s">
        <v>194</v>
      </c>
      <c r="I578" s="2" t="s">
        <v>195</v>
      </c>
      <c r="J578" s="2" t="s">
        <v>19</v>
      </c>
      <c r="K578" s="2" t="s">
        <v>247</v>
      </c>
      <c r="L578" s="7" t="str">
        <f>HYPERLINK("http://slimages.macys.com/is/image/MCY/11466486 ")</f>
        <v xml:space="preserve">http://slimages.macys.com/is/image/MCY/11466486 </v>
      </c>
    </row>
    <row r="579" spans="1:12" ht="24.75" x14ac:dyDescent="0.25">
      <c r="A579" s="4" t="s">
        <v>6726</v>
      </c>
      <c r="B579" s="2" t="s">
        <v>1556</v>
      </c>
      <c r="C579" s="3">
        <v>1</v>
      </c>
      <c r="D579" s="5">
        <v>25.88</v>
      </c>
      <c r="E579" s="3">
        <v>100018059</v>
      </c>
      <c r="F579" s="2" t="s">
        <v>15</v>
      </c>
      <c r="G579" s="6" t="s">
        <v>154</v>
      </c>
      <c r="H579" s="2" t="s">
        <v>194</v>
      </c>
      <c r="I579" s="2" t="s">
        <v>195</v>
      </c>
      <c r="J579" s="2" t="s">
        <v>19</v>
      </c>
      <c r="K579" s="2" t="s">
        <v>648</v>
      </c>
      <c r="L579" s="7" t="str">
        <f>HYPERLINK("http://slimages.macys.com/is/image/MCY/9795496 ")</f>
        <v xml:space="preserve">http://slimages.macys.com/is/image/MCY/9795496 </v>
      </c>
    </row>
    <row r="580" spans="1:12" ht="24.75" x14ac:dyDescent="0.25">
      <c r="A580" s="4" t="s">
        <v>6727</v>
      </c>
      <c r="B580" s="2" t="s">
        <v>1556</v>
      </c>
      <c r="C580" s="3">
        <v>1</v>
      </c>
      <c r="D580" s="5">
        <v>25.88</v>
      </c>
      <c r="E580" s="3">
        <v>100018059</v>
      </c>
      <c r="F580" s="2" t="s">
        <v>15</v>
      </c>
      <c r="G580" s="6" t="s">
        <v>181</v>
      </c>
      <c r="H580" s="2" t="s">
        <v>194</v>
      </c>
      <c r="I580" s="2" t="s">
        <v>195</v>
      </c>
      <c r="J580" s="2" t="s">
        <v>19</v>
      </c>
      <c r="K580" s="2" t="s">
        <v>648</v>
      </c>
      <c r="L580" s="7" t="str">
        <f>HYPERLINK("http://slimages.macys.com/is/image/MCY/9795496 ")</f>
        <v xml:space="preserve">http://slimages.macys.com/is/image/MCY/9795496 </v>
      </c>
    </row>
    <row r="581" spans="1:12" ht="24.75" x14ac:dyDescent="0.25">
      <c r="A581" s="4" t="s">
        <v>3968</v>
      </c>
      <c r="B581" s="2" t="s">
        <v>1559</v>
      </c>
      <c r="C581" s="3">
        <v>1</v>
      </c>
      <c r="D581" s="5">
        <v>24.99</v>
      </c>
      <c r="E581" s="3" t="s">
        <v>1564</v>
      </c>
      <c r="F581" s="2" t="s">
        <v>26</v>
      </c>
      <c r="G581" s="6"/>
      <c r="H581" s="2" t="s">
        <v>1425</v>
      </c>
      <c r="I581" s="2" t="s">
        <v>1469</v>
      </c>
      <c r="J581" s="2" t="s">
        <v>19</v>
      </c>
      <c r="K581" s="2" t="s">
        <v>353</v>
      </c>
      <c r="L581" s="7" t="str">
        <f>HYPERLINK("http://slimages.macys.com/is/image/MCY/11883694 ")</f>
        <v xml:space="preserve">http://slimages.macys.com/is/image/MCY/11883694 </v>
      </c>
    </row>
    <row r="582" spans="1:12" ht="24.75" x14ac:dyDescent="0.25">
      <c r="A582" s="4" t="s">
        <v>2834</v>
      </c>
      <c r="B582" s="2" t="s">
        <v>1559</v>
      </c>
      <c r="C582" s="3">
        <v>4</v>
      </c>
      <c r="D582" s="5">
        <v>24.99</v>
      </c>
      <c r="E582" s="3" t="s">
        <v>1564</v>
      </c>
      <c r="F582" s="2" t="s">
        <v>15</v>
      </c>
      <c r="G582" s="6" t="s">
        <v>219</v>
      </c>
      <c r="H582" s="2" t="s">
        <v>1425</v>
      </c>
      <c r="I582" s="2" t="s">
        <v>1469</v>
      </c>
      <c r="J582" s="2" t="s">
        <v>19</v>
      </c>
      <c r="K582" s="2" t="s">
        <v>353</v>
      </c>
      <c r="L582" s="7" t="str">
        <f>HYPERLINK("http://slimages.macys.com/is/image/MCY/11883694 ")</f>
        <v xml:space="preserve">http://slimages.macys.com/is/image/MCY/11883694 </v>
      </c>
    </row>
    <row r="583" spans="1:12" ht="24.75" x14ac:dyDescent="0.25">
      <c r="A583" s="4" t="s">
        <v>5047</v>
      </c>
      <c r="B583" s="2" t="s">
        <v>1559</v>
      </c>
      <c r="C583" s="3">
        <v>2</v>
      </c>
      <c r="D583" s="5">
        <v>24.99</v>
      </c>
      <c r="E583" s="3" t="s">
        <v>1564</v>
      </c>
      <c r="F583" s="2" t="s">
        <v>15</v>
      </c>
      <c r="G583" s="6"/>
      <c r="H583" s="2" t="s">
        <v>1425</v>
      </c>
      <c r="I583" s="2" t="s">
        <v>1469</v>
      </c>
      <c r="J583" s="2" t="s">
        <v>19</v>
      </c>
      <c r="K583" s="2" t="s">
        <v>353</v>
      </c>
      <c r="L583" s="7" t="str">
        <f>HYPERLINK("http://slimages.macys.com/is/image/MCY/11883694 ")</f>
        <v xml:space="preserve">http://slimages.macys.com/is/image/MCY/11883694 </v>
      </c>
    </row>
    <row r="584" spans="1:12" ht="24.75" x14ac:dyDescent="0.25">
      <c r="A584" s="4" t="s">
        <v>6728</v>
      </c>
      <c r="B584" s="2" t="s">
        <v>1559</v>
      </c>
      <c r="C584" s="3">
        <v>1</v>
      </c>
      <c r="D584" s="5">
        <v>24.99</v>
      </c>
      <c r="E584" s="3" t="s">
        <v>1560</v>
      </c>
      <c r="F584" s="2" t="s">
        <v>38</v>
      </c>
      <c r="G584" s="6" t="s">
        <v>187</v>
      </c>
      <c r="H584" s="2" t="s">
        <v>1425</v>
      </c>
      <c r="I584" s="2" t="s">
        <v>1469</v>
      </c>
      <c r="J584" s="2" t="s">
        <v>19</v>
      </c>
      <c r="K584" s="2" t="s">
        <v>353</v>
      </c>
      <c r="L584" s="7" t="str">
        <f>HYPERLINK("http://slimages.macys.com/is/image/MCY/9406309 ")</f>
        <v xml:space="preserve">http://slimages.macys.com/is/image/MCY/9406309 </v>
      </c>
    </row>
    <row r="585" spans="1:12" ht="24.75" x14ac:dyDescent="0.25">
      <c r="A585" s="4" t="s">
        <v>6729</v>
      </c>
      <c r="B585" s="2" t="s">
        <v>1559</v>
      </c>
      <c r="C585" s="3">
        <v>2</v>
      </c>
      <c r="D585" s="5">
        <v>24.99</v>
      </c>
      <c r="E585" s="3" t="s">
        <v>1564</v>
      </c>
      <c r="F585" s="2" t="s">
        <v>15</v>
      </c>
      <c r="G585" s="6"/>
      <c r="H585" s="2" t="s">
        <v>1425</v>
      </c>
      <c r="I585" s="2" t="s">
        <v>1469</v>
      </c>
      <c r="J585" s="2" t="s">
        <v>19</v>
      </c>
      <c r="K585" s="2" t="s">
        <v>353</v>
      </c>
      <c r="L585" s="7" t="str">
        <f>HYPERLINK("http://slimages.macys.com/is/image/MCY/11883694 ")</f>
        <v xml:space="preserve">http://slimages.macys.com/is/image/MCY/11883694 </v>
      </c>
    </row>
    <row r="586" spans="1:12" ht="24.75" x14ac:dyDescent="0.25">
      <c r="A586" s="4" t="s">
        <v>6730</v>
      </c>
      <c r="B586" s="2" t="s">
        <v>1559</v>
      </c>
      <c r="C586" s="3">
        <v>1</v>
      </c>
      <c r="D586" s="5">
        <v>24.99</v>
      </c>
      <c r="E586" s="3" t="s">
        <v>1562</v>
      </c>
      <c r="F586" s="2" t="s">
        <v>26</v>
      </c>
      <c r="G586" s="6" t="s">
        <v>234</v>
      </c>
      <c r="H586" s="2" t="s">
        <v>1522</v>
      </c>
      <c r="I586" s="2" t="s">
        <v>1469</v>
      </c>
      <c r="J586" s="2" t="s">
        <v>19</v>
      </c>
      <c r="K586" s="2" t="s">
        <v>353</v>
      </c>
      <c r="L586" s="7" t="str">
        <f>HYPERLINK("http://slimages.macys.com/is/image/MCY/11883694 ")</f>
        <v xml:space="preserve">http://slimages.macys.com/is/image/MCY/11883694 </v>
      </c>
    </row>
    <row r="587" spans="1:12" ht="24.75" x14ac:dyDescent="0.25">
      <c r="A587" s="4" t="s">
        <v>5048</v>
      </c>
      <c r="B587" s="2" t="s">
        <v>1559</v>
      </c>
      <c r="C587" s="3">
        <v>1</v>
      </c>
      <c r="D587" s="5">
        <v>24.99</v>
      </c>
      <c r="E587" s="3" t="s">
        <v>1564</v>
      </c>
      <c r="F587" s="2" t="s">
        <v>26</v>
      </c>
      <c r="G587" s="6"/>
      <c r="H587" s="2" t="s">
        <v>1425</v>
      </c>
      <c r="I587" s="2" t="s">
        <v>1469</v>
      </c>
      <c r="J587" s="2" t="s">
        <v>19</v>
      </c>
      <c r="K587" s="2" t="s">
        <v>353</v>
      </c>
      <c r="L587" s="7" t="str">
        <f>HYPERLINK("http://slimages.macys.com/is/image/MCY/11883694 ")</f>
        <v xml:space="preserve">http://slimages.macys.com/is/image/MCY/11883694 </v>
      </c>
    </row>
    <row r="588" spans="1:12" ht="24.75" x14ac:dyDescent="0.25">
      <c r="A588" s="4" t="s">
        <v>5049</v>
      </c>
      <c r="B588" s="2" t="s">
        <v>1559</v>
      </c>
      <c r="C588" s="3">
        <v>2</v>
      </c>
      <c r="D588" s="5">
        <v>24.99</v>
      </c>
      <c r="E588" s="3" t="s">
        <v>1564</v>
      </c>
      <c r="F588" s="2" t="s">
        <v>26</v>
      </c>
      <c r="G588" s="6"/>
      <c r="H588" s="2" t="s">
        <v>1425</v>
      </c>
      <c r="I588" s="2" t="s">
        <v>1469</v>
      </c>
      <c r="J588" s="2" t="s">
        <v>19</v>
      </c>
      <c r="K588" s="2" t="s">
        <v>353</v>
      </c>
      <c r="L588" s="7" t="str">
        <f>HYPERLINK("http://slimages.macys.com/is/image/MCY/11883694 ")</f>
        <v xml:space="preserve">http://slimages.macys.com/is/image/MCY/11883694 </v>
      </c>
    </row>
    <row r="589" spans="1:12" ht="24.75" x14ac:dyDescent="0.25">
      <c r="A589" s="4" t="s">
        <v>6731</v>
      </c>
      <c r="B589" s="2" t="s">
        <v>1529</v>
      </c>
      <c r="C589" s="3">
        <v>1</v>
      </c>
      <c r="D589" s="5">
        <v>37.130000000000003</v>
      </c>
      <c r="E589" s="3">
        <v>100015461</v>
      </c>
      <c r="F589" s="2" t="s">
        <v>998</v>
      </c>
      <c r="G589" s="6" t="s">
        <v>39</v>
      </c>
      <c r="H589" s="2" t="s">
        <v>194</v>
      </c>
      <c r="I589" s="2" t="s">
        <v>195</v>
      </c>
      <c r="J589" s="2" t="s">
        <v>19</v>
      </c>
      <c r="K589" s="2" t="s">
        <v>353</v>
      </c>
      <c r="L589" s="7" t="str">
        <f>HYPERLINK("http://slimages.macys.com/is/image/MCY/9504674 ")</f>
        <v xml:space="preserve">http://slimages.macys.com/is/image/MCY/9504674 </v>
      </c>
    </row>
    <row r="590" spans="1:12" ht="24.75" x14ac:dyDescent="0.25">
      <c r="A590" s="4" t="s">
        <v>6732</v>
      </c>
      <c r="B590" s="2" t="s">
        <v>1559</v>
      </c>
      <c r="C590" s="3">
        <v>4</v>
      </c>
      <c r="D590" s="5">
        <v>24.99</v>
      </c>
      <c r="E590" s="3" t="s">
        <v>1564</v>
      </c>
      <c r="F590" s="2" t="s">
        <v>15</v>
      </c>
      <c r="G590" s="6"/>
      <c r="H590" s="2" t="s">
        <v>1425</v>
      </c>
      <c r="I590" s="2" t="s">
        <v>1469</v>
      </c>
      <c r="J590" s="2" t="s">
        <v>19</v>
      </c>
      <c r="K590" s="2" t="s">
        <v>353</v>
      </c>
      <c r="L590" s="7" t="str">
        <f>HYPERLINK("http://slimages.macys.com/is/image/MCY/11883694 ")</f>
        <v xml:space="preserve">http://slimages.macys.com/is/image/MCY/11883694 </v>
      </c>
    </row>
    <row r="591" spans="1:12" ht="24.75" x14ac:dyDescent="0.25">
      <c r="A591" s="4" t="s">
        <v>6733</v>
      </c>
      <c r="B591" s="2" t="s">
        <v>1559</v>
      </c>
      <c r="C591" s="3">
        <v>1</v>
      </c>
      <c r="D591" s="5">
        <v>24.99</v>
      </c>
      <c r="E591" s="3" t="s">
        <v>1564</v>
      </c>
      <c r="F591" s="2" t="s">
        <v>26</v>
      </c>
      <c r="G591" s="6" t="s">
        <v>219</v>
      </c>
      <c r="H591" s="2" t="s">
        <v>1425</v>
      </c>
      <c r="I591" s="2" t="s">
        <v>1469</v>
      </c>
      <c r="J591" s="2" t="s">
        <v>19</v>
      </c>
      <c r="K591" s="2" t="s">
        <v>353</v>
      </c>
      <c r="L591" s="7" t="str">
        <f>HYPERLINK("http://slimages.macys.com/is/image/MCY/11883694 ")</f>
        <v xml:space="preserve">http://slimages.macys.com/is/image/MCY/11883694 </v>
      </c>
    </row>
    <row r="592" spans="1:12" ht="36.75" x14ac:dyDescent="0.25">
      <c r="A592" s="4" t="s">
        <v>3974</v>
      </c>
      <c r="B592" s="2" t="s">
        <v>1575</v>
      </c>
      <c r="C592" s="3">
        <v>2</v>
      </c>
      <c r="D592" s="5">
        <v>33.380000000000003</v>
      </c>
      <c r="E592" s="3" t="s">
        <v>1576</v>
      </c>
      <c r="F592" s="2" t="s">
        <v>15</v>
      </c>
      <c r="G592" s="6" t="s">
        <v>181</v>
      </c>
      <c r="H592" s="2" t="s">
        <v>194</v>
      </c>
      <c r="I592" s="2" t="s">
        <v>195</v>
      </c>
      <c r="J592" s="2" t="s">
        <v>19</v>
      </c>
      <c r="K592" s="2" t="s">
        <v>1577</v>
      </c>
      <c r="L592" s="7" t="str">
        <f>HYPERLINK("http://slimages.macys.com/is/image/MCY/12734297 ")</f>
        <v xml:space="preserve">http://slimages.macys.com/is/image/MCY/12734297 </v>
      </c>
    </row>
    <row r="593" spans="1:12" ht="36.75" x14ac:dyDescent="0.25">
      <c r="A593" s="4" t="s">
        <v>2843</v>
      </c>
      <c r="B593" s="2" t="s">
        <v>1575</v>
      </c>
      <c r="C593" s="3">
        <v>1</v>
      </c>
      <c r="D593" s="5">
        <v>33.380000000000003</v>
      </c>
      <c r="E593" s="3" t="s">
        <v>1576</v>
      </c>
      <c r="F593" s="2" t="s">
        <v>15</v>
      </c>
      <c r="G593" s="6" t="s">
        <v>154</v>
      </c>
      <c r="H593" s="2" t="s">
        <v>194</v>
      </c>
      <c r="I593" s="2" t="s">
        <v>195</v>
      </c>
      <c r="J593" s="2" t="s">
        <v>19</v>
      </c>
      <c r="K593" s="2" t="s">
        <v>1577</v>
      </c>
      <c r="L593" s="7" t="str">
        <f>HYPERLINK("http://slimages.macys.com/is/image/MCY/12734297 ")</f>
        <v xml:space="preserve">http://slimages.macys.com/is/image/MCY/12734297 </v>
      </c>
    </row>
    <row r="594" spans="1:12" ht="24.75" x14ac:dyDescent="0.25">
      <c r="A594" s="4" t="s">
        <v>6734</v>
      </c>
      <c r="B594" s="2" t="s">
        <v>1586</v>
      </c>
      <c r="C594" s="3">
        <v>1</v>
      </c>
      <c r="D594" s="5">
        <v>21.99</v>
      </c>
      <c r="E594" s="3" t="s">
        <v>1587</v>
      </c>
      <c r="F594" s="2" t="s">
        <v>252</v>
      </c>
      <c r="G594" s="6" t="s">
        <v>219</v>
      </c>
      <c r="H594" s="2" t="s">
        <v>1425</v>
      </c>
      <c r="I594" s="2" t="s">
        <v>1426</v>
      </c>
      <c r="J594" s="2" t="s">
        <v>19</v>
      </c>
      <c r="K594" s="2" t="s">
        <v>34</v>
      </c>
      <c r="L594" s="7" t="str">
        <f>HYPERLINK("http://slimages.macys.com/is/image/MCY/11174709 ")</f>
        <v xml:space="preserve">http://slimages.macys.com/is/image/MCY/11174709 </v>
      </c>
    </row>
    <row r="595" spans="1:12" ht="24.75" x14ac:dyDescent="0.25">
      <c r="A595" s="4" t="s">
        <v>6735</v>
      </c>
      <c r="B595" s="2" t="s">
        <v>1586</v>
      </c>
      <c r="C595" s="3">
        <v>1</v>
      </c>
      <c r="D595" s="5">
        <v>21.99</v>
      </c>
      <c r="E595" s="3" t="s">
        <v>1587</v>
      </c>
      <c r="F595" s="2" t="s">
        <v>1234</v>
      </c>
      <c r="G595" s="6"/>
      <c r="H595" s="2" t="s">
        <v>1425</v>
      </c>
      <c r="I595" s="2" t="s">
        <v>1426</v>
      </c>
      <c r="J595" s="2" t="s">
        <v>19</v>
      </c>
      <c r="K595" s="2" t="s">
        <v>34</v>
      </c>
      <c r="L595" s="7" t="str">
        <f>HYPERLINK("http://slimages.macys.com/is/image/MCY/11174709 ")</f>
        <v xml:space="preserve">http://slimages.macys.com/is/image/MCY/11174709 </v>
      </c>
    </row>
    <row r="596" spans="1:12" ht="24.75" x14ac:dyDescent="0.25">
      <c r="A596" s="4" t="s">
        <v>6736</v>
      </c>
      <c r="B596" s="2" t="s">
        <v>1600</v>
      </c>
      <c r="C596" s="3">
        <v>1</v>
      </c>
      <c r="D596" s="5">
        <v>21.99</v>
      </c>
      <c r="E596" s="3" t="s">
        <v>1601</v>
      </c>
      <c r="F596" s="2" t="s">
        <v>1234</v>
      </c>
      <c r="G596" s="6" t="s">
        <v>219</v>
      </c>
      <c r="H596" s="2" t="s">
        <v>1425</v>
      </c>
      <c r="I596" s="2" t="s">
        <v>1426</v>
      </c>
      <c r="J596" s="2"/>
      <c r="K596" s="2"/>
      <c r="L596" s="7" t="str">
        <f>HYPERLINK("http://slimages.macys.com/is/image/MCY/10205122 ")</f>
        <v xml:space="preserve">http://slimages.macys.com/is/image/MCY/10205122 </v>
      </c>
    </row>
    <row r="597" spans="1:12" ht="24.75" x14ac:dyDescent="0.25">
      <c r="A597" s="4" t="s">
        <v>3977</v>
      </c>
      <c r="B597" s="2" t="s">
        <v>1600</v>
      </c>
      <c r="C597" s="3">
        <v>1</v>
      </c>
      <c r="D597" s="5">
        <v>21.99</v>
      </c>
      <c r="E597" s="3" t="s">
        <v>1601</v>
      </c>
      <c r="F597" s="2" t="s">
        <v>136</v>
      </c>
      <c r="G597" s="6"/>
      <c r="H597" s="2" t="s">
        <v>1425</v>
      </c>
      <c r="I597" s="2" t="s">
        <v>1426</v>
      </c>
      <c r="J597" s="2"/>
      <c r="K597" s="2"/>
      <c r="L597" s="7" t="str">
        <f>HYPERLINK("http://slimages.macys.com/is/image/MCY/10205122 ")</f>
        <v xml:space="preserve">http://slimages.macys.com/is/image/MCY/10205122 </v>
      </c>
    </row>
    <row r="598" spans="1:12" ht="24.75" x14ac:dyDescent="0.25">
      <c r="A598" s="4" t="s">
        <v>5054</v>
      </c>
      <c r="B598" s="2" t="s">
        <v>1600</v>
      </c>
      <c r="C598" s="3">
        <v>1</v>
      </c>
      <c r="D598" s="5">
        <v>21.99</v>
      </c>
      <c r="E598" s="3" t="s">
        <v>1601</v>
      </c>
      <c r="F598" s="2" t="s">
        <v>136</v>
      </c>
      <c r="G598" s="6"/>
      <c r="H598" s="2" t="s">
        <v>1425</v>
      </c>
      <c r="I598" s="2" t="s">
        <v>1426</v>
      </c>
      <c r="J598" s="2"/>
      <c r="K598" s="2"/>
      <c r="L598" s="7" t="str">
        <f>HYPERLINK("http://slimages.macys.com/is/image/MCY/10205122 ")</f>
        <v xml:space="preserve">http://slimages.macys.com/is/image/MCY/10205122 </v>
      </c>
    </row>
    <row r="599" spans="1:12" ht="24.75" x14ac:dyDescent="0.25">
      <c r="A599" s="4" t="s">
        <v>1603</v>
      </c>
      <c r="B599" s="2" t="s">
        <v>1586</v>
      </c>
      <c r="C599" s="3">
        <v>2</v>
      </c>
      <c r="D599" s="5">
        <v>21.99</v>
      </c>
      <c r="E599" s="3" t="s">
        <v>1587</v>
      </c>
      <c r="F599" s="2" t="s">
        <v>74</v>
      </c>
      <c r="G599" s="6"/>
      <c r="H599" s="2" t="s">
        <v>1425</v>
      </c>
      <c r="I599" s="2" t="s">
        <v>1426</v>
      </c>
      <c r="J599" s="2" t="s">
        <v>19</v>
      </c>
      <c r="K599" s="2" t="s">
        <v>34</v>
      </c>
      <c r="L599" s="7" t="str">
        <f>HYPERLINK("http://slimages.macys.com/is/image/MCY/11174709 ")</f>
        <v xml:space="preserve">http://slimages.macys.com/is/image/MCY/11174709 </v>
      </c>
    </row>
    <row r="600" spans="1:12" ht="24.75" x14ac:dyDescent="0.25">
      <c r="A600" s="4" t="s">
        <v>3981</v>
      </c>
      <c r="B600" s="2" t="s">
        <v>1600</v>
      </c>
      <c r="C600" s="3">
        <v>1</v>
      </c>
      <c r="D600" s="5">
        <v>21.99</v>
      </c>
      <c r="E600" s="3" t="s">
        <v>1601</v>
      </c>
      <c r="F600" s="2" t="s">
        <v>252</v>
      </c>
      <c r="G600" s="6"/>
      <c r="H600" s="2" t="s">
        <v>1425</v>
      </c>
      <c r="I600" s="2" t="s">
        <v>1426</v>
      </c>
      <c r="J600" s="2" t="s">
        <v>19</v>
      </c>
      <c r="K600" s="2" t="s">
        <v>34</v>
      </c>
      <c r="L600" s="7" t="str">
        <f>HYPERLINK("http://slimages.macys.com/is/image/MCY/11174709 ")</f>
        <v xml:space="preserve">http://slimages.macys.com/is/image/MCY/11174709 </v>
      </c>
    </row>
    <row r="601" spans="1:12" ht="24.75" x14ac:dyDescent="0.25">
      <c r="A601" s="4" t="s">
        <v>6737</v>
      </c>
      <c r="B601" s="2" t="s">
        <v>1600</v>
      </c>
      <c r="C601" s="3">
        <v>1</v>
      </c>
      <c r="D601" s="5">
        <v>21.99</v>
      </c>
      <c r="E601" s="3" t="s">
        <v>1601</v>
      </c>
      <c r="F601" s="2" t="s">
        <v>998</v>
      </c>
      <c r="G601" s="6"/>
      <c r="H601" s="2" t="s">
        <v>1425</v>
      </c>
      <c r="I601" s="2" t="s">
        <v>1426</v>
      </c>
      <c r="J601" s="2"/>
      <c r="K601" s="2"/>
      <c r="L601" s="7" t="str">
        <f>HYPERLINK("http://slimages.macys.com/is/image/MCY/10205118 ")</f>
        <v xml:space="preserve">http://slimages.macys.com/is/image/MCY/10205118 </v>
      </c>
    </row>
    <row r="602" spans="1:12" ht="24.75" x14ac:dyDescent="0.25">
      <c r="A602" s="4" t="s">
        <v>1610</v>
      </c>
      <c r="B602" s="2" t="s">
        <v>1586</v>
      </c>
      <c r="C602" s="3">
        <v>2</v>
      </c>
      <c r="D602" s="5">
        <v>21.99</v>
      </c>
      <c r="E602" s="3" t="s">
        <v>1587</v>
      </c>
      <c r="F602" s="2" t="s">
        <v>15</v>
      </c>
      <c r="G602" s="6"/>
      <c r="H602" s="2" t="s">
        <v>1425</v>
      </c>
      <c r="I602" s="2" t="s">
        <v>1426</v>
      </c>
      <c r="J602" s="2" t="s">
        <v>19</v>
      </c>
      <c r="K602" s="2" t="s">
        <v>34</v>
      </c>
      <c r="L602" s="7" t="str">
        <f>HYPERLINK("http://slimages.macys.com/is/image/MCY/11174709 ")</f>
        <v xml:space="preserve">http://slimages.macys.com/is/image/MCY/11174709 </v>
      </c>
    </row>
    <row r="603" spans="1:12" ht="24.75" x14ac:dyDescent="0.25">
      <c r="A603" s="4" t="s">
        <v>2853</v>
      </c>
      <c r="B603" s="2" t="s">
        <v>1586</v>
      </c>
      <c r="C603" s="3">
        <v>1</v>
      </c>
      <c r="D603" s="5">
        <v>21.99</v>
      </c>
      <c r="E603" s="3" t="s">
        <v>1587</v>
      </c>
      <c r="F603" s="2" t="s">
        <v>252</v>
      </c>
      <c r="G603" s="6"/>
      <c r="H603" s="2" t="s">
        <v>1425</v>
      </c>
      <c r="I603" s="2" t="s">
        <v>1426</v>
      </c>
      <c r="J603" s="2" t="s">
        <v>19</v>
      </c>
      <c r="K603" s="2" t="s">
        <v>34</v>
      </c>
      <c r="L603" s="7" t="str">
        <f>HYPERLINK("http://slimages.macys.com/is/image/MCY/11174709 ")</f>
        <v xml:space="preserve">http://slimages.macys.com/is/image/MCY/11174709 </v>
      </c>
    </row>
    <row r="604" spans="1:12" ht="24.75" x14ac:dyDescent="0.25">
      <c r="A604" s="4" t="s">
        <v>2850</v>
      </c>
      <c r="B604" s="2" t="s">
        <v>1586</v>
      </c>
      <c r="C604" s="3">
        <v>2</v>
      </c>
      <c r="D604" s="5">
        <v>21.99</v>
      </c>
      <c r="E604" s="3" t="s">
        <v>1587</v>
      </c>
      <c r="F604" s="2" t="s">
        <v>252</v>
      </c>
      <c r="G604" s="6"/>
      <c r="H604" s="2" t="s">
        <v>1425</v>
      </c>
      <c r="I604" s="2" t="s">
        <v>1426</v>
      </c>
      <c r="J604" s="2" t="s">
        <v>19</v>
      </c>
      <c r="K604" s="2" t="s">
        <v>34</v>
      </c>
      <c r="L604" s="7" t="str">
        <f>HYPERLINK("http://slimages.macys.com/is/image/MCY/11174709 ")</f>
        <v xml:space="preserve">http://slimages.macys.com/is/image/MCY/11174709 </v>
      </c>
    </row>
    <row r="605" spans="1:12" ht="24.75" x14ac:dyDescent="0.25">
      <c r="A605" s="4" t="s">
        <v>5052</v>
      </c>
      <c r="B605" s="2" t="s">
        <v>1600</v>
      </c>
      <c r="C605" s="3">
        <v>1</v>
      </c>
      <c r="D605" s="5">
        <v>21.99</v>
      </c>
      <c r="E605" s="3" t="s">
        <v>1601</v>
      </c>
      <c r="F605" s="2" t="s">
        <v>15</v>
      </c>
      <c r="G605" s="6"/>
      <c r="H605" s="2" t="s">
        <v>1425</v>
      </c>
      <c r="I605" s="2" t="s">
        <v>1426</v>
      </c>
      <c r="J605" s="2"/>
      <c r="K605" s="2"/>
      <c r="L605" s="7" t="str">
        <f>HYPERLINK("http://slimages.macys.com/is/image/MCY/10205122 ")</f>
        <v xml:space="preserve">http://slimages.macys.com/is/image/MCY/10205122 </v>
      </c>
    </row>
    <row r="606" spans="1:12" ht="24.75" x14ac:dyDescent="0.25">
      <c r="A606" s="4" t="s">
        <v>6738</v>
      </c>
      <c r="B606" s="2" t="s">
        <v>1600</v>
      </c>
      <c r="C606" s="3">
        <v>1</v>
      </c>
      <c r="D606" s="5">
        <v>21.99</v>
      </c>
      <c r="E606" s="3" t="s">
        <v>6739</v>
      </c>
      <c r="F606" s="2" t="s">
        <v>252</v>
      </c>
      <c r="G606" s="6" t="s">
        <v>200</v>
      </c>
      <c r="H606" s="2" t="s">
        <v>1473</v>
      </c>
      <c r="I606" s="2" t="s">
        <v>1426</v>
      </c>
      <c r="J606" s="2" t="s">
        <v>19</v>
      </c>
      <c r="K606" s="2" t="s">
        <v>34</v>
      </c>
      <c r="L606" s="7" t="str">
        <f>HYPERLINK("http://slimages.macys.com/is/image/MCY/10205114 ")</f>
        <v xml:space="preserve">http://slimages.macys.com/is/image/MCY/10205114 </v>
      </c>
    </row>
    <row r="607" spans="1:12" ht="24.75" x14ac:dyDescent="0.25">
      <c r="A607" s="4" t="s">
        <v>1599</v>
      </c>
      <c r="B607" s="2" t="s">
        <v>1600</v>
      </c>
      <c r="C607" s="3">
        <v>1</v>
      </c>
      <c r="D607" s="5">
        <v>21.99</v>
      </c>
      <c r="E607" s="3" t="s">
        <v>1601</v>
      </c>
      <c r="F607" s="2" t="s">
        <v>74</v>
      </c>
      <c r="G607" s="6"/>
      <c r="H607" s="2" t="s">
        <v>1425</v>
      </c>
      <c r="I607" s="2" t="s">
        <v>1426</v>
      </c>
      <c r="J607" s="2"/>
      <c r="K607" s="2"/>
      <c r="L607" s="7" t="str">
        <f>HYPERLINK("http://slimages.macys.com/is/image/MCY/10205122 ")</f>
        <v xml:space="preserve">http://slimages.macys.com/is/image/MCY/10205122 </v>
      </c>
    </row>
    <row r="608" spans="1:12" ht="24.75" x14ac:dyDescent="0.25">
      <c r="A608" s="4" t="s">
        <v>1605</v>
      </c>
      <c r="B608" s="2" t="s">
        <v>1586</v>
      </c>
      <c r="C608" s="3">
        <v>1</v>
      </c>
      <c r="D608" s="5">
        <v>21.99</v>
      </c>
      <c r="E608" s="3" t="s">
        <v>1587</v>
      </c>
      <c r="F608" s="2" t="s">
        <v>74</v>
      </c>
      <c r="G608" s="6" t="s">
        <v>219</v>
      </c>
      <c r="H608" s="2" t="s">
        <v>1425</v>
      </c>
      <c r="I608" s="2" t="s">
        <v>1426</v>
      </c>
      <c r="J608" s="2" t="s">
        <v>19</v>
      </c>
      <c r="K608" s="2" t="s">
        <v>34</v>
      </c>
      <c r="L608" s="7" t="str">
        <f>HYPERLINK("http://slimages.macys.com/is/image/MCY/11174709 ")</f>
        <v xml:space="preserve">http://slimages.macys.com/is/image/MCY/11174709 </v>
      </c>
    </row>
    <row r="609" spans="1:12" ht="24.75" x14ac:dyDescent="0.25">
      <c r="A609" s="4" t="s">
        <v>6740</v>
      </c>
      <c r="B609" s="2" t="s">
        <v>6741</v>
      </c>
      <c r="C609" s="3">
        <v>1</v>
      </c>
      <c r="D609" s="5">
        <v>40</v>
      </c>
      <c r="E609" s="3" t="s">
        <v>6742</v>
      </c>
      <c r="F609" s="2" t="s">
        <v>15</v>
      </c>
      <c r="G609" s="6"/>
      <c r="H609" s="2" t="s">
        <v>447</v>
      </c>
      <c r="I609" s="2" t="s">
        <v>792</v>
      </c>
      <c r="J609" s="2" t="s">
        <v>19</v>
      </c>
      <c r="K609" s="2" t="s">
        <v>160</v>
      </c>
      <c r="L609" s="7" t="str">
        <f>HYPERLINK("http://slimages.macys.com/is/image/MCY/14602226 ")</f>
        <v xml:space="preserve">http://slimages.macys.com/is/image/MCY/14602226 </v>
      </c>
    </row>
    <row r="610" spans="1:12" ht="24.75" x14ac:dyDescent="0.25">
      <c r="A610" s="4" t="s">
        <v>6743</v>
      </c>
      <c r="B610" s="2" t="s">
        <v>1586</v>
      </c>
      <c r="C610" s="3">
        <v>1</v>
      </c>
      <c r="D610" s="5">
        <v>21.99</v>
      </c>
      <c r="E610" s="3" t="s">
        <v>1587</v>
      </c>
      <c r="F610" s="2" t="s">
        <v>998</v>
      </c>
      <c r="G610" s="6" t="s">
        <v>219</v>
      </c>
      <c r="H610" s="2" t="s">
        <v>1425</v>
      </c>
      <c r="I610" s="2" t="s">
        <v>1426</v>
      </c>
      <c r="J610" s="2" t="s">
        <v>19</v>
      </c>
      <c r="K610" s="2" t="s">
        <v>34</v>
      </c>
      <c r="L610" s="7" t="str">
        <f>HYPERLINK("http://slimages.macys.com/is/image/MCY/11174709 ")</f>
        <v xml:space="preserve">http://slimages.macys.com/is/image/MCY/11174709 </v>
      </c>
    </row>
    <row r="611" spans="1:12" ht="24.75" x14ac:dyDescent="0.25">
      <c r="A611" s="4" t="s">
        <v>2854</v>
      </c>
      <c r="B611" s="2" t="s">
        <v>1586</v>
      </c>
      <c r="C611" s="3">
        <v>1</v>
      </c>
      <c r="D611" s="5">
        <v>21.99</v>
      </c>
      <c r="E611" s="3" t="s">
        <v>1587</v>
      </c>
      <c r="F611" s="2" t="s">
        <v>136</v>
      </c>
      <c r="G611" s="6"/>
      <c r="H611" s="2" t="s">
        <v>1425</v>
      </c>
      <c r="I611" s="2" t="s">
        <v>1426</v>
      </c>
      <c r="J611" s="2" t="s">
        <v>19</v>
      </c>
      <c r="K611" s="2" t="s">
        <v>34</v>
      </c>
      <c r="L611" s="7" t="str">
        <f>HYPERLINK("http://slimages.macys.com/is/image/MCY/11174709 ")</f>
        <v xml:space="preserve">http://slimages.macys.com/is/image/MCY/11174709 </v>
      </c>
    </row>
    <row r="612" spans="1:12" ht="24.75" x14ac:dyDescent="0.25">
      <c r="A612" s="4" t="s">
        <v>1611</v>
      </c>
      <c r="B612" s="2" t="s">
        <v>1612</v>
      </c>
      <c r="C612" s="3">
        <v>1</v>
      </c>
      <c r="D612" s="5">
        <v>19.989999999999998</v>
      </c>
      <c r="E612" s="3" t="s">
        <v>1613</v>
      </c>
      <c r="F612" s="2" t="s">
        <v>1614</v>
      </c>
      <c r="G612" s="6" t="s">
        <v>234</v>
      </c>
      <c r="H612" s="2" t="s">
        <v>194</v>
      </c>
      <c r="I612" s="2" t="s">
        <v>195</v>
      </c>
      <c r="J612" s="2" t="s">
        <v>19</v>
      </c>
      <c r="K612" s="2" t="s">
        <v>247</v>
      </c>
      <c r="L612" s="7" t="str">
        <f>HYPERLINK("http://slimages.macys.com/is/image/MCY/11261943 ")</f>
        <v xml:space="preserve">http://slimages.macys.com/is/image/MCY/11261943 </v>
      </c>
    </row>
    <row r="613" spans="1:12" ht="24.75" x14ac:dyDescent="0.25">
      <c r="A613" s="4" t="s">
        <v>1625</v>
      </c>
      <c r="B613" s="2" t="s">
        <v>1529</v>
      </c>
      <c r="C613" s="3">
        <v>1</v>
      </c>
      <c r="D613" s="5">
        <v>37.130000000000003</v>
      </c>
      <c r="E613" s="3" t="s">
        <v>1530</v>
      </c>
      <c r="F613" s="2" t="s">
        <v>998</v>
      </c>
      <c r="G613" s="6" t="s">
        <v>126</v>
      </c>
      <c r="H613" s="2" t="s">
        <v>312</v>
      </c>
      <c r="I613" s="2" t="s">
        <v>195</v>
      </c>
      <c r="J613" s="2" t="s">
        <v>19</v>
      </c>
      <c r="K613" s="2" t="s">
        <v>353</v>
      </c>
      <c r="L613" s="7" t="str">
        <f>HYPERLINK("http://slimages.macys.com/is/image/MCY/11938040 ")</f>
        <v xml:space="preserve">http://slimages.macys.com/is/image/MCY/11938040 </v>
      </c>
    </row>
    <row r="614" spans="1:12" ht="24.75" x14ac:dyDescent="0.25">
      <c r="A614" s="4" t="s">
        <v>6744</v>
      </c>
      <c r="B614" s="2" t="s">
        <v>1529</v>
      </c>
      <c r="C614" s="3">
        <v>1</v>
      </c>
      <c r="D614" s="5">
        <v>37.130000000000003</v>
      </c>
      <c r="E614" s="3" t="s">
        <v>1530</v>
      </c>
      <c r="F614" s="2" t="s">
        <v>74</v>
      </c>
      <c r="G614" s="6" t="s">
        <v>205</v>
      </c>
      <c r="H614" s="2" t="s">
        <v>312</v>
      </c>
      <c r="I614" s="2" t="s">
        <v>195</v>
      </c>
      <c r="J614" s="2" t="s">
        <v>19</v>
      </c>
      <c r="K614" s="2" t="s">
        <v>353</v>
      </c>
      <c r="L614" s="7" t="str">
        <f>HYPERLINK("http://slimages.macys.com/is/image/MCY/11938040 ")</f>
        <v xml:space="preserve">http://slimages.macys.com/is/image/MCY/11938040 </v>
      </c>
    </row>
    <row r="615" spans="1:12" ht="24.75" x14ac:dyDescent="0.25">
      <c r="A615" s="4" t="s">
        <v>3987</v>
      </c>
      <c r="B615" s="2" t="s">
        <v>1529</v>
      </c>
      <c r="C615" s="3">
        <v>1</v>
      </c>
      <c r="D615" s="5">
        <v>37.130000000000003</v>
      </c>
      <c r="E615" s="3" t="s">
        <v>1530</v>
      </c>
      <c r="F615" s="2" t="s">
        <v>74</v>
      </c>
      <c r="G615" s="6" t="s">
        <v>934</v>
      </c>
      <c r="H615" s="2" t="s">
        <v>312</v>
      </c>
      <c r="I615" s="2" t="s">
        <v>195</v>
      </c>
      <c r="J615" s="2" t="s">
        <v>19</v>
      </c>
      <c r="K615" s="2" t="s">
        <v>353</v>
      </c>
      <c r="L615" s="7" t="str">
        <f>HYPERLINK("http://slimages.macys.com/is/image/MCY/11938040 ")</f>
        <v xml:space="preserve">http://slimages.macys.com/is/image/MCY/11938040 </v>
      </c>
    </row>
    <row r="616" spans="1:12" ht="24.75" x14ac:dyDescent="0.25">
      <c r="A616" s="4" t="s">
        <v>6745</v>
      </c>
      <c r="B616" s="2" t="s">
        <v>6746</v>
      </c>
      <c r="C616" s="3">
        <v>1</v>
      </c>
      <c r="D616" s="5">
        <v>24.99</v>
      </c>
      <c r="E616" s="3" t="s">
        <v>6747</v>
      </c>
      <c r="F616" s="2" t="s">
        <v>252</v>
      </c>
      <c r="G616" s="6" t="s">
        <v>219</v>
      </c>
      <c r="H616" s="2" t="s">
        <v>1425</v>
      </c>
      <c r="I616" s="2" t="s">
        <v>1426</v>
      </c>
      <c r="J616" s="2" t="s">
        <v>19</v>
      </c>
      <c r="K616" s="2" t="s">
        <v>990</v>
      </c>
      <c r="L616" s="7" t="str">
        <f>HYPERLINK("http://slimages.macys.com/is/image/MCY/9434403 ")</f>
        <v xml:space="preserve">http://slimages.macys.com/is/image/MCY/9434403 </v>
      </c>
    </row>
    <row r="617" spans="1:12" ht="24.75" x14ac:dyDescent="0.25">
      <c r="A617" s="4" t="s">
        <v>5060</v>
      </c>
      <c r="B617" s="2" t="s">
        <v>2856</v>
      </c>
      <c r="C617" s="3">
        <v>1</v>
      </c>
      <c r="D617" s="5">
        <v>24.99</v>
      </c>
      <c r="E617" s="3" t="s">
        <v>2857</v>
      </c>
      <c r="F617" s="2" t="s">
        <v>15</v>
      </c>
      <c r="G617" s="6" t="s">
        <v>219</v>
      </c>
      <c r="H617" s="2" t="s">
        <v>1425</v>
      </c>
      <c r="I617" s="2" t="s">
        <v>1426</v>
      </c>
      <c r="J617" s="2" t="s">
        <v>19</v>
      </c>
      <c r="K617" s="2" t="s">
        <v>495</v>
      </c>
      <c r="L617" s="7" t="str">
        <f>HYPERLINK("http://slimages.macys.com/is/image/MCY/11831271 ")</f>
        <v xml:space="preserve">http://slimages.macys.com/is/image/MCY/11831271 </v>
      </c>
    </row>
    <row r="618" spans="1:12" ht="24.75" x14ac:dyDescent="0.25">
      <c r="A618" s="4" t="s">
        <v>1630</v>
      </c>
      <c r="B618" s="2" t="s">
        <v>1627</v>
      </c>
      <c r="C618" s="3">
        <v>3</v>
      </c>
      <c r="D618" s="5">
        <v>25.88</v>
      </c>
      <c r="E618" s="3" t="s">
        <v>1628</v>
      </c>
      <c r="F618" s="2" t="s">
        <v>70</v>
      </c>
      <c r="G618" s="6" t="s">
        <v>156</v>
      </c>
      <c r="H618" s="2" t="s">
        <v>194</v>
      </c>
      <c r="I618" s="2" t="s">
        <v>195</v>
      </c>
      <c r="J618" s="2" t="s">
        <v>19</v>
      </c>
      <c r="K618" s="2" t="s">
        <v>1629</v>
      </c>
      <c r="L618" s="7" t="str">
        <f>HYPERLINK("http://slimages.macys.com/is/image/MCY/11531058 ")</f>
        <v xml:space="preserve">http://slimages.macys.com/is/image/MCY/11531058 </v>
      </c>
    </row>
    <row r="619" spans="1:12" ht="24.75" x14ac:dyDescent="0.25">
      <c r="A619" s="4" t="s">
        <v>5061</v>
      </c>
      <c r="B619" s="2" t="s">
        <v>1627</v>
      </c>
      <c r="C619" s="3">
        <v>1</v>
      </c>
      <c r="D619" s="5">
        <v>25.88</v>
      </c>
      <c r="E619" s="3" t="s">
        <v>1628</v>
      </c>
      <c r="F619" s="2" t="s">
        <v>70</v>
      </c>
      <c r="G619" s="6" t="s">
        <v>154</v>
      </c>
      <c r="H619" s="2" t="s">
        <v>194</v>
      </c>
      <c r="I619" s="2" t="s">
        <v>195</v>
      </c>
      <c r="J619" s="2" t="s">
        <v>19</v>
      </c>
      <c r="K619" s="2" t="s">
        <v>1629</v>
      </c>
      <c r="L619" s="7" t="str">
        <f>HYPERLINK("http://slimages.macys.com/is/image/MCY/11531058 ")</f>
        <v xml:space="preserve">http://slimages.macys.com/is/image/MCY/11531058 </v>
      </c>
    </row>
    <row r="620" spans="1:12" ht="24.75" x14ac:dyDescent="0.25">
      <c r="A620" s="4" t="s">
        <v>2868</v>
      </c>
      <c r="B620" s="2" t="s">
        <v>1627</v>
      </c>
      <c r="C620" s="3">
        <v>3</v>
      </c>
      <c r="D620" s="5">
        <v>25.88</v>
      </c>
      <c r="E620" s="3" t="s">
        <v>1628</v>
      </c>
      <c r="F620" s="2" t="s">
        <v>70</v>
      </c>
      <c r="G620" s="6" t="s">
        <v>181</v>
      </c>
      <c r="H620" s="2" t="s">
        <v>194</v>
      </c>
      <c r="I620" s="2" t="s">
        <v>195</v>
      </c>
      <c r="J620" s="2" t="s">
        <v>19</v>
      </c>
      <c r="K620" s="2" t="s">
        <v>1629</v>
      </c>
      <c r="L620" s="7" t="str">
        <f>HYPERLINK("http://slimages.macys.com/is/image/MCY/11531058 ")</f>
        <v xml:space="preserve">http://slimages.macys.com/is/image/MCY/11531058 </v>
      </c>
    </row>
    <row r="621" spans="1:12" ht="24.75" x14ac:dyDescent="0.25">
      <c r="A621" s="4" t="s">
        <v>5065</v>
      </c>
      <c r="B621" s="2" t="s">
        <v>5066</v>
      </c>
      <c r="C621" s="3">
        <v>1</v>
      </c>
      <c r="D621" s="5">
        <v>21.99</v>
      </c>
      <c r="E621" s="3" t="s">
        <v>5067</v>
      </c>
      <c r="F621" s="2" t="s">
        <v>26</v>
      </c>
      <c r="G621" s="6" t="s">
        <v>245</v>
      </c>
      <c r="H621" s="2" t="s">
        <v>194</v>
      </c>
      <c r="I621" s="2" t="s">
        <v>503</v>
      </c>
      <c r="J621" s="2" t="s">
        <v>19</v>
      </c>
      <c r="K621" s="2" t="s">
        <v>353</v>
      </c>
      <c r="L621" s="7" t="str">
        <f>HYPERLINK("http://slimages.macys.com/is/image/MCY/9824930 ")</f>
        <v xml:space="preserve">http://slimages.macys.com/is/image/MCY/9824930 </v>
      </c>
    </row>
    <row r="622" spans="1:12" ht="24.75" x14ac:dyDescent="0.25">
      <c r="A622" s="4" t="s">
        <v>6748</v>
      </c>
      <c r="B622" s="2" t="s">
        <v>5066</v>
      </c>
      <c r="C622" s="3">
        <v>1</v>
      </c>
      <c r="D622" s="5">
        <v>21.99</v>
      </c>
      <c r="E622" s="3" t="s">
        <v>5067</v>
      </c>
      <c r="F622" s="2" t="s">
        <v>26</v>
      </c>
      <c r="G622" s="6" t="s">
        <v>234</v>
      </c>
      <c r="H622" s="2" t="s">
        <v>194</v>
      </c>
      <c r="I622" s="2" t="s">
        <v>503</v>
      </c>
      <c r="J622" s="2" t="s">
        <v>19</v>
      </c>
      <c r="K622" s="2" t="s">
        <v>353</v>
      </c>
      <c r="L622" s="7" t="str">
        <f>HYPERLINK("http://slimages.macys.com/is/image/MCY/9824930 ")</f>
        <v xml:space="preserve">http://slimages.macys.com/is/image/MCY/9824930 </v>
      </c>
    </row>
    <row r="623" spans="1:12" ht="24.75" x14ac:dyDescent="0.25">
      <c r="A623" s="4" t="s">
        <v>1638</v>
      </c>
      <c r="B623" s="2" t="s">
        <v>1635</v>
      </c>
      <c r="C623" s="3">
        <v>1</v>
      </c>
      <c r="D623" s="5">
        <v>25.88</v>
      </c>
      <c r="E623" s="3">
        <v>100011992</v>
      </c>
      <c r="F623" s="2" t="s">
        <v>53</v>
      </c>
      <c r="G623" s="6" t="s">
        <v>181</v>
      </c>
      <c r="H623" s="2" t="s">
        <v>194</v>
      </c>
      <c r="I623" s="2" t="s">
        <v>195</v>
      </c>
      <c r="J623" s="2" t="s">
        <v>19</v>
      </c>
      <c r="K623" s="2" t="s">
        <v>1617</v>
      </c>
      <c r="L623" s="7" t="str">
        <f>HYPERLINK("http://slimages.macys.com/is/image/MCY/13314771 ")</f>
        <v xml:space="preserve">http://slimages.macys.com/is/image/MCY/13314771 </v>
      </c>
    </row>
    <row r="624" spans="1:12" ht="24.75" x14ac:dyDescent="0.25">
      <c r="A624" s="4" t="s">
        <v>2871</v>
      </c>
      <c r="B624" s="2" t="s">
        <v>1635</v>
      </c>
      <c r="C624" s="3">
        <v>1</v>
      </c>
      <c r="D624" s="5">
        <v>25.88</v>
      </c>
      <c r="E624" s="3">
        <v>100011992</v>
      </c>
      <c r="F624" s="2" t="s">
        <v>33</v>
      </c>
      <c r="G624" s="6" t="s">
        <v>154</v>
      </c>
      <c r="H624" s="2" t="s">
        <v>194</v>
      </c>
      <c r="I624" s="2" t="s">
        <v>195</v>
      </c>
      <c r="J624" s="2" t="s">
        <v>19</v>
      </c>
      <c r="K624" s="2" t="s">
        <v>1617</v>
      </c>
      <c r="L624" s="7" t="str">
        <f>HYPERLINK("http://slimages.macys.com/is/image/MCY/13314771 ")</f>
        <v xml:space="preserve">http://slimages.macys.com/is/image/MCY/13314771 </v>
      </c>
    </row>
    <row r="625" spans="1:12" ht="24.75" x14ac:dyDescent="0.25">
      <c r="A625" s="4" t="s">
        <v>1636</v>
      </c>
      <c r="B625" s="2" t="s">
        <v>1635</v>
      </c>
      <c r="C625" s="3">
        <v>2</v>
      </c>
      <c r="D625" s="5">
        <v>25.88</v>
      </c>
      <c r="E625" s="3">
        <v>100011992</v>
      </c>
      <c r="F625" s="2" t="s">
        <v>64</v>
      </c>
      <c r="G625" s="6" t="s">
        <v>154</v>
      </c>
      <c r="H625" s="2" t="s">
        <v>194</v>
      </c>
      <c r="I625" s="2" t="s">
        <v>195</v>
      </c>
      <c r="J625" s="2" t="s">
        <v>19</v>
      </c>
      <c r="K625" s="2" t="s">
        <v>1617</v>
      </c>
      <c r="L625" s="7" t="str">
        <f>HYPERLINK("http://slimages.macys.com/is/image/MCY/13314771 ")</f>
        <v xml:space="preserve">http://slimages.macys.com/is/image/MCY/13314771 </v>
      </c>
    </row>
    <row r="626" spans="1:12" ht="24.75" x14ac:dyDescent="0.25">
      <c r="A626" s="4" t="s">
        <v>6749</v>
      </c>
      <c r="B626" s="2" t="s">
        <v>2874</v>
      </c>
      <c r="C626" s="3">
        <v>1</v>
      </c>
      <c r="D626" s="5">
        <v>24.99</v>
      </c>
      <c r="E626" s="3" t="s">
        <v>2875</v>
      </c>
      <c r="F626" s="2" t="s">
        <v>33</v>
      </c>
      <c r="G626" s="6"/>
      <c r="H626" s="2" t="s">
        <v>1425</v>
      </c>
      <c r="I626" s="2" t="s">
        <v>1469</v>
      </c>
      <c r="J626" s="2" t="s">
        <v>19</v>
      </c>
      <c r="K626" s="2" t="s">
        <v>648</v>
      </c>
      <c r="L626" s="7" t="str">
        <f>HYPERLINK("http://slimages.macys.com/is/image/MCY/11417681 ")</f>
        <v xml:space="preserve">http://slimages.macys.com/is/image/MCY/11417681 </v>
      </c>
    </row>
    <row r="627" spans="1:12" ht="24.75" x14ac:dyDescent="0.25">
      <c r="A627" s="4" t="s">
        <v>3993</v>
      </c>
      <c r="B627" s="2" t="s">
        <v>2878</v>
      </c>
      <c r="C627" s="3">
        <v>1</v>
      </c>
      <c r="D627" s="5">
        <v>29.63</v>
      </c>
      <c r="E627" s="3" t="s">
        <v>2879</v>
      </c>
      <c r="F627" s="2" t="s">
        <v>64</v>
      </c>
      <c r="G627" s="6" t="s">
        <v>234</v>
      </c>
      <c r="H627" s="2" t="s">
        <v>194</v>
      </c>
      <c r="I627" s="2" t="s">
        <v>195</v>
      </c>
      <c r="J627" s="2" t="s">
        <v>19</v>
      </c>
      <c r="K627" s="2" t="s">
        <v>1108</v>
      </c>
      <c r="L627" s="7" t="str">
        <f>HYPERLINK("http://slimages.macys.com/is/image/MCY/12144113 ")</f>
        <v xml:space="preserve">http://slimages.macys.com/is/image/MCY/12144113 </v>
      </c>
    </row>
    <row r="628" spans="1:12" ht="24.75" x14ac:dyDescent="0.25">
      <c r="A628" s="4" t="s">
        <v>5070</v>
      </c>
      <c r="B628" s="2" t="s">
        <v>2878</v>
      </c>
      <c r="C628" s="3">
        <v>1</v>
      </c>
      <c r="D628" s="5">
        <v>29.63</v>
      </c>
      <c r="E628" s="3" t="s">
        <v>2879</v>
      </c>
      <c r="F628" s="2" t="s">
        <v>64</v>
      </c>
      <c r="G628" s="6" t="s">
        <v>154</v>
      </c>
      <c r="H628" s="2" t="s">
        <v>194</v>
      </c>
      <c r="I628" s="2" t="s">
        <v>195</v>
      </c>
      <c r="J628" s="2" t="s">
        <v>19</v>
      </c>
      <c r="K628" s="2" t="s">
        <v>1108</v>
      </c>
      <c r="L628" s="7" t="str">
        <f>HYPERLINK("http://slimages.macys.com/is/image/MCY/12144113 ")</f>
        <v xml:space="preserve">http://slimages.macys.com/is/image/MCY/12144113 </v>
      </c>
    </row>
    <row r="629" spans="1:12" ht="24.75" x14ac:dyDescent="0.25">
      <c r="A629" s="4" t="s">
        <v>6750</v>
      </c>
      <c r="B629" s="2" t="s">
        <v>1645</v>
      </c>
      <c r="C629" s="3">
        <v>1</v>
      </c>
      <c r="D629" s="5">
        <v>19.989999999999998</v>
      </c>
      <c r="E629" s="3" t="s">
        <v>1646</v>
      </c>
      <c r="F629" s="2" t="s">
        <v>15</v>
      </c>
      <c r="G629" s="6" t="s">
        <v>154</v>
      </c>
      <c r="H629" s="2" t="s">
        <v>194</v>
      </c>
      <c r="I629" s="2" t="s">
        <v>195</v>
      </c>
      <c r="J629" s="2" t="s">
        <v>19</v>
      </c>
      <c r="K629" s="2" t="s">
        <v>1647</v>
      </c>
      <c r="L629" s="7" t="str">
        <f>HYPERLINK("http://slimages.macys.com/is/image/MCY/12405276 ")</f>
        <v xml:space="preserve">http://slimages.macys.com/is/image/MCY/12405276 </v>
      </c>
    </row>
    <row r="630" spans="1:12" ht="24.75" x14ac:dyDescent="0.25">
      <c r="A630" s="4" t="s">
        <v>6751</v>
      </c>
      <c r="B630" s="2" t="s">
        <v>3995</v>
      </c>
      <c r="C630" s="3">
        <v>1</v>
      </c>
      <c r="D630" s="5">
        <v>19.989999999999998</v>
      </c>
      <c r="E630" s="3" t="s">
        <v>3996</v>
      </c>
      <c r="F630" s="2" t="s">
        <v>170</v>
      </c>
      <c r="G630" s="6" t="s">
        <v>181</v>
      </c>
      <c r="H630" s="2" t="s">
        <v>194</v>
      </c>
      <c r="I630" s="2" t="s">
        <v>195</v>
      </c>
      <c r="J630" s="2" t="s">
        <v>19</v>
      </c>
      <c r="K630" s="2" t="s">
        <v>247</v>
      </c>
      <c r="L630" s="7" t="str">
        <f>HYPERLINK("http://slimages.macys.com/is/image/MCY/12143893 ")</f>
        <v xml:space="preserve">http://slimages.macys.com/is/image/MCY/12143893 </v>
      </c>
    </row>
    <row r="631" spans="1:12" ht="24.75" x14ac:dyDescent="0.25">
      <c r="A631" s="4" t="s">
        <v>6752</v>
      </c>
      <c r="B631" s="2" t="s">
        <v>1645</v>
      </c>
      <c r="C631" s="3">
        <v>1</v>
      </c>
      <c r="D631" s="5">
        <v>19.989999999999998</v>
      </c>
      <c r="E631" s="3" t="s">
        <v>1646</v>
      </c>
      <c r="F631" s="2" t="s">
        <v>820</v>
      </c>
      <c r="G631" s="6" t="s">
        <v>245</v>
      </c>
      <c r="H631" s="2" t="s">
        <v>194</v>
      </c>
      <c r="I631" s="2" t="s">
        <v>195</v>
      </c>
      <c r="J631" s="2" t="s">
        <v>19</v>
      </c>
      <c r="K631" s="2" t="s">
        <v>1647</v>
      </c>
      <c r="L631" s="7" t="str">
        <f>HYPERLINK("http://slimages.macys.com/is/image/MCY/12405276 ")</f>
        <v xml:space="preserve">http://slimages.macys.com/is/image/MCY/12405276 </v>
      </c>
    </row>
    <row r="632" spans="1:12" ht="24.75" x14ac:dyDescent="0.25">
      <c r="A632" s="4" t="s">
        <v>1658</v>
      </c>
      <c r="B632" s="2" t="s">
        <v>1645</v>
      </c>
      <c r="C632" s="3">
        <v>3</v>
      </c>
      <c r="D632" s="5">
        <v>19.989999999999998</v>
      </c>
      <c r="E632" s="3" t="s">
        <v>1646</v>
      </c>
      <c r="F632" s="2" t="s">
        <v>820</v>
      </c>
      <c r="G632" s="6" t="s">
        <v>181</v>
      </c>
      <c r="H632" s="2" t="s">
        <v>194</v>
      </c>
      <c r="I632" s="2" t="s">
        <v>195</v>
      </c>
      <c r="J632" s="2" t="s">
        <v>19</v>
      </c>
      <c r="K632" s="2" t="s">
        <v>1647</v>
      </c>
      <c r="L632" s="7" t="str">
        <f>HYPERLINK("http://slimages.macys.com/is/image/MCY/12405276 ")</f>
        <v xml:space="preserve">http://slimages.macys.com/is/image/MCY/12405276 </v>
      </c>
    </row>
    <row r="633" spans="1:12" ht="24.75" x14ac:dyDescent="0.25">
      <c r="A633" s="4" t="s">
        <v>6753</v>
      </c>
      <c r="B633" s="2" t="s">
        <v>1645</v>
      </c>
      <c r="C633" s="3">
        <v>1</v>
      </c>
      <c r="D633" s="5">
        <v>19.989999999999998</v>
      </c>
      <c r="E633" s="3" t="s">
        <v>1646</v>
      </c>
      <c r="F633" s="2" t="s">
        <v>15</v>
      </c>
      <c r="G633" s="6" t="s">
        <v>156</v>
      </c>
      <c r="H633" s="2" t="s">
        <v>194</v>
      </c>
      <c r="I633" s="2" t="s">
        <v>195</v>
      </c>
      <c r="J633" s="2" t="s">
        <v>19</v>
      </c>
      <c r="K633" s="2" t="s">
        <v>1647</v>
      </c>
      <c r="L633" s="7" t="str">
        <f>HYPERLINK("http://slimages.macys.com/is/image/MCY/12405276 ")</f>
        <v xml:space="preserve">http://slimages.macys.com/is/image/MCY/12405276 </v>
      </c>
    </row>
    <row r="634" spans="1:12" ht="24.75" x14ac:dyDescent="0.25">
      <c r="A634" s="4" t="s">
        <v>6754</v>
      </c>
      <c r="B634" s="2" t="s">
        <v>1645</v>
      </c>
      <c r="C634" s="3">
        <v>1</v>
      </c>
      <c r="D634" s="5">
        <v>19.989999999999998</v>
      </c>
      <c r="E634" s="3" t="s">
        <v>1646</v>
      </c>
      <c r="F634" s="2" t="s">
        <v>74</v>
      </c>
      <c r="G634" s="6" t="s">
        <v>200</v>
      </c>
      <c r="H634" s="2" t="s">
        <v>194</v>
      </c>
      <c r="I634" s="2" t="s">
        <v>195</v>
      </c>
      <c r="J634" s="2" t="s">
        <v>19</v>
      </c>
      <c r="K634" s="2" t="s">
        <v>1647</v>
      </c>
      <c r="L634" s="7" t="str">
        <f>HYPERLINK("http://slimages.macys.com/is/image/MCY/12405276 ")</f>
        <v xml:space="preserve">http://slimages.macys.com/is/image/MCY/12405276 </v>
      </c>
    </row>
    <row r="635" spans="1:12" ht="24.75" x14ac:dyDescent="0.25">
      <c r="A635" s="4" t="s">
        <v>1669</v>
      </c>
      <c r="B635" s="2" t="s">
        <v>1667</v>
      </c>
      <c r="C635" s="3">
        <v>1</v>
      </c>
      <c r="D635" s="5">
        <v>19.989999999999998</v>
      </c>
      <c r="E635" s="3" t="s">
        <v>1668</v>
      </c>
      <c r="F635" s="2" t="s">
        <v>15</v>
      </c>
      <c r="G635" s="6" t="s">
        <v>154</v>
      </c>
      <c r="H635" s="2" t="s">
        <v>194</v>
      </c>
      <c r="I635" s="2" t="s">
        <v>195</v>
      </c>
      <c r="J635" s="2" t="s">
        <v>19</v>
      </c>
      <c r="K635" s="2" t="s">
        <v>247</v>
      </c>
      <c r="L635" s="7" t="str">
        <f>HYPERLINK("http://slimages.macys.com/is/image/MCY/12667994 ")</f>
        <v xml:space="preserve">http://slimages.macys.com/is/image/MCY/12667994 </v>
      </c>
    </row>
    <row r="636" spans="1:12" ht="24.75" x14ac:dyDescent="0.25">
      <c r="A636" s="4" t="s">
        <v>1662</v>
      </c>
      <c r="B636" s="2" t="s">
        <v>1645</v>
      </c>
      <c r="C636" s="3">
        <v>1</v>
      </c>
      <c r="D636" s="5">
        <v>19.989999999999998</v>
      </c>
      <c r="E636" s="3" t="s">
        <v>1646</v>
      </c>
      <c r="F636" s="2" t="s">
        <v>820</v>
      </c>
      <c r="G636" s="6" t="s">
        <v>234</v>
      </c>
      <c r="H636" s="2" t="s">
        <v>194</v>
      </c>
      <c r="I636" s="2" t="s">
        <v>195</v>
      </c>
      <c r="J636" s="2" t="s">
        <v>19</v>
      </c>
      <c r="K636" s="2" t="s">
        <v>1647</v>
      </c>
      <c r="L636" s="7" t="str">
        <f>HYPERLINK("http://slimages.macys.com/is/image/MCY/12405276 ")</f>
        <v xml:space="preserve">http://slimages.macys.com/is/image/MCY/12405276 </v>
      </c>
    </row>
    <row r="637" spans="1:12" ht="24.75" x14ac:dyDescent="0.25">
      <c r="A637" s="4" t="s">
        <v>1648</v>
      </c>
      <c r="B637" s="2" t="s">
        <v>1649</v>
      </c>
      <c r="C637" s="3">
        <v>1</v>
      </c>
      <c r="D637" s="5">
        <v>19.989999999999998</v>
      </c>
      <c r="E637" s="3" t="s">
        <v>1650</v>
      </c>
      <c r="F637" s="2" t="s">
        <v>70</v>
      </c>
      <c r="G637" s="6" t="s">
        <v>154</v>
      </c>
      <c r="H637" s="2" t="s">
        <v>194</v>
      </c>
      <c r="I637" s="2" t="s">
        <v>195</v>
      </c>
      <c r="J637" s="2" t="s">
        <v>19</v>
      </c>
      <c r="K637" s="2" t="s">
        <v>247</v>
      </c>
      <c r="L637" s="7" t="str">
        <f>HYPERLINK("http://slimages.macys.com/is/image/MCY/11466486 ")</f>
        <v xml:space="preserve">http://slimages.macys.com/is/image/MCY/11466486 </v>
      </c>
    </row>
    <row r="638" spans="1:12" ht="24.75" x14ac:dyDescent="0.25">
      <c r="A638" s="4" t="s">
        <v>1657</v>
      </c>
      <c r="B638" s="2" t="s">
        <v>1645</v>
      </c>
      <c r="C638" s="3">
        <v>1</v>
      </c>
      <c r="D638" s="5">
        <v>19.989999999999998</v>
      </c>
      <c r="E638" s="3" t="s">
        <v>1646</v>
      </c>
      <c r="F638" s="2" t="s">
        <v>170</v>
      </c>
      <c r="G638" s="6" t="s">
        <v>200</v>
      </c>
      <c r="H638" s="2" t="s">
        <v>194</v>
      </c>
      <c r="I638" s="2" t="s">
        <v>195</v>
      </c>
      <c r="J638" s="2" t="s">
        <v>19</v>
      </c>
      <c r="K638" s="2" t="s">
        <v>1647</v>
      </c>
      <c r="L638" s="7" t="str">
        <f>HYPERLINK("http://slimages.macys.com/is/image/MCY/12405276 ")</f>
        <v xml:space="preserve">http://slimages.macys.com/is/image/MCY/12405276 </v>
      </c>
    </row>
    <row r="639" spans="1:12" ht="24.75" x14ac:dyDescent="0.25">
      <c r="A639" s="4" t="s">
        <v>6755</v>
      </c>
      <c r="B639" s="2" t="s">
        <v>1689</v>
      </c>
      <c r="C639" s="3">
        <v>1</v>
      </c>
      <c r="D639" s="5">
        <v>25.88</v>
      </c>
      <c r="E639" s="3" t="s">
        <v>1690</v>
      </c>
      <c r="F639" s="2" t="s">
        <v>1584</v>
      </c>
      <c r="G639" s="6" t="s">
        <v>245</v>
      </c>
      <c r="H639" s="2" t="s">
        <v>194</v>
      </c>
      <c r="I639" s="2" t="s">
        <v>195</v>
      </c>
      <c r="J639" s="2" t="s">
        <v>19</v>
      </c>
      <c r="K639" s="2" t="s">
        <v>648</v>
      </c>
      <c r="L639" s="7" t="str">
        <f>HYPERLINK("http://slimages.macys.com/is/image/MCY/3650047 ")</f>
        <v xml:space="preserve">http://slimages.macys.com/is/image/MCY/3650047 </v>
      </c>
    </row>
    <row r="640" spans="1:12" ht="24.75" x14ac:dyDescent="0.25">
      <c r="A640" s="4" t="s">
        <v>6756</v>
      </c>
      <c r="B640" s="2" t="s">
        <v>1689</v>
      </c>
      <c r="C640" s="3">
        <v>1</v>
      </c>
      <c r="D640" s="5">
        <v>25.88</v>
      </c>
      <c r="E640" s="3" t="s">
        <v>1690</v>
      </c>
      <c r="F640" s="2" t="s">
        <v>494</v>
      </c>
      <c r="G640" s="6" t="s">
        <v>181</v>
      </c>
      <c r="H640" s="2" t="s">
        <v>194</v>
      </c>
      <c r="I640" s="2" t="s">
        <v>195</v>
      </c>
      <c r="J640" s="2" t="s">
        <v>19</v>
      </c>
      <c r="K640" s="2" t="s">
        <v>648</v>
      </c>
      <c r="L640" s="7" t="str">
        <f>HYPERLINK("http://slimages.macys.com/is/image/MCY/3650047 ")</f>
        <v xml:space="preserve">http://slimages.macys.com/is/image/MCY/3650047 </v>
      </c>
    </row>
    <row r="641" spans="1:12" ht="24.75" x14ac:dyDescent="0.25">
      <c r="A641" s="4" t="s">
        <v>6757</v>
      </c>
      <c r="B641" s="2" t="s">
        <v>4004</v>
      </c>
      <c r="C641" s="3">
        <v>1</v>
      </c>
      <c r="D641" s="5">
        <v>24.99</v>
      </c>
      <c r="E641" s="3" t="s">
        <v>4005</v>
      </c>
      <c r="F641" s="2" t="s">
        <v>15</v>
      </c>
      <c r="G641" s="6" t="s">
        <v>234</v>
      </c>
      <c r="H641" s="2" t="s">
        <v>1522</v>
      </c>
      <c r="I641" s="2" t="s">
        <v>1469</v>
      </c>
      <c r="J641" s="2" t="s">
        <v>19</v>
      </c>
      <c r="K641" s="2" t="s">
        <v>495</v>
      </c>
      <c r="L641" s="7" t="str">
        <f>HYPERLINK("http://slimages.macys.com/is/image/MCY/11207455 ")</f>
        <v xml:space="preserve">http://slimages.macys.com/is/image/MCY/11207455 </v>
      </c>
    </row>
    <row r="642" spans="1:12" ht="36.75" x14ac:dyDescent="0.25">
      <c r="A642" s="4" t="s">
        <v>6758</v>
      </c>
      <c r="B642" s="2" t="s">
        <v>1695</v>
      </c>
      <c r="C642" s="3">
        <v>1</v>
      </c>
      <c r="D642" s="5">
        <v>25.88</v>
      </c>
      <c r="E642" s="3">
        <v>100015718</v>
      </c>
      <c r="F642" s="2" t="s">
        <v>15</v>
      </c>
      <c r="G642" s="6" t="s">
        <v>234</v>
      </c>
      <c r="H642" s="2" t="s">
        <v>194</v>
      </c>
      <c r="I642" s="2" t="s">
        <v>195</v>
      </c>
      <c r="J642" s="2" t="s">
        <v>19</v>
      </c>
      <c r="K642" s="2" t="s">
        <v>1696</v>
      </c>
      <c r="L642" s="7" t="str">
        <f>HYPERLINK("http://slimages.macys.com/is/image/MCY/9504848 ")</f>
        <v xml:space="preserve">http://slimages.macys.com/is/image/MCY/9504848 </v>
      </c>
    </row>
    <row r="643" spans="1:12" ht="36.75" x14ac:dyDescent="0.25">
      <c r="A643" s="4" t="s">
        <v>6759</v>
      </c>
      <c r="B643" s="2" t="s">
        <v>1695</v>
      </c>
      <c r="C643" s="3">
        <v>2</v>
      </c>
      <c r="D643" s="5">
        <v>25.88</v>
      </c>
      <c r="E643" s="3">
        <v>100015718</v>
      </c>
      <c r="F643" s="2" t="s">
        <v>26</v>
      </c>
      <c r="G643" s="6" t="s">
        <v>181</v>
      </c>
      <c r="H643" s="2" t="s">
        <v>194</v>
      </c>
      <c r="I643" s="2" t="s">
        <v>195</v>
      </c>
      <c r="J643" s="2" t="s">
        <v>19</v>
      </c>
      <c r="K643" s="2" t="s">
        <v>1696</v>
      </c>
      <c r="L643" s="7" t="str">
        <f>HYPERLINK("http://slimages.macys.com/is/image/MCY/9504848 ")</f>
        <v xml:space="preserve">http://slimages.macys.com/is/image/MCY/9504848 </v>
      </c>
    </row>
    <row r="644" spans="1:12" ht="24.75" x14ac:dyDescent="0.25">
      <c r="A644" s="4" t="s">
        <v>2895</v>
      </c>
      <c r="B644" s="2" t="s">
        <v>1699</v>
      </c>
      <c r="C644" s="3">
        <v>1</v>
      </c>
      <c r="D644" s="5">
        <v>19.989999999999998</v>
      </c>
      <c r="E644" s="3" t="s">
        <v>1700</v>
      </c>
      <c r="F644" s="2" t="s">
        <v>26</v>
      </c>
      <c r="G644" s="6" t="s">
        <v>156</v>
      </c>
      <c r="H644" s="2" t="s">
        <v>1473</v>
      </c>
      <c r="I644" s="2" t="s">
        <v>1426</v>
      </c>
      <c r="J644" s="2" t="s">
        <v>19</v>
      </c>
      <c r="K644" s="2" t="s">
        <v>990</v>
      </c>
      <c r="L644" s="7" t="str">
        <f>HYPERLINK("http://slimages.macys.com/is/image/MCY/11831242 ")</f>
        <v xml:space="preserve">http://slimages.macys.com/is/image/MCY/11831242 </v>
      </c>
    </row>
    <row r="645" spans="1:12" ht="24.75" x14ac:dyDescent="0.25">
      <c r="A645" s="4" t="s">
        <v>6760</v>
      </c>
      <c r="B645" s="2" t="s">
        <v>1712</v>
      </c>
      <c r="C645" s="3">
        <v>2</v>
      </c>
      <c r="D645" s="5">
        <v>19.989999999999998</v>
      </c>
      <c r="E645" s="3" t="s">
        <v>6009</v>
      </c>
      <c r="F645" s="2" t="s">
        <v>26</v>
      </c>
      <c r="G645" s="6" t="s">
        <v>181</v>
      </c>
      <c r="H645" s="2" t="s">
        <v>194</v>
      </c>
      <c r="I645" s="2" t="s">
        <v>195</v>
      </c>
      <c r="J645" s="2" t="s">
        <v>19</v>
      </c>
      <c r="K645" s="2" t="s">
        <v>160</v>
      </c>
      <c r="L645" s="7" t="str">
        <f>HYPERLINK("http://slimages.macys.com/is/image/MCY/12405238 ")</f>
        <v xml:space="preserve">http://slimages.macys.com/is/image/MCY/12405238 </v>
      </c>
    </row>
    <row r="646" spans="1:12" ht="24.75" x14ac:dyDescent="0.25">
      <c r="A646" s="4" t="s">
        <v>6761</v>
      </c>
      <c r="B646" s="2" t="s">
        <v>1712</v>
      </c>
      <c r="C646" s="3">
        <v>1</v>
      </c>
      <c r="D646" s="5">
        <v>19.989999999999998</v>
      </c>
      <c r="E646" s="3" t="s">
        <v>6009</v>
      </c>
      <c r="F646" s="2" t="s">
        <v>26</v>
      </c>
      <c r="G646" s="6" t="s">
        <v>200</v>
      </c>
      <c r="H646" s="2" t="s">
        <v>194</v>
      </c>
      <c r="I646" s="2" t="s">
        <v>195</v>
      </c>
      <c r="J646" s="2" t="s">
        <v>19</v>
      </c>
      <c r="K646" s="2" t="s">
        <v>160</v>
      </c>
      <c r="L646" s="7" t="str">
        <f>HYPERLINK("http://slimages.macys.com/is/image/MCY/12405238 ")</f>
        <v xml:space="preserve">http://slimages.macys.com/is/image/MCY/12405238 </v>
      </c>
    </row>
    <row r="647" spans="1:12" ht="24.75" x14ac:dyDescent="0.25">
      <c r="A647" s="4" t="s">
        <v>2901</v>
      </c>
      <c r="B647" s="2" t="s">
        <v>1705</v>
      </c>
      <c r="C647" s="3">
        <v>1</v>
      </c>
      <c r="D647" s="5">
        <v>24.99</v>
      </c>
      <c r="E647" s="3" t="s">
        <v>1706</v>
      </c>
      <c r="F647" s="2" t="s">
        <v>15</v>
      </c>
      <c r="G647" s="6" t="s">
        <v>187</v>
      </c>
      <c r="H647" s="2" t="s">
        <v>1425</v>
      </c>
      <c r="I647" s="2" t="s">
        <v>1469</v>
      </c>
      <c r="J647" s="2" t="s">
        <v>19</v>
      </c>
      <c r="K647" s="2" t="s">
        <v>990</v>
      </c>
      <c r="L647" s="7" t="str">
        <f>HYPERLINK("http://slimages.macys.com/is/image/MCY/9127920 ")</f>
        <v xml:space="preserve">http://slimages.macys.com/is/image/MCY/9127920 </v>
      </c>
    </row>
    <row r="648" spans="1:12" ht="24.75" x14ac:dyDescent="0.25">
      <c r="A648" s="4" t="s">
        <v>6762</v>
      </c>
      <c r="B648" s="2" t="s">
        <v>1705</v>
      </c>
      <c r="C648" s="3">
        <v>1</v>
      </c>
      <c r="D648" s="5">
        <v>24.99</v>
      </c>
      <c r="E648" s="3" t="s">
        <v>1706</v>
      </c>
      <c r="F648" s="2" t="s">
        <v>74</v>
      </c>
      <c r="G648" s="6" t="s">
        <v>187</v>
      </c>
      <c r="H648" s="2" t="s">
        <v>1425</v>
      </c>
      <c r="I648" s="2" t="s">
        <v>1469</v>
      </c>
      <c r="J648" s="2" t="s">
        <v>19</v>
      </c>
      <c r="K648" s="2" t="s">
        <v>990</v>
      </c>
      <c r="L648" s="7" t="str">
        <f>HYPERLINK("http://slimages.macys.com/is/image/MCY/9127920 ")</f>
        <v xml:space="preserve">http://slimages.macys.com/is/image/MCY/9127920 </v>
      </c>
    </row>
    <row r="649" spans="1:12" ht="24.75" x14ac:dyDescent="0.25">
      <c r="A649" s="4" t="s">
        <v>6008</v>
      </c>
      <c r="B649" s="2" t="s">
        <v>1712</v>
      </c>
      <c r="C649" s="3">
        <v>1</v>
      </c>
      <c r="D649" s="5">
        <v>19.989999999999998</v>
      </c>
      <c r="E649" s="3" t="s">
        <v>6009</v>
      </c>
      <c r="F649" s="2" t="s">
        <v>26</v>
      </c>
      <c r="G649" s="6" t="s">
        <v>234</v>
      </c>
      <c r="H649" s="2" t="s">
        <v>194</v>
      </c>
      <c r="I649" s="2" t="s">
        <v>195</v>
      </c>
      <c r="J649" s="2" t="s">
        <v>19</v>
      </c>
      <c r="K649" s="2" t="s">
        <v>160</v>
      </c>
      <c r="L649" s="7" t="str">
        <f>HYPERLINK("http://slimages.macys.com/is/image/MCY/12405238 ")</f>
        <v xml:space="preserve">http://slimages.macys.com/is/image/MCY/12405238 </v>
      </c>
    </row>
    <row r="650" spans="1:12" ht="24.75" x14ac:dyDescent="0.25">
      <c r="A650" s="4" t="s">
        <v>6010</v>
      </c>
      <c r="B650" s="2" t="s">
        <v>1712</v>
      </c>
      <c r="C650" s="3">
        <v>1</v>
      </c>
      <c r="D650" s="5">
        <v>19.989999999999998</v>
      </c>
      <c r="E650" s="3" t="s">
        <v>6009</v>
      </c>
      <c r="F650" s="2" t="s">
        <v>26</v>
      </c>
      <c r="G650" s="6" t="s">
        <v>154</v>
      </c>
      <c r="H650" s="2" t="s">
        <v>194</v>
      </c>
      <c r="I650" s="2" t="s">
        <v>195</v>
      </c>
      <c r="J650" s="2" t="s">
        <v>19</v>
      </c>
      <c r="K650" s="2" t="s">
        <v>160</v>
      </c>
      <c r="L650" s="7" t="str">
        <f>HYPERLINK("http://slimages.macys.com/is/image/MCY/12405238 ")</f>
        <v xml:space="preserve">http://slimages.macys.com/is/image/MCY/12405238 </v>
      </c>
    </row>
    <row r="651" spans="1:12" ht="24.75" x14ac:dyDescent="0.25">
      <c r="A651" s="4" t="s">
        <v>5088</v>
      </c>
      <c r="B651" s="2" t="s">
        <v>1705</v>
      </c>
      <c r="C651" s="3">
        <v>1</v>
      </c>
      <c r="D651" s="5">
        <v>24.99</v>
      </c>
      <c r="E651" s="3" t="s">
        <v>4023</v>
      </c>
      <c r="F651" s="2" t="s">
        <v>26</v>
      </c>
      <c r="G651" s="6" t="s">
        <v>156</v>
      </c>
      <c r="H651" s="2" t="s">
        <v>1522</v>
      </c>
      <c r="I651" s="2" t="s">
        <v>1469</v>
      </c>
      <c r="J651" s="2" t="s">
        <v>19</v>
      </c>
      <c r="K651" s="2" t="s">
        <v>648</v>
      </c>
      <c r="L651" s="7" t="str">
        <f>HYPERLINK("http://slimages.macys.com/is/image/MCY/9114999 ")</f>
        <v xml:space="preserve">http://slimages.macys.com/is/image/MCY/9114999 </v>
      </c>
    </row>
    <row r="652" spans="1:12" ht="24.75" x14ac:dyDescent="0.25">
      <c r="A652" s="4" t="s">
        <v>4031</v>
      </c>
      <c r="B652" s="2" t="s">
        <v>1712</v>
      </c>
      <c r="C652" s="3">
        <v>1</v>
      </c>
      <c r="D652" s="5">
        <v>19.989999999999998</v>
      </c>
      <c r="E652" s="3" t="s">
        <v>4032</v>
      </c>
      <c r="F652" s="2" t="s">
        <v>74</v>
      </c>
      <c r="G652" s="6" t="s">
        <v>181</v>
      </c>
      <c r="H652" s="2" t="s">
        <v>194</v>
      </c>
      <c r="I652" s="2" t="s">
        <v>195</v>
      </c>
      <c r="J652" s="2" t="s">
        <v>19</v>
      </c>
      <c r="K652" s="2" t="s">
        <v>160</v>
      </c>
      <c r="L652" s="7" t="str">
        <f>HYPERLINK("http://slimages.macys.com/is/image/MCY/13317759 ")</f>
        <v xml:space="preserve">http://slimages.macys.com/is/image/MCY/13317759 </v>
      </c>
    </row>
    <row r="653" spans="1:12" ht="36.75" x14ac:dyDescent="0.25">
      <c r="A653" s="4" t="s">
        <v>6016</v>
      </c>
      <c r="B653" s="2" t="s">
        <v>2911</v>
      </c>
      <c r="C653" s="3">
        <v>1</v>
      </c>
      <c r="D653" s="5">
        <v>25.88</v>
      </c>
      <c r="E653" s="3">
        <v>100015718</v>
      </c>
      <c r="F653" s="2" t="s">
        <v>48</v>
      </c>
      <c r="G653" s="6" t="s">
        <v>181</v>
      </c>
      <c r="H653" s="2" t="s">
        <v>194</v>
      </c>
      <c r="I653" s="2" t="s">
        <v>195</v>
      </c>
      <c r="J653" s="2" t="s">
        <v>19</v>
      </c>
      <c r="K653" s="2" t="s">
        <v>1696</v>
      </c>
      <c r="L653" s="7" t="str">
        <f>HYPERLINK("http://slimages.macys.com/is/image/MCY/9504848 ")</f>
        <v xml:space="preserve">http://slimages.macys.com/is/image/MCY/9504848 </v>
      </c>
    </row>
    <row r="654" spans="1:12" ht="36.75" x14ac:dyDescent="0.25">
      <c r="A654" s="4" t="s">
        <v>5090</v>
      </c>
      <c r="B654" s="2" t="s">
        <v>2911</v>
      </c>
      <c r="C654" s="3">
        <v>1</v>
      </c>
      <c r="D654" s="5">
        <v>25.88</v>
      </c>
      <c r="E654" s="3">
        <v>100015718</v>
      </c>
      <c r="F654" s="2" t="s">
        <v>48</v>
      </c>
      <c r="G654" s="6" t="s">
        <v>234</v>
      </c>
      <c r="H654" s="2" t="s">
        <v>194</v>
      </c>
      <c r="I654" s="2" t="s">
        <v>195</v>
      </c>
      <c r="J654" s="2" t="s">
        <v>19</v>
      </c>
      <c r="K654" s="2" t="s">
        <v>1696</v>
      </c>
      <c r="L654" s="7" t="str">
        <f>HYPERLINK("http://slimages.macys.com/is/image/MCY/9504848 ")</f>
        <v xml:space="preserve">http://slimages.macys.com/is/image/MCY/9504848 </v>
      </c>
    </row>
    <row r="655" spans="1:12" ht="36.75" x14ac:dyDescent="0.25">
      <c r="A655" s="4" t="s">
        <v>5091</v>
      </c>
      <c r="B655" s="2" t="s">
        <v>2911</v>
      </c>
      <c r="C655" s="3">
        <v>1</v>
      </c>
      <c r="D655" s="5">
        <v>25.88</v>
      </c>
      <c r="E655" s="3">
        <v>100015718</v>
      </c>
      <c r="F655" s="2" t="s">
        <v>48</v>
      </c>
      <c r="G655" s="6" t="s">
        <v>156</v>
      </c>
      <c r="H655" s="2" t="s">
        <v>194</v>
      </c>
      <c r="I655" s="2" t="s">
        <v>195</v>
      </c>
      <c r="J655" s="2" t="s">
        <v>19</v>
      </c>
      <c r="K655" s="2" t="s">
        <v>1696</v>
      </c>
      <c r="L655" s="7" t="str">
        <f>HYPERLINK("http://slimages.macys.com/is/image/MCY/9504848 ")</f>
        <v xml:space="preserve">http://slimages.macys.com/is/image/MCY/9504848 </v>
      </c>
    </row>
    <row r="656" spans="1:12" ht="24.75" x14ac:dyDescent="0.25">
      <c r="A656" s="4" t="s">
        <v>6763</v>
      </c>
      <c r="B656" s="2" t="s">
        <v>6764</v>
      </c>
      <c r="C656" s="3">
        <v>3</v>
      </c>
      <c r="D656" s="5">
        <v>19.989999999999998</v>
      </c>
      <c r="E656" s="3" t="s">
        <v>6765</v>
      </c>
      <c r="F656" s="2" t="s">
        <v>26</v>
      </c>
      <c r="G656" s="6"/>
      <c r="H656" s="2" t="s">
        <v>188</v>
      </c>
      <c r="I656" s="2" t="s">
        <v>189</v>
      </c>
      <c r="J656" s="2" t="s">
        <v>19</v>
      </c>
      <c r="K656" s="2" t="s">
        <v>4121</v>
      </c>
      <c r="L656" s="7" t="str">
        <f>HYPERLINK("http://slimages.macys.com/is/image/MCY/12773761 ")</f>
        <v xml:space="preserve">http://slimages.macys.com/is/image/MCY/12773761 </v>
      </c>
    </row>
    <row r="657" spans="1:12" ht="24.75" x14ac:dyDescent="0.25">
      <c r="A657" s="4" t="s">
        <v>6766</v>
      </c>
      <c r="B657" s="2" t="s">
        <v>6764</v>
      </c>
      <c r="C657" s="3">
        <v>2</v>
      </c>
      <c r="D657" s="5">
        <v>19.989999999999998</v>
      </c>
      <c r="E657" s="3" t="s">
        <v>6765</v>
      </c>
      <c r="F657" s="2" t="s">
        <v>26</v>
      </c>
      <c r="G657" s="6"/>
      <c r="H657" s="2" t="s">
        <v>188</v>
      </c>
      <c r="I657" s="2" t="s">
        <v>189</v>
      </c>
      <c r="J657" s="2" t="s">
        <v>19</v>
      </c>
      <c r="K657" s="2" t="s">
        <v>4121</v>
      </c>
      <c r="L657" s="7" t="str">
        <f>HYPERLINK("http://slimages.macys.com/is/image/MCY/12773761 ")</f>
        <v xml:space="preserve">http://slimages.macys.com/is/image/MCY/12773761 </v>
      </c>
    </row>
    <row r="658" spans="1:12" ht="24.75" x14ac:dyDescent="0.25">
      <c r="A658" s="4" t="s">
        <v>6767</v>
      </c>
      <c r="B658" s="2" t="s">
        <v>6764</v>
      </c>
      <c r="C658" s="3">
        <v>4</v>
      </c>
      <c r="D658" s="5">
        <v>19.989999999999998</v>
      </c>
      <c r="E658" s="3" t="s">
        <v>6765</v>
      </c>
      <c r="F658" s="2" t="s">
        <v>26</v>
      </c>
      <c r="G658" s="6"/>
      <c r="H658" s="2" t="s">
        <v>188</v>
      </c>
      <c r="I658" s="2" t="s">
        <v>189</v>
      </c>
      <c r="J658" s="2" t="s">
        <v>19</v>
      </c>
      <c r="K658" s="2" t="s">
        <v>4121</v>
      </c>
      <c r="L658" s="7" t="str">
        <f>HYPERLINK("http://slimages.macys.com/is/image/MCY/12773761 ")</f>
        <v xml:space="preserve">http://slimages.macys.com/is/image/MCY/12773761 </v>
      </c>
    </row>
    <row r="659" spans="1:12" ht="24.75" x14ac:dyDescent="0.25">
      <c r="A659" s="4" t="s">
        <v>6768</v>
      </c>
      <c r="B659" s="2" t="s">
        <v>6764</v>
      </c>
      <c r="C659" s="3">
        <v>2</v>
      </c>
      <c r="D659" s="5">
        <v>19.989999999999998</v>
      </c>
      <c r="E659" s="3" t="s">
        <v>6765</v>
      </c>
      <c r="F659" s="2" t="s">
        <v>26</v>
      </c>
      <c r="G659" s="6" t="s">
        <v>187</v>
      </c>
      <c r="H659" s="2" t="s">
        <v>188</v>
      </c>
      <c r="I659" s="2" t="s">
        <v>189</v>
      </c>
      <c r="J659" s="2" t="s">
        <v>19</v>
      </c>
      <c r="K659" s="2" t="s">
        <v>4121</v>
      </c>
      <c r="L659" s="7" t="str">
        <f>HYPERLINK("http://slimages.macys.com/is/image/MCY/12773761 ")</f>
        <v xml:space="preserve">http://slimages.macys.com/is/image/MCY/12773761 </v>
      </c>
    </row>
    <row r="660" spans="1:12" ht="24.75" x14ac:dyDescent="0.25">
      <c r="A660" s="4" t="s">
        <v>6769</v>
      </c>
      <c r="B660" s="2" t="s">
        <v>6764</v>
      </c>
      <c r="C660" s="3">
        <v>5</v>
      </c>
      <c r="D660" s="5">
        <v>19.989999999999998</v>
      </c>
      <c r="E660" s="3" t="s">
        <v>6765</v>
      </c>
      <c r="F660" s="2" t="s">
        <v>26</v>
      </c>
      <c r="G660" s="6" t="s">
        <v>219</v>
      </c>
      <c r="H660" s="2" t="s">
        <v>188</v>
      </c>
      <c r="I660" s="2" t="s">
        <v>189</v>
      </c>
      <c r="J660" s="2" t="s">
        <v>19</v>
      </c>
      <c r="K660" s="2" t="s">
        <v>4121</v>
      </c>
      <c r="L660" s="7" t="str">
        <f>HYPERLINK("http://slimages.macys.com/is/image/MCY/12773761 ")</f>
        <v xml:space="preserve">http://slimages.macys.com/is/image/MCY/12773761 </v>
      </c>
    </row>
    <row r="661" spans="1:12" ht="24.75" x14ac:dyDescent="0.25">
      <c r="A661" s="4" t="s">
        <v>5095</v>
      </c>
      <c r="B661" s="2" t="s">
        <v>2913</v>
      </c>
      <c r="C661" s="3">
        <v>1</v>
      </c>
      <c r="D661" s="5">
        <v>34.880000000000003</v>
      </c>
      <c r="E661" s="3">
        <v>100054399</v>
      </c>
      <c r="F661" s="2" t="s">
        <v>199</v>
      </c>
      <c r="G661" s="6" t="s">
        <v>154</v>
      </c>
      <c r="H661" s="2" t="s">
        <v>194</v>
      </c>
      <c r="I661" s="2" t="s">
        <v>195</v>
      </c>
      <c r="J661" s="2" t="s">
        <v>19</v>
      </c>
      <c r="K661" s="2" t="s">
        <v>607</v>
      </c>
      <c r="L661" s="7" t="str">
        <f>HYPERLINK("http://slimages.macys.com/is/image/MCY/12850736 ")</f>
        <v xml:space="preserve">http://slimages.macys.com/is/image/MCY/12850736 </v>
      </c>
    </row>
    <row r="662" spans="1:12" ht="24.75" x14ac:dyDescent="0.25">
      <c r="A662" s="4" t="s">
        <v>1723</v>
      </c>
      <c r="B662" s="2" t="s">
        <v>1724</v>
      </c>
      <c r="C662" s="3">
        <v>1</v>
      </c>
      <c r="D662" s="5">
        <v>34.880000000000003</v>
      </c>
      <c r="E662" s="3">
        <v>100018041</v>
      </c>
      <c r="F662" s="2" t="s">
        <v>680</v>
      </c>
      <c r="G662" s="6" t="s">
        <v>112</v>
      </c>
      <c r="H662" s="2" t="s">
        <v>194</v>
      </c>
      <c r="I662" s="2" t="s">
        <v>195</v>
      </c>
      <c r="J662" s="2" t="s">
        <v>19</v>
      </c>
      <c r="K662" s="2" t="s">
        <v>353</v>
      </c>
      <c r="L662" s="7" t="str">
        <f>HYPERLINK("http://slimages.macys.com/is/image/MCY/12950342 ")</f>
        <v xml:space="preserve">http://slimages.macys.com/is/image/MCY/12950342 </v>
      </c>
    </row>
    <row r="663" spans="1:12" ht="24.75" x14ac:dyDescent="0.25">
      <c r="A663" s="4" t="s">
        <v>6025</v>
      </c>
      <c r="B663" s="2" t="s">
        <v>6023</v>
      </c>
      <c r="C663" s="3">
        <v>1</v>
      </c>
      <c r="D663" s="5">
        <v>21.99</v>
      </c>
      <c r="E663" s="3" t="s">
        <v>6024</v>
      </c>
      <c r="F663" s="2" t="s">
        <v>252</v>
      </c>
      <c r="G663" s="6" t="s">
        <v>181</v>
      </c>
      <c r="H663" s="2" t="s">
        <v>284</v>
      </c>
      <c r="I663" s="2" t="s">
        <v>285</v>
      </c>
      <c r="J663" s="2" t="s">
        <v>19</v>
      </c>
      <c r="K663" s="2" t="s">
        <v>247</v>
      </c>
      <c r="L663" s="7" t="str">
        <f>HYPERLINK("http://slimages.macys.com/is/image/MCY/12266708 ")</f>
        <v xml:space="preserve">http://slimages.macys.com/is/image/MCY/12266708 </v>
      </c>
    </row>
    <row r="664" spans="1:12" ht="24.75" x14ac:dyDescent="0.25">
      <c r="A664" s="4" t="s">
        <v>6770</v>
      </c>
      <c r="B664" s="2" t="s">
        <v>6023</v>
      </c>
      <c r="C664" s="3">
        <v>1</v>
      </c>
      <c r="D664" s="5">
        <v>21.99</v>
      </c>
      <c r="E664" s="3" t="s">
        <v>6024</v>
      </c>
      <c r="F664" s="2" t="s">
        <v>252</v>
      </c>
      <c r="G664" s="6" t="s">
        <v>156</v>
      </c>
      <c r="H664" s="2" t="s">
        <v>284</v>
      </c>
      <c r="I664" s="2" t="s">
        <v>285</v>
      </c>
      <c r="J664" s="2" t="s">
        <v>19</v>
      </c>
      <c r="K664" s="2" t="s">
        <v>247</v>
      </c>
      <c r="L664" s="7" t="str">
        <f>HYPERLINK("http://slimages.macys.com/is/image/MCY/12266708 ")</f>
        <v xml:space="preserve">http://slimages.macys.com/is/image/MCY/12266708 </v>
      </c>
    </row>
    <row r="665" spans="1:12" ht="24.75" x14ac:dyDescent="0.25">
      <c r="A665" s="4" t="s">
        <v>6022</v>
      </c>
      <c r="B665" s="2" t="s">
        <v>6023</v>
      </c>
      <c r="C665" s="3">
        <v>1</v>
      </c>
      <c r="D665" s="5">
        <v>21.99</v>
      </c>
      <c r="E665" s="3" t="s">
        <v>6024</v>
      </c>
      <c r="F665" s="2" t="s">
        <v>252</v>
      </c>
      <c r="G665" s="6" t="s">
        <v>154</v>
      </c>
      <c r="H665" s="2" t="s">
        <v>284</v>
      </c>
      <c r="I665" s="2" t="s">
        <v>285</v>
      </c>
      <c r="J665" s="2" t="s">
        <v>19</v>
      </c>
      <c r="K665" s="2" t="s">
        <v>247</v>
      </c>
      <c r="L665" s="7" t="str">
        <f>HYPERLINK("http://slimages.macys.com/is/image/MCY/12266708 ")</f>
        <v xml:space="preserve">http://slimages.macys.com/is/image/MCY/12266708 </v>
      </c>
    </row>
    <row r="666" spans="1:12" ht="24.75" x14ac:dyDescent="0.25">
      <c r="A666" s="4" t="s">
        <v>4042</v>
      </c>
      <c r="B666" s="2" t="s">
        <v>1712</v>
      </c>
      <c r="C666" s="3">
        <v>1</v>
      </c>
      <c r="D666" s="5">
        <v>19.989999999999998</v>
      </c>
      <c r="E666" s="3" t="s">
        <v>4041</v>
      </c>
      <c r="F666" s="2" t="s">
        <v>74</v>
      </c>
      <c r="G666" s="6" t="s">
        <v>181</v>
      </c>
      <c r="H666" s="2" t="s">
        <v>194</v>
      </c>
      <c r="I666" s="2" t="s">
        <v>195</v>
      </c>
      <c r="J666" s="2" t="s">
        <v>19</v>
      </c>
      <c r="K666" s="2" t="s">
        <v>160</v>
      </c>
      <c r="L666" s="7" t="str">
        <f>HYPERLINK("http://slimages.macys.com/is/image/MCY/13317763 ")</f>
        <v xml:space="preserve">http://slimages.macys.com/is/image/MCY/13317763 </v>
      </c>
    </row>
    <row r="667" spans="1:12" ht="24.75" x14ac:dyDescent="0.25">
      <c r="A667" s="4" t="s">
        <v>6771</v>
      </c>
      <c r="B667" s="2" t="s">
        <v>2907</v>
      </c>
      <c r="C667" s="3">
        <v>1</v>
      </c>
      <c r="D667" s="5">
        <v>19.989999999999998</v>
      </c>
      <c r="E667" s="3" t="s">
        <v>6028</v>
      </c>
      <c r="F667" s="2" t="s">
        <v>579</v>
      </c>
      <c r="G667" s="6" t="s">
        <v>156</v>
      </c>
      <c r="H667" s="2" t="s">
        <v>194</v>
      </c>
      <c r="I667" s="2" t="s">
        <v>195</v>
      </c>
      <c r="J667" s="2" t="s">
        <v>19</v>
      </c>
      <c r="K667" s="2" t="s">
        <v>160</v>
      </c>
      <c r="L667" s="7" t="str">
        <f>HYPERLINK("http://slimages.macys.com/is/image/MCY/13317763 ")</f>
        <v xml:space="preserve">http://slimages.macys.com/is/image/MCY/13317763 </v>
      </c>
    </row>
    <row r="668" spans="1:12" ht="24.75" x14ac:dyDescent="0.25">
      <c r="A668" s="4" t="s">
        <v>6772</v>
      </c>
      <c r="B668" s="2" t="s">
        <v>2907</v>
      </c>
      <c r="C668" s="3">
        <v>1</v>
      </c>
      <c r="D668" s="5">
        <v>19.989999999999998</v>
      </c>
      <c r="E668" s="3" t="s">
        <v>6028</v>
      </c>
      <c r="F668" s="2" t="s">
        <v>579</v>
      </c>
      <c r="G668" s="6" t="s">
        <v>181</v>
      </c>
      <c r="H668" s="2" t="s">
        <v>194</v>
      </c>
      <c r="I668" s="2" t="s">
        <v>195</v>
      </c>
      <c r="J668" s="2" t="s">
        <v>19</v>
      </c>
      <c r="K668" s="2" t="s">
        <v>160</v>
      </c>
      <c r="L668" s="7" t="str">
        <f>HYPERLINK("http://slimages.macys.com/is/image/MCY/13317763 ")</f>
        <v xml:space="preserve">http://slimages.macys.com/is/image/MCY/13317763 </v>
      </c>
    </row>
    <row r="669" spans="1:12" ht="24.75" x14ac:dyDescent="0.25">
      <c r="A669" s="4" t="s">
        <v>6773</v>
      </c>
      <c r="B669" s="2" t="s">
        <v>4046</v>
      </c>
      <c r="C669" s="3">
        <v>1</v>
      </c>
      <c r="D669" s="5">
        <v>19.989999999999998</v>
      </c>
      <c r="E669" s="3" t="s">
        <v>4047</v>
      </c>
      <c r="F669" s="2" t="s">
        <v>70</v>
      </c>
      <c r="G669" s="6" t="s">
        <v>234</v>
      </c>
      <c r="H669" s="2" t="s">
        <v>1473</v>
      </c>
      <c r="I669" s="2" t="s">
        <v>1426</v>
      </c>
      <c r="J669" s="2" t="s">
        <v>19</v>
      </c>
      <c r="K669" s="2" t="s">
        <v>495</v>
      </c>
      <c r="L669" s="7" t="str">
        <f>HYPERLINK("http://slimages.macys.com/is/image/MCY/12773814 ")</f>
        <v xml:space="preserve">http://slimages.macys.com/is/image/MCY/12773814 </v>
      </c>
    </row>
    <row r="670" spans="1:12" ht="24.75" x14ac:dyDescent="0.25">
      <c r="A670" s="4" t="s">
        <v>4045</v>
      </c>
      <c r="B670" s="2" t="s">
        <v>4046</v>
      </c>
      <c r="C670" s="3">
        <v>1</v>
      </c>
      <c r="D670" s="5">
        <v>19.989999999999998</v>
      </c>
      <c r="E670" s="3" t="s">
        <v>4047</v>
      </c>
      <c r="F670" s="2" t="s">
        <v>15</v>
      </c>
      <c r="G670" s="6" t="s">
        <v>154</v>
      </c>
      <c r="H670" s="2" t="s">
        <v>1473</v>
      </c>
      <c r="I670" s="2" t="s">
        <v>1426</v>
      </c>
      <c r="J670" s="2" t="s">
        <v>19</v>
      </c>
      <c r="K670" s="2" t="s">
        <v>495</v>
      </c>
      <c r="L670" s="7" t="str">
        <f>HYPERLINK("http://slimages.macys.com/is/image/MCY/12773814 ")</f>
        <v xml:space="preserve">http://slimages.macys.com/is/image/MCY/12773814 </v>
      </c>
    </row>
    <row r="671" spans="1:12" ht="24.75" x14ac:dyDescent="0.25">
      <c r="A671" s="4" t="s">
        <v>6774</v>
      </c>
      <c r="B671" s="2" t="s">
        <v>1738</v>
      </c>
      <c r="C671" s="3">
        <v>1</v>
      </c>
      <c r="D671" s="5">
        <v>29.63</v>
      </c>
      <c r="E671" s="3" t="s">
        <v>1739</v>
      </c>
      <c r="F671" s="2" t="s">
        <v>26</v>
      </c>
      <c r="G671" s="6" t="s">
        <v>234</v>
      </c>
      <c r="H671" s="2" t="s">
        <v>194</v>
      </c>
      <c r="I671" s="2" t="s">
        <v>195</v>
      </c>
      <c r="J671" s="2" t="s">
        <v>19</v>
      </c>
      <c r="K671" s="2" t="s">
        <v>1108</v>
      </c>
      <c r="L671" s="7" t="str">
        <f>HYPERLINK("http://slimages.macys.com/is/image/MCY/12064042 ")</f>
        <v xml:space="preserve">http://slimages.macys.com/is/image/MCY/12064042 </v>
      </c>
    </row>
    <row r="672" spans="1:12" ht="24.75" x14ac:dyDescent="0.25">
      <c r="A672" s="4" t="s">
        <v>2927</v>
      </c>
      <c r="B672" s="2" t="s">
        <v>1738</v>
      </c>
      <c r="C672" s="3">
        <v>1</v>
      </c>
      <c r="D672" s="5">
        <v>29.63</v>
      </c>
      <c r="E672" s="3" t="s">
        <v>1739</v>
      </c>
      <c r="F672" s="2" t="s">
        <v>26</v>
      </c>
      <c r="G672" s="6" t="s">
        <v>154</v>
      </c>
      <c r="H672" s="2" t="s">
        <v>194</v>
      </c>
      <c r="I672" s="2" t="s">
        <v>195</v>
      </c>
      <c r="J672" s="2" t="s">
        <v>19</v>
      </c>
      <c r="K672" s="2" t="s">
        <v>1108</v>
      </c>
      <c r="L672" s="7" t="str">
        <f>HYPERLINK("http://slimages.macys.com/is/image/MCY/12064042 ")</f>
        <v xml:space="preserve">http://slimages.macys.com/is/image/MCY/12064042 </v>
      </c>
    </row>
    <row r="673" spans="1:12" ht="24.75" x14ac:dyDescent="0.25">
      <c r="A673" s="4" t="s">
        <v>6775</v>
      </c>
      <c r="B673" s="2" t="s">
        <v>1738</v>
      </c>
      <c r="C673" s="3">
        <v>2</v>
      </c>
      <c r="D673" s="5">
        <v>29.63</v>
      </c>
      <c r="E673" s="3" t="s">
        <v>1739</v>
      </c>
      <c r="F673" s="2" t="s">
        <v>26</v>
      </c>
      <c r="G673" s="6" t="s">
        <v>200</v>
      </c>
      <c r="H673" s="2" t="s">
        <v>194</v>
      </c>
      <c r="I673" s="2" t="s">
        <v>195</v>
      </c>
      <c r="J673" s="2" t="s">
        <v>19</v>
      </c>
      <c r="K673" s="2" t="s">
        <v>1108</v>
      </c>
      <c r="L673" s="7" t="str">
        <f>HYPERLINK("http://slimages.macys.com/is/image/MCY/12064042 ")</f>
        <v xml:space="preserve">http://slimages.macys.com/is/image/MCY/12064042 </v>
      </c>
    </row>
    <row r="674" spans="1:12" ht="24.75" x14ac:dyDescent="0.25">
      <c r="A674" s="4" t="s">
        <v>2928</v>
      </c>
      <c r="B674" s="2" t="s">
        <v>1738</v>
      </c>
      <c r="C674" s="3">
        <v>2</v>
      </c>
      <c r="D674" s="5">
        <v>29.63</v>
      </c>
      <c r="E674" s="3" t="s">
        <v>1739</v>
      </c>
      <c r="F674" s="2" t="s">
        <v>26</v>
      </c>
      <c r="G674" s="6" t="s">
        <v>181</v>
      </c>
      <c r="H674" s="2" t="s">
        <v>194</v>
      </c>
      <c r="I674" s="2" t="s">
        <v>195</v>
      </c>
      <c r="J674" s="2" t="s">
        <v>19</v>
      </c>
      <c r="K674" s="2" t="s">
        <v>1108</v>
      </c>
      <c r="L674" s="7" t="str">
        <f>HYPERLINK("http://slimages.macys.com/is/image/MCY/12064042 ")</f>
        <v xml:space="preserve">http://slimages.macys.com/is/image/MCY/12064042 </v>
      </c>
    </row>
    <row r="675" spans="1:12" ht="24.75" x14ac:dyDescent="0.25">
      <c r="A675" s="4" t="s">
        <v>4052</v>
      </c>
      <c r="B675" s="2" t="s">
        <v>2936</v>
      </c>
      <c r="C675" s="3">
        <v>1</v>
      </c>
      <c r="D675" s="5">
        <v>20.99</v>
      </c>
      <c r="E675" s="3" t="s">
        <v>2937</v>
      </c>
      <c r="F675" s="2" t="s">
        <v>64</v>
      </c>
      <c r="G675" s="6" t="s">
        <v>156</v>
      </c>
      <c r="H675" s="2" t="s">
        <v>1473</v>
      </c>
      <c r="I675" s="2" t="s">
        <v>1864</v>
      </c>
      <c r="J675" s="2" t="s">
        <v>19</v>
      </c>
      <c r="K675" s="2" t="s">
        <v>107</v>
      </c>
      <c r="L675" s="7" t="str">
        <f>HYPERLINK("http://slimages.macys.com/is/image/MCY/12266786 ")</f>
        <v xml:space="preserve">http://slimages.macys.com/is/image/MCY/12266786 </v>
      </c>
    </row>
    <row r="676" spans="1:12" ht="24.75" x14ac:dyDescent="0.25">
      <c r="A676" s="4" t="s">
        <v>6776</v>
      </c>
      <c r="B676" s="2" t="s">
        <v>1742</v>
      </c>
      <c r="C676" s="3">
        <v>1</v>
      </c>
      <c r="D676" s="5">
        <v>29.63</v>
      </c>
      <c r="E676" s="3" t="s">
        <v>1743</v>
      </c>
      <c r="F676" s="2" t="s">
        <v>74</v>
      </c>
      <c r="G676" s="6" t="s">
        <v>234</v>
      </c>
      <c r="H676" s="2" t="s">
        <v>194</v>
      </c>
      <c r="I676" s="2" t="s">
        <v>195</v>
      </c>
      <c r="J676" s="2" t="s">
        <v>19</v>
      </c>
      <c r="K676" s="2" t="s">
        <v>247</v>
      </c>
      <c r="L676" s="7" t="str">
        <f>HYPERLINK("http://slimages.macys.com/is/image/MCY/12667158 ")</f>
        <v xml:space="preserve">http://slimages.macys.com/is/image/MCY/12667158 </v>
      </c>
    </row>
    <row r="677" spans="1:12" ht="24.75" x14ac:dyDescent="0.25">
      <c r="A677" s="4" t="s">
        <v>5103</v>
      </c>
      <c r="B677" s="2" t="s">
        <v>2933</v>
      </c>
      <c r="C677" s="3">
        <v>1</v>
      </c>
      <c r="D677" s="5">
        <v>20.99</v>
      </c>
      <c r="E677" s="3" t="s">
        <v>2939</v>
      </c>
      <c r="F677" s="2" t="s">
        <v>64</v>
      </c>
      <c r="G677" s="6" t="s">
        <v>234</v>
      </c>
      <c r="H677" s="2" t="s">
        <v>1473</v>
      </c>
      <c r="I677" s="2" t="s">
        <v>1864</v>
      </c>
      <c r="J677" s="2" t="s">
        <v>19</v>
      </c>
      <c r="K677" s="2" t="s">
        <v>990</v>
      </c>
      <c r="L677" s="7" t="str">
        <f>HYPERLINK("http://slimages.macys.com/is/image/MCY/11515111 ")</f>
        <v xml:space="preserve">http://slimages.macys.com/is/image/MCY/11515111 </v>
      </c>
    </row>
    <row r="678" spans="1:12" ht="24.75" x14ac:dyDescent="0.25">
      <c r="A678" s="4" t="s">
        <v>2938</v>
      </c>
      <c r="B678" s="2" t="s">
        <v>2933</v>
      </c>
      <c r="C678" s="3">
        <v>2</v>
      </c>
      <c r="D678" s="5">
        <v>20.99</v>
      </c>
      <c r="E678" s="3" t="s">
        <v>2939</v>
      </c>
      <c r="F678" s="2" t="s">
        <v>64</v>
      </c>
      <c r="G678" s="6" t="s">
        <v>156</v>
      </c>
      <c r="H678" s="2" t="s">
        <v>1473</v>
      </c>
      <c r="I678" s="2" t="s">
        <v>1864</v>
      </c>
      <c r="J678" s="2" t="s">
        <v>19</v>
      </c>
      <c r="K678" s="2" t="s">
        <v>990</v>
      </c>
      <c r="L678" s="7" t="str">
        <f>HYPERLINK("http://slimages.macys.com/is/image/MCY/11515111 ")</f>
        <v xml:space="preserve">http://slimages.macys.com/is/image/MCY/11515111 </v>
      </c>
    </row>
    <row r="679" spans="1:12" ht="24.75" x14ac:dyDescent="0.25">
      <c r="A679" s="4" t="s">
        <v>6777</v>
      </c>
      <c r="B679" s="2" t="s">
        <v>1742</v>
      </c>
      <c r="C679" s="3">
        <v>1</v>
      </c>
      <c r="D679" s="5">
        <v>29.63</v>
      </c>
      <c r="E679" s="3" t="s">
        <v>1743</v>
      </c>
      <c r="F679" s="2" t="s">
        <v>74</v>
      </c>
      <c r="G679" s="6" t="s">
        <v>156</v>
      </c>
      <c r="H679" s="2" t="s">
        <v>194</v>
      </c>
      <c r="I679" s="2" t="s">
        <v>195</v>
      </c>
      <c r="J679" s="2" t="s">
        <v>19</v>
      </c>
      <c r="K679" s="2" t="s">
        <v>247</v>
      </c>
      <c r="L679" s="7" t="str">
        <f>HYPERLINK("http://slimages.macys.com/is/image/MCY/12667158 ")</f>
        <v xml:space="preserve">http://slimages.macys.com/is/image/MCY/12667158 </v>
      </c>
    </row>
    <row r="680" spans="1:12" ht="24.75" x14ac:dyDescent="0.25">
      <c r="A680" s="4" t="s">
        <v>6778</v>
      </c>
      <c r="B680" s="2" t="s">
        <v>1712</v>
      </c>
      <c r="C680" s="3">
        <v>1</v>
      </c>
      <c r="D680" s="5">
        <v>19.989999999999998</v>
      </c>
      <c r="E680" s="3" t="s">
        <v>4058</v>
      </c>
      <c r="F680" s="2" t="s">
        <v>74</v>
      </c>
      <c r="G680" s="6"/>
      <c r="H680" s="2" t="s">
        <v>312</v>
      </c>
      <c r="I680" s="2" t="s">
        <v>195</v>
      </c>
      <c r="J680" s="2" t="s">
        <v>19</v>
      </c>
      <c r="K680" s="2" t="s">
        <v>160</v>
      </c>
      <c r="L680" s="7" t="str">
        <f>HYPERLINK("http://slimages.macys.com/is/image/MCY/11764444 ")</f>
        <v xml:space="preserve">http://slimages.macys.com/is/image/MCY/11764444 </v>
      </c>
    </row>
    <row r="681" spans="1:12" ht="24.75" x14ac:dyDescent="0.25">
      <c r="A681" s="4" t="s">
        <v>6779</v>
      </c>
      <c r="B681" s="2" t="s">
        <v>5107</v>
      </c>
      <c r="C681" s="3">
        <v>1</v>
      </c>
      <c r="D681" s="5">
        <v>19.989999999999998</v>
      </c>
      <c r="E681" s="3" t="s">
        <v>5108</v>
      </c>
      <c r="F681" s="2" t="s">
        <v>26</v>
      </c>
      <c r="G681" s="6" t="s">
        <v>181</v>
      </c>
      <c r="H681" s="2" t="s">
        <v>1473</v>
      </c>
      <c r="I681" s="2" t="s">
        <v>1426</v>
      </c>
      <c r="J681" s="2" t="s">
        <v>19</v>
      </c>
      <c r="K681" s="2" t="s">
        <v>648</v>
      </c>
      <c r="L681" s="7" t="str">
        <f>HYPERLINK("http://slimages.macys.com/is/image/MCY/11678724 ")</f>
        <v xml:space="preserve">http://slimages.macys.com/is/image/MCY/11678724 </v>
      </c>
    </row>
    <row r="682" spans="1:12" ht="24.75" x14ac:dyDescent="0.25">
      <c r="A682" s="4" t="s">
        <v>6780</v>
      </c>
      <c r="B682" s="2" t="s">
        <v>1747</v>
      </c>
      <c r="C682" s="3">
        <v>1</v>
      </c>
      <c r="D682" s="5">
        <v>17.989999999999998</v>
      </c>
      <c r="E682" s="3" t="s">
        <v>1748</v>
      </c>
      <c r="F682" s="2" t="s">
        <v>74</v>
      </c>
      <c r="G682" s="6" t="s">
        <v>22</v>
      </c>
      <c r="H682" s="2" t="s">
        <v>1473</v>
      </c>
      <c r="I682" s="2" t="s">
        <v>1426</v>
      </c>
      <c r="J682" s="2" t="s">
        <v>19</v>
      </c>
      <c r="K682" s="2" t="s">
        <v>353</v>
      </c>
      <c r="L682" s="7" t="str">
        <f>HYPERLINK("http://slimages.macys.com/is/image/MCY/12776597 ")</f>
        <v xml:space="preserve">http://slimages.macys.com/is/image/MCY/12776597 </v>
      </c>
    </row>
    <row r="683" spans="1:12" ht="24.75" x14ac:dyDescent="0.25">
      <c r="A683" s="4" t="s">
        <v>6781</v>
      </c>
      <c r="B683" s="2" t="s">
        <v>4069</v>
      </c>
      <c r="C683" s="3">
        <v>1</v>
      </c>
      <c r="D683" s="5">
        <v>22.13</v>
      </c>
      <c r="E683" s="3" t="s">
        <v>4070</v>
      </c>
      <c r="F683" s="2" t="s">
        <v>38</v>
      </c>
      <c r="G683" s="6" t="s">
        <v>154</v>
      </c>
      <c r="H683" s="2" t="s">
        <v>194</v>
      </c>
      <c r="I683" s="2" t="s">
        <v>580</v>
      </c>
      <c r="J683" s="2" t="s">
        <v>19</v>
      </c>
      <c r="K683" s="2" t="s">
        <v>1758</v>
      </c>
      <c r="L683" s="7" t="str">
        <f>HYPERLINK("http://slimages.macys.com/is/image/MCY/11415427 ")</f>
        <v xml:space="preserve">http://slimages.macys.com/is/image/MCY/11415427 </v>
      </c>
    </row>
    <row r="684" spans="1:12" ht="24.75" x14ac:dyDescent="0.25">
      <c r="A684" s="4" t="s">
        <v>6782</v>
      </c>
      <c r="B684" s="2" t="s">
        <v>1764</v>
      </c>
      <c r="C684" s="3">
        <v>1</v>
      </c>
      <c r="D684" s="5">
        <v>22.13</v>
      </c>
      <c r="E684" s="3" t="s">
        <v>2959</v>
      </c>
      <c r="F684" s="2" t="s">
        <v>64</v>
      </c>
      <c r="G684" s="6" t="s">
        <v>156</v>
      </c>
      <c r="H684" s="2" t="s">
        <v>194</v>
      </c>
      <c r="I684" s="2" t="s">
        <v>1766</v>
      </c>
      <c r="J684" s="2" t="s">
        <v>19</v>
      </c>
      <c r="K684" s="2" t="s">
        <v>1082</v>
      </c>
      <c r="L684" s="7" t="str">
        <f>HYPERLINK("http://slimages.macys.com/is/image/MCY/12143908 ")</f>
        <v xml:space="preserve">http://slimages.macys.com/is/image/MCY/12143908 </v>
      </c>
    </row>
    <row r="685" spans="1:12" ht="24.75" x14ac:dyDescent="0.25">
      <c r="A685" s="4" t="s">
        <v>2972</v>
      </c>
      <c r="B685" s="2" t="s">
        <v>1761</v>
      </c>
      <c r="C685" s="3">
        <v>1</v>
      </c>
      <c r="D685" s="5">
        <v>22.13</v>
      </c>
      <c r="E685" s="3" t="s">
        <v>1762</v>
      </c>
      <c r="F685" s="2" t="s">
        <v>15</v>
      </c>
      <c r="G685" s="6" t="s">
        <v>234</v>
      </c>
      <c r="H685" s="2" t="s">
        <v>194</v>
      </c>
      <c r="I685" s="2" t="s">
        <v>580</v>
      </c>
      <c r="J685" s="2" t="s">
        <v>19</v>
      </c>
      <c r="K685" s="2" t="s">
        <v>1082</v>
      </c>
      <c r="L685" s="7" t="str">
        <f>HYPERLINK("http://slimages.macys.com/is/image/MCY/12794096 ")</f>
        <v xml:space="preserve">http://slimages.macys.com/is/image/MCY/12794096 </v>
      </c>
    </row>
    <row r="686" spans="1:12" ht="24.75" x14ac:dyDescent="0.25">
      <c r="A686" s="4" t="s">
        <v>2958</v>
      </c>
      <c r="B686" s="2" t="s">
        <v>1764</v>
      </c>
      <c r="C686" s="3">
        <v>1</v>
      </c>
      <c r="D686" s="5">
        <v>22.13</v>
      </c>
      <c r="E686" s="3" t="s">
        <v>2959</v>
      </c>
      <c r="F686" s="2" t="s">
        <v>64</v>
      </c>
      <c r="G686" s="6" t="s">
        <v>154</v>
      </c>
      <c r="H686" s="2" t="s">
        <v>194</v>
      </c>
      <c r="I686" s="2" t="s">
        <v>1766</v>
      </c>
      <c r="J686" s="2" t="s">
        <v>19</v>
      </c>
      <c r="K686" s="2" t="s">
        <v>1082</v>
      </c>
      <c r="L686" s="7" t="str">
        <f>HYPERLINK("http://slimages.macys.com/is/image/MCY/12143908 ")</f>
        <v xml:space="preserve">http://slimages.macys.com/is/image/MCY/12143908 </v>
      </c>
    </row>
    <row r="687" spans="1:12" ht="24.75" x14ac:dyDescent="0.25">
      <c r="A687" s="4" t="s">
        <v>6783</v>
      </c>
      <c r="B687" s="2" t="s">
        <v>6046</v>
      </c>
      <c r="C687" s="3">
        <v>1</v>
      </c>
      <c r="D687" s="5">
        <v>22.13</v>
      </c>
      <c r="E687" s="3" t="s">
        <v>6047</v>
      </c>
      <c r="F687" s="2" t="s">
        <v>998</v>
      </c>
      <c r="G687" s="6" t="s">
        <v>200</v>
      </c>
      <c r="H687" s="2" t="s">
        <v>194</v>
      </c>
      <c r="I687" s="2" t="s">
        <v>580</v>
      </c>
      <c r="J687" s="2" t="s">
        <v>19</v>
      </c>
      <c r="K687" s="2" t="s">
        <v>1082</v>
      </c>
      <c r="L687" s="7" t="str">
        <f>HYPERLINK("http://slimages.macys.com/is/image/MCY/11937961 ")</f>
        <v xml:space="preserve">http://slimages.macys.com/is/image/MCY/11937961 </v>
      </c>
    </row>
    <row r="688" spans="1:12" ht="24.75" x14ac:dyDescent="0.25">
      <c r="A688" s="4" t="s">
        <v>1763</v>
      </c>
      <c r="B688" s="2" t="s">
        <v>1764</v>
      </c>
      <c r="C688" s="3">
        <v>2</v>
      </c>
      <c r="D688" s="5">
        <v>22.13</v>
      </c>
      <c r="E688" s="3" t="s">
        <v>1765</v>
      </c>
      <c r="F688" s="2" t="s">
        <v>38</v>
      </c>
      <c r="G688" s="6" t="s">
        <v>154</v>
      </c>
      <c r="H688" s="2" t="s">
        <v>194</v>
      </c>
      <c r="I688" s="2" t="s">
        <v>1766</v>
      </c>
      <c r="J688" s="2" t="s">
        <v>19</v>
      </c>
      <c r="K688" s="2" t="s">
        <v>1082</v>
      </c>
      <c r="L688" s="7" t="str">
        <f>HYPERLINK("http://slimages.macys.com/is/image/MCY/12143911 ")</f>
        <v xml:space="preserve">http://slimages.macys.com/is/image/MCY/12143911 </v>
      </c>
    </row>
    <row r="689" spans="1:12" ht="24.75" x14ac:dyDescent="0.25">
      <c r="A689" s="4" t="s">
        <v>6784</v>
      </c>
      <c r="B689" s="2" t="s">
        <v>1808</v>
      </c>
      <c r="C689" s="3">
        <v>1</v>
      </c>
      <c r="D689" s="5">
        <v>22.13</v>
      </c>
      <c r="E689" s="3" t="s">
        <v>6785</v>
      </c>
      <c r="F689" s="2" t="s">
        <v>15</v>
      </c>
      <c r="G689" s="6" t="s">
        <v>156</v>
      </c>
      <c r="H689" s="2" t="s">
        <v>194</v>
      </c>
      <c r="I689" s="2" t="s">
        <v>580</v>
      </c>
      <c r="J689" s="2" t="s">
        <v>19</v>
      </c>
      <c r="K689" s="2" t="s">
        <v>442</v>
      </c>
      <c r="L689" s="7" t="str">
        <f>HYPERLINK("http://slimages.macys.com/is/image/MCY/12850420 ")</f>
        <v xml:space="preserve">http://slimages.macys.com/is/image/MCY/12850420 </v>
      </c>
    </row>
    <row r="690" spans="1:12" ht="24.75" x14ac:dyDescent="0.25">
      <c r="A690" s="4" t="s">
        <v>6786</v>
      </c>
      <c r="B690" s="2" t="s">
        <v>1761</v>
      </c>
      <c r="C690" s="3">
        <v>1</v>
      </c>
      <c r="D690" s="5">
        <v>22.13</v>
      </c>
      <c r="E690" s="3" t="s">
        <v>1768</v>
      </c>
      <c r="F690" s="2" t="s">
        <v>64</v>
      </c>
      <c r="G690" s="6" t="s">
        <v>200</v>
      </c>
      <c r="H690" s="2" t="s">
        <v>194</v>
      </c>
      <c r="I690" s="2" t="s">
        <v>580</v>
      </c>
      <c r="J690" s="2" t="s">
        <v>19</v>
      </c>
      <c r="K690" s="2" t="s">
        <v>1758</v>
      </c>
      <c r="L690" s="7" t="str">
        <f>HYPERLINK("http://slimages.macys.com/is/image/MCY/12799771 ")</f>
        <v xml:space="preserve">http://slimages.macys.com/is/image/MCY/12799771 </v>
      </c>
    </row>
    <row r="691" spans="1:12" ht="24.75" x14ac:dyDescent="0.25">
      <c r="A691" s="4" t="s">
        <v>4083</v>
      </c>
      <c r="B691" s="2" t="s">
        <v>1764</v>
      </c>
      <c r="C691" s="3">
        <v>1</v>
      </c>
      <c r="D691" s="5">
        <v>22.13</v>
      </c>
      <c r="E691" s="3" t="s">
        <v>1765</v>
      </c>
      <c r="F691" s="2" t="s">
        <v>38</v>
      </c>
      <c r="G691" s="6" t="s">
        <v>234</v>
      </c>
      <c r="H691" s="2" t="s">
        <v>194</v>
      </c>
      <c r="I691" s="2" t="s">
        <v>1766</v>
      </c>
      <c r="J691" s="2" t="s">
        <v>19</v>
      </c>
      <c r="K691" s="2" t="s">
        <v>1082</v>
      </c>
      <c r="L691" s="7" t="str">
        <f>HYPERLINK("http://slimages.macys.com/is/image/MCY/12143911 ")</f>
        <v xml:space="preserve">http://slimages.macys.com/is/image/MCY/12143911 </v>
      </c>
    </row>
    <row r="692" spans="1:12" ht="24.75" x14ac:dyDescent="0.25">
      <c r="A692" s="4" t="s">
        <v>1774</v>
      </c>
      <c r="B692" s="2" t="s">
        <v>1764</v>
      </c>
      <c r="C692" s="3">
        <v>2</v>
      </c>
      <c r="D692" s="5">
        <v>22.13</v>
      </c>
      <c r="E692" s="3" t="s">
        <v>1765</v>
      </c>
      <c r="F692" s="2" t="s">
        <v>38</v>
      </c>
      <c r="G692" s="6" t="s">
        <v>181</v>
      </c>
      <c r="H692" s="2" t="s">
        <v>194</v>
      </c>
      <c r="I692" s="2" t="s">
        <v>1766</v>
      </c>
      <c r="J692" s="2" t="s">
        <v>19</v>
      </c>
      <c r="K692" s="2" t="s">
        <v>1082</v>
      </c>
      <c r="L692" s="7" t="str">
        <f>HYPERLINK("http://slimages.macys.com/is/image/MCY/12143911 ")</f>
        <v xml:space="preserve">http://slimages.macys.com/is/image/MCY/12143911 </v>
      </c>
    </row>
    <row r="693" spans="1:12" ht="24.75" x14ac:dyDescent="0.25">
      <c r="A693" s="4" t="s">
        <v>6787</v>
      </c>
      <c r="B693" s="2" t="s">
        <v>6046</v>
      </c>
      <c r="C693" s="3">
        <v>1</v>
      </c>
      <c r="D693" s="5">
        <v>22.13</v>
      </c>
      <c r="E693" s="3" t="s">
        <v>6063</v>
      </c>
      <c r="F693" s="2" t="s">
        <v>225</v>
      </c>
      <c r="G693" s="6" t="s">
        <v>156</v>
      </c>
      <c r="H693" s="2" t="s">
        <v>194</v>
      </c>
      <c r="I693" s="2" t="s">
        <v>580</v>
      </c>
      <c r="J693" s="2" t="s">
        <v>19</v>
      </c>
      <c r="K693" s="2" t="s">
        <v>442</v>
      </c>
      <c r="L693" s="7" t="str">
        <f>HYPERLINK("http://slimages.macys.com/is/image/MCY/11937957 ")</f>
        <v xml:space="preserve">http://slimages.macys.com/is/image/MCY/11937957 </v>
      </c>
    </row>
    <row r="694" spans="1:12" ht="24.75" x14ac:dyDescent="0.25">
      <c r="A694" s="4" t="s">
        <v>4072</v>
      </c>
      <c r="B694" s="2" t="s">
        <v>4073</v>
      </c>
      <c r="C694" s="3">
        <v>1</v>
      </c>
      <c r="D694" s="5">
        <v>22.13</v>
      </c>
      <c r="E694" s="3" t="s">
        <v>4074</v>
      </c>
      <c r="F694" s="2" t="s">
        <v>111</v>
      </c>
      <c r="G694" s="6" t="s">
        <v>181</v>
      </c>
      <c r="H694" s="2" t="s">
        <v>194</v>
      </c>
      <c r="I694" s="2" t="s">
        <v>580</v>
      </c>
      <c r="J694" s="2" t="s">
        <v>19</v>
      </c>
      <c r="K694" s="2" t="s">
        <v>1082</v>
      </c>
      <c r="L694" s="7" t="str">
        <f>HYPERLINK("http://slimages.macys.com/is/image/MCY/12035164 ")</f>
        <v xml:space="preserve">http://slimages.macys.com/is/image/MCY/12035164 </v>
      </c>
    </row>
    <row r="695" spans="1:12" ht="24.75" x14ac:dyDescent="0.25">
      <c r="A695" s="4" t="s">
        <v>6788</v>
      </c>
      <c r="B695" s="2" t="s">
        <v>1808</v>
      </c>
      <c r="C695" s="3">
        <v>1</v>
      </c>
      <c r="D695" s="5">
        <v>22.13</v>
      </c>
      <c r="E695" s="3" t="s">
        <v>5125</v>
      </c>
      <c r="F695" s="2" t="s">
        <v>53</v>
      </c>
      <c r="G695" s="6" t="s">
        <v>156</v>
      </c>
      <c r="H695" s="2" t="s">
        <v>194</v>
      </c>
      <c r="I695" s="2" t="s">
        <v>580</v>
      </c>
      <c r="J695" s="2" t="s">
        <v>19</v>
      </c>
      <c r="K695" s="2" t="s">
        <v>1758</v>
      </c>
      <c r="L695" s="7" t="str">
        <f>HYPERLINK("http://slimages.macys.com/is/image/MCY/12734376 ")</f>
        <v xml:space="preserve">http://slimages.macys.com/is/image/MCY/12734376 </v>
      </c>
    </row>
    <row r="696" spans="1:12" ht="24.75" x14ac:dyDescent="0.25">
      <c r="A696" s="4" t="s">
        <v>6789</v>
      </c>
      <c r="B696" s="2" t="s">
        <v>6790</v>
      </c>
      <c r="C696" s="3">
        <v>1</v>
      </c>
      <c r="D696" s="5">
        <v>21.99</v>
      </c>
      <c r="E696" s="3" t="s">
        <v>6791</v>
      </c>
      <c r="F696" s="2" t="s">
        <v>74</v>
      </c>
      <c r="G696" s="6"/>
      <c r="H696" s="2" t="s">
        <v>632</v>
      </c>
      <c r="I696" s="2" t="s">
        <v>285</v>
      </c>
      <c r="J696" s="2" t="s">
        <v>19</v>
      </c>
      <c r="K696" s="2" t="s">
        <v>247</v>
      </c>
      <c r="L696" s="7" t="str">
        <f>HYPERLINK("http://slimages.macys.com/is/image/MCY/12285207 ")</f>
        <v xml:space="preserve">http://slimages.macys.com/is/image/MCY/12285207 </v>
      </c>
    </row>
    <row r="697" spans="1:12" ht="24.75" x14ac:dyDescent="0.25">
      <c r="A697" s="4" t="s">
        <v>2978</v>
      </c>
      <c r="B697" s="2" t="s">
        <v>1724</v>
      </c>
      <c r="C697" s="3">
        <v>1</v>
      </c>
      <c r="D697" s="5">
        <v>34.880000000000003</v>
      </c>
      <c r="E697" s="3">
        <v>100018041</v>
      </c>
      <c r="F697" s="2" t="s">
        <v>74</v>
      </c>
      <c r="G697" s="6" t="s">
        <v>16</v>
      </c>
      <c r="H697" s="2" t="s">
        <v>194</v>
      </c>
      <c r="I697" s="2" t="s">
        <v>195</v>
      </c>
      <c r="J697" s="2" t="s">
        <v>19</v>
      </c>
      <c r="K697" s="2" t="s">
        <v>353</v>
      </c>
      <c r="L697" s="7" t="str">
        <f>HYPERLINK("http://slimages.macys.com/is/image/MCY/12950342 ")</f>
        <v xml:space="preserve">http://slimages.macys.com/is/image/MCY/12950342 </v>
      </c>
    </row>
    <row r="698" spans="1:12" ht="24.75" x14ac:dyDescent="0.25">
      <c r="A698" s="4" t="s">
        <v>6792</v>
      </c>
      <c r="B698" s="2" t="s">
        <v>1808</v>
      </c>
      <c r="C698" s="3">
        <v>1</v>
      </c>
      <c r="D698" s="5">
        <v>22.13</v>
      </c>
      <c r="E698" s="3" t="s">
        <v>1809</v>
      </c>
      <c r="F698" s="2" t="s">
        <v>572</v>
      </c>
      <c r="G698" s="6"/>
      <c r="H698" s="2" t="s">
        <v>312</v>
      </c>
      <c r="I698" s="2" t="s">
        <v>580</v>
      </c>
      <c r="J698" s="2" t="s">
        <v>19</v>
      </c>
      <c r="K698" s="2" t="s">
        <v>1082</v>
      </c>
      <c r="L698" s="7" t="str">
        <f>HYPERLINK("http://slimages.macys.com/is/image/MCY/12950293 ")</f>
        <v xml:space="preserve">http://slimages.macys.com/is/image/MCY/12950293 </v>
      </c>
    </row>
    <row r="699" spans="1:12" ht="24.75" x14ac:dyDescent="0.25">
      <c r="A699" s="4" t="s">
        <v>6793</v>
      </c>
      <c r="B699" s="2" t="s">
        <v>6794</v>
      </c>
      <c r="C699" s="3">
        <v>1</v>
      </c>
      <c r="D699" s="5">
        <v>26.99</v>
      </c>
      <c r="E699" s="3" t="s">
        <v>6795</v>
      </c>
      <c r="F699" s="2" t="s">
        <v>15</v>
      </c>
      <c r="G699" s="6" t="s">
        <v>746</v>
      </c>
      <c r="H699" s="2" t="s">
        <v>349</v>
      </c>
      <c r="I699" s="2" t="s">
        <v>285</v>
      </c>
      <c r="J699" s="2" t="s">
        <v>19</v>
      </c>
      <c r="K699" s="2" t="s">
        <v>247</v>
      </c>
      <c r="L699" s="7" t="str">
        <f>HYPERLINK("http://slimages.macys.com/is/image/MCY/12877143 ")</f>
        <v xml:space="preserve">http://slimages.macys.com/is/image/MCY/12877143 </v>
      </c>
    </row>
    <row r="700" spans="1:12" ht="36.75" x14ac:dyDescent="0.25">
      <c r="A700" s="4" t="s">
        <v>6796</v>
      </c>
      <c r="B700" s="2" t="s">
        <v>6797</v>
      </c>
      <c r="C700" s="3">
        <v>1</v>
      </c>
      <c r="D700" s="5">
        <v>45</v>
      </c>
      <c r="E700" s="3" t="s">
        <v>6798</v>
      </c>
      <c r="F700" s="2" t="s">
        <v>94</v>
      </c>
      <c r="G700" s="6" t="s">
        <v>791</v>
      </c>
      <c r="H700" s="2" t="s">
        <v>447</v>
      </c>
      <c r="I700" s="2" t="s">
        <v>792</v>
      </c>
      <c r="J700" s="2" t="s">
        <v>19</v>
      </c>
      <c r="K700" s="2" t="s">
        <v>6799</v>
      </c>
      <c r="L700" s="7" t="str">
        <f>HYPERLINK("http://slimages.macys.com/is/image/MCY/12950031 ")</f>
        <v xml:space="preserve">http://slimages.macys.com/is/image/MCY/12950031 </v>
      </c>
    </row>
    <row r="701" spans="1:12" ht="24.75" x14ac:dyDescent="0.25">
      <c r="A701" s="4" t="s">
        <v>6800</v>
      </c>
      <c r="B701" s="2" t="s">
        <v>2983</v>
      </c>
      <c r="C701" s="3">
        <v>1</v>
      </c>
      <c r="D701" s="5">
        <v>20.99</v>
      </c>
      <c r="E701" s="3" t="s">
        <v>2984</v>
      </c>
      <c r="F701" s="2" t="s">
        <v>64</v>
      </c>
      <c r="G701" s="6" t="s">
        <v>219</v>
      </c>
      <c r="H701" s="2" t="s">
        <v>1425</v>
      </c>
      <c r="I701" s="2" t="s">
        <v>1864</v>
      </c>
      <c r="J701" s="2" t="s">
        <v>19</v>
      </c>
      <c r="K701" s="2" t="s">
        <v>107</v>
      </c>
      <c r="L701" s="7" t="str">
        <f>HYPERLINK("http://slimages.macys.com/is/image/MCY/10787778 ")</f>
        <v xml:space="preserve">http://slimages.macys.com/is/image/MCY/10787778 </v>
      </c>
    </row>
    <row r="702" spans="1:12" ht="24.75" x14ac:dyDescent="0.25">
      <c r="A702" s="4" t="s">
        <v>6801</v>
      </c>
      <c r="B702" s="2" t="s">
        <v>1801</v>
      </c>
      <c r="C702" s="3">
        <v>1</v>
      </c>
      <c r="D702" s="5">
        <v>21.5</v>
      </c>
      <c r="E702" s="3" t="s">
        <v>1802</v>
      </c>
      <c r="F702" s="2" t="s">
        <v>566</v>
      </c>
      <c r="G702" s="6"/>
      <c r="H702" s="2" t="s">
        <v>312</v>
      </c>
      <c r="I702" s="2" t="s">
        <v>580</v>
      </c>
      <c r="J702" s="2" t="s">
        <v>19</v>
      </c>
      <c r="K702" s="2" t="s">
        <v>1758</v>
      </c>
      <c r="L702" s="7" t="str">
        <f>HYPERLINK("http://slimages.macys.com/is/image/MCY/11515389 ")</f>
        <v xml:space="preserve">http://slimages.macys.com/is/image/MCY/11515389 </v>
      </c>
    </row>
    <row r="703" spans="1:12" ht="24.75" x14ac:dyDescent="0.25">
      <c r="A703" s="4" t="s">
        <v>6802</v>
      </c>
      <c r="B703" s="2" t="s">
        <v>6803</v>
      </c>
      <c r="C703" s="3">
        <v>1</v>
      </c>
      <c r="D703" s="5">
        <v>17.989999999999998</v>
      </c>
      <c r="E703" s="3" t="s">
        <v>6804</v>
      </c>
      <c r="F703" s="2" t="s">
        <v>820</v>
      </c>
      <c r="G703" s="6"/>
      <c r="H703" s="2" t="s">
        <v>1425</v>
      </c>
      <c r="I703" s="2" t="s">
        <v>1426</v>
      </c>
      <c r="J703" s="2" t="s">
        <v>19</v>
      </c>
      <c r="K703" s="2" t="s">
        <v>495</v>
      </c>
      <c r="L703" s="7" t="str">
        <f>HYPERLINK("http://slimages.macys.com/is/image/MCY/12064165 ")</f>
        <v xml:space="preserve">http://slimages.macys.com/is/image/MCY/12064165 </v>
      </c>
    </row>
    <row r="704" spans="1:12" ht="24.75" x14ac:dyDescent="0.25">
      <c r="A704" s="4" t="s">
        <v>4094</v>
      </c>
      <c r="B704" s="2" t="s">
        <v>4095</v>
      </c>
      <c r="C704" s="3">
        <v>1</v>
      </c>
      <c r="D704" s="5">
        <v>26.7</v>
      </c>
      <c r="E704" s="3" t="s">
        <v>4096</v>
      </c>
      <c r="F704" s="2" t="s">
        <v>74</v>
      </c>
      <c r="G704" s="6" t="s">
        <v>181</v>
      </c>
      <c r="H704" s="2" t="s">
        <v>284</v>
      </c>
      <c r="I704" s="2" t="s">
        <v>285</v>
      </c>
      <c r="J704" s="2" t="s">
        <v>19</v>
      </c>
      <c r="K704" s="2" t="s">
        <v>247</v>
      </c>
      <c r="L704" s="7" t="str">
        <f>HYPERLINK("http://slimages.macys.com/is/image/MCY/14425002 ")</f>
        <v xml:space="preserve">http://slimages.macys.com/is/image/MCY/14425002 </v>
      </c>
    </row>
    <row r="705" spans="1:12" ht="24.75" x14ac:dyDescent="0.25">
      <c r="A705" s="4" t="s">
        <v>6805</v>
      </c>
      <c r="B705" s="2" t="s">
        <v>1817</v>
      </c>
      <c r="C705" s="3">
        <v>3</v>
      </c>
      <c r="D705" s="5">
        <v>17.989999999999998</v>
      </c>
      <c r="E705" s="3" t="s">
        <v>1818</v>
      </c>
      <c r="F705" s="2" t="s">
        <v>74</v>
      </c>
      <c r="G705" s="6" t="s">
        <v>22</v>
      </c>
      <c r="H705" s="2" t="s">
        <v>1473</v>
      </c>
      <c r="I705" s="2" t="s">
        <v>1426</v>
      </c>
      <c r="J705" s="2" t="s">
        <v>19</v>
      </c>
      <c r="K705" s="2" t="s">
        <v>353</v>
      </c>
      <c r="L705" s="7" t="str">
        <f t="shared" ref="L705:L714" si="6">HYPERLINK("http://slimages.macys.com/is/image/MCY/12070597 ")</f>
        <v xml:space="preserve">http://slimages.macys.com/is/image/MCY/12070597 </v>
      </c>
    </row>
    <row r="706" spans="1:12" ht="24.75" x14ac:dyDescent="0.25">
      <c r="A706" s="4" t="s">
        <v>6806</v>
      </c>
      <c r="B706" s="2" t="s">
        <v>1817</v>
      </c>
      <c r="C706" s="3">
        <v>1</v>
      </c>
      <c r="D706" s="5">
        <v>17.989999999999998</v>
      </c>
      <c r="E706" s="3" t="s">
        <v>1818</v>
      </c>
      <c r="F706" s="2" t="s">
        <v>15</v>
      </c>
      <c r="G706" s="6" t="s">
        <v>112</v>
      </c>
      <c r="H706" s="2" t="s">
        <v>1473</v>
      </c>
      <c r="I706" s="2" t="s">
        <v>1426</v>
      </c>
      <c r="J706" s="2" t="s">
        <v>19</v>
      </c>
      <c r="K706" s="2" t="s">
        <v>353</v>
      </c>
      <c r="L706" s="7" t="str">
        <f t="shared" si="6"/>
        <v xml:space="preserve">http://slimages.macys.com/is/image/MCY/12070597 </v>
      </c>
    </row>
    <row r="707" spans="1:12" ht="24.75" x14ac:dyDescent="0.25">
      <c r="A707" s="4" t="s">
        <v>1816</v>
      </c>
      <c r="B707" s="2" t="s">
        <v>1817</v>
      </c>
      <c r="C707" s="3">
        <v>1</v>
      </c>
      <c r="D707" s="5">
        <v>17.989999999999998</v>
      </c>
      <c r="E707" s="3" t="s">
        <v>1818</v>
      </c>
      <c r="F707" s="2" t="s">
        <v>74</v>
      </c>
      <c r="G707" s="6" t="s">
        <v>58</v>
      </c>
      <c r="H707" s="2" t="s">
        <v>1473</v>
      </c>
      <c r="I707" s="2" t="s">
        <v>1426</v>
      </c>
      <c r="J707" s="2" t="s">
        <v>19</v>
      </c>
      <c r="K707" s="2" t="s">
        <v>353</v>
      </c>
      <c r="L707" s="7" t="str">
        <f t="shared" si="6"/>
        <v xml:space="preserve">http://slimages.macys.com/is/image/MCY/12070597 </v>
      </c>
    </row>
    <row r="708" spans="1:12" ht="24.75" x14ac:dyDescent="0.25">
      <c r="A708" s="4" t="s">
        <v>4099</v>
      </c>
      <c r="B708" s="2" t="s">
        <v>1817</v>
      </c>
      <c r="C708" s="3">
        <v>1</v>
      </c>
      <c r="D708" s="5">
        <v>17.989999999999998</v>
      </c>
      <c r="E708" s="3" t="s">
        <v>1818</v>
      </c>
      <c r="F708" s="2" t="s">
        <v>70</v>
      </c>
      <c r="G708" s="6" t="s">
        <v>27</v>
      </c>
      <c r="H708" s="2" t="s">
        <v>1473</v>
      </c>
      <c r="I708" s="2" t="s">
        <v>1426</v>
      </c>
      <c r="J708" s="2" t="s">
        <v>19</v>
      </c>
      <c r="K708" s="2" t="s">
        <v>353</v>
      </c>
      <c r="L708" s="7" t="str">
        <f t="shared" si="6"/>
        <v xml:space="preserve">http://slimages.macys.com/is/image/MCY/12070597 </v>
      </c>
    </row>
    <row r="709" spans="1:12" ht="24.75" x14ac:dyDescent="0.25">
      <c r="A709" s="4" t="s">
        <v>6807</v>
      </c>
      <c r="B709" s="2" t="s">
        <v>1817</v>
      </c>
      <c r="C709" s="3">
        <v>2</v>
      </c>
      <c r="D709" s="5">
        <v>17.989999999999998</v>
      </c>
      <c r="E709" s="3" t="s">
        <v>1818</v>
      </c>
      <c r="F709" s="2" t="s">
        <v>252</v>
      </c>
      <c r="G709" s="6" t="s">
        <v>16</v>
      </c>
      <c r="H709" s="2" t="s">
        <v>1473</v>
      </c>
      <c r="I709" s="2" t="s">
        <v>1426</v>
      </c>
      <c r="J709" s="2" t="s">
        <v>19</v>
      </c>
      <c r="K709" s="2" t="s">
        <v>353</v>
      </c>
      <c r="L709" s="7" t="str">
        <f t="shared" si="6"/>
        <v xml:space="preserve">http://slimages.macys.com/is/image/MCY/12070597 </v>
      </c>
    </row>
    <row r="710" spans="1:12" ht="24.75" x14ac:dyDescent="0.25">
      <c r="A710" s="4" t="s">
        <v>3002</v>
      </c>
      <c r="B710" s="2" t="s">
        <v>1817</v>
      </c>
      <c r="C710" s="3">
        <v>1</v>
      </c>
      <c r="D710" s="5">
        <v>17.989999999999998</v>
      </c>
      <c r="E710" s="3" t="s">
        <v>1818</v>
      </c>
      <c r="F710" s="2" t="s">
        <v>998</v>
      </c>
      <c r="G710" s="6" t="s">
        <v>16</v>
      </c>
      <c r="H710" s="2" t="s">
        <v>1473</v>
      </c>
      <c r="I710" s="2" t="s">
        <v>1426</v>
      </c>
      <c r="J710" s="2" t="s">
        <v>19</v>
      </c>
      <c r="K710" s="2" t="s">
        <v>353</v>
      </c>
      <c r="L710" s="7" t="str">
        <f t="shared" si="6"/>
        <v xml:space="preserve">http://slimages.macys.com/is/image/MCY/12070597 </v>
      </c>
    </row>
    <row r="711" spans="1:12" ht="24.75" x14ac:dyDescent="0.25">
      <c r="A711" s="4" t="s">
        <v>6808</v>
      </c>
      <c r="B711" s="2" t="s">
        <v>1817</v>
      </c>
      <c r="C711" s="3">
        <v>1</v>
      </c>
      <c r="D711" s="5">
        <v>17.989999999999998</v>
      </c>
      <c r="E711" s="3" t="s">
        <v>1818</v>
      </c>
      <c r="F711" s="2" t="s">
        <v>74</v>
      </c>
      <c r="G711" s="6" t="s">
        <v>106</v>
      </c>
      <c r="H711" s="2" t="s">
        <v>1473</v>
      </c>
      <c r="I711" s="2" t="s">
        <v>1426</v>
      </c>
      <c r="J711" s="2" t="s">
        <v>19</v>
      </c>
      <c r="K711" s="2" t="s">
        <v>353</v>
      </c>
      <c r="L711" s="7" t="str">
        <f t="shared" si="6"/>
        <v xml:space="preserve">http://slimages.macys.com/is/image/MCY/12070597 </v>
      </c>
    </row>
    <row r="712" spans="1:12" ht="24.75" x14ac:dyDescent="0.25">
      <c r="A712" s="4" t="s">
        <v>6809</v>
      </c>
      <c r="B712" s="2" t="s">
        <v>1817</v>
      </c>
      <c r="C712" s="3">
        <v>1</v>
      </c>
      <c r="D712" s="5">
        <v>17.989999999999998</v>
      </c>
      <c r="E712" s="3" t="s">
        <v>1818</v>
      </c>
      <c r="F712" s="2" t="s">
        <v>15</v>
      </c>
      <c r="G712" s="6" t="s">
        <v>16</v>
      </c>
      <c r="H712" s="2" t="s">
        <v>1473</v>
      </c>
      <c r="I712" s="2" t="s">
        <v>1426</v>
      </c>
      <c r="J712" s="2" t="s">
        <v>19</v>
      </c>
      <c r="K712" s="2" t="s">
        <v>353</v>
      </c>
      <c r="L712" s="7" t="str">
        <f t="shared" si="6"/>
        <v xml:space="preserve">http://slimages.macys.com/is/image/MCY/12070597 </v>
      </c>
    </row>
    <row r="713" spans="1:12" ht="24.75" x14ac:dyDescent="0.25">
      <c r="A713" s="4" t="s">
        <v>6810</v>
      </c>
      <c r="B713" s="2" t="s">
        <v>1817</v>
      </c>
      <c r="C713" s="3">
        <v>1</v>
      </c>
      <c r="D713" s="5">
        <v>17.989999999999998</v>
      </c>
      <c r="E713" s="3" t="s">
        <v>1818</v>
      </c>
      <c r="F713" s="2" t="s">
        <v>74</v>
      </c>
      <c r="G713" s="6" t="s">
        <v>16</v>
      </c>
      <c r="H713" s="2" t="s">
        <v>1473</v>
      </c>
      <c r="I713" s="2" t="s">
        <v>1426</v>
      </c>
      <c r="J713" s="2" t="s">
        <v>19</v>
      </c>
      <c r="K713" s="2" t="s">
        <v>353</v>
      </c>
      <c r="L713" s="7" t="str">
        <f t="shared" si="6"/>
        <v xml:space="preserve">http://slimages.macys.com/is/image/MCY/12070597 </v>
      </c>
    </row>
    <row r="714" spans="1:12" ht="24.75" x14ac:dyDescent="0.25">
      <c r="A714" s="4" t="s">
        <v>2993</v>
      </c>
      <c r="B714" s="2" t="s">
        <v>1817</v>
      </c>
      <c r="C714" s="3">
        <v>1</v>
      </c>
      <c r="D714" s="5">
        <v>17.989999999999998</v>
      </c>
      <c r="E714" s="3" t="s">
        <v>1818</v>
      </c>
      <c r="F714" s="2" t="s">
        <v>15</v>
      </c>
      <c r="G714" s="6" t="s">
        <v>106</v>
      </c>
      <c r="H714" s="2" t="s">
        <v>1473</v>
      </c>
      <c r="I714" s="2" t="s">
        <v>1426</v>
      </c>
      <c r="J714" s="2" t="s">
        <v>19</v>
      </c>
      <c r="K714" s="2" t="s">
        <v>353</v>
      </c>
      <c r="L714" s="7" t="str">
        <f t="shared" si="6"/>
        <v xml:space="preserve">http://slimages.macys.com/is/image/MCY/12070597 </v>
      </c>
    </row>
    <row r="715" spans="1:12" ht="24.75" x14ac:dyDescent="0.25">
      <c r="A715" s="4" t="s">
        <v>6811</v>
      </c>
      <c r="B715" s="2" t="s">
        <v>1764</v>
      </c>
      <c r="C715" s="3">
        <v>1</v>
      </c>
      <c r="D715" s="5">
        <v>22.13</v>
      </c>
      <c r="E715" s="3" t="s">
        <v>6812</v>
      </c>
      <c r="F715" s="2" t="s">
        <v>998</v>
      </c>
      <c r="G715" s="6" t="s">
        <v>234</v>
      </c>
      <c r="H715" s="2" t="s">
        <v>194</v>
      </c>
      <c r="I715" s="2" t="s">
        <v>195</v>
      </c>
      <c r="J715" s="2" t="s">
        <v>19</v>
      </c>
      <c r="K715" s="2" t="s">
        <v>1082</v>
      </c>
      <c r="L715" s="7" t="str">
        <f>HYPERLINK("http://slimages.macys.com/is/image/MCY/11936095 ")</f>
        <v xml:space="preserve">http://slimages.macys.com/is/image/MCY/11936095 </v>
      </c>
    </row>
    <row r="716" spans="1:12" ht="24.75" x14ac:dyDescent="0.25">
      <c r="A716" s="4" t="s">
        <v>6813</v>
      </c>
      <c r="B716" s="2" t="s">
        <v>3019</v>
      </c>
      <c r="C716" s="3">
        <v>1</v>
      </c>
      <c r="D716" s="5">
        <v>17.989999999999998</v>
      </c>
      <c r="E716" s="3" t="s">
        <v>3020</v>
      </c>
      <c r="F716" s="2" t="s">
        <v>15</v>
      </c>
      <c r="G716" s="6"/>
      <c r="H716" s="2" t="s">
        <v>1425</v>
      </c>
      <c r="I716" s="2" t="s">
        <v>1426</v>
      </c>
      <c r="J716" s="2" t="s">
        <v>19</v>
      </c>
      <c r="K716" s="2" t="s">
        <v>107</v>
      </c>
      <c r="L716" s="7" t="str">
        <f>HYPERLINK("http://slimages.macys.com/is/image/MCY/11831225 ")</f>
        <v xml:space="preserve">http://slimages.macys.com/is/image/MCY/11831225 </v>
      </c>
    </row>
    <row r="717" spans="1:12" ht="24.75" x14ac:dyDescent="0.25">
      <c r="A717" s="4" t="s">
        <v>6814</v>
      </c>
      <c r="B717" s="2" t="s">
        <v>6815</v>
      </c>
      <c r="C717" s="3">
        <v>1</v>
      </c>
      <c r="D717" s="5">
        <v>19.989999999999998</v>
      </c>
      <c r="E717" s="3" t="s">
        <v>6816</v>
      </c>
      <c r="F717" s="2" t="s">
        <v>417</v>
      </c>
      <c r="G717" s="6" t="s">
        <v>219</v>
      </c>
      <c r="H717" s="2" t="s">
        <v>1425</v>
      </c>
      <c r="I717" s="2" t="s">
        <v>1426</v>
      </c>
      <c r="J717" s="2" t="s">
        <v>19</v>
      </c>
      <c r="K717" s="2" t="s">
        <v>107</v>
      </c>
      <c r="L717" s="7" t="str">
        <f>HYPERLINK("http://slimages.macys.com/is/image/MCY/10887963 ")</f>
        <v xml:space="preserve">http://slimages.macys.com/is/image/MCY/10887963 </v>
      </c>
    </row>
    <row r="718" spans="1:12" ht="24.75" x14ac:dyDescent="0.25">
      <c r="A718" s="4" t="s">
        <v>6103</v>
      </c>
      <c r="B718" s="2" t="s">
        <v>3026</v>
      </c>
      <c r="C718" s="3">
        <v>1</v>
      </c>
      <c r="D718" s="5">
        <v>21.99</v>
      </c>
      <c r="E718" s="3" t="s">
        <v>3027</v>
      </c>
      <c r="F718" s="2" t="s">
        <v>79</v>
      </c>
      <c r="G718" s="6" t="s">
        <v>156</v>
      </c>
      <c r="H718" s="2" t="s">
        <v>284</v>
      </c>
      <c r="I718" s="2" t="s">
        <v>285</v>
      </c>
      <c r="J718" s="2" t="s">
        <v>19</v>
      </c>
      <c r="K718" s="2" t="s">
        <v>247</v>
      </c>
      <c r="L718" s="7" t="str">
        <f>HYPERLINK("http://slimages.macys.com/is/image/MCY/9972026 ")</f>
        <v xml:space="preserve">http://slimages.macys.com/is/image/MCY/9972026 </v>
      </c>
    </row>
    <row r="719" spans="1:12" ht="24.75" x14ac:dyDescent="0.25">
      <c r="A719" s="4" t="s">
        <v>4116</v>
      </c>
      <c r="B719" s="2" t="s">
        <v>3026</v>
      </c>
      <c r="C719" s="3">
        <v>2</v>
      </c>
      <c r="D719" s="5">
        <v>21.99</v>
      </c>
      <c r="E719" s="3" t="s">
        <v>3027</v>
      </c>
      <c r="F719" s="2" t="s">
        <v>79</v>
      </c>
      <c r="G719" s="6" t="s">
        <v>154</v>
      </c>
      <c r="H719" s="2" t="s">
        <v>284</v>
      </c>
      <c r="I719" s="2" t="s">
        <v>285</v>
      </c>
      <c r="J719" s="2" t="s">
        <v>19</v>
      </c>
      <c r="K719" s="2" t="s">
        <v>247</v>
      </c>
      <c r="L719" s="7" t="str">
        <f>HYPERLINK("http://slimages.macys.com/is/image/MCY/9972026 ")</f>
        <v xml:space="preserve">http://slimages.macys.com/is/image/MCY/9972026 </v>
      </c>
    </row>
    <row r="720" spans="1:12" ht="36.75" x14ac:dyDescent="0.25">
      <c r="A720" s="4" t="s">
        <v>4117</v>
      </c>
      <c r="B720" s="2" t="s">
        <v>1440</v>
      </c>
      <c r="C720" s="3">
        <v>1</v>
      </c>
      <c r="D720" s="5">
        <v>29.5</v>
      </c>
      <c r="E720" s="3" t="s">
        <v>1441</v>
      </c>
      <c r="F720" s="2" t="s">
        <v>74</v>
      </c>
      <c r="G720" s="6" t="s">
        <v>187</v>
      </c>
      <c r="H720" s="2" t="s">
        <v>206</v>
      </c>
      <c r="I720" s="2" t="s">
        <v>207</v>
      </c>
      <c r="J720" s="2" t="s">
        <v>19</v>
      </c>
      <c r="K720" s="2" t="s">
        <v>1442</v>
      </c>
      <c r="L720" s="7" t="str">
        <f>HYPERLINK("http://slimages.macys.com/is/image/MCY/9641918 ")</f>
        <v xml:space="preserve">http://slimages.macys.com/is/image/MCY/9641918 </v>
      </c>
    </row>
    <row r="721" spans="1:12" ht="36.75" x14ac:dyDescent="0.25">
      <c r="A721" s="4" t="s">
        <v>5154</v>
      </c>
      <c r="B721" s="2" t="s">
        <v>1440</v>
      </c>
      <c r="C721" s="3">
        <v>1</v>
      </c>
      <c r="D721" s="5">
        <v>29.5</v>
      </c>
      <c r="E721" s="3" t="s">
        <v>1441</v>
      </c>
      <c r="F721" s="2" t="s">
        <v>74</v>
      </c>
      <c r="G721" s="6"/>
      <c r="H721" s="2" t="s">
        <v>206</v>
      </c>
      <c r="I721" s="2" t="s">
        <v>207</v>
      </c>
      <c r="J721" s="2" t="s">
        <v>19</v>
      </c>
      <c r="K721" s="2" t="s">
        <v>1442</v>
      </c>
      <c r="L721" s="7" t="str">
        <f>HYPERLINK("http://slimages.macys.com/is/image/MCY/9641918 ")</f>
        <v xml:space="preserve">http://slimages.macys.com/is/image/MCY/9641918 </v>
      </c>
    </row>
    <row r="722" spans="1:12" ht="24.75" x14ac:dyDescent="0.25">
      <c r="A722" s="4" t="s">
        <v>4115</v>
      </c>
      <c r="B722" s="2" t="s">
        <v>4113</v>
      </c>
      <c r="C722" s="3">
        <v>2</v>
      </c>
      <c r="D722" s="5">
        <v>19.989999999999998</v>
      </c>
      <c r="E722" s="3" t="s">
        <v>4114</v>
      </c>
      <c r="F722" s="2" t="s">
        <v>331</v>
      </c>
      <c r="G722" s="6"/>
      <c r="H722" s="2" t="s">
        <v>188</v>
      </c>
      <c r="I722" s="2" t="s">
        <v>189</v>
      </c>
      <c r="J722" s="2" t="s">
        <v>19</v>
      </c>
      <c r="K722" s="2" t="s">
        <v>4121</v>
      </c>
      <c r="L722" s="7" t="str">
        <f>HYPERLINK("http://slimages.macys.com/is/image/MCY/12773731 ")</f>
        <v xml:space="preserve">http://slimages.macys.com/is/image/MCY/12773731 </v>
      </c>
    </row>
    <row r="723" spans="1:12" ht="24.75" x14ac:dyDescent="0.25">
      <c r="A723" s="4" t="s">
        <v>5148</v>
      </c>
      <c r="B723" s="2" t="s">
        <v>4113</v>
      </c>
      <c r="C723" s="3">
        <v>1</v>
      </c>
      <c r="D723" s="5">
        <v>19.989999999999998</v>
      </c>
      <c r="E723" s="3" t="s">
        <v>4114</v>
      </c>
      <c r="F723" s="2" t="s">
        <v>331</v>
      </c>
      <c r="G723" s="6"/>
      <c r="H723" s="2" t="s">
        <v>188</v>
      </c>
      <c r="I723" s="2" t="s">
        <v>189</v>
      </c>
      <c r="J723" s="2" t="s">
        <v>19</v>
      </c>
      <c r="K723" s="2" t="s">
        <v>4121</v>
      </c>
      <c r="L723" s="7" t="str">
        <f>HYPERLINK("http://slimages.macys.com/is/image/MCY/12773731 ")</f>
        <v xml:space="preserve">http://slimages.macys.com/is/image/MCY/12773731 </v>
      </c>
    </row>
    <row r="724" spans="1:12" ht="24.75" x14ac:dyDescent="0.25">
      <c r="A724" s="4" t="s">
        <v>5149</v>
      </c>
      <c r="B724" s="2" t="s">
        <v>4113</v>
      </c>
      <c r="C724" s="3">
        <v>3</v>
      </c>
      <c r="D724" s="5">
        <v>19.989999999999998</v>
      </c>
      <c r="E724" s="3" t="s">
        <v>4114</v>
      </c>
      <c r="F724" s="2" t="s">
        <v>331</v>
      </c>
      <c r="G724" s="6" t="s">
        <v>219</v>
      </c>
      <c r="H724" s="2" t="s">
        <v>188</v>
      </c>
      <c r="I724" s="2" t="s">
        <v>189</v>
      </c>
      <c r="J724" s="2" t="s">
        <v>19</v>
      </c>
      <c r="K724" s="2" t="s">
        <v>4121</v>
      </c>
      <c r="L724" s="7" t="str">
        <f>HYPERLINK("http://slimages.macys.com/is/image/MCY/12773731 ")</f>
        <v xml:space="preserve">http://slimages.macys.com/is/image/MCY/12773731 </v>
      </c>
    </row>
    <row r="725" spans="1:12" ht="24.75" x14ac:dyDescent="0.25">
      <c r="A725" s="4" t="s">
        <v>4112</v>
      </c>
      <c r="B725" s="2" t="s">
        <v>4113</v>
      </c>
      <c r="C725" s="3">
        <v>2</v>
      </c>
      <c r="D725" s="5">
        <v>19.989999999999998</v>
      </c>
      <c r="E725" s="3" t="s">
        <v>4114</v>
      </c>
      <c r="F725" s="2" t="s">
        <v>331</v>
      </c>
      <c r="G725" s="6"/>
      <c r="H725" s="2" t="s">
        <v>188</v>
      </c>
      <c r="I725" s="2" t="s">
        <v>189</v>
      </c>
      <c r="J725" s="2" t="s">
        <v>19</v>
      </c>
      <c r="K725" s="2" t="s">
        <v>4121</v>
      </c>
      <c r="L725" s="7" t="str">
        <f>HYPERLINK("http://slimages.macys.com/is/image/MCY/12773731 ")</f>
        <v xml:space="preserve">http://slimages.macys.com/is/image/MCY/12773731 </v>
      </c>
    </row>
    <row r="726" spans="1:12" ht="24.75" x14ac:dyDescent="0.25">
      <c r="A726" s="4" t="s">
        <v>5147</v>
      </c>
      <c r="B726" s="2" t="s">
        <v>4113</v>
      </c>
      <c r="C726" s="3">
        <v>1</v>
      </c>
      <c r="D726" s="5">
        <v>19.989999999999998</v>
      </c>
      <c r="E726" s="3" t="s">
        <v>4114</v>
      </c>
      <c r="F726" s="2" t="s">
        <v>331</v>
      </c>
      <c r="G726" s="6" t="s">
        <v>187</v>
      </c>
      <c r="H726" s="2" t="s">
        <v>188</v>
      </c>
      <c r="I726" s="2" t="s">
        <v>189</v>
      </c>
      <c r="J726" s="2" t="s">
        <v>19</v>
      </c>
      <c r="K726" s="2" t="s">
        <v>4121</v>
      </c>
      <c r="L726" s="7" t="str">
        <f>HYPERLINK("http://slimages.macys.com/is/image/MCY/12773731 ")</f>
        <v xml:space="preserve">http://slimages.macys.com/is/image/MCY/12773731 </v>
      </c>
    </row>
    <row r="727" spans="1:12" ht="24.75" x14ac:dyDescent="0.25">
      <c r="A727" s="4" t="s">
        <v>6817</v>
      </c>
      <c r="B727" s="2" t="s">
        <v>3026</v>
      </c>
      <c r="C727" s="3">
        <v>1</v>
      </c>
      <c r="D727" s="5">
        <v>21.99</v>
      </c>
      <c r="E727" s="3" t="s">
        <v>5156</v>
      </c>
      <c r="F727" s="2" t="s">
        <v>64</v>
      </c>
      <c r="G727" s="6" t="s">
        <v>200</v>
      </c>
      <c r="H727" s="2" t="s">
        <v>284</v>
      </c>
      <c r="I727" s="2" t="s">
        <v>285</v>
      </c>
      <c r="J727" s="2" t="s">
        <v>19</v>
      </c>
      <c r="K727" s="2" t="s">
        <v>247</v>
      </c>
      <c r="L727" s="7" t="str">
        <f>HYPERLINK("http://slimages.macys.com/is/image/MCY/16393197 ")</f>
        <v xml:space="preserve">http://slimages.macys.com/is/image/MCY/16393197 </v>
      </c>
    </row>
    <row r="728" spans="1:12" ht="24.75" x14ac:dyDescent="0.25">
      <c r="A728" s="4" t="s">
        <v>6818</v>
      </c>
      <c r="B728" s="2" t="s">
        <v>1829</v>
      </c>
      <c r="C728" s="3">
        <v>1</v>
      </c>
      <c r="D728" s="5">
        <v>14.99</v>
      </c>
      <c r="E728" s="3" t="s">
        <v>1840</v>
      </c>
      <c r="F728" s="2" t="s">
        <v>170</v>
      </c>
      <c r="G728" s="6" t="s">
        <v>156</v>
      </c>
      <c r="H728" s="2" t="s">
        <v>194</v>
      </c>
      <c r="I728" s="2" t="s">
        <v>307</v>
      </c>
      <c r="J728" s="2" t="s">
        <v>19</v>
      </c>
      <c r="K728" s="2" t="s">
        <v>1831</v>
      </c>
      <c r="L728" s="7" t="str">
        <f>HYPERLINK("http://slimages.macys.com/is/image/MCY/12794114 ")</f>
        <v xml:space="preserve">http://slimages.macys.com/is/image/MCY/12794114 </v>
      </c>
    </row>
    <row r="729" spans="1:12" ht="24.75" x14ac:dyDescent="0.25">
      <c r="A729" s="4" t="s">
        <v>6819</v>
      </c>
      <c r="B729" s="2" t="s">
        <v>1833</v>
      </c>
      <c r="C729" s="3">
        <v>1</v>
      </c>
      <c r="D729" s="5">
        <v>14.99</v>
      </c>
      <c r="E729" s="3" t="s">
        <v>1834</v>
      </c>
      <c r="F729" s="2" t="s">
        <v>566</v>
      </c>
      <c r="G729" s="6" t="s">
        <v>234</v>
      </c>
      <c r="H729" s="2" t="s">
        <v>194</v>
      </c>
      <c r="I729" s="2" t="s">
        <v>307</v>
      </c>
      <c r="J729" s="2" t="s">
        <v>19</v>
      </c>
      <c r="K729" s="2" t="s">
        <v>34</v>
      </c>
      <c r="L729" s="7" t="str">
        <f>HYPERLINK("http://slimages.macys.com/is/image/MCY/11337542 ")</f>
        <v xml:space="preserve">http://slimages.macys.com/is/image/MCY/11337542 </v>
      </c>
    </row>
    <row r="730" spans="1:12" ht="24.75" x14ac:dyDescent="0.25">
      <c r="A730" s="4" t="s">
        <v>6116</v>
      </c>
      <c r="B730" s="2" t="s">
        <v>1833</v>
      </c>
      <c r="C730" s="3">
        <v>2</v>
      </c>
      <c r="D730" s="5">
        <v>14.99</v>
      </c>
      <c r="E730" s="3" t="s">
        <v>4134</v>
      </c>
      <c r="F730" s="2" t="s">
        <v>998</v>
      </c>
      <c r="G730" s="6" t="s">
        <v>154</v>
      </c>
      <c r="H730" s="2" t="s">
        <v>194</v>
      </c>
      <c r="I730" s="2" t="s">
        <v>307</v>
      </c>
      <c r="J730" s="2" t="s">
        <v>19</v>
      </c>
      <c r="K730" s="2" t="s">
        <v>34</v>
      </c>
      <c r="L730" s="7" t="str">
        <f>HYPERLINK("http://slimages.macys.com/is/image/MCY/12668021 ")</f>
        <v xml:space="preserve">http://slimages.macys.com/is/image/MCY/12668021 </v>
      </c>
    </row>
    <row r="731" spans="1:12" ht="24.75" x14ac:dyDescent="0.25">
      <c r="A731" s="4" t="s">
        <v>5166</v>
      </c>
      <c r="B731" s="2" t="s">
        <v>1833</v>
      </c>
      <c r="C731" s="3">
        <v>1</v>
      </c>
      <c r="D731" s="5">
        <v>14.99</v>
      </c>
      <c r="E731" s="3" t="s">
        <v>4134</v>
      </c>
      <c r="F731" s="2" t="s">
        <v>998</v>
      </c>
      <c r="G731" s="6" t="s">
        <v>234</v>
      </c>
      <c r="H731" s="2" t="s">
        <v>194</v>
      </c>
      <c r="I731" s="2" t="s">
        <v>307</v>
      </c>
      <c r="J731" s="2" t="s">
        <v>19</v>
      </c>
      <c r="K731" s="2" t="s">
        <v>34</v>
      </c>
      <c r="L731" s="7" t="str">
        <f>HYPERLINK("http://slimages.macys.com/is/image/MCY/12668021 ")</f>
        <v xml:space="preserve">http://slimages.macys.com/is/image/MCY/12668021 </v>
      </c>
    </row>
    <row r="732" spans="1:12" ht="24.75" x14ac:dyDescent="0.25">
      <c r="A732" s="4" t="s">
        <v>6820</v>
      </c>
      <c r="B732" s="2" t="s">
        <v>1829</v>
      </c>
      <c r="C732" s="3">
        <v>1</v>
      </c>
      <c r="D732" s="5">
        <v>14.99</v>
      </c>
      <c r="E732" s="3" t="s">
        <v>6821</v>
      </c>
      <c r="F732" s="2" t="s">
        <v>70</v>
      </c>
      <c r="G732" s="6" t="s">
        <v>154</v>
      </c>
      <c r="H732" s="2" t="s">
        <v>194</v>
      </c>
      <c r="I732" s="2" t="s">
        <v>307</v>
      </c>
      <c r="J732" s="2" t="s">
        <v>19</v>
      </c>
      <c r="K732" s="2" t="s">
        <v>34</v>
      </c>
      <c r="L732" s="7" t="str">
        <f>HYPERLINK("http://slimages.macys.com/is/image/MCY/11936079 ")</f>
        <v xml:space="preserve">http://slimages.macys.com/is/image/MCY/11936079 </v>
      </c>
    </row>
    <row r="733" spans="1:12" ht="24.75" x14ac:dyDescent="0.25">
      <c r="A733" s="4" t="s">
        <v>6111</v>
      </c>
      <c r="B733" s="2" t="s">
        <v>1833</v>
      </c>
      <c r="C733" s="3">
        <v>2</v>
      </c>
      <c r="D733" s="5">
        <v>14.99</v>
      </c>
      <c r="E733" s="3" t="s">
        <v>4134</v>
      </c>
      <c r="F733" s="2" t="s">
        <v>998</v>
      </c>
      <c r="G733" s="6" t="s">
        <v>181</v>
      </c>
      <c r="H733" s="2" t="s">
        <v>194</v>
      </c>
      <c r="I733" s="2" t="s">
        <v>307</v>
      </c>
      <c r="J733" s="2" t="s">
        <v>19</v>
      </c>
      <c r="K733" s="2" t="s">
        <v>34</v>
      </c>
      <c r="L733" s="7" t="str">
        <f>HYPERLINK("http://slimages.macys.com/is/image/MCY/12668021 ")</f>
        <v xml:space="preserve">http://slimages.macys.com/is/image/MCY/12668021 </v>
      </c>
    </row>
    <row r="734" spans="1:12" ht="24.75" x14ac:dyDescent="0.25">
      <c r="A734" s="4" t="s">
        <v>6822</v>
      </c>
      <c r="B734" s="2" t="s">
        <v>1850</v>
      </c>
      <c r="C734" s="3">
        <v>2</v>
      </c>
      <c r="D734" s="5">
        <v>22.13</v>
      </c>
      <c r="E734" s="3" t="s">
        <v>1851</v>
      </c>
      <c r="F734" s="2" t="s">
        <v>1322</v>
      </c>
      <c r="G734" s="6" t="s">
        <v>234</v>
      </c>
      <c r="H734" s="2" t="s">
        <v>194</v>
      </c>
      <c r="I734" s="2" t="s">
        <v>195</v>
      </c>
      <c r="J734" s="2" t="s">
        <v>19</v>
      </c>
      <c r="K734" s="2" t="s">
        <v>1108</v>
      </c>
      <c r="L734" s="7" t="str">
        <f>HYPERLINK("http://slimages.macys.com/is/image/MCY/15709119 ")</f>
        <v xml:space="preserve">http://slimages.macys.com/is/image/MCY/15709119 </v>
      </c>
    </row>
    <row r="735" spans="1:12" ht="24.75" x14ac:dyDescent="0.25">
      <c r="A735" s="4" t="s">
        <v>6119</v>
      </c>
      <c r="B735" s="2" t="s">
        <v>1850</v>
      </c>
      <c r="C735" s="3">
        <v>2</v>
      </c>
      <c r="D735" s="5">
        <v>22.13</v>
      </c>
      <c r="E735" s="3" t="s">
        <v>1851</v>
      </c>
      <c r="F735" s="2" t="s">
        <v>1322</v>
      </c>
      <c r="G735" s="6" t="s">
        <v>181</v>
      </c>
      <c r="H735" s="2" t="s">
        <v>194</v>
      </c>
      <c r="I735" s="2" t="s">
        <v>195</v>
      </c>
      <c r="J735" s="2" t="s">
        <v>19</v>
      </c>
      <c r="K735" s="2" t="s">
        <v>1108</v>
      </c>
      <c r="L735" s="7" t="str">
        <f>HYPERLINK("http://slimages.macys.com/is/image/MCY/15709119 ")</f>
        <v xml:space="preserve">http://slimages.macys.com/is/image/MCY/15709119 </v>
      </c>
    </row>
    <row r="736" spans="1:12" ht="24.75" x14ac:dyDescent="0.25">
      <c r="A736" s="4" t="s">
        <v>6120</v>
      </c>
      <c r="B736" s="2" t="s">
        <v>1850</v>
      </c>
      <c r="C736" s="3">
        <v>1</v>
      </c>
      <c r="D736" s="5">
        <v>22.13</v>
      </c>
      <c r="E736" s="3" t="s">
        <v>1851</v>
      </c>
      <c r="F736" s="2" t="s">
        <v>1322</v>
      </c>
      <c r="G736" s="6" t="s">
        <v>156</v>
      </c>
      <c r="H736" s="2" t="s">
        <v>194</v>
      </c>
      <c r="I736" s="2" t="s">
        <v>195</v>
      </c>
      <c r="J736" s="2" t="s">
        <v>19</v>
      </c>
      <c r="K736" s="2" t="s">
        <v>1108</v>
      </c>
      <c r="L736" s="7" t="str">
        <f>HYPERLINK("http://slimages.macys.com/is/image/MCY/15709119 ")</f>
        <v xml:space="preserve">http://slimages.macys.com/is/image/MCY/15709119 </v>
      </c>
    </row>
    <row r="737" spans="1:12" ht="24.75" x14ac:dyDescent="0.25">
      <c r="A737" s="4" t="s">
        <v>1849</v>
      </c>
      <c r="B737" s="2" t="s">
        <v>1850</v>
      </c>
      <c r="C737" s="3">
        <v>2</v>
      </c>
      <c r="D737" s="5">
        <v>22.13</v>
      </c>
      <c r="E737" s="3" t="s">
        <v>1851</v>
      </c>
      <c r="F737" s="2" t="s">
        <v>1322</v>
      </c>
      <c r="G737" s="6" t="s">
        <v>154</v>
      </c>
      <c r="H737" s="2" t="s">
        <v>194</v>
      </c>
      <c r="I737" s="2" t="s">
        <v>195</v>
      </c>
      <c r="J737" s="2" t="s">
        <v>19</v>
      </c>
      <c r="K737" s="2" t="s">
        <v>1108</v>
      </c>
      <c r="L737" s="7" t="str">
        <f>HYPERLINK("http://slimages.macys.com/is/image/MCY/15709119 ")</f>
        <v xml:space="preserve">http://slimages.macys.com/is/image/MCY/15709119 </v>
      </c>
    </row>
    <row r="738" spans="1:12" ht="24.75" x14ac:dyDescent="0.25">
      <c r="A738" s="4" t="s">
        <v>4136</v>
      </c>
      <c r="B738" s="2" t="s">
        <v>1853</v>
      </c>
      <c r="C738" s="3">
        <v>1</v>
      </c>
      <c r="D738" s="5">
        <v>17.989999999999998</v>
      </c>
      <c r="E738" s="3" t="s">
        <v>1854</v>
      </c>
      <c r="F738" s="2" t="s">
        <v>26</v>
      </c>
      <c r="G738" s="6"/>
      <c r="H738" s="2" t="s">
        <v>1425</v>
      </c>
      <c r="I738" s="2" t="s">
        <v>1469</v>
      </c>
      <c r="J738" s="2" t="s">
        <v>19</v>
      </c>
      <c r="K738" s="2" t="s">
        <v>353</v>
      </c>
      <c r="L738" s="7" t="str">
        <f>HYPERLINK("http://slimages.macys.com/is/image/MCY/2880260 ")</f>
        <v xml:space="preserve">http://slimages.macys.com/is/image/MCY/2880260 </v>
      </c>
    </row>
    <row r="739" spans="1:12" ht="24.75" x14ac:dyDescent="0.25">
      <c r="A739" s="4" t="s">
        <v>5167</v>
      </c>
      <c r="B739" s="2" t="s">
        <v>1853</v>
      </c>
      <c r="C739" s="3">
        <v>2</v>
      </c>
      <c r="D739" s="5">
        <v>17.989999999999998</v>
      </c>
      <c r="E739" s="3" t="s">
        <v>1854</v>
      </c>
      <c r="F739" s="2" t="s">
        <v>26</v>
      </c>
      <c r="G739" s="6"/>
      <c r="H739" s="2" t="s">
        <v>1425</v>
      </c>
      <c r="I739" s="2" t="s">
        <v>1469</v>
      </c>
      <c r="J739" s="2" t="s">
        <v>19</v>
      </c>
      <c r="K739" s="2" t="s">
        <v>353</v>
      </c>
      <c r="L739" s="7" t="str">
        <f>HYPERLINK("http://slimages.macys.com/is/image/MCY/2880260 ")</f>
        <v xml:space="preserve">http://slimages.macys.com/is/image/MCY/2880260 </v>
      </c>
    </row>
    <row r="740" spans="1:12" ht="24.75" x14ac:dyDescent="0.25">
      <c r="A740" s="4" t="s">
        <v>6823</v>
      </c>
      <c r="B740" s="2" t="s">
        <v>2016</v>
      </c>
      <c r="C740" s="3">
        <v>1</v>
      </c>
      <c r="D740" s="5">
        <v>12.99</v>
      </c>
      <c r="E740" s="3" t="s">
        <v>2017</v>
      </c>
      <c r="F740" s="2" t="s">
        <v>70</v>
      </c>
      <c r="G740" s="6" t="s">
        <v>181</v>
      </c>
      <c r="H740" s="2" t="s">
        <v>194</v>
      </c>
      <c r="I740" s="2" t="s">
        <v>195</v>
      </c>
      <c r="J740" s="2" t="s">
        <v>19</v>
      </c>
      <c r="K740" s="2" t="s">
        <v>648</v>
      </c>
      <c r="L740" s="7" t="str">
        <f>HYPERLINK("http://slimages.macys.com/is/image/MCY/14887463 ")</f>
        <v xml:space="preserve">http://slimages.macys.com/is/image/MCY/14887463 </v>
      </c>
    </row>
    <row r="741" spans="1:12" ht="24.75" x14ac:dyDescent="0.25">
      <c r="A741" s="4" t="s">
        <v>1852</v>
      </c>
      <c r="B741" s="2" t="s">
        <v>1853</v>
      </c>
      <c r="C741" s="3">
        <v>2</v>
      </c>
      <c r="D741" s="5">
        <v>17.989999999999998</v>
      </c>
      <c r="E741" s="3" t="s">
        <v>1854</v>
      </c>
      <c r="F741" s="2" t="s">
        <v>26</v>
      </c>
      <c r="G741" s="6"/>
      <c r="H741" s="2" t="s">
        <v>1425</v>
      </c>
      <c r="I741" s="2" t="s">
        <v>1469</v>
      </c>
      <c r="J741" s="2" t="s">
        <v>19</v>
      </c>
      <c r="K741" s="2" t="s">
        <v>353</v>
      </c>
      <c r="L741" s="7" t="str">
        <f>HYPERLINK("http://slimages.macys.com/is/image/MCY/2880260 ")</f>
        <v xml:space="preserve">http://slimages.macys.com/is/image/MCY/2880260 </v>
      </c>
    </row>
    <row r="742" spans="1:12" ht="24.75" x14ac:dyDescent="0.25">
      <c r="A742" s="4" t="s">
        <v>4135</v>
      </c>
      <c r="B742" s="2" t="s">
        <v>1853</v>
      </c>
      <c r="C742" s="3">
        <v>2</v>
      </c>
      <c r="D742" s="5">
        <v>17.989999999999998</v>
      </c>
      <c r="E742" s="3" t="s">
        <v>1854</v>
      </c>
      <c r="F742" s="2" t="s">
        <v>26</v>
      </c>
      <c r="G742" s="6" t="s">
        <v>219</v>
      </c>
      <c r="H742" s="2" t="s">
        <v>1425</v>
      </c>
      <c r="I742" s="2" t="s">
        <v>1469</v>
      </c>
      <c r="J742" s="2" t="s">
        <v>19</v>
      </c>
      <c r="K742" s="2" t="s">
        <v>353</v>
      </c>
      <c r="L742" s="7" t="str">
        <f>HYPERLINK("http://slimages.macys.com/is/image/MCY/2880260 ")</f>
        <v xml:space="preserve">http://slimages.macys.com/is/image/MCY/2880260 </v>
      </c>
    </row>
    <row r="743" spans="1:12" ht="24.75" x14ac:dyDescent="0.25">
      <c r="A743" s="4" t="s">
        <v>6824</v>
      </c>
      <c r="B743" s="2" t="s">
        <v>6825</v>
      </c>
      <c r="C743" s="3">
        <v>1</v>
      </c>
      <c r="D743" s="5">
        <v>17.989999999999998</v>
      </c>
      <c r="E743" s="3" t="s">
        <v>4110</v>
      </c>
      <c r="F743" s="2" t="s">
        <v>199</v>
      </c>
      <c r="G743" s="6"/>
      <c r="H743" s="2" t="s">
        <v>1425</v>
      </c>
      <c r="I743" s="2" t="s">
        <v>1469</v>
      </c>
      <c r="J743" s="2"/>
      <c r="K743" s="2"/>
      <c r="L743" s="7" t="str">
        <f>HYPERLINK("http://slimages.macys.com/is/image/MCY/3951540 ")</f>
        <v xml:space="preserve">http://slimages.macys.com/is/image/MCY/3951540 </v>
      </c>
    </row>
    <row r="744" spans="1:12" ht="24.75" x14ac:dyDescent="0.25">
      <c r="A744" s="4" t="s">
        <v>4139</v>
      </c>
      <c r="B744" s="2" t="s">
        <v>1856</v>
      </c>
      <c r="C744" s="3">
        <v>1</v>
      </c>
      <c r="D744" s="5">
        <v>17.989999999999998</v>
      </c>
      <c r="E744" s="3" t="s">
        <v>1857</v>
      </c>
      <c r="F744" s="2" t="s">
        <v>26</v>
      </c>
      <c r="G744" s="6"/>
      <c r="H744" s="2" t="s">
        <v>1425</v>
      </c>
      <c r="I744" s="2" t="s">
        <v>1469</v>
      </c>
      <c r="J744" s="2" t="s">
        <v>19</v>
      </c>
      <c r="K744" s="2" t="s">
        <v>353</v>
      </c>
      <c r="L744" s="7" t="str">
        <f t="shared" ref="L744:L752" si="7">HYPERLINK("http://slimages.macys.com/is/image/MCY/11522835 ")</f>
        <v xml:space="preserve">http://slimages.macys.com/is/image/MCY/11522835 </v>
      </c>
    </row>
    <row r="745" spans="1:12" ht="24.75" x14ac:dyDescent="0.25">
      <c r="A745" s="4" t="s">
        <v>6826</v>
      </c>
      <c r="B745" s="2" t="s">
        <v>1856</v>
      </c>
      <c r="C745" s="3">
        <v>1</v>
      </c>
      <c r="D745" s="5">
        <v>17.989999999999998</v>
      </c>
      <c r="E745" s="3" t="s">
        <v>1857</v>
      </c>
      <c r="F745" s="2" t="s">
        <v>38</v>
      </c>
      <c r="G745" s="6"/>
      <c r="H745" s="2" t="s">
        <v>1425</v>
      </c>
      <c r="I745" s="2" t="s">
        <v>1469</v>
      </c>
      <c r="J745" s="2"/>
      <c r="K745" s="2"/>
      <c r="L745" s="7" t="str">
        <f t="shared" si="7"/>
        <v xml:space="preserve">http://slimages.macys.com/is/image/MCY/11522835 </v>
      </c>
    </row>
    <row r="746" spans="1:12" ht="24.75" x14ac:dyDescent="0.25">
      <c r="A746" s="4" t="s">
        <v>6123</v>
      </c>
      <c r="B746" s="2" t="s">
        <v>1856</v>
      </c>
      <c r="C746" s="3">
        <v>1</v>
      </c>
      <c r="D746" s="5">
        <v>17.989999999999998</v>
      </c>
      <c r="E746" s="3" t="s">
        <v>1857</v>
      </c>
      <c r="F746" s="2" t="s">
        <v>38</v>
      </c>
      <c r="G746" s="6" t="s">
        <v>219</v>
      </c>
      <c r="H746" s="2" t="s">
        <v>1425</v>
      </c>
      <c r="I746" s="2" t="s">
        <v>1469</v>
      </c>
      <c r="J746" s="2"/>
      <c r="K746" s="2"/>
      <c r="L746" s="7" t="str">
        <f t="shared" si="7"/>
        <v xml:space="preserve">http://slimages.macys.com/is/image/MCY/11522835 </v>
      </c>
    </row>
    <row r="747" spans="1:12" ht="24.75" x14ac:dyDescent="0.25">
      <c r="A747" s="4" t="s">
        <v>4138</v>
      </c>
      <c r="B747" s="2" t="s">
        <v>1856</v>
      </c>
      <c r="C747" s="3">
        <v>2</v>
      </c>
      <c r="D747" s="5">
        <v>17.989999999999998</v>
      </c>
      <c r="E747" s="3" t="s">
        <v>1857</v>
      </c>
      <c r="F747" s="2" t="s">
        <v>26</v>
      </c>
      <c r="G747" s="6"/>
      <c r="H747" s="2" t="s">
        <v>1425</v>
      </c>
      <c r="I747" s="2" t="s">
        <v>1469</v>
      </c>
      <c r="J747" s="2" t="s">
        <v>19</v>
      </c>
      <c r="K747" s="2" t="s">
        <v>353</v>
      </c>
      <c r="L747" s="7" t="str">
        <f t="shared" si="7"/>
        <v xml:space="preserve">http://slimages.macys.com/is/image/MCY/11522835 </v>
      </c>
    </row>
    <row r="748" spans="1:12" ht="24.75" x14ac:dyDescent="0.25">
      <c r="A748" s="4" t="s">
        <v>6827</v>
      </c>
      <c r="B748" s="2" t="s">
        <v>1856</v>
      </c>
      <c r="C748" s="3">
        <v>1</v>
      </c>
      <c r="D748" s="5">
        <v>17.989999999999998</v>
      </c>
      <c r="E748" s="3" t="s">
        <v>1857</v>
      </c>
      <c r="F748" s="2" t="s">
        <v>38</v>
      </c>
      <c r="G748" s="6"/>
      <c r="H748" s="2" t="s">
        <v>1425</v>
      </c>
      <c r="I748" s="2" t="s">
        <v>1469</v>
      </c>
      <c r="J748" s="2"/>
      <c r="K748" s="2"/>
      <c r="L748" s="7" t="str">
        <f t="shared" si="7"/>
        <v xml:space="preserve">http://slimages.macys.com/is/image/MCY/11522835 </v>
      </c>
    </row>
    <row r="749" spans="1:12" ht="24.75" x14ac:dyDescent="0.25">
      <c r="A749" s="4" t="s">
        <v>6828</v>
      </c>
      <c r="B749" s="2" t="s">
        <v>1856</v>
      </c>
      <c r="C749" s="3">
        <v>1</v>
      </c>
      <c r="D749" s="5">
        <v>17.989999999999998</v>
      </c>
      <c r="E749" s="3" t="s">
        <v>1857</v>
      </c>
      <c r="F749" s="2" t="s">
        <v>38</v>
      </c>
      <c r="G749" s="6" t="s">
        <v>187</v>
      </c>
      <c r="H749" s="2" t="s">
        <v>1425</v>
      </c>
      <c r="I749" s="2" t="s">
        <v>1469</v>
      </c>
      <c r="J749" s="2"/>
      <c r="K749" s="2"/>
      <c r="L749" s="7" t="str">
        <f t="shared" si="7"/>
        <v xml:space="preserve">http://slimages.macys.com/is/image/MCY/11522835 </v>
      </c>
    </row>
    <row r="750" spans="1:12" ht="24.75" x14ac:dyDescent="0.25">
      <c r="A750" s="4" t="s">
        <v>6122</v>
      </c>
      <c r="B750" s="2" t="s">
        <v>1856</v>
      </c>
      <c r="C750" s="3">
        <v>2</v>
      </c>
      <c r="D750" s="5">
        <v>17.989999999999998</v>
      </c>
      <c r="E750" s="3" t="s">
        <v>1857</v>
      </c>
      <c r="F750" s="2" t="s">
        <v>38</v>
      </c>
      <c r="G750" s="6"/>
      <c r="H750" s="2" t="s">
        <v>1425</v>
      </c>
      <c r="I750" s="2" t="s">
        <v>1469</v>
      </c>
      <c r="J750" s="2"/>
      <c r="K750" s="2"/>
      <c r="L750" s="7" t="str">
        <f t="shared" si="7"/>
        <v xml:space="preserve">http://slimages.macys.com/is/image/MCY/11522835 </v>
      </c>
    </row>
    <row r="751" spans="1:12" ht="24.75" x14ac:dyDescent="0.25">
      <c r="A751" s="4" t="s">
        <v>4137</v>
      </c>
      <c r="B751" s="2" t="s">
        <v>1856</v>
      </c>
      <c r="C751" s="3">
        <v>3</v>
      </c>
      <c r="D751" s="5">
        <v>17.989999999999998</v>
      </c>
      <c r="E751" s="3" t="s">
        <v>1857</v>
      </c>
      <c r="F751" s="2" t="s">
        <v>26</v>
      </c>
      <c r="G751" s="6"/>
      <c r="H751" s="2" t="s">
        <v>1425</v>
      </c>
      <c r="I751" s="2" t="s">
        <v>1469</v>
      </c>
      <c r="J751" s="2" t="s">
        <v>19</v>
      </c>
      <c r="K751" s="2" t="s">
        <v>353</v>
      </c>
      <c r="L751" s="7" t="str">
        <f t="shared" si="7"/>
        <v xml:space="preserve">http://slimages.macys.com/is/image/MCY/11522835 </v>
      </c>
    </row>
    <row r="752" spans="1:12" ht="24.75" x14ac:dyDescent="0.25">
      <c r="A752" s="4" t="s">
        <v>4140</v>
      </c>
      <c r="B752" s="2" t="s">
        <v>1856</v>
      </c>
      <c r="C752" s="3">
        <v>2</v>
      </c>
      <c r="D752" s="5">
        <v>17.989999999999998</v>
      </c>
      <c r="E752" s="3" t="s">
        <v>1857</v>
      </c>
      <c r="F752" s="2" t="s">
        <v>26</v>
      </c>
      <c r="G752" s="6" t="s">
        <v>219</v>
      </c>
      <c r="H752" s="2" t="s">
        <v>1425</v>
      </c>
      <c r="I752" s="2" t="s">
        <v>1469</v>
      </c>
      <c r="J752" s="2" t="s">
        <v>19</v>
      </c>
      <c r="K752" s="2" t="s">
        <v>353</v>
      </c>
      <c r="L752" s="7" t="str">
        <f t="shared" si="7"/>
        <v xml:space="preserve">http://slimages.macys.com/is/image/MCY/11522835 </v>
      </c>
    </row>
    <row r="753" spans="1:12" ht="24.75" x14ac:dyDescent="0.25">
      <c r="A753" s="4" t="s">
        <v>6829</v>
      </c>
      <c r="B753" s="2" t="s">
        <v>1726</v>
      </c>
      <c r="C753" s="3">
        <v>1</v>
      </c>
      <c r="D753" s="5">
        <v>21.99</v>
      </c>
      <c r="E753" s="3" t="s">
        <v>6125</v>
      </c>
      <c r="F753" s="2" t="s">
        <v>74</v>
      </c>
      <c r="G753" s="6" t="s">
        <v>234</v>
      </c>
      <c r="H753" s="2" t="s">
        <v>284</v>
      </c>
      <c r="I753" s="2" t="s">
        <v>285</v>
      </c>
      <c r="J753" s="2" t="s">
        <v>19</v>
      </c>
      <c r="K753" s="2" t="s">
        <v>247</v>
      </c>
      <c r="L753" s="7" t="str">
        <f>HYPERLINK("http://slimages.macys.com/is/image/MCY/12341853 ")</f>
        <v xml:space="preserve">http://slimages.macys.com/is/image/MCY/12341853 </v>
      </c>
    </row>
    <row r="754" spans="1:12" ht="24.75" x14ac:dyDescent="0.25">
      <c r="A754" s="4" t="s">
        <v>6830</v>
      </c>
      <c r="B754" s="2" t="s">
        <v>1859</v>
      </c>
      <c r="C754" s="3">
        <v>1</v>
      </c>
      <c r="D754" s="5">
        <v>20.99</v>
      </c>
      <c r="E754" s="3" t="s">
        <v>1860</v>
      </c>
      <c r="F754" s="2" t="s">
        <v>74</v>
      </c>
      <c r="G754" s="6" t="s">
        <v>181</v>
      </c>
      <c r="H754" s="2" t="s">
        <v>1473</v>
      </c>
      <c r="I754" s="2" t="s">
        <v>1426</v>
      </c>
      <c r="J754" s="2" t="s">
        <v>19</v>
      </c>
      <c r="K754" s="2" t="s">
        <v>803</v>
      </c>
      <c r="L754" s="7" t="str">
        <f>HYPERLINK("http://slimages.macys.com/is/image/MCY/12144754 ")</f>
        <v xml:space="preserve">http://slimages.macys.com/is/image/MCY/12144754 </v>
      </c>
    </row>
    <row r="755" spans="1:12" ht="24.75" x14ac:dyDescent="0.25">
      <c r="A755" s="4" t="s">
        <v>6831</v>
      </c>
      <c r="B755" s="2" t="s">
        <v>1859</v>
      </c>
      <c r="C755" s="3">
        <v>1</v>
      </c>
      <c r="D755" s="5">
        <v>20.99</v>
      </c>
      <c r="E755" s="3" t="s">
        <v>1860</v>
      </c>
      <c r="F755" s="2" t="s">
        <v>74</v>
      </c>
      <c r="G755" s="6" t="s">
        <v>234</v>
      </c>
      <c r="H755" s="2" t="s">
        <v>1473</v>
      </c>
      <c r="I755" s="2" t="s">
        <v>1426</v>
      </c>
      <c r="J755" s="2" t="s">
        <v>19</v>
      </c>
      <c r="K755" s="2" t="s">
        <v>803</v>
      </c>
      <c r="L755" s="7" t="str">
        <f>HYPERLINK("http://slimages.macys.com/is/image/MCY/12144754 ")</f>
        <v xml:space="preserve">http://slimages.macys.com/is/image/MCY/12144754 </v>
      </c>
    </row>
    <row r="756" spans="1:12" ht="24.75" x14ac:dyDescent="0.25">
      <c r="A756" s="4" t="s">
        <v>1858</v>
      </c>
      <c r="B756" s="2" t="s">
        <v>1859</v>
      </c>
      <c r="C756" s="3">
        <v>1</v>
      </c>
      <c r="D756" s="5">
        <v>20.99</v>
      </c>
      <c r="E756" s="3" t="s">
        <v>1860</v>
      </c>
      <c r="F756" s="2" t="s">
        <v>74</v>
      </c>
      <c r="G756" s="6" t="s">
        <v>156</v>
      </c>
      <c r="H756" s="2" t="s">
        <v>1473</v>
      </c>
      <c r="I756" s="2" t="s">
        <v>1426</v>
      </c>
      <c r="J756" s="2" t="s">
        <v>19</v>
      </c>
      <c r="K756" s="2" t="s">
        <v>803</v>
      </c>
      <c r="L756" s="7" t="str">
        <f>HYPERLINK("http://slimages.macys.com/is/image/MCY/12144754 ")</f>
        <v xml:space="preserve">http://slimages.macys.com/is/image/MCY/12144754 </v>
      </c>
    </row>
    <row r="757" spans="1:12" ht="24.75" x14ac:dyDescent="0.25">
      <c r="A757" s="4" t="s">
        <v>3044</v>
      </c>
      <c r="B757" s="2" t="s">
        <v>1862</v>
      </c>
      <c r="C757" s="3">
        <v>1</v>
      </c>
      <c r="D757" s="5">
        <v>20.99</v>
      </c>
      <c r="E757" s="3" t="s">
        <v>1868</v>
      </c>
      <c r="F757" s="2" t="s">
        <v>15</v>
      </c>
      <c r="G757" s="6" t="s">
        <v>234</v>
      </c>
      <c r="H757" s="2" t="s">
        <v>1473</v>
      </c>
      <c r="I757" s="2" t="s">
        <v>1864</v>
      </c>
      <c r="J757" s="2" t="s">
        <v>19</v>
      </c>
      <c r="K757" s="2" t="s">
        <v>648</v>
      </c>
      <c r="L757" s="7" t="str">
        <f>HYPERLINK("http://slimages.macys.com/is/image/MCY/12267099 ")</f>
        <v xml:space="preserve">http://slimages.macys.com/is/image/MCY/12267099 </v>
      </c>
    </row>
    <row r="758" spans="1:12" ht="24.75" x14ac:dyDescent="0.25">
      <c r="A758" s="4" t="s">
        <v>1870</v>
      </c>
      <c r="B758" s="2" t="s">
        <v>1862</v>
      </c>
      <c r="C758" s="3">
        <v>1</v>
      </c>
      <c r="D758" s="5">
        <v>20.99</v>
      </c>
      <c r="E758" s="3" t="s">
        <v>1868</v>
      </c>
      <c r="F758" s="2" t="s">
        <v>15</v>
      </c>
      <c r="G758" s="6" t="s">
        <v>156</v>
      </c>
      <c r="H758" s="2" t="s">
        <v>1473</v>
      </c>
      <c r="I758" s="2" t="s">
        <v>1864</v>
      </c>
      <c r="J758" s="2" t="s">
        <v>19</v>
      </c>
      <c r="K758" s="2" t="s">
        <v>648</v>
      </c>
      <c r="L758" s="7" t="str">
        <f>HYPERLINK("http://slimages.macys.com/is/image/MCY/12267099 ")</f>
        <v xml:space="preserve">http://slimages.macys.com/is/image/MCY/12267099 </v>
      </c>
    </row>
    <row r="759" spans="1:12" ht="24.75" x14ac:dyDescent="0.25">
      <c r="A759" s="4" t="s">
        <v>6832</v>
      </c>
      <c r="B759" s="2" t="s">
        <v>1862</v>
      </c>
      <c r="C759" s="3">
        <v>1</v>
      </c>
      <c r="D759" s="5">
        <v>20.99</v>
      </c>
      <c r="E759" s="3" t="s">
        <v>1868</v>
      </c>
      <c r="F759" s="2" t="s">
        <v>998</v>
      </c>
      <c r="G759" s="6" t="s">
        <v>234</v>
      </c>
      <c r="H759" s="2" t="s">
        <v>1473</v>
      </c>
      <c r="I759" s="2" t="s">
        <v>1864</v>
      </c>
      <c r="J759" s="2" t="s">
        <v>19</v>
      </c>
      <c r="K759" s="2" t="s">
        <v>648</v>
      </c>
      <c r="L759" s="7" t="str">
        <f>HYPERLINK("http://slimages.macys.com/is/image/MCY/12267099 ")</f>
        <v xml:space="preserve">http://slimages.macys.com/is/image/MCY/12267099 </v>
      </c>
    </row>
    <row r="760" spans="1:12" ht="24.75" x14ac:dyDescent="0.25">
      <c r="A760" s="4" t="s">
        <v>6833</v>
      </c>
      <c r="B760" s="2" t="s">
        <v>6834</v>
      </c>
      <c r="C760" s="3">
        <v>1</v>
      </c>
      <c r="D760" s="5">
        <v>29.63</v>
      </c>
      <c r="E760" s="3" t="s">
        <v>6835</v>
      </c>
      <c r="F760" s="2" t="s">
        <v>64</v>
      </c>
      <c r="G760" s="6" t="s">
        <v>219</v>
      </c>
      <c r="H760" s="2" t="s">
        <v>188</v>
      </c>
      <c r="I760" s="2" t="s">
        <v>189</v>
      </c>
      <c r="J760" s="2" t="s">
        <v>19</v>
      </c>
      <c r="K760" s="2" t="s">
        <v>648</v>
      </c>
      <c r="L760" s="7" t="str">
        <f>HYPERLINK("http://slimages.macys.com/is/image/MCY/11146971 ")</f>
        <v xml:space="preserve">http://slimages.macys.com/is/image/MCY/11146971 </v>
      </c>
    </row>
    <row r="761" spans="1:12" ht="24.75" x14ac:dyDescent="0.25">
      <c r="A761" s="4" t="s">
        <v>6836</v>
      </c>
      <c r="B761" s="2" t="s">
        <v>6837</v>
      </c>
      <c r="C761" s="3">
        <v>1</v>
      </c>
      <c r="D761" s="5">
        <v>17.989999999999998</v>
      </c>
      <c r="E761" s="3" t="s">
        <v>6838</v>
      </c>
      <c r="F761" s="2" t="s">
        <v>26</v>
      </c>
      <c r="G761" s="6" t="s">
        <v>200</v>
      </c>
      <c r="H761" s="2" t="s">
        <v>1473</v>
      </c>
      <c r="I761" s="2" t="s">
        <v>1426</v>
      </c>
      <c r="J761" s="2" t="s">
        <v>19</v>
      </c>
      <c r="K761" s="2" t="s">
        <v>648</v>
      </c>
      <c r="L761" s="7" t="str">
        <f>HYPERLINK("http://slimages.macys.com/is/image/MCY/11917662 ")</f>
        <v xml:space="preserve">http://slimages.macys.com/is/image/MCY/11917662 </v>
      </c>
    </row>
    <row r="762" spans="1:12" ht="24.75" x14ac:dyDescent="0.25">
      <c r="A762" s="4" t="s">
        <v>6839</v>
      </c>
      <c r="B762" s="2" t="s">
        <v>1876</v>
      </c>
      <c r="C762" s="3">
        <v>1</v>
      </c>
      <c r="D762" s="5">
        <v>17.989999999999998</v>
      </c>
      <c r="E762" s="3" t="s">
        <v>1877</v>
      </c>
      <c r="F762" s="2" t="s">
        <v>94</v>
      </c>
      <c r="G762" s="6" t="s">
        <v>154</v>
      </c>
      <c r="H762" s="2" t="s">
        <v>1473</v>
      </c>
      <c r="I762" s="2" t="s">
        <v>1426</v>
      </c>
      <c r="J762" s="2" t="s">
        <v>19</v>
      </c>
      <c r="K762" s="2" t="s">
        <v>495</v>
      </c>
      <c r="L762" s="7" t="str">
        <f>HYPERLINK("http://slimages.macys.com/is/image/MCY/12672802 ")</f>
        <v xml:space="preserve">http://slimages.macys.com/is/image/MCY/12672802 </v>
      </c>
    </row>
    <row r="763" spans="1:12" ht="24.75" x14ac:dyDescent="0.25">
      <c r="A763" s="4" t="s">
        <v>6840</v>
      </c>
      <c r="B763" s="2" t="s">
        <v>1876</v>
      </c>
      <c r="C763" s="3">
        <v>2</v>
      </c>
      <c r="D763" s="5">
        <v>17.989999999999998</v>
      </c>
      <c r="E763" s="3" t="s">
        <v>1877</v>
      </c>
      <c r="F763" s="2" t="s">
        <v>94</v>
      </c>
      <c r="G763" s="6" t="s">
        <v>181</v>
      </c>
      <c r="H763" s="2" t="s">
        <v>1473</v>
      </c>
      <c r="I763" s="2" t="s">
        <v>1426</v>
      </c>
      <c r="J763" s="2" t="s">
        <v>19</v>
      </c>
      <c r="K763" s="2" t="s">
        <v>495</v>
      </c>
      <c r="L763" s="7" t="str">
        <f>HYPERLINK("http://slimages.macys.com/is/image/MCY/12672802 ")</f>
        <v xml:space="preserve">http://slimages.macys.com/is/image/MCY/12672802 </v>
      </c>
    </row>
    <row r="764" spans="1:12" ht="24.75" x14ac:dyDescent="0.25">
      <c r="A764" s="4" t="s">
        <v>5174</v>
      </c>
      <c r="B764" s="2" t="s">
        <v>1876</v>
      </c>
      <c r="C764" s="3">
        <v>1</v>
      </c>
      <c r="D764" s="5">
        <v>17.989999999999998</v>
      </c>
      <c r="E764" s="3" t="s">
        <v>1877</v>
      </c>
      <c r="F764" s="2" t="s">
        <v>74</v>
      </c>
      <c r="G764" s="6" t="s">
        <v>154</v>
      </c>
      <c r="H764" s="2" t="s">
        <v>1473</v>
      </c>
      <c r="I764" s="2" t="s">
        <v>1426</v>
      </c>
      <c r="J764" s="2" t="s">
        <v>19</v>
      </c>
      <c r="K764" s="2" t="s">
        <v>495</v>
      </c>
      <c r="L764" s="7" t="str">
        <f>HYPERLINK("http://slimages.macys.com/is/image/MCY/12672802 ")</f>
        <v xml:space="preserve">http://slimages.macys.com/is/image/MCY/12672802 </v>
      </c>
    </row>
    <row r="765" spans="1:12" ht="24.75" x14ac:dyDescent="0.25">
      <c r="A765" s="4" t="s">
        <v>6841</v>
      </c>
      <c r="B765" s="2" t="s">
        <v>6842</v>
      </c>
      <c r="C765" s="3">
        <v>1</v>
      </c>
      <c r="D765" s="5">
        <v>21.99</v>
      </c>
      <c r="E765" s="3" t="s">
        <v>6843</v>
      </c>
      <c r="F765" s="2" t="s">
        <v>70</v>
      </c>
      <c r="G765" s="6" t="s">
        <v>154</v>
      </c>
      <c r="H765" s="2" t="s">
        <v>284</v>
      </c>
      <c r="I765" s="2" t="s">
        <v>285</v>
      </c>
      <c r="J765" s="2" t="s">
        <v>19</v>
      </c>
      <c r="K765" s="2" t="s">
        <v>247</v>
      </c>
      <c r="L765" s="7" t="str">
        <f>HYPERLINK("http://slimages.macys.com/is/image/MCY/11603687 ")</f>
        <v xml:space="preserve">http://slimages.macys.com/is/image/MCY/11603687 </v>
      </c>
    </row>
    <row r="766" spans="1:12" ht="24.75" x14ac:dyDescent="0.25">
      <c r="A766" s="4" t="s">
        <v>1887</v>
      </c>
      <c r="B766" s="2" t="s">
        <v>1888</v>
      </c>
      <c r="C766" s="3">
        <v>1</v>
      </c>
      <c r="D766" s="5">
        <v>17.989999999999998</v>
      </c>
      <c r="E766" s="3" t="s">
        <v>1889</v>
      </c>
      <c r="F766" s="2" t="s">
        <v>998</v>
      </c>
      <c r="G766" s="6" t="s">
        <v>156</v>
      </c>
      <c r="H766" s="2" t="s">
        <v>194</v>
      </c>
      <c r="I766" s="2" t="s">
        <v>195</v>
      </c>
      <c r="J766" s="2" t="s">
        <v>19</v>
      </c>
      <c r="K766" s="2" t="s">
        <v>648</v>
      </c>
      <c r="L766" s="7" t="str">
        <f>HYPERLINK("http://slimages.macys.com/is/image/MCY/10482866 ")</f>
        <v xml:space="preserve">http://slimages.macys.com/is/image/MCY/10482866 </v>
      </c>
    </row>
    <row r="767" spans="1:12" ht="24.75" x14ac:dyDescent="0.25">
      <c r="A767" s="4" t="s">
        <v>6844</v>
      </c>
      <c r="B767" s="2" t="s">
        <v>1888</v>
      </c>
      <c r="C767" s="3">
        <v>3</v>
      </c>
      <c r="D767" s="5">
        <v>17.989999999999998</v>
      </c>
      <c r="E767" s="3" t="s">
        <v>1889</v>
      </c>
      <c r="F767" s="2" t="s">
        <v>998</v>
      </c>
      <c r="G767" s="6" t="s">
        <v>181</v>
      </c>
      <c r="H767" s="2" t="s">
        <v>194</v>
      </c>
      <c r="I767" s="2" t="s">
        <v>195</v>
      </c>
      <c r="J767" s="2" t="s">
        <v>19</v>
      </c>
      <c r="K767" s="2" t="s">
        <v>648</v>
      </c>
      <c r="L767" s="7" t="str">
        <f>HYPERLINK("http://slimages.macys.com/is/image/MCY/10482866 ")</f>
        <v xml:space="preserve">http://slimages.macys.com/is/image/MCY/10482866 </v>
      </c>
    </row>
    <row r="768" spans="1:12" ht="24.75" x14ac:dyDescent="0.25">
      <c r="A768" s="4" t="s">
        <v>6845</v>
      </c>
      <c r="B768" s="2" t="s">
        <v>1879</v>
      </c>
      <c r="C768" s="3">
        <v>1</v>
      </c>
      <c r="D768" s="5">
        <v>17.989999999999998</v>
      </c>
      <c r="E768" s="3" t="s">
        <v>1882</v>
      </c>
      <c r="F768" s="2" t="s">
        <v>111</v>
      </c>
      <c r="G768" s="6" t="s">
        <v>181</v>
      </c>
      <c r="H768" s="2" t="s">
        <v>194</v>
      </c>
      <c r="I768" s="2" t="s">
        <v>195</v>
      </c>
      <c r="J768" s="2" t="s">
        <v>19</v>
      </c>
      <c r="K768" s="2" t="s">
        <v>648</v>
      </c>
      <c r="L768" s="7" t="str">
        <f>HYPERLINK("http://slimages.macys.com/is/image/MCY/10482866 ")</f>
        <v xml:space="preserve">http://slimages.macys.com/is/image/MCY/10482866 </v>
      </c>
    </row>
    <row r="769" spans="1:12" ht="24.75" x14ac:dyDescent="0.25">
      <c r="A769" s="4" t="s">
        <v>6846</v>
      </c>
      <c r="B769" s="2" t="s">
        <v>1879</v>
      </c>
      <c r="C769" s="3">
        <v>1</v>
      </c>
      <c r="D769" s="5">
        <v>17.989999999999998</v>
      </c>
      <c r="E769" s="3" t="s">
        <v>1880</v>
      </c>
      <c r="F769" s="2" t="s">
        <v>752</v>
      </c>
      <c r="G769" s="6" t="s">
        <v>234</v>
      </c>
      <c r="H769" s="2" t="s">
        <v>194</v>
      </c>
      <c r="I769" s="2" t="s">
        <v>195</v>
      </c>
      <c r="J769" s="2" t="s">
        <v>19</v>
      </c>
      <c r="K769" s="2" t="s">
        <v>648</v>
      </c>
      <c r="L769" s="7" t="str">
        <f>HYPERLINK("http://slimages.macys.com/is/image/MCY/10482866 ")</f>
        <v xml:space="preserve">http://slimages.macys.com/is/image/MCY/10482866 </v>
      </c>
    </row>
    <row r="770" spans="1:12" ht="24.75" x14ac:dyDescent="0.25">
      <c r="A770" s="4" t="s">
        <v>6847</v>
      </c>
      <c r="B770" s="2" t="s">
        <v>1888</v>
      </c>
      <c r="C770" s="3">
        <v>2</v>
      </c>
      <c r="D770" s="5">
        <v>17.989999999999998</v>
      </c>
      <c r="E770" s="3" t="s">
        <v>1889</v>
      </c>
      <c r="F770" s="2" t="s">
        <v>998</v>
      </c>
      <c r="G770" s="6" t="s">
        <v>154</v>
      </c>
      <c r="H770" s="2" t="s">
        <v>194</v>
      </c>
      <c r="I770" s="2" t="s">
        <v>195</v>
      </c>
      <c r="J770" s="2" t="s">
        <v>19</v>
      </c>
      <c r="K770" s="2" t="s">
        <v>648</v>
      </c>
      <c r="L770" s="7" t="str">
        <f>HYPERLINK("http://slimages.macys.com/is/image/MCY/10482866 ")</f>
        <v xml:space="preserve">http://slimages.macys.com/is/image/MCY/10482866 </v>
      </c>
    </row>
    <row r="771" spans="1:12" ht="24.75" x14ac:dyDescent="0.25">
      <c r="A771" s="4" t="s">
        <v>6848</v>
      </c>
      <c r="B771" s="2" t="s">
        <v>1892</v>
      </c>
      <c r="C771" s="3">
        <v>2</v>
      </c>
      <c r="D771" s="5">
        <v>20.99</v>
      </c>
      <c r="E771" s="3" t="s">
        <v>1901</v>
      </c>
      <c r="F771" s="2" t="s">
        <v>998</v>
      </c>
      <c r="G771" s="6" t="s">
        <v>181</v>
      </c>
      <c r="H771" s="2" t="s">
        <v>1473</v>
      </c>
      <c r="I771" s="2" t="s">
        <v>1864</v>
      </c>
      <c r="J771" s="2" t="s">
        <v>19</v>
      </c>
      <c r="K771" s="2" t="s">
        <v>648</v>
      </c>
      <c r="L771" s="7" t="str">
        <f>HYPERLINK("http://slimages.macys.com/is/image/MCY/11689284 ")</f>
        <v xml:space="preserve">http://slimages.macys.com/is/image/MCY/11689284 </v>
      </c>
    </row>
    <row r="772" spans="1:12" ht="24.75" x14ac:dyDescent="0.25">
      <c r="A772" s="4" t="s">
        <v>3060</v>
      </c>
      <c r="B772" s="2" t="s">
        <v>1896</v>
      </c>
      <c r="C772" s="3">
        <v>1</v>
      </c>
      <c r="D772" s="5">
        <v>20.99</v>
      </c>
      <c r="E772" s="3" t="s">
        <v>1899</v>
      </c>
      <c r="F772" s="2" t="s">
        <v>15</v>
      </c>
      <c r="G772" s="6" t="s">
        <v>156</v>
      </c>
      <c r="H772" s="2" t="s">
        <v>1473</v>
      </c>
      <c r="I772" s="2" t="s">
        <v>1864</v>
      </c>
      <c r="J772" s="2" t="s">
        <v>19</v>
      </c>
      <c r="K772" s="2" t="s">
        <v>648</v>
      </c>
      <c r="L772" s="7" t="str">
        <f>HYPERLINK("http://slimages.macys.com/is/image/MCY/10787705 ")</f>
        <v xml:space="preserve">http://slimages.macys.com/is/image/MCY/10787705 </v>
      </c>
    </row>
    <row r="773" spans="1:12" ht="24.75" x14ac:dyDescent="0.25">
      <c r="A773" s="4" t="s">
        <v>6849</v>
      </c>
      <c r="B773" s="2" t="s">
        <v>1896</v>
      </c>
      <c r="C773" s="3">
        <v>1</v>
      </c>
      <c r="D773" s="5">
        <v>20.99</v>
      </c>
      <c r="E773" s="3" t="s">
        <v>1899</v>
      </c>
      <c r="F773" s="2" t="s">
        <v>252</v>
      </c>
      <c r="G773" s="6" t="s">
        <v>245</v>
      </c>
      <c r="H773" s="2" t="s">
        <v>1473</v>
      </c>
      <c r="I773" s="2" t="s">
        <v>1864</v>
      </c>
      <c r="J773" s="2" t="s">
        <v>19</v>
      </c>
      <c r="K773" s="2" t="s">
        <v>648</v>
      </c>
      <c r="L773" s="7" t="str">
        <f>HYPERLINK("http://slimages.macys.com/is/image/MCY/10787705 ")</f>
        <v xml:space="preserve">http://slimages.macys.com/is/image/MCY/10787705 </v>
      </c>
    </row>
    <row r="774" spans="1:12" ht="24.75" x14ac:dyDescent="0.25">
      <c r="A774" s="4" t="s">
        <v>1916</v>
      </c>
      <c r="B774" s="2" t="s">
        <v>1896</v>
      </c>
      <c r="C774" s="3">
        <v>1</v>
      </c>
      <c r="D774" s="5">
        <v>20.99</v>
      </c>
      <c r="E774" s="3" t="s">
        <v>1899</v>
      </c>
      <c r="F774" s="2" t="s">
        <v>15</v>
      </c>
      <c r="G774" s="6" t="s">
        <v>154</v>
      </c>
      <c r="H774" s="2" t="s">
        <v>1473</v>
      </c>
      <c r="I774" s="2" t="s">
        <v>1864</v>
      </c>
      <c r="J774" s="2" t="s">
        <v>19</v>
      </c>
      <c r="K774" s="2" t="s">
        <v>648</v>
      </c>
      <c r="L774" s="7" t="str">
        <f>HYPERLINK("http://slimages.macys.com/is/image/MCY/10787705 ")</f>
        <v xml:space="preserve">http://slimages.macys.com/is/image/MCY/10787705 </v>
      </c>
    </row>
    <row r="775" spans="1:12" ht="24.75" x14ac:dyDescent="0.25">
      <c r="A775" s="4" t="s">
        <v>4153</v>
      </c>
      <c r="B775" s="2" t="s">
        <v>1892</v>
      </c>
      <c r="C775" s="3">
        <v>1</v>
      </c>
      <c r="D775" s="5">
        <v>20.99</v>
      </c>
      <c r="E775" s="3" t="s">
        <v>1901</v>
      </c>
      <c r="F775" s="2" t="s">
        <v>1788</v>
      </c>
      <c r="G775" s="6" t="s">
        <v>234</v>
      </c>
      <c r="H775" s="2" t="s">
        <v>1473</v>
      </c>
      <c r="I775" s="2" t="s">
        <v>1864</v>
      </c>
      <c r="J775" s="2" t="s">
        <v>19</v>
      </c>
      <c r="K775" s="2" t="s">
        <v>648</v>
      </c>
      <c r="L775" s="7" t="str">
        <f>HYPERLINK("http://slimages.macys.com/is/image/MCY/11689284 ")</f>
        <v xml:space="preserve">http://slimages.macys.com/is/image/MCY/11689284 </v>
      </c>
    </row>
    <row r="776" spans="1:12" ht="24.75" x14ac:dyDescent="0.25">
      <c r="A776" s="4" t="s">
        <v>3056</v>
      </c>
      <c r="B776" s="2" t="s">
        <v>1892</v>
      </c>
      <c r="C776" s="3">
        <v>1</v>
      </c>
      <c r="D776" s="5">
        <v>20.99</v>
      </c>
      <c r="E776" s="3" t="s">
        <v>1901</v>
      </c>
      <c r="F776" s="2" t="s">
        <v>998</v>
      </c>
      <c r="G776" s="6" t="s">
        <v>234</v>
      </c>
      <c r="H776" s="2" t="s">
        <v>1473</v>
      </c>
      <c r="I776" s="2" t="s">
        <v>1864</v>
      </c>
      <c r="J776" s="2" t="s">
        <v>19</v>
      </c>
      <c r="K776" s="2" t="s">
        <v>648</v>
      </c>
      <c r="L776" s="7" t="str">
        <f>HYPERLINK("http://slimages.macys.com/is/image/MCY/11689284 ")</f>
        <v xml:space="preserve">http://slimages.macys.com/is/image/MCY/11689284 </v>
      </c>
    </row>
    <row r="777" spans="1:12" ht="24.75" x14ac:dyDescent="0.25">
      <c r="A777" s="4" t="s">
        <v>3051</v>
      </c>
      <c r="B777" s="2" t="s">
        <v>1892</v>
      </c>
      <c r="C777" s="3">
        <v>1</v>
      </c>
      <c r="D777" s="5">
        <v>20.99</v>
      </c>
      <c r="E777" s="3" t="s">
        <v>1901</v>
      </c>
      <c r="F777" s="2" t="s">
        <v>998</v>
      </c>
      <c r="G777" s="6" t="s">
        <v>154</v>
      </c>
      <c r="H777" s="2" t="s">
        <v>1473</v>
      </c>
      <c r="I777" s="2" t="s">
        <v>1864</v>
      </c>
      <c r="J777" s="2" t="s">
        <v>19</v>
      </c>
      <c r="K777" s="2" t="s">
        <v>648</v>
      </c>
      <c r="L777" s="7" t="str">
        <f>HYPERLINK("http://slimages.macys.com/is/image/MCY/11689284 ")</f>
        <v xml:space="preserve">http://slimages.macys.com/is/image/MCY/11689284 </v>
      </c>
    </row>
    <row r="778" spans="1:12" ht="24.75" x14ac:dyDescent="0.25">
      <c r="A778" s="4" t="s">
        <v>3054</v>
      </c>
      <c r="B778" s="2" t="s">
        <v>1892</v>
      </c>
      <c r="C778" s="3">
        <v>1</v>
      </c>
      <c r="D778" s="5">
        <v>20.99</v>
      </c>
      <c r="E778" s="3" t="s">
        <v>1901</v>
      </c>
      <c r="F778" s="2" t="s">
        <v>252</v>
      </c>
      <c r="G778" s="6" t="s">
        <v>156</v>
      </c>
      <c r="H778" s="2" t="s">
        <v>1473</v>
      </c>
      <c r="I778" s="2" t="s">
        <v>1864</v>
      </c>
      <c r="J778" s="2" t="s">
        <v>19</v>
      </c>
      <c r="K778" s="2" t="s">
        <v>648</v>
      </c>
      <c r="L778" s="7" t="str">
        <f>HYPERLINK("http://slimages.macys.com/is/image/MCY/11689284 ")</f>
        <v xml:space="preserve">http://slimages.macys.com/is/image/MCY/11689284 </v>
      </c>
    </row>
    <row r="779" spans="1:12" ht="24.75" x14ac:dyDescent="0.25">
      <c r="A779" s="4" t="s">
        <v>6850</v>
      </c>
      <c r="B779" s="2" t="s">
        <v>1896</v>
      </c>
      <c r="C779" s="3">
        <v>1</v>
      </c>
      <c r="D779" s="5">
        <v>20.99</v>
      </c>
      <c r="E779" s="3" t="s">
        <v>1899</v>
      </c>
      <c r="F779" s="2" t="s">
        <v>70</v>
      </c>
      <c r="G779" s="6" t="s">
        <v>156</v>
      </c>
      <c r="H779" s="2" t="s">
        <v>1473</v>
      </c>
      <c r="I779" s="2" t="s">
        <v>1864</v>
      </c>
      <c r="J779" s="2" t="s">
        <v>19</v>
      </c>
      <c r="K779" s="2" t="s">
        <v>648</v>
      </c>
      <c r="L779" s="7" t="str">
        <f t="shared" ref="L779:L786" si="8">HYPERLINK("http://slimages.macys.com/is/image/MCY/10787705 ")</f>
        <v xml:space="preserve">http://slimages.macys.com/is/image/MCY/10787705 </v>
      </c>
    </row>
    <row r="780" spans="1:12" ht="24.75" x14ac:dyDescent="0.25">
      <c r="A780" s="4" t="s">
        <v>3059</v>
      </c>
      <c r="B780" s="2" t="s">
        <v>1896</v>
      </c>
      <c r="C780" s="3">
        <v>1</v>
      </c>
      <c r="D780" s="5">
        <v>20.99</v>
      </c>
      <c r="E780" s="3" t="s">
        <v>1899</v>
      </c>
      <c r="F780" s="2" t="s">
        <v>74</v>
      </c>
      <c r="G780" s="6" t="s">
        <v>234</v>
      </c>
      <c r="H780" s="2" t="s">
        <v>1473</v>
      </c>
      <c r="I780" s="2" t="s">
        <v>1864</v>
      </c>
      <c r="J780" s="2" t="s">
        <v>19</v>
      </c>
      <c r="K780" s="2" t="s">
        <v>648</v>
      </c>
      <c r="L780" s="7" t="str">
        <f t="shared" si="8"/>
        <v xml:space="preserve">http://slimages.macys.com/is/image/MCY/10787705 </v>
      </c>
    </row>
    <row r="781" spans="1:12" ht="24.75" x14ac:dyDescent="0.25">
      <c r="A781" s="4" t="s">
        <v>1898</v>
      </c>
      <c r="B781" s="2" t="s">
        <v>1896</v>
      </c>
      <c r="C781" s="3">
        <v>1</v>
      </c>
      <c r="D781" s="5">
        <v>20.99</v>
      </c>
      <c r="E781" s="3" t="s">
        <v>1899</v>
      </c>
      <c r="F781" s="2" t="s">
        <v>74</v>
      </c>
      <c r="G781" s="6" t="s">
        <v>154</v>
      </c>
      <c r="H781" s="2" t="s">
        <v>1473</v>
      </c>
      <c r="I781" s="2" t="s">
        <v>1864</v>
      </c>
      <c r="J781" s="2" t="s">
        <v>19</v>
      </c>
      <c r="K781" s="2" t="s">
        <v>648</v>
      </c>
      <c r="L781" s="7" t="str">
        <f t="shared" si="8"/>
        <v xml:space="preserve">http://slimages.macys.com/is/image/MCY/10787705 </v>
      </c>
    </row>
    <row r="782" spans="1:12" ht="24.75" x14ac:dyDescent="0.25">
      <c r="A782" s="4" t="s">
        <v>3064</v>
      </c>
      <c r="B782" s="2" t="s">
        <v>1896</v>
      </c>
      <c r="C782" s="3">
        <v>2</v>
      </c>
      <c r="D782" s="5">
        <v>20.99</v>
      </c>
      <c r="E782" s="3" t="s">
        <v>1899</v>
      </c>
      <c r="F782" s="2" t="s">
        <v>252</v>
      </c>
      <c r="G782" s="6" t="s">
        <v>156</v>
      </c>
      <c r="H782" s="2" t="s">
        <v>1473</v>
      </c>
      <c r="I782" s="2" t="s">
        <v>1864</v>
      </c>
      <c r="J782" s="2" t="s">
        <v>19</v>
      </c>
      <c r="K782" s="2" t="s">
        <v>648</v>
      </c>
      <c r="L782" s="7" t="str">
        <f t="shared" si="8"/>
        <v xml:space="preserve">http://slimages.macys.com/is/image/MCY/10787705 </v>
      </c>
    </row>
    <row r="783" spans="1:12" ht="24.75" x14ac:dyDescent="0.25">
      <c r="A783" s="4" t="s">
        <v>5176</v>
      </c>
      <c r="B783" s="2" t="s">
        <v>1896</v>
      </c>
      <c r="C783" s="3">
        <v>2</v>
      </c>
      <c r="D783" s="5">
        <v>20.99</v>
      </c>
      <c r="E783" s="3" t="s">
        <v>1899</v>
      </c>
      <c r="F783" s="2" t="s">
        <v>252</v>
      </c>
      <c r="G783" s="6" t="s">
        <v>154</v>
      </c>
      <c r="H783" s="2" t="s">
        <v>1473</v>
      </c>
      <c r="I783" s="2" t="s">
        <v>1864</v>
      </c>
      <c r="J783" s="2" t="s">
        <v>19</v>
      </c>
      <c r="K783" s="2" t="s">
        <v>648</v>
      </c>
      <c r="L783" s="7" t="str">
        <f t="shared" si="8"/>
        <v xml:space="preserve">http://slimages.macys.com/is/image/MCY/10787705 </v>
      </c>
    </row>
    <row r="784" spans="1:12" ht="24.75" x14ac:dyDescent="0.25">
      <c r="A784" s="4" t="s">
        <v>3075</v>
      </c>
      <c r="B784" s="2" t="s">
        <v>1896</v>
      </c>
      <c r="C784" s="3">
        <v>2</v>
      </c>
      <c r="D784" s="5">
        <v>20.99</v>
      </c>
      <c r="E784" s="3" t="s">
        <v>1899</v>
      </c>
      <c r="F784" s="2" t="s">
        <v>998</v>
      </c>
      <c r="G784" s="6" t="s">
        <v>154</v>
      </c>
      <c r="H784" s="2" t="s">
        <v>1473</v>
      </c>
      <c r="I784" s="2" t="s">
        <v>1864</v>
      </c>
      <c r="J784" s="2" t="s">
        <v>19</v>
      </c>
      <c r="K784" s="2" t="s">
        <v>648</v>
      </c>
      <c r="L784" s="7" t="str">
        <f t="shared" si="8"/>
        <v xml:space="preserve">http://slimages.macys.com/is/image/MCY/10787705 </v>
      </c>
    </row>
    <row r="785" spans="1:12" ht="24.75" x14ac:dyDescent="0.25">
      <c r="A785" s="4" t="s">
        <v>3069</v>
      </c>
      <c r="B785" s="2" t="s">
        <v>1896</v>
      </c>
      <c r="C785" s="3">
        <v>3</v>
      </c>
      <c r="D785" s="5">
        <v>20.99</v>
      </c>
      <c r="E785" s="3" t="s">
        <v>1899</v>
      </c>
      <c r="F785" s="2" t="s">
        <v>998</v>
      </c>
      <c r="G785" s="6" t="s">
        <v>181</v>
      </c>
      <c r="H785" s="2" t="s">
        <v>1473</v>
      </c>
      <c r="I785" s="2" t="s">
        <v>1864</v>
      </c>
      <c r="J785" s="2" t="s">
        <v>19</v>
      </c>
      <c r="K785" s="2" t="s">
        <v>648</v>
      </c>
      <c r="L785" s="7" t="str">
        <f t="shared" si="8"/>
        <v xml:space="preserve">http://slimages.macys.com/is/image/MCY/10787705 </v>
      </c>
    </row>
    <row r="786" spans="1:12" ht="24.75" x14ac:dyDescent="0.25">
      <c r="A786" s="4" t="s">
        <v>6851</v>
      </c>
      <c r="B786" s="2" t="s">
        <v>1896</v>
      </c>
      <c r="C786" s="3">
        <v>2</v>
      </c>
      <c r="D786" s="5">
        <v>20.99</v>
      </c>
      <c r="E786" s="3" t="s">
        <v>1899</v>
      </c>
      <c r="F786" s="2" t="s">
        <v>252</v>
      </c>
      <c r="G786" s="6" t="s">
        <v>234</v>
      </c>
      <c r="H786" s="2" t="s">
        <v>1473</v>
      </c>
      <c r="I786" s="2" t="s">
        <v>1864</v>
      </c>
      <c r="J786" s="2" t="s">
        <v>19</v>
      </c>
      <c r="K786" s="2" t="s">
        <v>648</v>
      </c>
      <c r="L786" s="7" t="str">
        <f t="shared" si="8"/>
        <v xml:space="preserve">http://slimages.macys.com/is/image/MCY/10787705 </v>
      </c>
    </row>
    <row r="787" spans="1:12" ht="24.75" x14ac:dyDescent="0.25">
      <c r="A787" s="4" t="s">
        <v>3071</v>
      </c>
      <c r="B787" s="2" t="s">
        <v>1892</v>
      </c>
      <c r="C787" s="3">
        <v>2</v>
      </c>
      <c r="D787" s="5">
        <v>20.99</v>
      </c>
      <c r="E787" s="3" t="s">
        <v>1901</v>
      </c>
      <c r="F787" s="2" t="s">
        <v>74</v>
      </c>
      <c r="G787" s="6" t="s">
        <v>154</v>
      </c>
      <c r="H787" s="2" t="s">
        <v>1473</v>
      </c>
      <c r="I787" s="2" t="s">
        <v>1864</v>
      </c>
      <c r="J787" s="2" t="s">
        <v>19</v>
      </c>
      <c r="K787" s="2" t="s">
        <v>648</v>
      </c>
      <c r="L787" s="7" t="str">
        <f t="shared" ref="L787:L793" si="9">HYPERLINK("http://slimages.macys.com/is/image/MCY/11689284 ")</f>
        <v xml:space="preserve">http://slimages.macys.com/is/image/MCY/11689284 </v>
      </c>
    </row>
    <row r="788" spans="1:12" ht="24.75" x14ac:dyDescent="0.25">
      <c r="A788" s="4" t="s">
        <v>5175</v>
      </c>
      <c r="B788" s="2" t="s">
        <v>1892</v>
      </c>
      <c r="C788" s="3">
        <v>3</v>
      </c>
      <c r="D788" s="5">
        <v>20.99</v>
      </c>
      <c r="E788" s="3" t="s">
        <v>1901</v>
      </c>
      <c r="F788" s="2" t="s">
        <v>74</v>
      </c>
      <c r="G788" s="6" t="s">
        <v>181</v>
      </c>
      <c r="H788" s="2" t="s">
        <v>1473</v>
      </c>
      <c r="I788" s="2" t="s">
        <v>1864</v>
      </c>
      <c r="J788" s="2" t="s">
        <v>19</v>
      </c>
      <c r="K788" s="2" t="s">
        <v>648</v>
      </c>
      <c r="L788" s="7" t="str">
        <f t="shared" si="9"/>
        <v xml:space="preserve">http://slimages.macys.com/is/image/MCY/11689284 </v>
      </c>
    </row>
    <row r="789" spans="1:12" ht="24.75" x14ac:dyDescent="0.25">
      <c r="A789" s="4" t="s">
        <v>5177</v>
      </c>
      <c r="B789" s="2" t="s">
        <v>1892</v>
      </c>
      <c r="C789" s="3">
        <v>1</v>
      </c>
      <c r="D789" s="5">
        <v>20.99</v>
      </c>
      <c r="E789" s="3" t="s">
        <v>1901</v>
      </c>
      <c r="F789" s="2" t="s">
        <v>74</v>
      </c>
      <c r="G789" s="6" t="s">
        <v>234</v>
      </c>
      <c r="H789" s="2" t="s">
        <v>1473</v>
      </c>
      <c r="I789" s="2" t="s">
        <v>1864</v>
      </c>
      <c r="J789" s="2" t="s">
        <v>19</v>
      </c>
      <c r="K789" s="2" t="s">
        <v>648</v>
      </c>
      <c r="L789" s="7" t="str">
        <f t="shared" si="9"/>
        <v xml:space="preserve">http://slimages.macys.com/is/image/MCY/11689284 </v>
      </c>
    </row>
    <row r="790" spans="1:12" ht="24.75" x14ac:dyDescent="0.25">
      <c r="A790" s="4" t="s">
        <v>3055</v>
      </c>
      <c r="B790" s="2" t="s">
        <v>1892</v>
      </c>
      <c r="C790" s="3">
        <v>1</v>
      </c>
      <c r="D790" s="5">
        <v>20.99</v>
      </c>
      <c r="E790" s="3" t="s">
        <v>1901</v>
      </c>
      <c r="F790" s="2" t="s">
        <v>74</v>
      </c>
      <c r="G790" s="6" t="s">
        <v>156</v>
      </c>
      <c r="H790" s="2" t="s">
        <v>1473</v>
      </c>
      <c r="I790" s="2" t="s">
        <v>1864</v>
      </c>
      <c r="J790" s="2" t="s">
        <v>19</v>
      </c>
      <c r="K790" s="2" t="s">
        <v>648</v>
      </c>
      <c r="L790" s="7" t="str">
        <f t="shared" si="9"/>
        <v xml:space="preserve">http://slimages.macys.com/is/image/MCY/11689284 </v>
      </c>
    </row>
    <row r="791" spans="1:12" ht="24.75" x14ac:dyDescent="0.25">
      <c r="A791" s="4" t="s">
        <v>3070</v>
      </c>
      <c r="B791" s="2" t="s">
        <v>1892</v>
      </c>
      <c r="C791" s="3">
        <v>1</v>
      </c>
      <c r="D791" s="5">
        <v>20.99</v>
      </c>
      <c r="E791" s="3" t="s">
        <v>1901</v>
      </c>
      <c r="F791" s="2" t="s">
        <v>15</v>
      </c>
      <c r="G791" s="6" t="s">
        <v>156</v>
      </c>
      <c r="H791" s="2" t="s">
        <v>1473</v>
      </c>
      <c r="I791" s="2" t="s">
        <v>1864</v>
      </c>
      <c r="J791" s="2" t="s">
        <v>19</v>
      </c>
      <c r="K791" s="2" t="s">
        <v>648</v>
      </c>
      <c r="L791" s="7" t="str">
        <f t="shared" si="9"/>
        <v xml:space="preserve">http://slimages.macys.com/is/image/MCY/11689284 </v>
      </c>
    </row>
    <row r="792" spans="1:12" ht="24.75" x14ac:dyDescent="0.25">
      <c r="A792" s="4" t="s">
        <v>1900</v>
      </c>
      <c r="B792" s="2" t="s">
        <v>1892</v>
      </c>
      <c r="C792" s="3">
        <v>2</v>
      </c>
      <c r="D792" s="5">
        <v>20.99</v>
      </c>
      <c r="E792" s="3" t="s">
        <v>1901</v>
      </c>
      <c r="F792" s="2" t="s">
        <v>998</v>
      </c>
      <c r="G792" s="6" t="s">
        <v>156</v>
      </c>
      <c r="H792" s="2" t="s">
        <v>1473</v>
      </c>
      <c r="I792" s="2" t="s">
        <v>1864</v>
      </c>
      <c r="J792" s="2" t="s">
        <v>19</v>
      </c>
      <c r="K792" s="2" t="s">
        <v>648</v>
      </c>
      <c r="L792" s="7" t="str">
        <f t="shared" si="9"/>
        <v xml:space="preserve">http://slimages.macys.com/is/image/MCY/11689284 </v>
      </c>
    </row>
    <row r="793" spans="1:12" ht="24.75" x14ac:dyDescent="0.25">
      <c r="A793" s="4" t="s">
        <v>3072</v>
      </c>
      <c r="B793" s="2" t="s">
        <v>1892</v>
      </c>
      <c r="C793" s="3">
        <v>1</v>
      </c>
      <c r="D793" s="5">
        <v>20.99</v>
      </c>
      <c r="E793" s="3" t="s">
        <v>1901</v>
      </c>
      <c r="F793" s="2" t="s">
        <v>1788</v>
      </c>
      <c r="G793" s="6" t="s">
        <v>181</v>
      </c>
      <c r="H793" s="2" t="s">
        <v>1473</v>
      </c>
      <c r="I793" s="2" t="s">
        <v>1864</v>
      </c>
      <c r="J793" s="2" t="s">
        <v>19</v>
      </c>
      <c r="K793" s="2" t="s">
        <v>648</v>
      </c>
      <c r="L793" s="7" t="str">
        <f t="shared" si="9"/>
        <v xml:space="preserve">http://slimages.macys.com/is/image/MCY/11689284 </v>
      </c>
    </row>
    <row r="794" spans="1:12" x14ac:dyDescent="0.25">
      <c r="A794" s="4" t="s">
        <v>6852</v>
      </c>
      <c r="B794" s="2" t="s">
        <v>4159</v>
      </c>
      <c r="C794" s="3">
        <v>1</v>
      </c>
      <c r="D794" s="5">
        <v>39.5</v>
      </c>
      <c r="E794" s="3" t="s">
        <v>4160</v>
      </c>
      <c r="F794" s="2" t="s">
        <v>111</v>
      </c>
      <c r="G794" s="6" t="s">
        <v>187</v>
      </c>
      <c r="H794" s="2" t="s">
        <v>206</v>
      </c>
      <c r="I794" s="2" t="s">
        <v>207</v>
      </c>
      <c r="J794" s="2" t="s">
        <v>19</v>
      </c>
      <c r="K794" s="2" t="s">
        <v>247</v>
      </c>
      <c r="L794" s="7" t="str">
        <f>HYPERLINK("http://slimages.macys.com/is/image/MCY/9815602 ")</f>
        <v xml:space="preserve">http://slimages.macys.com/is/image/MCY/9815602 </v>
      </c>
    </row>
    <row r="795" spans="1:12" x14ac:dyDescent="0.25">
      <c r="A795" s="4" t="s">
        <v>6853</v>
      </c>
      <c r="B795" s="2" t="s">
        <v>4159</v>
      </c>
      <c r="C795" s="3">
        <v>6</v>
      </c>
      <c r="D795" s="5">
        <v>39.5</v>
      </c>
      <c r="E795" s="3" t="s">
        <v>4160</v>
      </c>
      <c r="F795" s="2" t="s">
        <v>111</v>
      </c>
      <c r="G795" s="6" t="s">
        <v>219</v>
      </c>
      <c r="H795" s="2" t="s">
        <v>206</v>
      </c>
      <c r="I795" s="2" t="s">
        <v>207</v>
      </c>
      <c r="J795" s="2" t="s">
        <v>19</v>
      </c>
      <c r="K795" s="2" t="s">
        <v>247</v>
      </c>
      <c r="L795" s="7" t="str">
        <f>HYPERLINK("http://slimages.macys.com/is/image/MCY/9815602 ")</f>
        <v xml:space="preserve">http://slimages.macys.com/is/image/MCY/9815602 </v>
      </c>
    </row>
    <row r="796" spans="1:12" x14ac:dyDescent="0.25">
      <c r="A796" s="4" t="s">
        <v>6854</v>
      </c>
      <c r="B796" s="2" t="s">
        <v>4159</v>
      </c>
      <c r="C796" s="3">
        <v>2</v>
      </c>
      <c r="D796" s="5">
        <v>39.5</v>
      </c>
      <c r="E796" s="3" t="s">
        <v>4160</v>
      </c>
      <c r="F796" s="2" t="s">
        <v>111</v>
      </c>
      <c r="G796" s="6"/>
      <c r="H796" s="2" t="s">
        <v>206</v>
      </c>
      <c r="I796" s="2" t="s">
        <v>207</v>
      </c>
      <c r="J796" s="2" t="s">
        <v>19</v>
      </c>
      <c r="K796" s="2" t="s">
        <v>247</v>
      </c>
      <c r="L796" s="7" t="str">
        <f>HYPERLINK("http://slimages.macys.com/is/image/MCY/9815602 ")</f>
        <v xml:space="preserve">http://slimages.macys.com/is/image/MCY/9815602 </v>
      </c>
    </row>
    <row r="797" spans="1:12" x14ac:dyDescent="0.25">
      <c r="A797" s="4" t="s">
        <v>6855</v>
      </c>
      <c r="B797" s="2" t="s">
        <v>4159</v>
      </c>
      <c r="C797" s="3">
        <v>1</v>
      </c>
      <c r="D797" s="5">
        <v>39.5</v>
      </c>
      <c r="E797" s="3" t="s">
        <v>4160</v>
      </c>
      <c r="F797" s="2" t="s">
        <v>111</v>
      </c>
      <c r="G797" s="6"/>
      <c r="H797" s="2" t="s">
        <v>206</v>
      </c>
      <c r="I797" s="2" t="s">
        <v>207</v>
      </c>
      <c r="J797" s="2" t="s">
        <v>19</v>
      </c>
      <c r="K797" s="2" t="s">
        <v>247</v>
      </c>
      <c r="L797" s="7" t="str">
        <f>HYPERLINK("http://slimages.macys.com/is/image/MCY/9815602 ")</f>
        <v xml:space="preserve">http://slimages.macys.com/is/image/MCY/9815602 </v>
      </c>
    </row>
    <row r="798" spans="1:12" x14ac:dyDescent="0.25">
      <c r="A798" s="4" t="s">
        <v>6856</v>
      </c>
      <c r="B798" s="2" t="s">
        <v>4159</v>
      </c>
      <c r="C798" s="3">
        <v>4</v>
      </c>
      <c r="D798" s="5">
        <v>39.5</v>
      </c>
      <c r="E798" s="3" t="s">
        <v>4160</v>
      </c>
      <c r="F798" s="2" t="s">
        <v>111</v>
      </c>
      <c r="G798" s="6"/>
      <c r="H798" s="2" t="s">
        <v>206</v>
      </c>
      <c r="I798" s="2" t="s">
        <v>207</v>
      </c>
      <c r="J798" s="2" t="s">
        <v>19</v>
      </c>
      <c r="K798" s="2" t="s">
        <v>247</v>
      </c>
      <c r="L798" s="7" t="str">
        <f>HYPERLINK("http://slimages.macys.com/is/image/MCY/9815602 ")</f>
        <v xml:space="preserve">http://slimages.macys.com/is/image/MCY/9815602 </v>
      </c>
    </row>
    <row r="799" spans="1:12" ht="24.75" x14ac:dyDescent="0.25">
      <c r="A799" s="4" t="s">
        <v>6857</v>
      </c>
      <c r="B799" s="2" t="s">
        <v>6858</v>
      </c>
      <c r="C799" s="3">
        <v>1</v>
      </c>
      <c r="D799" s="5">
        <v>17.989999999999998</v>
      </c>
      <c r="E799" s="3" t="s">
        <v>6859</v>
      </c>
      <c r="F799" s="2" t="s">
        <v>15</v>
      </c>
      <c r="G799" s="6" t="s">
        <v>234</v>
      </c>
      <c r="H799" s="2" t="s">
        <v>1473</v>
      </c>
      <c r="I799" s="2" t="s">
        <v>1426</v>
      </c>
      <c r="J799" s="2" t="s">
        <v>19</v>
      </c>
      <c r="K799" s="2" t="s">
        <v>107</v>
      </c>
      <c r="L799" s="7" t="str">
        <f>HYPERLINK("http://slimages.macys.com/is/image/MCY/11917711 ")</f>
        <v xml:space="preserve">http://slimages.macys.com/is/image/MCY/11917711 </v>
      </c>
    </row>
    <row r="800" spans="1:12" ht="24.75" x14ac:dyDescent="0.25">
      <c r="A800" s="4" t="s">
        <v>6860</v>
      </c>
      <c r="B800" s="2" t="s">
        <v>3081</v>
      </c>
      <c r="C800" s="3">
        <v>1</v>
      </c>
      <c r="D800" s="5">
        <v>17.989999999999998</v>
      </c>
      <c r="E800" s="3" t="s">
        <v>3082</v>
      </c>
      <c r="F800" s="2" t="s">
        <v>1322</v>
      </c>
      <c r="G800" s="6" t="s">
        <v>181</v>
      </c>
      <c r="H800" s="2" t="s">
        <v>1473</v>
      </c>
      <c r="I800" s="2" t="s">
        <v>1426</v>
      </c>
      <c r="J800" s="2" t="s">
        <v>19</v>
      </c>
      <c r="K800" s="2" t="s">
        <v>990</v>
      </c>
      <c r="L800" s="7" t="str">
        <f>HYPERLINK("http://slimages.macys.com/is/image/MCY/11882211 ")</f>
        <v xml:space="preserve">http://slimages.macys.com/is/image/MCY/11882211 </v>
      </c>
    </row>
    <row r="801" spans="1:12" ht="24.75" x14ac:dyDescent="0.25">
      <c r="A801" s="4" t="s">
        <v>6861</v>
      </c>
      <c r="B801" s="2" t="s">
        <v>6862</v>
      </c>
      <c r="C801" s="3">
        <v>1</v>
      </c>
      <c r="D801" s="5">
        <v>17.989999999999998</v>
      </c>
      <c r="E801" s="3" t="s">
        <v>6863</v>
      </c>
      <c r="F801" s="2" t="s">
        <v>417</v>
      </c>
      <c r="G801" s="6" t="s">
        <v>219</v>
      </c>
      <c r="H801" s="2" t="s">
        <v>1425</v>
      </c>
      <c r="I801" s="2" t="s">
        <v>1426</v>
      </c>
      <c r="J801" s="2" t="s">
        <v>19</v>
      </c>
      <c r="K801" s="2" t="s">
        <v>990</v>
      </c>
      <c r="L801" s="7" t="str">
        <f>HYPERLINK("http://slimages.macys.com/is/image/MCY/12327110 ")</f>
        <v xml:space="preserve">http://slimages.macys.com/is/image/MCY/12327110 </v>
      </c>
    </row>
    <row r="802" spans="1:12" x14ac:dyDescent="0.25">
      <c r="A802" s="4" t="s">
        <v>5181</v>
      </c>
      <c r="B802" s="2" t="s">
        <v>1962</v>
      </c>
      <c r="C802" s="3">
        <v>1</v>
      </c>
      <c r="D802" s="5">
        <v>26.99</v>
      </c>
      <c r="E802" s="3" t="s">
        <v>5182</v>
      </c>
      <c r="F802" s="2" t="s">
        <v>331</v>
      </c>
      <c r="G802" s="6" t="s">
        <v>746</v>
      </c>
      <c r="H802" s="2" t="s">
        <v>349</v>
      </c>
      <c r="I802" s="2" t="s">
        <v>285</v>
      </c>
      <c r="J802" s="2" t="s">
        <v>19</v>
      </c>
      <c r="K802" s="2" t="s">
        <v>247</v>
      </c>
      <c r="L802" s="7" t="str">
        <f>HYPERLINK("http://slimages.macys.com/is/image/MCY/11605722 ")</f>
        <v xml:space="preserve">http://slimages.macys.com/is/image/MCY/11605722 </v>
      </c>
    </row>
    <row r="803" spans="1:12" ht="24.75" x14ac:dyDescent="0.25">
      <c r="A803" s="4" t="s">
        <v>6864</v>
      </c>
      <c r="B803" s="2" t="s">
        <v>6865</v>
      </c>
      <c r="C803" s="3">
        <v>1</v>
      </c>
      <c r="D803" s="5">
        <v>21.99</v>
      </c>
      <c r="E803" s="3" t="s">
        <v>6866</v>
      </c>
      <c r="F803" s="2" t="s">
        <v>170</v>
      </c>
      <c r="G803" s="6" t="s">
        <v>234</v>
      </c>
      <c r="H803" s="2" t="s">
        <v>284</v>
      </c>
      <c r="I803" s="2" t="s">
        <v>285</v>
      </c>
      <c r="J803" s="2" t="s">
        <v>19</v>
      </c>
      <c r="K803" s="2" t="s">
        <v>247</v>
      </c>
      <c r="L803" s="7" t="str">
        <f>HYPERLINK("http://slimages.macys.com/is/image/MCY/9678859 ")</f>
        <v xml:space="preserve">http://slimages.macys.com/is/image/MCY/9678859 </v>
      </c>
    </row>
    <row r="804" spans="1:12" ht="24.75" x14ac:dyDescent="0.25">
      <c r="A804" s="4" t="s">
        <v>4178</v>
      </c>
      <c r="B804" s="2" t="s">
        <v>1927</v>
      </c>
      <c r="C804" s="3">
        <v>2</v>
      </c>
      <c r="D804" s="5">
        <v>17.989999999999998</v>
      </c>
      <c r="E804" s="3" t="s">
        <v>3105</v>
      </c>
      <c r="F804" s="2" t="s">
        <v>74</v>
      </c>
      <c r="G804" s="6"/>
      <c r="H804" s="2" t="s">
        <v>1425</v>
      </c>
      <c r="I804" s="2" t="s">
        <v>1426</v>
      </c>
      <c r="J804" s="2" t="s">
        <v>19</v>
      </c>
      <c r="K804" s="2" t="s">
        <v>803</v>
      </c>
      <c r="L804" s="7" t="str">
        <f>HYPERLINK("http://slimages.macys.com/is/image/MCY/11882201 ")</f>
        <v xml:space="preserve">http://slimages.macys.com/is/image/MCY/11882201 </v>
      </c>
    </row>
    <row r="805" spans="1:12" ht="24.75" x14ac:dyDescent="0.25">
      <c r="A805" s="4" t="s">
        <v>3103</v>
      </c>
      <c r="B805" s="2" t="s">
        <v>1927</v>
      </c>
      <c r="C805" s="3">
        <v>1</v>
      </c>
      <c r="D805" s="5">
        <v>17.989999999999998</v>
      </c>
      <c r="E805" s="3" t="s">
        <v>1928</v>
      </c>
      <c r="F805" s="2" t="s">
        <v>74</v>
      </c>
      <c r="G805" s="6" t="s">
        <v>181</v>
      </c>
      <c r="H805" s="2" t="s">
        <v>1473</v>
      </c>
      <c r="I805" s="2" t="s">
        <v>1426</v>
      </c>
      <c r="J805" s="2" t="s">
        <v>19</v>
      </c>
      <c r="K805" s="2" t="s">
        <v>803</v>
      </c>
      <c r="L805" s="7" t="str">
        <f>HYPERLINK("http://slimages.macys.com/is/image/MCY/11882200 ")</f>
        <v xml:space="preserve">http://slimages.macys.com/is/image/MCY/11882200 </v>
      </c>
    </row>
    <row r="806" spans="1:12" ht="24.75" x14ac:dyDescent="0.25">
      <c r="A806" s="4" t="s">
        <v>6867</v>
      </c>
      <c r="B806" s="2" t="s">
        <v>1927</v>
      </c>
      <c r="C806" s="3">
        <v>1</v>
      </c>
      <c r="D806" s="5">
        <v>17.989999999999998</v>
      </c>
      <c r="E806" s="3" t="s">
        <v>1928</v>
      </c>
      <c r="F806" s="2" t="s">
        <v>74</v>
      </c>
      <c r="G806" s="6" t="s">
        <v>245</v>
      </c>
      <c r="H806" s="2" t="s">
        <v>1473</v>
      </c>
      <c r="I806" s="2" t="s">
        <v>1426</v>
      </c>
      <c r="J806" s="2" t="s">
        <v>19</v>
      </c>
      <c r="K806" s="2" t="s">
        <v>803</v>
      </c>
      <c r="L806" s="7" t="str">
        <f>HYPERLINK("http://slimages.macys.com/is/image/MCY/11882200 ")</f>
        <v xml:space="preserve">http://slimages.macys.com/is/image/MCY/11882200 </v>
      </c>
    </row>
    <row r="807" spans="1:12" ht="24.75" x14ac:dyDescent="0.25">
      <c r="A807" s="4" t="s">
        <v>5185</v>
      </c>
      <c r="B807" s="2" t="s">
        <v>1927</v>
      </c>
      <c r="C807" s="3">
        <v>1</v>
      </c>
      <c r="D807" s="5">
        <v>17.989999999999998</v>
      </c>
      <c r="E807" s="3" t="s">
        <v>3105</v>
      </c>
      <c r="F807" s="2" t="s">
        <v>74</v>
      </c>
      <c r="G807" s="6" t="s">
        <v>187</v>
      </c>
      <c r="H807" s="2" t="s">
        <v>1425</v>
      </c>
      <c r="I807" s="2" t="s">
        <v>1426</v>
      </c>
      <c r="J807" s="2" t="s">
        <v>19</v>
      </c>
      <c r="K807" s="2" t="s">
        <v>803</v>
      </c>
      <c r="L807" s="7" t="str">
        <f>HYPERLINK("http://slimages.macys.com/is/image/MCY/11882201 ")</f>
        <v xml:space="preserve">http://slimages.macys.com/is/image/MCY/11882201 </v>
      </c>
    </row>
    <row r="808" spans="1:12" ht="24.75" x14ac:dyDescent="0.25">
      <c r="A808" s="4" t="s">
        <v>3107</v>
      </c>
      <c r="B808" s="2" t="s">
        <v>1927</v>
      </c>
      <c r="C808" s="3">
        <v>1</v>
      </c>
      <c r="D808" s="5">
        <v>17.989999999999998</v>
      </c>
      <c r="E808" s="3" t="s">
        <v>3105</v>
      </c>
      <c r="F808" s="2" t="s">
        <v>15</v>
      </c>
      <c r="G808" s="6"/>
      <c r="H808" s="2" t="s">
        <v>1425</v>
      </c>
      <c r="I808" s="2" t="s">
        <v>1426</v>
      </c>
      <c r="J808" s="2" t="s">
        <v>19</v>
      </c>
      <c r="K808" s="2" t="s">
        <v>803</v>
      </c>
      <c r="L808" s="7" t="str">
        <f>HYPERLINK("http://slimages.macys.com/is/image/MCY/11882201 ")</f>
        <v xml:space="preserve">http://slimages.macys.com/is/image/MCY/11882201 </v>
      </c>
    </row>
    <row r="809" spans="1:12" ht="24.75" x14ac:dyDescent="0.25">
      <c r="A809" s="4" t="s">
        <v>6868</v>
      </c>
      <c r="B809" s="2" t="s">
        <v>6869</v>
      </c>
      <c r="C809" s="3">
        <v>1</v>
      </c>
      <c r="D809" s="5">
        <v>17.989999999999998</v>
      </c>
      <c r="E809" s="3" t="s">
        <v>6870</v>
      </c>
      <c r="F809" s="2" t="s">
        <v>74</v>
      </c>
      <c r="G809" s="6" t="s">
        <v>245</v>
      </c>
      <c r="H809" s="2" t="s">
        <v>1473</v>
      </c>
      <c r="I809" s="2" t="s">
        <v>1426</v>
      </c>
      <c r="J809" s="2" t="s">
        <v>19</v>
      </c>
      <c r="K809" s="2" t="s">
        <v>648</v>
      </c>
      <c r="L809" s="7" t="str">
        <f>HYPERLINK("http://slimages.macys.com/is/image/MCY/11882136 ")</f>
        <v xml:space="preserve">http://slimages.macys.com/is/image/MCY/11882136 </v>
      </c>
    </row>
    <row r="810" spans="1:12" ht="24.75" x14ac:dyDescent="0.25">
      <c r="A810" s="4" t="s">
        <v>3116</v>
      </c>
      <c r="B810" s="2" t="s">
        <v>1932</v>
      </c>
      <c r="C810" s="3">
        <v>1</v>
      </c>
      <c r="D810" s="5">
        <v>16.989999999999998</v>
      </c>
      <c r="E810" s="3" t="s">
        <v>1933</v>
      </c>
      <c r="F810" s="2" t="s">
        <v>15</v>
      </c>
      <c r="G810" s="6" t="s">
        <v>154</v>
      </c>
      <c r="H810" s="2" t="s">
        <v>1473</v>
      </c>
      <c r="I810" s="2" t="s">
        <v>1864</v>
      </c>
      <c r="J810" s="2" t="s">
        <v>19</v>
      </c>
      <c r="K810" s="2" t="s">
        <v>648</v>
      </c>
      <c r="L810" s="7" t="str">
        <f>HYPERLINK("http://slimages.macys.com/is/image/MCY/11634794 ")</f>
        <v xml:space="preserve">http://slimages.macys.com/is/image/MCY/11634794 </v>
      </c>
    </row>
    <row r="811" spans="1:12" ht="24.75" x14ac:dyDescent="0.25">
      <c r="A811" s="4" t="s">
        <v>6871</v>
      </c>
      <c r="B811" s="2" t="s">
        <v>1932</v>
      </c>
      <c r="C811" s="3">
        <v>1</v>
      </c>
      <c r="D811" s="5">
        <v>16.989999999999998</v>
      </c>
      <c r="E811" s="3" t="s">
        <v>3113</v>
      </c>
      <c r="F811" s="2" t="s">
        <v>15</v>
      </c>
      <c r="G811" s="6"/>
      <c r="H811" s="2" t="s">
        <v>1425</v>
      </c>
      <c r="I811" s="2" t="s">
        <v>1864</v>
      </c>
      <c r="J811" s="2" t="s">
        <v>19</v>
      </c>
      <c r="K811" s="2" t="s">
        <v>648</v>
      </c>
      <c r="L811" s="7" t="str">
        <f>HYPERLINK("http://slimages.macys.com/is/image/MCY/11634785 ")</f>
        <v xml:space="preserve">http://slimages.macys.com/is/image/MCY/11634785 </v>
      </c>
    </row>
    <row r="812" spans="1:12" ht="24.75" x14ac:dyDescent="0.25">
      <c r="A812" s="4" t="s">
        <v>5187</v>
      </c>
      <c r="B812" s="2" t="s">
        <v>5188</v>
      </c>
      <c r="C812" s="3">
        <v>1</v>
      </c>
      <c r="D812" s="5">
        <v>21.99</v>
      </c>
      <c r="E812" s="3" t="s">
        <v>5189</v>
      </c>
      <c r="F812" s="2" t="s">
        <v>15</v>
      </c>
      <c r="G812" s="6" t="s">
        <v>181</v>
      </c>
      <c r="H812" s="2" t="s">
        <v>284</v>
      </c>
      <c r="I812" s="2" t="s">
        <v>285</v>
      </c>
      <c r="J812" s="2" t="s">
        <v>19</v>
      </c>
      <c r="K812" s="2" t="s">
        <v>247</v>
      </c>
      <c r="L812" s="7" t="str">
        <f>HYPERLINK("http://slimages.macys.com/is/image/MCY/12876530 ")</f>
        <v xml:space="preserve">http://slimages.macys.com/is/image/MCY/12876530 </v>
      </c>
    </row>
    <row r="813" spans="1:12" ht="24.75" x14ac:dyDescent="0.25">
      <c r="A813" s="4" t="s">
        <v>6872</v>
      </c>
      <c r="B813" s="2" t="s">
        <v>1918</v>
      </c>
      <c r="C813" s="3">
        <v>1</v>
      </c>
      <c r="D813" s="5">
        <v>19.989999999999998</v>
      </c>
      <c r="E813" s="3" t="s">
        <v>1919</v>
      </c>
      <c r="F813" s="2"/>
      <c r="G813" s="6"/>
      <c r="H813" s="2" t="s">
        <v>188</v>
      </c>
      <c r="I813" s="2" t="s">
        <v>189</v>
      </c>
      <c r="J813" s="2" t="s">
        <v>19</v>
      </c>
      <c r="K813" s="2" t="s">
        <v>648</v>
      </c>
      <c r="L813" s="7" t="str">
        <f>HYPERLINK("http://slimages.macys.com/is/image/MCY/11625273 ")</f>
        <v xml:space="preserve">http://slimages.macys.com/is/image/MCY/11625273 </v>
      </c>
    </row>
    <row r="814" spans="1:12" ht="24.75" x14ac:dyDescent="0.25">
      <c r="A814" s="4" t="s">
        <v>6873</v>
      </c>
      <c r="B814" s="2" t="s">
        <v>1918</v>
      </c>
      <c r="C814" s="3">
        <v>1</v>
      </c>
      <c r="D814" s="5">
        <v>19.989999999999998</v>
      </c>
      <c r="E814" s="3" t="s">
        <v>1919</v>
      </c>
      <c r="F814" s="2"/>
      <c r="G814" s="6"/>
      <c r="H814" s="2" t="s">
        <v>188</v>
      </c>
      <c r="I814" s="2" t="s">
        <v>189</v>
      </c>
      <c r="J814" s="2" t="s">
        <v>19</v>
      </c>
      <c r="K814" s="2" t="s">
        <v>648</v>
      </c>
      <c r="L814" s="7" t="str">
        <f>HYPERLINK("http://slimages.macys.com/is/image/MCY/11625273 ")</f>
        <v xml:space="preserve">http://slimages.macys.com/is/image/MCY/11625273 </v>
      </c>
    </row>
    <row r="815" spans="1:12" ht="24.75" x14ac:dyDescent="0.25">
      <c r="A815" s="4" t="s">
        <v>6874</v>
      </c>
      <c r="B815" s="2" t="s">
        <v>1937</v>
      </c>
      <c r="C815" s="3">
        <v>1</v>
      </c>
      <c r="D815" s="5">
        <v>19.989999999999998</v>
      </c>
      <c r="E815" s="3" t="s">
        <v>1938</v>
      </c>
      <c r="F815" s="2"/>
      <c r="G815" s="6" t="s">
        <v>154</v>
      </c>
      <c r="H815" s="2" t="s">
        <v>246</v>
      </c>
      <c r="I815" s="2" t="s">
        <v>1939</v>
      </c>
      <c r="J815" s="2" t="s">
        <v>19</v>
      </c>
      <c r="K815" s="2" t="s">
        <v>1940</v>
      </c>
      <c r="L815" s="7" t="str">
        <f>HYPERLINK("http://slimages.macys.com/is/image/MCY/11523112 ")</f>
        <v xml:space="preserve">http://slimages.macys.com/is/image/MCY/11523112 </v>
      </c>
    </row>
    <row r="816" spans="1:12" ht="24.75" x14ac:dyDescent="0.25">
      <c r="A816" s="4" t="s">
        <v>6875</v>
      </c>
      <c r="B816" s="2" t="s">
        <v>1942</v>
      </c>
      <c r="C816" s="3">
        <v>1</v>
      </c>
      <c r="D816" s="5">
        <v>17.989999999999998</v>
      </c>
      <c r="E816" s="3" t="s">
        <v>1943</v>
      </c>
      <c r="F816" s="2" t="s">
        <v>15</v>
      </c>
      <c r="G816" s="6" t="s">
        <v>234</v>
      </c>
      <c r="H816" s="2" t="s">
        <v>1522</v>
      </c>
      <c r="I816" s="2" t="s">
        <v>1469</v>
      </c>
      <c r="J816" s="2" t="s">
        <v>19</v>
      </c>
      <c r="K816" s="2" t="s">
        <v>353</v>
      </c>
      <c r="L816" s="7" t="str">
        <f>HYPERLINK("http://slimages.macys.com/is/image/MCY/10743541 ")</f>
        <v xml:space="preserve">http://slimages.macys.com/is/image/MCY/10743541 </v>
      </c>
    </row>
    <row r="817" spans="1:12" ht="24.75" x14ac:dyDescent="0.25">
      <c r="A817" s="4" t="s">
        <v>6876</v>
      </c>
      <c r="B817" s="2" t="s">
        <v>1942</v>
      </c>
      <c r="C817" s="3">
        <v>1</v>
      </c>
      <c r="D817" s="5">
        <v>17.989999999999998</v>
      </c>
      <c r="E817" s="3" t="s">
        <v>1943</v>
      </c>
      <c r="F817" s="2" t="s">
        <v>64</v>
      </c>
      <c r="G817" s="6" t="s">
        <v>154</v>
      </c>
      <c r="H817" s="2" t="s">
        <v>1522</v>
      </c>
      <c r="I817" s="2" t="s">
        <v>1469</v>
      </c>
      <c r="J817" s="2" t="s">
        <v>19</v>
      </c>
      <c r="K817" s="2" t="s">
        <v>353</v>
      </c>
      <c r="L817" s="7" t="str">
        <f>HYPERLINK("http://slimages.macys.com/is/image/MCY/10743541 ")</f>
        <v xml:space="preserve">http://slimages.macys.com/is/image/MCY/10743541 </v>
      </c>
    </row>
    <row r="818" spans="1:12" ht="24.75" x14ac:dyDescent="0.25">
      <c r="A818" s="4" t="s">
        <v>6877</v>
      </c>
      <c r="B818" s="2" t="s">
        <v>1942</v>
      </c>
      <c r="C818" s="3">
        <v>1</v>
      </c>
      <c r="D818" s="5">
        <v>17.989999999999998</v>
      </c>
      <c r="E818" s="3" t="s">
        <v>1943</v>
      </c>
      <c r="F818" s="2" t="s">
        <v>64</v>
      </c>
      <c r="G818" s="6" t="s">
        <v>200</v>
      </c>
      <c r="H818" s="2" t="s">
        <v>1522</v>
      </c>
      <c r="I818" s="2" t="s">
        <v>1469</v>
      </c>
      <c r="J818" s="2" t="s">
        <v>19</v>
      </c>
      <c r="K818" s="2" t="s">
        <v>353</v>
      </c>
      <c r="L818" s="7" t="str">
        <f>HYPERLINK("http://slimages.macys.com/is/image/MCY/10743541 ")</f>
        <v xml:space="preserve">http://slimages.macys.com/is/image/MCY/10743541 </v>
      </c>
    </row>
    <row r="819" spans="1:12" ht="24.75" x14ac:dyDescent="0.25">
      <c r="A819" s="4" t="s">
        <v>6878</v>
      </c>
      <c r="B819" s="2" t="s">
        <v>3122</v>
      </c>
      <c r="C819" s="3">
        <v>1</v>
      </c>
      <c r="D819" s="5">
        <v>14.99</v>
      </c>
      <c r="E819" s="3" t="s">
        <v>3123</v>
      </c>
      <c r="F819" s="2" t="s">
        <v>33</v>
      </c>
      <c r="G819" s="6" t="s">
        <v>181</v>
      </c>
      <c r="H819" s="2" t="s">
        <v>1522</v>
      </c>
      <c r="I819" s="2" t="s">
        <v>1469</v>
      </c>
      <c r="J819" s="2" t="s">
        <v>19</v>
      </c>
      <c r="K819" s="2" t="s">
        <v>495</v>
      </c>
      <c r="L819" s="7" t="str">
        <f>HYPERLINK("http://slimages.macys.com/is/image/MCY/9957413 ")</f>
        <v xml:space="preserve">http://slimages.macys.com/is/image/MCY/9957413 </v>
      </c>
    </row>
    <row r="820" spans="1:12" ht="24.75" x14ac:dyDescent="0.25">
      <c r="A820" s="4" t="s">
        <v>6879</v>
      </c>
      <c r="B820" s="2" t="s">
        <v>3122</v>
      </c>
      <c r="C820" s="3">
        <v>1</v>
      </c>
      <c r="D820" s="5">
        <v>14.99</v>
      </c>
      <c r="E820" s="3" t="s">
        <v>3123</v>
      </c>
      <c r="F820" s="2" t="s">
        <v>57</v>
      </c>
      <c r="G820" s="6" t="s">
        <v>156</v>
      </c>
      <c r="H820" s="2" t="s">
        <v>1522</v>
      </c>
      <c r="I820" s="2" t="s">
        <v>1469</v>
      </c>
      <c r="J820" s="2" t="s">
        <v>19</v>
      </c>
      <c r="K820" s="2" t="s">
        <v>495</v>
      </c>
      <c r="L820" s="7" t="str">
        <f>HYPERLINK("http://slimages.macys.com/is/image/MCY/9957413 ")</f>
        <v xml:space="preserve">http://slimages.macys.com/is/image/MCY/9957413 </v>
      </c>
    </row>
    <row r="821" spans="1:12" ht="24.75" x14ac:dyDescent="0.25">
      <c r="A821" s="4" t="s">
        <v>4194</v>
      </c>
      <c r="B821" s="2" t="s">
        <v>3122</v>
      </c>
      <c r="C821" s="3">
        <v>1</v>
      </c>
      <c r="D821" s="5">
        <v>14.99</v>
      </c>
      <c r="E821" s="3" t="s">
        <v>3123</v>
      </c>
      <c r="F821" s="2" t="s">
        <v>79</v>
      </c>
      <c r="G821" s="6" t="s">
        <v>181</v>
      </c>
      <c r="H821" s="2" t="s">
        <v>1522</v>
      </c>
      <c r="I821" s="2" t="s">
        <v>1469</v>
      </c>
      <c r="J821" s="2" t="s">
        <v>19</v>
      </c>
      <c r="K821" s="2" t="s">
        <v>495</v>
      </c>
      <c r="L821" s="7" t="str">
        <f>HYPERLINK("http://slimages.macys.com/is/image/MCY/9957413 ")</f>
        <v xml:space="preserve">http://slimages.macys.com/is/image/MCY/9957413 </v>
      </c>
    </row>
    <row r="822" spans="1:12" ht="24.75" x14ac:dyDescent="0.25">
      <c r="A822" s="4" t="s">
        <v>6880</v>
      </c>
      <c r="B822" s="2" t="s">
        <v>3122</v>
      </c>
      <c r="C822" s="3">
        <v>1</v>
      </c>
      <c r="D822" s="5">
        <v>14.99</v>
      </c>
      <c r="E822" s="3" t="s">
        <v>3123</v>
      </c>
      <c r="F822" s="2" t="s">
        <v>57</v>
      </c>
      <c r="G822" s="6" t="s">
        <v>234</v>
      </c>
      <c r="H822" s="2" t="s">
        <v>1522</v>
      </c>
      <c r="I822" s="2" t="s">
        <v>1469</v>
      </c>
      <c r="J822" s="2" t="s">
        <v>19</v>
      </c>
      <c r="K822" s="2" t="s">
        <v>495</v>
      </c>
      <c r="L822" s="7" t="str">
        <f>HYPERLINK("http://slimages.macys.com/is/image/MCY/9957413 ")</f>
        <v xml:space="preserve">http://slimages.macys.com/is/image/MCY/9957413 </v>
      </c>
    </row>
    <row r="823" spans="1:12" ht="24.75" x14ac:dyDescent="0.25">
      <c r="A823" s="4" t="s">
        <v>6881</v>
      </c>
      <c r="B823" s="2" t="s">
        <v>3122</v>
      </c>
      <c r="C823" s="3">
        <v>1</v>
      </c>
      <c r="D823" s="5">
        <v>14.99</v>
      </c>
      <c r="E823" s="3" t="s">
        <v>3123</v>
      </c>
      <c r="F823" s="2" t="s">
        <v>79</v>
      </c>
      <c r="G823" s="6" t="s">
        <v>156</v>
      </c>
      <c r="H823" s="2" t="s">
        <v>1522</v>
      </c>
      <c r="I823" s="2" t="s">
        <v>1469</v>
      </c>
      <c r="J823" s="2" t="s">
        <v>19</v>
      </c>
      <c r="K823" s="2" t="s">
        <v>495</v>
      </c>
      <c r="L823" s="7" t="str">
        <f>HYPERLINK("http://slimages.macys.com/is/image/MCY/9957413 ")</f>
        <v xml:space="preserve">http://slimages.macys.com/is/image/MCY/9957413 </v>
      </c>
    </row>
    <row r="824" spans="1:12" ht="24.75" x14ac:dyDescent="0.25">
      <c r="A824" s="4" t="s">
        <v>3130</v>
      </c>
      <c r="B824" s="2" t="s">
        <v>3131</v>
      </c>
      <c r="C824" s="3">
        <v>1</v>
      </c>
      <c r="D824" s="5">
        <v>14.99</v>
      </c>
      <c r="E824" s="3" t="s">
        <v>3132</v>
      </c>
      <c r="F824" s="2" t="s">
        <v>94</v>
      </c>
      <c r="G824" s="6"/>
      <c r="H824" s="2" t="s">
        <v>1425</v>
      </c>
      <c r="I824" s="2" t="s">
        <v>1426</v>
      </c>
      <c r="J824" s="2" t="s">
        <v>19</v>
      </c>
      <c r="K824" s="2" t="s">
        <v>495</v>
      </c>
      <c r="L824" s="7" t="str">
        <f>HYPERLINK("http://slimages.macys.com/is/image/MCY/12673003 ")</f>
        <v xml:space="preserve">http://slimages.macys.com/is/image/MCY/12673003 </v>
      </c>
    </row>
    <row r="825" spans="1:12" ht="24.75" x14ac:dyDescent="0.25">
      <c r="A825" s="4" t="s">
        <v>6163</v>
      </c>
      <c r="B825" s="2" t="s">
        <v>5196</v>
      </c>
      <c r="C825" s="3">
        <v>1</v>
      </c>
      <c r="D825" s="5">
        <v>14.99</v>
      </c>
      <c r="E825" s="3" t="s">
        <v>5197</v>
      </c>
      <c r="F825" s="2" t="s">
        <v>26</v>
      </c>
      <c r="G825" s="6" t="s">
        <v>187</v>
      </c>
      <c r="H825" s="2" t="s">
        <v>1425</v>
      </c>
      <c r="I825" s="2" t="s">
        <v>1426</v>
      </c>
      <c r="J825" s="2" t="s">
        <v>19</v>
      </c>
      <c r="K825" s="2" t="s">
        <v>495</v>
      </c>
      <c r="L825" s="7" t="str">
        <f>HYPERLINK("http://slimages.macys.com/is/image/MCY/11882667 ")</f>
        <v xml:space="preserve">http://slimages.macys.com/is/image/MCY/11882667 </v>
      </c>
    </row>
    <row r="826" spans="1:12" ht="24.75" x14ac:dyDescent="0.25">
      <c r="A826" s="4" t="s">
        <v>6882</v>
      </c>
      <c r="B826" s="2" t="s">
        <v>3128</v>
      </c>
      <c r="C826" s="3">
        <v>1</v>
      </c>
      <c r="D826" s="5">
        <v>14.99</v>
      </c>
      <c r="E826" s="3" t="s">
        <v>3149</v>
      </c>
      <c r="F826" s="2" t="s">
        <v>26</v>
      </c>
      <c r="G826" s="6" t="s">
        <v>156</v>
      </c>
      <c r="H826" s="2" t="s">
        <v>1473</v>
      </c>
      <c r="I826" s="2" t="s">
        <v>1426</v>
      </c>
      <c r="J826" s="2" t="s">
        <v>19</v>
      </c>
      <c r="K826" s="2" t="s">
        <v>495</v>
      </c>
      <c r="L826" s="7" t="str">
        <f>HYPERLINK("http://slimages.macys.com/is/image/MCY/12064003 ")</f>
        <v xml:space="preserve">http://slimages.macys.com/is/image/MCY/12064003 </v>
      </c>
    </row>
    <row r="827" spans="1:12" ht="24.75" x14ac:dyDescent="0.25">
      <c r="A827" s="4" t="s">
        <v>6883</v>
      </c>
      <c r="B827" s="2" t="s">
        <v>3137</v>
      </c>
      <c r="C827" s="3">
        <v>1</v>
      </c>
      <c r="D827" s="5">
        <v>14.99</v>
      </c>
      <c r="E827" s="3" t="s">
        <v>3153</v>
      </c>
      <c r="F827" s="2" t="s">
        <v>26</v>
      </c>
      <c r="G827" s="6" t="s">
        <v>156</v>
      </c>
      <c r="H827" s="2" t="s">
        <v>1473</v>
      </c>
      <c r="I827" s="2" t="s">
        <v>1426</v>
      </c>
      <c r="J827" s="2" t="s">
        <v>19</v>
      </c>
      <c r="K827" s="2" t="s">
        <v>495</v>
      </c>
      <c r="L827" s="7" t="str">
        <f>HYPERLINK("http://slimages.macys.com/is/image/MCY/11915563 ")</f>
        <v xml:space="preserve">http://slimages.macys.com/is/image/MCY/11915563 </v>
      </c>
    </row>
    <row r="828" spans="1:12" ht="24.75" x14ac:dyDescent="0.25">
      <c r="A828" s="4" t="s">
        <v>3148</v>
      </c>
      <c r="B828" s="2" t="s">
        <v>3128</v>
      </c>
      <c r="C828" s="3">
        <v>1</v>
      </c>
      <c r="D828" s="5">
        <v>14.99</v>
      </c>
      <c r="E828" s="3" t="s">
        <v>3149</v>
      </c>
      <c r="F828" s="2" t="s">
        <v>26</v>
      </c>
      <c r="G828" s="6" t="s">
        <v>154</v>
      </c>
      <c r="H828" s="2" t="s">
        <v>1473</v>
      </c>
      <c r="I828" s="2" t="s">
        <v>1426</v>
      </c>
      <c r="J828" s="2" t="s">
        <v>19</v>
      </c>
      <c r="K828" s="2" t="s">
        <v>495</v>
      </c>
      <c r="L828" s="7" t="str">
        <f>HYPERLINK("http://slimages.macys.com/is/image/MCY/12064003 ")</f>
        <v xml:space="preserve">http://slimages.macys.com/is/image/MCY/12064003 </v>
      </c>
    </row>
    <row r="829" spans="1:12" ht="24.75" x14ac:dyDescent="0.25">
      <c r="A829" s="4" t="s">
        <v>6884</v>
      </c>
      <c r="B829" s="2" t="s">
        <v>3169</v>
      </c>
      <c r="C829" s="3">
        <v>1</v>
      </c>
      <c r="D829" s="5">
        <v>14.99</v>
      </c>
      <c r="E829" s="3" t="s">
        <v>3170</v>
      </c>
      <c r="F829" s="2" t="s">
        <v>15</v>
      </c>
      <c r="G829" s="6" t="s">
        <v>245</v>
      </c>
      <c r="H829" s="2" t="s">
        <v>1473</v>
      </c>
      <c r="I829" s="2" t="s">
        <v>1426</v>
      </c>
      <c r="J829" s="2" t="s">
        <v>19</v>
      </c>
      <c r="K829" s="2" t="s">
        <v>495</v>
      </c>
      <c r="L829" s="7" t="str">
        <f>HYPERLINK("http://slimages.macys.com/is/image/MCY/11634132 ")</f>
        <v xml:space="preserve">http://slimages.macys.com/is/image/MCY/11634132 </v>
      </c>
    </row>
    <row r="830" spans="1:12" ht="24.75" x14ac:dyDescent="0.25">
      <c r="A830" s="4" t="s">
        <v>6885</v>
      </c>
      <c r="B830" s="2" t="s">
        <v>1954</v>
      </c>
      <c r="C830" s="3">
        <v>1</v>
      </c>
      <c r="D830" s="5">
        <v>18.38</v>
      </c>
      <c r="E830" s="3" t="s">
        <v>3173</v>
      </c>
      <c r="F830" s="2" t="s">
        <v>26</v>
      </c>
      <c r="G830" s="6" t="s">
        <v>181</v>
      </c>
      <c r="H830" s="2" t="s">
        <v>194</v>
      </c>
      <c r="I830" s="2" t="s">
        <v>195</v>
      </c>
      <c r="J830" s="2" t="s">
        <v>19</v>
      </c>
      <c r="K830" s="2" t="s">
        <v>1108</v>
      </c>
      <c r="L830" s="7" t="str">
        <f>HYPERLINK("http://slimages.macys.com/is/image/MCY/13036261 ")</f>
        <v xml:space="preserve">http://slimages.macys.com/is/image/MCY/13036261 </v>
      </c>
    </row>
    <row r="831" spans="1:12" ht="24.75" x14ac:dyDescent="0.25">
      <c r="A831" s="4" t="s">
        <v>5205</v>
      </c>
      <c r="B831" s="2" t="s">
        <v>1954</v>
      </c>
      <c r="C831" s="3">
        <v>1</v>
      </c>
      <c r="D831" s="5">
        <v>18.38</v>
      </c>
      <c r="E831" s="3" t="s">
        <v>5206</v>
      </c>
      <c r="F831" s="2" t="s">
        <v>79</v>
      </c>
      <c r="G831" s="6" t="s">
        <v>234</v>
      </c>
      <c r="H831" s="2" t="s">
        <v>194</v>
      </c>
      <c r="I831" s="2" t="s">
        <v>195</v>
      </c>
      <c r="J831" s="2" t="s">
        <v>19</v>
      </c>
      <c r="K831" s="2" t="s">
        <v>1108</v>
      </c>
      <c r="L831" s="7" t="str">
        <f>HYPERLINK("http://slimages.macys.com/is/image/MCY/13036261 ")</f>
        <v xml:space="preserve">http://slimages.macys.com/is/image/MCY/13036261 </v>
      </c>
    </row>
    <row r="832" spans="1:12" ht="24.75" x14ac:dyDescent="0.25">
      <c r="A832" s="4" t="s">
        <v>6170</v>
      </c>
      <c r="B832" s="2" t="s">
        <v>1921</v>
      </c>
      <c r="C832" s="3">
        <v>2</v>
      </c>
      <c r="D832" s="5">
        <v>14.99</v>
      </c>
      <c r="E832" s="3" t="s">
        <v>5208</v>
      </c>
      <c r="F832" s="2" t="s">
        <v>111</v>
      </c>
      <c r="G832" s="6" t="s">
        <v>154</v>
      </c>
      <c r="H832" s="2" t="s">
        <v>194</v>
      </c>
      <c r="I832" s="2" t="s">
        <v>1922</v>
      </c>
      <c r="J832" s="2" t="s">
        <v>19</v>
      </c>
      <c r="K832" s="2" t="s">
        <v>1108</v>
      </c>
      <c r="L832" s="7" t="str">
        <f>HYPERLINK("http://slimages.macys.com/is/image/MCY/11147951 ")</f>
        <v xml:space="preserve">http://slimages.macys.com/is/image/MCY/11147951 </v>
      </c>
    </row>
    <row r="833" spans="1:12" ht="24.75" x14ac:dyDescent="0.25">
      <c r="A833" s="4" t="s">
        <v>6886</v>
      </c>
      <c r="B833" s="2" t="s">
        <v>1921</v>
      </c>
      <c r="C833" s="3">
        <v>2</v>
      </c>
      <c r="D833" s="5">
        <v>14.99</v>
      </c>
      <c r="E833" s="3" t="s">
        <v>5208</v>
      </c>
      <c r="F833" s="2" t="s">
        <v>111</v>
      </c>
      <c r="G833" s="6" t="s">
        <v>234</v>
      </c>
      <c r="H833" s="2" t="s">
        <v>194</v>
      </c>
      <c r="I833" s="2" t="s">
        <v>1922</v>
      </c>
      <c r="J833" s="2" t="s">
        <v>19</v>
      </c>
      <c r="K833" s="2" t="s">
        <v>1108</v>
      </c>
      <c r="L833" s="7" t="str">
        <f>HYPERLINK("http://slimages.macys.com/is/image/MCY/11147951 ")</f>
        <v xml:space="preserve">http://slimages.macys.com/is/image/MCY/11147951 </v>
      </c>
    </row>
    <row r="834" spans="1:12" ht="24.75" x14ac:dyDescent="0.25">
      <c r="A834" s="4" t="s">
        <v>6887</v>
      </c>
      <c r="B834" s="2" t="s">
        <v>1921</v>
      </c>
      <c r="C834" s="3">
        <v>1</v>
      </c>
      <c r="D834" s="5">
        <v>14.99</v>
      </c>
      <c r="E834" s="3" t="s">
        <v>5208</v>
      </c>
      <c r="F834" s="2" t="s">
        <v>111</v>
      </c>
      <c r="G834" s="6" t="s">
        <v>245</v>
      </c>
      <c r="H834" s="2" t="s">
        <v>194</v>
      </c>
      <c r="I834" s="2" t="s">
        <v>1922</v>
      </c>
      <c r="J834" s="2" t="s">
        <v>19</v>
      </c>
      <c r="K834" s="2" t="s">
        <v>1108</v>
      </c>
      <c r="L834" s="7" t="str">
        <f>HYPERLINK("http://slimages.macys.com/is/image/MCY/11147951 ")</f>
        <v xml:space="preserve">http://slimages.macys.com/is/image/MCY/11147951 </v>
      </c>
    </row>
    <row r="835" spans="1:12" ht="24.75" x14ac:dyDescent="0.25">
      <c r="A835" s="4" t="s">
        <v>6888</v>
      </c>
      <c r="B835" s="2" t="s">
        <v>1921</v>
      </c>
      <c r="C835" s="3">
        <v>1</v>
      </c>
      <c r="D835" s="5">
        <v>14.99</v>
      </c>
      <c r="E835" s="3" t="s">
        <v>5208</v>
      </c>
      <c r="F835" s="2" t="s">
        <v>111</v>
      </c>
      <c r="G835" s="6" t="s">
        <v>156</v>
      </c>
      <c r="H835" s="2" t="s">
        <v>194</v>
      </c>
      <c r="I835" s="2" t="s">
        <v>1922</v>
      </c>
      <c r="J835" s="2" t="s">
        <v>19</v>
      </c>
      <c r="K835" s="2" t="s">
        <v>1108</v>
      </c>
      <c r="L835" s="7" t="str">
        <f>HYPERLINK("http://slimages.macys.com/is/image/MCY/11147951 ")</f>
        <v xml:space="preserve">http://slimages.macys.com/is/image/MCY/11147951 </v>
      </c>
    </row>
    <row r="836" spans="1:12" ht="24.75" x14ac:dyDescent="0.25">
      <c r="A836" s="4" t="s">
        <v>6889</v>
      </c>
      <c r="B836" s="2" t="s">
        <v>6890</v>
      </c>
      <c r="C836" s="3">
        <v>1</v>
      </c>
      <c r="D836" s="5">
        <v>19.989999999999998</v>
      </c>
      <c r="E836" s="3" t="s">
        <v>6891</v>
      </c>
      <c r="F836" s="2" t="s">
        <v>170</v>
      </c>
      <c r="G836" s="6"/>
      <c r="H836" s="2" t="s">
        <v>188</v>
      </c>
      <c r="I836" s="2" t="s">
        <v>189</v>
      </c>
      <c r="J836" s="2" t="s">
        <v>19</v>
      </c>
      <c r="K836" s="2" t="s">
        <v>6892</v>
      </c>
      <c r="L836" s="7" t="str">
        <f>HYPERLINK("http://slimages.macys.com/is/image/MCY/12894553 ")</f>
        <v xml:space="preserve">http://slimages.macys.com/is/image/MCY/12894553 </v>
      </c>
    </row>
    <row r="837" spans="1:12" ht="24.75" x14ac:dyDescent="0.25">
      <c r="A837" s="4" t="s">
        <v>6893</v>
      </c>
      <c r="B837" s="2" t="s">
        <v>3026</v>
      </c>
      <c r="C837" s="3">
        <v>1</v>
      </c>
      <c r="D837" s="5">
        <v>21.99</v>
      </c>
      <c r="E837" s="3" t="s">
        <v>6172</v>
      </c>
      <c r="F837" s="2" t="s">
        <v>331</v>
      </c>
      <c r="G837" s="6" t="s">
        <v>154</v>
      </c>
      <c r="H837" s="2" t="s">
        <v>284</v>
      </c>
      <c r="I837" s="2" t="s">
        <v>285</v>
      </c>
      <c r="J837" s="2"/>
      <c r="K837" s="2"/>
      <c r="L837" s="7" t="str">
        <f>HYPERLINK("http://slimages.macys.com/is/image/MCY/11640364 ")</f>
        <v xml:space="preserve">http://slimages.macys.com/is/image/MCY/11640364 </v>
      </c>
    </row>
    <row r="838" spans="1:12" ht="24.75" x14ac:dyDescent="0.25">
      <c r="A838" s="4" t="s">
        <v>6894</v>
      </c>
      <c r="B838" s="2" t="s">
        <v>1962</v>
      </c>
      <c r="C838" s="3">
        <v>1</v>
      </c>
      <c r="D838" s="5">
        <v>21.99</v>
      </c>
      <c r="E838" s="3" t="s">
        <v>6895</v>
      </c>
      <c r="F838" s="2" t="s">
        <v>74</v>
      </c>
      <c r="G838" s="6"/>
      <c r="H838" s="2" t="s">
        <v>632</v>
      </c>
      <c r="I838" s="2" t="s">
        <v>285</v>
      </c>
      <c r="J838" s="2" t="s">
        <v>19</v>
      </c>
      <c r="K838" s="2" t="s">
        <v>247</v>
      </c>
      <c r="L838" s="7" t="str">
        <f>HYPERLINK("http://slimages.macys.com/is/image/MCY/11605584 ")</f>
        <v xml:space="preserve">http://slimages.macys.com/is/image/MCY/11605584 </v>
      </c>
    </row>
    <row r="839" spans="1:12" ht="24.75" x14ac:dyDescent="0.25">
      <c r="A839" s="4" t="s">
        <v>5211</v>
      </c>
      <c r="B839" s="2" t="s">
        <v>1970</v>
      </c>
      <c r="C839" s="3">
        <v>1</v>
      </c>
      <c r="D839" s="5">
        <v>14.99</v>
      </c>
      <c r="E839" s="3" t="s">
        <v>1971</v>
      </c>
      <c r="F839" s="2" t="s">
        <v>74</v>
      </c>
      <c r="G839" s="6" t="s">
        <v>156</v>
      </c>
      <c r="H839" s="2" t="s">
        <v>1522</v>
      </c>
      <c r="I839" s="2" t="s">
        <v>1469</v>
      </c>
      <c r="J839" s="2" t="s">
        <v>19</v>
      </c>
      <c r="K839" s="2" t="s">
        <v>353</v>
      </c>
      <c r="L839" s="7" t="str">
        <f>HYPERLINK("http://slimages.macys.com/is/image/MCY/13741861 ")</f>
        <v xml:space="preserve">http://slimages.macys.com/is/image/MCY/13741861 </v>
      </c>
    </row>
    <row r="840" spans="1:12" ht="24.75" x14ac:dyDescent="0.25">
      <c r="A840" s="4" t="s">
        <v>5213</v>
      </c>
      <c r="B840" s="2" t="s">
        <v>3181</v>
      </c>
      <c r="C840" s="3">
        <v>1</v>
      </c>
      <c r="D840" s="5">
        <v>14.99</v>
      </c>
      <c r="E840" s="3" t="s">
        <v>3182</v>
      </c>
      <c r="F840" s="2" t="s">
        <v>74</v>
      </c>
      <c r="G840" s="6" t="s">
        <v>219</v>
      </c>
      <c r="H840" s="2" t="s">
        <v>1425</v>
      </c>
      <c r="I840" s="2" t="s">
        <v>1469</v>
      </c>
      <c r="J840" s="2" t="s">
        <v>19</v>
      </c>
      <c r="K840" s="2" t="s">
        <v>353</v>
      </c>
      <c r="L840" s="7" t="str">
        <f>HYPERLINK("http://slimages.macys.com/is/image/MCY/10743852 ")</f>
        <v xml:space="preserve">http://slimages.macys.com/is/image/MCY/10743852 </v>
      </c>
    </row>
    <row r="841" spans="1:12" ht="24.75" x14ac:dyDescent="0.25">
      <c r="A841" s="4" t="s">
        <v>6896</v>
      </c>
      <c r="B841" s="2" t="s">
        <v>1973</v>
      </c>
      <c r="C841" s="3">
        <v>1</v>
      </c>
      <c r="D841" s="5">
        <v>16.989999999999998</v>
      </c>
      <c r="E841" s="3" t="s">
        <v>1976</v>
      </c>
      <c r="F841" s="2" t="s">
        <v>74</v>
      </c>
      <c r="G841" s="6"/>
      <c r="H841" s="2" t="s">
        <v>1425</v>
      </c>
      <c r="I841" s="2" t="s">
        <v>1864</v>
      </c>
      <c r="J841" s="2" t="s">
        <v>19</v>
      </c>
      <c r="K841" s="2" t="s">
        <v>648</v>
      </c>
      <c r="L841" s="7" t="str">
        <f>HYPERLINK("http://slimages.macys.com/is/image/MCY/11634785 ")</f>
        <v xml:space="preserve">http://slimages.macys.com/is/image/MCY/11634785 </v>
      </c>
    </row>
    <row r="842" spans="1:12" ht="24.75" x14ac:dyDescent="0.25">
      <c r="A842" s="4" t="s">
        <v>4228</v>
      </c>
      <c r="B842" s="2" t="s">
        <v>1973</v>
      </c>
      <c r="C842" s="3">
        <v>1</v>
      </c>
      <c r="D842" s="5">
        <v>16.989999999999998</v>
      </c>
      <c r="E842" s="3" t="s">
        <v>1976</v>
      </c>
      <c r="F842" s="2" t="s">
        <v>70</v>
      </c>
      <c r="G842" s="6"/>
      <c r="H842" s="2" t="s">
        <v>1425</v>
      </c>
      <c r="I842" s="2" t="s">
        <v>1864</v>
      </c>
      <c r="J842" s="2" t="s">
        <v>19</v>
      </c>
      <c r="K842" s="2" t="s">
        <v>648</v>
      </c>
      <c r="L842" s="7" t="str">
        <f>HYPERLINK("http://slimages.macys.com/is/image/MCY/11634785 ")</f>
        <v xml:space="preserve">http://slimages.macys.com/is/image/MCY/11634785 </v>
      </c>
    </row>
    <row r="843" spans="1:12" ht="24.75" x14ac:dyDescent="0.25">
      <c r="A843" s="4" t="s">
        <v>3188</v>
      </c>
      <c r="B843" s="2" t="s">
        <v>1973</v>
      </c>
      <c r="C843" s="3">
        <v>1</v>
      </c>
      <c r="D843" s="5">
        <v>16.989999999999998</v>
      </c>
      <c r="E843" s="3" t="s">
        <v>1976</v>
      </c>
      <c r="F843" s="2" t="s">
        <v>70</v>
      </c>
      <c r="G843" s="6"/>
      <c r="H843" s="2" t="s">
        <v>1425</v>
      </c>
      <c r="I843" s="2" t="s">
        <v>1864</v>
      </c>
      <c r="J843" s="2" t="s">
        <v>19</v>
      </c>
      <c r="K843" s="2" t="s">
        <v>648</v>
      </c>
      <c r="L843" s="7" t="str">
        <f>HYPERLINK("http://slimages.macys.com/is/image/MCY/11634785 ")</f>
        <v xml:space="preserve">http://slimages.macys.com/is/image/MCY/11634785 </v>
      </c>
    </row>
    <row r="844" spans="1:12" ht="24.75" x14ac:dyDescent="0.25">
      <c r="A844" s="4" t="s">
        <v>1981</v>
      </c>
      <c r="B844" s="2" t="s">
        <v>1973</v>
      </c>
      <c r="C844" s="3">
        <v>1</v>
      </c>
      <c r="D844" s="5">
        <v>16.989999999999998</v>
      </c>
      <c r="E844" s="3" t="s">
        <v>1976</v>
      </c>
      <c r="F844" s="2" t="s">
        <v>998</v>
      </c>
      <c r="G844" s="6"/>
      <c r="H844" s="2" t="s">
        <v>1425</v>
      </c>
      <c r="I844" s="2" t="s">
        <v>1864</v>
      </c>
      <c r="J844" s="2" t="s">
        <v>19</v>
      </c>
      <c r="K844" s="2" t="s">
        <v>648</v>
      </c>
      <c r="L844" s="7" t="str">
        <f>HYPERLINK("http://slimages.macys.com/is/image/MCY/11634785 ")</f>
        <v xml:space="preserve">http://slimages.macys.com/is/image/MCY/11634785 </v>
      </c>
    </row>
    <row r="845" spans="1:12" ht="24.75" x14ac:dyDescent="0.25">
      <c r="A845" s="4" t="s">
        <v>6897</v>
      </c>
      <c r="B845" s="2" t="s">
        <v>1973</v>
      </c>
      <c r="C845" s="3">
        <v>1</v>
      </c>
      <c r="D845" s="5">
        <v>16.989999999999998</v>
      </c>
      <c r="E845" s="3" t="s">
        <v>1976</v>
      </c>
      <c r="F845" s="2" t="s">
        <v>1296</v>
      </c>
      <c r="G845" s="6" t="s">
        <v>187</v>
      </c>
      <c r="H845" s="2" t="s">
        <v>1425</v>
      </c>
      <c r="I845" s="2" t="s">
        <v>1864</v>
      </c>
      <c r="J845" s="2" t="s">
        <v>19</v>
      </c>
      <c r="K845" s="2" t="s">
        <v>648</v>
      </c>
      <c r="L845" s="7" t="str">
        <f>HYPERLINK("http://slimages.macys.com/is/image/MCY/11634785 ")</f>
        <v xml:space="preserve">http://slimages.macys.com/is/image/MCY/11634785 </v>
      </c>
    </row>
    <row r="846" spans="1:12" ht="24.75" x14ac:dyDescent="0.25">
      <c r="A846" s="4" t="s">
        <v>3194</v>
      </c>
      <c r="B846" s="2" t="s">
        <v>1973</v>
      </c>
      <c r="C846" s="3">
        <v>1</v>
      </c>
      <c r="D846" s="5">
        <v>16.989999999999998</v>
      </c>
      <c r="E846" s="3" t="s">
        <v>1974</v>
      </c>
      <c r="F846" s="2" t="s">
        <v>74</v>
      </c>
      <c r="G846" s="6" t="s">
        <v>154</v>
      </c>
      <c r="H846" s="2" t="s">
        <v>1473</v>
      </c>
      <c r="I846" s="2" t="s">
        <v>1864</v>
      </c>
      <c r="J846" s="2" t="s">
        <v>19</v>
      </c>
      <c r="K846" s="2" t="s">
        <v>648</v>
      </c>
      <c r="L846" s="7" t="str">
        <f>HYPERLINK("http://slimages.macys.com/is/image/MCY/11634794 ")</f>
        <v xml:space="preserve">http://slimages.macys.com/is/image/MCY/11634794 </v>
      </c>
    </row>
    <row r="847" spans="1:12" ht="24.75" x14ac:dyDescent="0.25">
      <c r="A847" s="4" t="s">
        <v>3195</v>
      </c>
      <c r="B847" s="2" t="s">
        <v>1973</v>
      </c>
      <c r="C847" s="3">
        <v>1</v>
      </c>
      <c r="D847" s="5">
        <v>16.989999999999998</v>
      </c>
      <c r="E847" s="3" t="s">
        <v>1974</v>
      </c>
      <c r="F847" s="2" t="s">
        <v>74</v>
      </c>
      <c r="G847" s="6" t="s">
        <v>181</v>
      </c>
      <c r="H847" s="2" t="s">
        <v>1473</v>
      </c>
      <c r="I847" s="2" t="s">
        <v>1864</v>
      </c>
      <c r="J847" s="2" t="s">
        <v>19</v>
      </c>
      <c r="K847" s="2" t="s">
        <v>648</v>
      </c>
      <c r="L847" s="7" t="str">
        <f>HYPERLINK("http://slimages.macys.com/is/image/MCY/11634794 ")</f>
        <v xml:space="preserve">http://slimages.macys.com/is/image/MCY/11634794 </v>
      </c>
    </row>
    <row r="848" spans="1:12" ht="24.75" x14ac:dyDescent="0.25">
      <c r="A848" s="4" t="s">
        <v>1972</v>
      </c>
      <c r="B848" s="2" t="s">
        <v>1973</v>
      </c>
      <c r="C848" s="3">
        <v>2</v>
      </c>
      <c r="D848" s="5">
        <v>16.989999999999998</v>
      </c>
      <c r="E848" s="3" t="s">
        <v>1974</v>
      </c>
      <c r="F848" s="2" t="s">
        <v>15</v>
      </c>
      <c r="G848" s="6" t="s">
        <v>156</v>
      </c>
      <c r="H848" s="2" t="s">
        <v>1473</v>
      </c>
      <c r="I848" s="2" t="s">
        <v>1864</v>
      </c>
      <c r="J848" s="2" t="s">
        <v>19</v>
      </c>
      <c r="K848" s="2" t="s">
        <v>648</v>
      </c>
      <c r="L848" s="7" t="str">
        <f>HYPERLINK("http://slimages.macys.com/is/image/MCY/11634794 ")</f>
        <v xml:space="preserve">http://slimages.macys.com/is/image/MCY/11634794 </v>
      </c>
    </row>
    <row r="849" spans="1:12" ht="24.75" x14ac:dyDescent="0.25">
      <c r="A849" s="4" t="s">
        <v>3189</v>
      </c>
      <c r="B849" s="2" t="s">
        <v>1973</v>
      </c>
      <c r="C849" s="3">
        <v>3</v>
      </c>
      <c r="D849" s="5">
        <v>16.989999999999998</v>
      </c>
      <c r="E849" s="3" t="s">
        <v>1974</v>
      </c>
      <c r="F849" s="2" t="s">
        <v>74</v>
      </c>
      <c r="G849" s="6" t="s">
        <v>245</v>
      </c>
      <c r="H849" s="2" t="s">
        <v>1473</v>
      </c>
      <c r="I849" s="2" t="s">
        <v>1864</v>
      </c>
      <c r="J849" s="2" t="s">
        <v>19</v>
      </c>
      <c r="K849" s="2" t="s">
        <v>648</v>
      </c>
      <c r="L849" s="7" t="str">
        <f>HYPERLINK("http://slimages.macys.com/is/image/MCY/11634794 ")</f>
        <v xml:space="preserve">http://slimages.macys.com/is/image/MCY/11634794 </v>
      </c>
    </row>
    <row r="850" spans="1:12" ht="24.75" x14ac:dyDescent="0.25">
      <c r="A850" s="4" t="s">
        <v>4230</v>
      </c>
      <c r="B850" s="2" t="s">
        <v>1973</v>
      </c>
      <c r="C850" s="3">
        <v>2</v>
      </c>
      <c r="D850" s="5">
        <v>16.989999999999998</v>
      </c>
      <c r="E850" s="3" t="s">
        <v>1974</v>
      </c>
      <c r="F850" s="2" t="s">
        <v>15</v>
      </c>
      <c r="G850" s="6" t="s">
        <v>154</v>
      </c>
      <c r="H850" s="2" t="s">
        <v>1473</v>
      </c>
      <c r="I850" s="2" t="s">
        <v>1864</v>
      </c>
      <c r="J850" s="2" t="s">
        <v>19</v>
      </c>
      <c r="K850" s="2" t="s">
        <v>648</v>
      </c>
      <c r="L850" s="7" t="str">
        <f>HYPERLINK("http://slimages.macys.com/is/image/MCY/11634794 ")</f>
        <v xml:space="preserve">http://slimages.macys.com/is/image/MCY/11634794 </v>
      </c>
    </row>
    <row r="851" spans="1:12" x14ac:dyDescent="0.25">
      <c r="A851" s="4" t="s">
        <v>6898</v>
      </c>
      <c r="B851" s="2" t="s">
        <v>6899</v>
      </c>
      <c r="C851" s="3">
        <v>1</v>
      </c>
      <c r="D851" s="5">
        <v>29.5</v>
      </c>
      <c r="E851" s="3" t="s">
        <v>6900</v>
      </c>
      <c r="F851" s="2" t="s">
        <v>132</v>
      </c>
      <c r="G851" s="6" t="s">
        <v>187</v>
      </c>
      <c r="H851" s="2" t="s">
        <v>206</v>
      </c>
      <c r="I851" s="2" t="s">
        <v>207</v>
      </c>
      <c r="J851" s="2" t="s">
        <v>19</v>
      </c>
      <c r="K851" s="2" t="s">
        <v>990</v>
      </c>
      <c r="L851" s="7" t="str">
        <f>HYPERLINK("http://slimages.macys.com/is/image/MCY/16104227 ")</f>
        <v xml:space="preserve">http://slimages.macys.com/is/image/MCY/16104227 </v>
      </c>
    </row>
    <row r="852" spans="1:12" ht="24.75" x14ac:dyDescent="0.25">
      <c r="A852" s="4" t="s">
        <v>3187</v>
      </c>
      <c r="B852" s="2" t="s">
        <v>1973</v>
      </c>
      <c r="C852" s="3">
        <v>1</v>
      </c>
      <c r="D852" s="5">
        <v>16.989999999999998</v>
      </c>
      <c r="E852" s="3" t="s">
        <v>1976</v>
      </c>
      <c r="F852" s="2" t="s">
        <v>998</v>
      </c>
      <c r="G852" s="6" t="s">
        <v>219</v>
      </c>
      <c r="H852" s="2" t="s">
        <v>1425</v>
      </c>
      <c r="I852" s="2" t="s">
        <v>1864</v>
      </c>
      <c r="J852" s="2" t="s">
        <v>19</v>
      </c>
      <c r="K852" s="2" t="s">
        <v>648</v>
      </c>
      <c r="L852" s="7" t="str">
        <f>HYPERLINK("http://slimages.macys.com/is/image/MCY/11634785 ")</f>
        <v xml:space="preserve">http://slimages.macys.com/is/image/MCY/11634785 </v>
      </c>
    </row>
    <row r="853" spans="1:12" ht="24.75" x14ac:dyDescent="0.25">
      <c r="A853" s="4" t="s">
        <v>1980</v>
      </c>
      <c r="B853" s="2" t="s">
        <v>1973</v>
      </c>
      <c r="C853" s="3">
        <v>1</v>
      </c>
      <c r="D853" s="5">
        <v>16.989999999999998</v>
      </c>
      <c r="E853" s="3" t="s">
        <v>1976</v>
      </c>
      <c r="F853" s="2" t="s">
        <v>15</v>
      </c>
      <c r="G853" s="6"/>
      <c r="H853" s="2" t="s">
        <v>1425</v>
      </c>
      <c r="I853" s="2" t="s">
        <v>1864</v>
      </c>
      <c r="J853" s="2" t="s">
        <v>19</v>
      </c>
      <c r="K853" s="2" t="s">
        <v>648</v>
      </c>
      <c r="L853" s="7" t="str">
        <f>HYPERLINK("http://slimages.macys.com/is/image/MCY/11634785 ")</f>
        <v xml:space="preserve">http://slimages.macys.com/is/image/MCY/11634785 </v>
      </c>
    </row>
    <row r="854" spans="1:12" ht="24.75" x14ac:dyDescent="0.25">
      <c r="A854" s="4" t="s">
        <v>1982</v>
      </c>
      <c r="B854" s="2" t="s">
        <v>1973</v>
      </c>
      <c r="C854" s="3">
        <v>1</v>
      </c>
      <c r="D854" s="5">
        <v>16.989999999999998</v>
      </c>
      <c r="E854" s="3" t="s">
        <v>1974</v>
      </c>
      <c r="F854" s="2" t="s">
        <v>74</v>
      </c>
      <c r="G854" s="6" t="s">
        <v>156</v>
      </c>
      <c r="H854" s="2" t="s">
        <v>1473</v>
      </c>
      <c r="I854" s="2" t="s">
        <v>1864</v>
      </c>
      <c r="J854" s="2" t="s">
        <v>19</v>
      </c>
      <c r="K854" s="2" t="s">
        <v>648</v>
      </c>
      <c r="L854" s="7" t="str">
        <f>HYPERLINK("http://slimages.macys.com/is/image/MCY/11634794 ")</f>
        <v xml:space="preserve">http://slimages.macys.com/is/image/MCY/11634794 </v>
      </c>
    </row>
    <row r="855" spans="1:12" ht="24.75" x14ac:dyDescent="0.25">
      <c r="A855" s="4" t="s">
        <v>4229</v>
      </c>
      <c r="B855" s="2" t="s">
        <v>1973</v>
      </c>
      <c r="C855" s="3">
        <v>1</v>
      </c>
      <c r="D855" s="5">
        <v>16.989999999999998</v>
      </c>
      <c r="E855" s="3" t="s">
        <v>1976</v>
      </c>
      <c r="F855" s="2" t="s">
        <v>998</v>
      </c>
      <c r="G855" s="6"/>
      <c r="H855" s="2" t="s">
        <v>1425</v>
      </c>
      <c r="I855" s="2" t="s">
        <v>1864</v>
      </c>
      <c r="J855" s="2" t="s">
        <v>19</v>
      </c>
      <c r="K855" s="2" t="s">
        <v>648</v>
      </c>
      <c r="L855" s="7" t="str">
        <f>HYPERLINK("http://slimages.macys.com/is/image/MCY/11634785 ")</f>
        <v xml:space="preserve">http://slimages.macys.com/is/image/MCY/11634785 </v>
      </c>
    </row>
    <row r="856" spans="1:12" ht="24.75" x14ac:dyDescent="0.25">
      <c r="A856" s="4" t="s">
        <v>6901</v>
      </c>
      <c r="B856" s="2" t="s">
        <v>1988</v>
      </c>
      <c r="C856" s="3">
        <v>1</v>
      </c>
      <c r="D856" s="5">
        <v>14.99</v>
      </c>
      <c r="E856" s="3" t="s">
        <v>1989</v>
      </c>
      <c r="F856" s="2" t="s">
        <v>413</v>
      </c>
      <c r="G856" s="6"/>
      <c r="H856" s="2" t="s">
        <v>1425</v>
      </c>
      <c r="I856" s="2" t="s">
        <v>1426</v>
      </c>
      <c r="J856" s="2" t="s">
        <v>19</v>
      </c>
      <c r="K856" s="2" t="s">
        <v>648</v>
      </c>
      <c r="L856" s="7" t="str">
        <f>HYPERLINK("http://slimages.macys.com/is/image/MCY/11678994 ")</f>
        <v xml:space="preserve">http://slimages.macys.com/is/image/MCY/11678994 </v>
      </c>
    </row>
    <row r="857" spans="1:12" ht="24.75" x14ac:dyDescent="0.25">
      <c r="A857" s="4" t="s">
        <v>6902</v>
      </c>
      <c r="B857" s="2" t="s">
        <v>1988</v>
      </c>
      <c r="C857" s="3">
        <v>1</v>
      </c>
      <c r="D857" s="5">
        <v>14.99</v>
      </c>
      <c r="E857" s="3" t="s">
        <v>1989</v>
      </c>
      <c r="F857" s="2" t="s">
        <v>74</v>
      </c>
      <c r="G857" s="6"/>
      <c r="H857" s="2" t="s">
        <v>1425</v>
      </c>
      <c r="I857" s="2" t="s">
        <v>1426</v>
      </c>
      <c r="J857" s="2" t="s">
        <v>19</v>
      </c>
      <c r="K857" s="2" t="s">
        <v>648</v>
      </c>
      <c r="L857" s="7" t="str">
        <f>HYPERLINK("http://slimages.macys.com/is/image/MCY/11678994 ")</f>
        <v xml:space="preserve">http://slimages.macys.com/is/image/MCY/11678994 </v>
      </c>
    </row>
    <row r="858" spans="1:12" ht="24.75" x14ac:dyDescent="0.25">
      <c r="A858" s="4" t="s">
        <v>6903</v>
      </c>
      <c r="B858" s="2" t="s">
        <v>1988</v>
      </c>
      <c r="C858" s="3">
        <v>1</v>
      </c>
      <c r="D858" s="5">
        <v>14.99</v>
      </c>
      <c r="E858" s="3" t="s">
        <v>1991</v>
      </c>
      <c r="F858" s="2" t="s">
        <v>417</v>
      </c>
      <c r="G858" s="6" t="s">
        <v>245</v>
      </c>
      <c r="H858" s="2" t="s">
        <v>1473</v>
      </c>
      <c r="I858" s="2" t="s">
        <v>1426</v>
      </c>
      <c r="J858" s="2" t="s">
        <v>19</v>
      </c>
      <c r="K858" s="2" t="s">
        <v>648</v>
      </c>
      <c r="L858" s="7" t="str">
        <f t="shared" ref="L858:L863" si="10">HYPERLINK("http://slimages.macys.com/is/image/MCY/12767912 ")</f>
        <v xml:space="preserve">http://slimages.macys.com/is/image/MCY/12767912 </v>
      </c>
    </row>
    <row r="859" spans="1:12" ht="24.75" x14ac:dyDescent="0.25">
      <c r="A859" s="4" t="s">
        <v>6904</v>
      </c>
      <c r="B859" s="2" t="s">
        <v>1988</v>
      </c>
      <c r="C859" s="3">
        <v>1</v>
      </c>
      <c r="D859" s="5">
        <v>14.99</v>
      </c>
      <c r="E859" s="3" t="s">
        <v>1991</v>
      </c>
      <c r="F859" s="2" t="s">
        <v>70</v>
      </c>
      <c r="G859" s="6" t="s">
        <v>234</v>
      </c>
      <c r="H859" s="2" t="s">
        <v>1473</v>
      </c>
      <c r="I859" s="2" t="s">
        <v>1426</v>
      </c>
      <c r="J859" s="2" t="s">
        <v>19</v>
      </c>
      <c r="K859" s="2" t="s">
        <v>648</v>
      </c>
      <c r="L859" s="7" t="str">
        <f t="shared" si="10"/>
        <v xml:space="preserve">http://slimages.macys.com/is/image/MCY/12767912 </v>
      </c>
    </row>
    <row r="860" spans="1:12" ht="24.75" x14ac:dyDescent="0.25">
      <c r="A860" s="4" t="s">
        <v>1990</v>
      </c>
      <c r="B860" s="2" t="s">
        <v>1988</v>
      </c>
      <c r="C860" s="3">
        <v>2</v>
      </c>
      <c r="D860" s="5">
        <v>14.99</v>
      </c>
      <c r="E860" s="3" t="s">
        <v>1991</v>
      </c>
      <c r="F860" s="2" t="s">
        <v>33</v>
      </c>
      <c r="G860" s="6" t="s">
        <v>154</v>
      </c>
      <c r="H860" s="2" t="s">
        <v>1473</v>
      </c>
      <c r="I860" s="2" t="s">
        <v>1426</v>
      </c>
      <c r="J860" s="2" t="s">
        <v>19</v>
      </c>
      <c r="K860" s="2" t="s">
        <v>648</v>
      </c>
      <c r="L860" s="7" t="str">
        <f t="shared" si="10"/>
        <v xml:space="preserve">http://slimages.macys.com/is/image/MCY/12767912 </v>
      </c>
    </row>
    <row r="861" spans="1:12" ht="24.75" x14ac:dyDescent="0.25">
      <c r="A861" s="4" t="s">
        <v>4237</v>
      </c>
      <c r="B861" s="2" t="s">
        <v>1988</v>
      </c>
      <c r="C861" s="3">
        <v>1</v>
      </c>
      <c r="D861" s="5">
        <v>14.99</v>
      </c>
      <c r="E861" s="3" t="s">
        <v>1991</v>
      </c>
      <c r="F861" s="2" t="s">
        <v>26</v>
      </c>
      <c r="G861" s="6" t="s">
        <v>234</v>
      </c>
      <c r="H861" s="2" t="s">
        <v>1473</v>
      </c>
      <c r="I861" s="2" t="s">
        <v>1426</v>
      </c>
      <c r="J861" s="2" t="s">
        <v>19</v>
      </c>
      <c r="K861" s="2" t="s">
        <v>648</v>
      </c>
      <c r="L861" s="7" t="str">
        <f t="shared" si="10"/>
        <v xml:space="preserve">http://slimages.macys.com/is/image/MCY/12767912 </v>
      </c>
    </row>
    <row r="862" spans="1:12" ht="24.75" x14ac:dyDescent="0.25">
      <c r="A862" s="4" t="s">
        <v>3213</v>
      </c>
      <c r="B862" s="2" t="s">
        <v>1988</v>
      </c>
      <c r="C862" s="3">
        <v>1</v>
      </c>
      <c r="D862" s="5">
        <v>14.99</v>
      </c>
      <c r="E862" s="3" t="s">
        <v>1991</v>
      </c>
      <c r="F862" s="2" t="s">
        <v>26</v>
      </c>
      <c r="G862" s="6" t="s">
        <v>154</v>
      </c>
      <c r="H862" s="2" t="s">
        <v>1473</v>
      </c>
      <c r="I862" s="2" t="s">
        <v>1426</v>
      </c>
      <c r="J862" s="2" t="s">
        <v>19</v>
      </c>
      <c r="K862" s="2" t="s">
        <v>648</v>
      </c>
      <c r="L862" s="7" t="str">
        <f t="shared" si="10"/>
        <v xml:space="preserve">http://slimages.macys.com/is/image/MCY/12767912 </v>
      </c>
    </row>
    <row r="863" spans="1:12" ht="24.75" x14ac:dyDescent="0.25">
      <c r="A863" s="4" t="s">
        <v>3200</v>
      </c>
      <c r="B863" s="2" t="s">
        <v>1988</v>
      </c>
      <c r="C863" s="3">
        <v>2</v>
      </c>
      <c r="D863" s="5">
        <v>14.99</v>
      </c>
      <c r="E863" s="3" t="s">
        <v>1991</v>
      </c>
      <c r="F863" s="2" t="s">
        <v>26</v>
      </c>
      <c r="G863" s="6" t="s">
        <v>181</v>
      </c>
      <c r="H863" s="2" t="s">
        <v>1473</v>
      </c>
      <c r="I863" s="2" t="s">
        <v>1426</v>
      </c>
      <c r="J863" s="2" t="s">
        <v>19</v>
      </c>
      <c r="K863" s="2" t="s">
        <v>648</v>
      </c>
      <c r="L863" s="7" t="str">
        <f t="shared" si="10"/>
        <v xml:space="preserve">http://slimages.macys.com/is/image/MCY/12767912 </v>
      </c>
    </row>
    <row r="864" spans="1:12" ht="24.75" x14ac:dyDescent="0.25">
      <c r="A864" s="4" t="s">
        <v>3221</v>
      </c>
      <c r="B864" s="2" t="s">
        <v>3216</v>
      </c>
      <c r="C864" s="3">
        <v>1</v>
      </c>
      <c r="D864" s="5">
        <v>21.99</v>
      </c>
      <c r="E864" s="3" t="s">
        <v>3219</v>
      </c>
      <c r="F864" s="2" t="s">
        <v>566</v>
      </c>
      <c r="G864" s="6" t="s">
        <v>181</v>
      </c>
      <c r="H864" s="2" t="s">
        <v>284</v>
      </c>
      <c r="I864" s="2" t="s">
        <v>285</v>
      </c>
      <c r="J864" s="2" t="s">
        <v>19</v>
      </c>
      <c r="K864" s="2" t="s">
        <v>247</v>
      </c>
      <c r="L864" s="7" t="str">
        <f>HYPERLINK("http://slimages.macys.com/is/image/MCY/9462994 ")</f>
        <v xml:space="preserve">http://slimages.macys.com/is/image/MCY/9462994 </v>
      </c>
    </row>
    <row r="865" spans="1:12" ht="24.75" x14ac:dyDescent="0.25">
      <c r="A865" s="4" t="s">
        <v>3220</v>
      </c>
      <c r="B865" s="2" t="s">
        <v>3216</v>
      </c>
      <c r="C865" s="3">
        <v>2</v>
      </c>
      <c r="D865" s="5">
        <v>21.99</v>
      </c>
      <c r="E865" s="3" t="s">
        <v>3219</v>
      </c>
      <c r="F865" s="2" t="s">
        <v>566</v>
      </c>
      <c r="G865" s="6" t="s">
        <v>200</v>
      </c>
      <c r="H865" s="2" t="s">
        <v>284</v>
      </c>
      <c r="I865" s="2" t="s">
        <v>285</v>
      </c>
      <c r="J865" s="2" t="s">
        <v>19</v>
      </c>
      <c r="K865" s="2" t="s">
        <v>247</v>
      </c>
      <c r="L865" s="7" t="str">
        <f>HYPERLINK("http://slimages.macys.com/is/image/MCY/9462994 ")</f>
        <v xml:space="preserve">http://slimages.macys.com/is/image/MCY/9462994 </v>
      </c>
    </row>
    <row r="866" spans="1:12" ht="24.75" x14ac:dyDescent="0.25">
      <c r="A866" s="4" t="s">
        <v>6905</v>
      </c>
      <c r="B866" s="2" t="s">
        <v>2002</v>
      </c>
      <c r="C866" s="3">
        <v>1</v>
      </c>
      <c r="D866" s="5">
        <v>12.99</v>
      </c>
      <c r="E866" s="3" t="s">
        <v>2003</v>
      </c>
      <c r="F866" s="2" t="s">
        <v>33</v>
      </c>
      <c r="G866" s="6" t="s">
        <v>234</v>
      </c>
      <c r="H866" s="2" t="s">
        <v>194</v>
      </c>
      <c r="I866" s="2" t="s">
        <v>195</v>
      </c>
      <c r="J866" s="2" t="s">
        <v>19</v>
      </c>
      <c r="K866" s="2" t="s">
        <v>107</v>
      </c>
      <c r="L866" s="7" t="str">
        <f>HYPERLINK("http://slimages.macys.com/is/image/MCY/12063874 ")</f>
        <v xml:space="preserve">http://slimages.macys.com/is/image/MCY/12063874 </v>
      </c>
    </row>
    <row r="867" spans="1:12" ht="24.75" x14ac:dyDescent="0.25">
      <c r="A867" s="4" t="s">
        <v>6906</v>
      </c>
      <c r="B867" s="2" t="s">
        <v>2002</v>
      </c>
      <c r="C867" s="3">
        <v>1</v>
      </c>
      <c r="D867" s="5">
        <v>12.99</v>
      </c>
      <c r="E867" s="3" t="s">
        <v>2003</v>
      </c>
      <c r="F867" s="2" t="s">
        <v>33</v>
      </c>
      <c r="G867" s="6" t="s">
        <v>181</v>
      </c>
      <c r="H867" s="2" t="s">
        <v>194</v>
      </c>
      <c r="I867" s="2" t="s">
        <v>195</v>
      </c>
      <c r="J867" s="2" t="s">
        <v>19</v>
      </c>
      <c r="K867" s="2" t="s">
        <v>107</v>
      </c>
      <c r="L867" s="7" t="str">
        <f>HYPERLINK("http://slimages.macys.com/is/image/MCY/12063874 ")</f>
        <v xml:space="preserve">http://slimages.macys.com/is/image/MCY/12063874 </v>
      </c>
    </row>
    <row r="868" spans="1:12" ht="24.75" x14ac:dyDescent="0.25">
      <c r="A868" s="4" t="s">
        <v>3224</v>
      </c>
      <c r="B868" s="2" t="s">
        <v>2005</v>
      </c>
      <c r="C868" s="3">
        <v>4</v>
      </c>
      <c r="D868" s="5">
        <v>14.99</v>
      </c>
      <c r="E868" s="3" t="s">
        <v>2006</v>
      </c>
      <c r="F868" s="2" t="s">
        <v>64</v>
      </c>
      <c r="G868" s="6" t="s">
        <v>154</v>
      </c>
      <c r="H868" s="2" t="s">
        <v>1522</v>
      </c>
      <c r="I868" s="2" t="s">
        <v>1469</v>
      </c>
      <c r="J868" s="2" t="s">
        <v>19</v>
      </c>
      <c r="K868" s="2" t="s">
        <v>353</v>
      </c>
      <c r="L868" s="7" t="str">
        <f t="shared" ref="L868:L889" si="11">HYPERLINK("http://slimages.macys.com/is/image/MCY/10743611 ")</f>
        <v xml:space="preserve">http://slimages.macys.com/is/image/MCY/10743611 </v>
      </c>
    </row>
    <row r="869" spans="1:12" ht="24.75" x14ac:dyDescent="0.25">
      <c r="A869" s="4" t="s">
        <v>2014</v>
      </c>
      <c r="B869" s="2" t="s">
        <v>2005</v>
      </c>
      <c r="C869" s="3">
        <v>2</v>
      </c>
      <c r="D869" s="5">
        <v>14.99</v>
      </c>
      <c r="E869" s="3" t="s">
        <v>2006</v>
      </c>
      <c r="F869" s="2" t="s">
        <v>74</v>
      </c>
      <c r="G869" s="6" t="s">
        <v>245</v>
      </c>
      <c r="H869" s="2" t="s">
        <v>1522</v>
      </c>
      <c r="I869" s="2" t="s">
        <v>1469</v>
      </c>
      <c r="J869" s="2" t="s">
        <v>19</v>
      </c>
      <c r="K869" s="2" t="s">
        <v>353</v>
      </c>
      <c r="L869" s="7" t="str">
        <f t="shared" si="11"/>
        <v xml:space="preserve">http://slimages.macys.com/is/image/MCY/10743611 </v>
      </c>
    </row>
    <row r="870" spans="1:12" ht="24.75" x14ac:dyDescent="0.25">
      <c r="A870" s="4" t="s">
        <v>4253</v>
      </c>
      <c r="B870" s="2" t="s">
        <v>2005</v>
      </c>
      <c r="C870" s="3">
        <v>2</v>
      </c>
      <c r="D870" s="5">
        <v>14.99</v>
      </c>
      <c r="E870" s="3" t="s">
        <v>2006</v>
      </c>
      <c r="F870" s="2" t="s">
        <v>15</v>
      </c>
      <c r="G870" s="6" t="s">
        <v>234</v>
      </c>
      <c r="H870" s="2" t="s">
        <v>1522</v>
      </c>
      <c r="I870" s="2" t="s">
        <v>1469</v>
      </c>
      <c r="J870" s="2" t="s">
        <v>19</v>
      </c>
      <c r="K870" s="2" t="s">
        <v>353</v>
      </c>
      <c r="L870" s="7" t="str">
        <f t="shared" si="11"/>
        <v xml:space="preserve">http://slimages.macys.com/is/image/MCY/10743611 </v>
      </c>
    </row>
    <row r="871" spans="1:12" ht="24.75" x14ac:dyDescent="0.25">
      <c r="A871" s="4" t="s">
        <v>4255</v>
      </c>
      <c r="B871" s="2" t="s">
        <v>2005</v>
      </c>
      <c r="C871" s="3">
        <v>3</v>
      </c>
      <c r="D871" s="5">
        <v>14.99</v>
      </c>
      <c r="E871" s="3" t="s">
        <v>2006</v>
      </c>
      <c r="F871" s="2" t="s">
        <v>1945</v>
      </c>
      <c r="G871" s="6" t="s">
        <v>154</v>
      </c>
      <c r="H871" s="2" t="s">
        <v>1522</v>
      </c>
      <c r="I871" s="2" t="s">
        <v>1469</v>
      </c>
      <c r="J871" s="2" t="s">
        <v>19</v>
      </c>
      <c r="K871" s="2" t="s">
        <v>353</v>
      </c>
      <c r="L871" s="7" t="str">
        <f t="shared" si="11"/>
        <v xml:space="preserve">http://slimages.macys.com/is/image/MCY/10743611 </v>
      </c>
    </row>
    <row r="872" spans="1:12" ht="24.75" x14ac:dyDescent="0.25">
      <c r="A872" s="4" t="s">
        <v>6907</v>
      </c>
      <c r="B872" s="2" t="s">
        <v>2005</v>
      </c>
      <c r="C872" s="3">
        <v>1</v>
      </c>
      <c r="D872" s="5">
        <v>14.99</v>
      </c>
      <c r="E872" s="3" t="s">
        <v>2006</v>
      </c>
      <c r="F872" s="2" t="s">
        <v>1945</v>
      </c>
      <c r="G872" s="6" t="s">
        <v>234</v>
      </c>
      <c r="H872" s="2" t="s">
        <v>1522</v>
      </c>
      <c r="I872" s="2" t="s">
        <v>1469</v>
      </c>
      <c r="J872" s="2" t="s">
        <v>19</v>
      </c>
      <c r="K872" s="2" t="s">
        <v>353</v>
      </c>
      <c r="L872" s="7" t="str">
        <f t="shared" si="11"/>
        <v xml:space="preserve">http://slimages.macys.com/is/image/MCY/10743611 </v>
      </c>
    </row>
    <row r="873" spans="1:12" ht="24.75" x14ac:dyDescent="0.25">
      <c r="A873" s="4" t="s">
        <v>3222</v>
      </c>
      <c r="B873" s="2" t="s">
        <v>2005</v>
      </c>
      <c r="C873" s="3">
        <v>1</v>
      </c>
      <c r="D873" s="5">
        <v>14.99</v>
      </c>
      <c r="E873" s="3" t="s">
        <v>2006</v>
      </c>
      <c r="F873" s="2" t="s">
        <v>15</v>
      </c>
      <c r="G873" s="6" t="s">
        <v>154</v>
      </c>
      <c r="H873" s="2" t="s">
        <v>1522</v>
      </c>
      <c r="I873" s="2" t="s">
        <v>1469</v>
      </c>
      <c r="J873" s="2" t="s">
        <v>19</v>
      </c>
      <c r="K873" s="2" t="s">
        <v>353</v>
      </c>
      <c r="L873" s="7" t="str">
        <f t="shared" si="11"/>
        <v xml:space="preserve">http://slimages.macys.com/is/image/MCY/10743611 </v>
      </c>
    </row>
    <row r="874" spans="1:12" ht="24.75" x14ac:dyDescent="0.25">
      <c r="A874" s="4" t="s">
        <v>5228</v>
      </c>
      <c r="B874" s="2" t="s">
        <v>2005</v>
      </c>
      <c r="C874" s="3">
        <v>2</v>
      </c>
      <c r="D874" s="5">
        <v>14.99</v>
      </c>
      <c r="E874" s="3" t="s">
        <v>2006</v>
      </c>
      <c r="F874" s="2" t="s">
        <v>74</v>
      </c>
      <c r="G874" s="6" t="s">
        <v>154</v>
      </c>
      <c r="H874" s="2" t="s">
        <v>1522</v>
      </c>
      <c r="I874" s="2" t="s">
        <v>1469</v>
      </c>
      <c r="J874" s="2" t="s">
        <v>19</v>
      </c>
      <c r="K874" s="2" t="s">
        <v>353</v>
      </c>
      <c r="L874" s="7" t="str">
        <f t="shared" si="11"/>
        <v xml:space="preserve">http://slimages.macys.com/is/image/MCY/10743611 </v>
      </c>
    </row>
    <row r="875" spans="1:12" ht="24.75" x14ac:dyDescent="0.25">
      <c r="A875" s="4" t="s">
        <v>2010</v>
      </c>
      <c r="B875" s="2" t="s">
        <v>2005</v>
      </c>
      <c r="C875" s="3">
        <v>1</v>
      </c>
      <c r="D875" s="5">
        <v>14.99</v>
      </c>
      <c r="E875" s="3" t="s">
        <v>2006</v>
      </c>
      <c r="F875" s="2" t="s">
        <v>38</v>
      </c>
      <c r="G875" s="6" t="s">
        <v>156</v>
      </c>
      <c r="H875" s="2" t="s">
        <v>1522</v>
      </c>
      <c r="I875" s="2" t="s">
        <v>1469</v>
      </c>
      <c r="J875" s="2" t="s">
        <v>19</v>
      </c>
      <c r="K875" s="2" t="s">
        <v>353</v>
      </c>
      <c r="L875" s="7" t="str">
        <f t="shared" si="11"/>
        <v xml:space="preserve">http://slimages.macys.com/is/image/MCY/10743611 </v>
      </c>
    </row>
    <row r="876" spans="1:12" ht="24.75" x14ac:dyDescent="0.25">
      <c r="A876" s="4" t="s">
        <v>3223</v>
      </c>
      <c r="B876" s="2" t="s">
        <v>2005</v>
      </c>
      <c r="C876" s="3">
        <v>3</v>
      </c>
      <c r="D876" s="5">
        <v>14.99</v>
      </c>
      <c r="E876" s="3" t="s">
        <v>2006</v>
      </c>
      <c r="F876" s="2" t="s">
        <v>74</v>
      </c>
      <c r="G876" s="6" t="s">
        <v>234</v>
      </c>
      <c r="H876" s="2" t="s">
        <v>1522</v>
      </c>
      <c r="I876" s="2" t="s">
        <v>1469</v>
      </c>
      <c r="J876" s="2" t="s">
        <v>19</v>
      </c>
      <c r="K876" s="2" t="s">
        <v>353</v>
      </c>
      <c r="L876" s="7" t="str">
        <f t="shared" si="11"/>
        <v xml:space="preserve">http://slimages.macys.com/is/image/MCY/10743611 </v>
      </c>
    </row>
    <row r="877" spans="1:12" ht="24.75" x14ac:dyDescent="0.25">
      <c r="A877" s="4" t="s">
        <v>2007</v>
      </c>
      <c r="B877" s="2" t="s">
        <v>2005</v>
      </c>
      <c r="C877" s="3">
        <v>1</v>
      </c>
      <c r="D877" s="5">
        <v>14.99</v>
      </c>
      <c r="E877" s="3" t="s">
        <v>2006</v>
      </c>
      <c r="F877" s="2" t="s">
        <v>64</v>
      </c>
      <c r="G877" s="6" t="s">
        <v>245</v>
      </c>
      <c r="H877" s="2" t="s">
        <v>1522</v>
      </c>
      <c r="I877" s="2" t="s">
        <v>1469</v>
      </c>
      <c r="J877" s="2" t="s">
        <v>19</v>
      </c>
      <c r="K877" s="2" t="s">
        <v>353</v>
      </c>
      <c r="L877" s="7" t="str">
        <f t="shared" si="11"/>
        <v xml:space="preserve">http://slimages.macys.com/is/image/MCY/10743611 </v>
      </c>
    </row>
    <row r="878" spans="1:12" ht="24.75" x14ac:dyDescent="0.25">
      <c r="A878" s="4" t="s">
        <v>2009</v>
      </c>
      <c r="B878" s="2" t="s">
        <v>2005</v>
      </c>
      <c r="C878" s="3">
        <v>3</v>
      </c>
      <c r="D878" s="5">
        <v>14.99</v>
      </c>
      <c r="E878" s="3" t="s">
        <v>2006</v>
      </c>
      <c r="F878" s="2" t="s">
        <v>26</v>
      </c>
      <c r="G878" s="6" t="s">
        <v>156</v>
      </c>
      <c r="H878" s="2" t="s">
        <v>1522</v>
      </c>
      <c r="I878" s="2" t="s">
        <v>1469</v>
      </c>
      <c r="J878" s="2" t="s">
        <v>19</v>
      </c>
      <c r="K878" s="2" t="s">
        <v>353</v>
      </c>
      <c r="L878" s="7" t="str">
        <f t="shared" si="11"/>
        <v xml:space="preserve">http://slimages.macys.com/is/image/MCY/10743611 </v>
      </c>
    </row>
    <row r="879" spans="1:12" ht="24.75" x14ac:dyDescent="0.25">
      <c r="A879" s="4" t="s">
        <v>2008</v>
      </c>
      <c r="B879" s="2" t="s">
        <v>2005</v>
      </c>
      <c r="C879" s="3">
        <v>2</v>
      </c>
      <c r="D879" s="5">
        <v>14.99</v>
      </c>
      <c r="E879" s="3" t="s">
        <v>2006</v>
      </c>
      <c r="F879" s="2" t="s">
        <v>74</v>
      </c>
      <c r="G879" s="6" t="s">
        <v>156</v>
      </c>
      <c r="H879" s="2" t="s">
        <v>1522</v>
      </c>
      <c r="I879" s="2" t="s">
        <v>1469</v>
      </c>
      <c r="J879" s="2" t="s">
        <v>19</v>
      </c>
      <c r="K879" s="2" t="s">
        <v>353</v>
      </c>
      <c r="L879" s="7" t="str">
        <f t="shared" si="11"/>
        <v xml:space="preserve">http://slimages.macys.com/is/image/MCY/10743611 </v>
      </c>
    </row>
    <row r="880" spans="1:12" ht="24.75" x14ac:dyDescent="0.25">
      <c r="A880" s="4" t="s">
        <v>5230</v>
      </c>
      <c r="B880" s="2" t="s">
        <v>2005</v>
      </c>
      <c r="C880" s="3">
        <v>1</v>
      </c>
      <c r="D880" s="5">
        <v>14.99</v>
      </c>
      <c r="E880" s="3" t="s">
        <v>2006</v>
      </c>
      <c r="F880" s="2" t="s">
        <v>26</v>
      </c>
      <c r="G880" s="6" t="s">
        <v>200</v>
      </c>
      <c r="H880" s="2" t="s">
        <v>1522</v>
      </c>
      <c r="I880" s="2" t="s">
        <v>1469</v>
      </c>
      <c r="J880" s="2" t="s">
        <v>19</v>
      </c>
      <c r="K880" s="2" t="s">
        <v>353</v>
      </c>
      <c r="L880" s="7" t="str">
        <f t="shared" si="11"/>
        <v xml:space="preserve">http://slimages.macys.com/is/image/MCY/10743611 </v>
      </c>
    </row>
    <row r="881" spans="1:12" ht="24.75" x14ac:dyDescent="0.25">
      <c r="A881" s="4" t="s">
        <v>5231</v>
      </c>
      <c r="B881" s="2" t="s">
        <v>2005</v>
      </c>
      <c r="C881" s="3">
        <v>1</v>
      </c>
      <c r="D881" s="5">
        <v>14.99</v>
      </c>
      <c r="E881" s="3" t="s">
        <v>2006</v>
      </c>
      <c r="F881" s="2" t="s">
        <v>26</v>
      </c>
      <c r="G881" s="6" t="s">
        <v>245</v>
      </c>
      <c r="H881" s="2" t="s">
        <v>1522</v>
      </c>
      <c r="I881" s="2" t="s">
        <v>1469</v>
      </c>
      <c r="J881" s="2" t="s">
        <v>19</v>
      </c>
      <c r="K881" s="2" t="s">
        <v>353</v>
      </c>
      <c r="L881" s="7" t="str">
        <f t="shared" si="11"/>
        <v xml:space="preserve">http://slimages.macys.com/is/image/MCY/10743611 </v>
      </c>
    </row>
    <row r="882" spans="1:12" ht="24.75" x14ac:dyDescent="0.25">
      <c r="A882" s="4" t="s">
        <v>6908</v>
      </c>
      <c r="B882" s="2" t="s">
        <v>2005</v>
      </c>
      <c r="C882" s="3">
        <v>3</v>
      </c>
      <c r="D882" s="5">
        <v>14.99</v>
      </c>
      <c r="E882" s="3" t="s">
        <v>2006</v>
      </c>
      <c r="F882" s="2" t="s">
        <v>26</v>
      </c>
      <c r="G882" s="6" t="s">
        <v>154</v>
      </c>
      <c r="H882" s="2" t="s">
        <v>1522</v>
      </c>
      <c r="I882" s="2" t="s">
        <v>1469</v>
      </c>
      <c r="J882" s="2" t="s">
        <v>19</v>
      </c>
      <c r="K882" s="2" t="s">
        <v>353</v>
      </c>
      <c r="L882" s="7" t="str">
        <f t="shared" si="11"/>
        <v xml:space="preserve">http://slimages.macys.com/is/image/MCY/10743611 </v>
      </c>
    </row>
    <row r="883" spans="1:12" ht="24.75" x14ac:dyDescent="0.25">
      <c r="A883" s="4" t="s">
        <v>6193</v>
      </c>
      <c r="B883" s="2" t="s">
        <v>2005</v>
      </c>
      <c r="C883" s="3">
        <v>3</v>
      </c>
      <c r="D883" s="5">
        <v>14.99</v>
      </c>
      <c r="E883" s="3" t="s">
        <v>2006</v>
      </c>
      <c r="F883" s="2" t="s">
        <v>26</v>
      </c>
      <c r="G883" s="6" t="s">
        <v>181</v>
      </c>
      <c r="H883" s="2" t="s">
        <v>1522</v>
      </c>
      <c r="I883" s="2" t="s">
        <v>1469</v>
      </c>
      <c r="J883" s="2" t="s">
        <v>19</v>
      </c>
      <c r="K883" s="2" t="s">
        <v>353</v>
      </c>
      <c r="L883" s="7" t="str">
        <f t="shared" si="11"/>
        <v xml:space="preserve">http://slimages.macys.com/is/image/MCY/10743611 </v>
      </c>
    </row>
    <row r="884" spans="1:12" ht="24.75" x14ac:dyDescent="0.25">
      <c r="A884" s="4" t="s">
        <v>6909</v>
      </c>
      <c r="B884" s="2" t="s">
        <v>2005</v>
      </c>
      <c r="C884" s="3">
        <v>5</v>
      </c>
      <c r="D884" s="5">
        <v>14.99</v>
      </c>
      <c r="E884" s="3" t="s">
        <v>2006</v>
      </c>
      <c r="F884" s="2" t="s">
        <v>26</v>
      </c>
      <c r="G884" s="6" t="s">
        <v>234</v>
      </c>
      <c r="H884" s="2" t="s">
        <v>1522</v>
      </c>
      <c r="I884" s="2" t="s">
        <v>1469</v>
      </c>
      <c r="J884" s="2" t="s">
        <v>19</v>
      </c>
      <c r="K884" s="2" t="s">
        <v>353</v>
      </c>
      <c r="L884" s="7" t="str">
        <f t="shared" si="11"/>
        <v xml:space="preserve">http://slimages.macys.com/is/image/MCY/10743611 </v>
      </c>
    </row>
    <row r="885" spans="1:12" ht="24.75" x14ac:dyDescent="0.25">
      <c r="A885" s="4" t="s">
        <v>6910</v>
      </c>
      <c r="B885" s="2" t="s">
        <v>2005</v>
      </c>
      <c r="C885" s="3">
        <v>2</v>
      </c>
      <c r="D885" s="5">
        <v>14.99</v>
      </c>
      <c r="E885" s="3" t="s">
        <v>2006</v>
      </c>
      <c r="F885" s="2" t="s">
        <v>15</v>
      </c>
      <c r="G885" s="6" t="s">
        <v>181</v>
      </c>
      <c r="H885" s="2" t="s">
        <v>1522</v>
      </c>
      <c r="I885" s="2" t="s">
        <v>1469</v>
      </c>
      <c r="J885" s="2" t="s">
        <v>19</v>
      </c>
      <c r="K885" s="2" t="s">
        <v>353</v>
      </c>
      <c r="L885" s="7" t="str">
        <f t="shared" si="11"/>
        <v xml:space="preserve">http://slimages.macys.com/is/image/MCY/10743611 </v>
      </c>
    </row>
    <row r="886" spans="1:12" ht="24.75" x14ac:dyDescent="0.25">
      <c r="A886" s="4" t="s">
        <v>2004</v>
      </c>
      <c r="B886" s="2" t="s">
        <v>2005</v>
      </c>
      <c r="C886" s="3">
        <v>1</v>
      </c>
      <c r="D886" s="5">
        <v>14.99</v>
      </c>
      <c r="E886" s="3" t="s">
        <v>2006</v>
      </c>
      <c r="F886" s="2" t="s">
        <v>1945</v>
      </c>
      <c r="G886" s="6" t="s">
        <v>156</v>
      </c>
      <c r="H886" s="2" t="s">
        <v>1522</v>
      </c>
      <c r="I886" s="2" t="s">
        <v>1469</v>
      </c>
      <c r="J886" s="2" t="s">
        <v>19</v>
      </c>
      <c r="K886" s="2" t="s">
        <v>353</v>
      </c>
      <c r="L886" s="7" t="str">
        <f t="shared" si="11"/>
        <v xml:space="preserve">http://slimages.macys.com/is/image/MCY/10743611 </v>
      </c>
    </row>
    <row r="887" spans="1:12" ht="24.75" x14ac:dyDescent="0.25">
      <c r="A887" s="4" t="s">
        <v>5229</v>
      </c>
      <c r="B887" s="2" t="s">
        <v>2005</v>
      </c>
      <c r="C887" s="3">
        <v>1</v>
      </c>
      <c r="D887" s="5">
        <v>14.99</v>
      </c>
      <c r="E887" s="3" t="s">
        <v>2006</v>
      </c>
      <c r="F887" s="2" t="s">
        <v>74</v>
      </c>
      <c r="G887" s="6" t="s">
        <v>200</v>
      </c>
      <c r="H887" s="2" t="s">
        <v>1522</v>
      </c>
      <c r="I887" s="2" t="s">
        <v>1469</v>
      </c>
      <c r="J887" s="2" t="s">
        <v>19</v>
      </c>
      <c r="K887" s="2" t="s">
        <v>353</v>
      </c>
      <c r="L887" s="7" t="str">
        <f t="shared" si="11"/>
        <v xml:space="preserve">http://slimages.macys.com/is/image/MCY/10743611 </v>
      </c>
    </row>
    <row r="888" spans="1:12" ht="24.75" x14ac:dyDescent="0.25">
      <c r="A888" s="4" t="s">
        <v>6911</v>
      </c>
      <c r="B888" s="2" t="s">
        <v>2005</v>
      </c>
      <c r="C888" s="3">
        <v>1</v>
      </c>
      <c r="D888" s="5">
        <v>14.99</v>
      </c>
      <c r="E888" s="3" t="s">
        <v>2006</v>
      </c>
      <c r="F888" s="2" t="s">
        <v>1945</v>
      </c>
      <c r="G888" s="6" t="s">
        <v>245</v>
      </c>
      <c r="H888" s="2" t="s">
        <v>1522</v>
      </c>
      <c r="I888" s="2" t="s">
        <v>1469</v>
      </c>
      <c r="J888" s="2" t="s">
        <v>19</v>
      </c>
      <c r="K888" s="2" t="s">
        <v>353</v>
      </c>
      <c r="L888" s="7" t="str">
        <f t="shared" si="11"/>
        <v xml:space="preserve">http://slimages.macys.com/is/image/MCY/10743611 </v>
      </c>
    </row>
    <row r="889" spans="1:12" ht="24.75" x14ac:dyDescent="0.25">
      <c r="A889" s="4" t="s">
        <v>6912</v>
      </c>
      <c r="B889" s="2" t="s">
        <v>2005</v>
      </c>
      <c r="C889" s="3">
        <v>4</v>
      </c>
      <c r="D889" s="5">
        <v>14.99</v>
      </c>
      <c r="E889" s="3" t="s">
        <v>2006</v>
      </c>
      <c r="F889" s="2" t="s">
        <v>64</v>
      </c>
      <c r="G889" s="6" t="s">
        <v>234</v>
      </c>
      <c r="H889" s="2" t="s">
        <v>1522</v>
      </c>
      <c r="I889" s="2" t="s">
        <v>1469</v>
      </c>
      <c r="J889" s="2" t="s">
        <v>19</v>
      </c>
      <c r="K889" s="2" t="s">
        <v>353</v>
      </c>
      <c r="L889" s="7" t="str">
        <f t="shared" si="11"/>
        <v xml:space="preserve">http://slimages.macys.com/is/image/MCY/10743611 </v>
      </c>
    </row>
    <row r="890" spans="1:12" ht="24.75" x14ac:dyDescent="0.25">
      <c r="A890" s="4" t="s">
        <v>4261</v>
      </c>
      <c r="B890" s="2" t="s">
        <v>3226</v>
      </c>
      <c r="C890" s="3">
        <v>1</v>
      </c>
      <c r="D890" s="5">
        <v>12.99</v>
      </c>
      <c r="E890" s="3" t="s">
        <v>4259</v>
      </c>
      <c r="F890" s="2" t="s">
        <v>752</v>
      </c>
      <c r="G890" s="6"/>
      <c r="H890" s="2" t="s">
        <v>312</v>
      </c>
      <c r="I890" s="2" t="s">
        <v>195</v>
      </c>
      <c r="J890" s="2" t="s">
        <v>19</v>
      </c>
      <c r="K890" s="2" t="s">
        <v>648</v>
      </c>
      <c r="L890" s="7" t="str">
        <f>HYPERLINK("http://slimages.macys.com/is/image/MCY/11764447 ")</f>
        <v xml:space="preserve">http://slimages.macys.com/is/image/MCY/11764447 </v>
      </c>
    </row>
    <row r="891" spans="1:12" ht="24.75" x14ac:dyDescent="0.25">
      <c r="A891" s="4" t="s">
        <v>6913</v>
      </c>
      <c r="B891" s="2" t="s">
        <v>4270</v>
      </c>
      <c r="C891" s="3">
        <v>1</v>
      </c>
      <c r="D891" s="5">
        <v>12.99</v>
      </c>
      <c r="E891" s="3" t="s">
        <v>4271</v>
      </c>
      <c r="F891" s="2" t="s">
        <v>111</v>
      </c>
      <c r="G891" s="6" t="s">
        <v>154</v>
      </c>
      <c r="H891" s="2" t="s">
        <v>194</v>
      </c>
      <c r="I891" s="2" t="s">
        <v>195</v>
      </c>
      <c r="J891" s="2" t="s">
        <v>19</v>
      </c>
      <c r="K891" s="2" t="s">
        <v>495</v>
      </c>
      <c r="L891" s="7" t="str">
        <f>HYPERLINK("http://slimages.macys.com/is/image/MCY/3565245 ")</f>
        <v xml:space="preserve">http://slimages.macys.com/is/image/MCY/3565245 </v>
      </c>
    </row>
    <row r="892" spans="1:12" ht="24.75" x14ac:dyDescent="0.25">
      <c r="A892" s="4" t="s">
        <v>2018</v>
      </c>
      <c r="B892" s="2" t="s">
        <v>2016</v>
      </c>
      <c r="C892" s="3">
        <v>1</v>
      </c>
      <c r="D892" s="5">
        <v>12.99</v>
      </c>
      <c r="E892" s="3" t="s">
        <v>2017</v>
      </c>
      <c r="F892" s="2" t="s">
        <v>566</v>
      </c>
      <c r="G892" s="6" t="s">
        <v>156</v>
      </c>
      <c r="H892" s="2" t="s">
        <v>194</v>
      </c>
      <c r="I892" s="2" t="s">
        <v>195</v>
      </c>
      <c r="J892" s="2" t="s">
        <v>19</v>
      </c>
      <c r="K892" s="2" t="s">
        <v>648</v>
      </c>
      <c r="L892" s="7" t="str">
        <f>HYPERLINK("http://slimages.macys.com/is/image/MCY/14887463 ")</f>
        <v xml:space="preserve">http://slimages.macys.com/is/image/MCY/14887463 </v>
      </c>
    </row>
    <row r="893" spans="1:12" ht="24.75" x14ac:dyDescent="0.25">
      <c r="A893" s="4" t="s">
        <v>5242</v>
      </c>
      <c r="B893" s="2" t="s">
        <v>2021</v>
      </c>
      <c r="C893" s="3">
        <v>2</v>
      </c>
      <c r="D893" s="5">
        <v>18.38</v>
      </c>
      <c r="E893" s="3">
        <v>100018061</v>
      </c>
      <c r="F893" s="2" t="s">
        <v>64</v>
      </c>
      <c r="G893" s="6" t="s">
        <v>154</v>
      </c>
      <c r="H893" s="2" t="s">
        <v>194</v>
      </c>
      <c r="I893" s="2" t="s">
        <v>195</v>
      </c>
      <c r="J893" s="2" t="s">
        <v>19</v>
      </c>
      <c r="K893" s="2" t="s">
        <v>495</v>
      </c>
      <c r="L893" s="7" t="str">
        <f>HYPERLINK("http://slimages.macys.com/is/image/MCY/12950402 ")</f>
        <v xml:space="preserve">http://slimages.macys.com/is/image/MCY/12950402 </v>
      </c>
    </row>
    <row r="894" spans="1:12" ht="24.75" x14ac:dyDescent="0.25">
      <c r="A894" s="4" t="s">
        <v>3235</v>
      </c>
      <c r="B894" s="2" t="s">
        <v>2021</v>
      </c>
      <c r="C894" s="3">
        <v>1</v>
      </c>
      <c r="D894" s="5">
        <v>18.38</v>
      </c>
      <c r="E894" s="3">
        <v>100018061</v>
      </c>
      <c r="F894" s="2" t="s">
        <v>64</v>
      </c>
      <c r="G894" s="6" t="s">
        <v>181</v>
      </c>
      <c r="H894" s="2" t="s">
        <v>194</v>
      </c>
      <c r="I894" s="2" t="s">
        <v>195</v>
      </c>
      <c r="J894" s="2" t="s">
        <v>19</v>
      </c>
      <c r="K894" s="2" t="s">
        <v>495</v>
      </c>
      <c r="L894" s="7" t="str">
        <f>HYPERLINK("http://slimages.macys.com/is/image/MCY/12950402 ")</f>
        <v xml:space="preserve">http://slimages.macys.com/is/image/MCY/12950402 </v>
      </c>
    </row>
    <row r="895" spans="1:12" ht="24.75" x14ac:dyDescent="0.25">
      <c r="A895" s="4" t="s">
        <v>5245</v>
      </c>
      <c r="B895" s="2" t="s">
        <v>4367</v>
      </c>
      <c r="C895" s="3">
        <v>3</v>
      </c>
      <c r="D895" s="5">
        <v>9.99</v>
      </c>
      <c r="E895" s="3" t="s">
        <v>4368</v>
      </c>
      <c r="F895" s="2" t="s">
        <v>33</v>
      </c>
      <c r="G895" s="6" t="s">
        <v>181</v>
      </c>
      <c r="H895" s="2" t="s">
        <v>194</v>
      </c>
      <c r="I895" s="2" t="s">
        <v>195</v>
      </c>
      <c r="J895" s="2" t="s">
        <v>19</v>
      </c>
      <c r="K895" s="2" t="s">
        <v>247</v>
      </c>
      <c r="L895" s="7" t="str">
        <f>HYPERLINK("http://slimages.macys.com/is/image/MCY/13368198 ")</f>
        <v xml:space="preserve">http://slimages.macys.com/is/image/MCY/13368198 </v>
      </c>
    </row>
    <row r="896" spans="1:12" ht="24.75" x14ac:dyDescent="0.25">
      <c r="A896" s="4" t="s">
        <v>5244</v>
      </c>
      <c r="B896" s="2" t="s">
        <v>4367</v>
      </c>
      <c r="C896" s="3">
        <v>1</v>
      </c>
      <c r="D896" s="5">
        <v>9.99</v>
      </c>
      <c r="E896" s="3" t="s">
        <v>4368</v>
      </c>
      <c r="F896" s="2" t="s">
        <v>33</v>
      </c>
      <c r="G896" s="6" t="s">
        <v>154</v>
      </c>
      <c r="H896" s="2" t="s">
        <v>194</v>
      </c>
      <c r="I896" s="2" t="s">
        <v>195</v>
      </c>
      <c r="J896" s="2" t="s">
        <v>19</v>
      </c>
      <c r="K896" s="2" t="s">
        <v>247</v>
      </c>
      <c r="L896" s="7" t="str">
        <f>HYPERLINK("http://slimages.macys.com/is/image/MCY/13368198 ")</f>
        <v xml:space="preserve">http://slimages.macys.com/is/image/MCY/13368198 </v>
      </c>
    </row>
    <row r="897" spans="1:12" ht="24.75" x14ac:dyDescent="0.25">
      <c r="A897" s="4" t="s">
        <v>6914</v>
      </c>
      <c r="B897" s="2" t="s">
        <v>4283</v>
      </c>
      <c r="C897" s="3">
        <v>1</v>
      </c>
      <c r="D897" s="5">
        <v>9.99</v>
      </c>
      <c r="E897" s="3" t="s">
        <v>4284</v>
      </c>
      <c r="F897" s="2" t="s">
        <v>70</v>
      </c>
      <c r="G897" s="6" t="s">
        <v>234</v>
      </c>
      <c r="H897" s="2" t="s">
        <v>1473</v>
      </c>
      <c r="I897" s="2" t="s">
        <v>1426</v>
      </c>
      <c r="J897" s="2" t="s">
        <v>19</v>
      </c>
      <c r="K897" s="2" t="s">
        <v>495</v>
      </c>
      <c r="L897" s="7" t="str">
        <f>HYPERLINK("http://slimages.macys.com/is/image/MCY/10703455 ")</f>
        <v xml:space="preserve">http://slimages.macys.com/is/image/MCY/10703455 </v>
      </c>
    </row>
    <row r="898" spans="1:12" ht="24.75" x14ac:dyDescent="0.25">
      <c r="A898" s="4" t="s">
        <v>6915</v>
      </c>
      <c r="B898" s="2" t="s">
        <v>6226</v>
      </c>
      <c r="C898" s="3">
        <v>1</v>
      </c>
      <c r="D898" s="5">
        <v>9.99</v>
      </c>
      <c r="E898" s="3" t="s">
        <v>6227</v>
      </c>
      <c r="F898" s="2" t="s">
        <v>15</v>
      </c>
      <c r="G898" s="6" t="s">
        <v>200</v>
      </c>
      <c r="H898" s="2" t="s">
        <v>1473</v>
      </c>
      <c r="I898" s="2" t="s">
        <v>1426</v>
      </c>
      <c r="J898" s="2" t="s">
        <v>19</v>
      </c>
      <c r="K898" s="2" t="s">
        <v>495</v>
      </c>
      <c r="L898" s="7" t="str">
        <f>HYPERLINK("http://slimages.macys.com/is/image/MCY/11882171 ")</f>
        <v xml:space="preserve">http://slimages.macys.com/is/image/MCY/11882171 </v>
      </c>
    </row>
    <row r="899" spans="1:12" ht="24.75" x14ac:dyDescent="0.25">
      <c r="A899" s="4" t="s">
        <v>3236</v>
      </c>
      <c r="B899" s="2" t="s">
        <v>3237</v>
      </c>
      <c r="C899" s="3">
        <v>2</v>
      </c>
      <c r="D899" s="5">
        <v>9.99</v>
      </c>
      <c r="E899" s="3" t="s">
        <v>3238</v>
      </c>
      <c r="F899" s="2" t="s">
        <v>64</v>
      </c>
      <c r="G899" s="6" t="s">
        <v>181</v>
      </c>
      <c r="H899" s="2" t="s">
        <v>194</v>
      </c>
      <c r="I899" s="2" t="s">
        <v>195</v>
      </c>
      <c r="J899" s="2" t="s">
        <v>19</v>
      </c>
      <c r="K899" s="2" t="s">
        <v>247</v>
      </c>
      <c r="L899" s="7" t="str">
        <f>HYPERLINK("http://slimages.macys.com/is/image/MCY/15522855 ")</f>
        <v xml:space="preserve">http://slimages.macys.com/is/image/MCY/15522855 </v>
      </c>
    </row>
    <row r="900" spans="1:12" ht="24.75" x14ac:dyDescent="0.25">
      <c r="A900" s="4" t="s">
        <v>6916</v>
      </c>
      <c r="B900" s="2" t="s">
        <v>3237</v>
      </c>
      <c r="C900" s="3">
        <v>1</v>
      </c>
      <c r="D900" s="5">
        <v>9.99</v>
      </c>
      <c r="E900" s="3" t="s">
        <v>3238</v>
      </c>
      <c r="F900" s="2" t="s">
        <v>64</v>
      </c>
      <c r="G900" s="6" t="s">
        <v>156</v>
      </c>
      <c r="H900" s="2" t="s">
        <v>194</v>
      </c>
      <c r="I900" s="2" t="s">
        <v>195</v>
      </c>
      <c r="J900" s="2" t="s">
        <v>19</v>
      </c>
      <c r="K900" s="2" t="s">
        <v>247</v>
      </c>
      <c r="L900" s="7" t="str">
        <f>HYPERLINK("http://slimages.macys.com/is/image/MCY/15522855 ")</f>
        <v xml:space="preserve">http://slimages.macys.com/is/image/MCY/15522855 </v>
      </c>
    </row>
    <row r="901" spans="1:12" ht="24.75" x14ac:dyDescent="0.25">
      <c r="A901" s="4" t="s">
        <v>6917</v>
      </c>
      <c r="B901" s="2" t="s">
        <v>3237</v>
      </c>
      <c r="C901" s="3">
        <v>1</v>
      </c>
      <c r="D901" s="5">
        <v>9.99</v>
      </c>
      <c r="E901" s="3" t="s">
        <v>3238</v>
      </c>
      <c r="F901" s="2" t="s">
        <v>64</v>
      </c>
      <c r="G901" s="6" t="s">
        <v>234</v>
      </c>
      <c r="H901" s="2" t="s">
        <v>194</v>
      </c>
      <c r="I901" s="2" t="s">
        <v>195</v>
      </c>
      <c r="J901" s="2" t="s">
        <v>19</v>
      </c>
      <c r="K901" s="2" t="s">
        <v>247</v>
      </c>
      <c r="L901" s="7" t="str">
        <f>HYPERLINK("http://slimages.macys.com/is/image/MCY/15522855 ")</f>
        <v xml:space="preserve">http://slimages.macys.com/is/image/MCY/15522855 </v>
      </c>
    </row>
    <row r="902" spans="1:12" ht="24.75" x14ac:dyDescent="0.25">
      <c r="A902" s="4" t="s">
        <v>6918</v>
      </c>
      <c r="B902" s="2" t="s">
        <v>3237</v>
      </c>
      <c r="C902" s="3">
        <v>1</v>
      </c>
      <c r="D902" s="5">
        <v>9.99</v>
      </c>
      <c r="E902" s="3" t="s">
        <v>3238</v>
      </c>
      <c r="F902" s="2" t="s">
        <v>413</v>
      </c>
      <c r="G902" s="6" t="s">
        <v>200</v>
      </c>
      <c r="H902" s="2" t="s">
        <v>194</v>
      </c>
      <c r="I902" s="2" t="s">
        <v>195</v>
      </c>
      <c r="J902" s="2" t="s">
        <v>19</v>
      </c>
      <c r="K902" s="2" t="s">
        <v>247</v>
      </c>
      <c r="L902" s="7" t="str">
        <f>HYPERLINK("http://slimages.macys.com/is/image/MCY/15522855 ")</f>
        <v xml:space="preserve">http://slimages.macys.com/is/image/MCY/15522855 </v>
      </c>
    </row>
    <row r="903" spans="1:12" ht="24.75" x14ac:dyDescent="0.25">
      <c r="A903" s="4" t="s">
        <v>6919</v>
      </c>
      <c r="B903" s="2" t="s">
        <v>6920</v>
      </c>
      <c r="C903" s="3">
        <v>1</v>
      </c>
      <c r="D903" s="5">
        <v>9.99</v>
      </c>
      <c r="E903" s="3" t="s">
        <v>6921</v>
      </c>
      <c r="F903" s="2" t="s">
        <v>26</v>
      </c>
      <c r="G903" s="6" t="s">
        <v>181</v>
      </c>
      <c r="H903" s="2" t="s">
        <v>1473</v>
      </c>
      <c r="I903" s="2" t="s">
        <v>1426</v>
      </c>
      <c r="J903" s="2" t="s">
        <v>19</v>
      </c>
      <c r="K903" s="2" t="s">
        <v>803</v>
      </c>
      <c r="L903" s="7" t="str">
        <f>HYPERLINK("http://slimages.macys.com/is/image/MCY/11632973 ")</f>
        <v xml:space="preserve">http://slimages.macys.com/is/image/MCY/11632973 </v>
      </c>
    </row>
    <row r="904" spans="1:12" ht="24.75" x14ac:dyDescent="0.25">
      <c r="A904" s="4" t="s">
        <v>6922</v>
      </c>
      <c r="B904" s="2" t="s">
        <v>6920</v>
      </c>
      <c r="C904" s="3">
        <v>1</v>
      </c>
      <c r="D904" s="5">
        <v>9.99</v>
      </c>
      <c r="E904" s="3" t="s">
        <v>6921</v>
      </c>
      <c r="F904" s="2" t="s">
        <v>74</v>
      </c>
      <c r="G904" s="6" t="s">
        <v>156</v>
      </c>
      <c r="H904" s="2" t="s">
        <v>1473</v>
      </c>
      <c r="I904" s="2" t="s">
        <v>1426</v>
      </c>
      <c r="J904" s="2" t="s">
        <v>19</v>
      </c>
      <c r="K904" s="2" t="s">
        <v>803</v>
      </c>
      <c r="L904" s="7" t="str">
        <f>HYPERLINK("http://slimages.macys.com/is/image/MCY/11632973 ")</f>
        <v xml:space="preserve">http://slimages.macys.com/is/image/MCY/11632973 </v>
      </c>
    </row>
    <row r="905" spans="1:12" ht="24.75" x14ac:dyDescent="0.25">
      <c r="A905" s="4" t="s">
        <v>6923</v>
      </c>
      <c r="B905" s="2" t="s">
        <v>3237</v>
      </c>
      <c r="C905" s="3">
        <v>1</v>
      </c>
      <c r="D905" s="5">
        <v>9.99</v>
      </c>
      <c r="E905" s="3" t="s">
        <v>3238</v>
      </c>
      <c r="F905" s="2" t="s">
        <v>956</v>
      </c>
      <c r="G905" s="6" t="s">
        <v>234</v>
      </c>
      <c r="H905" s="2" t="s">
        <v>194</v>
      </c>
      <c r="I905" s="2" t="s">
        <v>195</v>
      </c>
      <c r="J905" s="2" t="s">
        <v>19</v>
      </c>
      <c r="K905" s="2" t="s">
        <v>247</v>
      </c>
      <c r="L905" s="7" t="str">
        <f>HYPERLINK("http://slimages.macys.com/is/image/MCY/15522855 ")</f>
        <v xml:space="preserve">http://slimages.macys.com/is/image/MCY/15522855 </v>
      </c>
    </row>
    <row r="906" spans="1:12" ht="24.75" x14ac:dyDescent="0.25">
      <c r="A906" s="4" t="s">
        <v>4291</v>
      </c>
      <c r="B906" s="2" t="s">
        <v>3237</v>
      </c>
      <c r="C906" s="3">
        <v>1</v>
      </c>
      <c r="D906" s="5">
        <v>9.99</v>
      </c>
      <c r="E906" s="3" t="s">
        <v>3238</v>
      </c>
      <c r="F906" s="2" t="s">
        <v>3267</v>
      </c>
      <c r="G906" s="6" t="s">
        <v>181</v>
      </c>
      <c r="H906" s="2" t="s">
        <v>194</v>
      </c>
      <c r="I906" s="2" t="s">
        <v>195</v>
      </c>
      <c r="J906" s="2" t="s">
        <v>19</v>
      </c>
      <c r="K906" s="2" t="s">
        <v>247</v>
      </c>
      <c r="L906" s="7" t="str">
        <f>HYPERLINK("http://slimages.macys.com/is/image/MCY/15522855 ")</f>
        <v xml:space="preserve">http://slimages.macys.com/is/image/MCY/15522855 </v>
      </c>
    </row>
    <row r="907" spans="1:12" ht="24.75" x14ac:dyDescent="0.25">
      <c r="A907" s="4" t="s">
        <v>6924</v>
      </c>
      <c r="B907" s="2" t="s">
        <v>3237</v>
      </c>
      <c r="C907" s="3">
        <v>1</v>
      </c>
      <c r="D907" s="5">
        <v>9.99</v>
      </c>
      <c r="E907" s="3" t="s">
        <v>3238</v>
      </c>
      <c r="F907" s="2" t="s">
        <v>170</v>
      </c>
      <c r="G907" s="6" t="s">
        <v>156</v>
      </c>
      <c r="H907" s="2" t="s">
        <v>194</v>
      </c>
      <c r="I907" s="2" t="s">
        <v>195</v>
      </c>
      <c r="J907" s="2" t="s">
        <v>19</v>
      </c>
      <c r="K907" s="2" t="s">
        <v>247</v>
      </c>
      <c r="L907" s="7" t="str">
        <f>HYPERLINK("http://slimages.macys.com/is/image/MCY/15522855 ")</f>
        <v xml:space="preserve">http://slimages.macys.com/is/image/MCY/15522855 </v>
      </c>
    </row>
    <row r="908" spans="1:12" ht="24.75" x14ac:dyDescent="0.25">
      <c r="A908" s="4" t="s">
        <v>6925</v>
      </c>
      <c r="B908" s="2" t="s">
        <v>6926</v>
      </c>
      <c r="C908" s="3">
        <v>1</v>
      </c>
      <c r="D908" s="5">
        <v>12.99</v>
      </c>
      <c r="E908" s="3" t="s">
        <v>6927</v>
      </c>
      <c r="F908" s="2" t="s">
        <v>70</v>
      </c>
      <c r="G908" s="6"/>
      <c r="H908" s="2" t="s">
        <v>312</v>
      </c>
      <c r="I908" s="2" t="s">
        <v>195</v>
      </c>
      <c r="J908" s="2" t="s">
        <v>19</v>
      </c>
      <c r="K908" s="2" t="s">
        <v>495</v>
      </c>
      <c r="L908" s="7" t="str">
        <f>HYPERLINK("http://slimages.macys.com/is/image/MCY/11606786 ")</f>
        <v xml:space="preserve">http://slimages.macys.com/is/image/MCY/11606786 </v>
      </c>
    </row>
    <row r="909" spans="1:12" ht="24.75" x14ac:dyDescent="0.25">
      <c r="A909" s="4" t="s">
        <v>6928</v>
      </c>
      <c r="B909" s="2" t="s">
        <v>2036</v>
      </c>
      <c r="C909" s="3">
        <v>1</v>
      </c>
      <c r="D909" s="5">
        <v>12.99</v>
      </c>
      <c r="E909" s="3" t="s">
        <v>2037</v>
      </c>
      <c r="F909" s="2" t="s">
        <v>1614</v>
      </c>
      <c r="G909" s="6" t="s">
        <v>156</v>
      </c>
      <c r="H909" s="2" t="s">
        <v>194</v>
      </c>
      <c r="I909" s="2" t="s">
        <v>195</v>
      </c>
      <c r="J909" s="2" t="s">
        <v>19</v>
      </c>
      <c r="K909" s="2" t="s">
        <v>495</v>
      </c>
      <c r="L909" s="7" t="str">
        <f>HYPERLINK("http://slimages.macys.com/is/image/MCY/9344781 ")</f>
        <v xml:space="preserve">http://slimages.macys.com/is/image/MCY/9344781 </v>
      </c>
    </row>
    <row r="910" spans="1:12" ht="24.75" x14ac:dyDescent="0.25">
      <c r="A910" s="4" t="s">
        <v>2038</v>
      </c>
      <c r="B910" s="2" t="s">
        <v>2036</v>
      </c>
      <c r="C910" s="3">
        <v>1</v>
      </c>
      <c r="D910" s="5">
        <v>12.99</v>
      </c>
      <c r="E910" s="3" t="s">
        <v>2037</v>
      </c>
      <c r="F910" s="2" t="s">
        <v>111</v>
      </c>
      <c r="G910" s="6" t="s">
        <v>181</v>
      </c>
      <c r="H910" s="2" t="s">
        <v>194</v>
      </c>
      <c r="I910" s="2" t="s">
        <v>195</v>
      </c>
      <c r="J910" s="2"/>
      <c r="K910" s="2"/>
      <c r="L910" s="7" t="str">
        <f>HYPERLINK("http://slimages.macys.com/is/image/MCY/9527158 ")</f>
        <v xml:space="preserve">http://slimages.macys.com/is/image/MCY/9527158 </v>
      </c>
    </row>
    <row r="911" spans="1:12" ht="24.75" x14ac:dyDescent="0.25">
      <c r="A911" s="4" t="s">
        <v>6929</v>
      </c>
      <c r="B911" s="2" t="s">
        <v>6930</v>
      </c>
      <c r="C911" s="3">
        <v>1</v>
      </c>
      <c r="D911" s="5">
        <v>9.99</v>
      </c>
      <c r="E911" s="3" t="s">
        <v>6931</v>
      </c>
      <c r="F911" s="2" t="s">
        <v>15</v>
      </c>
      <c r="G911" s="6" t="s">
        <v>245</v>
      </c>
      <c r="H911" s="2" t="s">
        <v>1473</v>
      </c>
      <c r="I911" s="2" t="s">
        <v>1426</v>
      </c>
      <c r="J911" s="2" t="s">
        <v>19</v>
      </c>
      <c r="K911" s="2" t="s">
        <v>495</v>
      </c>
      <c r="L911" s="7" t="str">
        <f>HYPERLINK("http://slimages.macys.com/is/image/MCY/11269936 ")</f>
        <v xml:space="preserve">http://slimages.macys.com/is/image/MCY/11269936 </v>
      </c>
    </row>
    <row r="912" spans="1:12" ht="24.75" x14ac:dyDescent="0.25">
      <c r="A912" s="4" t="s">
        <v>6932</v>
      </c>
      <c r="B912" s="2" t="s">
        <v>4295</v>
      </c>
      <c r="C912" s="3">
        <v>1</v>
      </c>
      <c r="D912" s="5">
        <v>9.99</v>
      </c>
      <c r="E912" s="3" t="s">
        <v>4296</v>
      </c>
      <c r="F912" s="2" t="s">
        <v>33</v>
      </c>
      <c r="G912" s="6" t="s">
        <v>245</v>
      </c>
      <c r="H912" s="2" t="s">
        <v>1473</v>
      </c>
      <c r="I912" s="2" t="s">
        <v>1426</v>
      </c>
      <c r="J912" s="2" t="s">
        <v>19</v>
      </c>
      <c r="K912" s="2" t="s">
        <v>495</v>
      </c>
      <c r="L912" s="7" t="str">
        <f>HYPERLINK("http://slimages.macys.com/is/image/MCY/11533706 ")</f>
        <v xml:space="preserve">http://slimages.macys.com/is/image/MCY/11533706 </v>
      </c>
    </row>
    <row r="913" spans="1:12" ht="24.75" x14ac:dyDescent="0.25">
      <c r="A913" s="4" t="s">
        <v>6933</v>
      </c>
      <c r="B913" s="2" t="s">
        <v>6934</v>
      </c>
      <c r="C913" s="3">
        <v>1</v>
      </c>
      <c r="D913" s="5">
        <v>9.99</v>
      </c>
      <c r="E913" s="3" t="s">
        <v>6935</v>
      </c>
      <c r="F913" s="2" t="s">
        <v>79</v>
      </c>
      <c r="G913" s="6" t="s">
        <v>219</v>
      </c>
      <c r="H913" s="2" t="s">
        <v>1425</v>
      </c>
      <c r="I913" s="2" t="s">
        <v>1426</v>
      </c>
      <c r="J913" s="2" t="s">
        <v>19</v>
      </c>
      <c r="K913" s="2" t="s">
        <v>495</v>
      </c>
      <c r="L913" s="7" t="str">
        <f>HYPERLINK("http://slimages.macys.com/is/image/MCY/12144730 ")</f>
        <v xml:space="preserve">http://slimages.macys.com/is/image/MCY/12144730 </v>
      </c>
    </row>
    <row r="914" spans="1:12" ht="24.75" x14ac:dyDescent="0.25">
      <c r="A914" s="4" t="s">
        <v>6936</v>
      </c>
      <c r="B914" s="2" t="s">
        <v>6937</v>
      </c>
      <c r="C914" s="3">
        <v>1</v>
      </c>
      <c r="D914" s="5">
        <v>9.99</v>
      </c>
      <c r="E914" s="3" t="s">
        <v>6938</v>
      </c>
      <c r="F914" s="2" t="s">
        <v>33</v>
      </c>
      <c r="G914" s="6" t="s">
        <v>181</v>
      </c>
      <c r="H914" s="2" t="s">
        <v>1473</v>
      </c>
      <c r="I914" s="2" t="s">
        <v>1426</v>
      </c>
      <c r="J914" s="2" t="s">
        <v>19</v>
      </c>
      <c r="K914" s="2" t="s">
        <v>495</v>
      </c>
      <c r="L914" s="7" t="str">
        <f>HYPERLINK("http://slimages.macys.com/is/image/MCY/11882118 ")</f>
        <v xml:space="preserve">http://slimages.macys.com/is/image/MCY/11882118 </v>
      </c>
    </row>
    <row r="915" spans="1:12" ht="24.75" x14ac:dyDescent="0.25">
      <c r="A915" s="4" t="s">
        <v>6939</v>
      </c>
      <c r="B915" s="2" t="s">
        <v>6934</v>
      </c>
      <c r="C915" s="3">
        <v>1</v>
      </c>
      <c r="D915" s="5">
        <v>9.99</v>
      </c>
      <c r="E915" s="3" t="s">
        <v>6940</v>
      </c>
      <c r="F915" s="2" t="s">
        <v>79</v>
      </c>
      <c r="G915" s="6" t="s">
        <v>156</v>
      </c>
      <c r="H915" s="2" t="s">
        <v>1473</v>
      </c>
      <c r="I915" s="2" t="s">
        <v>1426</v>
      </c>
      <c r="J915" s="2" t="s">
        <v>19</v>
      </c>
      <c r="K915" s="2" t="s">
        <v>495</v>
      </c>
      <c r="L915" s="7" t="str">
        <f>HYPERLINK("http://slimages.macys.com/is/image/MCY/12144730 ")</f>
        <v xml:space="preserve">http://slimages.macys.com/is/image/MCY/12144730 </v>
      </c>
    </row>
    <row r="916" spans="1:12" ht="24.75" x14ac:dyDescent="0.25">
      <c r="A916" s="4" t="s">
        <v>6941</v>
      </c>
      <c r="B916" s="2" t="s">
        <v>6930</v>
      </c>
      <c r="C916" s="3">
        <v>1</v>
      </c>
      <c r="D916" s="5">
        <v>9.99</v>
      </c>
      <c r="E916" s="3" t="s">
        <v>6931</v>
      </c>
      <c r="F916" s="2" t="s">
        <v>15</v>
      </c>
      <c r="G916" s="6" t="s">
        <v>154</v>
      </c>
      <c r="H916" s="2" t="s">
        <v>1473</v>
      </c>
      <c r="I916" s="2" t="s">
        <v>1426</v>
      </c>
      <c r="J916" s="2" t="s">
        <v>19</v>
      </c>
      <c r="K916" s="2" t="s">
        <v>495</v>
      </c>
      <c r="L916" s="7" t="str">
        <f>HYPERLINK("http://slimages.macys.com/is/image/MCY/11269936 ")</f>
        <v xml:space="preserve">http://slimages.macys.com/is/image/MCY/11269936 </v>
      </c>
    </row>
    <row r="917" spans="1:12" ht="24.75" x14ac:dyDescent="0.25">
      <c r="A917" s="4" t="s">
        <v>6942</v>
      </c>
      <c r="B917" s="2" t="s">
        <v>6943</v>
      </c>
      <c r="C917" s="3">
        <v>2</v>
      </c>
      <c r="D917" s="5">
        <v>9.99</v>
      </c>
      <c r="E917" s="3" t="s">
        <v>6944</v>
      </c>
      <c r="F917" s="2" t="s">
        <v>413</v>
      </c>
      <c r="G917" s="6"/>
      <c r="H917" s="2" t="s">
        <v>1425</v>
      </c>
      <c r="I917" s="2" t="s">
        <v>1426</v>
      </c>
      <c r="J917" s="2" t="s">
        <v>19</v>
      </c>
      <c r="K917" s="2" t="s">
        <v>495</v>
      </c>
      <c r="L917" s="7" t="str">
        <f>HYPERLINK("http://slimages.macys.com/is/image/MCY/11774072 ")</f>
        <v xml:space="preserve">http://slimages.macys.com/is/image/MCY/11774072 </v>
      </c>
    </row>
    <row r="918" spans="1:12" ht="24.75" x14ac:dyDescent="0.25">
      <c r="A918" s="4" t="s">
        <v>6945</v>
      </c>
      <c r="B918" s="2" t="s">
        <v>6943</v>
      </c>
      <c r="C918" s="3">
        <v>1</v>
      </c>
      <c r="D918" s="5">
        <v>9.99</v>
      </c>
      <c r="E918" s="3" t="s">
        <v>6944</v>
      </c>
      <c r="F918" s="2" t="s">
        <v>413</v>
      </c>
      <c r="G918" s="6"/>
      <c r="H918" s="2" t="s">
        <v>1425</v>
      </c>
      <c r="I918" s="2" t="s">
        <v>1426</v>
      </c>
      <c r="J918" s="2" t="s">
        <v>19</v>
      </c>
      <c r="K918" s="2" t="s">
        <v>495</v>
      </c>
      <c r="L918" s="7" t="str">
        <f>HYPERLINK("http://slimages.macys.com/is/image/MCY/11774072 ")</f>
        <v xml:space="preserve">http://slimages.macys.com/is/image/MCY/11774072 </v>
      </c>
    </row>
    <row r="919" spans="1:12" ht="24.75" x14ac:dyDescent="0.25">
      <c r="A919" s="4" t="s">
        <v>6946</v>
      </c>
      <c r="B919" s="2" t="s">
        <v>6947</v>
      </c>
      <c r="C919" s="3">
        <v>1</v>
      </c>
      <c r="D919" s="5">
        <v>9.99</v>
      </c>
      <c r="E919" s="3" t="s">
        <v>6948</v>
      </c>
      <c r="F919" s="2" t="s">
        <v>417</v>
      </c>
      <c r="G919" s="6" t="s">
        <v>181</v>
      </c>
      <c r="H919" s="2" t="s">
        <v>1473</v>
      </c>
      <c r="I919" s="2" t="s">
        <v>1426</v>
      </c>
      <c r="J919" s="2" t="s">
        <v>19</v>
      </c>
      <c r="K919" s="2" t="s">
        <v>495</v>
      </c>
      <c r="L919" s="7" t="str">
        <f>HYPERLINK("http://slimages.macys.com/is/image/MCY/12326977 ")</f>
        <v xml:space="preserve">http://slimages.macys.com/is/image/MCY/12326977 </v>
      </c>
    </row>
    <row r="920" spans="1:12" ht="24.75" x14ac:dyDescent="0.25">
      <c r="A920" s="4" t="s">
        <v>5255</v>
      </c>
      <c r="B920" s="2" t="s">
        <v>2051</v>
      </c>
      <c r="C920" s="3">
        <v>2</v>
      </c>
      <c r="D920" s="5">
        <v>9.99</v>
      </c>
      <c r="E920" s="3" t="s">
        <v>2052</v>
      </c>
      <c r="F920" s="2" t="s">
        <v>1322</v>
      </c>
      <c r="G920" s="6" t="s">
        <v>156</v>
      </c>
      <c r="H920" s="2" t="s">
        <v>1473</v>
      </c>
      <c r="I920" s="2" t="s">
        <v>1426</v>
      </c>
      <c r="J920" s="2" t="s">
        <v>19</v>
      </c>
      <c r="K920" s="2" t="s">
        <v>495</v>
      </c>
      <c r="L920" s="7" t="str">
        <f>HYPERLINK("http://slimages.macys.com/is/image/MCY/12267126 ")</f>
        <v xml:space="preserve">http://slimages.macys.com/is/image/MCY/12267126 </v>
      </c>
    </row>
    <row r="921" spans="1:12" ht="24.75" x14ac:dyDescent="0.25">
      <c r="A921" s="4" t="s">
        <v>6949</v>
      </c>
      <c r="B921" s="2" t="s">
        <v>6937</v>
      </c>
      <c r="C921" s="3">
        <v>1</v>
      </c>
      <c r="D921" s="5">
        <v>9.99</v>
      </c>
      <c r="E921" s="3" t="s">
        <v>6938</v>
      </c>
      <c r="F921" s="2" t="s">
        <v>33</v>
      </c>
      <c r="G921" s="6" t="s">
        <v>245</v>
      </c>
      <c r="H921" s="2" t="s">
        <v>1473</v>
      </c>
      <c r="I921" s="2" t="s">
        <v>1426</v>
      </c>
      <c r="J921" s="2" t="s">
        <v>19</v>
      </c>
      <c r="K921" s="2" t="s">
        <v>495</v>
      </c>
      <c r="L921" s="7" t="str">
        <f>HYPERLINK("http://slimages.macys.com/is/image/MCY/11882118 ")</f>
        <v xml:space="preserve">http://slimages.macys.com/is/image/MCY/11882118 </v>
      </c>
    </row>
    <row r="922" spans="1:12" ht="24.75" x14ac:dyDescent="0.25">
      <c r="A922" s="4" t="s">
        <v>4316</v>
      </c>
      <c r="B922" s="2" t="s">
        <v>2064</v>
      </c>
      <c r="C922" s="3">
        <v>3</v>
      </c>
      <c r="D922" s="5">
        <v>9.99</v>
      </c>
      <c r="E922" s="3" t="s">
        <v>3279</v>
      </c>
      <c r="F922" s="2" t="s">
        <v>1914</v>
      </c>
      <c r="G922" s="6" t="s">
        <v>156</v>
      </c>
      <c r="H922" s="2" t="s">
        <v>1473</v>
      </c>
      <c r="I922" s="2" t="s">
        <v>1426</v>
      </c>
      <c r="J922" s="2" t="s">
        <v>19</v>
      </c>
      <c r="K922" s="2" t="s">
        <v>990</v>
      </c>
      <c r="L922" s="7" t="str">
        <f>HYPERLINK("http://slimages.macys.com/is/image/MCY/11130625 ")</f>
        <v xml:space="preserve">http://slimages.macys.com/is/image/MCY/11130625 </v>
      </c>
    </row>
    <row r="923" spans="1:12" ht="24.75" x14ac:dyDescent="0.25">
      <c r="A923" s="4" t="s">
        <v>6950</v>
      </c>
      <c r="B923" s="2" t="s">
        <v>2068</v>
      </c>
      <c r="C923" s="3">
        <v>1</v>
      </c>
      <c r="D923" s="5">
        <v>12.99</v>
      </c>
      <c r="E923" s="3" t="s">
        <v>2069</v>
      </c>
      <c r="F923" s="2" t="s">
        <v>111</v>
      </c>
      <c r="G923" s="6" t="s">
        <v>234</v>
      </c>
      <c r="H923" s="2" t="s">
        <v>194</v>
      </c>
      <c r="I923" s="2" t="s">
        <v>195</v>
      </c>
      <c r="J923" s="2" t="s">
        <v>19</v>
      </c>
      <c r="K923" s="2" t="s">
        <v>648</v>
      </c>
      <c r="L923" s="7" t="str">
        <f>HYPERLINK("http://slimages.macys.com/is/image/MCY/12316464 ")</f>
        <v xml:space="preserve">http://slimages.macys.com/is/image/MCY/12316464 </v>
      </c>
    </row>
    <row r="924" spans="1:12" ht="24.75" x14ac:dyDescent="0.25">
      <c r="A924" s="4" t="s">
        <v>6951</v>
      </c>
      <c r="B924" s="2" t="s">
        <v>2068</v>
      </c>
      <c r="C924" s="3">
        <v>1</v>
      </c>
      <c r="D924" s="5">
        <v>12.99</v>
      </c>
      <c r="E924" s="3" t="s">
        <v>2069</v>
      </c>
      <c r="F924" s="2" t="s">
        <v>111</v>
      </c>
      <c r="G924" s="6" t="s">
        <v>181</v>
      </c>
      <c r="H924" s="2" t="s">
        <v>194</v>
      </c>
      <c r="I924" s="2" t="s">
        <v>195</v>
      </c>
      <c r="J924" s="2" t="s">
        <v>19</v>
      </c>
      <c r="K924" s="2" t="s">
        <v>648</v>
      </c>
      <c r="L924" s="7" t="str">
        <f>HYPERLINK("http://slimages.macys.com/is/image/MCY/12316464 ")</f>
        <v xml:space="preserve">http://slimages.macys.com/is/image/MCY/12316464 </v>
      </c>
    </row>
    <row r="925" spans="1:12" ht="24.75" x14ac:dyDescent="0.25">
      <c r="A925" s="4" t="s">
        <v>5277</v>
      </c>
      <c r="B925" s="2" t="s">
        <v>2064</v>
      </c>
      <c r="C925" s="3">
        <v>1</v>
      </c>
      <c r="D925" s="5">
        <v>9.99</v>
      </c>
      <c r="E925" s="3" t="s">
        <v>3279</v>
      </c>
      <c r="F925" s="2" t="s">
        <v>1914</v>
      </c>
      <c r="G925" s="6" t="s">
        <v>245</v>
      </c>
      <c r="H925" s="2" t="s">
        <v>1473</v>
      </c>
      <c r="I925" s="2" t="s">
        <v>1426</v>
      </c>
      <c r="J925" s="2" t="s">
        <v>19</v>
      </c>
      <c r="K925" s="2" t="s">
        <v>990</v>
      </c>
      <c r="L925" s="7" t="str">
        <f>HYPERLINK("http://slimages.macys.com/is/image/MCY/11130625 ")</f>
        <v xml:space="preserve">http://slimages.macys.com/is/image/MCY/11130625 </v>
      </c>
    </row>
    <row r="926" spans="1:12" ht="24.75" x14ac:dyDescent="0.25">
      <c r="A926" s="4" t="s">
        <v>5276</v>
      </c>
      <c r="B926" s="2" t="s">
        <v>2064</v>
      </c>
      <c r="C926" s="3">
        <v>1</v>
      </c>
      <c r="D926" s="5">
        <v>9.99</v>
      </c>
      <c r="E926" s="3" t="s">
        <v>3279</v>
      </c>
      <c r="F926" s="2" t="s">
        <v>1914</v>
      </c>
      <c r="G926" s="6" t="s">
        <v>181</v>
      </c>
      <c r="H926" s="2" t="s">
        <v>1473</v>
      </c>
      <c r="I926" s="2" t="s">
        <v>1426</v>
      </c>
      <c r="J926" s="2" t="s">
        <v>19</v>
      </c>
      <c r="K926" s="2" t="s">
        <v>990</v>
      </c>
      <c r="L926" s="7" t="str">
        <f>HYPERLINK("http://slimages.macys.com/is/image/MCY/11130625 ")</f>
        <v xml:space="preserve">http://slimages.macys.com/is/image/MCY/11130625 </v>
      </c>
    </row>
    <row r="927" spans="1:12" ht="24.75" x14ac:dyDescent="0.25">
      <c r="A927" s="4" t="s">
        <v>4323</v>
      </c>
      <c r="B927" s="2" t="s">
        <v>4321</v>
      </c>
      <c r="C927" s="3">
        <v>1</v>
      </c>
      <c r="D927" s="5">
        <v>12.99</v>
      </c>
      <c r="E927" s="3" t="s">
        <v>4322</v>
      </c>
      <c r="F927" s="2" t="s">
        <v>887</v>
      </c>
      <c r="G927" s="6"/>
      <c r="H927" s="2" t="s">
        <v>312</v>
      </c>
      <c r="I927" s="2" t="s">
        <v>195</v>
      </c>
      <c r="J927" s="2" t="s">
        <v>19</v>
      </c>
      <c r="K927" s="2" t="s">
        <v>648</v>
      </c>
      <c r="L927" s="7" t="str">
        <f>HYPERLINK("http://slimages.macys.com/is/image/MCY/8157256 ")</f>
        <v xml:space="preserve">http://slimages.macys.com/is/image/MCY/8157256 </v>
      </c>
    </row>
    <row r="928" spans="1:12" ht="24.75" x14ac:dyDescent="0.25">
      <c r="A928" s="4" t="s">
        <v>6952</v>
      </c>
      <c r="B928" s="2" t="s">
        <v>2072</v>
      </c>
      <c r="C928" s="3">
        <v>1</v>
      </c>
      <c r="D928" s="5">
        <v>9.99</v>
      </c>
      <c r="E928" s="3" t="s">
        <v>2073</v>
      </c>
      <c r="F928" s="2" t="s">
        <v>331</v>
      </c>
      <c r="G928" s="6"/>
      <c r="H928" s="2" t="s">
        <v>1425</v>
      </c>
      <c r="I928" s="2" t="s">
        <v>1426</v>
      </c>
      <c r="J928" s="2" t="s">
        <v>19</v>
      </c>
      <c r="K928" s="2" t="s">
        <v>990</v>
      </c>
      <c r="L928" s="7" t="str">
        <f>HYPERLINK("http://slimages.macys.com/is/image/MCY/10741444 ")</f>
        <v xml:space="preserve">http://slimages.macys.com/is/image/MCY/10741444 </v>
      </c>
    </row>
    <row r="929" spans="1:12" ht="24.75" x14ac:dyDescent="0.25">
      <c r="A929" s="4" t="s">
        <v>6953</v>
      </c>
      <c r="B929" s="2" t="s">
        <v>2072</v>
      </c>
      <c r="C929" s="3">
        <v>1</v>
      </c>
      <c r="D929" s="5">
        <v>9.99</v>
      </c>
      <c r="E929" s="3" t="s">
        <v>2073</v>
      </c>
      <c r="F929" s="2" t="s">
        <v>74</v>
      </c>
      <c r="G929" s="6"/>
      <c r="H929" s="2" t="s">
        <v>1425</v>
      </c>
      <c r="I929" s="2" t="s">
        <v>1426</v>
      </c>
      <c r="J929" s="2" t="s">
        <v>19</v>
      </c>
      <c r="K929" s="2" t="s">
        <v>990</v>
      </c>
      <c r="L929" s="7" t="str">
        <f>HYPERLINK("http://slimages.macys.com/is/image/MCY/10741444 ")</f>
        <v xml:space="preserve">http://slimages.macys.com/is/image/MCY/10741444 </v>
      </c>
    </row>
    <row r="930" spans="1:12" ht="24.75" x14ac:dyDescent="0.25">
      <c r="A930" s="4" t="s">
        <v>6954</v>
      </c>
      <c r="B930" s="2" t="s">
        <v>2072</v>
      </c>
      <c r="C930" s="3">
        <v>1</v>
      </c>
      <c r="D930" s="5">
        <v>9.99</v>
      </c>
      <c r="E930" s="3" t="s">
        <v>2073</v>
      </c>
      <c r="F930" s="2" t="s">
        <v>331</v>
      </c>
      <c r="G930" s="6"/>
      <c r="H930" s="2" t="s">
        <v>1425</v>
      </c>
      <c r="I930" s="2" t="s">
        <v>1426</v>
      </c>
      <c r="J930" s="2" t="s">
        <v>19</v>
      </c>
      <c r="K930" s="2" t="s">
        <v>990</v>
      </c>
      <c r="L930" s="7" t="str">
        <f>HYPERLINK("http://slimages.macys.com/is/image/MCY/10741444 ")</f>
        <v xml:space="preserve">http://slimages.macys.com/is/image/MCY/10741444 </v>
      </c>
    </row>
    <row r="931" spans="1:12" ht="24.75" x14ac:dyDescent="0.25">
      <c r="A931" s="4" t="s">
        <v>6955</v>
      </c>
      <c r="B931" s="2" t="s">
        <v>2072</v>
      </c>
      <c r="C931" s="3">
        <v>1</v>
      </c>
      <c r="D931" s="5">
        <v>9.99</v>
      </c>
      <c r="E931" s="3" t="s">
        <v>6956</v>
      </c>
      <c r="F931" s="2" t="s">
        <v>413</v>
      </c>
      <c r="G931" s="6" t="s">
        <v>156</v>
      </c>
      <c r="H931" s="2" t="s">
        <v>1473</v>
      </c>
      <c r="I931" s="2" t="s">
        <v>1426</v>
      </c>
      <c r="J931" s="2" t="s">
        <v>19</v>
      </c>
      <c r="K931" s="2" t="s">
        <v>648</v>
      </c>
      <c r="L931" s="7" t="str">
        <f>HYPERLINK("http://slimages.macys.com/is/image/MCY/10741447 ")</f>
        <v xml:space="preserve">http://slimages.macys.com/is/image/MCY/10741447 </v>
      </c>
    </row>
    <row r="932" spans="1:12" ht="24.75" x14ac:dyDescent="0.25">
      <c r="A932" s="4" t="s">
        <v>6957</v>
      </c>
      <c r="B932" s="2" t="s">
        <v>2072</v>
      </c>
      <c r="C932" s="3">
        <v>1</v>
      </c>
      <c r="D932" s="5">
        <v>9.99</v>
      </c>
      <c r="E932" s="3" t="s">
        <v>2073</v>
      </c>
      <c r="F932" s="2" t="s">
        <v>331</v>
      </c>
      <c r="G932" s="6" t="s">
        <v>219</v>
      </c>
      <c r="H932" s="2" t="s">
        <v>1425</v>
      </c>
      <c r="I932" s="2" t="s">
        <v>1426</v>
      </c>
      <c r="J932" s="2" t="s">
        <v>19</v>
      </c>
      <c r="K932" s="2" t="s">
        <v>990</v>
      </c>
      <c r="L932" s="7" t="str">
        <f>HYPERLINK("http://slimages.macys.com/is/image/MCY/10741444 ")</f>
        <v xml:space="preserve">http://slimages.macys.com/is/image/MCY/10741444 </v>
      </c>
    </row>
    <row r="933" spans="1:12" ht="24.75" x14ac:dyDescent="0.25">
      <c r="A933" s="4" t="s">
        <v>6958</v>
      </c>
      <c r="B933" s="2" t="s">
        <v>2072</v>
      </c>
      <c r="C933" s="3">
        <v>1</v>
      </c>
      <c r="D933" s="5">
        <v>9.99</v>
      </c>
      <c r="E933" s="3" t="s">
        <v>2073</v>
      </c>
      <c r="F933" s="2" t="s">
        <v>413</v>
      </c>
      <c r="G933" s="6"/>
      <c r="H933" s="2" t="s">
        <v>1425</v>
      </c>
      <c r="I933" s="2" t="s">
        <v>1426</v>
      </c>
      <c r="J933" s="2" t="s">
        <v>19</v>
      </c>
      <c r="K933" s="2" t="s">
        <v>990</v>
      </c>
      <c r="L933" s="7" t="str">
        <f>HYPERLINK("http://slimages.macys.com/is/image/MCY/10741444 ")</f>
        <v xml:space="preserve">http://slimages.macys.com/is/image/MCY/10741444 </v>
      </c>
    </row>
    <row r="934" spans="1:12" ht="24.75" x14ac:dyDescent="0.25">
      <c r="A934" s="4" t="s">
        <v>6959</v>
      </c>
      <c r="B934" s="2" t="s">
        <v>2072</v>
      </c>
      <c r="C934" s="3">
        <v>2</v>
      </c>
      <c r="D934" s="5">
        <v>9.99</v>
      </c>
      <c r="E934" s="3" t="s">
        <v>6956</v>
      </c>
      <c r="F934" s="2" t="s">
        <v>413</v>
      </c>
      <c r="G934" s="6" t="s">
        <v>181</v>
      </c>
      <c r="H934" s="2" t="s">
        <v>1473</v>
      </c>
      <c r="I934" s="2" t="s">
        <v>1426</v>
      </c>
      <c r="J934" s="2" t="s">
        <v>19</v>
      </c>
      <c r="K934" s="2" t="s">
        <v>648</v>
      </c>
      <c r="L934" s="7" t="str">
        <f>HYPERLINK("http://slimages.macys.com/is/image/MCY/10741447 ")</f>
        <v xml:space="preserve">http://slimages.macys.com/is/image/MCY/10741447 </v>
      </c>
    </row>
    <row r="935" spans="1:12" ht="24.75" x14ac:dyDescent="0.25">
      <c r="A935" s="4" t="s">
        <v>6960</v>
      </c>
      <c r="B935" s="2" t="s">
        <v>2072</v>
      </c>
      <c r="C935" s="3">
        <v>1</v>
      </c>
      <c r="D935" s="5">
        <v>9.99</v>
      </c>
      <c r="E935" s="3" t="s">
        <v>2073</v>
      </c>
      <c r="F935" s="2" t="s">
        <v>413</v>
      </c>
      <c r="G935" s="6"/>
      <c r="H935" s="2" t="s">
        <v>1425</v>
      </c>
      <c r="I935" s="2" t="s">
        <v>1426</v>
      </c>
      <c r="J935" s="2" t="s">
        <v>19</v>
      </c>
      <c r="K935" s="2" t="s">
        <v>990</v>
      </c>
      <c r="L935" s="7" t="str">
        <f>HYPERLINK("http://slimages.macys.com/is/image/MCY/10741444 ")</f>
        <v xml:space="preserve">http://slimages.macys.com/is/image/MCY/10741444 </v>
      </c>
    </row>
    <row r="936" spans="1:12" ht="24.75" x14ac:dyDescent="0.25">
      <c r="A936" s="4" t="s">
        <v>6961</v>
      </c>
      <c r="B936" s="2" t="s">
        <v>2072</v>
      </c>
      <c r="C936" s="3">
        <v>2</v>
      </c>
      <c r="D936" s="5">
        <v>9.99</v>
      </c>
      <c r="E936" s="3" t="s">
        <v>2073</v>
      </c>
      <c r="F936" s="2" t="s">
        <v>331</v>
      </c>
      <c r="G936" s="6"/>
      <c r="H936" s="2" t="s">
        <v>1425</v>
      </c>
      <c r="I936" s="2" t="s">
        <v>1426</v>
      </c>
      <c r="J936" s="2" t="s">
        <v>19</v>
      </c>
      <c r="K936" s="2" t="s">
        <v>990</v>
      </c>
      <c r="L936" s="7" t="str">
        <f>HYPERLINK("http://slimages.macys.com/is/image/MCY/10741444 ")</f>
        <v xml:space="preserve">http://slimages.macys.com/is/image/MCY/10741444 </v>
      </c>
    </row>
    <row r="937" spans="1:12" ht="24.75" x14ac:dyDescent="0.25">
      <c r="A937" s="4" t="s">
        <v>6962</v>
      </c>
      <c r="B937" s="2" t="s">
        <v>2072</v>
      </c>
      <c r="C937" s="3">
        <v>1</v>
      </c>
      <c r="D937" s="5">
        <v>9.99</v>
      </c>
      <c r="E937" s="3" t="s">
        <v>2073</v>
      </c>
      <c r="F937" s="2" t="s">
        <v>70</v>
      </c>
      <c r="G937" s="6"/>
      <c r="H937" s="2" t="s">
        <v>1425</v>
      </c>
      <c r="I937" s="2" t="s">
        <v>1426</v>
      </c>
      <c r="J937" s="2" t="s">
        <v>19</v>
      </c>
      <c r="K937" s="2" t="s">
        <v>990</v>
      </c>
      <c r="L937" s="7" t="str">
        <f>HYPERLINK("http://slimages.macys.com/is/image/MCY/10741444 ")</f>
        <v xml:space="preserve">http://slimages.macys.com/is/image/MCY/10741444 </v>
      </c>
    </row>
    <row r="938" spans="1:12" ht="24.75" x14ac:dyDescent="0.25">
      <c r="A938" s="4" t="s">
        <v>6963</v>
      </c>
      <c r="B938" s="2" t="s">
        <v>2072</v>
      </c>
      <c r="C938" s="3">
        <v>1</v>
      </c>
      <c r="D938" s="5">
        <v>9.99</v>
      </c>
      <c r="E938" s="3" t="s">
        <v>6956</v>
      </c>
      <c r="F938" s="2" t="s">
        <v>671</v>
      </c>
      <c r="G938" s="6" t="s">
        <v>234</v>
      </c>
      <c r="H938" s="2" t="s">
        <v>1473</v>
      </c>
      <c r="I938" s="2" t="s">
        <v>1426</v>
      </c>
      <c r="J938" s="2" t="s">
        <v>19</v>
      </c>
      <c r="K938" s="2" t="s">
        <v>648</v>
      </c>
      <c r="L938" s="7" t="str">
        <f>HYPERLINK("http://slimages.macys.com/is/image/MCY/15655751 ")</f>
        <v xml:space="preserve">http://slimages.macys.com/is/image/MCY/15655751 </v>
      </c>
    </row>
    <row r="939" spans="1:12" ht="24.75" x14ac:dyDescent="0.25">
      <c r="A939" s="4" t="s">
        <v>6964</v>
      </c>
      <c r="B939" s="2" t="s">
        <v>2075</v>
      </c>
      <c r="C939" s="3">
        <v>1</v>
      </c>
      <c r="D939" s="5">
        <v>9.99</v>
      </c>
      <c r="E939" s="3" t="s">
        <v>2076</v>
      </c>
      <c r="F939" s="2" t="s">
        <v>1788</v>
      </c>
      <c r="G939" s="6" t="s">
        <v>181</v>
      </c>
      <c r="H939" s="2" t="s">
        <v>1473</v>
      </c>
      <c r="I939" s="2" t="s">
        <v>1426</v>
      </c>
      <c r="J939" s="2" t="s">
        <v>19</v>
      </c>
      <c r="K939" s="2" t="s">
        <v>990</v>
      </c>
      <c r="L939" s="7" t="str">
        <f t="shared" ref="L939:L952" si="12">HYPERLINK("http://slimages.macys.com/is/image/MCY/15161436 ")</f>
        <v xml:space="preserve">http://slimages.macys.com/is/image/MCY/15161436 </v>
      </c>
    </row>
    <row r="940" spans="1:12" ht="24.75" x14ac:dyDescent="0.25">
      <c r="A940" s="4" t="s">
        <v>6965</v>
      </c>
      <c r="B940" s="2" t="s">
        <v>2075</v>
      </c>
      <c r="C940" s="3">
        <v>1</v>
      </c>
      <c r="D940" s="5">
        <v>9.99</v>
      </c>
      <c r="E940" s="3" t="s">
        <v>2076</v>
      </c>
      <c r="F940" s="2" t="s">
        <v>1322</v>
      </c>
      <c r="G940" s="6" t="s">
        <v>154</v>
      </c>
      <c r="H940" s="2" t="s">
        <v>1473</v>
      </c>
      <c r="I940" s="2" t="s">
        <v>1426</v>
      </c>
      <c r="J940" s="2" t="s">
        <v>19</v>
      </c>
      <c r="K940" s="2" t="s">
        <v>990</v>
      </c>
      <c r="L940" s="7" t="str">
        <f t="shared" si="12"/>
        <v xml:space="preserve">http://slimages.macys.com/is/image/MCY/15161436 </v>
      </c>
    </row>
    <row r="941" spans="1:12" ht="24.75" x14ac:dyDescent="0.25">
      <c r="A941" s="4" t="s">
        <v>5290</v>
      </c>
      <c r="B941" s="2" t="s">
        <v>2075</v>
      </c>
      <c r="C941" s="3">
        <v>1</v>
      </c>
      <c r="D941" s="5">
        <v>9.99</v>
      </c>
      <c r="E941" s="3" t="s">
        <v>2076</v>
      </c>
      <c r="F941" s="2" t="s">
        <v>1322</v>
      </c>
      <c r="G941" s="6" t="s">
        <v>181</v>
      </c>
      <c r="H941" s="2" t="s">
        <v>1473</v>
      </c>
      <c r="I941" s="2" t="s">
        <v>1426</v>
      </c>
      <c r="J941" s="2" t="s">
        <v>19</v>
      </c>
      <c r="K941" s="2" t="s">
        <v>990</v>
      </c>
      <c r="L941" s="7" t="str">
        <f t="shared" si="12"/>
        <v xml:space="preserve">http://slimages.macys.com/is/image/MCY/15161436 </v>
      </c>
    </row>
    <row r="942" spans="1:12" ht="24.75" x14ac:dyDescent="0.25">
      <c r="A942" s="4" t="s">
        <v>5283</v>
      </c>
      <c r="B942" s="2" t="s">
        <v>2075</v>
      </c>
      <c r="C942" s="3">
        <v>1</v>
      </c>
      <c r="D942" s="5">
        <v>9.99</v>
      </c>
      <c r="E942" s="3" t="s">
        <v>2076</v>
      </c>
      <c r="F942" s="2" t="s">
        <v>1322</v>
      </c>
      <c r="G942" s="6" t="s">
        <v>156</v>
      </c>
      <c r="H942" s="2" t="s">
        <v>1473</v>
      </c>
      <c r="I942" s="2" t="s">
        <v>1426</v>
      </c>
      <c r="J942" s="2" t="s">
        <v>19</v>
      </c>
      <c r="K942" s="2" t="s">
        <v>990</v>
      </c>
      <c r="L942" s="7" t="str">
        <f t="shared" si="12"/>
        <v xml:space="preserve">http://slimages.macys.com/is/image/MCY/15161436 </v>
      </c>
    </row>
    <row r="943" spans="1:12" ht="24.75" x14ac:dyDescent="0.25">
      <c r="A943" s="4" t="s">
        <v>6966</v>
      </c>
      <c r="B943" s="2" t="s">
        <v>2075</v>
      </c>
      <c r="C943" s="3">
        <v>1</v>
      </c>
      <c r="D943" s="5">
        <v>9.99</v>
      </c>
      <c r="E943" s="3" t="s">
        <v>2076</v>
      </c>
      <c r="F943" s="2" t="s">
        <v>331</v>
      </c>
      <c r="G943" s="6" t="s">
        <v>156</v>
      </c>
      <c r="H943" s="2" t="s">
        <v>1473</v>
      </c>
      <c r="I943" s="2" t="s">
        <v>1426</v>
      </c>
      <c r="J943" s="2" t="s">
        <v>19</v>
      </c>
      <c r="K943" s="2" t="s">
        <v>990</v>
      </c>
      <c r="L943" s="7" t="str">
        <f t="shared" si="12"/>
        <v xml:space="preserve">http://slimages.macys.com/is/image/MCY/15161436 </v>
      </c>
    </row>
    <row r="944" spans="1:12" ht="24.75" x14ac:dyDescent="0.25">
      <c r="A944" s="4" t="s">
        <v>6967</v>
      </c>
      <c r="B944" s="2" t="s">
        <v>2075</v>
      </c>
      <c r="C944" s="3">
        <v>1</v>
      </c>
      <c r="D944" s="5">
        <v>9.99</v>
      </c>
      <c r="E944" s="3" t="s">
        <v>2076</v>
      </c>
      <c r="F944" s="2" t="s">
        <v>33</v>
      </c>
      <c r="G944" s="6" t="s">
        <v>245</v>
      </c>
      <c r="H944" s="2" t="s">
        <v>1473</v>
      </c>
      <c r="I944" s="2" t="s">
        <v>1426</v>
      </c>
      <c r="J944" s="2" t="s">
        <v>19</v>
      </c>
      <c r="K944" s="2" t="s">
        <v>990</v>
      </c>
      <c r="L944" s="7" t="str">
        <f t="shared" si="12"/>
        <v xml:space="preserve">http://slimages.macys.com/is/image/MCY/15161436 </v>
      </c>
    </row>
    <row r="945" spans="1:12" ht="24.75" x14ac:dyDescent="0.25">
      <c r="A945" s="4" t="s">
        <v>5292</v>
      </c>
      <c r="B945" s="2" t="s">
        <v>2075</v>
      </c>
      <c r="C945" s="3">
        <v>1</v>
      </c>
      <c r="D945" s="5">
        <v>9.99</v>
      </c>
      <c r="E945" s="3" t="s">
        <v>2076</v>
      </c>
      <c r="F945" s="2" t="s">
        <v>413</v>
      </c>
      <c r="G945" s="6" t="s">
        <v>200</v>
      </c>
      <c r="H945" s="2" t="s">
        <v>1473</v>
      </c>
      <c r="I945" s="2" t="s">
        <v>1426</v>
      </c>
      <c r="J945" s="2" t="s">
        <v>19</v>
      </c>
      <c r="K945" s="2" t="s">
        <v>990</v>
      </c>
      <c r="L945" s="7" t="str">
        <f t="shared" si="12"/>
        <v xml:space="preserve">http://slimages.macys.com/is/image/MCY/15161436 </v>
      </c>
    </row>
    <row r="946" spans="1:12" ht="24.75" x14ac:dyDescent="0.25">
      <c r="A946" s="4" t="s">
        <v>6968</v>
      </c>
      <c r="B946" s="2" t="s">
        <v>2075</v>
      </c>
      <c r="C946" s="3">
        <v>1</v>
      </c>
      <c r="D946" s="5">
        <v>9.99</v>
      </c>
      <c r="E946" s="3" t="s">
        <v>2076</v>
      </c>
      <c r="F946" s="2" t="s">
        <v>331</v>
      </c>
      <c r="G946" s="6" t="s">
        <v>181</v>
      </c>
      <c r="H946" s="2" t="s">
        <v>1473</v>
      </c>
      <c r="I946" s="2" t="s">
        <v>1426</v>
      </c>
      <c r="J946" s="2" t="s">
        <v>19</v>
      </c>
      <c r="K946" s="2" t="s">
        <v>990</v>
      </c>
      <c r="L946" s="7" t="str">
        <f t="shared" si="12"/>
        <v xml:space="preserve">http://slimages.macys.com/is/image/MCY/15161436 </v>
      </c>
    </row>
    <row r="947" spans="1:12" ht="24.75" x14ac:dyDescent="0.25">
      <c r="A947" s="4" t="s">
        <v>6969</v>
      </c>
      <c r="B947" s="2" t="s">
        <v>2075</v>
      </c>
      <c r="C947" s="3">
        <v>1</v>
      </c>
      <c r="D947" s="5">
        <v>9.99</v>
      </c>
      <c r="E947" s="3" t="s">
        <v>2076</v>
      </c>
      <c r="F947" s="2" t="s">
        <v>33</v>
      </c>
      <c r="G947" s="6" t="s">
        <v>181</v>
      </c>
      <c r="H947" s="2" t="s">
        <v>1473</v>
      </c>
      <c r="I947" s="2" t="s">
        <v>1426</v>
      </c>
      <c r="J947" s="2" t="s">
        <v>19</v>
      </c>
      <c r="K947" s="2" t="s">
        <v>990</v>
      </c>
      <c r="L947" s="7" t="str">
        <f t="shared" si="12"/>
        <v xml:space="preserve">http://slimages.macys.com/is/image/MCY/15161436 </v>
      </c>
    </row>
    <row r="948" spans="1:12" ht="24.75" x14ac:dyDescent="0.25">
      <c r="A948" s="4" t="s">
        <v>6970</v>
      </c>
      <c r="B948" s="2" t="s">
        <v>2075</v>
      </c>
      <c r="C948" s="3">
        <v>1</v>
      </c>
      <c r="D948" s="5">
        <v>9.99</v>
      </c>
      <c r="E948" s="3" t="s">
        <v>2076</v>
      </c>
      <c r="F948" s="2" t="s">
        <v>331</v>
      </c>
      <c r="G948" s="6" t="s">
        <v>234</v>
      </c>
      <c r="H948" s="2" t="s">
        <v>1473</v>
      </c>
      <c r="I948" s="2" t="s">
        <v>1426</v>
      </c>
      <c r="J948" s="2" t="s">
        <v>19</v>
      </c>
      <c r="K948" s="2" t="s">
        <v>990</v>
      </c>
      <c r="L948" s="7" t="str">
        <f t="shared" si="12"/>
        <v xml:space="preserve">http://slimages.macys.com/is/image/MCY/15161436 </v>
      </c>
    </row>
    <row r="949" spans="1:12" ht="24.75" x14ac:dyDescent="0.25">
      <c r="A949" s="4" t="s">
        <v>5295</v>
      </c>
      <c r="B949" s="2" t="s">
        <v>2075</v>
      </c>
      <c r="C949" s="3">
        <v>1</v>
      </c>
      <c r="D949" s="5">
        <v>9.99</v>
      </c>
      <c r="E949" s="3" t="s">
        <v>2076</v>
      </c>
      <c r="F949" s="2" t="s">
        <v>15</v>
      </c>
      <c r="G949" s="6" t="s">
        <v>181</v>
      </c>
      <c r="H949" s="2" t="s">
        <v>1473</v>
      </c>
      <c r="I949" s="2" t="s">
        <v>1426</v>
      </c>
      <c r="J949" s="2" t="s">
        <v>19</v>
      </c>
      <c r="K949" s="2" t="s">
        <v>990</v>
      </c>
      <c r="L949" s="7" t="str">
        <f t="shared" si="12"/>
        <v xml:space="preserve">http://slimages.macys.com/is/image/MCY/15161436 </v>
      </c>
    </row>
    <row r="950" spans="1:12" ht="24.75" x14ac:dyDescent="0.25">
      <c r="A950" s="4" t="s">
        <v>5289</v>
      </c>
      <c r="B950" s="2" t="s">
        <v>2075</v>
      </c>
      <c r="C950" s="3">
        <v>1</v>
      </c>
      <c r="D950" s="5">
        <v>9.99</v>
      </c>
      <c r="E950" s="3" t="s">
        <v>2076</v>
      </c>
      <c r="F950" s="2" t="s">
        <v>15</v>
      </c>
      <c r="G950" s="6" t="s">
        <v>200</v>
      </c>
      <c r="H950" s="2" t="s">
        <v>1473</v>
      </c>
      <c r="I950" s="2" t="s">
        <v>1426</v>
      </c>
      <c r="J950" s="2" t="s">
        <v>19</v>
      </c>
      <c r="K950" s="2" t="s">
        <v>990</v>
      </c>
      <c r="L950" s="7" t="str">
        <f t="shared" si="12"/>
        <v xml:space="preserve">http://slimages.macys.com/is/image/MCY/15161436 </v>
      </c>
    </row>
    <row r="951" spans="1:12" ht="24.75" x14ac:dyDescent="0.25">
      <c r="A951" s="4" t="s">
        <v>6971</v>
      </c>
      <c r="B951" s="2" t="s">
        <v>2075</v>
      </c>
      <c r="C951" s="3">
        <v>1</v>
      </c>
      <c r="D951" s="5">
        <v>9.99</v>
      </c>
      <c r="E951" s="3" t="s">
        <v>2076</v>
      </c>
      <c r="F951" s="2" t="s">
        <v>79</v>
      </c>
      <c r="G951" s="6" t="s">
        <v>156</v>
      </c>
      <c r="H951" s="2" t="s">
        <v>1473</v>
      </c>
      <c r="I951" s="2" t="s">
        <v>1426</v>
      </c>
      <c r="J951" s="2" t="s">
        <v>19</v>
      </c>
      <c r="K951" s="2" t="s">
        <v>990</v>
      </c>
      <c r="L951" s="7" t="str">
        <f t="shared" si="12"/>
        <v xml:space="preserve">http://slimages.macys.com/is/image/MCY/15161436 </v>
      </c>
    </row>
    <row r="952" spans="1:12" ht="24.75" x14ac:dyDescent="0.25">
      <c r="A952" s="4" t="s">
        <v>6972</v>
      </c>
      <c r="B952" s="2" t="s">
        <v>2075</v>
      </c>
      <c r="C952" s="3">
        <v>1</v>
      </c>
      <c r="D952" s="5">
        <v>9.99</v>
      </c>
      <c r="E952" s="3" t="s">
        <v>2076</v>
      </c>
      <c r="F952" s="2" t="s">
        <v>3267</v>
      </c>
      <c r="G952" s="6" t="s">
        <v>181</v>
      </c>
      <c r="H952" s="2" t="s">
        <v>1473</v>
      </c>
      <c r="I952" s="2" t="s">
        <v>1426</v>
      </c>
      <c r="J952" s="2" t="s">
        <v>19</v>
      </c>
      <c r="K952" s="2" t="s">
        <v>990</v>
      </c>
      <c r="L952" s="7" t="str">
        <f t="shared" si="12"/>
        <v xml:space="preserve">http://slimages.macys.com/is/image/MCY/15161436 </v>
      </c>
    </row>
    <row r="953" spans="1:12" ht="24.75" x14ac:dyDescent="0.25">
      <c r="A953" s="4" t="s">
        <v>6973</v>
      </c>
      <c r="B953" s="2" t="s">
        <v>2083</v>
      </c>
      <c r="C953" s="3">
        <v>1</v>
      </c>
      <c r="D953" s="5">
        <v>9.99</v>
      </c>
      <c r="E953" s="3" t="s">
        <v>2084</v>
      </c>
      <c r="F953" s="2" t="s">
        <v>15</v>
      </c>
      <c r="G953" s="6" t="s">
        <v>156</v>
      </c>
      <c r="H953" s="2" t="s">
        <v>1473</v>
      </c>
      <c r="I953" s="2" t="s">
        <v>1426</v>
      </c>
      <c r="J953" s="2" t="s">
        <v>19</v>
      </c>
      <c r="K953" s="2" t="s">
        <v>648</v>
      </c>
      <c r="L953" s="7" t="str">
        <f>HYPERLINK("http://slimages.macys.com/is/image/MCY/10703349 ")</f>
        <v xml:space="preserve">http://slimages.macys.com/is/image/MCY/10703349 </v>
      </c>
    </row>
    <row r="954" spans="1:12" ht="24.75" x14ac:dyDescent="0.25">
      <c r="A954" s="4" t="s">
        <v>6974</v>
      </c>
      <c r="B954" s="2" t="s">
        <v>2083</v>
      </c>
      <c r="C954" s="3">
        <v>1</v>
      </c>
      <c r="D954" s="5">
        <v>9.99</v>
      </c>
      <c r="E954" s="3" t="s">
        <v>2084</v>
      </c>
      <c r="F954" s="2" t="s">
        <v>417</v>
      </c>
      <c r="G954" s="6" t="s">
        <v>200</v>
      </c>
      <c r="H954" s="2" t="s">
        <v>1473</v>
      </c>
      <c r="I954" s="2" t="s">
        <v>1426</v>
      </c>
      <c r="J954" s="2" t="s">
        <v>19</v>
      </c>
      <c r="K954" s="2" t="s">
        <v>648</v>
      </c>
      <c r="L954" s="7" t="str">
        <f>HYPERLINK("http://slimages.macys.com/is/image/MCY/10703349 ")</f>
        <v xml:space="preserve">http://slimages.macys.com/is/image/MCY/10703349 </v>
      </c>
    </row>
    <row r="955" spans="1:12" ht="24.75" x14ac:dyDescent="0.25">
      <c r="A955" s="4" t="s">
        <v>6975</v>
      </c>
      <c r="B955" s="2" t="s">
        <v>2083</v>
      </c>
      <c r="C955" s="3">
        <v>2</v>
      </c>
      <c r="D955" s="5">
        <v>9.99</v>
      </c>
      <c r="E955" s="3" t="s">
        <v>3251</v>
      </c>
      <c r="F955" s="2" t="s">
        <v>33</v>
      </c>
      <c r="G955" s="6"/>
      <c r="H955" s="2" t="s">
        <v>1425</v>
      </c>
      <c r="I955" s="2" t="s">
        <v>1426</v>
      </c>
      <c r="J955" s="2" t="s">
        <v>19</v>
      </c>
      <c r="K955" s="2" t="s">
        <v>648</v>
      </c>
      <c r="L955" s="7" t="str">
        <f>HYPERLINK("http://slimages.macys.com/is/image/MCY/12315459 ")</f>
        <v xml:space="preserve">http://slimages.macys.com/is/image/MCY/12315459 </v>
      </c>
    </row>
    <row r="956" spans="1:12" ht="24.75" x14ac:dyDescent="0.25">
      <c r="A956" s="4" t="s">
        <v>5302</v>
      </c>
      <c r="B956" s="2" t="s">
        <v>2083</v>
      </c>
      <c r="C956" s="3">
        <v>1</v>
      </c>
      <c r="D956" s="5">
        <v>9.99</v>
      </c>
      <c r="E956" s="3" t="s">
        <v>3251</v>
      </c>
      <c r="F956" s="2" t="s">
        <v>33</v>
      </c>
      <c r="G956" s="6" t="s">
        <v>219</v>
      </c>
      <c r="H956" s="2" t="s">
        <v>1425</v>
      </c>
      <c r="I956" s="2" t="s">
        <v>1426</v>
      </c>
      <c r="J956" s="2" t="s">
        <v>19</v>
      </c>
      <c r="K956" s="2" t="s">
        <v>648</v>
      </c>
      <c r="L956" s="7" t="str">
        <f>HYPERLINK("http://slimages.macys.com/is/image/MCY/12315459 ")</f>
        <v xml:space="preserve">http://slimages.macys.com/is/image/MCY/12315459 </v>
      </c>
    </row>
    <row r="957" spans="1:12" ht="24.75" x14ac:dyDescent="0.25">
      <c r="A957" s="4" t="s">
        <v>5298</v>
      </c>
      <c r="B957" s="2" t="s">
        <v>2083</v>
      </c>
      <c r="C957" s="3">
        <v>1</v>
      </c>
      <c r="D957" s="5">
        <v>9.99</v>
      </c>
      <c r="E957" s="3" t="s">
        <v>2084</v>
      </c>
      <c r="F957" s="2" t="s">
        <v>74</v>
      </c>
      <c r="G957" s="6" t="s">
        <v>154</v>
      </c>
      <c r="H957" s="2" t="s">
        <v>1473</v>
      </c>
      <c r="I957" s="2" t="s">
        <v>1426</v>
      </c>
      <c r="J957" s="2" t="s">
        <v>19</v>
      </c>
      <c r="K957" s="2" t="s">
        <v>648</v>
      </c>
      <c r="L957" s="7" t="str">
        <f>HYPERLINK("http://slimages.macys.com/is/image/MCY/10703349 ")</f>
        <v xml:space="preserve">http://slimages.macys.com/is/image/MCY/10703349 </v>
      </c>
    </row>
    <row r="958" spans="1:12" ht="24.75" x14ac:dyDescent="0.25">
      <c r="A958" s="4" t="s">
        <v>6976</v>
      </c>
      <c r="B958" s="2" t="s">
        <v>4339</v>
      </c>
      <c r="C958" s="3">
        <v>1</v>
      </c>
      <c r="D958" s="5">
        <v>9.99</v>
      </c>
      <c r="E958" s="3" t="s">
        <v>4340</v>
      </c>
      <c r="F958" s="2" t="s">
        <v>1322</v>
      </c>
      <c r="G958" s="6" t="s">
        <v>181</v>
      </c>
      <c r="H958" s="2" t="s">
        <v>1473</v>
      </c>
      <c r="I958" s="2" t="s">
        <v>1426</v>
      </c>
      <c r="J958" s="2" t="s">
        <v>19</v>
      </c>
      <c r="K958" s="2" t="s">
        <v>648</v>
      </c>
      <c r="L958" s="7" t="str">
        <f>HYPERLINK("http://slimages.macys.com/is/image/MCY/10747176 ")</f>
        <v xml:space="preserve">http://slimages.macys.com/is/image/MCY/10747176 </v>
      </c>
    </row>
    <row r="959" spans="1:12" ht="24.75" x14ac:dyDescent="0.25">
      <c r="A959" s="4" t="s">
        <v>6977</v>
      </c>
      <c r="B959" s="2" t="s">
        <v>2083</v>
      </c>
      <c r="C959" s="3">
        <v>1</v>
      </c>
      <c r="D959" s="5">
        <v>9.99</v>
      </c>
      <c r="E959" s="3" t="s">
        <v>2084</v>
      </c>
      <c r="F959" s="2" t="s">
        <v>1322</v>
      </c>
      <c r="G959" s="6" t="s">
        <v>200</v>
      </c>
      <c r="H959" s="2" t="s">
        <v>1473</v>
      </c>
      <c r="I959" s="2" t="s">
        <v>1426</v>
      </c>
      <c r="J959" s="2" t="s">
        <v>19</v>
      </c>
      <c r="K959" s="2" t="s">
        <v>648</v>
      </c>
      <c r="L959" s="7" t="str">
        <f>HYPERLINK("http://slimages.macys.com/is/image/MCY/10703349 ")</f>
        <v xml:space="preserve">http://slimages.macys.com/is/image/MCY/10703349 </v>
      </c>
    </row>
    <row r="960" spans="1:12" ht="24.75" x14ac:dyDescent="0.25">
      <c r="A960" s="4" t="s">
        <v>6978</v>
      </c>
      <c r="B960" s="2" t="s">
        <v>2083</v>
      </c>
      <c r="C960" s="3">
        <v>1</v>
      </c>
      <c r="D960" s="5">
        <v>9.99</v>
      </c>
      <c r="E960" s="3" t="s">
        <v>3251</v>
      </c>
      <c r="F960" s="2" t="s">
        <v>15</v>
      </c>
      <c r="G960" s="6" t="s">
        <v>187</v>
      </c>
      <c r="H960" s="2" t="s">
        <v>1425</v>
      </c>
      <c r="I960" s="2" t="s">
        <v>1426</v>
      </c>
      <c r="J960" s="2" t="s">
        <v>19</v>
      </c>
      <c r="K960" s="2" t="s">
        <v>648</v>
      </c>
      <c r="L960" s="7" t="str">
        <f>HYPERLINK("http://slimages.macys.com/is/image/MCY/12315459 ")</f>
        <v xml:space="preserve">http://slimages.macys.com/is/image/MCY/12315459 </v>
      </c>
    </row>
    <row r="961" spans="1:12" ht="24.75" x14ac:dyDescent="0.25">
      <c r="A961" s="4" t="s">
        <v>6979</v>
      </c>
      <c r="B961" s="2" t="s">
        <v>2083</v>
      </c>
      <c r="C961" s="3">
        <v>1</v>
      </c>
      <c r="D961" s="5">
        <v>9.99</v>
      </c>
      <c r="E961" s="3" t="s">
        <v>2084</v>
      </c>
      <c r="F961" s="2" t="s">
        <v>1322</v>
      </c>
      <c r="G961" s="6" t="s">
        <v>234</v>
      </c>
      <c r="H961" s="2" t="s">
        <v>1473</v>
      </c>
      <c r="I961" s="2" t="s">
        <v>1426</v>
      </c>
      <c r="J961" s="2" t="s">
        <v>19</v>
      </c>
      <c r="K961" s="2" t="s">
        <v>648</v>
      </c>
      <c r="L961" s="7" t="str">
        <f>HYPERLINK("http://slimages.macys.com/is/image/MCY/10703349 ")</f>
        <v xml:space="preserve">http://slimages.macys.com/is/image/MCY/10703349 </v>
      </c>
    </row>
    <row r="962" spans="1:12" ht="24.75" x14ac:dyDescent="0.25">
      <c r="A962" s="4" t="s">
        <v>6980</v>
      </c>
      <c r="B962" s="2" t="s">
        <v>4339</v>
      </c>
      <c r="C962" s="3">
        <v>1</v>
      </c>
      <c r="D962" s="5">
        <v>9.99</v>
      </c>
      <c r="E962" s="3" t="s">
        <v>4340</v>
      </c>
      <c r="F962" s="2" t="s">
        <v>1322</v>
      </c>
      <c r="G962" s="6" t="s">
        <v>234</v>
      </c>
      <c r="H962" s="2" t="s">
        <v>1473</v>
      </c>
      <c r="I962" s="2" t="s">
        <v>1426</v>
      </c>
      <c r="J962" s="2" t="s">
        <v>19</v>
      </c>
      <c r="K962" s="2" t="s">
        <v>648</v>
      </c>
      <c r="L962" s="7" t="str">
        <f>HYPERLINK("http://slimages.macys.com/is/image/MCY/10747176 ")</f>
        <v xml:space="preserve">http://slimages.macys.com/is/image/MCY/10747176 </v>
      </c>
    </row>
    <row r="963" spans="1:12" ht="24.75" x14ac:dyDescent="0.25">
      <c r="A963" s="4" t="s">
        <v>6981</v>
      </c>
      <c r="B963" s="2" t="s">
        <v>4339</v>
      </c>
      <c r="C963" s="3">
        <v>1</v>
      </c>
      <c r="D963" s="5">
        <v>9.99</v>
      </c>
      <c r="E963" s="3" t="s">
        <v>4340</v>
      </c>
      <c r="F963" s="2" t="s">
        <v>1322</v>
      </c>
      <c r="G963" s="6" t="s">
        <v>156</v>
      </c>
      <c r="H963" s="2" t="s">
        <v>1473</v>
      </c>
      <c r="I963" s="2" t="s">
        <v>1426</v>
      </c>
      <c r="J963" s="2" t="s">
        <v>19</v>
      </c>
      <c r="K963" s="2" t="s">
        <v>648</v>
      </c>
      <c r="L963" s="7" t="str">
        <f>HYPERLINK("http://slimages.macys.com/is/image/MCY/10747176 ")</f>
        <v xml:space="preserve">http://slimages.macys.com/is/image/MCY/10747176 </v>
      </c>
    </row>
    <row r="964" spans="1:12" ht="24.75" x14ac:dyDescent="0.25">
      <c r="A964" s="4" t="s">
        <v>4336</v>
      </c>
      <c r="B964" s="2" t="s">
        <v>2083</v>
      </c>
      <c r="C964" s="3">
        <v>1</v>
      </c>
      <c r="D964" s="5">
        <v>9.99</v>
      </c>
      <c r="E964" s="3" t="s">
        <v>2084</v>
      </c>
      <c r="F964" s="2" t="s">
        <v>136</v>
      </c>
      <c r="G964" s="6" t="s">
        <v>154</v>
      </c>
      <c r="H964" s="2" t="s">
        <v>1473</v>
      </c>
      <c r="I964" s="2" t="s">
        <v>1426</v>
      </c>
      <c r="J964" s="2" t="s">
        <v>19</v>
      </c>
      <c r="K964" s="2" t="s">
        <v>648</v>
      </c>
      <c r="L964" s="7" t="str">
        <f>HYPERLINK("http://slimages.macys.com/is/image/MCY/10703349 ")</f>
        <v xml:space="preserve">http://slimages.macys.com/is/image/MCY/10703349 </v>
      </c>
    </row>
    <row r="965" spans="1:12" ht="24.75" x14ac:dyDescent="0.25">
      <c r="A965" s="4" t="s">
        <v>6982</v>
      </c>
      <c r="B965" s="2" t="s">
        <v>2083</v>
      </c>
      <c r="C965" s="3">
        <v>1</v>
      </c>
      <c r="D965" s="5">
        <v>9.99</v>
      </c>
      <c r="E965" s="3" t="s">
        <v>2084</v>
      </c>
      <c r="F965" s="2" t="s">
        <v>15</v>
      </c>
      <c r="G965" s="6" t="s">
        <v>200</v>
      </c>
      <c r="H965" s="2" t="s">
        <v>1473</v>
      </c>
      <c r="I965" s="2" t="s">
        <v>1426</v>
      </c>
      <c r="J965" s="2" t="s">
        <v>19</v>
      </c>
      <c r="K965" s="2" t="s">
        <v>648</v>
      </c>
      <c r="L965" s="7" t="str">
        <f>HYPERLINK("http://slimages.macys.com/is/image/MCY/10703349 ")</f>
        <v xml:space="preserve">http://slimages.macys.com/is/image/MCY/10703349 </v>
      </c>
    </row>
    <row r="966" spans="1:12" ht="24.75" x14ac:dyDescent="0.25">
      <c r="A966" s="4" t="s">
        <v>6983</v>
      </c>
      <c r="B966" s="2" t="s">
        <v>2087</v>
      </c>
      <c r="C966" s="3">
        <v>1</v>
      </c>
      <c r="D966" s="5">
        <v>9.99</v>
      </c>
      <c r="E966" s="3" t="s">
        <v>6984</v>
      </c>
      <c r="F966" s="2" t="s">
        <v>1322</v>
      </c>
      <c r="G966" s="6"/>
      <c r="H966" s="2" t="s">
        <v>1425</v>
      </c>
      <c r="I966" s="2" t="s">
        <v>1426</v>
      </c>
      <c r="J966" s="2" t="s">
        <v>19</v>
      </c>
      <c r="K966" s="2" t="s">
        <v>648</v>
      </c>
      <c r="L966" s="7" t="str">
        <f>HYPERLINK("http://slimages.macys.com/is/image/MCY/10745901 ")</f>
        <v xml:space="preserve">http://slimages.macys.com/is/image/MCY/10745901 </v>
      </c>
    </row>
    <row r="967" spans="1:12" ht="24.75" x14ac:dyDescent="0.25">
      <c r="A967" s="4" t="s">
        <v>6985</v>
      </c>
      <c r="B967" s="2" t="s">
        <v>6986</v>
      </c>
      <c r="C967" s="3">
        <v>1</v>
      </c>
      <c r="D967" s="5">
        <v>9.99</v>
      </c>
      <c r="E967" s="3" t="s">
        <v>6987</v>
      </c>
      <c r="F967" s="2" t="s">
        <v>331</v>
      </c>
      <c r="G967" s="6" t="s">
        <v>245</v>
      </c>
      <c r="H967" s="2" t="s">
        <v>1473</v>
      </c>
      <c r="I967" s="2" t="s">
        <v>1426</v>
      </c>
      <c r="J967" s="2" t="s">
        <v>19</v>
      </c>
      <c r="K967" s="2" t="s">
        <v>495</v>
      </c>
      <c r="L967" s="7" t="str">
        <f>HYPERLINK("http://slimages.macys.com/is/image/MCY/12327069 ")</f>
        <v xml:space="preserve">http://slimages.macys.com/is/image/MCY/12327069 </v>
      </c>
    </row>
    <row r="968" spans="1:12" ht="24.75" x14ac:dyDescent="0.25">
      <c r="A968" s="4" t="s">
        <v>6988</v>
      </c>
      <c r="B968" s="2" t="s">
        <v>6989</v>
      </c>
      <c r="C968" s="3">
        <v>1</v>
      </c>
      <c r="D968" s="5">
        <v>9.99</v>
      </c>
      <c r="E968" s="3" t="s">
        <v>6990</v>
      </c>
      <c r="F968" s="2" t="s">
        <v>33</v>
      </c>
      <c r="G968" s="6" t="s">
        <v>181</v>
      </c>
      <c r="H968" s="2" t="s">
        <v>1473</v>
      </c>
      <c r="I968" s="2" t="s">
        <v>1426</v>
      </c>
      <c r="J968" s="2" t="s">
        <v>19</v>
      </c>
      <c r="K968" s="2" t="s">
        <v>495</v>
      </c>
      <c r="L968" s="7" t="str">
        <f>HYPERLINK("http://slimages.macys.com/is/image/MCY/11883529 ")</f>
        <v xml:space="preserve">http://slimages.macys.com/is/image/MCY/11883529 </v>
      </c>
    </row>
    <row r="969" spans="1:12" ht="24.75" x14ac:dyDescent="0.25">
      <c r="A969" s="4" t="s">
        <v>6991</v>
      </c>
      <c r="B969" s="2" t="s">
        <v>6252</v>
      </c>
      <c r="C969" s="3">
        <v>1</v>
      </c>
      <c r="D969" s="5">
        <v>9.99</v>
      </c>
      <c r="E969" s="3" t="s">
        <v>6253</v>
      </c>
      <c r="F969" s="2" t="s">
        <v>413</v>
      </c>
      <c r="G969" s="6" t="s">
        <v>156</v>
      </c>
      <c r="H969" s="2" t="s">
        <v>1473</v>
      </c>
      <c r="I969" s="2" t="s">
        <v>1426</v>
      </c>
      <c r="J969" s="2" t="s">
        <v>19</v>
      </c>
      <c r="K969" s="2" t="s">
        <v>495</v>
      </c>
      <c r="L969" s="7" t="str">
        <f>HYPERLINK("http://slimages.macys.com/is/image/MCY/11517420 ")</f>
        <v xml:space="preserve">http://slimages.macys.com/is/image/MCY/11517420 </v>
      </c>
    </row>
    <row r="970" spans="1:12" ht="24.75" x14ac:dyDescent="0.25">
      <c r="A970" s="4" t="s">
        <v>5308</v>
      </c>
      <c r="B970" s="2" t="s">
        <v>5305</v>
      </c>
      <c r="C970" s="3">
        <v>1</v>
      </c>
      <c r="D970" s="5">
        <v>9.99</v>
      </c>
      <c r="E970" s="3" t="s">
        <v>5306</v>
      </c>
      <c r="F970" s="2" t="s">
        <v>15</v>
      </c>
      <c r="G970" s="6" t="s">
        <v>156</v>
      </c>
      <c r="H970" s="2" t="s">
        <v>1473</v>
      </c>
      <c r="I970" s="2" t="s">
        <v>1426</v>
      </c>
      <c r="J970" s="2" t="s">
        <v>19</v>
      </c>
      <c r="K970" s="2" t="s">
        <v>495</v>
      </c>
      <c r="L970" s="7" t="str">
        <f>HYPERLINK("http://slimages.macys.com/is/image/MCY/12326968 ")</f>
        <v xml:space="preserve">http://slimages.macys.com/is/image/MCY/12326968 </v>
      </c>
    </row>
    <row r="971" spans="1:12" ht="24.75" x14ac:dyDescent="0.25">
      <c r="A971" s="4" t="s">
        <v>6992</v>
      </c>
      <c r="B971" s="2" t="s">
        <v>6993</v>
      </c>
      <c r="C971" s="3">
        <v>1</v>
      </c>
      <c r="D971" s="5">
        <v>9.99</v>
      </c>
      <c r="E971" s="3" t="s">
        <v>6994</v>
      </c>
      <c r="F971" s="2" t="s">
        <v>1322</v>
      </c>
      <c r="G971" s="6" t="s">
        <v>154</v>
      </c>
      <c r="H971" s="2" t="s">
        <v>1473</v>
      </c>
      <c r="I971" s="2" t="s">
        <v>1426</v>
      </c>
      <c r="J971" s="2" t="s">
        <v>19</v>
      </c>
      <c r="K971" s="2" t="s">
        <v>495</v>
      </c>
      <c r="L971" s="7" t="str">
        <f>HYPERLINK("http://slimages.macys.com/is/image/MCY/12269253 ")</f>
        <v xml:space="preserve">http://slimages.macys.com/is/image/MCY/12269253 </v>
      </c>
    </row>
    <row r="972" spans="1:12" ht="24.75" x14ac:dyDescent="0.25">
      <c r="A972" s="4" t="s">
        <v>6995</v>
      </c>
      <c r="B972" s="2" t="s">
        <v>5305</v>
      </c>
      <c r="C972" s="3">
        <v>1</v>
      </c>
      <c r="D972" s="5">
        <v>9.99</v>
      </c>
      <c r="E972" s="3" t="s">
        <v>5306</v>
      </c>
      <c r="F972" s="2" t="s">
        <v>1322</v>
      </c>
      <c r="G972" s="6" t="s">
        <v>154</v>
      </c>
      <c r="H972" s="2" t="s">
        <v>1473</v>
      </c>
      <c r="I972" s="2" t="s">
        <v>1426</v>
      </c>
      <c r="J972" s="2" t="s">
        <v>19</v>
      </c>
      <c r="K972" s="2" t="s">
        <v>495</v>
      </c>
      <c r="L972" s="7" t="str">
        <f>HYPERLINK("http://slimages.macys.com/is/image/MCY/12326968 ")</f>
        <v xml:space="preserve">http://slimages.macys.com/is/image/MCY/12326968 </v>
      </c>
    </row>
    <row r="973" spans="1:12" ht="24.75" x14ac:dyDescent="0.25">
      <c r="A973" s="4" t="s">
        <v>5307</v>
      </c>
      <c r="B973" s="2" t="s">
        <v>5305</v>
      </c>
      <c r="C973" s="3">
        <v>1</v>
      </c>
      <c r="D973" s="5">
        <v>9.99</v>
      </c>
      <c r="E973" s="3" t="s">
        <v>5306</v>
      </c>
      <c r="F973" s="2" t="s">
        <v>1322</v>
      </c>
      <c r="G973" s="6" t="s">
        <v>156</v>
      </c>
      <c r="H973" s="2" t="s">
        <v>1473</v>
      </c>
      <c r="I973" s="2" t="s">
        <v>1426</v>
      </c>
      <c r="J973" s="2" t="s">
        <v>19</v>
      </c>
      <c r="K973" s="2" t="s">
        <v>495</v>
      </c>
      <c r="L973" s="7" t="str">
        <f>HYPERLINK("http://slimages.macys.com/is/image/MCY/12326968 ")</f>
        <v xml:space="preserve">http://slimages.macys.com/is/image/MCY/12326968 </v>
      </c>
    </row>
    <row r="974" spans="1:12" ht="24.75" x14ac:dyDescent="0.25">
      <c r="A974" s="4" t="s">
        <v>6996</v>
      </c>
      <c r="B974" s="2" t="s">
        <v>2103</v>
      </c>
      <c r="C974" s="3">
        <v>1</v>
      </c>
      <c r="D974" s="5">
        <v>9.99</v>
      </c>
      <c r="E974" s="3" t="s">
        <v>2104</v>
      </c>
      <c r="F974" s="2" t="s">
        <v>38</v>
      </c>
      <c r="G974" s="6" t="s">
        <v>181</v>
      </c>
      <c r="H974" s="2" t="s">
        <v>1473</v>
      </c>
      <c r="I974" s="2" t="s">
        <v>1426</v>
      </c>
      <c r="J974" s="2" t="s">
        <v>19</v>
      </c>
      <c r="K974" s="2" t="s">
        <v>495</v>
      </c>
      <c r="L974" s="7" t="str">
        <f>HYPERLINK("http://slimages.macys.com/is/image/MCY/10746425 ")</f>
        <v xml:space="preserve">http://slimages.macys.com/is/image/MCY/10746425 </v>
      </c>
    </row>
    <row r="975" spans="1:12" ht="24.75" x14ac:dyDescent="0.25">
      <c r="A975" s="4" t="s">
        <v>6997</v>
      </c>
      <c r="B975" s="2" t="s">
        <v>3259</v>
      </c>
      <c r="C975" s="3">
        <v>1</v>
      </c>
      <c r="D975" s="5">
        <v>9.99</v>
      </c>
      <c r="E975" s="3" t="s">
        <v>3260</v>
      </c>
      <c r="F975" s="2" t="s">
        <v>94</v>
      </c>
      <c r="G975" s="6" t="s">
        <v>234</v>
      </c>
      <c r="H975" s="2" t="s">
        <v>1473</v>
      </c>
      <c r="I975" s="2" t="s">
        <v>1426</v>
      </c>
      <c r="J975" s="2" t="s">
        <v>19</v>
      </c>
      <c r="K975" s="2" t="s">
        <v>495</v>
      </c>
      <c r="L975" s="7" t="str">
        <f>HYPERLINK("http://slimages.macys.com/is/image/MCY/11532821 ")</f>
        <v xml:space="preserve">http://slimages.macys.com/is/image/MCY/11532821 </v>
      </c>
    </row>
    <row r="976" spans="1:12" ht="24.75" x14ac:dyDescent="0.25">
      <c r="A976" s="4" t="s">
        <v>6998</v>
      </c>
      <c r="B976" s="2" t="s">
        <v>6999</v>
      </c>
      <c r="C976" s="3">
        <v>1</v>
      </c>
      <c r="D976" s="5">
        <v>9.99</v>
      </c>
      <c r="E976" s="3" t="s">
        <v>7000</v>
      </c>
      <c r="F976" s="2" t="s">
        <v>15</v>
      </c>
      <c r="G976" s="6" t="s">
        <v>154</v>
      </c>
      <c r="H976" s="2" t="s">
        <v>1473</v>
      </c>
      <c r="I976" s="2" t="s">
        <v>1426</v>
      </c>
      <c r="J976" s="2" t="s">
        <v>19</v>
      </c>
      <c r="K976" s="2" t="s">
        <v>495</v>
      </c>
      <c r="L976" s="7" t="str">
        <f>HYPERLINK("http://slimages.macys.com/is/image/MCY/10466532 ")</f>
        <v xml:space="preserve">http://slimages.macys.com/is/image/MCY/10466532 </v>
      </c>
    </row>
    <row r="977" spans="1:12" ht="24.75" x14ac:dyDescent="0.25">
      <c r="A977" s="4" t="s">
        <v>7001</v>
      </c>
      <c r="B977" s="2" t="s">
        <v>2103</v>
      </c>
      <c r="C977" s="3">
        <v>1</v>
      </c>
      <c r="D977" s="5">
        <v>9.99</v>
      </c>
      <c r="E977" s="3" t="s">
        <v>2104</v>
      </c>
      <c r="F977" s="2" t="s">
        <v>15</v>
      </c>
      <c r="G977" s="6" t="s">
        <v>156</v>
      </c>
      <c r="H977" s="2" t="s">
        <v>1473</v>
      </c>
      <c r="I977" s="2" t="s">
        <v>1426</v>
      </c>
      <c r="J977" s="2" t="s">
        <v>19</v>
      </c>
      <c r="K977" s="2" t="s">
        <v>495</v>
      </c>
      <c r="L977" s="7" t="str">
        <f>HYPERLINK("http://slimages.macys.com/is/image/MCY/10746425 ")</f>
        <v xml:space="preserve">http://slimages.macys.com/is/image/MCY/10746425 </v>
      </c>
    </row>
    <row r="978" spans="1:12" ht="24.75" x14ac:dyDescent="0.25">
      <c r="A978" s="4" t="s">
        <v>7002</v>
      </c>
      <c r="B978" s="2" t="s">
        <v>7003</v>
      </c>
      <c r="C978" s="3">
        <v>1</v>
      </c>
      <c r="D978" s="5">
        <v>9.99</v>
      </c>
      <c r="E978" s="3" t="s">
        <v>7004</v>
      </c>
      <c r="F978" s="2" t="s">
        <v>417</v>
      </c>
      <c r="G978" s="6" t="s">
        <v>154</v>
      </c>
      <c r="H978" s="2" t="s">
        <v>1473</v>
      </c>
      <c r="I978" s="2" t="s">
        <v>1426</v>
      </c>
      <c r="J978" s="2" t="s">
        <v>19</v>
      </c>
      <c r="K978" s="2" t="s">
        <v>495</v>
      </c>
      <c r="L978" s="7" t="str">
        <f>HYPERLINK("http://slimages.macys.com/is/image/MCY/12327080 ")</f>
        <v xml:space="preserve">http://slimages.macys.com/is/image/MCY/12327080 </v>
      </c>
    </row>
    <row r="979" spans="1:12" ht="24.75" x14ac:dyDescent="0.25">
      <c r="A979" s="4" t="s">
        <v>7005</v>
      </c>
      <c r="B979" s="2" t="s">
        <v>7006</v>
      </c>
      <c r="C979" s="3">
        <v>1</v>
      </c>
      <c r="D979" s="5">
        <v>9.99</v>
      </c>
      <c r="E979" s="3" t="s">
        <v>7007</v>
      </c>
      <c r="F979" s="2" t="s">
        <v>26</v>
      </c>
      <c r="G979" s="6" t="s">
        <v>234</v>
      </c>
      <c r="H979" s="2" t="s">
        <v>1473</v>
      </c>
      <c r="I979" s="2" t="s">
        <v>1426</v>
      </c>
      <c r="J979" s="2" t="s">
        <v>19</v>
      </c>
      <c r="K979" s="2" t="s">
        <v>495</v>
      </c>
      <c r="L979" s="7" t="str">
        <f>HYPERLINK("http://slimages.macys.com/is/image/MCY/11916481 ")</f>
        <v xml:space="preserve">http://slimages.macys.com/is/image/MCY/11916481 </v>
      </c>
    </row>
    <row r="980" spans="1:12" ht="24.75" x14ac:dyDescent="0.25">
      <c r="A980" s="4" t="s">
        <v>5326</v>
      </c>
      <c r="B980" s="2" t="s">
        <v>3265</v>
      </c>
      <c r="C980" s="3">
        <v>1</v>
      </c>
      <c r="D980" s="5">
        <v>9.99</v>
      </c>
      <c r="E980" s="3" t="s">
        <v>3266</v>
      </c>
      <c r="F980" s="2" t="s">
        <v>3267</v>
      </c>
      <c r="G980" s="6" t="s">
        <v>181</v>
      </c>
      <c r="H980" s="2" t="s">
        <v>1473</v>
      </c>
      <c r="I980" s="2" t="s">
        <v>1426</v>
      </c>
      <c r="J980" s="2" t="s">
        <v>19</v>
      </c>
      <c r="K980" s="2" t="s">
        <v>495</v>
      </c>
      <c r="L980" s="7" t="str">
        <f>HYPERLINK("http://slimages.macys.com/is/image/MCY/11532809 ")</f>
        <v xml:space="preserve">http://slimages.macys.com/is/image/MCY/11532809 </v>
      </c>
    </row>
    <row r="981" spans="1:12" ht="24.75" x14ac:dyDescent="0.25">
      <c r="A981" s="4" t="s">
        <v>3264</v>
      </c>
      <c r="B981" s="2" t="s">
        <v>3265</v>
      </c>
      <c r="C981" s="3">
        <v>3</v>
      </c>
      <c r="D981" s="5">
        <v>9.99</v>
      </c>
      <c r="E981" s="3" t="s">
        <v>3266</v>
      </c>
      <c r="F981" s="2" t="s">
        <v>3267</v>
      </c>
      <c r="G981" s="6" t="s">
        <v>234</v>
      </c>
      <c r="H981" s="2" t="s">
        <v>1473</v>
      </c>
      <c r="I981" s="2" t="s">
        <v>1426</v>
      </c>
      <c r="J981" s="2" t="s">
        <v>19</v>
      </c>
      <c r="K981" s="2" t="s">
        <v>495</v>
      </c>
      <c r="L981" s="7" t="str">
        <f>HYPERLINK("http://slimages.macys.com/is/image/MCY/11532809 ")</f>
        <v xml:space="preserve">http://slimages.macys.com/is/image/MCY/11532809 </v>
      </c>
    </row>
    <row r="982" spans="1:12" ht="24.75" x14ac:dyDescent="0.25">
      <c r="A982" s="4" t="s">
        <v>7008</v>
      </c>
      <c r="B982" s="2" t="s">
        <v>3265</v>
      </c>
      <c r="C982" s="3">
        <v>1</v>
      </c>
      <c r="D982" s="5">
        <v>9.99</v>
      </c>
      <c r="E982" s="3" t="s">
        <v>7009</v>
      </c>
      <c r="F982" s="2" t="s">
        <v>33</v>
      </c>
      <c r="G982" s="6" t="s">
        <v>187</v>
      </c>
      <c r="H982" s="2" t="s">
        <v>1425</v>
      </c>
      <c r="I982" s="2" t="s">
        <v>1426</v>
      </c>
      <c r="J982" s="2" t="s">
        <v>19</v>
      </c>
      <c r="K982" s="2" t="s">
        <v>495</v>
      </c>
      <c r="L982" s="7" t="str">
        <f>HYPERLINK("http://slimages.macys.com/is/image/MCY/11532809 ")</f>
        <v xml:space="preserve">http://slimages.macys.com/is/image/MCY/11532809 </v>
      </c>
    </row>
    <row r="983" spans="1:12" ht="24.75" x14ac:dyDescent="0.25">
      <c r="A983" s="4" t="s">
        <v>7010</v>
      </c>
      <c r="B983" s="2" t="s">
        <v>6999</v>
      </c>
      <c r="C983" s="3">
        <v>1</v>
      </c>
      <c r="D983" s="5">
        <v>9.99</v>
      </c>
      <c r="E983" s="3" t="s">
        <v>7000</v>
      </c>
      <c r="F983" s="2" t="s">
        <v>15</v>
      </c>
      <c r="G983" s="6" t="s">
        <v>245</v>
      </c>
      <c r="H983" s="2" t="s">
        <v>1473</v>
      </c>
      <c r="I983" s="2" t="s">
        <v>1426</v>
      </c>
      <c r="J983" s="2" t="s">
        <v>19</v>
      </c>
      <c r="K983" s="2" t="s">
        <v>495</v>
      </c>
      <c r="L983" s="7" t="str">
        <f>HYPERLINK("http://slimages.macys.com/is/image/MCY/10466532 ")</f>
        <v xml:space="preserve">http://slimages.macys.com/is/image/MCY/10466532 </v>
      </c>
    </row>
    <row r="984" spans="1:12" ht="24.75" x14ac:dyDescent="0.25">
      <c r="A984" s="4" t="s">
        <v>7011</v>
      </c>
      <c r="B984" s="2" t="s">
        <v>7006</v>
      </c>
      <c r="C984" s="3">
        <v>1</v>
      </c>
      <c r="D984" s="5">
        <v>9.99</v>
      </c>
      <c r="E984" s="3" t="s">
        <v>7007</v>
      </c>
      <c r="F984" s="2" t="s">
        <v>15</v>
      </c>
      <c r="G984" s="6" t="s">
        <v>156</v>
      </c>
      <c r="H984" s="2" t="s">
        <v>1473</v>
      </c>
      <c r="I984" s="2" t="s">
        <v>1426</v>
      </c>
      <c r="J984" s="2" t="s">
        <v>19</v>
      </c>
      <c r="K984" s="2" t="s">
        <v>495</v>
      </c>
      <c r="L984" s="7" t="str">
        <f>HYPERLINK("http://slimages.macys.com/is/image/MCY/11916481 ")</f>
        <v xml:space="preserve">http://slimages.macys.com/is/image/MCY/11916481 </v>
      </c>
    </row>
    <row r="985" spans="1:12" ht="24.75" x14ac:dyDescent="0.25">
      <c r="A985" s="4" t="s">
        <v>3274</v>
      </c>
      <c r="B985" s="2" t="s">
        <v>2113</v>
      </c>
      <c r="C985" s="3">
        <v>2</v>
      </c>
      <c r="D985" s="5">
        <v>9.99</v>
      </c>
      <c r="E985" s="3" t="s">
        <v>2114</v>
      </c>
      <c r="F985" s="2" t="s">
        <v>413</v>
      </c>
      <c r="G985" s="6"/>
      <c r="H985" s="2" t="s">
        <v>1425</v>
      </c>
      <c r="I985" s="2" t="s">
        <v>1426</v>
      </c>
      <c r="J985" s="2" t="s">
        <v>19</v>
      </c>
      <c r="K985" s="2" t="s">
        <v>648</v>
      </c>
      <c r="L985" s="7" t="str">
        <f>HYPERLINK("http://slimages.macys.com/is/image/MCY/10703601 ")</f>
        <v xml:space="preserve">http://slimages.macys.com/is/image/MCY/10703601 </v>
      </c>
    </row>
    <row r="986" spans="1:12" ht="24.75" x14ac:dyDescent="0.25">
      <c r="A986" s="4" t="s">
        <v>2112</v>
      </c>
      <c r="B986" s="2" t="s">
        <v>2113</v>
      </c>
      <c r="C986" s="3">
        <v>1</v>
      </c>
      <c r="D986" s="5">
        <v>9.99</v>
      </c>
      <c r="E986" s="3" t="s">
        <v>2114</v>
      </c>
      <c r="F986" s="2" t="s">
        <v>74</v>
      </c>
      <c r="G986" s="6"/>
      <c r="H986" s="2" t="s">
        <v>1425</v>
      </c>
      <c r="I986" s="2" t="s">
        <v>1426</v>
      </c>
      <c r="J986" s="2" t="s">
        <v>19</v>
      </c>
      <c r="K986" s="2" t="s">
        <v>648</v>
      </c>
      <c r="L986" s="7" t="str">
        <f>HYPERLINK("http://slimages.macys.com/is/image/MCY/10703601 ")</f>
        <v xml:space="preserve">http://slimages.macys.com/is/image/MCY/10703601 </v>
      </c>
    </row>
    <row r="987" spans="1:12" ht="24.75" x14ac:dyDescent="0.25">
      <c r="A987" s="4" t="s">
        <v>5328</v>
      </c>
      <c r="B987" s="2" t="s">
        <v>2113</v>
      </c>
      <c r="C987" s="3">
        <v>1</v>
      </c>
      <c r="D987" s="5">
        <v>9.99</v>
      </c>
      <c r="E987" s="3" t="s">
        <v>2114</v>
      </c>
      <c r="F987" s="2" t="s">
        <v>413</v>
      </c>
      <c r="G987" s="6" t="s">
        <v>187</v>
      </c>
      <c r="H987" s="2" t="s">
        <v>1425</v>
      </c>
      <c r="I987" s="2" t="s">
        <v>1426</v>
      </c>
      <c r="J987" s="2" t="s">
        <v>19</v>
      </c>
      <c r="K987" s="2" t="s">
        <v>648</v>
      </c>
      <c r="L987" s="7" t="str">
        <f>HYPERLINK("http://slimages.macys.com/is/image/MCY/10703601 ")</f>
        <v xml:space="preserve">http://slimages.macys.com/is/image/MCY/10703601 </v>
      </c>
    </row>
    <row r="988" spans="1:12" ht="24.75" x14ac:dyDescent="0.25">
      <c r="A988" s="4" t="s">
        <v>7012</v>
      </c>
      <c r="B988" s="2" t="s">
        <v>7013</v>
      </c>
      <c r="C988" s="3">
        <v>1</v>
      </c>
      <c r="D988" s="5">
        <v>9.98</v>
      </c>
      <c r="E988" s="3" t="s">
        <v>7014</v>
      </c>
      <c r="F988" s="2" t="s">
        <v>74</v>
      </c>
      <c r="G988" s="6" t="s">
        <v>245</v>
      </c>
      <c r="H988" s="2" t="s">
        <v>1473</v>
      </c>
      <c r="I988" s="2" t="s">
        <v>1426</v>
      </c>
      <c r="J988" s="2"/>
      <c r="K988" s="2"/>
      <c r="L988" s="7" t="str">
        <f>HYPERLINK("http://slimages.macys.com/is/image/MCY/8076960 ")</f>
        <v xml:space="preserve">http://slimages.macys.com/is/image/MCY/8076960 </v>
      </c>
    </row>
    <row r="989" spans="1:12" ht="24.75" x14ac:dyDescent="0.25">
      <c r="A989" s="4" t="s">
        <v>7015</v>
      </c>
      <c r="B989" s="2" t="s">
        <v>757</v>
      </c>
      <c r="C989" s="3">
        <v>1</v>
      </c>
      <c r="D989" s="5">
        <v>37.130000000000003</v>
      </c>
      <c r="E989" s="3" t="s">
        <v>6265</v>
      </c>
      <c r="F989" s="2" t="s">
        <v>26</v>
      </c>
      <c r="G989" s="6"/>
      <c r="H989" s="2" t="s">
        <v>312</v>
      </c>
      <c r="I989" s="2" t="s">
        <v>503</v>
      </c>
      <c r="J989" s="2"/>
      <c r="K989" s="2"/>
      <c r="L989" s="7"/>
    </row>
    <row r="990" spans="1:12" ht="24.75" x14ac:dyDescent="0.25">
      <c r="A990" s="4" t="s">
        <v>2119</v>
      </c>
      <c r="B990" s="2" t="s">
        <v>2120</v>
      </c>
      <c r="C990" s="3">
        <v>2</v>
      </c>
      <c r="D990" s="5">
        <v>40.5</v>
      </c>
      <c r="E990" s="3">
        <v>100067921</v>
      </c>
      <c r="F990" s="2" t="s">
        <v>74</v>
      </c>
      <c r="G990" s="6" t="s">
        <v>65</v>
      </c>
      <c r="H990" s="2" t="s">
        <v>228</v>
      </c>
      <c r="I990" s="2" t="s">
        <v>229</v>
      </c>
      <c r="J990" s="2"/>
      <c r="K990" s="2"/>
      <c r="L990" s="7"/>
    </row>
    <row r="991" spans="1:12" ht="24.75" x14ac:dyDescent="0.25">
      <c r="A991" s="4" t="s">
        <v>7016</v>
      </c>
      <c r="B991" s="2" t="s">
        <v>2120</v>
      </c>
      <c r="C991" s="3">
        <v>1</v>
      </c>
      <c r="D991" s="5">
        <v>40.5</v>
      </c>
      <c r="E991" s="3">
        <v>100067921</v>
      </c>
      <c r="F991" s="2" t="s">
        <v>74</v>
      </c>
      <c r="G991" s="6" t="s">
        <v>58</v>
      </c>
      <c r="H991" s="2" t="s">
        <v>228</v>
      </c>
      <c r="I991" s="2" t="s">
        <v>229</v>
      </c>
      <c r="J991" s="2"/>
      <c r="K991" s="2"/>
      <c r="L991" s="7"/>
    </row>
    <row r="992" spans="1:12" ht="24.75" x14ac:dyDescent="0.25">
      <c r="A992" s="4" t="s">
        <v>4365</v>
      </c>
      <c r="B992" s="2" t="s">
        <v>2120</v>
      </c>
      <c r="C992" s="3">
        <v>2</v>
      </c>
      <c r="D992" s="5">
        <v>40.5</v>
      </c>
      <c r="E992" s="3">
        <v>100067921</v>
      </c>
      <c r="F992" s="2" t="s">
        <v>74</v>
      </c>
      <c r="G992" s="6" t="s">
        <v>27</v>
      </c>
      <c r="H992" s="2" t="s">
        <v>228</v>
      </c>
      <c r="I992" s="2" t="s">
        <v>229</v>
      </c>
      <c r="J992" s="2"/>
      <c r="K992" s="2"/>
      <c r="L992" s="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2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7017</v>
      </c>
      <c r="B2" s="2" t="s">
        <v>7018</v>
      </c>
      <c r="C2" s="3">
        <v>1</v>
      </c>
      <c r="D2" s="5">
        <v>168</v>
      </c>
      <c r="E2" s="3" t="s">
        <v>7019</v>
      </c>
      <c r="F2" s="2" t="s">
        <v>199</v>
      </c>
      <c r="G2" s="6" t="s">
        <v>141</v>
      </c>
      <c r="H2" s="2" t="s">
        <v>17</v>
      </c>
      <c r="I2" s="2" t="s">
        <v>18</v>
      </c>
      <c r="J2" s="2" t="s">
        <v>19</v>
      </c>
      <c r="K2" s="2" t="s">
        <v>258</v>
      </c>
      <c r="L2" s="7" t="str">
        <f>HYPERLINK("http://slimages.macys.com/is/image/MCY/12876763 ")</f>
        <v xml:space="preserve">http://slimages.macys.com/is/image/MCY/12876763 </v>
      </c>
    </row>
    <row r="3" spans="1:12" ht="24.75" x14ac:dyDescent="0.25">
      <c r="A3" s="4" t="s">
        <v>7020</v>
      </c>
      <c r="B3" s="2" t="s">
        <v>55</v>
      </c>
      <c r="C3" s="3">
        <v>1</v>
      </c>
      <c r="D3" s="5">
        <v>138</v>
      </c>
      <c r="E3" s="3" t="s">
        <v>56</v>
      </c>
      <c r="F3" s="2" t="s">
        <v>57</v>
      </c>
      <c r="G3" s="6" t="s">
        <v>65</v>
      </c>
      <c r="H3" s="2" t="s">
        <v>17</v>
      </c>
      <c r="I3" s="2" t="s">
        <v>18</v>
      </c>
      <c r="J3" s="2" t="s">
        <v>19</v>
      </c>
      <c r="K3" s="2" t="s">
        <v>59</v>
      </c>
      <c r="L3" s="7" t="str">
        <f>HYPERLINK("http://slimages.macys.com/is/image/MCY/12231779 ")</f>
        <v xml:space="preserve">http://slimages.macys.com/is/image/MCY/12231779 </v>
      </c>
    </row>
    <row r="4" spans="1:12" ht="24.75" x14ac:dyDescent="0.25">
      <c r="A4" s="4" t="s">
        <v>7021</v>
      </c>
      <c r="B4" s="2" t="s">
        <v>7022</v>
      </c>
      <c r="C4" s="3">
        <v>1</v>
      </c>
      <c r="D4" s="5">
        <v>139</v>
      </c>
      <c r="E4" s="3" t="s">
        <v>7023</v>
      </c>
      <c r="F4" s="2" t="s">
        <v>15</v>
      </c>
      <c r="G4" s="6" t="s">
        <v>39</v>
      </c>
      <c r="H4" s="2" t="s">
        <v>95</v>
      </c>
      <c r="I4" s="2" t="s">
        <v>96</v>
      </c>
      <c r="J4" s="2" t="s">
        <v>19</v>
      </c>
      <c r="K4" s="2" t="s">
        <v>7024</v>
      </c>
      <c r="L4" s="7" t="str">
        <f>HYPERLINK("http://slimages.macys.com/is/image/MCY/12879485 ")</f>
        <v xml:space="preserve">http://slimages.macys.com/is/image/MCY/12879485 </v>
      </c>
    </row>
    <row r="5" spans="1:12" ht="36.75" x14ac:dyDescent="0.25">
      <c r="A5" s="4" t="s">
        <v>7025</v>
      </c>
      <c r="B5" s="2" t="s">
        <v>7026</v>
      </c>
      <c r="C5" s="3">
        <v>1</v>
      </c>
      <c r="D5" s="5">
        <v>139</v>
      </c>
      <c r="E5" s="3" t="s">
        <v>7027</v>
      </c>
      <c r="F5" s="2" t="s">
        <v>887</v>
      </c>
      <c r="G5" s="6" t="s">
        <v>16</v>
      </c>
      <c r="H5" s="2" t="s">
        <v>95</v>
      </c>
      <c r="I5" s="2" t="s">
        <v>96</v>
      </c>
      <c r="J5" s="2" t="s">
        <v>19</v>
      </c>
      <c r="K5" s="2" t="s">
        <v>4394</v>
      </c>
      <c r="L5" s="7" t="str">
        <f>HYPERLINK("http://slimages.macys.com/is/image/MCY/11784549 ")</f>
        <v xml:space="preserve">http://slimages.macys.com/is/image/MCY/11784549 </v>
      </c>
    </row>
    <row r="6" spans="1:12" ht="24.75" x14ac:dyDescent="0.25">
      <c r="A6" s="4" t="s">
        <v>7028</v>
      </c>
      <c r="B6" s="2" t="s">
        <v>3291</v>
      </c>
      <c r="C6" s="3">
        <v>1</v>
      </c>
      <c r="D6" s="5">
        <v>148</v>
      </c>
      <c r="E6" s="3" t="s">
        <v>3292</v>
      </c>
      <c r="F6" s="2" t="s">
        <v>3293</v>
      </c>
      <c r="G6" s="6" t="s">
        <v>27</v>
      </c>
      <c r="H6" s="2" t="s">
        <v>17</v>
      </c>
      <c r="I6" s="2" t="s">
        <v>40</v>
      </c>
      <c r="J6" s="2" t="s">
        <v>19</v>
      </c>
      <c r="K6" s="2" t="s">
        <v>66</v>
      </c>
      <c r="L6" s="7" t="str">
        <f>HYPERLINK("http://slimages.macys.com/is/image/MCY/12645894 ")</f>
        <v xml:space="preserve">http://slimages.macys.com/is/image/MCY/12645894 </v>
      </c>
    </row>
    <row r="7" spans="1:12" ht="24.75" x14ac:dyDescent="0.25">
      <c r="A7" s="4" t="s">
        <v>67</v>
      </c>
      <c r="B7" s="2" t="s">
        <v>68</v>
      </c>
      <c r="C7" s="3">
        <v>1</v>
      </c>
      <c r="D7" s="5">
        <v>148</v>
      </c>
      <c r="E7" s="3" t="s">
        <v>69</v>
      </c>
      <c r="F7" s="2" t="s">
        <v>70</v>
      </c>
      <c r="G7" s="6" t="s">
        <v>58</v>
      </c>
      <c r="H7" s="2" t="s">
        <v>17</v>
      </c>
      <c r="I7" s="2" t="s">
        <v>40</v>
      </c>
      <c r="J7" s="2" t="s">
        <v>19</v>
      </c>
      <c r="K7" s="2" t="s">
        <v>66</v>
      </c>
      <c r="L7" s="7" t="str">
        <f>HYPERLINK("http://slimages.macys.com/is/image/MCY/12645911 ")</f>
        <v xml:space="preserve">http://slimages.macys.com/is/image/MCY/12645911 </v>
      </c>
    </row>
    <row r="8" spans="1:12" ht="24.75" x14ac:dyDescent="0.25">
      <c r="A8" s="4" t="s">
        <v>7029</v>
      </c>
      <c r="B8" s="2" t="s">
        <v>7030</v>
      </c>
      <c r="C8" s="3">
        <v>1</v>
      </c>
      <c r="D8" s="5">
        <v>128</v>
      </c>
      <c r="E8" s="3" t="s">
        <v>7031</v>
      </c>
      <c r="F8" s="2" t="s">
        <v>74</v>
      </c>
      <c r="G8" s="6" t="s">
        <v>141</v>
      </c>
      <c r="H8" s="2" t="s">
        <v>17</v>
      </c>
      <c r="I8" s="2" t="s">
        <v>18</v>
      </c>
      <c r="J8" s="2" t="s">
        <v>19</v>
      </c>
      <c r="K8" s="2" t="s">
        <v>75</v>
      </c>
      <c r="L8" s="7" t="str">
        <f>HYPERLINK("http://slimages.macys.com/is/image/MCY/12649026 ")</f>
        <v xml:space="preserve">http://slimages.macys.com/is/image/MCY/12649026 </v>
      </c>
    </row>
    <row r="9" spans="1:12" ht="24.75" x14ac:dyDescent="0.25">
      <c r="A9" s="4" t="s">
        <v>7032</v>
      </c>
      <c r="B9" s="2" t="s">
        <v>72</v>
      </c>
      <c r="C9" s="3">
        <v>1</v>
      </c>
      <c r="D9" s="5">
        <v>128</v>
      </c>
      <c r="E9" s="3" t="s">
        <v>73</v>
      </c>
      <c r="F9" s="2" t="s">
        <v>74</v>
      </c>
      <c r="G9" s="6" t="s">
        <v>27</v>
      </c>
      <c r="H9" s="2" t="s">
        <v>17</v>
      </c>
      <c r="I9" s="2" t="s">
        <v>18</v>
      </c>
      <c r="J9" s="2" t="s">
        <v>19</v>
      </c>
      <c r="K9" s="2" t="s">
        <v>75</v>
      </c>
      <c r="L9" s="7" t="str">
        <f>HYPERLINK("http://slimages.macys.com/is/image/MCY/12646967 ")</f>
        <v xml:space="preserve">http://slimages.macys.com/is/image/MCY/12646967 </v>
      </c>
    </row>
    <row r="10" spans="1:12" ht="24.75" x14ac:dyDescent="0.25">
      <c r="A10" s="4" t="s">
        <v>7033</v>
      </c>
      <c r="B10" s="2" t="s">
        <v>4382</v>
      </c>
      <c r="C10" s="3">
        <v>1</v>
      </c>
      <c r="D10" s="5">
        <v>128</v>
      </c>
      <c r="E10" s="3" t="s">
        <v>4383</v>
      </c>
      <c r="F10" s="2" t="s">
        <v>417</v>
      </c>
      <c r="G10" s="6" t="s">
        <v>16</v>
      </c>
      <c r="H10" s="2" t="s">
        <v>17</v>
      </c>
      <c r="I10" s="2" t="s">
        <v>18</v>
      </c>
      <c r="J10" s="2" t="s">
        <v>19</v>
      </c>
      <c r="K10" s="2" t="s">
        <v>75</v>
      </c>
      <c r="L10" s="7" t="str">
        <f>HYPERLINK("http://slimages.macys.com/is/image/MCY/12648545 ")</f>
        <v xml:space="preserve">http://slimages.macys.com/is/image/MCY/12648545 </v>
      </c>
    </row>
    <row r="11" spans="1:12" ht="24.75" x14ac:dyDescent="0.25">
      <c r="A11" s="4" t="s">
        <v>4395</v>
      </c>
      <c r="B11" s="2" t="s">
        <v>99</v>
      </c>
      <c r="C11" s="3">
        <v>1</v>
      </c>
      <c r="D11" s="5">
        <v>138</v>
      </c>
      <c r="E11" s="3" t="s">
        <v>100</v>
      </c>
      <c r="F11" s="2" t="s">
        <v>101</v>
      </c>
      <c r="G11" s="6" t="s">
        <v>27</v>
      </c>
      <c r="H11" s="2" t="s">
        <v>17</v>
      </c>
      <c r="I11" s="2" t="s">
        <v>40</v>
      </c>
      <c r="J11" s="2" t="s">
        <v>19</v>
      </c>
      <c r="K11" s="2" t="s">
        <v>75</v>
      </c>
      <c r="L11" s="7" t="str">
        <f>HYPERLINK("http://slimages.macys.com/is/image/MCY/12645823 ")</f>
        <v xml:space="preserve">http://slimages.macys.com/is/image/MCY/12645823 </v>
      </c>
    </row>
    <row r="12" spans="1:12" ht="36.75" x14ac:dyDescent="0.25">
      <c r="A12" s="4" t="s">
        <v>7034</v>
      </c>
      <c r="B12" s="2" t="s">
        <v>6278</v>
      </c>
      <c r="C12" s="3">
        <v>1</v>
      </c>
      <c r="D12" s="5">
        <v>119</v>
      </c>
      <c r="E12" s="3" t="s">
        <v>6279</v>
      </c>
      <c r="F12" s="2" t="s">
        <v>89</v>
      </c>
      <c r="G12" s="6" t="s">
        <v>116</v>
      </c>
      <c r="H12" s="2" t="s">
        <v>17</v>
      </c>
      <c r="I12" s="2" t="s">
        <v>5356</v>
      </c>
      <c r="J12" s="2" t="s">
        <v>19</v>
      </c>
      <c r="K12" s="2" t="s">
        <v>2419</v>
      </c>
      <c r="L12" s="7" t="str">
        <f>HYPERLINK("http://slimages.macys.com/is/image/MCY/12383449 ")</f>
        <v xml:space="preserve">http://slimages.macys.com/is/image/MCY/12383449 </v>
      </c>
    </row>
    <row r="13" spans="1:12" ht="36.75" x14ac:dyDescent="0.25">
      <c r="A13" s="4" t="s">
        <v>7035</v>
      </c>
      <c r="B13" s="2" t="s">
        <v>7036</v>
      </c>
      <c r="C13" s="3">
        <v>1</v>
      </c>
      <c r="D13" s="5">
        <v>118</v>
      </c>
      <c r="E13" s="3" t="s">
        <v>7037</v>
      </c>
      <c r="F13" s="2" t="s">
        <v>566</v>
      </c>
      <c r="G13" s="6" t="s">
        <v>141</v>
      </c>
      <c r="H13" s="2" t="s">
        <v>17</v>
      </c>
      <c r="I13" s="2" t="s">
        <v>18</v>
      </c>
      <c r="J13" s="2" t="s">
        <v>19</v>
      </c>
      <c r="K13" s="2" t="s">
        <v>2419</v>
      </c>
      <c r="L13" s="7" t="str">
        <f>HYPERLINK("http://slimages.macys.com/is/image/MCY/12330594 ")</f>
        <v xml:space="preserve">http://slimages.macys.com/is/image/MCY/12330594 </v>
      </c>
    </row>
    <row r="14" spans="1:12" ht="24.75" x14ac:dyDescent="0.25">
      <c r="A14" s="4" t="s">
        <v>7038</v>
      </c>
      <c r="B14" s="2" t="s">
        <v>104</v>
      </c>
      <c r="C14" s="3">
        <v>1</v>
      </c>
      <c r="D14" s="5">
        <v>119</v>
      </c>
      <c r="E14" s="3" t="s">
        <v>105</v>
      </c>
      <c r="F14" s="2" t="s">
        <v>26</v>
      </c>
      <c r="G14" s="6" t="s">
        <v>22</v>
      </c>
      <c r="H14" s="2" t="s">
        <v>17</v>
      </c>
      <c r="I14" s="2" t="s">
        <v>18</v>
      </c>
      <c r="J14" s="2" t="s">
        <v>19</v>
      </c>
      <c r="K14" s="2" t="s">
        <v>107</v>
      </c>
      <c r="L14" s="7" t="str">
        <f>HYPERLINK("http://slimages.macys.com/is/image/MCY/12326948 ")</f>
        <v xml:space="preserve">http://slimages.macys.com/is/image/MCY/12326948 </v>
      </c>
    </row>
    <row r="15" spans="1:12" ht="24.75" x14ac:dyDescent="0.25">
      <c r="A15" s="4" t="s">
        <v>7039</v>
      </c>
      <c r="B15" s="2" t="s">
        <v>7040</v>
      </c>
      <c r="C15" s="3">
        <v>1</v>
      </c>
      <c r="D15" s="5">
        <v>119</v>
      </c>
      <c r="E15" s="3" t="s">
        <v>7041</v>
      </c>
      <c r="F15" s="2" t="s">
        <v>15</v>
      </c>
      <c r="G15" s="6" t="s">
        <v>1085</v>
      </c>
      <c r="H15" s="2" t="s">
        <v>17</v>
      </c>
      <c r="I15" s="2" t="s">
        <v>145</v>
      </c>
      <c r="J15" s="2" t="s">
        <v>19</v>
      </c>
      <c r="K15" s="2" t="s">
        <v>5691</v>
      </c>
      <c r="L15" s="7" t="str">
        <f>HYPERLINK("http://slimages.macys.com/is/image/MCY/11690332 ")</f>
        <v xml:space="preserve">http://slimages.macys.com/is/image/MCY/11690332 </v>
      </c>
    </row>
    <row r="16" spans="1:12" ht="24.75" x14ac:dyDescent="0.25">
      <c r="A16" s="4" t="s">
        <v>7042</v>
      </c>
      <c r="B16" s="2" t="s">
        <v>114</v>
      </c>
      <c r="C16" s="3">
        <v>1</v>
      </c>
      <c r="D16" s="5">
        <v>99</v>
      </c>
      <c r="E16" s="3" t="s">
        <v>115</v>
      </c>
      <c r="F16" s="2" t="s">
        <v>26</v>
      </c>
      <c r="G16" s="6" t="s">
        <v>5361</v>
      </c>
      <c r="H16" s="2" t="s">
        <v>17</v>
      </c>
      <c r="I16" s="2" t="s">
        <v>117</v>
      </c>
      <c r="J16" s="2" t="s">
        <v>19</v>
      </c>
      <c r="K16" s="2" t="s">
        <v>118</v>
      </c>
      <c r="L16" s="7" t="str">
        <f>HYPERLINK("http://slimages.macys.com/is/image/MCY/12669592 ")</f>
        <v xml:space="preserve">http://slimages.macys.com/is/image/MCY/12669592 </v>
      </c>
    </row>
    <row r="17" spans="1:12" ht="24.75" x14ac:dyDescent="0.25">
      <c r="A17" s="4" t="s">
        <v>7043</v>
      </c>
      <c r="B17" s="2" t="s">
        <v>114</v>
      </c>
      <c r="C17" s="3">
        <v>1</v>
      </c>
      <c r="D17" s="5">
        <v>99</v>
      </c>
      <c r="E17" s="3" t="s">
        <v>115</v>
      </c>
      <c r="F17" s="2" t="s">
        <v>26</v>
      </c>
      <c r="G17" s="6" t="s">
        <v>3309</v>
      </c>
      <c r="H17" s="2" t="s">
        <v>17</v>
      </c>
      <c r="I17" s="2" t="s">
        <v>117</v>
      </c>
      <c r="J17" s="2" t="s">
        <v>19</v>
      </c>
      <c r="K17" s="2" t="s">
        <v>118</v>
      </c>
      <c r="L17" s="7" t="str">
        <f>HYPERLINK("http://slimages.macys.com/is/image/MCY/12669592 ")</f>
        <v xml:space="preserve">http://slimages.macys.com/is/image/MCY/12669592 </v>
      </c>
    </row>
    <row r="18" spans="1:12" ht="24.75" x14ac:dyDescent="0.25">
      <c r="A18" s="4" t="s">
        <v>7044</v>
      </c>
      <c r="B18" s="2" t="s">
        <v>123</v>
      </c>
      <c r="C18" s="3">
        <v>1</v>
      </c>
      <c r="D18" s="5">
        <v>119.5</v>
      </c>
      <c r="E18" s="3" t="s">
        <v>124</v>
      </c>
      <c r="F18" s="2" t="s">
        <v>125</v>
      </c>
      <c r="G18" s="6" t="s">
        <v>934</v>
      </c>
      <c r="H18" s="2" t="s">
        <v>127</v>
      </c>
      <c r="I18" s="2" t="s">
        <v>128</v>
      </c>
      <c r="J18" s="2" t="s">
        <v>19</v>
      </c>
      <c r="K18" s="2" t="s">
        <v>34</v>
      </c>
      <c r="L18" s="7" t="str">
        <f>HYPERLINK("http://slimages.macys.com/is/image/MCY/13786706 ")</f>
        <v xml:space="preserve">http://slimages.macys.com/is/image/MCY/13786706 </v>
      </c>
    </row>
    <row r="19" spans="1:12" ht="24.75" x14ac:dyDescent="0.25">
      <c r="A19" s="4" t="s">
        <v>7045</v>
      </c>
      <c r="B19" s="2" t="s">
        <v>134</v>
      </c>
      <c r="C19" s="3">
        <v>1</v>
      </c>
      <c r="D19" s="5">
        <v>99</v>
      </c>
      <c r="E19" s="3" t="s">
        <v>135</v>
      </c>
      <c r="F19" s="2" t="s">
        <v>136</v>
      </c>
      <c r="G19" s="6" t="s">
        <v>27</v>
      </c>
      <c r="H19" s="2" t="s">
        <v>95</v>
      </c>
      <c r="I19" s="2" t="s">
        <v>96</v>
      </c>
      <c r="J19" s="2" t="s">
        <v>19</v>
      </c>
      <c r="K19" s="2" t="s">
        <v>137</v>
      </c>
      <c r="L19" s="7" t="str">
        <f>HYPERLINK("http://slimages.macys.com/is/image/MCY/12746916 ")</f>
        <v xml:space="preserve">http://slimages.macys.com/is/image/MCY/12746916 </v>
      </c>
    </row>
    <row r="20" spans="1:12" ht="36.75" x14ac:dyDescent="0.25">
      <c r="A20" s="4" t="s">
        <v>7046</v>
      </c>
      <c r="B20" s="2" t="s">
        <v>7047</v>
      </c>
      <c r="C20" s="3">
        <v>1</v>
      </c>
      <c r="D20" s="5">
        <v>79</v>
      </c>
      <c r="E20" s="3">
        <v>10717048</v>
      </c>
      <c r="F20" s="2" t="s">
        <v>494</v>
      </c>
      <c r="G20" s="6" t="s">
        <v>27</v>
      </c>
      <c r="H20" s="2" t="s">
        <v>2154</v>
      </c>
      <c r="I20" s="2" t="s">
        <v>2155</v>
      </c>
      <c r="J20" s="2" t="s">
        <v>19</v>
      </c>
      <c r="K20" s="2" t="s">
        <v>3337</v>
      </c>
      <c r="L20" s="7" t="str">
        <f>HYPERLINK("http://slimages.macys.com/is/image/MCY/12147684 ")</f>
        <v xml:space="preserve">http://slimages.macys.com/is/image/MCY/12147684 </v>
      </c>
    </row>
    <row r="21" spans="1:12" ht="36.75" x14ac:dyDescent="0.25">
      <c r="A21" s="4" t="s">
        <v>7048</v>
      </c>
      <c r="B21" s="2" t="s">
        <v>7049</v>
      </c>
      <c r="C21" s="3">
        <v>1</v>
      </c>
      <c r="D21" s="5">
        <v>79</v>
      </c>
      <c r="E21" s="3">
        <v>10713304</v>
      </c>
      <c r="F21" s="2" t="s">
        <v>33</v>
      </c>
      <c r="G21" s="6" t="s">
        <v>27</v>
      </c>
      <c r="H21" s="2" t="s">
        <v>2154</v>
      </c>
      <c r="I21" s="2" t="s">
        <v>2155</v>
      </c>
      <c r="J21" s="2" t="s">
        <v>19</v>
      </c>
      <c r="K21" s="2" t="s">
        <v>7050</v>
      </c>
      <c r="L21" s="7" t="str">
        <f>HYPERLINK("http://slimages.macys.com/is/image/MCY/11627202 ")</f>
        <v xml:space="preserve">http://slimages.macys.com/is/image/MCY/11627202 </v>
      </c>
    </row>
    <row r="22" spans="1:12" ht="24.75" x14ac:dyDescent="0.25">
      <c r="A22" s="4" t="s">
        <v>3326</v>
      </c>
      <c r="B22" s="2" t="s">
        <v>2162</v>
      </c>
      <c r="C22" s="3">
        <v>1</v>
      </c>
      <c r="D22" s="5">
        <v>79</v>
      </c>
      <c r="E22" s="3" t="s">
        <v>2163</v>
      </c>
      <c r="F22" s="2" t="s">
        <v>887</v>
      </c>
      <c r="G22" s="6" t="s">
        <v>106</v>
      </c>
      <c r="H22" s="2" t="s">
        <v>95</v>
      </c>
      <c r="I22" s="2" t="s">
        <v>96</v>
      </c>
      <c r="J22" s="2" t="s">
        <v>19</v>
      </c>
      <c r="K22" s="2" t="s">
        <v>97</v>
      </c>
      <c r="L22" s="7" t="str">
        <f>HYPERLINK("http://slimages.macys.com/is/image/MCY/11784599 ")</f>
        <v xml:space="preserve">http://slimages.macys.com/is/image/MCY/11784599 </v>
      </c>
    </row>
    <row r="23" spans="1:12" ht="24.75" x14ac:dyDescent="0.25">
      <c r="A23" s="4" t="s">
        <v>7051</v>
      </c>
      <c r="B23" s="2" t="s">
        <v>7052</v>
      </c>
      <c r="C23" s="3">
        <v>1</v>
      </c>
      <c r="D23" s="5">
        <v>69</v>
      </c>
      <c r="E23" s="3">
        <v>10717632</v>
      </c>
      <c r="F23" s="2" t="s">
        <v>26</v>
      </c>
      <c r="G23" s="6" t="s">
        <v>181</v>
      </c>
      <c r="H23" s="2" t="s">
        <v>2154</v>
      </c>
      <c r="I23" s="2" t="s">
        <v>2155</v>
      </c>
      <c r="J23" s="2" t="s">
        <v>19</v>
      </c>
      <c r="K23" s="2" t="s">
        <v>34</v>
      </c>
      <c r="L23" s="7" t="str">
        <f>HYPERLINK("http://slimages.macys.com/is/image/MCY/11853449 ")</f>
        <v xml:space="preserve">http://slimages.macys.com/is/image/MCY/11853449 </v>
      </c>
    </row>
    <row r="24" spans="1:12" ht="24.75" x14ac:dyDescent="0.25">
      <c r="A24" s="4" t="s">
        <v>7053</v>
      </c>
      <c r="B24" s="2" t="s">
        <v>7054</v>
      </c>
      <c r="C24" s="3">
        <v>1</v>
      </c>
      <c r="D24" s="5">
        <v>59.63</v>
      </c>
      <c r="E24" s="3" t="s">
        <v>7055</v>
      </c>
      <c r="F24" s="2" t="s">
        <v>64</v>
      </c>
      <c r="G24" s="6" t="s">
        <v>106</v>
      </c>
      <c r="H24" s="2" t="s">
        <v>246</v>
      </c>
      <c r="I24" s="2" t="s">
        <v>189</v>
      </c>
      <c r="J24" s="2" t="s">
        <v>19</v>
      </c>
      <c r="K24" s="2" t="s">
        <v>208</v>
      </c>
      <c r="L24" s="7" t="str">
        <f>HYPERLINK("http://slimages.macys.com/is/image/MCY/11884433 ")</f>
        <v xml:space="preserve">http://slimages.macys.com/is/image/MCY/11884433 </v>
      </c>
    </row>
    <row r="25" spans="1:12" ht="24.75" x14ac:dyDescent="0.25">
      <c r="A25" s="4" t="s">
        <v>7056</v>
      </c>
      <c r="B25" s="2" t="s">
        <v>175</v>
      </c>
      <c r="C25" s="3">
        <v>1</v>
      </c>
      <c r="D25" s="5">
        <v>89.5</v>
      </c>
      <c r="E25" s="3" t="s">
        <v>7057</v>
      </c>
      <c r="F25" s="2" t="s">
        <v>74</v>
      </c>
      <c r="G25" s="6" t="s">
        <v>336</v>
      </c>
      <c r="H25" s="2" t="s">
        <v>127</v>
      </c>
      <c r="I25" s="2" t="s">
        <v>128</v>
      </c>
      <c r="J25" s="2" t="s">
        <v>19</v>
      </c>
      <c r="K25" s="2" t="s">
        <v>160</v>
      </c>
      <c r="L25" s="7" t="str">
        <f>HYPERLINK("http://slimages.macys.com/is/image/MCY/14542682 ")</f>
        <v xml:space="preserve">http://slimages.macys.com/is/image/MCY/14542682 </v>
      </c>
    </row>
    <row r="26" spans="1:12" ht="24.75" x14ac:dyDescent="0.25">
      <c r="A26" s="4" t="s">
        <v>3342</v>
      </c>
      <c r="B26" s="2" t="s">
        <v>198</v>
      </c>
      <c r="C26" s="3">
        <v>2</v>
      </c>
      <c r="D26" s="5">
        <v>52.13</v>
      </c>
      <c r="E26" s="3">
        <v>100054438</v>
      </c>
      <c r="F26" s="2" t="s">
        <v>199</v>
      </c>
      <c r="G26" s="6" t="s">
        <v>181</v>
      </c>
      <c r="H26" s="2" t="s">
        <v>194</v>
      </c>
      <c r="I26" s="2" t="s">
        <v>195</v>
      </c>
      <c r="J26" s="2" t="s">
        <v>19</v>
      </c>
      <c r="K26" s="2" t="s">
        <v>201</v>
      </c>
      <c r="L26" s="7" t="str">
        <f>HYPERLINK("http://slimages.macys.com/is/image/MCY/12316594 ")</f>
        <v xml:space="preserve">http://slimages.macys.com/is/image/MCY/12316594 </v>
      </c>
    </row>
    <row r="27" spans="1:12" ht="24.75" x14ac:dyDescent="0.25">
      <c r="A27" s="4" t="s">
        <v>3343</v>
      </c>
      <c r="B27" s="2" t="s">
        <v>198</v>
      </c>
      <c r="C27" s="3">
        <v>1</v>
      </c>
      <c r="D27" s="5">
        <v>52.13</v>
      </c>
      <c r="E27" s="3">
        <v>100054438</v>
      </c>
      <c r="F27" s="2" t="s">
        <v>199</v>
      </c>
      <c r="G27" s="6" t="s">
        <v>154</v>
      </c>
      <c r="H27" s="2" t="s">
        <v>194</v>
      </c>
      <c r="I27" s="2" t="s">
        <v>195</v>
      </c>
      <c r="J27" s="2" t="s">
        <v>19</v>
      </c>
      <c r="K27" s="2" t="s">
        <v>201</v>
      </c>
      <c r="L27" s="7" t="str">
        <f>HYPERLINK("http://slimages.macys.com/is/image/MCY/12316594 ")</f>
        <v xml:space="preserve">http://slimages.macys.com/is/image/MCY/12316594 </v>
      </c>
    </row>
    <row r="28" spans="1:12" ht="24.75" x14ac:dyDescent="0.25">
      <c r="A28" s="4" t="s">
        <v>7058</v>
      </c>
      <c r="B28" s="2" t="s">
        <v>7059</v>
      </c>
      <c r="C28" s="3">
        <v>1</v>
      </c>
      <c r="D28" s="5">
        <v>59.63</v>
      </c>
      <c r="E28" s="3" t="s">
        <v>7060</v>
      </c>
      <c r="F28" s="2" t="s">
        <v>26</v>
      </c>
      <c r="G28" s="6" t="s">
        <v>348</v>
      </c>
      <c r="H28" s="2" t="s">
        <v>349</v>
      </c>
      <c r="I28" s="2" t="s">
        <v>285</v>
      </c>
      <c r="J28" s="2" t="s">
        <v>19</v>
      </c>
      <c r="K28" s="2" t="s">
        <v>7061</v>
      </c>
      <c r="L28" s="7" t="str">
        <f>HYPERLINK("http://slimages.macys.com/is/image/MCY/13040749 ")</f>
        <v xml:space="preserve">http://slimages.macys.com/is/image/MCY/13040749 </v>
      </c>
    </row>
    <row r="29" spans="1:12" ht="24.75" x14ac:dyDescent="0.25">
      <c r="A29" s="4" t="s">
        <v>7062</v>
      </c>
      <c r="B29" s="2" t="s">
        <v>7063</v>
      </c>
      <c r="C29" s="3">
        <v>1</v>
      </c>
      <c r="D29" s="5">
        <v>67.13</v>
      </c>
      <c r="E29" s="3" t="s">
        <v>7064</v>
      </c>
      <c r="F29" s="2" t="s">
        <v>94</v>
      </c>
      <c r="G29" s="6" t="s">
        <v>245</v>
      </c>
      <c r="H29" s="2" t="s">
        <v>246</v>
      </c>
      <c r="I29" s="2" t="s">
        <v>189</v>
      </c>
      <c r="J29" s="2" t="s">
        <v>19</v>
      </c>
      <c r="K29" s="2" t="s">
        <v>107</v>
      </c>
      <c r="L29" s="7" t="str">
        <f>HYPERLINK("http://slimages.macys.com/is/image/MCY/11884465 ")</f>
        <v xml:space="preserve">http://slimages.macys.com/is/image/MCY/11884465 </v>
      </c>
    </row>
    <row r="30" spans="1:12" ht="48.75" x14ac:dyDescent="0.25">
      <c r="A30" s="4" t="s">
        <v>7065</v>
      </c>
      <c r="B30" s="2" t="s">
        <v>4433</v>
      </c>
      <c r="C30" s="3">
        <v>1</v>
      </c>
      <c r="D30" s="5">
        <v>99.5</v>
      </c>
      <c r="E30" s="3" t="s">
        <v>4434</v>
      </c>
      <c r="F30" s="2" t="s">
        <v>15</v>
      </c>
      <c r="G30" s="6" t="s">
        <v>219</v>
      </c>
      <c r="H30" s="2" t="s">
        <v>206</v>
      </c>
      <c r="I30" s="2" t="s">
        <v>207</v>
      </c>
      <c r="J30" s="2" t="s">
        <v>19</v>
      </c>
      <c r="K30" s="2" t="s">
        <v>4435</v>
      </c>
      <c r="L30" s="7" t="str">
        <f>HYPERLINK("http://slimages.macys.com/is/image/MCY/12067752 ")</f>
        <v xml:space="preserve">http://slimages.macys.com/is/image/MCY/12067752 </v>
      </c>
    </row>
    <row r="31" spans="1:12" ht="24.75" x14ac:dyDescent="0.25">
      <c r="A31" s="4" t="s">
        <v>7066</v>
      </c>
      <c r="B31" s="2" t="s">
        <v>222</v>
      </c>
      <c r="C31" s="3">
        <v>1</v>
      </c>
      <c r="D31" s="5">
        <v>79.5</v>
      </c>
      <c r="E31" s="3" t="s">
        <v>223</v>
      </c>
      <c r="F31" s="2" t="s">
        <v>74</v>
      </c>
      <c r="G31" s="6" t="s">
        <v>802</v>
      </c>
      <c r="H31" s="2" t="s">
        <v>127</v>
      </c>
      <c r="I31" s="2" t="s">
        <v>128</v>
      </c>
      <c r="J31" s="2" t="s">
        <v>19</v>
      </c>
      <c r="K31" s="2" t="s">
        <v>34</v>
      </c>
      <c r="L31" s="7" t="str">
        <f>HYPERLINK("http://slimages.macys.com/is/image/MCY/13838292 ")</f>
        <v xml:space="preserve">http://slimages.macys.com/is/image/MCY/13838292 </v>
      </c>
    </row>
    <row r="32" spans="1:12" ht="48.75" x14ac:dyDescent="0.25">
      <c r="A32" s="4" t="s">
        <v>224</v>
      </c>
      <c r="B32" s="2" t="s">
        <v>192</v>
      </c>
      <c r="C32" s="3">
        <v>1</v>
      </c>
      <c r="D32" s="5">
        <v>59.5</v>
      </c>
      <c r="E32" s="3">
        <v>100036287</v>
      </c>
      <c r="F32" s="2" t="s">
        <v>225</v>
      </c>
      <c r="G32" s="6" t="s">
        <v>154</v>
      </c>
      <c r="H32" s="2" t="s">
        <v>194</v>
      </c>
      <c r="I32" s="2" t="s">
        <v>195</v>
      </c>
      <c r="J32" s="2" t="s">
        <v>19</v>
      </c>
      <c r="K32" s="2" t="s">
        <v>196</v>
      </c>
      <c r="L32" s="7" t="str">
        <f>HYPERLINK("http://slimages.macys.com/is/image/MCY/13121038 ")</f>
        <v xml:space="preserve">http://slimages.macys.com/is/image/MCY/13121038 </v>
      </c>
    </row>
    <row r="33" spans="1:12" ht="24.75" x14ac:dyDescent="0.25">
      <c r="A33" s="4" t="s">
        <v>7067</v>
      </c>
      <c r="B33" s="2" t="s">
        <v>3346</v>
      </c>
      <c r="C33" s="3">
        <v>2</v>
      </c>
      <c r="D33" s="5">
        <v>52.13</v>
      </c>
      <c r="E33" s="3" t="s">
        <v>3347</v>
      </c>
      <c r="F33" s="2" t="s">
        <v>15</v>
      </c>
      <c r="G33" s="6" t="s">
        <v>156</v>
      </c>
      <c r="H33" s="2" t="s">
        <v>194</v>
      </c>
      <c r="I33" s="2" t="s">
        <v>195</v>
      </c>
      <c r="J33" s="2" t="s">
        <v>19</v>
      </c>
      <c r="K33" s="2" t="s">
        <v>3350</v>
      </c>
      <c r="L33" s="7" t="str">
        <f>HYPERLINK("http://slimages.macys.com/is/image/MCY/12034735 ")</f>
        <v xml:space="preserve">http://slimages.macys.com/is/image/MCY/12034735 </v>
      </c>
    </row>
    <row r="34" spans="1:12" ht="24.75" x14ac:dyDescent="0.25">
      <c r="A34" s="4" t="s">
        <v>7068</v>
      </c>
      <c r="B34" s="2" t="s">
        <v>7069</v>
      </c>
      <c r="C34" s="3">
        <v>1</v>
      </c>
      <c r="D34" s="5">
        <v>52.13</v>
      </c>
      <c r="E34" s="3" t="s">
        <v>7070</v>
      </c>
      <c r="F34" s="2" t="s">
        <v>376</v>
      </c>
      <c r="G34" s="6"/>
      <c r="H34" s="2" t="s">
        <v>312</v>
      </c>
      <c r="I34" s="2" t="s">
        <v>195</v>
      </c>
      <c r="J34" s="2" t="s">
        <v>19</v>
      </c>
      <c r="K34" s="2" t="s">
        <v>537</v>
      </c>
      <c r="L34" s="7" t="str">
        <f>HYPERLINK("http://slimages.macys.com/is/image/MCY/12316659 ")</f>
        <v xml:space="preserve">http://slimages.macys.com/is/image/MCY/12316659 </v>
      </c>
    </row>
    <row r="35" spans="1:12" ht="36.75" x14ac:dyDescent="0.25">
      <c r="A35" s="4" t="s">
        <v>7071</v>
      </c>
      <c r="B35" s="2" t="s">
        <v>7072</v>
      </c>
      <c r="C35" s="3">
        <v>1</v>
      </c>
      <c r="D35" s="5">
        <v>63.5</v>
      </c>
      <c r="E35" s="3" t="s">
        <v>7073</v>
      </c>
      <c r="F35" s="2" t="s">
        <v>74</v>
      </c>
      <c r="G35" s="6" t="s">
        <v>363</v>
      </c>
      <c r="H35" s="2" t="s">
        <v>127</v>
      </c>
      <c r="I35" s="2" t="s">
        <v>128</v>
      </c>
      <c r="J35" s="2" t="s">
        <v>19</v>
      </c>
      <c r="K35" s="2" t="s">
        <v>2213</v>
      </c>
      <c r="L35" s="7" t="str">
        <f>HYPERLINK("http://slimages.macys.com/is/image/MCY/9445815 ")</f>
        <v xml:space="preserve">http://slimages.macys.com/is/image/MCY/9445815 </v>
      </c>
    </row>
    <row r="36" spans="1:12" ht="24.75" x14ac:dyDescent="0.25">
      <c r="A36" s="4" t="s">
        <v>7074</v>
      </c>
      <c r="B36" s="2" t="s">
        <v>2176</v>
      </c>
      <c r="C36" s="3">
        <v>1</v>
      </c>
      <c r="D36" s="5">
        <v>51.75</v>
      </c>
      <c r="E36" s="3">
        <v>100053415</v>
      </c>
      <c r="F36" s="2" t="s">
        <v>15</v>
      </c>
      <c r="G36" s="6" t="s">
        <v>200</v>
      </c>
      <c r="H36" s="2" t="s">
        <v>228</v>
      </c>
      <c r="I36" s="2" t="s">
        <v>229</v>
      </c>
      <c r="J36" s="2" t="s">
        <v>19</v>
      </c>
      <c r="K36" s="2" t="s">
        <v>230</v>
      </c>
      <c r="L36" s="7" t="str">
        <f>HYPERLINK("http://slimages.macys.com/is/image/MCY/12317942 ")</f>
        <v xml:space="preserve">http://slimages.macys.com/is/image/MCY/12317942 </v>
      </c>
    </row>
    <row r="37" spans="1:12" ht="24.75" x14ac:dyDescent="0.25">
      <c r="A37" s="4" t="s">
        <v>3354</v>
      </c>
      <c r="B37" s="2" t="s">
        <v>3355</v>
      </c>
      <c r="C37" s="3">
        <v>1</v>
      </c>
      <c r="D37" s="5">
        <v>58.5</v>
      </c>
      <c r="E37" s="3" t="s">
        <v>3356</v>
      </c>
      <c r="F37" s="2" t="s">
        <v>64</v>
      </c>
      <c r="G37" s="6" t="s">
        <v>156</v>
      </c>
      <c r="H37" s="2" t="s">
        <v>246</v>
      </c>
      <c r="I37" s="2" t="s">
        <v>189</v>
      </c>
      <c r="J37" s="2" t="s">
        <v>19</v>
      </c>
      <c r="K37" s="2" t="s">
        <v>34</v>
      </c>
      <c r="L37" s="7" t="str">
        <f>HYPERLINK("http://slimages.macys.com/is/image/MCY/11420502 ")</f>
        <v xml:space="preserve">http://slimages.macys.com/is/image/MCY/11420502 </v>
      </c>
    </row>
    <row r="38" spans="1:12" ht="24.75" x14ac:dyDescent="0.25">
      <c r="A38" s="4" t="s">
        <v>7075</v>
      </c>
      <c r="B38" s="2" t="s">
        <v>7076</v>
      </c>
      <c r="C38" s="3">
        <v>1</v>
      </c>
      <c r="D38" s="5">
        <v>59.5</v>
      </c>
      <c r="E38" s="3" t="s">
        <v>7077</v>
      </c>
      <c r="F38" s="2" t="s">
        <v>5457</v>
      </c>
      <c r="G38" s="6" t="s">
        <v>187</v>
      </c>
      <c r="H38" s="2" t="s">
        <v>127</v>
      </c>
      <c r="I38" s="2" t="s">
        <v>128</v>
      </c>
      <c r="J38" s="2" t="s">
        <v>19</v>
      </c>
      <c r="K38" s="2" t="s">
        <v>803</v>
      </c>
      <c r="L38" s="7" t="str">
        <f>HYPERLINK("http://slimages.macys.com/is/image/MCY/10625001 ")</f>
        <v xml:space="preserve">http://slimages.macys.com/is/image/MCY/10625001 </v>
      </c>
    </row>
    <row r="39" spans="1:12" ht="36.75" x14ac:dyDescent="0.25">
      <c r="A39" s="4" t="s">
        <v>271</v>
      </c>
      <c r="B39" s="2" t="s">
        <v>272</v>
      </c>
      <c r="C39" s="3">
        <v>1</v>
      </c>
      <c r="D39" s="5">
        <v>99.5</v>
      </c>
      <c r="E39" s="3" t="s">
        <v>273</v>
      </c>
      <c r="F39" s="2" t="s">
        <v>15</v>
      </c>
      <c r="G39" s="6" t="s">
        <v>187</v>
      </c>
      <c r="H39" s="2" t="s">
        <v>206</v>
      </c>
      <c r="I39" s="2" t="s">
        <v>207</v>
      </c>
      <c r="J39" s="2" t="s">
        <v>19</v>
      </c>
      <c r="K39" s="2" t="s">
        <v>274</v>
      </c>
      <c r="L39" s="7" t="str">
        <f>HYPERLINK("http://slimages.macys.com/is/image/MCY/12387675 ")</f>
        <v xml:space="preserve">http://slimages.macys.com/is/image/MCY/12387675 </v>
      </c>
    </row>
    <row r="40" spans="1:12" ht="24.75" x14ac:dyDescent="0.25">
      <c r="A40" s="4" t="s">
        <v>7078</v>
      </c>
      <c r="B40" s="2" t="s">
        <v>7079</v>
      </c>
      <c r="C40" s="3">
        <v>1</v>
      </c>
      <c r="D40" s="5">
        <v>52.13</v>
      </c>
      <c r="E40" s="3" t="s">
        <v>7080</v>
      </c>
      <c r="F40" s="2" t="s">
        <v>26</v>
      </c>
      <c r="G40" s="6" t="s">
        <v>181</v>
      </c>
      <c r="H40" s="2" t="s">
        <v>194</v>
      </c>
      <c r="I40" s="2" t="s">
        <v>580</v>
      </c>
      <c r="J40" s="2" t="s">
        <v>19</v>
      </c>
      <c r="K40" s="2" t="s">
        <v>1082</v>
      </c>
      <c r="L40" s="7" t="str">
        <f>HYPERLINK("http://slimages.macys.com/is/image/MCY/12404786 ")</f>
        <v xml:space="preserve">http://slimages.macys.com/is/image/MCY/12404786 </v>
      </c>
    </row>
    <row r="41" spans="1:12" ht="72.75" x14ac:dyDescent="0.25">
      <c r="A41" s="4" t="s">
        <v>7081</v>
      </c>
      <c r="B41" s="2" t="s">
        <v>7082</v>
      </c>
      <c r="C41" s="3">
        <v>1</v>
      </c>
      <c r="D41" s="5">
        <v>79.5</v>
      </c>
      <c r="E41" s="3" t="s">
        <v>7083</v>
      </c>
      <c r="F41" s="2" t="s">
        <v>74</v>
      </c>
      <c r="G41" s="6" t="s">
        <v>187</v>
      </c>
      <c r="H41" s="2" t="s">
        <v>206</v>
      </c>
      <c r="I41" s="2" t="s">
        <v>207</v>
      </c>
      <c r="J41" s="2" t="s">
        <v>19</v>
      </c>
      <c r="K41" s="2" t="s">
        <v>7084</v>
      </c>
      <c r="L41" s="7" t="str">
        <f>HYPERLINK("http://slimages.macys.com/is/image/MCY/9796453 ")</f>
        <v xml:space="preserve">http://slimages.macys.com/is/image/MCY/9796453 </v>
      </c>
    </row>
    <row r="42" spans="1:12" ht="36.75" x14ac:dyDescent="0.25">
      <c r="A42" s="4" t="s">
        <v>5395</v>
      </c>
      <c r="B42" s="2" t="s">
        <v>2198</v>
      </c>
      <c r="C42" s="3">
        <v>1</v>
      </c>
      <c r="D42" s="5">
        <v>52.13</v>
      </c>
      <c r="E42" s="3">
        <v>100020408</v>
      </c>
      <c r="F42" s="2" t="s">
        <v>26</v>
      </c>
      <c r="G42" s="6" t="s">
        <v>154</v>
      </c>
      <c r="H42" s="2" t="s">
        <v>194</v>
      </c>
      <c r="I42" s="2" t="s">
        <v>195</v>
      </c>
      <c r="J42" s="2" t="s">
        <v>19</v>
      </c>
      <c r="K42" s="2" t="s">
        <v>2199</v>
      </c>
      <c r="L42" s="7" t="str">
        <f>HYPERLINK("http://slimages.macys.com/is/image/MCY/9504840 ")</f>
        <v xml:space="preserve">http://slimages.macys.com/is/image/MCY/9504840 </v>
      </c>
    </row>
    <row r="43" spans="1:12" ht="24.75" x14ac:dyDescent="0.25">
      <c r="A43" s="4" t="s">
        <v>295</v>
      </c>
      <c r="B43" s="2" t="s">
        <v>288</v>
      </c>
      <c r="C43" s="3">
        <v>2</v>
      </c>
      <c r="D43" s="5">
        <v>52.13</v>
      </c>
      <c r="E43" s="3" t="s">
        <v>289</v>
      </c>
      <c r="F43" s="2" t="s">
        <v>74</v>
      </c>
      <c r="G43" s="6" t="s">
        <v>200</v>
      </c>
      <c r="H43" s="2" t="s">
        <v>194</v>
      </c>
      <c r="I43" s="2" t="s">
        <v>195</v>
      </c>
      <c r="J43" s="2" t="s">
        <v>19</v>
      </c>
      <c r="K43" s="2" t="s">
        <v>247</v>
      </c>
      <c r="L43" s="7" t="str">
        <f>HYPERLINK("http://slimages.macys.com/is/image/MCY/12849982 ")</f>
        <v xml:space="preserve">http://slimages.macys.com/is/image/MCY/12849982 </v>
      </c>
    </row>
    <row r="44" spans="1:12" ht="24.75" x14ac:dyDescent="0.25">
      <c r="A44" s="4" t="s">
        <v>290</v>
      </c>
      <c r="B44" s="2" t="s">
        <v>288</v>
      </c>
      <c r="C44" s="3">
        <v>3</v>
      </c>
      <c r="D44" s="5">
        <v>52.13</v>
      </c>
      <c r="E44" s="3" t="s">
        <v>289</v>
      </c>
      <c r="F44" s="2" t="s">
        <v>74</v>
      </c>
      <c r="G44" s="6" t="s">
        <v>181</v>
      </c>
      <c r="H44" s="2" t="s">
        <v>194</v>
      </c>
      <c r="I44" s="2" t="s">
        <v>195</v>
      </c>
      <c r="J44" s="2" t="s">
        <v>19</v>
      </c>
      <c r="K44" s="2" t="s">
        <v>247</v>
      </c>
      <c r="L44" s="7" t="str">
        <f>HYPERLINK("http://slimages.macys.com/is/image/MCY/12849982 ")</f>
        <v xml:space="preserve">http://slimages.macys.com/is/image/MCY/12849982 </v>
      </c>
    </row>
    <row r="45" spans="1:12" ht="24.75" x14ac:dyDescent="0.25">
      <c r="A45" s="4" t="s">
        <v>291</v>
      </c>
      <c r="B45" s="2" t="s">
        <v>288</v>
      </c>
      <c r="C45" s="3">
        <v>2</v>
      </c>
      <c r="D45" s="5">
        <v>52.13</v>
      </c>
      <c r="E45" s="3" t="s">
        <v>289</v>
      </c>
      <c r="F45" s="2" t="s">
        <v>74</v>
      </c>
      <c r="G45" s="6" t="s">
        <v>154</v>
      </c>
      <c r="H45" s="2" t="s">
        <v>194</v>
      </c>
      <c r="I45" s="2" t="s">
        <v>195</v>
      </c>
      <c r="J45" s="2" t="s">
        <v>19</v>
      </c>
      <c r="K45" s="2" t="s">
        <v>247</v>
      </c>
      <c r="L45" s="7" t="str">
        <f>HYPERLINK("http://slimages.macys.com/is/image/MCY/12849982 ")</f>
        <v xml:space="preserve">http://slimages.macys.com/is/image/MCY/12849982 </v>
      </c>
    </row>
    <row r="46" spans="1:12" ht="24.75" x14ac:dyDescent="0.25">
      <c r="A46" s="4" t="s">
        <v>6321</v>
      </c>
      <c r="B46" s="2" t="s">
        <v>293</v>
      </c>
      <c r="C46" s="3">
        <v>1</v>
      </c>
      <c r="D46" s="5">
        <v>52.13</v>
      </c>
      <c r="E46" s="3" t="s">
        <v>294</v>
      </c>
      <c r="F46" s="2" t="s">
        <v>26</v>
      </c>
      <c r="G46" s="6" t="s">
        <v>234</v>
      </c>
      <c r="H46" s="2" t="s">
        <v>194</v>
      </c>
      <c r="I46" s="2" t="s">
        <v>195</v>
      </c>
      <c r="J46" s="2" t="s">
        <v>19</v>
      </c>
      <c r="K46" s="2" t="s">
        <v>160</v>
      </c>
      <c r="L46" s="7" t="str">
        <f>HYPERLINK("http://slimages.macys.com/is/image/MCY/12143831 ")</f>
        <v xml:space="preserve">http://slimages.macys.com/is/image/MCY/12143831 </v>
      </c>
    </row>
    <row r="47" spans="1:12" ht="24.75" x14ac:dyDescent="0.25">
      <c r="A47" s="4" t="s">
        <v>7085</v>
      </c>
      <c r="B47" s="2" t="s">
        <v>288</v>
      </c>
      <c r="C47" s="3">
        <v>1</v>
      </c>
      <c r="D47" s="5">
        <v>52.13</v>
      </c>
      <c r="E47" s="3" t="s">
        <v>289</v>
      </c>
      <c r="F47" s="2" t="s">
        <v>74</v>
      </c>
      <c r="G47" s="6" t="s">
        <v>156</v>
      </c>
      <c r="H47" s="2" t="s">
        <v>194</v>
      </c>
      <c r="I47" s="2" t="s">
        <v>195</v>
      </c>
      <c r="J47" s="2" t="s">
        <v>19</v>
      </c>
      <c r="K47" s="2" t="s">
        <v>247</v>
      </c>
      <c r="L47" s="7" t="str">
        <f>HYPERLINK("http://slimages.macys.com/is/image/MCY/12849982 ")</f>
        <v xml:space="preserve">http://slimages.macys.com/is/image/MCY/12849982 </v>
      </c>
    </row>
    <row r="48" spans="1:12" ht="24.75" x14ac:dyDescent="0.25">
      <c r="A48" s="4" t="s">
        <v>5399</v>
      </c>
      <c r="B48" s="2" t="s">
        <v>303</v>
      </c>
      <c r="C48" s="3">
        <v>1</v>
      </c>
      <c r="D48" s="5">
        <v>44.63</v>
      </c>
      <c r="E48" s="3">
        <v>100055545</v>
      </c>
      <c r="F48" s="2" t="s">
        <v>225</v>
      </c>
      <c r="G48" s="6" t="s">
        <v>181</v>
      </c>
      <c r="H48" s="2" t="s">
        <v>194</v>
      </c>
      <c r="I48" s="2" t="s">
        <v>195</v>
      </c>
      <c r="J48" s="2" t="s">
        <v>19</v>
      </c>
      <c r="K48" s="2" t="s">
        <v>301</v>
      </c>
      <c r="L48" s="7" t="str">
        <f>HYPERLINK("http://slimages.macys.com/is/image/MCY/12279797 ")</f>
        <v xml:space="preserve">http://slimages.macys.com/is/image/MCY/12279797 </v>
      </c>
    </row>
    <row r="49" spans="1:12" ht="24.75" x14ac:dyDescent="0.25">
      <c r="A49" s="4" t="s">
        <v>7086</v>
      </c>
      <c r="B49" s="2" t="s">
        <v>7087</v>
      </c>
      <c r="C49" s="3">
        <v>1</v>
      </c>
      <c r="D49" s="5">
        <v>52.13</v>
      </c>
      <c r="E49" s="3" t="s">
        <v>7088</v>
      </c>
      <c r="F49" s="2" t="s">
        <v>413</v>
      </c>
      <c r="G49" s="6" t="s">
        <v>181</v>
      </c>
      <c r="H49" s="2" t="s">
        <v>246</v>
      </c>
      <c r="I49" s="2" t="s">
        <v>189</v>
      </c>
      <c r="J49" s="2" t="s">
        <v>19</v>
      </c>
      <c r="K49" s="2" t="s">
        <v>263</v>
      </c>
      <c r="L49" s="7" t="str">
        <f>HYPERLINK("http://slimages.macys.com/is/image/MCY/11972331 ")</f>
        <v xml:space="preserve">http://slimages.macys.com/is/image/MCY/11972331 </v>
      </c>
    </row>
    <row r="50" spans="1:12" ht="24.75" x14ac:dyDescent="0.25">
      <c r="A50" s="4" t="s">
        <v>7089</v>
      </c>
      <c r="B50" s="2" t="s">
        <v>7090</v>
      </c>
      <c r="C50" s="3">
        <v>1</v>
      </c>
      <c r="D50" s="5">
        <v>69.5</v>
      </c>
      <c r="E50" s="3" t="s">
        <v>7091</v>
      </c>
      <c r="F50" s="2" t="s">
        <v>15</v>
      </c>
      <c r="G50" s="6"/>
      <c r="H50" s="2" t="s">
        <v>127</v>
      </c>
      <c r="I50" s="2" t="s">
        <v>128</v>
      </c>
      <c r="J50" s="2" t="s">
        <v>19</v>
      </c>
      <c r="K50" s="2" t="s">
        <v>7092</v>
      </c>
      <c r="L50" s="7" t="str">
        <f>HYPERLINK("http://slimages.macys.com/is/image/MCY/12819076 ")</f>
        <v xml:space="preserve">http://slimages.macys.com/is/image/MCY/12819076 </v>
      </c>
    </row>
    <row r="51" spans="1:12" ht="24.75" x14ac:dyDescent="0.25">
      <c r="A51" s="4" t="s">
        <v>7093</v>
      </c>
      <c r="B51" s="2" t="s">
        <v>7094</v>
      </c>
      <c r="C51" s="3">
        <v>1</v>
      </c>
      <c r="D51" s="5">
        <v>52.13</v>
      </c>
      <c r="E51" s="3" t="s">
        <v>7095</v>
      </c>
      <c r="F51" s="2" t="s">
        <v>74</v>
      </c>
      <c r="G51" s="6" t="s">
        <v>154</v>
      </c>
      <c r="H51" s="2" t="s">
        <v>284</v>
      </c>
      <c r="I51" s="2" t="s">
        <v>285</v>
      </c>
      <c r="J51" s="2" t="s">
        <v>19</v>
      </c>
      <c r="K51" s="2" t="s">
        <v>137</v>
      </c>
      <c r="L51" s="7" t="str">
        <f>HYPERLINK("http://slimages.macys.com/is/image/MCY/11525724 ")</f>
        <v xml:space="preserve">http://slimages.macys.com/is/image/MCY/11525724 </v>
      </c>
    </row>
    <row r="52" spans="1:12" ht="24.75" x14ac:dyDescent="0.25">
      <c r="A52" s="4" t="s">
        <v>7096</v>
      </c>
      <c r="B52" s="2" t="s">
        <v>7097</v>
      </c>
      <c r="C52" s="3">
        <v>1</v>
      </c>
      <c r="D52" s="5">
        <v>52.13</v>
      </c>
      <c r="E52" s="3" t="s">
        <v>7098</v>
      </c>
      <c r="F52" s="2" t="s">
        <v>64</v>
      </c>
      <c r="G52" s="6" t="s">
        <v>245</v>
      </c>
      <c r="H52" s="2" t="s">
        <v>246</v>
      </c>
      <c r="I52" s="2" t="s">
        <v>189</v>
      </c>
      <c r="J52" s="2" t="s">
        <v>19</v>
      </c>
      <c r="K52" s="2" t="s">
        <v>263</v>
      </c>
      <c r="L52" s="7" t="str">
        <f>HYPERLINK("http://slimages.macys.com/is/image/MCY/12266914 ")</f>
        <v xml:space="preserve">http://slimages.macys.com/is/image/MCY/12266914 </v>
      </c>
    </row>
    <row r="53" spans="1:12" ht="24.75" x14ac:dyDescent="0.25">
      <c r="A53" s="4" t="s">
        <v>7099</v>
      </c>
      <c r="B53" s="2" t="s">
        <v>2236</v>
      </c>
      <c r="C53" s="3">
        <v>1</v>
      </c>
      <c r="D53" s="5">
        <v>48.38</v>
      </c>
      <c r="E53" s="3" t="s">
        <v>2237</v>
      </c>
      <c r="F53" s="2" t="s">
        <v>5415</v>
      </c>
      <c r="G53" s="6" t="s">
        <v>245</v>
      </c>
      <c r="H53" s="2" t="s">
        <v>246</v>
      </c>
      <c r="I53" s="2" t="s">
        <v>189</v>
      </c>
      <c r="J53" s="2" t="s">
        <v>19</v>
      </c>
      <c r="K53" s="2" t="s">
        <v>241</v>
      </c>
      <c r="L53" s="7" t="str">
        <f>HYPERLINK("http://slimages.macys.com/is/image/MCY/11938495 ")</f>
        <v xml:space="preserve">http://slimages.macys.com/is/image/MCY/11938495 </v>
      </c>
    </row>
    <row r="54" spans="1:12" ht="24.75" x14ac:dyDescent="0.25">
      <c r="A54" s="4" t="s">
        <v>7100</v>
      </c>
      <c r="B54" s="2" t="s">
        <v>7101</v>
      </c>
      <c r="C54" s="3">
        <v>1</v>
      </c>
      <c r="D54" s="5">
        <v>48.38</v>
      </c>
      <c r="E54" s="3" t="s">
        <v>7102</v>
      </c>
      <c r="F54" s="2" t="s">
        <v>74</v>
      </c>
      <c r="G54" s="6" t="s">
        <v>407</v>
      </c>
      <c r="H54" s="2" t="s">
        <v>349</v>
      </c>
      <c r="I54" s="2" t="s">
        <v>7103</v>
      </c>
      <c r="J54" s="2" t="s">
        <v>19</v>
      </c>
      <c r="K54" s="2" t="s">
        <v>160</v>
      </c>
      <c r="L54" s="7" t="str">
        <f>HYPERLINK("http://slimages.macys.com/is/image/MCY/11943151 ")</f>
        <v xml:space="preserve">http://slimages.macys.com/is/image/MCY/11943151 </v>
      </c>
    </row>
    <row r="55" spans="1:12" ht="24.75" x14ac:dyDescent="0.25">
      <c r="A55" s="4" t="s">
        <v>4498</v>
      </c>
      <c r="B55" s="2" t="s">
        <v>359</v>
      </c>
      <c r="C55" s="3">
        <v>1</v>
      </c>
      <c r="D55" s="5">
        <v>59.5</v>
      </c>
      <c r="E55" s="3" t="s">
        <v>360</v>
      </c>
      <c r="F55" s="2" t="s">
        <v>26</v>
      </c>
      <c r="G55" s="6" t="s">
        <v>934</v>
      </c>
      <c r="H55" s="2" t="s">
        <v>127</v>
      </c>
      <c r="I55" s="2" t="s">
        <v>128</v>
      </c>
      <c r="J55" s="2" t="s">
        <v>19</v>
      </c>
      <c r="K55" s="2" t="s">
        <v>361</v>
      </c>
      <c r="L55" s="7" t="str">
        <f>HYPERLINK("http://slimages.macys.com/is/image/MCY/10890960 ")</f>
        <v xml:space="preserve">http://slimages.macys.com/is/image/MCY/10890960 </v>
      </c>
    </row>
    <row r="56" spans="1:12" ht="24.75" x14ac:dyDescent="0.25">
      <c r="A56" s="4" t="s">
        <v>7104</v>
      </c>
      <c r="B56" s="2" t="s">
        <v>359</v>
      </c>
      <c r="C56" s="3">
        <v>1</v>
      </c>
      <c r="D56" s="5">
        <v>59.5</v>
      </c>
      <c r="E56" s="3" t="s">
        <v>360</v>
      </c>
      <c r="F56" s="2" t="s">
        <v>26</v>
      </c>
      <c r="G56" s="6" t="s">
        <v>802</v>
      </c>
      <c r="H56" s="2" t="s">
        <v>127</v>
      </c>
      <c r="I56" s="2" t="s">
        <v>128</v>
      </c>
      <c r="J56" s="2" t="s">
        <v>19</v>
      </c>
      <c r="K56" s="2" t="s">
        <v>361</v>
      </c>
      <c r="L56" s="7" t="str">
        <f>HYPERLINK("http://slimages.macys.com/is/image/MCY/10890960 ")</f>
        <v xml:space="preserve">http://slimages.macys.com/is/image/MCY/10890960 </v>
      </c>
    </row>
    <row r="57" spans="1:12" ht="24.75" x14ac:dyDescent="0.25">
      <c r="A57" s="4" t="s">
        <v>7105</v>
      </c>
      <c r="B57" s="2" t="s">
        <v>7106</v>
      </c>
      <c r="C57" s="3">
        <v>1</v>
      </c>
      <c r="D57" s="5">
        <v>67.13</v>
      </c>
      <c r="E57" s="3" t="s">
        <v>7107</v>
      </c>
      <c r="F57" s="2" t="s">
        <v>64</v>
      </c>
      <c r="G57" s="6" t="s">
        <v>234</v>
      </c>
      <c r="H57" s="2" t="s">
        <v>246</v>
      </c>
      <c r="I57" s="2" t="s">
        <v>189</v>
      </c>
      <c r="J57" s="2" t="s">
        <v>19</v>
      </c>
      <c r="K57" s="2" t="s">
        <v>3423</v>
      </c>
      <c r="L57" s="7" t="str">
        <f>HYPERLINK("http://slimages.macys.com/is/image/MCY/12057972 ")</f>
        <v xml:space="preserve">http://slimages.macys.com/is/image/MCY/12057972 </v>
      </c>
    </row>
    <row r="58" spans="1:12" ht="24.75" x14ac:dyDescent="0.25">
      <c r="A58" s="4" t="s">
        <v>7108</v>
      </c>
      <c r="B58" s="2" t="s">
        <v>7109</v>
      </c>
      <c r="C58" s="3">
        <v>1</v>
      </c>
      <c r="D58" s="5">
        <v>67.13</v>
      </c>
      <c r="E58" s="3" t="s">
        <v>7110</v>
      </c>
      <c r="F58" s="2" t="s">
        <v>413</v>
      </c>
      <c r="G58" s="6" t="s">
        <v>245</v>
      </c>
      <c r="H58" s="2" t="s">
        <v>246</v>
      </c>
      <c r="I58" s="2" t="s">
        <v>189</v>
      </c>
      <c r="J58" s="2" t="s">
        <v>19</v>
      </c>
      <c r="K58" s="2" t="s">
        <v>3423</v>
      </c>
      <c r="L58" s="7" t="str">
        <f>HYPERLINK("http://slimages.macys.com/is/image/MCY/11807765 ")</f>
        <v xml:space="preserve">http://slimages.macys.com/is/image/MCY/11807765 </v>
      </c>
    </row>
    <row r="59" spans="1:12" ht="36.75" x14ac:dyDescent="0.25">
      <c r="A59" s="4" t="s">
        <v>7111</v>
      </c>
      <c r="B59" s="2" t="s">
        <v>2248</v>
      </c>
      <c r="C59" s="3">
        <v>1</v>
      </c>
      <c r="D59" s="5">
        <v>43.5</v>
      </c>
      <c r="E59" s="3" t="s">
        <v>3384</v>
      </c>
      <c r="F59" s="2" t="s">
        <v>64</v>
      </c>
      <c r="G59" s="6" t="s">
        <v>7112</v>
      </c>
      <c r="H59" s="2" t="s">
        <v>349</v>
      </c>
      <c r="I59" s="2" t="s">
        <v>408</v>
      </c>
      <c r="J59" s="2" t="s">
        <v>19</v>
      </c>
      <c r="K59" s="2" t="s">
        <v>500</v>
      </c>
      <c r="L59" s="7" t="str">
        <f>HYPERLINK("http://slimages.macys.com/is/image/MCY/9468308 ")</f>
        <v xml:space="preserve">http://slimages.macys.com/is/image/MCY/9468308 </v>
      </c>
    </row>
    <row r="60" spans="1:12" ht="24.75" x14ac:dyDescent="0.25">
      <c r="A60" s="4" t="s">
        <v>7113</v>
      </c>
      <c r="B60" s="2" t="s">
        <v>6346</v>
      </c>
      <c r="C60" s="3">
        <v>1</v>
      </c>
      <c r="D60" s="5">
        <v>52.13</v>
      </c>
      <c r="E60" s="3" t="s">
        <v>7114</v>
      </c>
      <c r="F60" s="2" t="s">
        <v>413</v>
      </c>
      <c r="G60" s="6" t="s">
        <v>154</v>
      </c>
      <c r="H60" s="2" t="s">
        <v>246</v>
      </c>
      <c r="I60" s="2" t="s">
        <v>189</v>
      </c>
      <c r="J60" s="2" t="s">
        <v>19</v>
      </c>
      <c r="K60" s="2" t="s">
        <v>263</v>
      </c>
      <c r="L60" s="7" t="str">
        <f>HYPERLINK("http://slimages.macys.com/is/image/MCY/11940207 ")</f>
        <v xml:space="preserve">http://slimages.macys.com/is/image/MCY/11940207 </v>
      </c>
    </row>
    <row r="61" spans="1:12" ht="24.75" x14ac:dyDescent="0.25">
      <c r="A61" s="4" t="s">
        <v>7115</v>
      </c>
      <c r="B61" s="2" t="s">
        <v>2254</v>
      </c>
      <c r="C61" s="3">
        <v>1</v>
      </c>
      <c r="D61" s="5">
        <v>44.5</v>
      </c>
      <c r="E61" s="3" t="s">
        <v>6351</v>
      </c>
      <c r="F61" s="2" t="s">
        <v>252</v>
      </c>
      <c r="G61" s="6" t="s">
        <v>234</v>
      </c>
      <c r="H61" s="2" t="s">
        <v>194</v>
      </c>
      <c r="I61" s="2" t="s">
        <v>195</v>
      </c>
      <c r="J61" s="2" t="s">
        <v>19</v>
      </c>
      <c r="K61" s="2" t="s">
        <v>6352</v>
      </c>
      <c r="L61" s="7" t="str">
        <f>HYPERLINK("http://slimages.macys.com/is/image/MCY/11937871 ")</f>
        <v xml:space="preserve">http://slimages.macys.com/is/image/MCY/11937871 </v>
      </c>
    </row>
    <row r="62" spans="1:12" ht="24.75" x14ac:dyDescent="0.25">
      <c r="A62" s="4" t="s">
        <v>6349</v>
      </c>
      <c r="B62" s="2" t="s">
        <v>2252</v>
      </c>
      <c r="C62" s="3">
        <v>1</v>
      </c>
      <c r="D62" s="5">
        <v>48</v>
      </c>
      <c r="E62" s="3">
        <v>100050014</v>
      </c>
      <c r="F62" s="2" t="s">
        <v>111</v>
      </c>
      <c r="G62" s="6" t="s">
        <v>27</v>
      </c>
      <c r="H62" s="2" t="s">
        <v>228</v>
      </c>
      <c r="I62" s="2" t="s">
        <v>229</v>
      </c>
      <c r="J62" s="2" t="s">
        <v>19</v>
      </c>
      <c r="K62" s="2" t="s">
        <v>387</v>
      </c>
      <c r="L62" s="7" t="str">
        <f>HYPERLINK("http://slimages.macys.com/is/image/MCY/11804490 ")</f>
        <v xml:space="preserve">http://slimages.macys.com/is/image/MCY/11804490 </v>
      </c>
    </row>
    <row r="63" spans="1:12" ht="24.75" x14ac:dyDescent="0.25">
      <c r="A63" s="4" t="s">
        <v>7116</v>
      </c>
      <c r="B63" s="2" t="s">
        <v>3393</v>
      </c>
      <c r="C63" s="3">
        <v>1</v>
      </c>
      <c r="D63" s="5">
        <v>48.38</v>
      </c>
      <c r="E63" s="3" t="s">
        <v>3394</v>
      </c>
      <c r="F63" s="2" t="s">
        <v>252</v>
      </c>
      <c r="G63" s="6" t="s">
        <v>27</v>
      </c>
      <c r="H63" s="2" t="s">
        <v>213</v>
      </c>
      <c r="I63" s="2" t="s">
        <v>214</v>
      </c>
      <c r="J63" s="2" t="s">
        <v>19</v>
      </c>
      <c r="K63" s="2" t="s">
        <v>353</v>
      </c>
      <c r="L63" s="7" t="str">
        <f>HYPERLINK("http://slimages.macys.com/is/image/MCY/11503421 ")</f>
        <v xml:space="preserve">http://slimages.macys.com/is/image/MCY/11503421 </v>
      </c>
    </row>
    <row r="64" spans="1:12" ht="24.75" x14ac:dyDescent="0.25">
      <c r="A64" s="4" t="s">
        <v>7117</v>
      </c>
      <c r="B64" s="2" t="s">
        <v>390</v>
      </c>
      <c r="C64" s="3">
        <v>1</v>
      </c>
      <c r="D64" s="5">
        <v>69.5</v>
      </c>
      <c r="E64" s="3">
        <v>100055524</v>
      </c>
      <c r="F64" s="2" t="s">
        <v>64</v>
      </c>
      <c r="G64" s="6" t="s">
        <v>141</v>
      </c>
      <c r="H64" s="2" t="s">
        <v>386</v>
      </c>
      <c r="I64" s="2" t="s">
        <v>391</v>
      </c>
      <c r="J64" s="2" t="s">
        <v>19</v>
      </c>
      <c r="K64" s="2" t="s">
        <v>392</v>
      </c>
      <c r="L64" s="7" t="str">
        <f>HYPERLINK("http://slimages.macys.com/is/image/MCY/11535527 ")</f>
        <v xml:space="preserve">http://slimages.macys.com/is/image/MCY/11535527 </v>
      </c>
    </row>
    <row r="65" spans="1:12" ht="36.75" x14ac:dyDescent="0.25">
      <c r="A65" s="4" t="s">
        <v>7118</v>
      </c>
      <c r="B65" s="2" t="s">
        <v>374</v>
      </c>
      <c r="C65" s="3">
        <v>1</v>
      </c>
      <c r="D65" s="5">
        <v>52.13</v>
      </c>
      <c r="E65" s="3" t="s">
        <v>394</v>
      </c>
      <c r="F65" s="2" t="s">
        <v>74</v>
      </c>
      <c r="G65" s="6" t="s">
        <v>205</v>
      </c>
      <c r="H65" s="2" t="s">
        <v>188</v>
      </c>
      <c r="I65" s="2" t="s">
        <v>189</v>
      </c>
      <c r="J65" s="2" t="s">
        <v>19</v>
      </c>
      <c r="K65" s="2" t="s">
        <v>395</v>
      </c>
      <c r="L65" s="7" t="str">
        <f>HYPERLINK("http://slimages.macys.com/is/image/MCY/11626905 ")</f>
        <v xml:space="preserve">http://slimages.macys.com/is/image/MCY/11626905 </v>
      </c>
    </row>
    <row r="66" spans="1:12" ht="24.75" x14ac:dyDescent="0.25">
      <c r="A66" s="4" t="s">
        <v>7119</v>
      </c>
      <c r="B66" s="2" t="s">
        <v>4519</v>
      </c>
      <c r="C66" s="3">
        <v>1</v>
      </c>
      <c r="D66" s="5">
        <v>69.5</v>
      </c>
      <c r="E66" s="3" t="s">
        <v>4522</v>
      </c>
      <c r="F66" s="2" t="s">
        <v>887</v>
      </c>
      <c r="G66" s="6"/>
      <c r="H66" s="2" t="s">
        <v>127</v>
      </c>
      <c r="I66" s="2" t="s">
        <v>128</v>
      </c>
      <c r="J66" s="2" t="s">
        <v>19</v>
      </c>
      <c r="K66" s="2" t="s">
        <v>34</v>
      </c>
      <c r="L66" s="7" t="str">
        <f>HYPERLINK("http://slimages.macys.com/is/image/MCY/12793514 ")</f>
        <v xml:space="preserve">http://slimages.macys.com/is/image/MCY/12793514 </v>
      </c>
    </row>
    <row r="67" spans="1:12" ht="36.75" x14ac:dyDescent="0.25">
      <c r="A67" s="4" t="s">
        <v>410</v>
      </c>
      <c r="B67" s="2" t="s">
        <v>411</v>
      </c>
      <c r="C67" s="3">
        <v>1</v>
      </c>
      <c r="D67" s="5">
        <v>44.63</v>
      </c>
      <c r="E67" s="3" t="s">
        <v>412</v>
      </c>
      <c r="F67" s="2" t="s">
        <v>413</v>
      </c>
      <c r="G67" s="6" t="s">
        <v>181</v>
      </c>
      <c r="H67" s="2" t="s">
        <v>284</v>
      </c>
      <c r="I67" s="2" t="s">
        <v>285</v>
      </c>
      <c r="J67" s="2" t="s">
        <v>19</v>
      </c>
      <c r="K67" s="2" t="s">
        <v>274</v>
      </c>
      <c r="L67" s="7" t="str">
        <f>HYPERLINK("http://slimages.macys.com/is/image/MCY/12237188 ")</f>
        <v xml:space="preserve">http://slimages.macys.com/is/image/MCY/12237188 </v>
      </c>
    </row>
    <row r="68" spans="1:12" ht="36.75" x14ac:dyDescent="0.25">
      <c r="A68" s="4" t="s">
        <v>7120</v>
      </c>
      <c r="B68" s="2" t="s">
        <v>7121</v>
      </c>
      <c r="C68" s="3">
        <v>1</v>
      </c>
      <c r="D68" s="5">
        <v>52.13</v>
      </c>
      <c r="E68" s="3" t="s">
        <v>7122</v>
      </c>
      <c r="F68" s="2" t="s">
        <v>2619</v>
      </c>
      <c r="G68" s="6" t="s">
        <v>245</v>
      </c>
      <c r="H68" s="2" t="s">
        <v>194</v>
      </c>
      <c r="I68" s="2" t="s">
        <v>195</v>
      </c>
      <c r="J68" s="2" t="s">
        <v>19</v>
      </c>
      <c r="K68" s="2" t="s">
        <v>7123</v>
      </c>
      <c r="L68" s="7" t="str">
        <f>HYPERLINK("http://slimages.macys.com/is/image/MCY/12852300 ")</f>
        <v xml:space="preserve">http://slimages.macys.com/is/image/MCY/12852300 </v>
      </c>
    </row>
    <row r="69" spans="1:12" x14ac:dyDescent="0.25">
      <c r="A69" s="4" t="s">
        <v>7124</v>
      </c>
      <c r="B69" s="2" t="s">
        <v>2265</v>
      </c>
      <c r="C69" s="3">
        <v>1</v>
      </c>
      <c r="D69" s="5">
        <v>79.5</v>
      </c>
      <c r="E69" s="3">
        <v>100060510</v>
      </c>
      <c r="F69" s="2" t="s">
        <v>74</v>
      </c>
      <c r="G69" s="6" t="s">
        <v>16</v>
      </c>
      <c r="H69" s="2" t="s">
        <v>386</v>
      </c>
      <c r="I69" s="2" t="s">
        <v>207</v>
      </c>
      <c r="J69" s="2" t="s">
        <v>19</v>
      </c>
      <c r="K69" s="2" t="s">
        <v>353</v>
      </c>
      <c r="L69" s="7" t="str">
        <f>HYPERLINK("http://slimages.macys.com/is/image/MCY/12792713 ")</f>
        <v xml:space="preserve">http://slimages.macys.com/is/image/MCY/12792713 </v>
      </c>
    </row>
    <row r="70" spans="1:12" x14ac:dyDescent="0.25">
      <c r="A70" s="4" t="s">
        <v>7125</v>
      </c>
      <c r="B70" s="2" t="s">
        <v>7126</v>
      </c>
      <c r="C70" s="3">
        <v>1</v>
      </c>
      <c r="D70" s="5">
        <v>79.5</v>
      </c>
      <c r="E70" s="3">
        <v>100068167</v>
      </c>
      <c r="F70" s="2" t="s">
        <v>74</v>
      </c>
      <c r="G70" s="6" t="s">
        <v>106</v>
      </c>
      <c r="H70" s="2" t="s">
        <v>386</v>
      </c>
      <c r="I70" s="2" t="s">
        <v>207</v>
      </c>
      <c r="J70" s="2" t="s">
        <v>19</v>
      </c>
      <c r="K70" s="2" t="s">
        <v>353</v>
      </c>
      <c r="L70" s="7" t="str">
        <f>HYPERLINK("http://slimages.macys.com/is/image/MCY/13080526 ")</f>
        <v xml:space="preserve">http://slimages.macys.com/is/image/MCY/13080526 </v>
      </c>
    </row>
    <row r="71" spans="1:12" ht="24.75" x14ac:dyDescent="0.25">
      <c r="A71" s="4" t="s">
        <v>7127</v>
      </c>
      <c r="B71" s="2" t="s">
        <v>7128</v>
      </c>
      <c r="C71" s="3">
        <v>1</v>
      </c>
      <c r="D71" s="5">
        <v>59.5</v>
      </c>
      <c r="E71" s="3" t="s">
        <v>7129</v>
      </c>
      <c r="F71" s="2" t="s">
        <v>74</v>
      </c>
      <c r="G71" s="6" t="s">
        <v>336</v>
      </c>
      <c r="H71" s="2" t="s">
        <v>206</v>
      </c>
      <c r="I71" s="2" t="s">
        <v>1010</v>
      </c>
      <c r="J71" s="2" t="s">
        <v>19</v>
      </c>
      <c r="K71" s="2" t="s">
        <v>160</v>
      </c>
      <c r="L71" s="7" t="str">
        <f>HYPERLINK("http://slimages.macys.com/is/image/MCY/9504083 ")</f>
        <v xml:space="preserve">http://slimages.macys.com/is/image/MCY/9504083 </v>
      </c>
    </row>
    <row r="72" spans="1:12" x14ac:dyDescent="0.25">
      <c r="A72" s="4" t="s">
        <v>7130</v>
      </c>
      <c r="B72" s="2" t="s">
        <v>7126</v>
      </c>
      <c r="C72" s="3">
        <v>1</v>
      </c>
      <c r="D72" s="5">
        <v>79.5</v>
      </c>
      <c r="E72" s="3">
        <v>100068167</v>
      </c>
      <c r="F72" s="2" t="s">
        <v>74</v>
      </c>
      <c r="G72" s="6" t="s">
        <v>65</v>
      </c>
      <c r="H72" s="2" t="s">
        <v>386</v>
      </c>
      <c r="I72" s="2" t="s">
        <v>207</v>
      </c>
      <c r="J72" s="2" t="s">
        <v>19</v>
      </c>
      <c r="K72" s="2" t="s">
        <v>353</v>
      </c>
      <c r="L72" s="7" t="str">
        <f>HYPERLINK("http://slimages.macys.com/is/image/MCY/13080526 ")</f>
        <v xml:space="preserve">http://slimages.macys.com/is/image/MCY/13080526 </v>
      </c>
    </row>
    <row r="73" spans="1:12" ht="24.75" x14ac:dyDescent="0.25">
      <c r="A73" s="4" t="s">
        <v>7131</v>
      </c>
      <c r="B73" s="2" t="s">
        <v>7132</v>
      </c>
      <c r="C73" s="3">
        <v>1</v>
      </c>
      <c r="D73" s="5">
        <v>56.99</v>
      </c>
      <c r="E73" s="3" t="s">
        <v>7133</v>
      </c>
      <c r="F73" s="2" t="s">
        <v>74</v>
      </c>
      <c r="G73" s="6" t="s">
        <v>154</v>
      </c>
      <c r="H73" s="2" t="s">
        <v>194</v>
      </c>
      <c r="I73" s="2" t="s">
        <v>195</v>
      </c>
      <c r="J73" s="2" t="s">
        <v>19</v>
      </c>
      <c r="K73" s="2" t="s">
        <v>7134</v>
      </c>
      <c r="L73" s="7" t="str">
        <f>HYPERLINK("http://slimages.macys.com/is/image/MCY/14659046 ")</f>
        <v xml:space="preserve">http://slimages.macys.com/is/image/MCY/14659046 </v>
      </c>
    </row>
    <row r="74" spans="1:12" ht="24.75" x14ac:dyDescent="0.25">
      <c r="A74" s="4" t="s">
        <v>7135</v>
      </c>
      <c r="B74" s="2" t="s">
        <v>5452</v>
      </c>
      <c r="C74" s="3">
        <v>1</v>
      </c>
      <c r="D74" s="5">
        <v>39.5</v>
      </c>
      <c r="E74" s="3">
        <v>100054428</v>
      </c>
      <c r="F74" s="2" t="s">
        <v>74</v>
      </c>
      <c r="G74" s="6" t="s">
        <v>245</v>
      </c>
      <c r="H74" s="2" t="s">
        <v>194</v>
      </c>
      <c r="I74" s="2" t="s">
        <v>503</v>
      </c>
      <c r="J74" s="2" t="s">
        <v>19</v>
      </c>
      <c r="K74" s="2" t="s">
        <v>5453</v>
      </c>
      <c r="L74" s="7" t="str">
        <f>HYPERLINK("http://slimages.macys.com/is/image/MCY/15299160 ")</f>
        <v xml:space="preserve">http://slimages.macys.com/is/image/MCY/15299160 </v>
      </c>
    </row>
    <row r="75" spans="1:12" ht="24.75" x14ac:dyDescent="0.25">
      <c r="A75" s="4" t="s">
        <v>7136</v>
      </c>
      <c r="B75" s="2" t="s">
        <v>5452</v>
      </c>
      <c r="C75" s="3">
        <v>2</v>
      </c>
      <c r="D75" s="5">
        <v>39.5</v>
      </c>
      <c r="E75" s="3">
        <v>100054428</v>
      </c>
      <c r="F75" s="2" t="s">
        <v>74</v>
      </c>
      <c r="G75" s="6" t="s">
        <v>154</v>
      </c>
      <c r="H75" s="2" t="s">
        <v>194</v>
      </c>
      <c r="I75" s="2" t="s">
        <v>503</v>
      </c>
      <c r="J75" s="2" t="s">
        <v>19</v>
      </c>
      <c r="K75" s="2" t="s">
        <v>5453</v>
      </c>
      <c r="L75" s="7" t="str">
        <f>HYPERLINK("http://slimages.macys.com/is/image/MCY/15299160 ")</f>
        <v xml:space="preserve">http://slimages.macys.com/is/image/MCY/15299160 </v>
      </c>
    </row>
    <row r="76" spans="1:12" ht="24.75" x14ac:dyDescent="0.25">
      <c r="A76" s="4" t="s">
        <v>7137</v>
      </c>
      <c r="B76" s="2" t="s">
        <v>2271</v>
      </c>
      <c r="C76" s="3">
        <v>1</v>
      </c>
      <c r="D76" s="5">
        <v>52.13</v>
      </c>
      <c r="E76" s="3" t="s">
        <v>2272</v>
      </c>
      <c r="F76" s="2" t="s">
        <v>26</v>
      </c>
      <c r="G76" s="6" t="s">
        <v>200</v>
      </c>
      <c r="H76" s="2" t="s">
        <v>246</v>
      </c>
      <c r="I76" s="2" t="s">
        <v>189</v>
      </c>
      <c r="J76" s="2" t="s">
        <v>19</v>
      </c>
      <c r="K76" s="2" t="s">
        <v>220</v>
      </c>
      <c r="L76" s="7" t="str">
        <f>HYPERLINK("http://slimages.macys.com/is/image/MCY/11746869 ")</f>
        <v xml:space="preserve">http://slimages.macys.com/is/image/MCY/11746869 </v>
      </c>
    </row>
    <row r="77" spans="1:12" ht="24.75" x14ac:dyDescent="0.25">
      <c r="A77" s="4" t="s">
        <v>4546</v>
      </c>
      <c r="B77" s="2" t="s">
        <v>456</v>
      </c>
      <c r="C77" s="3">
        <v>1</v>
      </c>
      <c r="D77" s="5">
        <v>44.63</v>
      </c>
      <c r="E77" s="3" t="s">
        <v>457</v>
      </c>
      <c r="F77" s="2" t="s">
        <v>26</v>
      </c>
      <c r="G77" s="6" t="s">
        <v>746</v>
      </c>
      <c r="H77" s="2" t="s">
        <v>349</v>
      </c>
      <c r="I77" s="2" t="s">
        <v>458</v>
      </c>
      <c r="J77" s="2" t="s">
        <v>19</v>
      </c>
      <c r="K77" s="2" t="s">
        <v>459</v>
      </c>
      <c r="L77" s="7" t="str">
        <f>HYPERLINK("http://slimages.macys.com/is/image/MCY/11030035 ")</f>
        <v xml:space="preserve">http://slimages.macys.com/is/image/MCY/11030035 </v>
      </c>
    </row>
    <row r="78" spans="1:12" ht="24.75" x14ac:dyDescent="0.25">
      <c r="A78" s="4" t="s">
        <v>7138</v>
      </c>
      <c r="B78" s="2" t="s">
        <v>3413</v>
      </c>
      <c r="C78" s="3">
        <v>1</v>
      </c>
      <c r="D78" s="5">
        <v>51.5</v>
      </c>
      <c r="E78" s="3" t="s">
        <v>3414</v>
      </c>
      <c r="F78" s="2" t="s">
        <v>26</v>
      </c>
      <c r="G78" s="6" t="s">
        <v>200</v>
      </c>
      <c r="H78" s="2" t="s">
        <v>246</v>
      </c>
      <c r="I78" s="2" t="s">
        <v>189</v>
      </c>
      <c r="J78" s="2" t="s">
        <v>19</v>
      </c>
      <c r="K78" s="2" t="s">
        <v>3423</v>
      </c>
      <c r="L78" s="7" t="str">
        <f>HYPERLINK("http://slimages.macys.com/is/image/MCY/11746817 ")</f>
        <v xml:space="preserve">http://slimages.macys.com/is/image/MCY/11746817 </v>
      </c>
    </row>
    <row r="79" spans="1:12" ht="24.75" x14ac:dyDescent="0.25">
      <c r="A79" s="4" t="s">
        <v>7139</v>
      </c>
      <c r="B79" s="2" t="s">
        <v>7140</v>
      </c>
      <c r="C79" s="3">
        <v>1</v>
      </c>
      <c r="D79" s="5">
        <v>51.5</v>
      </c>
      <c r="E79" s="3" t="s">
        <v>7141</v>
      </c>
      <c r="F79" s="2" t="s">
        <v>572</v>
      </c>
      <c r="G79" s="6" t="s">
        <v>141</v>
      </c>
      <c r="H79" s="2" t="s">
        <v>246</v>
      </c>
      <c r="I79" s="2" t="s">
        <v>487</v>
      </c>
      <c r="J79" s="2" t="s">
        <v>19</v>
      </c>
      <c r="K79" s="2" t="s">
        <v>409</v>
      </c>
      <c r="L79" s="7" t="str">
        <f>HYPERLINK("http://slimages.macys.com/is/image/MCY/10679694 ")</f>
        <v xml:space="preserve">http://slimages.macys.com/is/image/MCY/10679694 </v>
      </c>
    </row>
    <row r="80" spans="1:12" ht="24.75" x14ac:dyDescent="0.25">
      <c r="A80" s="4" t="s">
        <v>7142</v>
      </c>
      <c r="B80" s="2" t="s">
        <v>7143</v>
      </c>
      <c r="C80" s="3">
        <v>1</v>
      </c>
      <c r="D80" s="5">
        <v>52.13</v>
      </c>
      <c r="E80" s="3" t="s">
        <v>7144</v>
      </c>
      <c r="F80" s="2" t="s">
        <v>26</v>
      </c>
      <c r="G80" s="6" t="s">
        <v>154</v>
      </c>
      <c r="H80" s="2" t="s">
        <v>246</v>
      </c>
      <c r="I80" s="2" t="s">
        <v>189</v>
      </c>
      <c r="J80" s="2" t="s">
        <v>19</v>
      </c>
      <c r="K80" s="2" t="s">
        <v>353</v>
      </c>
      <c r="L80" s="7" t="str">
        <f>HYPERLINK("http://slimages.macys.com/is/image/MCY/12928705 ")</f>
        <v xml:space="preserve">http://slimages.macys.com/is/image/MCY/12928705 </v>
      </c>
    </row>
    <row r="81" spans="1:12" ht="36.75" x14ac:dyDescent="0.25">
      <c r="A81" s="4" t="s">
        <v>7145</v>
      </c>
      <c r="B81" s="2" t="s">
        <v>7146</v>
      </c>
      <c r="C81" s="3">
        <v>1</v>
      </c>
      <c r="D81" s="5">
        <v>52.13</v>
      </c>
      <c r="E81" s="3" t="s">
        <v>7147</v>
      </c>
      <c r="F81" s="2" t="s">
        <v>53</v>
      </c>
      <c r="G81" s="6" t="s">
        <v>156</v>
      </c>
      <c r="H81" s="2" t="s">
        <v>246</v>
      </c>
      <c r="I81" s="2" t="s">
        <v>189</v>
      </c>
      <c r="J81" s="2" t="s">
        <v>19</v>
      </c>
      <c r="K81" s="2" t="s">
        <v>2419</v>
      </c>
      <c r="L81" s="7" t="str">
        <f>HYPERLINK("http://slimages.macys.com/is/image/MCY/15215893 ")</f>
        <v xml:space="preserve">http://slimages.macys.com/is/image/MCY/15215893 </v>
      </c>
    </row>
    <row r="82" spans="1:12" ht="24.75" x14ac:dyDescent="0.25">
      <c r="A82" s="4" t="s">
        <v>5479</v>
      </c>
      <c r="B82" s="2" t="s">
        <v>492</v>
      </c>
      <c r="C82" s="3">
        <v>1</v>
      </c>
      <c r="D82" s="5">
        <v>44.5</v>
      </c>
      <c r="E82" s="3" t="s">
        <v>493</v>
      </c>
      <c r="F82" s="2" t="s">
        <v>494</v>
      </c>
      <c r="G82" s="6" t="s">
        <v>200</v>
      </c>
      <c r="H82" s="2" t="s">
        <v>194</v>
      </c>
      <c r="I82" s="2" t="s">
        <v>195</v>
      </c>
      <c r="J82" s="2" t="s">
        <v>19</v>
      </c>
      <c r="K82" s="2" t="s">
        <v>495</v>
      </c>
      <c r="L82" s="7" t="str">
        <f>HYPERLINK("http://slimages.macys.com/is/image/MCY/11937857 ")</f>
        <v xml:space="preserve">http://slimages.macys.com/is/image/MCY/11937857 </v>
      </c>
    </row>
    <row r="83" spans="1:12" ht="24.75" x14ac:dyDescent="0.25">
      <c r="A83" s="4" t="s">
        <v>7148</v>
      </c>
      <c r="B83" s="2" t="s">
        <v>2287</v>
      </c>
      <c r="C83" s="3">
        <v>1</v>
      </c>
      <c r="D83" s="5">
        <v>44.63</v>
      </c>
      <c r="E83" s="3" t="s">
        <v>2288</v>
      </c>
      <c r="F83" s="2" t="s">
        <v>376</v>
      </c>
      <c r="G83" s="6"/>
      <c r="H83" s="2" t="s">
        <v>312</v>
      </c>
      <c r="I83" s="2" t="s">
        <v>195</v>
      </c>
      <c r="J83" s="2" t="s">
        <v>19</v>
      </c>
      <c r="K83" s="2" t="s">
        <v>201</v>
      </c>
      <c r="L83" s="7" t="str">
        <f>HYPERLINK("http://slimages.macys.com/is/image/MCY/9837149 ")</f>
        <v xml:space="preserve">http://slimages.macys.com/is/image/MCY/9837149 </v>
      </c>
    </row>
    <row r="84" spans="1:12" ht="36.75" x14ac:dyDescent="0.25">
      <c r="A84" s="4" t="s">
        <v>496</v>
      </c>
      <c r="B84" s="2" t="s">
        <v>497</v>
      </c>
      <c r="C84" s="3">
        <v>1</v>
      </c>
      <c r="D84" s="5">
        <v>43.5</v>
      </c>
      <c r="E84" s="3" t="s">
        <v>498</v>
      </c>
      <c r="F84" s="2" t="s">
        <v>64</v>
      </c>
      <c r="G84" s="6" t="s">
        <v>499</v>
      </c>
      <c r="H84" s="2" t="s">
        <v>349</v>
      </c>
      <c r="I84" s="2" t="s">
        <v>408</v>
      </c>
      <c r="J84" s="2" t="s">
        <v>19</v>
      </c>
      <c r="K84" s="2" t="s">
        <v>500</v>
      </c>
      <c r="L84" s="7" t="str">
        <f>HYPERLINK("http://slimages.macys.com/is/image/MCY/9468308 ")</f>
        <v xml:space="preserve">http://slimages.macys.com/is/image/MCY/9468308 </v>
      </c>
    </row>
    <row r="85" spans="1:12" ht="24.75" x14ac:dyDescent="0.25">
      <c r="A85" s="4" t="s">
        <v>4560</v>
      </c>
      <c r="B85" s="2" t="s">
        <v>2290</v>
      </c>
      <c r="C85" s="3">
        <v>1</v>
      </c>
      <c r="D85" s="5">
        <v>44.63</v>
      </c>
      <c r="E85" s="3" t="s">
        <v>2291</v>
      </c>
      <c r="F85" s="2" t="s">
        <v>26</v>
      </c>
      <c r="G85" s="6" t="s">
        <v>156</v>
      </c>
      <c r="H85" s="2" t="s">
        <v>284</v>
      </c>
      <c r="I85" s="2" t="s">
        <v>285</v>
      </c>
      <c r="J85" s="2" t="s">
        <v>19</v>
      </c>
      <c r="K85" s="2" t="s">
        <v>160</v>
      </c>
      <c r="L85" s="7" t="str">
        <f>HYPERLINK("http://slimages.macys.com/is/image/MCY/12271124 ")</f>
        <v xml:space="preserve">http://slimages.macys.com/is/image/MCY/12271124 </v>
      </c>
    </row>
    <row r="86" spans="1:12" ht="24.75" x14ac:dyDescent="0.25">
      <c r="A86" s="4" t="s">
        <v>7149</v>
      </c>
      <c r="B86" s="2" t="s">
        <v>7150</v>
      </c>
      <c r="C86" s="3">
        <v>1</v>
      </c>
      <c r="D86" s="5">
        <v>39.5</v>
      </c>
      <c r="E86" s="3" t="s">
        <v>7151</v>
      </c>
      <c r="F86" s="2" t="s">
        <v>74</v>
      </c>
      <c r="G86" s="6" t="s">
        <v>499</v>
      </c>
      <c r="H86" s="2" t="s">
        <v>349</v>
      </c>
      <c r="I86" s="2" t="s">
        <v>408</v>
      </c>
      <c r="J86" s="2" t="s">
        <v>19</v>
      </c>
      <c r="K86" s="2" t="s">
        <v>409</v>
      </c>
      <c r="L86" s="7" t="str">
        <f>HYPERLINK("http://slimages.macys.com/is/image/MCY/9845150 ")</f>
        <v xml:space="preserve">http://slimages.macys.com/is/image/MCY/9845150 </v>
      </c>
    </row>
    <row r="87" spans="1:12" ht="36.75" x14ac:dyDescent="0.25">
      <c r="A87" s="4" t="s">
        <v>2292</v>
      </c>
      <c r="B87" s="2" t="s">
        <v>502</v>
      </c>
      <c r="C87" s="3">
        <v>1</v>
      </c>
      <c r="D87" s="5">
        <v>40.880000000000003</v>
      </c>
      <c r="E87" s="3">
        <v>100047671</v>
      </c>
      <c r="F87" s="2" t="s">
        <v>79</v>
      </c>
      <c r="G87" s="6" t="s">
        <v>112</v>
      </c>
      <c r="H87" s="2" t="s">
        <v>194</v>
      </c>
      <c r="I87" s="2" t="s">
        <v>503</v>
      </c>
      <c r="J87" s="2" t="s">
        <v>19</v>
      </c>
      <c r="K87" s="2" t="s">
        <v>504</v>
      </c>
      <c r="L87" s="7" t="str">
        <f t="shared" ref="L87:L93" si="0">HYPERLINK("http://slimages.macys.com/is/image/MCY/11937756 ")</f>
        <v xml:space="preserve">http://slimages.macys.com/is/image/MCY/11937756 </v>
      </c>
    </row>
    <row r="88" spans="1:12" ht="36.75" x14ac:dyDescent="0.25">
      <c r="A88" s="4" t="s">
        <v>7152</v>
      </c>
      <c r="B88" s="2" t="s">
        <v>502</v>
      </c>
      <c r="C88" s="3">
        <v>2</v>
      </c>
      <c r="D88" s="5">
        <v>40.880000000000003</v>
      </c>
      <c r="E88" s="3">
        <v>100047671</v>
      </c>
      <c r="F88" s="2" t="s">
        <v>506</v>
      </c>
      <c r="G88" s="6" t="s">
        <v>58</v>
      </c>
      <c r="H88" s="2" t="s">
        <v>194</v>
      </c>
      <c r="I88" s="2" t="s">
        <v>503</v>
      </c>
      <c r="J88" s="2" t="s">
        <v>19</v>
      </c>
      <c r="K88" s="2" t="s">
        <v>504</v>
      </c>
      <c r="L88" s="7" t="str">
        <f t="shared" si="0"/>
        <v xml:space="preserve">http://slimages.macys.com/is/image/MCY/11937756 </v>
      </c>
    </row>
    <row r="89" spans="1:12" ht="36.75" x14ac:dyDescent="0.25">
      <c r="A89" s="4" t="s">
        <v>7153</v>
      </c>
      <c r="B89" s="2" t="s">
        <v>502</v>
      </c>
      <c r="C89" s="3">
        <v>2</v>
      </c>
      <c r="D89" s="5">
        <v>40.880000000000003</v>
      </c>
      <c r="E89" s="3">
        <v>100047671</v>
      </c>
      <c r="F89" s="2" t="s">
        <v>506</v>
      </c>
      <c r="G89" s="6" t="s">
        <v>106</v>
      </c>
      <c r="H89" s="2" t="s">
        <v>194</v>
      </c>
      <c r="I89" s="2" t="s">
        <v>503</v>
      </c>
      <c r="J89" s="2" t="s">
        <v>19</v>
      </c>
      <c r="K89" s="2" t="s">
        <v>504</v>
      </c>
      <c r="L89" s="7" t="str">
        <f t="shared" si="0"/>
        <v xml:space="preserve">http://slimages.macys.com/is/image/MCY/11937756 </v>
      </c>
    </row>
    <row r="90" spans="1:12" ht="36.75" x14ac:dyDescent="0.25">
      <c r="A90" s="4" t="s">
        <v>505</v>
      </c>
      <c r="B90" s="2" t="s">
        <v>502</v>
      </c>
      <c r="C90" s="3">
        <v>1</v>
      </c>
      <c r="D90" s="5">
        <v>40.880000000000003</v>
      </c>
      <c r="E90" s="3">
        <v>100047671</v>
      </c>
      <c r="F90" s="2" t="s">
        <v>506</v>
      </c>
      <c r="G90" s="6" t="s">
        <v>65</v>
      </c>
      <c r="H90" s="2" t="s">
        <v>194</v>
      </c>
      <c r="I90" s="2" t="s">
        <v>503</v>
      </c>
      <c r="J90" s="2" t="s">
        <v>19</v>
      </c>
      <c r="K90" s="2" t="s">
        <v>504</v>
      </c>
      <c r="L90" s="7" t="str">
        <f t="shared" si="0"/>
        <v xml:space="preserve">http://slimages.macys.com/is/image/MCY/11937756 </v>
      </c>
    </row>
    <row r="91" spans="1:12" ht="36.75" x14ac:dyDescent="0.25">
      <c r="A91" s="4" t="s">
        <v>4569</v>
      </c>
      <c r="B91" s="2" t="s">
        <v>502</v>
      </c>
      <c r="C91" s="3">
        <v>1</v>
      </c>
      <c r="D91" s="5">
        <v>40.880000000000003</v>
      </c>
      <c r="E91" s="3">
        <v>100047671</v>
      </c>
      <c r="F91" s="2" t="s">
        <v>506</v>
      </c>
      <c r="G91" s="6" t="s">
        <v>27</v>
      </c>
      <c r="H91" s="2" t="s">
        <v>194</v>
      </c>
      <c r="I91" s="2" t="s">
        <v>503</v>
      </c>
      <c r="J91" s="2" t="s">
        <v>19</v>
      </c>
      <c r="K91" s="2" t="s">
        <v>504</v>
      </c>
      <c r="L91" s="7" t="str">
        <f t="shared" si="0"/>
        <v xml:space="preserve">http://slimages.macys.com/is/image/MCY/11937756 </v>
      </c>
    </row>
    <row r="92" spans="1:12" ht="36.75" x14ac:dyDescent="0.25">
      <c r="A92" s="4" t="s">
        <v>2293</v>
      </c>
      <c r="B92" s="2" t="s">
        <v>502</v>
      </c>
      <c r="C92" s="3">
        <v>2</v>
      </c>
      <c r="D92" s="5">
        <v>40.880000000000003</v>
      </c>
      <c r="E92" s="3">
        <v>100047671</v>
      </c>
      <c r="F92" s="2" t="s">
        <v>79</v>
      </c>
      <c r="G92" s="6" t="s">
        <v>22</v>
      </c>
      <c r="H92" s="2" t="s">
        <v>194</v>
      </c>
      <c r="I92" s="2" t="s">
        <v>503</v>
      </c>
      <c r="J92" s="2" t="s">
        <v>19</v>
      </c>
      <c r="K92" s="2" t="s">
        <v>504</v>
      </c>
      <c r="L92" s="7" t="str">
        <f t="shared" si="0"/>
        <v xml:space="preserve">http://slimages.macys.com/is/image/MCY/11937756 </v>
      </c>
    </row>
    <row r="93" spans="1:12" ht="36.75" x14ac:dyDescent="0.25">
      <c r="A93" s="4" t="s">
        <v>507</v>
      </c>
      <c r="B93" s="2" t="s">
        <v>502</v>
      </c>
      <c r="C93" s="3">
        <v>1</v>
      </c>
      <c r="D93" s="5">
        <v>40.880000000000003</v>
      </c>
      <c r="E93" s="3">
        <v>100047671</v>
      </c>
      <c r="F93" s="2" t="s">
        <v>79</v>
      </c>
      <c r="G93" s="6" t="s">
        <v>16</v>
      </c>
      <c r="H93" s="2" t="s">
        <v>194</v>
      </c>
      <c r="I93" s="2" t="s">
        <v>503</v>
      </c>
      <c r="J93" s="2" t="s">
        <v>19</v>
      </c>
      <c r="K93" s="2" t="s">
        <v>504</v>
      </c>
      <c r="L93" s="7" t="str">
        <f t="shared" si="0"/>
        <v xml:space="preserve">http://slimages.macys.com/is/image/MCY/11937756 </v>
      </c>
    </row>
    <row r="94" spans="1:12" ht="24.75" x14ac:dyDescent="0.25">
      <c r="A94" s="4" t="s">
        <v>7154</v>
      </c>
      <c r="B94" s="2" t="s">
        <v>7155</v>
      </c>
      <c r="C94" s="3">
        <v>1</v>
      </c>
      <c r="D94" s="5">
        <v>52.13</v>
      </c>
      <c r="E94" s="3" t="s">
        <v>7156</v>
      </c>
      <c r="F94" s="2" t="s">
        <v>26</v>
      </c>
      <c r="G94" s="6" t="s">
        <v>154</v>
      </c>
      <c r="H94" s="2" t="s">
        <v>246</v>
      </c>
      <c r="I94" s="2" t="s">
        <v>189</v>
      </c>
      <c r="J94" s="2" t="s">
        <v>19</v>
      </c>
      <c r="K94" s="2" t="s">
        <v>3423</v>
      </c>
      <c r="L94" s="7" t="str">
        <f>HYPERLINK("http://slimages.macys.com/is/image/MCY/11807570 ")</f>
        <v xml:space="preserve">http://slimages.macys.com/is/image/MCY/11807570 </v>
      </c>
    </row>
    <row r="95" spans="1:12" ht="24.75" x14ac:dyDescent="0.25">
      <c r="A95" s="4" t="s">
        <v>7157</v>
      </c>
      <c r="B95" s="2" t="s">
        <v>4572</v>
      </c>
      <c r="C95" s="3">
        <v>1</v>
      </c>
      <c r="D95" s="5">
        <v>48.38</v>
      </c>
      <c r="E95" s="3" t="s">
        <v>4573</v>
      </c>
      <c r="F95" s="2" t="s">
        <v>64</v>
      </c>
      <c r="G95" s="6"/>
      <c r="H95" s="2" t="s">
        <v>188</v>
      </c>
      <c r="I95" s="2" t="s">
        <v>189</v>
      </c>
      <c r="J95" s="2" t="s">
        <v>19</v>
      </c>
      <c r="K95" s="2" t="s">
        <v>4574</v>
      </c>
      <c r="L95" s="7" t="str">
        <f>HYPERLINK("http://slimages.macys.com/is/image/MCY/12894516 ")</f>
        <v xml:space="preserve">http://slimages.macys.com/is/image/MCY/12894516 </v>
      </c>
    </row>
    <row r="96" spans="1:12" ht="24.75" x14ac:dyDescent="0.25">
      <c r="A96" s="4" t="s">
        <v>5491</v>
      </c>
      <c r="B96" s="2" t="s">
        <v>4572</v>
      </c>
      <c r="C96" s="3">
        <v>1</v>
      </c>
      <c r="D96" s="5">
        <v>48.38</v>
      </c>
      <c r="E96" s="3" t="s">
        <v>4573</v>
      </c>
      <c r="F96" s="2" t="s">
        <v>64</v>
      </c>
      <c r="G96" s="6" t="s">
        <v>219</v>
      </c>
      <c r="H96" s="2" t="s">
        <v>188</v>
      </c>
      <c r="I96" s="2" t="s">
        <v>189</v>
      </c>
      <c r="J96" s="2" t="s">
        <v>19</v>
      </c>
      <c r="K96" s="2" t="s">
        <v>4574</v>
      </c>
      <c r="L96" s="7" t="str">
        <f>HYPERLINK("http://slimages.macys.com/is/image/MCY/12894516 ")</f>
        <v xml:space="preserve">http://slimages.macys.com/is/image/MCY/12894516 </v>
      </c>
    </row>
    <row r="97" spans="1:12" ht="24.75" x14ac:dyDescent="0.25">
      <c r="A97" s="4" t="s">
        <v>7158</v>
      </c>
      <c r="B97" s="2" t="s">
        <v>502</v>
      </c>
      <c r="C97" s="3">
        <v>1</v>
      </c>
      <c r="D97" s="5">
        <v>39.5</v>
      </c>
      <c r="E97" s="3" t="s">
        <v>516</v>
      </c>
      <c r="F97" s="2" t="s">
        <v>79</v>
      </c>
      <c r="G97" s="6" t="s">
        <v>165</v>
      </c>
      <c r="H97" s="2" t="s">
        <v>312</v>
      </c>
      <c r="I97" s="2" t="s">
        <v>195</v>
      </c>
      <c r="J97" s="2" t="s">
        <v>19</v>
      </c>
      <c r="K97" s="2" t="s">
        <v>517</v>
      </c>
      <c r="L97" s="7" t="str">
        <f>HYPERLINK("http://slimages.macys.com/is/image/MCY/12272685 ")</f>
        <v xml:space="preserve">http://slimages.macys.com/is/image/MCY/12272685 </v>
      </c>
    </row>
    <row r="98" spans="1:12" ht="36.75" x14ac:dyDescent="0.25">
      <c r="A98" s="4" t="s">
        <v>3448</v>
      </c>
      <c r="B98" s="2" t="s">
        <v>3436</v>
      </c>
      <c r="C98" s="3">
        <v>1</v>
      </c>
      <c r="D98" s="5">
        <v>37.130000000000003</v>
      </c>
      <c r="E98" s="3" t="s">
        <v>3449</v>
      </c>
      <c r="F98" s="2" t="s">
        <v>26</v>
      </c>
      <c r="G98" s="6" t="s">
        <v>154</v>
      </c>
      <c r="H98" s="2" t="s">
        <v>284</v>
      </c>
      <c r="I98" s="2" t="s">
        <v>285</v>
      </c>
      <c r="J98" s="2" t="s">
        <v>19</v>
      </c>
      <c r="K98" s="2" t="s">
        <v>2419</v>
      </c>
      <c r="L98" s="7" t="str">
        <f>HYPERLINK("http://slimages.macys.com/is/image/MCY/13041127 ")</f>
        <v xml:space="preserve">http://slimages.macys.com/is/image/MCY/13041127 </v>
      </c>
    </row>
    <row r="99" spans="1:12" ht="36.75" x14ac:dyDescent="0.25">
      <c r="A99" s="4" t="s">
        <v>7159</v>
      </c>
      <c r="B99" s="2" t="s">
        <v>3436</v>
      </c>
      <c r="C99" s="3">
        <v>1</v>
      </c>
      <c r="D99" s="5">
        <v>37.130000000000003</v>
      </c>
      <c r="E99" s="3" t="s">
        <v>3449</v>
      </c>
      <c r="F99" s="2" t="s">
        <v>26</v>
      </c>
      <c r="G99" s="6" t="s">
        <v>200</v>
      </c>
      <c r="H99" s="2" t="s">
        <v>284</v>
      </c>
      <c r="I99" s="2" t="s">
        <v>285</v>
      </c>
      <c r="J99" s="2" t="s">
        <v>19</v>
      </c>
      <c r="K99" s="2" t="s">
        <v>2419</v>
      </c>
      <c r="L99" s="7" t="str">
        <f>HYPERLINK("http://slimages.macys.com/is/image/MCY/13041127 ")</f>
        <v xml:space="preserve">http://slimages.macys.com/is/image/MCY/13041127 </v>
      </c>
    </row>
    <row r="100" spans="1:12" ht="24.75" x14ac:dyDescent="0.25">
      <c r="A100" s="4" t="s">
        <v>7160</v>
      </c>
      <c r="B100" s="2" t="s">
        <v>527</v>
      </c>
      <c r="C100" s="3">
        <v>1</v>
      </c>
      <c r="D100" s="5">
        <v>48.38</v>
      </c>
      <c r="E100" s="3" t="s">
        <v>528</v>
      </c>
      <c r="F100" s="2" t="s">
        <v>85</v>
      </c>
      <c r="G100" s="6" t="s">
        <v>348</v>
      </c>
      <c r="H100" s="2" t="s">
        <v>349</v>
      </c>
      <c r="I100" s="2" t="s">
        <v>285</v>
      </c>
      <c r="J100" s="2" t="s">
        <v>19</v>
      </c>
      <c r="K100" s="2" t="s">
        <v>160</v>
      </c>
      <c r="L100" s="7" t="str">
        <f>HYPERLINK("http://slimages.macys.com/is/image/MCY/12715708 ")</f>
        <v xml:space="preserve">http://slimages.macys.com/is/image/MCY/12715708 </v>
      </c>
    </row>
    <row r="101" spans="1:12" ht="24.75" x14ac:dyDescent="0.25">
      <c r="A101" s="4" t="s">
        <v>3451</v>
      </c>
      <c r="B101" s="2" t="s">
        <v>527</v>
      </c>
      <c r="C101" s="3">
        <v>1</v>
      </c>
      <c r="D101" s="5">
        <v>48.38</v>
      </c>
      <c r="E101" s="3" t="s">
        <v>528</v>
      </c>
      <c r="F101" s="2" t="s">
        <v>417</v>
      </c>
      <c r="G101" s="6" t="s">
        <v>2276</v>
      </c>
      <c r="H101" s="2" t="s">
        <v>349</v>
      </c>
      <c r="I101" s="2" t="s">
        <v>285</v>
      </c>
      <c r="J101" s="2" t="s">
        <v>19</v>
      </c>
      <c r="K101" s="2" t="s">
        <v>160</v>
      </c>
      <c r="L101" s="7" t="str">
        <f>HYPERLINK("http://slimages.macys.com/is/image/MCY/12715708 ")</f>
        <v xml:space="preserve">http://slimages.macys.com/is/image/MCY/12715708 </v>
      </c>
    </row>
    <row r="102" spans="1:12" ht="24.75" x14ac:dyDescent="0.25">
      <c r="A102" s="4" t="s">
        <v>3453</v>
      </c>
      <c r="B102" s="2" t="s">
        <v>2322</v>
      </c>
      <c r="C102" s="3">
        <v>2</v>
      </c>
      <c r="D102" s="5">
        <v>44.63</v>
      </c>
      <c r="E102" s="3">
        <v>100062919</v>
      </c>
      <c r="F102" s="2" t="s">
        <v>74</v>
      </c>
      <c r="G102" s="6" t="s">
        <v>154</v>
      </c>
      <c r="H102" s="2" t="s">
        <v>194</v>
      </c>
      <c r="I102" s="2" t="s">
        <v>195</v>
      </c>
      <c r="J102" s="2" t="s">
        <v>19</v>
      </c>
      <c r="K102" s="2" t="s">
        <v>610</v>
      </c>
      <c r="L102" s="7" t="str">
        <f>HYPERLINK("http://slimages.macys.com/is/image/MCY/11937752 ")</f>
        <v xml:space="preserve">http://slimages.macys.com/is/image/MCY/11937752 </v>
      </c>
    </row>
    <row r="103" spans="1:12" ht="24.75" x14ac:dyDescent="0.25">
      <c r="A103" s="4" t="s">
        <v>3454</v>
      </c>
      <c r="B103" s="2" t="s">
        <v>2322</v>
      </c>
      <c r="C103" s="3">
        <v>1</v>
      </c>
      <c r="D103" s="5">
        <v>44.63</v>
      </c>
      <c r="E103" s="3">
        <v>100062919</v>
      </c>
      <c r="F103" s="2" t="s">
        <v>74</v>
      </c>
      <c r="G103" s="6" t="s">
        <v>200</v>
      </c>
      <c r="H103" s="2" t="s">
        <v>194</v>
      </c>
      <c r="I103" s="2" t="s">
        <v>195</v>
      </c>
      <c r="J103" s="2" t="s">
        <v>19</v>
      </c>
      <c r="K103" s="2" t="s">
        <v>610</v>
      </c>
      <c r="L103" s="7" t="str">
        <f>HYPERLINK("http://slimages.macys.com/is/image/MCY/11937752 ")</f>
        <v xml:space="preserve">http://slimages.macys.com/is/image/MCY/11937752 </v>
      </c>
    </row>
    <row r="104" spans="1:12" ht="48.75" x14ac:dyDescent="0.25">
      <c r="A104" s="4" t="s">
        <v>2326</v>
      </c>
      <c r="B104" s="2" t="s">
        <v>551</v>
      </c>
      <c r="C104" s="3">
        <v>1</v>
      </c>
      <c r="D104" s="5">
        <v>48</v>
      </c>
      <c r="E104" s="3">
        <v>100053418</v>
      </c>
      <c r="F104" s="2" t="s">
        <v>26</v>
      </c>
      <c r="G104" s="6" t="s">
        <v>156</v>
      </c>
      <c r="H104" s="2" t="s">
        <v>228</v>
      </c>
      <c r="I104" s="2" t="s">
        <v>229</v>
      </c>
      <c r="J104" s="2" t="s">
        <v>19</v>
      </c>
      <c r="K104" s="2" t="s">
        <v>552</v>
      </c>
      <c r="L104" s="7" t="str">
        <f>HYPERLINK("http://slimages.macys.com/is/image/MCY/12158587 ")</f>
        <v xml:space="preserve">http://slimages.macys.com/is/image/MCY/12158587 </v>
      </c>
    </row>
    <row r="105" spans="1:12" ht="24.75" x14ac:dyDescent="0.25">
      <c r="A105" s="4" t="s">
        <v>7161</v>
      </c>
      <c r="B105" s="2" t="s">
        <v>560</v>
      </c>
      <c r="C105" s="3">
        <v>1</v>
      </c>
      <c r="D105" s="5">
        <v>39.5</v>
      </c>
      <c r="E105" s="3" t="s">
        <v>561</v>
      </c>
      <c r="F105" s="2" t="s">
        <v>562</v>
      </c>
      <c r="G105" s="6" t="s">
        <v>200</v>
      </c>
      <c r="H105" s="2" t="s">
        <v>194</v>
      </c>
      <c r="I105" s="2" t="s">
        <v>195</v>
      </c>
      <c r="J105" s="2" t="s">
        <v>19</v>
      </c>
      <c r="K105" s="2" t="s">
        <v>151</v>
      </c>
      <c r="L105" s="7" t="str">
        <f>HYPERLINK("http://slimages.macys.com/is/image/MCY/11937879 ")</f>
        <v xml:space="preserve">http://slimages.macys.com/is/image/MCY/11937879 </v>
      </c>
    </row>
    <row r="106" spans="1:12" ht="24.75" x14ac:dyDescent="0.25">
      <c r="A106" s="4" t="s">
        <v>7162</v>
      </c>
      <c r="B106" s="2" t="s">
        <v>577</v>
      </c>
      <c r="C106" s="3">
        <v>1</v>
      </c>
      <c r="D106" s="5">
        <v>44.63</v>
      </c>
      <c r="E106" s="3" t="s">
        <v>578</v>
      </c>
      <c r="F106" s="2" t="s">
        <v>579</v>
      </c>
      <c r="G106" s="6" t="s">
        <v>156</v>
      </c>
      <c r="H106" s="2" t="s">
        <v>194</v>
      </c>
      <c r="I106" s="2" t="s">
        <v>580</v>
      </c>
      <c r="J106" s="2" t="s">
        <v>19</v>
      </c>
      <c r="K106" s="2" t="s">
        <v>247</v>
      </c>
      <c r="L106" s="7" t="str">
        <f>HYPERLINK("http://slimages.macys.com/is/image/MCY/12743841 ")</f>
        <v xml:space="preserve">http://slimages.macys.com/is/image/MCY/12743841 </v>
      </c>
    </row>
    <row r="107" spans="1:12" ht="24.75" x14ac:dyDescent="0.25">
      <c r="A107" s="4" t="s">
        <v>7163</v>
      </c>
      <c r="B107" s="2" t="s">
        <v>570</v>
      </c>
      <c r="C107" s="3">
        <v>1</v>
      </c>
      <c r="D107" s="5">
        <v>40.880000000000003</v>
      </c>
      <c r="E107" s="3" t="s">
        <v>571</v>
      </c>
      <c r="F107" s="2" t="s">
        <v>680</v>
      </c>
      <c r="G107" s="6" t="s">
        <v>65</v>
      </c>
      <c r="H107" s="2" t="s">
        <v>246</v>
      </c>
      <c r="I107" s="2" t="s">
        <v>525</v>
      </c>
      <c r="J107" s="2" t="s">
        <v>19</v>
      </c>
      <c r="K107" s="2" t="s">
        <v>338</v>
      </c>
      <c r="L107" s="7" t="str">
        <f>HYPERLINK("http://slimages.macys.com/is/image/MCY/11746434 ")</f>
        <v xml:space="preserve">http://slimages.macys.com/is/image/MCY/11746434 </v>
      </c>
    </row>
    <row r="108" spans="1:12" ht="24.75" x14ac:dyDescent="0.25">
      <c r="A108" s="4" t="s">
        <v>569</v>
      </c>
      <c r="B108" s="2" t="s">
        <v>570</v>
      </c>
      <c r="C108" s="3">
        <v>1</v>
      </c>
      <c r="D108" s="5">
        <v>40.880000000000003</v>
      </c>
      <c r="E108" s="3" t="s">
        <v>571</v>
      </c>
      <c r="F108" s="2" t="s">
        <v>572</v>
      </c>
      <c r="G108" s="6" t="s">
        <v>65</v>
      </c>
      <c r="H108" s="2" t="s">
        <v>246</v>
      </c>
      <c r="I108" s="2" t="s">
        <v>525</v>
      </c>
      <c r="J108" s="2" t="s">
        <v>19</v>
      </c>
      <c r="K108" s="2" t="s">
        <v>338</v>
      </c>
      <c r="L108" s="7" t="str">
        <f>HYPERLINK("http://slimages.macys.com/is/image/MCY/11746434 ")</f>
        <v xml:space="preserve">http://slimages.macys.com/is/image/MCY/11746434 </v>
      </c>
    </row>
    <row r="109" spans="1:12" ht="24.75" x14ac:dyDescent="0.25">
      <c r="A109" s="4" t="s">
        <v>7164</v>
      </c>
      <c r="B109" s="2" t="s">
        <v>7165</v>
      </c>
      <c r="C109" s="3">
        <v>1</v>
      </c>
      <c r="D109" s="5">
        <v>69.5</v>
      </c>
      <c r="E109" s="3" t="s">
        <v>7166</v>
      </c>
      <c r="F109" s="2" t="s">
        <v>252</v>
      </c>
      <c r="G109" s="6"/>
      <c r="H109" s="2" t="s">
        <v>206</v>
      </c>
      <c r="I109" s="2" t="s">
        <v>207</v>
      </c>
      <c r="J109" s="2" t="s">
        <v>19</v>
      </c>
      <c r="K109" s="2" t="s">
        <v>7167</v>
      </c>
      <c r="L109" s="7" t="str">
        <f>HYPERLINK("http://slimages.macys.com/is/image/MCY/13404422 ")</f>
        <v xml:space="preserve">http://slimages.macys.com/is/image/MCY/13404422 </v>
      </c>
    </row>
    <row r="110" spans="1:12" ht="24.75" x14ac:dyDescent="0.25">
      <c r="A110" s="4" t="s">
        <v>7168</v>
      </c>
      <c r="B110" s="2" t="s">
        <v>614</v>
      </c>
      <c r="C110" s="3">
        <v>3</v>
      </c>
      <c r="D110" s="5">
        <v>40.880000000000003</v>
      </c>
      <c r="E110" s="3" t="s">
        <v>6385</v>
      </c>
      <c r="F110" s="2" t="s">
        <v>26</v>
      </c>
      <c r="G110" s="6"/>
      <c r="H110" s="2" t="s">
        <v>632</v>
      </c>
      <c r="I110" s="2" t="s">
        <v>408</v>
      </c>
      <c r="J110" s="2" t="s">
        <v>19</v>
      </c>
      <c r="K110" s="2" t="s">
        <v>409</v>
      </c>
      <c r="L110" s="7" t="str">
        <f>HYPERLINK("http://slimages.macys.com/is/image/MCY/12672193 ")</f>
        <v xml:space="preserve">http://slimages.macys.com/is/image/MCY/12672193 </v>
      </c>
    </row>
    <row r="111" spans="1:12" ht="36.75" x14ac:dyDescent="0.25">
      <c r="A111" s="4" t="s">
        <v>7169</v>
      </c>
      <c r="B111" s="2" t="s">
        <v>7170</v>
      </c>
      <c r="C111" s="3">
        <v>1</v>
      </c>
      <c r="D111" s="5">
        <v>44.63</v>
      </c>
      <c r="E111" s="3" t="s">
        <v>7171</v>
      </c>
      <c r="F111" s="2" t="s">
        <v>94</v>
      </c>
      <c r="G111" s="6" t="s">
        <v>234</v>
      </c>
      <c r="H111" s="2" t="s">
        <v>284</v>
      </c>
      <c r="I111" s="2" t="s">
        <v>458</v>
      </c>
      <c r="J111" s="2" t="s">
        <v>19</v>
      </c>
      <c r="K111" s="2" t="s">
        <v>7172</v>
      </c>
      <c r="L111" s="7" t="str">
        <f>HYPERLINK("http://slimages.macys.com/is/image/MCY/11605917 ")</f>
        <v xml:space="preserve">http://slimages.macys.com/is/image/MCY/11605917 </v>
      </c>
    </row>
    <row r="112" spans="1:12" ht="24.75" x14ac:dyDescent="0.25">
      <c r="A112" s="4" t="s">
        <v>7173</v>
      </c>
      <c r="B112" s="2" t="s">
        <v>7174</v>
      </c>
      <c r="C112" s="3">
        <v>1</v>
      </c>
      <c r="D112" s="5">
        <v>44.63</v>
      </c>
      <c r="E112" s="3">
        <v>60049</v>
      </c>
      <c r="F112" s="2" t="s">
        <v>225</v>
      </c>
      <c r="G112" s="6" t="s">
        <v>473</v>
      </c>
      <c r="H112" s="2" t="s">
        <v>213</v>
      </c>
      <c r="I112" s="2" t="s">
        <v>214</v>
      </c>
      <c r="J112" s="2" t="s">
        <v>19</v>
      </c>
      <c r="K112" s="2" t="s">
        <v>253</v>
      </c>
      <c r="L112" s="7" t="str">
        <f>HYPERLINK("http://slimages.macys.com/is/image/MCY/8486169 ")</f>
        <v xml:space="preserve">http://slimages.macys.com/is/image/MCY/8486169 </v>
      </c>
    </row>
    <row r="113" spans="1:12" ht="24.75" x14ac:dyDescent="0.25">
      <c r="A113" s="4" t="s">
        <v>597</v>
      </c>
      <c r="B113" s="2" t="s">
        <v>595</v>
      </c>
      <c r="C113" s="3">
        <v>1</v>
      </c>
      <c r="D113" s="5">
        <v>44.63</v>
      </c>
      <c r="E113" s="3">
        <v>100018127</v>
      </c>
      <c r="F113" s="2" t="s">
        <v>579</v>
      </c>
      <c r="G113" s="6" t="s">
        <v>181</v>
      </c>
      <c r="H113" s="2" t="s">
        <v>194</v>
      </c>
      <c r="I113" s="2" t="s">
        <v>195</v>
      </c>
      <c r="J113" s="2" t="s">
        <v>19</v>
      </c>
      <c r="K113" s="2" t="s">
        <v>34</v>
      </c>
      <c r="L113" s="7" t="str">
        <f>HYPERLINK("http://slimages.macys.com/is/image/MCY/9694255 ")</f>
        <v xml:space="preserve">http://slimages.macys.com/is/image/MCY/9694255 </v>
      </c>
    </row>
    <row r="114" spans="1:12" ht="24.75" x14ac:dyDescent="0.25">
      <c r="A114" s="4" t="s">
        <v>7175</v>
      </c>
      <c r="B114" s="2" t="s">
        <v>2223</v>
      </c>
      <c r="C114" s="3">
        <v>1</v>
      </c>
      <c r="D114" s="5">
        <v>40.880000000000003</v>
      </c>
      <c r="E114" s="3" t="s">
        <v>4597</v>
      </c>
      <c r="F114" s="2" t="s">
        <v>26</v>
      </c>
      <c r="G114" s="6" t="s">
        <v>154</v>
      </c>
      <c r="H114" s="2" t="s">
        <v>284</v>
      </c>
      <c r="I114" s="2" t="s">
        <v>285</v>
      </c>
      <c r="J114" s="2" t="s">
        <v>19</v>
      </c>
      <c r="K114" s="2" t="s">
        <v>323</v>
      </c>
      <c r="L114" s="7" t="str">
        <f>HYPERLINK("http://slimages.macys.com/is/image/MCY/12285170 ")</f>
        <v xml:space="preserve">http://slimages.macys.com/is/image/MCY/12285170 </v>
      </c>
    </row>
    <row r="115" spans="1:12" ht="24.75" x14ac:dyDescent="0.25">
      <c r="A115" s="4" t="s">
        <v>7176</v>
      </c>
      <c r="B115" s="2" t="s">
        <v>2223</v>
      </c>
      <c r="C115" s="3">
        <v>1</v>
      </c>
      <c r="D115" s="5">
        <v>40.880000000000003</v>
      </c>
      <c r="E115" s="3" t="s">
        <v>4597</v>
      </c>
      <c r="F115" s="2" t="s">
        <v>26</v>
      </c>
      <c r="G115" s="6" t="s">
        <v>181</v>
      </c>
      <c r="H115" s="2" t="s">
        <v>284</v>
      </c>
      <c r="I115" s="2" t="s">
        <v>285</v>
      </c>
      <c r="J115" s="2" t="s">
        <v>19</v>
      </c>
      <c r="K115" s="2" t="s">
        <v>323</v>
      </c>
      <c r="L115" s="7" t="str">
        <f>HYPERLINK("http://slimages.macys.com/is/image/MCY/12285170 ")</f>
        <v xml:space="preserve">http://slimages.macys.com/is/image/MCY/12285170 </v>
      </c>
    </row>
    <row r="116" spans="1:12" ht="24.75" x14ac:dyDescent="0.25">
      <c r="A116" s="4" t="s">
        <v>7177</v>
      </c>
      <c r="B116" s="2" t="s">
        <v>2340</v>
      </c>
      <c r="C116" s="3">
        <v>1</v>
      </c>
      <c r="D116" s="5">
        <v>36.5</v>
      </c>
      <c r="E116" s="3" t="s">
        <v>7178</v>
      </c>
      <c r="F116" s="2" t="s">
        <v>15</v>
      </c>
      <c r="G116" s="6" t="s">
        <v>156</v>
      </c>
      <c r="H116" s="2" t="s">
        <v>194</v>
      </c>
      <c r="I116" s="2" t="s">
        <v>195</v>
      </c>
      <c r="J116" s="2" t="s">
        <v>19</v>
      </c>
      <c r="K116" s="2" t="s">
        <v>201</v>
      </c>
      <c r="L116" s="7" t="str">
        <f>HYPERLINK("http://slimages.macys.com/is/image/MCY/11804343 ")</f>
        <v xml:space="preserve">http://slimages.macys.com/is/image/MCY/11804343 </v>
      </c>
    </row>
    <row r="117" spans="1:12" ht="48.75" x14ac:dyDescent="0.25">
      <c r="A117" s="4" t="s">
        <v>604</v>
      </c>
      <c r="B117" s="2" t="s">
        <v>599</v>
      </c>
      <c r="C117" s="3">
        <v>1</v>
      </c>
      <c r="D117" s="5">
        <v>37.130000000000003</v>
      </c>
      <c r="E117" s="3" t="s">
        <v>600</v>
      </c>
      <c r="F117" s="2" t="s">
        <v>125</v>
      </c>
      <c r="G117" s="6" t="s">
        <v>234</v>
      </c>
      <c r="H117" s="2" t="s">
        <v>194</v>
      </c>
      <c r="I117" s="2" t="s">
        <v>195</v>
      </c>
      <c r="J117" s="2" t="s">
        <v>19</v>
      </c>
      <c r="K117" s="2" t="s">
        <v>601</v>
      </c>
      <c r="L117" s="7" t="str">
        <f t="shared" ref="L117:L122" si="1">HYPERLINK("http://slimages.macys.com/is/image/MCY/12734338 ")</f>
        <v xml:space="preserve">http://slimages.macys.com/is/image/MCY/12734338 </v>
      </c>
    </row>
    <row r="118" spans="1:12" ht="48.75" x14ac:dyDescent="0.25">
      <c r="A118" s="4" t="s">
        <v>5515</v>
      </c>
      <c r="B118" s="2" t="s">
        <v>599</v>
      </c>
      <c r="C118" s="3">
        <v>1</v>
      </c>
      <c r="D118" s="5">
        <v>37.130000000000003</v>
      </c>
      <c r="E118" s="3" t="s">
        <v>600</v>
      </c>
      <c r="F118" s="2" t="s">
        <v>125</v>
      </c>
      <c r="G118" s="6" t="s">
        <v>156</v>
      </c>
      <c r="H118" s="2" t="s">
        <v>194</v>
      </c>
      <c r="I118" s="2" t="s">
        <v>195</v>
      </c>
      <c r="J118" s="2" t="s">
        <v>19</v>
      </c>
      <c r="K118" s="2" t="s">
        <v>601</v>
      </c>
      <c r="L118" s="7" t="str">
        <f t="shared" si="1"/>
        <v xml:space="preserve">http://slimages.macys.com/is/image/MCY/12734338 </v>
      </c>
    </row>
    <row r="119" spans="1:12" ht="48.75" x14ac:dyDescent="0.25">
      <c r="A119" s="4" t="s">
        <v>598</v>
      </c>
      <c r="B119" s="2" t="s">
        <v>599</v>
      </c>
      <c r="C119" s="3">
        <v>1</v>
      </c>
      <c r="D119" s="5">
        <v>37.130000000000003</v>
      </c>
      <c r="E119" s="3" t="s">
        <v>600</v>
      </c>
      <c r="F119" s="2" t="s">
        <v>15</v>
      </c>
      <c r="G119" s="6" t="s">
        <v>154</v>
      </c>
      <c r="H119" s="2" t="s">
        <v>194</v>
      </c>
      <c r="I119" s="2" t="s">
        <v>195</v>
      </c>
      <c r="J119" s="2" t="s">
        <v>19</v>
      </c>
      <c r="K119" s="2" t="s">
        <v>601</v>
      </c>
      <c r="L119" s="7" t="str">
        <f t="shared" si="1"/>
        <v xml:space="preserve">http://slimages.macys.com/is/image/MCY/12734338 </v>
      </c>
    </row>
    <row r="120" spans="1:12" ht="48.75" x14ac:dyDescent="0.25">
      <c r="A120" s="4" t="s">
        <v>2342</v>
      </c>
      <c r="B120" s="2" t="s">
        <v>599</v>
      </c>
      <c r="C120" s="3">
        <v>1</v>
      </c>
      <c r="D120" s="5">
        <v>37.130000000000003</v>
      </c>
      <c r="E120" s="3" t="s">
        <v>600</v>
      </c>
      <c r="F120" s="2" t="s">
        <v>125</v>
      </c>
      <c r="G120" s="6" t="s">
        <v>181</v>
      </c>
      <c r="H120" s="2" t="s">
        <v>194</v>
      </c>
      <c r="I120" s="2" t="s">
        <v>195</v>
      </c>
      <c r="J120" s="2" t="s">
        <v>19</v>
      </c>
      <c r="K120" s="2" t="s">
        <v>601</v>
      </c>
      <c r="L120" s="7" t="str">
        <f t="shared" si="1"/>
        <v xml:space="preserve">http://slimages.macys.com/is/image/MCY/12734338 </v>
      </c>
    </row>
    <row r="121" spans="1:12" ht="48.75" x14ac:dyDescent="0.25">
      <c r="A121" s="4" t="s">
        <v>7179</v>
      </c>
      <c r="B121" s="2" t="s">
        <v>599</v>
      </c>
      <c r="C121" s="3">
        <v>1</v>
      </c>
      <c r="D121" s="5">
        <v>37.130000000000003</v>
      </c>
      <c r="E121" s="3" t="s">
        <v>600</v>
      </c>
      <c r="F121" s="2" t="s">
        <v>125</v>
      </c>
      <c r="G121" s="6" t="s">
        <v>245</v>
      </c>
      <c r="H121" s="2" t="s">
        <v>194</v>
      </c>
      <c r="I121" s="2" t="s">
        <v>195</v>
      </c>
      <c r="J121" s="2" t="s">
        <v>19</v>
      </c>
      <c r="K121" s="2" t="s">
        <v>601</v>
      </c>
      <c r="L121" s="7" t="str">
        <f t="shared" si="1"/>
        <v xml:space="preserve">http://slimages.macys.com/is/image/MCY/12734338 </v>
      </c>
    </row>
    <row r="122" spans="1:12" ht="48.75" x14ac:dyDescent="0.25">
      <c r="A122" s="4" t="s">
        <v>603</v>
      </c>
      <c r="B122" s="2" t="s">
        <v>599</v>
      </c>
      <c r="C122" s="3">
        <v>1</v>
      </c>
      <c r="D122" s="5">
        <v>37.130000000000003</v>
      </c>
      <c r="E122" s="3" t="s">
        <v>600</v>
      </c>
      <c r="F122" s="2" t="s">
        <v>125</v>
      </c>
      <c r="G122" s="6" t="s">
        <v>154</v>
      </c>
      <c r="H122" s="2" t="s">
        <v>194</v>
      </c>
      <c r="I122" s="2" t="s">
        <v>195</v>
      </c>
      <c r="J122" s="2" t="s">
        <v>19</v>
      </c>
      <c r="K122" s="2" t="s">
        <v>601</v>
      </c>
      <c r="L122" s="7" t="str">
        <f t="shared" si="1"/>
        <v xml:space="preserve">http://slimages.macys.com/is/image/MCY/12734338 </v>
      </c>
    </row>
    <row r="123" spans="1:12" ht="36.75" x14ac:dyDescent="0.25">
      <c r="A123" s="4" t="s">
        <v>7180</v>
      </c>
      <c r="B123" s="2" t="s">
        <v>4602</v>
      </c>
      <c r="C123" s="3">
        <v>1</v>
      </c>
      <c r="D123" s="5">
        <v>69.5</v>
      </c>
      <c r="E123" s="3">
        <v>100052087</v>
      </c>
      <c r="F123" s="2" t="s">
        <v>64</v>
      </c>
      <c r="G123" s="6" t="s">
        <v>141</v>
      </c>
      <c r="H123" s="2" t="s">
        <v>386</v>
      </c>
      <c r="I123" s="2" t="s">
        <v>337</v>
      </c>
      <c r="J123" s="2" t="s">
        <v>19</v>
      </c>
      <c r="K123" s="2" t="s">
        <v>4603</v>
      </c>
      <c r="L123" s="7" t="str">
        <f>HYPERLINK("http://slimages.macys.com/is/image/MCY/11647055 ")</f>
        <v xml:space="preserve">http://slimages.macys.com/is/image/MCY/11647055 </v>
      </c>
    </row>
    <row r="124" spans="1:12" ht="24.75" x14ac:dyDescent="0.25">
      <c r="A124" s="4" t="s">
        <v>2344</v>
      </c>
      <c r="B124" s="2" t="s">
        <v>606</v>
      </c>
      <c r="C124" s="3">
        <v>1</v>
      </c>
      <c r="D124" s="5">
        <v>37.130000000000003</v>
      </c>
      <c r="E124" s="3">
        <v>100054430</v>
      </c>
      <c r="F124" s="2" t="s">
        <v>15</v>
      </c>
      <c r="G124" s="6" t="s">
        <v>27</v>
      </c>
      <c r="H124" s="2" t="s">
        <v>194</v>
      </c>
      <c r="I124" s="2" t="s">
        <v>503</v>
      </c>
      <c r="J124" s="2" t="s">
        <v>19</v>
      </c>
      <c r="K124" s="2" t="s">
        <v>607</v>
      </c>
      <c r="L124" s="7" t="str">
        <f>HYPERLINK("http://slimages.macys.com/is/image/MCY/12063680 ")</f>
        <v xml:space="preserve">http://slimages.macys.com/is/image/MCY/12063680 </v>
      </c>
    </row>
    <row r="125" spans="1:12" ht="24.75" x14ac:dyDescent="0.25">
      <c r="A125" s="4" t="s">
        <v>7181</v>
      </c>
      <c r="B125" s="2" t="s">
        <v>606</v>
      </c>
      <c r="C125" s="3">
        <v>2</v>
      </c>
      <c r="D125" s="5">
        <v>37.130000000000003</v>
      </c>
      <c r="E125" s="3">
        <v>100054430</v>
      </c>
      <c r="F125" s="2" t="s">
        <v>15</v>
      </c>
      <c r="G125" s="6" t="s">
        <v>141</v>
      </c>
      <c r="H125" s="2" t="s">
        <v>194</v>
      </c>
      <c r="I125" s="2" t="s">
        <v>503</v>
      </c>
      <c r="J125" s="2" t="s">
        <v>19</v>
      </c>
      <c r="K125" s="2" t="s">
        <v>607</v>
      </c>
      <c r="L125" s="7" t="str">
        <f>HYPERLINK("http://slimages.macys.com/is/image/MCY/12063680 ")</f>
        <v xml:space="preserve">http://slimages.macys.com/is/image/MCY/12063680 </v>
      </c>
    </row>
    <row r="126" spans="1:12" ht="24.75" x14ac:dyDescent="0.25">
      <c r="A126" s="4" t="s">
        <v>4604</v>
      </c>
      <c r="B126" s="2" t="s">
        <v>609</v>
      </c>
      <c r="C126" s="3">
        <v>1</v>
      </c>
      <c r="D126" s="5">
        <v>44.63</v>
      </c>
      <c r="E126" s="3">
        <v>100015690</v>
      </c>
      <c r="F126" s="2" t="s">
        <v>74</v>
      </c>
      <c r="G126" s="6" t="s">
        <v>154</v>
      </c>
      <c r="H126" s="2" t="s">
        <v>194</v>
      </c>
      <c r="I126" s="2" t="s">
        <v>195</v>
      </c>
      <c r="J126" s="2" t="s">
        <v>19</v>
      </c>
      <c r="K126" s="2" t="s">
        <v>610</v>
      </c>
      <c r="L126" s="7" t="str">
        <f>HYPERLINK("http://slimages.macys.com/is/image/MCY/9508600 ")</f>
        <v xml:space="preserve">http://slimages.macys.com/is/image/MCY/9508600 </v>
      </c>
    </row>
    <row r="127" spans="1:12" ht="24.75" x14ac:dyDescent="0.25">
      <c r="A127" s="4" t="s">
        <v>5519</v>
      </c>
      <c r="B127" s="2" t="s">
        <v>609</v>
      </c>
      <c r="C127" s="3">
        <v>1</v>
      </c>
      <c r="D127" s="5">
        <v>44.63</v>
      </c>
      <c r="E127" s="3">
        <v>100015690</v>
      </c>
      <c r="F127" s="2" t="s">
        <v>74</v>
      </c>
      <c r="G127" s="6" t="s">
        <v>181</v>
      </c>
      <c r="H127" s="2" t="s">
        <v>194</v>
      </c>
      <c r="I127" s="2" t="s">
        <v>195</v>
      </c>
      <c r="J127" s="2" t="s">
        <v>19</v>
      </c>
      <c r="K127" s="2" t="s">
        <v>610</v>
      </c>
      <c r="L127" s="7" t="str">
        <f>HYPERLINK("http://slimages.macys.com/is/image/MCY/9508600 ")</f>
        <v xml:space="preserve">http://slimages.macys.com/is/image/MCY/9508600 </v>
      </c>
    </row>
    <row r="128" spans="1:12" ht="24.75" x14ac:dyDescent="0.25">
      <c r="A128" s="4" t="s">
        <v>5521</v>
      </c>
      <c r="B128" s="2" t="s">
        <v>612</v>
      </c>
      <c r="C128" s="3">
        <v>1</v>
      </c>
      <c r="D128" s="5">
        <v>37.130000000000003</v>
      </c>
      <c r="E128" s="3">
        <v>100042366</v>
      </c>
      <c r="F128" s="2" t="s">
        <v>111</v>
      </c>
      <c r="G128" s="6" t="s">
        <v>154</v>
      </c>
      <c r="H128" s="2" t="s">
        <v>194</v>
      </c>
      <c r="I128" s="2" t="s">
        <v>195</v>
      </c>
      <c r="J128" s="2" t="s">
        <v>19</v>
      </c>
      <c r="K128" s="2" t="s">
        <v>546</v>
      </c>
      <c r="L128" s="7" t="str">
        <f>HYPERLINK("http://slimages.macys.com/is/image/MCY/12734278 ")</f>
        <v xml:space="preserve">http://slimages.macys.com/is/image/MCY/12734278 </v>
      </c>
    </row>
    <row r="129" spans="1:12" ht="24.75" x14ac:dyDescent="0.25">
      <c r="A129" s="4" t="s">
        <v>7182</v>
      </c>
      <c r="B129" s="2" t="s">
        <v>7183</v>
      </c>
      <c r="C129" s="3">
        <v>1</v>
      </c>
      <c r="D129" s="5">
        <v>44.63</v>
      </c>
      <c r="E129" s="3" t="s">
        <v>7184</v>
      </c>
      <c r="F129" s="2" t="s">
        <v>170</v>
      </c>
      <c r="G129" s="6" t="s">
        <v>200</v>
      </c>
      <c r="H129" s="2" t="s">
        <v>246</v>
      </c>
      <c r="I129" s="2" t="s">
        <v>189</v>
      </c>
      <c r="J129" s="2" t="s">
        <v>19</v>
      </c>
      <c r="K129" s="2" t="s">
        <v>990</v>
      </c>
      <c r="L129" s="7" t="str">
        <f>HYPERLINK("http://slimages.macys.com/is/image/MCY/11621712 ")</f>
        <v xml:space="preserve">http://slimages.macys.com/is/image/MCY/11621712 </v>
      </c>
    </row>
    <row r="130" spans="1:12" ht="24.75" x14ac:dyDescent="0.25">
      <c r="A130" s="4" t="s">
        <v>616</v>
      </c>
      <c r="B130" s="2" t="s">
        <v>617</v>
      </c>
      <c r="C130" s="3">
        <v>1</v>
      </c>
      <c r="D130" s="5">
        <v>44.63</v>
      </c>
      <c r="E130" s="3">
        <v>100054444</v>
      </c>
      <c r="F130" s="2" t="s">
        <v>111</v>
      </c>
      <c r="G130" s="6" t="s">
        <v>154</v>
      </c>
      <c r="H130" s="2" t="s">
        <v>194</v>
      </c>
      <c r="I130" s="2" t="s">
        <v>195</v>
      </c>
      <c r="J130" s="2" t="s">
        <v>19</v>
      </c>
      <c r="K130" s="2" t="s">
        <v>546</v>
      </c>
      <c r="L130" s="7" t="str">
        <f>HYPERLINK("http://slimages.macys.com/is/image/MCY/12279794 ")</f>
        <v xml:space="preserve">http://slimages.macys.com/is/image/MCY/12279794 </v>
      </c>
    </row>
    <row r="131" spans="1:12" ht="24.75" x14ac:dyDescent="0.25">
      <c r="A131" s="4" t="s">
        <v>620</v>
      </c>
      <c r="B131" s="2" t="s">
        <v>617</v>
      </c>
      <c r="C131" s="3">
        <v>1</v>
      </c>
      <c r="D131" s="5">
        <v>44.63</v>
      </c>
      <c r="E131" s="3">
        <v>100054444</v>
      </c>
      <c r="F131" s="2" t="s">
        <v>111</v>
      </c>
      <c r="G131" s="6" t="s">
        <v>181</v>
      </c>
      <c r="H131" s="2" t="s">
        <v>194</v>
      </c>
      <c r="I131" s="2" t="s">
        <v>195</v>
      </c>
      <c r="J131" s="2" t="s">
        <v>19</v>
      </c>
      <c r="K131" s="2" t="s">
        <v>546</v>
      </c>
      <c r="L131" s="7" t="str">
        <f>HYPERLINK("http://slimages.macys.com/is/image/MCY/12279794 ")</f>
        <v xml:space="preserve">http://slimages.macys.com/is/image/MCY/12279794 </v>
      </c>
    </row>
    <row r="132" spans="1:12" ht="48.75" x14ac:dyDescent="0.25">
      <c r="A132" s="4" t="s">
        <v>7185</v>
      </c>
      <c r="B132" s="2" t="s">
        <v>784</v>
      </c>
      <c r="C132" s="3">
        <v>1</v>
      </c>
      <c r="D132" s="5">
        <v>34.99</v>
      </c>
      <c r="E132" s="3" t="s">
        <v>7186</v>
      </c>
      <c r="F132" s="2" t="s">
        <v>1296</v>
      </c>
      <c r="G132" s="6" t="s">
        <v>2250</v>
      </c>
      <c r="H132" s="2" t="s">
        <v>349</v>
      </c>
      <c r="I132" s="2" t="s">
        <v>408</v>
      </c>
      <c r="J132" s="2" t="s">
        <v>19</v>
      </c>
      <c r="K132" s="2" t="s">
        <v>787</v>
      </c>
      <c r="L132" s="7" t="str">
        <f>HYPERLINK("http://slimages.macys.com/is/image/MCY/9789681 ")</f>
        <v xml:space="preserve">http://slimages.macys.com/is/image/MCY/9789681 </v>
      </c>
    </row>
    <row r="133" spans="1:12" ht="36.75" x14ac:dyDescent="0.25">
      <c r="A133" s="4" t="s">
        <v>7187</v>
      </c>
      <c r="B133" s="2" t="s">
        <v>626</v>
      </c>
      <c r="C133" s="3">
        <v>1</v>
      </c>
      <c r="D133" s="5">
        <v>40.880000000000003</v>
      </c>
      <c r="E133" s="3" t="s">
        <v>6393</v>
      </c>
      <c r="F133" s="2" t="s">
        <v>26</v>
      </c>
      <c r="G133" s="6" t="s">
        <v>126</v>
      </c>
      <c r="H133" s="2" t="s">
        <v>188</v>
      </c>
      <c r="I133" s="2" t="s">
        <v>525</v>
      </c>
      <c r="J133" s="2" t="s">
        <v>19</v>
      </c>
      <c r="K133" s="2" t="s">
        <v>6394</v>
      </c>
      <c r="L133" s="7" t="str">
        <f>HYPERLINK("http://slimages.macys.com/is/image/MCY/11620896 ")</f>
        <v xml:space="preserve">http://slimages.macys.com/is/image/MCY/11620896 </v>
      </c>
    </row>
    <row r="134" spans="1:12" ht="36.75" x14ac:dyDescent="0.25">
      <c r="A134" s="4" t="s">
        <v>5522</v>
      </c>
      <c r="B134" s="2" t="s">
        <v>5523</v>
      </c>
      <c r="C134" s="3">
        <v>1</v>
      </c>
      <c r="D134" s="5">
        <v>39.99</v>
      </c>
      <c r="E134" s="3" t="s">
        <v>5524</v>
      </c>
      <c r="F134" s="2" t="s">
        <v>579</v>
      </c>
      <c r="G134" s="6"/>
      <c r="H134" s="2" t="s">
        <v>188</v>
      </c>
      <c r="I134" s="2" t="s">
        <v>189</v>
      </c>
      <c r="J134" s="2" t="s">
        <v>19</v>
      </c>
      <c r="K134" s="2" t="s">
        <v>5525</v>
      </c>
      <c r="L134" s="7" t="str">
        <f>HYPERLINK("http://slimages.macys.com/is/image/MCY/12649515 ")</f>
        <v xml:space="preserve">http://slimages.macys.com/is/image/MCY/12649515 </v>
      </c>
    </row>
    <row r="135" spans="1:12" ht="24.75" x14ac:dyDescent="0.25">
      <c r="A135" s="4" t="s">
        <v>2350</v>
      </c>
      <c r="B135" s="2" t="s">
        <v>2351</v>
      </c>
      <c r="C135" s="3">
        <v>1</v>
      </c>
      <c r="D135" s="5">
        <v>37.130000000000003</v>
      </c>
      <c r="E135" s="3" t="s">
        <v>2352</v>
      </c>
      <c r="F135" s="2" t="s">
        <v>417</v>
      </c>
      <c r="G135" s="6" t="s">
        <v>181</v>
      </c>
      <c r="H135" s="2" t="s">
        <v>194</v>
      </c>
      <c r="I135" s="2" t="s">
        <v>195</v>
      </c>
      <c r="J135" s="2" t="s">
        <v>19</v>
      </c>
      <c r="K135" s="2" t="s">
        <v>438</v>
      </c>
      <c r="L135" s="7" t="str">
        <f>HYPERLINK("http://slimages.macys.com/is/image/MCY/12667948 ")</f>
        <v xml:space="preserve">http://slimages.macys.com/is/image/MCY/12667948 </v>
      </c>
    </row>
    <row r="136" spans="1:12" ht="24.75" x14ac:dyDescent="0.25">
      <c r="A136" s="4" t="s">
        <v>5526</v>
      </c>
      <c r="B136" s="2" t="s">
        <v>2351</v>
      </c>
      <c r="C136" s="3">
        <v>1</v>
      </c>
      <c r="D136" s="5">
        <v>37.130000000000003</v>
      </c>
      <c r="E136" s="3" t="s">
        <v>2352</v>
      </c>
      <c r="F136" s="2" t="s">
        <v>111</v>
      </c>
      <c r="G136" s="6" t="s">
        <v>156</v>
      </c>
      <c r="H136" s="2" t="s">
        <v>194</v>
      </c>
      <c r="I136" s="2" t="s">
        <v>195</v>
      </c>
      <c r="J136" s="2" t="s">
        <v>19</v>
      </c>
      <c r="K136" s="2" t="s">
        <v>438</v>
      </c>
      <c r="L136" s="7" t="str">
        <f>HYPERLINK("http://slimages.macys.com/is/image/MCY/12667948 ")</f>
        <v xml:space="preserve">http://slimages.macys.com/is/image/MCY/12667948 </v>
      </c>
    </row>
    <row r="137" spans="1:12" ht="24.75" x14ac:dyDescent="0.25">
      <c r="A137" s="4" t="s">
        <v>4613</v>
      </c>
      <c r="B137" s="2" t="s">
        <v>2351</v>
      </c>
      <c r="C137" s="3">
        <v>1</v>
      </c>
      <c r="D137" s="5">
        <v>37.130000000000003</v>
      </c>
      <c r="E137" s="3" t="s">
        <v>2352</v>
      </c>
      <c r="F137" s="2" t="s">
        <v>417</v>
      </c>
      <c r="G137" s="6" t="s">
        <v>234</v>
      </c>
      <c r="H137" s="2" t="s">
        <v>194</v>
      </c>
      <c r="I137" s="2" t="s">
        <v>195</v>
      </c>
      <c r="J137" s="2" t="s">
        <v>19</v>
      </c>
      <c r="K137" s="2" t="s">
        <v>438</v>
      </c>
      <c r="L137" s="7" t="str">
        <f>HYPERLINK("http://slimages.macys.com/is/image/MCY/12667948 ")</f>
        <v xml:space="preserve">http://slimages.macys.com/is/image/MCY/12667948 </v>
      </c>
    </row>
    <row r="138" spans="1:12" ht="24.75" x14ac:dyDescent="0.25">
      <c r="A138" s="4" t="s">
        <v>7188</v>
      </c>
      <c r="B138" s="2" t="s">
        <v>7189</v>
      </c>
      <c r="C138" s="3">
        <v>1</v>
      </c>
      <c r="D138" s="5">
        <v>69.5</v>
      </c>
      <c r="E138" s="3" t="s">
        <v>7190</v>
      </c>
      <c r="F138" s="2" t="s">
        <v>676</v>
      </c>
      <c r="G138" s="6" t="s">
        <v>219</v>
      </c>
      <c r="H138" s="2" t="s">
        <v>127</v>
      </c>
      <c r="I138" s="2" t="s">
        <v>128</v>
      </c>
      <c r="J138" s="2" t="s">
        <v>19</v>
      </c>
      <c r="K138" s="2" t="s">
        <v>160</v>
      </c>
      <c r="L138" s="7" t="str">
        <f>HYPERLINK("http://slimages.macys.com/is/image/MCY/14313187 ")</f>
        <v xml:space="preserve">http://slimages.macys.com/is/image/MCY/14313187 </v>
      </c>
    </row>
    <row r="139" spans="1:12" ht="24.75" x14ac:dyDescent="0.25">
      <c r="A139" s="4" t="s">
        <v>7191</v>
      </c>
      <c r="B139" s="2" t="s">
        <v>7192</v>
      </c>
      <c r="C139" s="3">
        <v>1</v>
      </c>
      <c r="D139" s="5">
        <v>44.5</v>
      </c>
      <c r="E139" s="3" t="s">
        <v>7193</v>
      </c>
      <c r="F139" s="2" t="s">
        <v>26</v>
      </c>
      <c r="G139" s="6" t="s">
        <v>6589</v>
      </c>
      <c r="H139" s="2" t="s">
        <v>188</v>
      </c>
      <c r="I139" s="2" t="s">
        <v>214</v>
      </c>
      <c r="J139" s="2" t="s">
        <v>19</v>
      </c>
      <c r="K139" s="2" t="s">
        <v>215</v>
      </c>
      <c r="L139" s="7" t="str">
        <f>HYPERLINK("http://slimages.macys.com/is/image/MCY/9886576 ")</f>
        <v xml:space="preserve">http://slimages.macys.com/is/image/MCY/9886576 </v>
      </c>
    </row>
    <row r="140" spans="1:12" ht="24.75" x14ac:dyDescent="0.25">
      <c r="A140" s="4" t="s">
        <v>7194</v>
      </c>
      <c r="B140" s="2" t="s">
        <v>7195</v>
      </c>
      <c r="C140" s="3">
        <v>1</v>
      </c>
      <c r="D140" s="5">
        <v>40.880000000000003</v>
      </c>
      <c r="E140" s="3" t="s">
        <v>7196</v>
      </c>
      <c r="F140" s="2" t="s">
        <v>566</v>
      </c>
      <c r="G140" s="6" t="s">
        <v>154</v>
      </c>
      <c r="H140" s="2" t="s">
        <v>284</v>
      </c>
      <c r="I140" s="2" t="s">
        <v>285</v>
      </c>
      <c r="J140" s="2" t="s">
        <v>19</v>
      </c>
      <c r="K140" s="2" t="s">
        <v>34</v>
      </c>
      <c r="L140" s="7" t="str">
        <f>HYPERLINK("http://slimages.macys.com/is/image/MCY/12807273 ")</f>
        <v xml:space="preserve">http://slimages.macys.com/is/image/MCY/12807273 </v>
      </c>
    </row>
    <row r="141" spans="1:12" ht="24.75" x14ac:dyDescent="0.25">
      <c r="A141" s="4" t="s">
        <v>2356</v>
      </c>
      <c r="B141" s="2" t="s">
        <v>2357</v>
      </c>
      <c r="C141" s="3">
        <v>1</v>
      </c>
      <c r="D141" s="5">
        <v>40.880000000000003</v>
      </c>
      <c r="E141" s="3" t="s">
        <v>2358</v>
      </c>
      <c r="F141" s="2" t="s">
        <v>15</v>
      </c>
      <c r="G141" s="6" t="s">
        <v>181</v>
      </c>
      <c r="H141" s="2" t="s">
        <v>284</v>
      </c>
      <c r="I141" s="2" t="s">
        <v>285</v>
      </c>
      <c r="J141" s="2" t="s">
        <v>19</v>
      </c>
      <c r="K141" s="2" t="s">
        <v>160</v>
      </c>
      <c r="L141" s="7" t="str">
        <f>HYPERLINK("http://slimages.macys.com/is/image/MCY/12671658 ")</f>
        <v xml:space="preserve">http://slimages.macys.com/is/image/MCY/12671658 </v>
      </c>
    </row>
    <row r="142" spans="1:12" ht="24.75" x14ac:dyDescent="0.25">
      <c r="A142" s="4" t="s">
        <v>3496</v>
      </c>
      <c r="B142" s="2" t="s">
        <v>2351</v>
      </c>
      <c r="C142" s="3">
        <v>1</v>
      </c>
      <c r="D142" s="5">
        <v>37.130000000000003</v>
      </c>
      <c r="E142" s="3" t="s">
        <v>3497</v>
      </c>
      <c r="F142" s="2" t="s">
        <v>417</v>
      </c>
      <c r="G142" s="6"/>
      <c r="H142" s="2" t="s">
        <v>312</v>
      </c>
      <c r="I142" s="2" t="s">
        <v>195</v>
      </c>
      <c r="J142" s="2" t="s">
        <v>19</v>
      </c>
      <c r="K142" s="2" t="s">
        <v>3508</v>
      </c>
      <c r="L142" s="7" t="str">
        <f>HYPERLINK("http://slimages.macys.com/is/image/MCY/12667948 ")</f>
        <v xml:space="preserve">http://slimages.macys.com/is/image/MCY/12667948 </v>
      </c>
    </row>
    <row r="143" spans="1:12" ht="24.75" x14ac:dyDescent="0.25">
      <c r="A143" s="4" t="s">
        <v>7197</v>
      </c>
      <c r="B143" s="2" t="s">
        <v>641</v>
      </c>
      <c r="C143" s="3">
        <v>1</v>
      </c>
      <c r="D143" s="5">
        <v>34.99</v>
      </c>
      <c r="E143" s="3" t="s">
        <v>644</v>
      </c>
      <c r="F143" s="2" t="s">
        <v>26</v>
      </c>
      <c r="G143" s="6" t="s">
        <v>2276</v>
      </c>
      <c r="H143" s="2" t="s">
        <v>349</v>
      </c>
      <c r="I143" s="2" t="s">
        <v>408</v>
      </c>
      <c r="J143" s="2" t="s">
        <v>19</v>
      </c>
      <c r="K143" s="2" t="s">
        <v>409</v>
      </c>
      <c r="L143" s="7" t="str">
        <f>HYPERLINK("http://slimages.macys.com/is/image/MCY/9420343 ")</f>
        <v xml:space="preserve">http://slimages.macys.com/is/image/MCY/9420343 </v>
      </c>
    </row>
    <row r="144" spans="1:12" ht="24.75" x14ac:dyDescent="0.25">
      <c r="A144" s="4" t="s">
        <v>7198</v>
      </c>
      <c r="B144" s="2" t="s">
        <v>646</v>
      </c>
      <c r="C144" s="3">
        <v>1</v>
      </c>
      <c r="D144" s="5">
        <v>39.5</v>
      </c>
      <c r="E144" s="3" t="s">
        <v>647</v>
      </c>
      <c r="F144" s="2" t="s">
        <v>33</v>
      </c>
      <c r="G144" s="6" t="s">
        <v>200</v>
      </c>
      <c r="H144" s="2" t="s">
        <v>194</v>
      </c>
      <c r="I144" s="2" t="s">
        <v>195</v>
      </c>
      <c r="J144" s="2" t="s">
        <v>19</v>
      </c>
      <c r="K144" s="2" t="s">
        <v>648</v>
      </c>
      <c r="L144" s="7" t="str">
        <f>HYPERLINK("http://slimages.macys.com/is/image/MCY/12404939 ")</f>
        <v xml:space="preserve">http://slimages.macys.com/is/image/MCY/12404939 </v>
      </c>
    </row>
    <row r="145" spans="1:12" ht="24.75" x14ac:dyDescent="0.25">
      <c r="A145" s="4" t="s">
        <v>7199</v>
      </c>
      <c r="B145" s="2" t="s">
        <v>646</v>
      </c>
      <c r="C145" s="3">
        <v>1</v>
      </c>
      <c r="D145" s="5">
        <v>39.5</v>
      </c>
      <c r="E145" s="3" t="s">
        <v>647</v>
      </c>
      <c r="F145" s="2" t="s">
        <v>33</v>
      </c>
      <c r="G145" s="6" t="s">
        <v>154</v>
      </c>
      <c r="H145" s="2" t="s">
        <v>194</v>
      </c>
      <c r="I145" s="2" t="s">
        <v>195</v>
      </c>
      <c r="J145" s="2" t="s">
        <v>19</v>
      </c>
      <c r="K145" s="2" t="s">
        <v>648</v>
      </c>
      <c r="L145" s="7" t="str">
        <f>HYPERLINK("http://slimages.macys.com/is/image/MCY/12404939 ")</f>
        <v xml:space="preserve">http://slimages.macys.com/is/image/MCY/12404939 </v>
      </c>
    </row>
    <row r="146" spans="1:12" ht="24.75" x14ac:dyDescent="0.25">
      <c r="A146" s="4" t="s">
        <v>7200</v>
      </c>
      <c r="B146" s="2" t="s">
        <v>2366</v>
      </c>
      <c r="C146" s="3">
        <v>1</v>
      </c>
      <c r="D146" s="5">
        <v>37.130000000000003</v>
      </c>
      <c r="E146" s="3" t="s">
        <v>2367</v>
      </c>
      <c r="F146" s="2" t="s">
        <v>572</v>
      </c>
      <c r="G146" s="6" t="s">
        <v>27</v>
      </c>
      <c r="H146" s="2" t="s">
        <v>246</v>
      </c>
      <c r="I146" s="2" t="s">
        <v>525</v>
      </c>
      <c r="J146" s="2" t="s">
        <v>19</v>
      </c>
      <c r="K146" s="2" t="s">
        <v>338</v>
      </c>
      <c r="L146" s="7" t="str">
        <f>HYPERLINK("http://slimages.macys.com/is/image/MCY/11746357 ")</f>
        <v xml:space="preserve">http://slimages.macys.com/is/image/MCY/11746357 </v>
      </c>
    </row>
    <row r="147" spans="1:12" ht="24.75" x14ac:dyDescent="0.25">
      <c r="A147" s="4" t="s">
        <v>7201</v>
      </c>
      <c r="B147" s="2" t="s">
        <v>5545</v>
      </c>
      <c r="C147" s="3">
        <v>1</v>
      </c>
      <c r="D147" s="5">
        <v>40.880000000000003</v>
      </c>
      <c r="E147" s="3" t="s">
        <v>5546</v>
      </c>
      <c r="F147" s="2" t="s">
        <v>74</v>
      </c>
      <c r="G147" s="6" t="s">
        <v>154</v>
      </c>
      <c r="H147" s="2" t="s">
        <v>284</v>
      </c>
      <c r="I147" s="2" t="s">
        <v>285</v>
      </c>
      <c r="J147" s="2" t="s">
        <v>19</v>
      </c>
      <c r="K147" s="2" t="s">
        <v>160</v>
      </c>
      <c r="L147" s="7" t="str">
        <f>HYPERLINK("http://slimages.macys.com/is/image/MCY/12036726 ")</f>
        <v xml:space="preserve">http://slimages.macys.com/is/image/MCY/12036726 </v>
      </c>
    </row>
    <row r="148" spans="1:12" ht="48.75" x14ac:dyDescent="0.25">
      <c r="A148" s="4" t="s">
        <v>7202</v>
      </c>
      <c r="B148" s="2" t="s">
        <v>2248</v>
      </c>
      <c r="C148" s="3">
        <v>1</v>
      </c>
      <c r="D148" s="5">
        <v>37.130000000000003</v>
      </c>
      <c r="E148" s="3" t="s">
        <v>7203</v>
      </c>
      <c r="F148" s="2" t="s">
        <v>64</v>
      </c>
      <c r="G148" s="6" t="s">
        <v>418</v>
      </c>
      <c r="H148" s="2" t="s">
        <v>632</v>
      </c>
      <c r="I148" s="2" t="s">
        <v>408</v>
      </c>
      <c r="J148" s="2" t="s">
        <v>19</v>
      </c>
      <c r="K148" s="2" t="s">
        <v>787</v>
      </c>
      <c r="L148" s="7" t="str">
        <f>HYPERLINK("http://slimages.macys.com/is/image/MCY/11241401 ")</f>
        <v xml:space="preserve">http://slimages.macys.com/is/image/MCY/11241401 </v>
      </c>
    </row>
    <row r="149" spans="1:12" ht="24.75" x14ac:dyDescent="0.25">
      <c r="A149" s="4" t="s">
        <v>4630</v>
      </c>
      <c r="B149" s="2" t="s">
        <v>4631</v>
      </c>
      <c r="C149" s="3">
        <v>1</v>
      </c>
      <c r="D149" s="5">
        <v>40.880000000000003</v>
      </c>
      <c r="E149" s="3" t="s">
        <v>4632</v>
      </c>
      <c r="F149" s="2" t="s">
        <v>125</v>
      </c>
      <c r="G149" s="6" t="s">
        <v>154</v>
      </c>
      <c r="H149" s="2" t="s">
        <v>194</v>
      </c>
      <c r="I149" s="2" t="s">
        <v>195</v>
      </c>
      <c r="J149" s="2" t="s">
        <v>19</v>
      </c>
      <c r="K149" s="2" t="s">
        <v>107</v>
      </c>
      <c r="L149" s="7" t="str">
        <f>HYPERLINK("http://slimages.macys.com/is/image/MCY/12279952 ")</f>
        <v xml:space="preserve">http://slimages.macys.com/is/image/MCY/12279952 </v>
      </c>
    </row>
    <row r="150" spans="1:12" ht="24.75" x14ac:dyDescent="0.25">
      <c r="A150" s="4" t="s">
        <v>7204</v>
      </c>
      <c r="B150" s="2" t="s">
        <v>4631</v>
      </c>
      <c r="C150" s="3">
        <v>1</v>
      </c>
      <c r="D150" s="5">
        <v>40.880000000000003</v>
      </c>
      <c r="E150" s="3" t="s">
        <v>4632</v>
      </c>
      <c r="F150" s="2" t="s">
        <v>125</v>
      </c>
      <c r="G150" s="6" t="s">
        <v>234</v>
      </c>
      <c r="H150" s="2" t="s">
        <v>194</v>
      </c>
      <c r="I150" s="2" t="s">
        <v>195</v>
      </c>
      <c r="J150" s="2" t="s">
        <v>19</v>
      </c>
      <c r="K150" s="2" t="s">
        <v>107</v>
      </c>
      <c r="L150" s="7" t="str">
        <f>HYPERLINK("http://slimages.macys.com/is/image/MCY/12279952 ")</f>
        <v xml:space="preserve">http://slimages.macys.com/is/image/MCY/12279952 </v>
      </c>
    </row>
    <row r="151" spans="1:12" ht="24.75" x14ac:dyDescent="0.25">
      <c r="A151" s="4" t="s">
        <v>4633</v>
      </c>
      <c r="B151" s="2" t="s">
        <v>663</v>
      </c>
      <c r="C151" s="3">
        <v>1</v>
      </c>
      <c r="D151" s="5">
        <v>29.99</v>
      </c>
      <c r="E151" s="3" t="s">
        <v>664</v>
      </c>
      <c r="F151" s="2" t="s">
        <v>15</v>
      </c>
      <c r="G151" s="6" t="s">
        <v>181</v>
      </c>
      <c r="H151" s="2" t="s">
        <v>284</v>
      </c>
      <c r="I151" s="2" t="s">
        <v>408</v>
      </c>
      <c r="J151" s="2" t="s">
        <v>19</v>
      </c>
      <c r="K151" s="2" t="s">
        <v>409</v>
      </c>
      <c r="L151" s="7" t="str">
        <f>HYPERLINK("http://slimages.macys.com/is/image/MCY/13397153 ")</f>
        <v xml:space="preserve">http://slimages.macys.com/is/image/MCY/13397153 </v>
      </c>
    </row>
    <row r="152" spans="1:12" ht="24.75" x14ac:dyDescent="0.25">
      <c r="A152" s="4" t="s">
        <v>2370</v>
      </c>
      <c r="B152" s="2" t="s">
        <v>663</v>
      </c>
      <c r="C152" s="3">
        <v>1</v>
      </c>
      <c r="D152" s="5">
        <v>29.99</v>
      </c>
      <c r="E152" s="3" t="s">
        <v>664</v>
      </c>
      <c r="F152" s="2" t="s">
        <v>15</v>
      </c>
      <c r="G152" s="6" t="s">
        <v>156</v>
      </c>
      <c r="H152" s="2" t="s">
        <v>284</v>
      </c>
      <c r="I152" s="2" t="s">
        <v>408</v>
      </c>
      <c r="J152" s="2" t="s">
        <v>19</v>
      </c>
      <c r="K152" s="2" t="s">
        <v>409</v>
      </c>
      <c r="L152" s="7" t="str">
        <f>HYPERLINK("http://slimages.macys.com/is/image/MCY/13397153 ")</f>
        <v xml:space="preserve">http://slimages.macys.com/is/image/MCY/13397153 </v>
      </c>
    </row>
    <row r="153" spans="1:12" x14ac:dyDescent="0.25">
      <c r="A153" s="4" t="s">
        <v>7205</v>
      </c>
      <c r="B153" s="2" t="s">
        <v>7206</v>
      </c>
      <c r="C153" s="3">
        <v>1</v>
      </c>
      <c r="D153" s="5">
        <v>69.5</v>
      </c>
      <c r="E153" s="3">
        <v>100060493</v>
      </c>
      <c r="F153" s="2" t="s">
        <v>464</v>
      </c>
      <c r="G153" s="6" t="s">
        <v>141</v>
      </c>
      <c r="H153" s="2" t="s">
        <v>386</v>
      </c>
      <c r="I153" s="2" t="s">
        <v>207</v>
      </c>
      <c r="J153" s="2" t="s">
        <v>19</v>
      </c>
      <c r="K153" s="2" t="s">
        <v>353</v>
      </c>
      <c r="L153" s="7" t="str">
        <f>HYPERLINK("http://slimages.macys.com/is/image/MCY/12387105 ")</f>
        <v xml:space="preserve">http://slimages.macys.com/is/image/MCY/12387105 </v>
      </c>
    </row>
    <row r="154" spans="1:12" ht="24.75" x14ac:dyDescent="0.25">
      <c r="A154" s="4" t="s">
        <v>7207</v>
      </c>
      <c r="B154" s="2" t="s">
        <v>7208</v>
      </c>
      <c r="C154" s="3">
        <v>1</v>
      </c>
      <c r="D154" s="5">
        <v>44.63</v>
      </c>
      <c r="E154" s="3" t="s">
        <v>7209</v>
      </c>
      <c r="F154" s="2" t="s">
        <v>74</v>
      </c>
      <c r="G154" s="6" t="s">
        <v>156</v>
      </c>
      <c r="H154" s="2" t="s">
        <v>284</v>
      </c>
      <c r="I154" s="2" t="s">
        <v>285</v>
      </c>
      <c r="J154" s="2" t="s">
        <v>19</v>
      </c>
      <c r="K154" s="2" t="s">
        <v>648</v>
      </c>
      <c r="L154" s="7" t="str">
        <f>HYPERLINK("http://slimages.macys.com/is/image/MCY/13038881 ")</f>
        <v xml:space="preserve">http://slimages.macys.com/is/image/MCY/13038881 </v>
      </c>
    </row>
    <row r="155" spans="1:12" ht="24.75" x14ac:dyDescent="0.25">
      <c r="A155" s="4" t="s">
        <v>7210</v>
      </c>
      <c r="B155" s="2" t="s">
        <v>405</v>
      </c>
      <c r="C155" s="3">
        <v>1</v>
      </c>
      <c r="D155" s="5">
        <v>37.130000000000003</v>
      </c>
      <c r="E155" s="3" t="s">
        <v>7211</v>
      </c>
      <c r="F155" s="2" t="s">
        <v>53</v>
      </c>
      <c r="G155" s="6" t="s">
        <v>181</v>
      </c>
      <c r="H155" s="2" t="s">
        <v>284</v>
      </c>
      <c r="I155" s="2" t="s">
        <v>408</v>
      </c>
      <c r="J155" s="2" t="s">
        <v>19</v>
      </c>
      <c r="K155" s="2" t="s">
        <v>409</v>
      </c>
      <c r="L155" s="7" t="str">
        <f>HYPERLINK("http://slimages.macys.com/is/image/MCY/13041245 ")</f>
        <v xml:space="preserve">http://slimages.macys.com/is/image/MCY/13041245 </v>
      </c>
    </row>
    <row r="156" spans="1:12" ht="24.75" x14ac:dyDescent="0.25">
      <c r="A156" s="4" t="s">
        <v>7212</v>
      </c>
      <c r="B156" s="2" t="s">
        <v>5548</v>
      </c>
      <c r="C156" s="3">
        <v>1</v>
      </c>
      <c r="D156" s="5">
        <v>40.880000000000003</v>
      </c>
      <c r="E156" s="3" t="s">
        <v>7213</v>
      </c>
      <c r="F156" s="2" t="s">
        <v>26</v>
      </c>
      <c r="G156" s="6"/>
      <c r="H156" s="2" t="s">
        <v>632</v>
      </c>
      <c r="I156" s="2" t="s">
        <v>285</v>
      </c>
      <c r="J156" s="2" t="s">
        <v>19</v>
      </c>
      <c r="K156" s="2" t="s">
        <v>323</v>
      </c>
      <c r="L156" s="7" t="str">
        <f>HYPERLINK("http://slimages.macys.com/is/image/MCY/12077631 ")</f>
        <v xml:space="preserve">http://slimages.macys.com/is/image/MCY/12077631 </v>
      </c>
    </row>
    <row r="157" spans="1:12" ht="24.75" x14ac:dyDescent="0.25">
      <c r="A157" s="4" t="s">
        <v>5553</v>
      </c>
      <c r="B157" s="2" t="s">
        <v>2376</v>
      </c>
      <c r="C157" s="3">
        <v>1</v>
      </c>
      <c r="D157" s="5">
        <v>40.880000000000003</v>
      </c>
      <c r="E157" s="3" t="s">
        <v>2377</v>
      </c>
      <c r="F157" s="2" t="s">
        <v>26</v>
      </c>
      <c r="G157" s="6" t="s">
        <v>200</v>
      </c>
      <c r="H157" s="2" t="s">
        <v>284</v>
      </c>
      <c r="I157" s="2" t="s">
        <v>285</v>
      </c>
      <c r="J157" s="2" t="s">
        <v>19</v>
      </c>
      <c r="K157" s="2" t="s">
        <v>34</v>
      </c>
      <c r="L157" s="7" t="str">
        <f>HYPERLINK("http://slimages.macys.com/is/image/MCY/12671730 ")</f>
        <v xml:space="preserve">http://slimages.macys.com/is/image/MCY/12671730 </v>
      </c>
    </row>
    <row r="158" spans="1:12" ht="24.75" x14ac:dyDescent="0.25">
      <c r="A158" s="4" t="s">
        <v>7214</v>
      </c>
      <c r="B158" s="2" t="s">
        <v>682</v>
      </c>
      <c r="C158" s="3">
        <v>1</v>
      </c>
      <c r="D158" s="5">
        <v>40.880000000000003</v>
      </c>
      <c r="E158" s="3" t="s">
        <v>683</v>
      </c>
      <c r="F158" s="2" t="s">
        <v>111</v>
      </c>
      <c r="G158" s="6" t="s">
        <v>156</v>
      </c>
      <c r="H158" s="2" t="s">
        <v>194</v>
      </c>
      <c r="I158" s="2" t="s">
        <v>503</v>
      </c>
      <c r="J158" s="2" t="s">
        <v>19</v>
      </c>
      <c r="K158" s="2" t="s">
        <v>546</v>
      </c>
      <c r="L158" s="7" t="str">
        <f>HYPERLINK("http://slimages.macys.com/is/image/MCY/12316740 ")</f>
        <v xml:space="preserve">http://slimages.macys.com/is/image/MCY/12316740 </v>
      </c>
    </row>
    <row r="159" spans="1:12" ht="24.75" x14ac:dyDescent="0.25">
      <c r="A159" s="4" t="s">
        <v>7215</v>
      </c>
      <c r="B159" s="2" t="s">
        <v>7216</v>
      </c>
      <c r="C159" s="3">
        <v>1</v>
      </c>
      <c r="D159" s="5">
        <v>40.880000000000003</v>
      </c>
      <c r="E159" s="3" t="s">
        <v>7217</v>
      </c>
      <c r="F159" s="2" t="s">
        <v>74</v>
      </c>
      <c r="G159" s="6" t="s">
        <v>200</v>
      </c>
      <c r="H159" s="2" t="s">
        <v>284</v>
      </c>
      <c r="I159" s="2" t="s">
        <v>285</v>
      </c>
      <c r="J159" s="2" t="s">
        <v>19</v>
      </c>
      <c r="K159" s="2" t="s">
        <v>711</v>
      </c>
      <c r="L159" s="7" t="str">
        <f>HYPERLINK("http://slimages.macys.com/is/image/MCY/11856903 ")</f>
        <v xml:space="preserve">http://slimages.macys.com/is/image/MCY/11856903 </v>
      </c>
    </row>
    <row r="160" spans="1:12" ht="48.75" x14ac:dyDescent="0.25">
      <c r="A160" s="4" t="s">
        <v>5557</v>
      </c>
      <c r="B160" s="2" t="s">
        <v>432</v>
      </c>
      <c r="C160" s="3">
        <v>1</v>
      </c>
      <c r="D160" s="5">
        <v>37.130000000000003</v>
      </c>
      <c r="E160" s="3" t="s">
        <v>4646</v>
      </c>
      <c r="F160" s="2" t="s">
        <v>26</v>
      </c>
      <c r="G160" s="6" t="s">
        <v>234</v>
      </c>
      <c r="H160" s="2" t="s">
        <v>284</v>
      </c>
      <c r="I160" s="2" t="s">
        <v>408</v>
      </c>
      <c r="J160" s="2" t="s">
        <v>19</v>
      </c>
      <c r="K160" s="2" t="s">
        <v>775</v>
      </c>
      <c r="L160" s="7" t="str">
        <f>HYPERLINK("http://slimages.macys.com/is/image/MCY/12672509 ")</f>
        <v xml:space="preserve">http://slimages.macys.com/is/image/MCY/12672509 </v>
      </c>
    </row>
    <row r="161" spans="1:12" ht="24.75" x14ac:dyDescent="0.25">
      <c r="A161" s="4" t="s">
        <v>7218</v>
      </c>
      <c r="B161" s="2" t="s">
        <v>693</v>
      </c>
      <c r="C161" s="3">
        <v>1</v>
      </c>
      <c r="D161" s="5">
        <v>29.99</v>
      </c>
      <c r="E161" s="3" t="s">
        <v>7219</v>
      </c>
      <c r="F161" s="2" t="s">
        <v>413</v>
      </c>
      <c r="G161" s="6"/>
      <c r="H161" s="2" t="s">
        <v>632</v>
      </c>
      <c r="I161" s="2" t="s">
        <v>408</v>
      </c>
      <c r="J161" s="2" t="s">
        <v>19</v>
      </c>
      <c r="K161" s="2" t="s">
        <v>409</v>
      </c>
      <c r="L161" s="7" t="str">
        <f>HYPERLINK("http://slimages.macys.com/is/image/MCY/8140828 ")</f>
        <v xml:space="preserve">http://slimages.macys.com/is/image/MCY/8140828 </v>
      </c>
    </row>
    <row r="162" spans="1:12" ht="24.75" x14ac:dyDescent="0.25">
      <c r="A162" s="4" t="s">
        <v>2393</v>
      </c>
      <c r="B162" s="2" t="s">
        <v>2394</v>
      </c>
      <c r="C162" s="3">
        <v>1</v>
      </c>
      <c r="D162" s="5">
        <v>40.880000000000003</v>
      </c>
      <c r="E162" s="3" t="s">
        <v>2395</v>
      </c>
      <c r="F162" s="2" t="s">
        <v>33</v>
      </c>
      <c r="G162" s="6" t="s">
        <v>181</v>
      </c>
      <c r="H162" s="2" t="s">
        <v>194</v>
      </c>
      <c r="I162" s="2" t="s">
        <v>195</v>
      </c>
      <c r="J162" s="2" t="s">
        <v>19</v>
      </c>
      <c r="K162" s="2" t="s">
        <v>34</v>
      </c>
      <c r="L162" s="7" t="str">
        <f>HYPERLINK("http://slimages.macys.com/is/image/MCY/12950238 ")</f>
        <v xml:space="preserve">http://slimages.macys.com/is/image/MCY/12950238 </v>
      </c>
    </row>
    <row r="163" spans="1:12" ht="24.75" x14ac:dyDescent="0.25">
      <c r="A163" s="4" t="s">
        <v>2399</v>
      </c>
      <c r="B163" s="2" t="s">
        <v>453</v>
      </c>
      <c r="C163" s="3">
        <v>1</v>
      </c>
      <c r="D163" s="5">
        <v>37.130000000000003</v>
      </c>
      <c r="E163" s="3" t="s">
        <v>721</v>
      </c>
      <c r="F163" s="2" t="s">
        <v>417</v>
      </c>
      <c r="G163" s="6" t="s">
        <v>156</v>
      </c>
      <c r="H163" s="2" t="s">
        <v>284</v>
      </c>
      <c r="I163" s="2" t="s">
        <v>285</v>
      </c>
      <c r="J163" s="2" t="s">
        <v>19</v>
      </c>
      <c r="K163" s="2" t="s">
        <v>323</v>
      </c>
      <c r="L163" s="7" t="str">
        <f>HYPERLINK("http://slimages.macys.com/is/image/MCY/9678668 ")</f>
        <v xml:space="preserve">http://slimages.macys.com/is/image/MCY/9678668 </v>
      </c>
    </row>
    <row r="164" spans="1:12" ht="24.75" x14ac:dyDescent="0.25">
      <c r="A164" s="4" t="s">
        <v>723</v>
      </c>
      <c r="B164" s="2" t="s">
        <v>453</v>
      </c>
      <c r="C164" s="3">
        <v>1</v>
      </c>
      <c r="D164" s="5">
        <v>37.130000000000003</v>
      </c>
      <c r="E164" s="3" t="s">
        <v>721</v>
      </c>
      <c r="F164" s="2" t="s">
        <v>417</v>
      </c>
      <c r="G164" s="6" t="s">
        <v>200</v>
      </c>
      <c r="H164" s="2" t="s">
        <v>284</v>
      </c>
      <c r="I164" s="2" t="s">
        <v>285</v>
      </c>
      <c r="J164" s="2" t="s">
        <v>19</v>
      </c>
      <c r="K164" s="2" t="s">
        <v>323</v>
      </c>
      <c r="L164" s="7" t="str">
        <f>HYPERLINK("http://slimages.macys.com/is/image/MCY/9678668 ")</f>
        <v xml:space="preserve">http://slimages.macys.com/is/image/MCY/9678668 </v>
      </c>
    </row>
    <row r="165" spans="1:12" ht="24.75" x14ac:dyDescent="0.25">
      <c r="A165" s="4" t="s">
        <v>720</v>
      </c>
      <c r="B165" s="2" t="s">
        <v>453</v>
      </c>
      <c r="C165" s="3">
        <v>3</v>
      </c>
      <c r="D165" s="5">
        <v>37.130000000000003</v>
      </c>
      <c r="E165" s="3" t="s">
        <v>721</v>
      </c>
      <c r="F165" s="2" t="s">
        <v>417</v>
      </c>
      <c r="G165" s="6" t="s">
        <v>234</v>
      </c>
      <c r="H165" s="2" t="s">
        <v>284</v>
      </c>
      <c r="I165" s="2" t="s">
        <v>285</v>
      </c>
      <c r="J165" s="2" t="s">
        <v>19</v>
      </c>
      <c r="K165" s="2" t="s">
        <v>323</v>
      </c>
      <c r="L165" s="7" t="str">
        <f>HYPERLINK("http://slimages.macys.com/is/image/MCY/9678668 ")</f>
        <v xml:space="preserve">http://slimages.macys.com/is/image/MCY/9678668 </v>
      </c>
    </row>
    <row r="166" spans="1:12" ht="24.75" x14ac:dyDescent="0.25">
      <c r="A166" s="4" t="s">
        <v>2398</v>
      </c>
      <c r="B166" s="2" t="s">
        <v>453</v>
      </c>
      <c r="C166" s="3">
        <v>2</v>
      </c>
      <c r="D166" s="5">
        <v>37.130000000000003</v>
      </c>
      <c r="E166" s="3" t="s">
        <v>721</v>
      </c>
      <c r="F166" s="2" t="s">
        <v>417</v>
      </c>
      <c r="G166" s="6" t="s">
        <v>181</v>
      </c>
      <c r="H166" s="2" t="s">
        <v>284</v>
      </c>
      <c r="I166" s="2" t="s">
        <v>285</v>
      </c>
      <c r="J166" s="2" t="s">
        <v>19</v>
      </c>
      <c r="K166" s="2" t="s">
        <v>323</v>
      </c>
      <c r="L166" s="7" t="str">
        <f>HYPERLINK("http://slimages.macys.com/is/image/MCY/9678668 ")</f>
        <v xml:space="preserve">http://slimages.macys.com/is/image/MCY/9678668 </v>
      </c>
    </row>
    <row r="167" spans="1:12" ht="24.75" x14ac:dyDescent="0.25">
      <c r="A167" s="4" t="s">
        <v>722</v>
      </c>
      <c r="B167" s="2" t="s">
        <v>453</v>
      </c>
      <c r="C167" s="3">
        <v>1</v>
      </c>
      <c r="D167" s="5">
        <v>37.130000000000003</v>
      </c>
      <c r="E167" s="3" t="s">
        <v>721</v>
      </c>
      <c r="F167" s="2" t="s">
        <v>417</v>
      </c>
      <c r="G167" s="6" t="s">
        <v>154</v>
      </c>
      <c r="H167" s="2" t="s">
        <v>284</v>
      </c>
      <c r="I167" s="2" t="s">
        <v>285</v>
      </c>
      <c r="J167" s="2" t="s">
        <v>19</v>
      </c>
      <c r="K167" s="2" t="s">
        <v>323</v>
      </c>
      <c r="L167" s="7" t="str">
        <f>HYPERLINK("http://slimages.macys.com/is/image/MCY/9678668 ")</f>
        <v xml:space="preserve">http://slimages.macys.com/is/image/MCY/9678668 </v>
      </c>
    </row>
    <row r="168" spans="1:12" ht="24.75" x14ac:dyDescent="0.25">
      <c r="A168" s="4" t="s">
        <v>7220</v>
      </c>
      <c r="B168" s="2" t="s">
        <v>456</v>
      </c>
      <c r="C168" s="3">
        <v>2</v>
      </c>
      <c r="D168" s="5">
        <v>37.130000000000003</v>
      </c>
      <c r="E168" s="3" t="s">
        <v>731</v>
      </c>
      <c r="F168" s="2" t="s">
        <v>331</v>
      </c>
      <c r="G168" s="6" t="s">
        <v>156</v>
      </c>
      <c r="H168" s="2" t="s">
        <v>284</v>
      </c>
      <c r="I168" s="2" t="s">
        <v>458</v>
      </c>
      <c r="J168" s="2" t="s">
        <v>19</v>
      </c>
      <c r="K168" s="2" t="s">
        <v>442</v>
      </c>
      <c r="L168" s="7" t="str">
        <f>HYPERLINK("http://slimages.macys.com/is/image/MCY/10242537 ")</f>
        <v xml:space="preserve">http://slimages.macys.com/is/image/MCY/10242537 </v>
      </c>
    </row>
    <row r="169" spans="1:12" ht="24.75" x14ac:dyDescent="0.25">
      <c r="A169" s="4" t="s">
        <v>5578</v>
      </c>
      <c r="B169" s="2" t="s">
        <v>456</v>
      </c>
      <c r="C169" s="3">
        <v>2</v>
      </c>
      <c r="D169" s="5">
        <v>37.130000000000003</v>
      </c>
      <c r="E169" s="3" t="s">
        <v>731</v>
      </c>
      <c r="F169" s="2" t="s">
        <v>331</v>
      </c>
      <c r="G169" s="6" t="s">
        <v>181</v>
      </c>
      <c r="H169" s="2" t="s">
        <v>284</v>
      </c>
      <c r="I169" s="2" t="s">
        <v>458</v>
      </c>
      <c r="J169" s="2" t="s">
        <v>19</v>
      </c>
      <c r="K169" s="2" t="s">
        <v>442</v>
      </c>
      <c r="L169" s="7" t="str">
        <f>HYPERLINK("http://slimages.macys.com/is/image/MCY/10242537 ")</f>
        <v xml:space="preserve">http://slimages.macys.com/is/image/MCY/10242537 </v>
      </c>
    </row>
    <row r="170" spans="1:12" ht="24.75" x14ac:dyDescent="0.25">
      <c r="A170" s="4" t="s">
        <v>7221</v>
      </c>
      <c r="B170" s="2" t="s">
        <v>5582</v>
      </c>
      <c r="C170" s="3">
        <v>1</v>
      </c>
      <c r="D170" s="5">
        <v>40.880000000000003</v>
      </c>
      <c r="E170" s="3" t="s">
        <v>5583</v>
      </c>
      <c r="F170" s="2" t="s">
        <v>26</v>
      </c>
      <c r="G170" s="6" t="s">
        <v>181</v>
      </c>
      <c r="H170" s="2" t="s">
        <v>284</v>
      </c>
      <c r="I170" s="2" t="s">
        <v>408</v>
      </c>
      <c r="J170" s="2" t="s">
        <v>19</v>
      </c>
      <c r="K170" s="2" t="s">
        <v>409</v>
      </c>
      <c r="L170" s="7" t="str">
        <f>HYPERLINK("http://slimages.macys.com/is/image/MCY/11708886 ")</f>
        <v xml:space="preserve">http://slimages.macys.com/is/image/MCY/11708886 </v>
      </c>
    </row>
    <row r="171" spans="1:12" ht="24.75" x14ac:dyDescent="0.25">
      <c r="A171" s="4" t="s">
        <v>7222</v>
      </c>
      <c r="B171" s="2" t="s">
        <v>739</v>
      </c>
      <c r="C171" s="3">
        <v>1</v>
      </c>
      <c r="D171" s="5">
        <v>59.5</v>
      </c>
      <c r="E171" s="3" t="s">
        <v>740</v>
      </c>
      <c r="F171" s="2" t="s">
        <v>164</v>
      </c>
      <c r="G171" s="6"/>
      <c r="H171" s="2" t="s">
        <v>127</v>
      </c>
      <c r="I171" s="2" t="s">
        <v>128</v>
      </c>
      <c r="J171" s="2" t="s">
        <v>19</v>
      </c>
      <c r="K171" s="2" t="s">
        <v>160</v>
      </c>
      <c r="L171" s="7" t="str">
        <f>HYPERLINK("http://slimages.macys.com/is/image/MCY/13290072 ")</f>
        <v xml:space="preserve">http://slimages.macys.com/is/image/MCY/13290072 </v>
      </c>
    </row>
    <row r="172" spans="1:12" ht="24.75" x14ac:dyDescent="0.25">
      <c r="A172" s="4" t="s">
        <v>7223</v>
      </c>
      <c r="B172" s="2" t="s">
        <v>5587</v>
      </c>
      <c r="C172" s="3">
        <v>1</v>
      </c>
      <c r="D172" s="5">
        <v>44.63</v>
      </c>
      <c r="E172" s="3" t="s">
        <v>5588</v>
      </c>
      <c r="F172" s="2" t="s">
        <v>64</v>
      </c>
      <c r="G172" s="6" t="s">
        <v>200</v>
      </c>
      <c r="H172" s="2" t="s">
        <v>246</v>
      </c>
      <c r="I172" s="2" t="s">
        <v>189</v>
      </c>
      <c r="J172" s="2" t="s">
        <v>19</v>
      </c>
      <c r="K172" s="2" t="s">
        <v>705</v>
      </c>
      <c r="L172" s="7" t="str">
        <f>HYPERLINK("http://slimages.macys.com/is/image/MCY/9630962 ")</f>
        <v xml:space="preserve">http://slimages.macys.com/is/image/MCY/9630962 </v>
      </c>
    </row>
    <row r="173" spans="1:12" ht="48.75" x14ac:dyDescent="0.25">
      <c r="A173" s="4" t="s">
        <v>749</v>
      </c>
      <c r="B173" s="2" t="s">
        <v>750</v>
      </c>
      <c r="C173" s="3">
        <v>1</v>
      </c>
      <c r="D173" s="5">
        <v>44.63</v>
      </c>
      <c r="E173" s="3" t="s">
        <v>751</v>
      </c>
      <c r="F173" s="2" t="s">
        <v>752</v>
      </c>
      <c r="G173" s="6" t="s">
        <v>154</v>
      </c>
      <c r="H173" s="2" t="s">
        <v>194</v>
      </c>
      <c r="I173" s="2" t="s">
        <v>195</v>
      </c>
      <c r="J173" s="2" t="s">
        <v>19</v>
      </c>
      <c r="K173" s="2" t="s">
        <v>753</v>
      </c>
      <c r="L173" s="7" t="str">
        <f>HYPERLINK("http://slimages.macys.com/is/image/MCY/12734332 ")</f>
        <v xml:space="preserve">http://slimages.macys.com/is/image/MCY/12734332 </v>
      </c>
    </row>
    <row r="174" spans="1:12" ht="24.75" x14ac:dyDescent="0.25">
      <c r="A174" s="4" t="s">
        <v>7224</v>
      </c>
      <c r="B174" s="2" t="s">
        <v>7225</v>
      </c>
      <c r="C174" s="3">
        <v>1</v>
      </c>
      <c r="D174" s="5">
        <v>34.5</v>
      </c>
      <c r="E174" s="3" t="s">
        <v>7226</v>
      </c>
      <c r="F174" s="2" t="s">
        <v>64</v>
      </c>
      <c r="G174" s="6" t="s">
        <v>205</v>
      </c>
      <c r="H174" s="2" t="s">
        <v>426</v>
      </c>
      <c r="I174" s="2" t="s">
        <v>229</v>
      </c>
      <c r="J174" s="2" t="s">
        <v>19</v>
      </c>
      <c r="K174" s="2" t="s">
        <v>338</v>
      </c>
      <c r="L174" s="7" t="str">
        <f>HYPERLINK("http://slimages.macys.com/is/image/MCY/1428768 ")</f>
        <v xml:space="preserve">http://slimages.macys.com/is/image/MCY/1428768 </v>
      </c>
    </row>
    <row r="175" spans="1:12" ht="24.75" x14ac:dyDescent="0.25">
      <c r="A175" s="4" t="s">
        <v>7227</v>
      </c>
      <c r="B175" s="2" t="s">
        <v>757</v>
      </c>
      <c r="C175" s="3">
        <v>1</v>
      </c>
      <c r="D175" s="5">
        <v>37.130000000000003</v>
      </c>
      <c r="E175" s="3" t="s">
        <v>758</v>
      </c>
      <c r="F175" s="2" t="s">
        <v>26</v>
      </c>
      <c r="G175" s="6" t="s">
        <v>156</v>
      </c>
      <c r="H175" s="2" t="s">
        <v>194</v>
      </c>
      <c r="I175" s="2" t="s">
        <v>503</v>
      </c>
      <c r="J175" s="2" t="s">
        <v>19</v>
      </c>
      <c r="K175" s="2" t="s">
        <v>546</v>
      </c>
      <c r="L175" s="7" t="str">
        <f>HYPERLINK("http://slimages.macys.com/is/image/MCY/12851524 ")</f>
        <v xml:space="preserve">http://slimages.macys.com/is/image/MCY/12851524 </v>
      </c>
    </row>
    <row r="176" spans="1:12" ht="36.75" x14ac:dyDescent="0.25">
      <c r="A176" s="4" t="s">
        <v>4676</v>
      </c>
      <c r="B176" s="2" t="s">
        <v>764</v>
      </c>
      <c r="C176" s="3">
        <v>2</v>
      </c>
      <c r="D176" s="5">
        <v>37.130000000000003</v>
      </c>
      <c r="E176" s="3" t="s">
        <v>765</v>
      </c>
      <c r="F176" s="2" t="s">
        <v>566</v>
      </c>
      <c r="G176" s="6" t="s">
        <v>234</v>
      </c>
      <c r="H176" s="2" t="s">
        <v>284</v>
      </c>
      <c r="I176" s="2" t="s">
        <v>458</v>
      </c>
      <c r="J176" s="2" t="s">
        <v>19</v>
      </c>
      <c r="K176" s="2" t="s">
        <v>514</v>
      </c>
      <c r="L176" s="7" t="str">
        <f>HYPERLINK("http://slimages.macys.com/is/image/MCY/13804604 ")</f>
        <v xml:space="preserve">http://slimages.macys.com/is/image/MCY/13804604 </v>
      </c>
    </row>
    <row r="177" spans="1:12" ht="24.75" x14ac:dyDescent="0.25">
      <c r="A177" s="4" t="s">
        <v>2404</v>
      </c>
      <c r="B177" s="2" t="s">
        <v>768</v>
      </c>
      <c r="C177" s="3">
        <v>1</v>
      </c>
      <c r="D177" s="5">
        <v>34.880000000000003</v>
      </c>
      <c r="E177" s="3">
        <v>100054400</v>
      </c>
      <c r="F177" s="2" t="s">
        <v>64</v>
      </c>
      <c r="G177" s="6" t="s">
        <v>141</v>
      </c>
      <c r="H177" s="2" t="s">
        <v>194</v>
      </c>
      <c r="I177" s="2" t="s">
        <v>195</v>
      </c>
      <c r="J177" s="2" t="s">
        <v>19</v>
      </c>
      <c r="K177" s="2" t="s">
        <v>546</v>
      </c>
      <c r="L177" s="7" t="str">
        <f>HYPERLINK("http://slimages.macys.com/is/image/MCY/12850455 ")</f>
        <v xml:space="preserve">http://slimages.macys.com/is/image/MCY/12850455 </v>
      </c>
    </row>
    <row r="178" spans="1:12" ht="36.75" x14ac:dyDescent="0.25">
      <c r="A178" s="4" t="s">
        <v>2408</v>
      </c>
      <c r="B178" s="2" t="s">
        <v>764</v>
      </c>
      <c r="C178" s="3">
        <v>1</v>
      </c>
      <c r="D178" s="5">
        <v>37.130000000000003</v>
      </c>
      <c r="E178" s="3" t="s">
        <v>765</v>
      </c>
      <c r="F178" s="2" t="s">
        <v>566</v>
      </c>
      <c r="G178" s="6" t="s">
        <v>154</v>
      </c>
      <c r="H178" s="2" t="s">
        <v>284</v>
      </c>
      <c r="I178" s="2" t="s">
        <v>458</v>
      </c>
      <c r="J178" s="2" t="s">
        <v>19</v>
      </c>
      <c r="K178" s="2" t="s">
        <v>514</v>
      </c>
      <c r="L178" s="7" t="str">
        <f>HYPERLINK("http://slimages.macys.com/is/image/MCY/13804604 ")</f>
        <v xml:space="preserve">http://slimages.macys.com/is/image/MCY/13804604 </v>
      </c>
    </row>
    <row r="179" spans="1:12" ht="36.75" x14ac:dyDescent="0.25">
      <c r="A179" s="4" t="s">
        <v>7228</v>
      </c>
      <c r="B179" s="2" t="s">
        <v>764</v>
      </c>
      <c r="C179" s="3">
        <v>1</v>
      </c>
      <c r="D179" s="5">
        <v>37.130000000000003</v>
      </c>
      <c r="E179" s="3" t="s">
        <v>765</v>
      </c>
      <c r="F179" s="2" t="s">
        <v>566</v>
      </c>
      <c r="G179" s="6" t="s">
        <v>156</v>
      </c>
      <c r="H179" s="2" t="s">
        <v>284</v>
      </c>
      <c r="I179" s="2" t="s">
        <v>458</v>
      </c>
      <c r="J179" s="2" t="s">
        <v>19</v>
      </c>
      <c r="K179" s="2" t="s">
        <v>514</v>
      </c>
      <c r="L179" s="7" t="str">
        <f>HYPERLINK("http://slimages.macys.com/is/image/MCY/13804604 ")</f>
        <v xml:space="preserve">http://slimages.macys.com/is/image/MCY/13804604 </v>
      </c>
    </row>
    <row r="180" spans="1:12" ht="48.75" x14ac:dyDescent="0.25">
      <c r="A180" s="4" t="s">
        <v>6419</v>
      </c>
      <c r="B180" s="2" t="s">
        <v>750</v>
      </c>
      <c r="C180" s="3">
        <v>4</v>
      </c>
      <c r="D180" s="5">
        <v>44.63</v>
      </c>
      <c r="E180" s="3" t="s">
        <v>770</v>
      </c>
      <c r="F180" s="2" t="s">
        <v>752</v>
      </c>
      <c r="G180" s="6"/>
      <c r="H180" s="2" t="s">
        <v>312</v>
      </c>
      <c r="I180" s="2" t="s">
        <v>195</v>
      </c>
      <c r="J180" s="2" t="s">
        <v>19</v>
      </c>
      <c r="K180" s="2" t="s">
        <v>771</v>
      </c>
      <c r="L180" s="7" t="str">
        <f>HYPERLINK("http://slimages.macys.com/is/image/MCY/12734332 ")</f>
        <v xml:space="preserve">http://slimages.macys.com/is/image/MCY/12734332 </v>
      </c>
    </row>
    <row r="181" spans="1:12" ht="48.75" x14ac:dyDescent="0.25">
      <c r="A181" s="4" t="s">
        <v>4683</v>
      </c>
      <c r="B181" s="2" t="s">
        <v>750</v>
      </c>
      <c r="C181" s="3">
        <v>8</v>
      </c>
      <c r="D181" s="5">
        <v>44.63</v>
      </c>
      <c r="E181" s="3" t="s">
        <v>770</v>
      </c>
      <c r="F181" s="2" t="s">
        <v>752</v>
      </c>
      <c r="G181" s="6"/>
      <c r="H181" s="2" t="s">
        <v>312</v>
      </c>
      <c r="I181" s="2" t="s">
        <v>195</v>
      </c>
      <c r="J181" s="2" t="s">
        <v>19</v>
      </c>
      <c r="K181" s="2" t="s">
        <v>771</v>
      </c>
      <c r="L181" s="7" t="str">
        <f>HYPERLINK("http://slimages.macys.com/is/image/MCY/12734332 ")</f>
        <v xml:space="preserve">http://slimages.macys.com/is/image/MCY/12734332 </v>
      </c>
    </row>
    <row r="182" spans="1:12" ht="48.75" x14ac:dyDescent="0.25">
      <c r="A182" s="4" t="s">
        <v>3559</v>
      </c>
      <c r="B182" s="2" t="s">
        <v>750</v>
      </c>
      <c r="C182" s="3">
        <v>15</v>
      </c>
      <c r="D182" s="5">
        <v>44.63</v>
      </c>
      <c r="E182" s="3" t="s">
        <v>770</v>
      </c>
      <c r="F182" s="2" t="s">
        <v>752</v>
      </c>
      <c r="G182" s="6"/>
      <c r="H182" s="2" t="s">
        <v>312</v>
      </c>
      <c r="I182" s="2" t="s">
        <v>195</v>
      </c>
      <c r="J182" s="2" t="s">
        <v>19</v>
      </c>
      <c r="K182" s="2" t="s">
        <v>771</v>
      </c>
      <c r="L182" s="7" t="str">
        <f>HYPERLINK("http://slimages.macys.com/is/image/MCY/12734332 ")</f>
        <v xml:space="preserve">http://slimages.macys.com/is/image/MCY/12734332 </v>
      </c>
    </row>
    <row r="183" spans="1:12" ht="48.75" x14ac:dyDescent="0.25">
      <c r="A183" s="4" t="s">
        <v>3561</v>
      </c>
      <c r="B183" s="2" t="s">
        <v>750</v>
      </c>
      <c r="C183" s="3">
        <v>17</v>
      </c>
      <c r="D183" s="5">
        <v>44.63</v>
      </c>
      <c r="E183" s="3" t="s">
        <v>770</v>
      </c>
      <c r="F183" s="2" t="s">
        <v>752</v>
      </c>
      <c r="G183" s="6"/>
      <c r="H183" s="2" t="s">
        <v>312</v>
      </c>
      <c r="I183" s="2" t="s">
        <v>195</v>
      </c>
      <c r="J183" s="2" t="s">
        <v>19</v>
      </c>
      <c r="K183" s="2" t="s">
        <v>771</v>
      </c>
      <c r="L183" s="7" t="str">
        <f>HYPERLINK("http://slimages.macys.com/is/image/MCY/12734332 ")</f>
        <v xml:space="preserve">http://slimages.macys.com/is/image/MCY/12734332 </v>
      </c>
    </row>
    <row r="184" spans="1:12" ht="48.75" x14ac:dyDescent="0.25">
      <c r="A184" s="4" t="s">
        <v>769</v>
      </c>
      <c r="B184" s="2" t="s">
        <v>750</v>
      </c>
      <c r="C184" s="3">
        <v>8</v>
      </c>
      <c r="D184" s="5">
        <v>44.63</v>
      </c>
      <c r="E184" s="3" t="s">
        <v>770</v>
      </c>
      <c r="F184" s="2" t="s">
        <v>752</v>
      </c>
      <c r="G184" s="6"/>
      <c r="H184" s="2" t="s">
        <v>312</v>
      </c>
      <c r="I184" s="2" t="s">
        <v>195</v>
      </c>
      <c r="J184" s="2" t="s">
        <v>19</v>
      </c>
      <c r="K184" s="2" t="s">
        <v>771</v>
      </c>
      <c r="L184" s="7" t="str">
        <f>HYPERLINK("http://slimages.macys.com/is/image/MCY/12734332 ")</f>
        <v xml:space="preserve">http://slimages.macys.com/is/image/MCY/12734332 </v>
      </c>
    </row>
    <row r="185" spans="1:12" ht="24.75" x14ac:dyDescent="0.25">
      <c r="A185" s="4" t="s">
        <v>3562</v>
      </c>
      <c r="B185" s="2" t="s">
        <v>2411</v>
      </c>
      <c r="C185" s="3">
        <v>1</v>
      </c>
      <c r="D185" s="5">
        <v>48.38</v>
      </c>
      <c r="E185" s="3" t="s">
        <v>2412</v>
      </c>
      <c r="F185" s="2" t="s">
        <v>26</v>
      </c>
      <c r="G185" s="6" t="s">
        <v>746</v>
      </c>
      <c r="H185" s="2" t="s">
        <v>349</v>
      </c>
      <c r="I185" s="2" t="s">
        <v>285</v>
      </c>
      <c r="J185" s="2" t="s">
        <v>19</v>
      </c>
      <c r="K185" s="2" t="s">
        <v>160</v>
      </c>
      <c r="L185" s="7" t="str">
        <f>HYPERLINK("http://slimages.macys.com/is/image/MCY/12877169 ")</f>
        <v xml:space="preserve">http://slimages.macys.com/is/image/MCY/12877169 </v>
      </c>
    </row>
    <row r="186" spans="1:12" ht="36.75" x14ac:dyDescent="0.25">
      <c r="A186" s="4" t="s">
        <v>5402</v>
      </c>
      <c r="B186" s="2" t="s">
        <v>2211</v>
      </c>
      <c r="C186" s="3">
        <v>1</v>
      </c>
      <c r="D186" s="5">
        <v>59.5</v>
      </c>
      <c r="E186" s="3" t="s">
        <v>2212</v>
      </c>
      <c r="F186" s="2" t="s">
        <v>136</v>
      </c>
      <c r="G186" s="6" t="s">
        <v>126</v>
      </c>
      <c r="H186" s="2" t="s">
        <v>127</v>
      </c>
      <c r="I186" s="2" t="s">
        <v>128</v>
      </c>
      <c r="J186" s="2" t="s">
        <v>19</v>
      </c>
      <c r="K186" s="2" t="s">
        <v>2213</v>
      </c>
      <c r="L186" s="7" t="str">
        <f>HYPERLINK("http://slimages.macys.com/is/image/MCY/11074772 ")</f>
        <v xml:space="preserve">http://slimages.macys.com/is/image/MCY/11074772 </v>
      </c>
    </row>
    <row r="187" spans="1:12" ht="24.75" x14ac:dyDescent="0.25">
      <c r="A187" s="4" t="s">
        <v>7229</v>
      </c>
      <c r="B187" s="2" t="s">
        <v>7230</v>
      </c>
      <c r="C187" s="3">
        <v>1</v>
      </c>
      <c r="D187" s="5">
        <v>40.880000000000003</v>
      </c>
      <c r="E187" s="3" t="s">
        <v>7231</v>
      </c>
      <c r="F187" s="2"/>
      <c r="G187" s="6" t="s">
        <v>106</v>
      </c>
      <c r="H187" s="2" t="s">
        <v>213</v>
      </c>
      <c r="I187" s="2" t="s">
        <v>214</v>
      </c>
      <c r="J187" s="2" t="s">
        <v>19</v>
      </c>
      <c r="K187" s="2" t="s">
        <v>215</v>
      </c>
      <c r="L187" s="7" t="str">
        <f>HYPERLINK("http://slimages.macys.com/is/image/MCY/11699651 ")</f>
        <v xml:space="preserve">http://slimages.macys.com/is/image/MCY/11699651 </v>
      </c>
    </row>
    <row r="188" spans="1:12" ht="24.75" x14ac:dyDescent="0.25">
      <c r="A188" s="4" t="s">
        <v>7232</v>
      </c>
      <c r="B188" s="2" t="s">
        <v>777</v>
      </c>
      <c r="C188" s="3">
        <v>1</v>
      </c>
      <c r="D188" s="5">
        <v>34.880000000000003</v>
      </c>
      <c r="E188" s="3">
        <v>100042380</v>
      </c>
      <c r="F188" s="2" t="s">
        <v>74</v>
      </c>
      <c r="G188" s="6" t="s">
        <v>245</v>
      </c>
      <c r="H188" s="2" t="s">
        <v>194</v>
      </c>
      <c r="I188" s="2" t="s">
        <v>503</v>
      </c>
      <c r="J188" s="2" t="s">
        <v>19</v>
      </c>
      <c r="K188" s="2" t="s">
        <v>353</v>
      </c>
      <c r="L188" s="7" t="str">
        <f>HYPERLINK("http://slimages.macys.com/is/image/MCY/11145974 ")</f>
        <v xml:space="preserve">http://slimages.macys.com/is/image/MCY/11145974 </v>
      </c>
    </row>
    <row r="189" spans="1:12" ht="24.75" x14ac:dyDescent="0.25">
      <c r="A189" s="4" t="s">
        <v>3570</v>
      </c>
      <c r="B189" s="2" t="s">
        <v>777</v>
      </c>
      <c r="C189" s="3">
        <v>1</v>
      </c>
      <c r="D189" s="5">
        <v>34.880000000000003</v>
      </c>
      <c r="E189" s="3">
        <v>100042380</v>
      </c>
      <c r="F189" s="2" t="s">
        <v>74</v>
      </c>
      <c r="G189" s="6" t="s">
        <v>156</v>
      </c>
      <c r="H189" s="2" t="s">
        <v>194</v>
      </c>
      <c r="I189" s="2" t="s">
        <v>503</v>
      </c>
      <c r="J189" s="2" t="s">
        <v>19</v>
      </c>
      <c r="K189" s="2" t="s">
        <v>353</v>
      </c>
      <c r="L189" s="7" t="str">
        <f>HYPERLINK("http://slimages.macys.com/is/image/MCY/11145974 ")</f>
        <v xml:space="preserve">http://slimages.macys.com/is/image/MCY/11145974 </v>
      </c>
    </row>
    <row r="190" spans="1:12" ht="24.75" x14ac:dyDescent="0.25">
      <c r="A190" s="4" t="s">
        <v>6424</v>
      </c>
      <c r="B190" s="2" t="s">
        <v>777</v>
      </c>
      <c r="C190" s="3">
        <v>1</v>
      </c>
      <c r="D190" s="5">
        <v>34.880000000000003</v>
      </c>
      <c r="E190" s="3">
        <v>100042380</v>
      </c>
      <c r="F190" s="2" t="s">
        <v>1788</v>
      </c>
      <c r="G190" s="6" t="s">
        <v>181</v>
      </c>
      <c r="H190" s="2" t="s">
        <v>194</v>
      </c>
      <c r="I190" s="2" t="s">
        <v>503</v>
      </c>
      <c r="J190" s="2" t="s">
        <v>19</v>
      </c>
      <c r="K190" s="2" t="s">
        <v>353</v>
      </c>
      <c r="L190" s="7" t="str">
        <f>HYPERLINK("http://slimages.macys.com/is/image/MCY/11145974 ")</f>
        <v xml:space="preserve">http://slimages.macys.com/is/image/MCY/11145974 </v>
      </c>
    </row>
    <row r="191" spans="1:12" ht="24.75" x14ac:dyDescent="0.25">
      <c r="A191" s="4" t="s">
        <v>7233</v>
      </c>
      <c r="B191" s="2" t="s">
        <v>7234</v>
      </c>
      <c r="C191" s="3">
        <v>1</v>
      </c>
      <c r="D191" s="5">
        <v>44.5</v>
      </c>
      <c r="E191" s="3" t="s">
        <v>7235</v>
      </c>
      <c r="F191" s="2"/>
      <c r="G191" s="6" t="s">
        <v>154</v>
      </c>
      <c r="H191" s="2" t="s">
        <v>246</v>
      </c>
      <c r="I191" s="2" t="s">
        <v>189</v>
      </c>
      <c r="J191" s="2" t="s">
        <v>19</v>
      </c>
      <c r="K191" s="2" t="s">
        <v>648</v>
      </c>
      <c r="L191" s="7" t="str">
        <f>HYPERLINK("http://slimages.macys.com/is/image/MCY/11516662 ")</f>
        <v xml:space="preserve">http://slimages.macys.com/is/image/MCY/11516662 </v>
      </c>
    </row>
    <row r="192" spans="1:12" ht="24.75" x14ac:dyDescent="0.25">
      <c r="A192" s="4" t="s">
        <v>7236</v>
      </c>
      <c r="B192" s="2" t="s">
        <v>7237</v>
      </c>
      <c r="C192" s="3">
        <v>1</v>
      </c>
      <c r="D192" s="5">
        <v>44.63</v>
      </c>
      <c r="E192" s="3" t="s">
        <v>7238</v>
      </c>
      <c r="F192" s="2" t="s">
        <v>74</v>
      </c>
      <c r="G192" s="6" t="s">
        <v>934</v>
      </c>
      <c r="H192" s="2" t="s">
        <v>188</v>
      </c>
      <c r="I192" s="2" t="s">
        <v>189</v>
      </c>
      <c r="J192" s="2" t="s">
        <v>19</v>
      </c>
      <c r="K192" s="2" t="s">
        <v>353</v>
      </c>
      <c r="L192" s="7" t="str">
        <f>HYPERLINK("http://slimages.macys.com/is/image/MCY/10056214 ")</f>
        <v xml:space="preserve">http://slimages.macys.com/is/image/MCY/10056214 </v>
      </c>
    </row>
    <row r="193" spans="1:12" ht="36.75" x14ac:dyDescent="0.25">
      <c r="A193" s="4" t="s">
        <v>7239</v>
      </c>
      <c r="B193" s="2" t="s">
        <v>7240</v>
      </c>
      <c r="C193" s="3">
        <v>1</v>
      </c>
      <c r="D193" s="5">
        <v>45</v>
      </c>
      <c r="E193" s="3" t="s">
        <v>7241</v>
      </c>
      <c r="F193" s="2" t="s">
        <v>33</v>
      </c>
      <c r="G193" s="6"/>
      <c r="H193" s="2" t="s">
        <v>447</v>
      </c>
      <c r="I193" s="2" t="s">
        <v>792</v>
      </c>
      <c r="J193" s="2" t="s">
        <v>19</v>
      </c>
      <c r="K193" s="2" t="s">
        <v>7242</v>
      </c>
      <c r="L193" s="7" t="str">
        <f>HYPERLINK("http://slimages.macys.com/is/image/MCY/12258752 ")</f>
        <v xml:space="preserve">http://slimages.macys.com/is/image/MCY/12258752 </v>
      </c>
    </row>
    <row r="194" spans="1:12" ht="48.75" x14ac:dyDescent="0.25">
      <c r="A194" s="4" t="s">
        <v>7243</v>
      </c>
      <c r="B194" s="2" t="s">
        <v>7244</v>
      </c>
      <c r="C194" s="3">
        <v>1</v>
      </c>
      <c r="D194" s="5">
        <v>37.130000000000003</v>
      </c>
      <c r="E194" s="3" t="s">
        <v>7245</v>
      </c>
      <c r="F194" s="2" t="s">
        <v>15</v>
      </c>
      <c r="G194" s="6" t="s">
        <v>205</v>
      </c>
      <c r="H194" s="2" t="s">
        <v>632</v>
      </c>
      <c r="I194" s="2" t="s">
        <v>408</v>
      </c>
      <c r="J194" s="2" t="s">
        <v>19</v>
      </c>
      <c r="K194" s="2" t="s">
        <v>787</v>
      </c>
      <c r="L194" s="7" t="str">
        <f>HYPERLINK("http://slimages.macys.com/is/image/MCY/11241401 ")</f>
        <v xml:space="preserve">http://slimages.macys.com/is/image/MCY/11241401 </v>
      </c>
    </row>
    <row r="195" spans="1:12" ht="24.75" x14ac:dyDescent="0.25">
      <c r="A195" s="4" t="s">
        <v>7246</v>
      </c>
      <c r="B195" s="2" t="s">
        <v>4691</v>
      </c>
      <c r="C195" s="3">
        <v>1</v>
      </c>
      <c r="D195" s="5">
        <v>36.75</v>
      </c>
      <c r="E195" s="3" t="s">
        <v>4692</v>
      </c>
      <c r="F195" s="2" t="s">
        <v>89</v>
      </c>
      <c r="G195" s="6" t="s">
        <v>165</v>
      </c>
      <c r="H195" s="2" t="s">
        <v>426</v>
      </c>
      <c r="I195" s="2" t="s">
        <v>229</v>
      </c>
      <c r="J195" s="2" t="s">
        <v>19</v>
      </c>
      <c r="K195" s="2" t="s">
        <v>230</v>
      </c>
      <c r="L195" s="7" t="str">
        <f>HYPERLINK("http://slimages.macys.com/is/image/MCY/12316602 ")</f>
        <v xml:space="preserve">http://slimages.macys.com/is/image/MCY/12316602 </v>
      </c>
    </row>
    <row r="196" spans="1:12" ht="24.75" x14ac:dyDescent="0.25">
      <c r="A196" s="4" t="s">
        <v>7247</v>
      </c>
      <c r="B196" s="2" t="s">
        <v>796</v>
      </c>
      <c r="C196" s="3">
        <v>1</v>
      </c>
      <c r="D196" s="5">
        <v>40.880000000000003</v>
      </c>
      <c r="E196" s="3" t="s">
        <v>797</v>
      </c>
      <c r="F196" s="2" t="s">
        <v>26</v>
      </c>
      <c r="G196" s="6" t="s">
        <v>234</v>
      </c>
      <c r="H196" s="2" t="s">
        <v>194</v>
      </c>
      <c r="I196" s="2" t="s">
        <v>195</v>
      </c>
      <c r="J196" s="2" t="s">
        <v>19</v>
      </c>
      <c r="K196" s="2" t="s">
        <v>798</v>
      </c>
      <c r="L196" s="7" t="str">
        <f>HYPERLINK("http://slimages.macys.com/is/image/MCY/12950259 ")</f>
        <v xml:space="preserve">http://slimages.macys.com/is/image/MCY/12950259 </v>
      </c>
    </row>
    <row r="197" spans="1:12" ht="24.75" x14ac:dyDescent="0.25">
      <c r="A197" s="4" t="s">
        <v>7248</v>
      </c>
      <c r="B197" s="2" t="s">
        <v>800</v>
      </c>
      <c r="C197" s="3">
        <v>1</v>
      </c>
      <c r="D197" s="5">
        <v>37.130000000000003</v>
      </c>
      <c r="E197" s="3" t="s">
        <v>801</v>
      </c>
      <c r="F197" s="2" t="s">
        <v>64</v>
      </c>
      <c r="G197" s="6" t="s">
        <v>205</v>
      </c>
      <c r="H197" s="2" t="s">
        <v>188</v>
      </c>
      <c r="I197" s="2" t="s">
        <v>189</v>
      </c>
      <c r="J197" s="2" t="s">
        <v>19</v>
      </c>
      <c r="K197" s="2" t="s">
        <v>803</v>
      </c>
      <c r="L197" s="7" t="str">
        <f>HYPERLINK("http://slimages.macys.com/is/image/MCY/9484269 ")</f>
        <v xml:space="preserve">http://slimages.macys.com/is/image/MCY/9484269 </v>
      </c>
    </row>
    <row r="198" spans="1:12" ht="24.75" x14ac:dyDescent="0.25">
      <c r="A198" s="4" t="s">
        <v>7249</v>
      </c>
      <c r="B198" s="2" t="s">
        <v>7250</v>
      </c>
      <c r="C198" s="3">
        <v>1</v>
      </c>
      <c r="D198" s="5">
        <v>40.880000000000003</v>
      </c>
      <c r="E198" s="3" t="s">
        <v>7251</v>
      </c>
      <c r="F198" s="2" t="s">
        <v>170</v>
      </c>
      <c r="G198" s="6" t="s">
        <v>181</v>
      </c>
      <c r="H198" s="2" t="s">
        <v>284</v>
      </c>
      <c r="I198" s="2" t="s">
        <v>285</v>
      </c>
      <c r="J198" s="2" t="s">
        <v>19</v>
      </c>
      <c r="K198" s="2" t="s">
        <v>7252</v>
      </c>
      <c r="L198" s="7" t="str">
        <f>HYPERLINK("http://slimages.macys.com/is/image/MCY/12877320 ")</f>
        <v xml:space="preserve">http://slimages.macys.com/is/image/MCY/12877320 </v>
      </c>
    </row>
    <row r="199" spans="1:12" ht="24.75" x14ac:dyDescent="0.25">
      <c r="A199" s="4" t="s">
        <v>813</v>
      </c>
      <c r="B199" s="2" t="s">
        <v>811</v>
      </c>
      <c r="C199" s="3">
        <v>1</v>
      </c>
      <c r="D199" s="5">
        <v>37.130000000000003</v>
      </c>
      <c r="E199" s="3" t="s">
        <v>812</v>
      </c>
      <c r="F199" s="2" t="s">
        <v>170</v>
      </c>
      <c r="G199" s="6" t="s">
        <v>154</v>
      </c>
      <c r="H199" s="2" t="s">
        <v>194</v>
      </c>
      <c r="I199" s="2" t="s">
        <v>195</v>
      </c>
      <c r="J199" s="2" t="s">
        <v>19</v>
      </c>
      <c r="K199" s="2" t="s">
        <v>160</v>
      </c>
      <c r="L199" s="7" t="str">
        <f>HYPERLINK("http://slimages.macys.com/is/image/MCY/11804348 ")</f>
        <v xml:space="preserve">http://slimages.macys.com/is/image/MCY/11804348 </v>
      </c>
    </row>
    <row r="200" spans="1:12" ht="48.75" x14ac:dyDescent="0.25">
      <c r="A200" s="4" t="s">
        <v>7253</v>
      </c>
      <c r="B200" s="2" t="s">
        <v>2426</v>
      </c>
      <c r="C200" s="3">
        <v>1</v>
      </c>
      <c r="D200" s="5">
        <v>44.63</v>
      </c>
      <c r="E200" s="3" t="s">
        <v>7254</v>
      </c>
      <c r="F200" s="2" t="s">
        <v>64</v>
      </c>
      <c r="G200" s="6" t="s">
        <v>16</v>
      </c>
      <c r="H200" s="2" t="s">
        <v>246</v>
      </c>
      <c r="I200" s="2" t="s">
        <v>487</v>
      </c>
      <c r="J200" s="2" t="s">
        <v>19</v>
      </c>
      <c r="K200" s="2" t="s">
        <v>2428</v>
      </c>
      <c r="L200" s="7" t="str">
        <f>HYPERLINK("http://slimages.macys.com/is/image/MCY/11807039 ")</f>
        <v xml:space="preserve">http://slimages.macys.com/is/image/MCY/11807039 </v>
      </c>
    </row>
    <row r="201" spans="1:12" ht="24.75" x14ac:dyDescent="0.25">
      <c r="A201" s="4" t="s">
        <v>7255</v>
      </c>
      <c r="B201" s="2" t="s">
        <v>815</v>
      </c>
      <c r="C201" s="3">
        <v>1</v>
      </c>
      <c r="D201" s="5">
        <v>44.63</v>
      </c>
      <c r="E201" s="3" t="s">
        <v>816</v>
      </c>
      <c r="F201" s="2" t="s">
        <v>64</v>
      </c>
      <c r="G201" s="6" t="s">
        <v>58</v>
      </c>
      <c r="H201" s="2" t="s">
        <v>246</v>
      </c>
      <c r="I201" s="2" t="s">
        <v>487</v>
      </c>
      <c r="J201" s="2" t="s">
        <v>19</v>
      </c>
      <c r="K201" s="2" t="s">
        <v>409</v>
      </c>
      <c r="L201" s="7" t="str">
        <f>HYPERLINK("http://slimages.macys.com/is/image/MCY/12893394 ")</f>
        <v xml:space="preserve">http://slimages.macys.com/is/image/MCY/12893394 </v>
      </c>
    </row>
    <row r="202" spans="1:12" ht="48.75" x14ac:dyDescent="0.25">
      <c r="A202" s="4" t="s">
        <v>7256</v>
      </c>
      <c r="B202" s="2" t="s">
        <v>2426</v>
      </c>
      <c r="C202" s="3">
        <v>1</v>
      </c>
      <c r="D202" s="5">
        <v>44.63</v>
      </c>
      <c r="E202" s="3" t="s">
        <v>7254</v>
      </c>
      <c r="F202" s="2" t="s">
        <v>64</v>
      </c>
      <c r="G202" s="6" t="s">
        <v>112</v>
      </c>
      <c r="H202" s="2" t="s">
        <v>246</v>
      </c>
      <c r="I202" s="2" t="s">
        <v>487</v>
      </c>
      <c r="J202" s="2" t="s">
        <v>19</v>
      </c>
      <c r="K202" s="2" t="s">
        <v>2428</v>
      </c>
      <c r="L202" s="7" t="str">
        <f>HYPERLINK("http://slimages.macys.com/is/image/MCY/11807039 ")</f>
        <v xml:space="preserve">http://slimages.macys.com/is/image/MCY/11807039 </v>
      </c>
    </row>
    <row r="203" spans="1:12" ht="48.75" x14ac:dyDescent="0.25">
      <c r="A203" s="4" t="s">
        <v>7257</v>
      </c>
      <c r="B203" s="2" t="s">
        <v>2426</v>
      </c>
      <c r="C203" s="3">
        <v>1</v>
      </c>
      <c r="D203" s="5">
        <v>44.63</v>
      </c>
      <c r="E203" s="3" t="s">
        <v>7254</v>
      </c>
      <c r="F203" s="2" t="s">
        <v>64</v>
      </c>
      <c r="G203" s="6" t="s">
        <v>106</v>
      </c>
      <c r="H203" s="2" t="s">
        <v>246</v>
      </c>
      <c r="I203" s="2" t="s">
        <v>487</v>
      </c>
      <c r="J203" s="2" t="s">
        <v>19</v>
      </c>
      <c r="K203" s="2" t="s">
        <v>2428</v>
      </c>
      <c r="L203" s="7" t="str">
        <f>HYPERLINK("http://slimages.macys.com/is/image/MCY/11807039 ")</f>
        <v xml:space="preserve">http://slimages.macys.com/is/image/MCY/11807039 </v>
      </c>
    </row>
    <row r="204" spans="1:12" ht="24.75" x14ac:dyDescent="0.25">
      <c r="A204" s="4" t="s">
        <v>821</v>
      </c>
      <c r="B204" s="2" t="s">
        <v>818</v>
      </c>
      <c r="C204" s="3">
        <v>1</v>
      </c>
      <c r="D204" s="5">
        <v>36.5</v>
      </c>
      <c r="E204" s="3" t="s">
        <v>819</v>
      </c>
      <c r="F204" s="2" t="s">
        <v>820</v>
      </c>
      <c r="G204" s="6" t="s">
        <v>154</v>
      </c>
      <c r="H204" s="2" t="s">
        <v>194</v>
      </c>
      <c r="I204" s="2" t="s">
        <v>195</v>
      </c>
      <c r="J204" s="2" t="s">
        <v>19</v>
      </c>
      <c r="K204" s="2" t="s">
        <v>201</v>
      </c>
      <c r="L204" s="7" t="str">
        <f>HYPERLINK("http://slimages.macys.com/is/image/MCY/11935616 ")</f>
        <v xml:space="preserve">http://slimages.macys.com/is/image/MCY/11935616 </v>
      </c>
    </row>
    <row r="205" spans="1:12" ht="24.75" x14ac:dyDescent="0.25">
      <c r="A205" s="4" t="s">
        <v>822</v>
      </c>
      <c r="B205" s="2" t="s">
        <v>818</v>
      </c>
      <c r="C205" s="3">
        <v>1</v>
      </c>
      <c r="D205" s="5">
        <v>36.5</v>
      </c>
      <c r="E205" s="3" t="s">
        <v>819</v>
      </c>
      <c r="F205" s="2" t="s">
        <v>820</v>
      </c>
      <c r="G205" s="6" t="s">
        <v>156</v>
      </c>
      <c r="H205" s="2" t="s">
        <v>194</v>
      </c>
      <c r="I205" s="2" t="s">
        <v>195</v>
      </c>
      <c r="J205" s="2" t="s">
        <v>19</v>
      </c>
      <c r="K205" s="2" t="s">
        <v>201</v>
      </c>
      <c r="L205" s="7" t="str">
        <f>HYPERLINK("http://slimages.macys.com/is/image/MCY/11935616 ")</f>
        <v xml:space="preserve">http://slimages.macys.com/is/image/MCY/11935616 </v>
      </c>
    </row>
    <row r="206" spans="1:12" ht="24.75" x14ac:dyDescent="0.25">
      <c r="A206" s="4" t="s">
        <v>7258</v>
      </c>
      <c r="B206" s="2" t="s">
        <v>4699</v>
      </c>
      <c r="C206" s="3">
        <v>1</v>
      </c>
      <c r="D206" s="5">
        <v>37.130000000000003</v>
      </c>
      <c r="E206" s="3" t="s">
        <v>4700</v>
      </c>
      <c r="F206" s="2" t="s">
        <v>74</v>
      </c>
      <c r="G206" s="6" t="s">
        <v>200</v>
      </c>
      <c r="H206" s="2" t="s">
        <v>194</v>
      </c>
      <c r="I206" s="2" t="s">
        <v>195</v>
      </c>
      <c r="J206" s="2" t="s">
        <v>19</v>
      </c>
      <c r="K206" s="2" t="s">
        <v>160</v>
      </c>
      <c r="L206" s="7" t="str">
        <f>HYPERLINK("http://slimages.macys.com/is/image/MCY/12034921 ")</f>
        <v xml:space="preserve">http://slimages.macys.com/is/image/MCY/12034921 </v>
      </c>
    </row>
    <row r="207" spans="1:12" ht="24.75" x14ac:dyDescent="0.25">
      <c r="A207" s="4" t="s">
        <v>7259</v>
      </c>
      <c r="B207" s="2" t="s">
        <v>7260</v>
      </c>
      <c r="C207" s="3">
        <v>1</v>
      </c>
      <c r="D207" s="5">
        <v>59.5</v>
      </c>
      <c r="E207" s="3" t="s">
        <v>7261</v>
      </c>
      <c r="F207" s="2" t="s">
        <v>132</v>
      </c>
      <c r="G207" s="6" t="s">
        <v>363</v>
      </c>
      <c r="H207" s="2" t="s">
        <v>127</v>
      </c>
      <c r="I207" s="2" t="s">
        <v>128</v>
      </c>
      <c r="J207" s="2" t="s">
        <v>19</v>
      </c>
      <c r="K207" s="2" t="s">
        <v>361</v>
      </c>
      <c r="L207" s="7" t="str">
        <f>HYPERLINK("http://slimages.macys.com/is/image/MCY/11577996 ")</f>
        <v xml:space="preserve">http://slimages.macys.com/is/image/MCY/11577996 </v>
      </c>
    </row>
    <row r="208" spans="1:12" ht="24.75" x14ac:dyDescent="0.25">
      <c r="A208" s="4" t="s">
        <v>7262</v>
      </c>
      <c r="B208" s="2" t="s">
        <v>5617</v>
      </c>
      <c r="C208" s="3">
        <v>1</v>
      </c>
      <c r="D208" s="5">
        <v>37.130000000000003</v>
      </c>
      <c r="E208" s="3" t="s">
        <v>5618</v>
      </c>
      <c r="F208" s="2" t="s">
        <v>64</v>
      </c>
      <c r="G208" s="6" t="s">
        <v>181</v>
      </c>
      <c r="H208" s="2" t="s">
        <v>284</v>
      </c>
      <c r="I208" s="2" t="s">
        <v>285</v>
      </c>
      <c r="J208" s="2" t="s">
        <v>19</v>
      </c>
      <c r="K208" s="2" t="s">
        <v>160</v>
      </c>
      <c r="L208" s="7" t="str">
        <f>HYPERLINK("http://slimages.macys.com/is/image/MCY/12671643 ")</f>
        <v xml:space="preserve">http://slimages.macys.com/is/image/MCY/12671643 </v>
      </c>
    </row>
    <row r="209" spans="1:12" ht="24.75" x14ac:dyDescent="0.25">
      <c r="A209" s="4" t="s">
        <v>7263</v>
      </c>
      <c r="B209" s="2" t="s">
        <v>827</v>
      </c>
      <c r="C209" s="3">
        <v>1</v>
      </c>
      <c r="D209" s="5">
        <v>37.130000000000003</v>
      </c>
      <c r="E209" s="3">
        <v>100009535</v>
      </c>
      <c r="F209" s="2" t="s">
        <v>15</v>
      </c>
      <c r="G209" s="6" t="s">
        <v>22</v>
      </c>
      <c r="H209" s="2" t="s">
        <v>194</v>
      </c>
      <c r="I209" s="2" t="s">
        <v>503</v>
      </c>
      <c r="J209" s="2" t="s">
        <v>19</v>
      </c>
      <c r="K209" s="2" t="s">
        <v>353</v>
      </c>
      <c r="L209" s="7" t="str">
        <f>HYPERLINK("http://slimages.macys.com/is/image/MCY/9340634 ")</f>
        <v xml:space="preserve">http://slimages.macys.com/is/image/MCY/9340634 </v>
      </c>
    </row>
    <row r="210" spans="1:12" ht="24.75" x14ac:dyDescent="0.25">
      <c r="A210" s="4" t="s">
        <v>5621</v>
      </c>
      <c r="B210" s="2" t="s">
        <v>827</v>
      </c>
      <c r="C210" s="3">
        <v>2</v>
      </c>
      <c r="D210" s="5">
        <v>37.130000000000003</v>
      </c>
      <c r="E210" s="3">
        <v>100009535</v>
      </c>
      <c r="F210" s="2" t="s">
        <v>26</v>
      </c>
      <c r="G210" s="6" t="s">
        <v>22</v>
      </c>
      <c r="H210" s="2" t="s">
        <v>194</v>
      </c>
      <c r="I210" s="2" t="s">
        <v>503</v>
      </c>
      <c r="J210" s="2" t="s">
        <v>19</v>
      </c>
      <c r="K210" s="2" t="s">
        <v>353</v>
      </c>
      <c r="L210" s="7" t="str">
        <f>HYPERLINK("http://slimages.macys.com/is/image/MCY/9450411 ")</f>
        <v xml:space="preserve">http://slimages.macys.com/is/image/MCY/9450411 </v>
      </c>
    </row>
    <row r="211" spans="1:12" ht="24.75" x14ac:dyDescent="0.25">
      <c r="A211" s="4" t="s">
        <v>2445</v>
      </c>
      <c r="B211" s="2" t="s">
        <v>2439</v>
      </c>
      <c r="C211" s="3">
        <v>4</v>
      </c>
      <c r="D211" s="5">
        <v>44.63</v>
      </c>
      <c r="E211" s="3" t="s">
        <v>2440</v>
      </c>
      <c r="F211" s="2" t="s">
        <v>956</v>
      </c>
      <c r="G211" s="6" t="s">
        <v>154</v>
      </c>
      <c r="H211" s="2" t="s">
        <v>194</v>
      </c>
      <c r="I211" s="2" t="s">
        <v>195</v>
      </c>
      <c r="J211" s="2" t="s">
        <v>19</v>
      </c>
      <c r="K211" s="2" t="s">
        <v>34</v>
      </c>
      <c r="L211" s="7" t="str">
        <f>HYPERLINK("http://slimages.macys.com/is/image/MCY/11527019 ")</f>
        <v xml:space="preserve">http://slimages.macys.com/is/image/MCY/11527019 </v>
      </c>
    </row>
    <row r="212" spans="1:12" ht="24.75" x14ac:dyDescent="0.25">
      <c r="A212" s="4" t="s">
        <v>7264</v>
      </c>
      <c r="B212" s="2" t="s">
        <v>827</v>
      </c>
      <c r="C212" s="3">
        <v>1</v>
      </c>
      <c r="D212" s="5">
        <v>37.130000000000003</v>
      </c>
      <c r="E212" s="3">
        <v>100009535</v>
      </c>
      <c r="F212" s="2" t="s">
        <v>26</v>
      </c>
      <c r="G212" s="6" t="s">
        <v>16</v>
      </c>
      <c r="H212" s="2" t="s">
        <v>194</v>
      </c>
      <c r="I212" s="2" t="s">
        <v>503</v>
      </c>
      <c r="J212" s="2" t="s">
        <v>19</v>
      </c>
      <c r="K212" s="2" t="s">
        <v>353</v>
      </c>
      <c r="L212" s="7" t="str">
        <f>HYPERLINK("http://slimages.macys.com/is/image/MCY/9450411 ")</f>
        <v xml:space="preserve">http://slimages.macys.com/is/image/MCY/9450411 </v>
      </c>
    </row>
    <row r="213" spans="1:12" ht="24.75" x14ac:dyDescent="0.25">
      <c r="A213" s="4" t="s">
        <v>7265</v>
      </c>
      <c r="B213" s="2" t="s">
        <v>2447</v>
      </c>
      <c r="C213" s="3">
        <v>1</v>
      </c>
      <c r="D213" s="5">
        <v>37.130000000000003</v>
      </c>
      <c r="E213" s="3">
        <v>100015637</v>
      </c>
      <c r="F213" s="2" t="s">
        <v>74</v>
      </c>
      <c r="G213" s="6" t="s">
        <v>181</v>
      </c>
      <c r="H213" s="2" t="s">
        <v>194</v>
      </c>
      <c r="I213" s="2" t="s">
        <v>195</v>
      </c>
      <c r="J213" s="2" t="s">
        <v>19</v>
      </c>
      <c r="K213" s="2" t="s">
        <v>247</v>
      </c>
      <c r="L213" s="7" t="str">
        <f>HYPERLINK("http://slimages.macys.com/is/image/MCY/9557664 ")</f>
        <v xml:space="preserve">http://slimages.macys.com/is/image/MCY/9557664 </v>
      </c>
    </row>
    <row r="214" spans="1:12" ht="48.75" x14ac:dyDescent="0.25">
      <c r="A214" s="4" t="s">
        <v>7266</v>
      </c>
      <c r="B214" s="2" t="s">
        <v>497</v>
      </c>
      <c r="C214" s="3">
        <v>1</v>
      </c>
      <c r="D214" s="5">
        <v>36.5</v>
      </c>
      <c r="E214" s="3" t="s">
        <v>7267</v>
      </c>
      <c r="F214" s="2" t="s">
        <v>33</v>
      </c>
      <c r="G214" s="6" t="s">
        <v>205</v>
      </c>
      <c r="H214" s="2" t="s">
        <v>632</v>
      </c>
      <c r="I214" s="2" t="s">
        <v>408</v>
      </c>
      <c r="J214" s="2" t="s">
        <v>19</v>
      </c>
      <c r="K214" s="2" t="s">
        <v>787</v>
      </c>
      <c r="L214" s="7" t="str">
        <f>HYPERLINK("http://slimages.macys.com/is/image/MCY/11241401 ")</f>
        <v xml:space="preserve">http://slimages.macys.com/is/image/MCY/11241401 </v>
      </c>
    </row>
    <row r="215" spans="1:12" ht="24.75" x14ac:dyDescent="0.25">
      <c r="A215" s="4" t="s">
        <v>2451</v>
      </c>
      <c r="B215" s="2" t="s">
        <v>837</v>
      </c>
      <c r="C215" s="3">
        <v>1</v>
      </c>
      <c r="D215" s="5">
        <v>40.880000000000003</v>
      </c>
      <c r="E215" s="3" t="s">
        <v>838</v>
      </c>
      <c r="F215" s="2" t="s">
        <v>57</v>
      </c>
      <c r="G215" s="6" t="s">
        <v>802</v>
      </c>
      <c r="H215" s="2" t="s">
        <v>188</v>
      </c>
      <c r="I215" s="2" t="s">
        <v>189</v>
      </c>
      <c r="J215" s="2" t="s">
        <v>19</v>
      </c>
      <c r="K215" s="2" t="s">
        <v>839</v>
      </c>
      <c r="L215" s="7" t="str">
        <f>HYPERLINK("http://slimages.macys.com/is/image/MCY/11940229 ")</f>
        <v xml:space="preserve">http://slimages.macys.com/is/image/MCY/11940229 </v>
      </c>
    </row>
    <row r="216" spans="1:12" ht="24.75" x14ac:dyDescent="0.25">
      <c r="A216" s="4" t="s">
        <v>5628</v>
      </c>
      <c r="B216" s="2" t="s">
        <v>837</v>
      </c>
      <c r="C216" s="3">
        <v>1</v>
      </c>
      <c r="D216" s="5">
        <v>40.880000000000003</v>
      </c>
      <c r="E216" s="3" t="s">
        <v>838</v>
      </c>
      <c r="F216" s="2" t="s">
        <v>57</v>
      </c>
      <c r="G216" s="6" t="s">
        <v>336</v>
      </c>
      <c r="H216" s="2" t="s">
        <v>188</v>
      </c>
      <c r="I216" s="2" t="s">
        <v>189</v>
      </c>
      <c r="J216" s="2" t="s">
        <v>19</v>
      </c>
      <c r="K216" s="2" t="s">
        <v>839</v>
      </c>
      <c r="L216" s="7" t="str">
        <f>HYPERLINK("http://slimages.macys.com/is/image/MCY/11940229 ")</f>
        <v xml:space="preserve">http://slimages.macys.com/is/image/MCY/11940229 </v>
      </c>
    </row>
    <row r="217" spans="1:12" ht="24.75" x14ac:dyDescent="0.25">
      <c r="A217" s="4" t="s">
        <v>7268</v>
      </c>
      <c r="B217" s="2" t="s">
        <v>2460</v>
      </c>
      <c r="C217" s="3">
        <v>1</v>
      </c>
      <c r="D217" s="5">
        <v>34.880000000000003</v>
      </c>
      <c r="E217" s="3" t="s">
        <v>2461</v>
      </c>
      <c r="F217" s="2" t="s">
        <v>26</v>
      </c>
      <c r="G217" s="6" t="s">
        <v>934</v>
      </c>
      <c r="H217" s="2" t="s">
        <v>312</v>
      </c>
      <c r="I217" s="2" t="s">
        <v>503</v>
      </c>
      <c r="J217" s="2" t="s">
        <v>19</v>
      </c>
      <c r="K217" s="2" t="s">
        <v>353</v>
      </c>
      <c r="L217" s="7" t="str">
        <f>HYPERLINK("http://slimages.macys.com/is/image/MCY/9325305 ")</f>
        <v xml:space="preserve">http://slimages.macys.com/is/image/MCY/9325305 </v>
      </c>
    </row>
    <row r="218" spans="1:12" ht="24.75" x14ac:dyDescent="0.25">
      <c r="A218" s="4" t="s">
        <v>7269</v>
      </c>
      <c r="B218" s="2" t="s">
        <v>2460</v>
      </c>
      <c r="C218" s="3">
        <v>1</v>
      </c>
      <c r="D218" s="5">
        <v>34.880000000000003</v>
      </c>
      <c r="E218" s="3" t="s">
        <v>2461</v>
      </c>
      <c r="F218" s="2" t="s">
        <v>26</v>
      </c>
      <c r="G218" s="6" t="s">
        <v>363</v>
      </c>
      <c r="H218" s="2" t="s">
        <v>312</v>
      </c>
      <c r="I218" s="2" t="s">
        <v>503</v>
      </c>
      <c r="J218" s="2" t="s">
        <v>19</v>
      </c>
      <c r="K218" s="2" t="s">
        <v>353</v>
      </c>
      <c r="L218" s="7" t="str">
        <f>HYPERLINK("http://slimages.macys.com/is/image/MCY/9325305 ")</f>
        <v xml:space="preserve">http://slimages.macys.com/is/image/MCY/9325305 </v>
      </c>
    </row>
    <row r="219" spans="1:12" ht="24.75" x14ac:dyDescent="0.25">
      <c r="A219" s="4" t="s">
        <v>7270</v>
      </c>
      <c r="B219" s="2" t="s">
        <v>2460</v>
      </c>
      <c r="C219" s="3">
        <v>1</v>
      </c>
      <c r="D219" s="5">
        <v>34.880000000000003</v>
      </c>
      <c r="E219" s="3" t="s">
        <v>2461</v>
      </c>
      <c r="F219" s="2" t="s">
        <v>376</v>
      </c>
      <c r="G219" s="6" t="s">
        <v>802</v>
      </c>
      <c r="H219" s="2" t="s">
        <v>312</v>
      </c>
      <c r="I219" s="2" t="s">
        <v>503</v>
      </c>
      <c r="J219" s="2" t="s">
        <v>19</v>
      </c>
      <c r="K219" s="2" t="s">
        <v>353</v>
      </c>
      <c r="L219" s="7" t="str">
        <f>HYPERLINK("http://slimages.macys.com/is/image/MCY/9325305 ")</f>
        <v xml:space="preserve">http://slimages.macys.com/is/image/MCY/9325305 </v>
      </c>
    </row>
    <row r="220" spans="1:12" ht="24.75" x14ac:dyDescent="0.25">
      <c r="A220" s="4" t="s">
        <v>7271</v>
      </c>
      <c r="B220" s="2" t="s">
        <v>6453</v>
      </c>
      <c r="C220" s="3">
        <v>1</v>
      </c>
      <c r="D220" s="5">
        <v>37.130000000000003</v>
      </c>
      <c r="E220" s="3" t="s">
        <v>6454</v>
      </c>
      <c r="F220" s="2" t="s">
        <v>74</v>
      </c>
      <c r="G220" s="6" t="s">
        <v>729</v>
      </c>
      <c r="H220" s="2" t="s">
        <v>284</v>
      </c>
      <c r="I220" s="2" t="s">
        <v>285</v>
      </c>
      <c r="J220" s="2" t="s">
        <v>19</v>
      </c>
      <c r="K220" s="2" t="s">
        <v>6456</v>
      </c>
      <c r="L220" s="7" t="str">
        <f>HYPERLINK("http://slimages.macys.com/is/image/MCY/11434064 ")</f>
        <v xml:space="preserve">http://slimages.macys.com/is/image/MCY/11434064 </v>
      </c>
    </row>
    <row r="221" spans="1:12" ht="24.75" x14ac:dyDescent="0.25">
      <c r="A221" s="4" t="s">
        <v>7272</v>
      </c>
      <c r="B221" s="2" t="s">
        <v>856</v>
      </c>
      <c r="C221" s="3">
        <v>1</v>
      </c>
      <c r="D221" s="5">
        <v>48</v>
      </c>
      <c r="E221" s="3">
        <v>100013497</v>
      </c>
      <c r="F221" s="2" t="s">
        <v>252</v>
      </c>
      <c r="G221" s="6" t="s">
        <v>141</v>
      </c>
      <c r="H221" s="2" t="s">
        <v>228</v>
      </c>
      <c r="I221" s="2" t="s">
        <v>857</v>
      </c>
      <c r="J221" s="2" t="s">
        <v>19</v>
      </c>
      <c r="K221" s="2" t="s">
        <v>387</v>
      </c>
      <c r="L221" s="7" t="str">
        <f>HYPERLINK("http://slimages.macys.com/is/image/MCY/9478981 ")</f>
        <v xml:space="preserve">http://slimages.macys.com/is/image/MCY/9478981 </v>
      </c>
    </row>
    <row r="222" spans="1:12" ht="24.75" x14ac:dyDescent="0.25">
      <c r="A222" s="4" t="s">
        <v>855</v>
      </c>
      <c r="B222" s="2" t="s">
        <v>856</v>
      </c>
      <c r="C222" s="3">
        <v>2</v>
      </c>
      <c r="D222" s="5">
        <v>48</v>
      </c>
      <c r="E222" s="3">
        <v>100013497</v>
      </c>
      <c r="F222" s="2" t="s">
        <v>252</v>
      </c>
      <c r="G222" s="6" t="s">
        <v>16</v>
      </c>
      <c r="H222" s="2" t="s">
        <v>228</v>
      </c>
      <c r="I222" s="2" t="s">
        <v>857</v>
      </c>
      <c r="J222" s="2" t="s">
        <v>19</v>
      </c>
      <c r="K222" s="2" t="s">
        <v>387</v>
      </c>
      <c r="L222" s="7" t="str">
        <f>HYPERLINK("http://slimages.macys.com/is/image/MCY/9478981 ")</f>
        <v xml:space="preserve">http://slimages.macys.com/is/image/MCY/9478981 </v>
      </c>
    </row>
    <row r="223" spans="1:12" ht="24.75" x14ac:dyDescent="0.25">
      <c r="A223" s="4" t="s">
        <v>2463</v>
      </c>
      <c r="B223" s="2" t="s">
        <v>856</v>
      </c>
      <c r="C223" s="3">
        <v>3</v>
      </c>
      <c r="D223" s="5">
        <v>48</v>
      </c>
      <c r="E223" s="3">
        <v>100013497</v>
      </c>
      <c r="F223" s="2" t="s">
        <v>252</v>
      </c>
      <c r="G223" s="6" t="s">
        <v>22</v>
      </c>
      <c r="H223" s="2" t="s">
        <v>228</v>
      </c>
      <c r="I223" s="2" t="s">
        <v>857</v>
      </c>
      <c r="J223" s="2" t="s">
        <v>19</v>
      </c>
      <c r="K223" s="2" t="s">
        <v>387</v>
      </c>
      <c r="L223" s="7" t="str">
        <f>HYPERLINK("http://slimages.macys.com/is/image/MCY/9478981 ")</f>
        <v xml:space="preserve">http://slimages.macys.com/is/image/MCY/9478981 </v>
      </c>
    </row>
    <row r="224" spans="1:12" ht="24.75" x14ac:dyDescent="0.25">
      <c r="A224" s="4" t="s">
        <v>7273</v>
      </c>
      <c r="B224" s="2" t="s">
        <v>853</v>
      </c>
      <c r="C224" s="3">
        <v>1</v>
      </c>
      <c r="D224" s="5">
        <v>37.130000000000003</v>
      </c>
      <c r="E224" s="3" t="s">
        <v>854</v>
      </c>
      <c r="F224" s="2" t="s">
        <v>74</v>
      </c>
      <c r="G224" s="6" t="s">
        <v>58</v>
      </c>
      <c r="H224" s="2" t="s">
        <v>246</v>
      </c>
      <c r="I224" s="2" t="s">
        <v>214</v>
      </c>
      <c r="J224" s="2" t="s">
        <v>19</v>
      </c>
      <c r="K224" s="2" t="s">
        <v>353</v>
      </c>
      <c r="L224" s="7" t="str">
        <f>HYPERLINK("http://slimages.macys.com/is/image/MCY/10679381 ")</f>
        <v xml:space="preserve">http://slimages.macys.com/is/image/MCY/10679381 </v>
      </c>
    </row>
    <row r="225" spans="1:12" ht="24.75" x14ac:dyDescent="0.25">
      <c r="A225" s="4" t="s">
        <v>7274</v>
      </c>
      <c r="B225" s="2" t="s">
        <v>2439</v>
      </c>
      <c r="C225" s="3">
        <v>1</v>
      </c>
      <c r="D225" s="5">
        <v>44.5</v>
      </c>
      <c r="E225" s="3" t="s">
        <v>7275</v>
      </c>
      <c r="F225" s="2" t="s">
        <v>956</v>
      </c>
      <c r="G225" s="6"/>
      <c r="H225" s="2" t="s">
        <v>312</v>
      </c>
      <c r="I225" s="2" t="s">
        <v>195</v>
      </c>
      <c r="J225" s="2" t="s">
        <v>19</v>
      </c>
      <c r="K225" s="2" t="s">
        <v>34</v>
      </c>
      <c r="L225" s="7" t="str">
        <f>HYPERLINK("http://slimages.macys.com/is/image/MCY/11527019 ")</f>
        <v xml:space="preserve">http://slimages.macys.com/is/image/MCY/11527019 </v>
      </c>
    </row>
    <row r="226" spans="1:12" ht="24.75" x14ac:dyDescent="0.25">
      <c r="A226" s="4" t="s">
        <v>7276</v>
      </c>
      <c r="B226" s="2" t="s">
        <v>859</v>
      </c>
      <c r="C226" s="3">
        <v>2</v>
      </c>
      <c r="D226" s="5">
        <v>69.5</v>
      </c>
      <c r="E226" s="3">
        <v>100052222</v>
      </c>
      <c r="F226" s="2" t="s">
        <v>79</v>
      </c>
      <c r="G226" s="6" t="s">
        <v>16</v>
      </c>
      <c r="H226" s="2" t="s">
        <v>386</v>
      </c>
      <c r="I226" s="2" t="s">
        <v>207</v>
      </c>
      <c r="J226" s="2" t="s">
        <v>19</v>
      </c>
      <c r="K226" s="2" t="s">
        <v>338</v>
      </c>
      <c r="L226" s="7" t="str">
        <f>HYPERLINK("http://slimages.macys.com/is/image/MCY/11433931 ")</f>
        <v xml:space="preserve">http://slimages.macys.com/is/image/MCY/11433931 </v>
      </c>
    </row>
    <row r="227" spans="1:12" ht="24.75" x14ac:dyDescent="0.25">
      <c r="A227" s="4" t="s">
        <v>7277</v>
      </c>
      <c r="B227" s="2" t="s">
        <v>859</v>
      </c>
      <c r="C227" s="3">
        <v>1</v>
      </c>
      <c r="D227" s="5">
        <v>69.5</v>
      </c>
      <c r="E227" s="3">
        <v>100052222</v>
      </c>
      <c r="F227" s="2" t="s">
        <v>79</v>
      </c>
      <c r="G227" s="6" t="s">
        <v>106</v>
      </c>
      <c r="H227" s="2" t="s">
        <v>386</v>
      </c>
      <c r="I227" s="2" t="s">
        <v>207</v>
      </c>
      <c r="J227" s="2" t="s">
        <v>19</v>
      </c>
      <c r="K227" s="2" t="s">
        <v>338</v>
      </c>
      <c r="L227" s="7" t="str">
        <f>HYPERLINK("http://slimages.macys.com/is/image/MCY/11433931 ")</f>
        <v xml:space="preserve">http://slimages.macys.com/is/image/MCY/11433931 </v>
      </c>
    </row>
    <row r="228" spans="1:12" ht="24.75" x14ac:dyDescent="0.25">
      <c r="A228" s="4" t="s">
        <v>400</v>
      </c>
      <c r="B228" s="2" t="s">
        <v>374</v>
      </c>
      <c r="C228" s="3">
        <v>2</v>
      </c>
      <c r="D228" s="5">
        <v>52.13</v>
      </c>
      <c r="E228" s="3" t="s">
        <v>375</v>
      </c>
      <c r="F228" s="2" t="s">
        <v>74</v>
      </c>
      <c r="G228" s="6" t="s">
        <v>27</v>
      </c>
      <c r="H228" s="2" t="s">
        <v>246</v>
      </c>
      <c r="I228" s="2" t="s">
        <v>189</v>
      </c>
      <c r="J228" s="2" t="s">
        <v>19</v>
      </c>
      <c r="K228" s="2" t="s">
        <v>361</v>
      </c>
      <c r="L228" s="7" t="str">
        <f>HYPERLINK("http://slimages.macys.com/is/image/MCY/10676355 ")</f>
        <v xml:space="preserve">http://slimages.macys.com/is/image/MCY/10676355 </v>
      </c>
    </row>
    <row r="229" spans="1:12" ht="24.75" x14ac:dyDescent="0.25">
      <c r="A229" s="4" t="s">
        <v>397</v>
      </c>
      <c r="B229" s="2" t="s">
        <v>374</v>
      </c>
      <c r="C229" s="3">
        <v>1</v>
      </c>
      <c r="D229" s="5">
        <v>52.13</v>
      </c>
      <c r="E229" s="3" t="s">
        <v>375</v>
      </c>
      <c r="F229" s="2" t="s">
        <v>74</v>
      </c>
      <c r="G229" s="6" t="s">
        <v>22</v>
      </c>
      <c r="H229" s="2" t="s">
        <v>246</v>
      </c>
      <c r="I229" s="2" t="s">
        <v>189</v>
      </c>
      <c r="J229" s="2" t="s">
        <v>19</v>
      </c>
      <c r="K229" s="2" t="s">
        <v>361</v>
      </c>
      <c r="L229" s="7" t="str">
        <f>HYPERLINK("http://slimages.macys.com/is/image/MCY/10676355 ")</f>
        <v xml:space="preserve">http://slimages.macys.com/is/image/MCY/10676355 </v>
      </c>
    </row>
    <row r="230" spans="1:12" ht="24.75" x14ac:dyDescent="0.25">
      <c r="A230" s="4" t="s">
        <v>7278</v>
      </c>
      <c r="B230" s="2" t="s">
        <v>374</v>
      </c>
      <c r="C230" s="3">
        <v>1</v>
      </c>
      <c r="D230" s="5">
        <v>52.13</v>
      </c>
      <c r="E230" s="3" t="s">
        <v>375</v>
      </c>
      <c r="F230" s="2" t="s">
        <v>170</v>
      </c>
      <c r="G230" s="6" t="s">
        <v>16</v>
      </c>
      <c r="H230" s="2" t="s">
        <v>246</v>
      </c>
      <c r="I230" s="2" t="s">
        <v>189</v>
      </c>
      <c r="J230" s="2" t="s">
        <v>19</v>
      </c>
      <c r="K230" s="2" t="s">
        <v>361</v>
      </c>
      <c r="L230" s="7" t="str">
        <f>HYPERLINK("http://slimages.macys.com/is/image/MCY/10676355 ")</f>
        <v xml:space="preserve">http://slimages.macys.com/is/image/MCY/10676355 </v>
      </c>
    </row>
    <row r="231" spans="1:12" ht="24.75" x14ac:dyDescent="0.25">
      <c r="A231" s="4" t="s">
        <v>398</v>
      </c>
      <c r="B231" s="2" t="s">
        <v>374</v>
      </c>
      <c r="C231" s="3">
        <v>1</v>
      </c>
      <c r="D231" s="5">
        <v>52.13</v>
      </c>
      <c r="E231" s="3" t="s">
        <v>375</v>
      </c>
      <c r="F231" s="2" t="s">
        <v>74</v>
      </c>
      <c r="G231" s="6" t="s">
        <v>106</v>
      </c>
      <c r="H231" s="2" t="s">
        <v>246</v>
      </c>
      <c r="I231" s="2" t="s">
        <v>189</v>
      </c>
      <c r="J231" s="2" t="s">
        <v>19</v>
      </c>
      <c r="K231" s="2" t="s">
        <v>361</v>
      </c>
      <c r="L231" s="7" t="str">
        <f>HYPERLINK("http://slimages.macys.com/is/image/MCY/10676355 ")</f>
        <v xml:space="preserve">http://slimages.macys.com/is/image/MCY/10676355 </v>
      </c>
    </row>
    <row r="232" spans="1:12" ht="24.75" x14ac:dyDescent="0.25">
      <c r="A232" s="4" t="s">
        <v>7279</v>
      </c>
      <c r="B232" s="2" t="s">
        <v>374</v>
      </c>
      <c r="C232" s="3">
        <v>2</v>
      </c>
      <c r="D232" s="5">
        <v>52.13</v>
      </c>
      <c r="E232" s="3" t="s">
        <v>375</v>
      </c>
      <c r="F232" s="2" t="s">
        <v>74</v>
      </c>
      <c r="G232" s="6" t="s">
        <v>58</v>
      </c>
      <c r="H232" s="2" t="s">
        <v>246</v>
      </c>
      <c r="I232" s="2" t="s">
        <v>189</v>
      </c>
      <c r="J232" s="2" t="s">
        <v>19</v>
      </c>
      <c r="K232" s="2" t="s">
        <v>361</v>
      </c>
      <c r="L232" s="7" t="str">
        <f>HYPERLINK("http://slimages.macys.com/is/image/MCY/10676355 ")</f>
        <v xml:space="preserve">http://slimages.macys.com/is/image/MCY/10676355 </v>
      </c>
    </row>
    <row r="233" spans="1:12" ht="24.75" x14ac:dyDescent="0.25">
      <c r="A233" s="4" t="s">
        <v>7280</v>
      </c>
      <c r="B233" s="2" t="s">
        <v>861</v>
      </c>
      <c r="C233" s="3">
        <v>1</v>
      </c>
      <c r="D233" s="5">
        <v>34.5</v>
      </c>
      <c r="E233" s="3" t="s">
        <v>862</v>
      </c>
      <c r="F233" s="2" t="s">
        <v>64</v>
      </c>
      <c r="G233" s="6" t="s">
        <v>141</v>
      </c>
      <c r="H233" s="2" t="s">
        <v>228</v>
      </c>
      <c r="I233" s="2" t="s">
        <v>863</v>
      </c>
      <c r="J233" s="2" t="s">
        <v>19</v>
      </c>
      <c r="K233" s="2" t="s">
        <v>253</v>
      </c>
      <c r="L233" s="7" t="str">
        <f>HYPERLINK("http://slimages.macys.com/is/image/MCY/3650197 ")</f>
        <v xml:space="preserve">http://slimages.macys.com/is/image/MCY/3650197 </v>
      </c>
    </row>
    <row r="234" spans="1:12" ht="24.75" x14ac:dyDescent="0.25">
      <c r="A234" s="4" t="s">
        <v>2475</v>
      </c>
      <c r="B234" s="2" t="s">
        <v>2476</v>
      </c>
      <c r="C234" s="3">
        <v>2</v>
      </c>
      <c r="D234" s="5">
        <v>40.880000000000003</v>
      </c>
      <c r="E234" s="3" t="s">
        <v>2477</v>
      </c>
      <c r="F234" s="2" t="s">
        <v>752</v>
      </c>
      <c r="G234" s="6" t="s">
        <v>154</v>
      </c>
      <c r="H234" s="2" t="s">
        <v>194</v>
      </c>
      <c r="I234" s="2" t="s">
        <v>195</v>
      </c>
      <c r="J234" s="2" t="s">
        <v>19</v>
      </c>
      <c r="K234" s="2" t="s">
        <v>34</v>
      </c>
      <c r="L234" s="7" t="str">
        <f>HYPERLINK("http://slimages.macys.com/is/image/MCY/12279885 ")</f>
        <v xml:space="preserve">http://slimages.macys.com/is/image/MCY/12279885 </v>
      </c>
    </row>
    <row r="235" spans="1:12" ht="24.75" x14ac:dyDescent="0.25">
      <c r="A235" s="4" t="s">
        <v>3612</v>
      </c>
      <c r="B235" s="2" t="s">
        <v>2476</v>
      </c>
      <c r="C235" s="3">
        <v>1</v>
      </c>
      <c r="D235" s="5">
        <v>40.880000000000003</v>
      </c>
      <c r="E235" s="3" t="s">
        <v>2479</v>
      </c>
      <c r="F235" s="2" t="s">
        <v>1614</v>
      </c>
      <c r="G235" s="6" t="s">
        <v>156</v>
      </c>
      <c r="H235" s="2" t="s">
        <v>194</v>
      </c>
      <c r="I235" s="2" t="s">
        <v>195</v>
      </c>
      <c r="J235" s="2" t="s">
        <v>19</v>
      </c>
      <c r="K235" s="2" t="s">
        <v>34</v>
      </c>
      <c r="L235" s="7" t="str">
        <f>HYPERLINK("http://slimages.macys.com/is/image/MCY/11526932 ")</f>
        <v xml:space="preserve">http://slimages.macys.com/is/image/MCY/11526932 </v>
      </c>
    </row>
    <row r="236" spans="1:12" ht="24.75" x14ac:dyDescent="0.25">
      <c r="A236" s="4" t="s">
        <v>7281</v>
      </c>
      <c r="B236" s="2" t="s">
        <v>2476</v>
      </c>
      <c r="C236" s="3">
        <v>1</v>
      </c>
      <c r="D236" s="5">
        <v>40.880000000000003</v>
      </c>
      <c r="E236" s="3" t="s">
        <v>2479</v>
      </c>
      <c r="F236" s="2" t="s">
        <v>1614</v>
      </c>
      <c r="G236" s="6" t="s">
        <v>181</v>
      </c>
      <c r="H236" s="2" t="s">
        <v>194</v>
      </c>
      <c r="I236" s="2" t="s">
        <v>195</v>
      </c>
      <c r="J236" s="2" t="s">
        <v>19</v>
      </c>
      <c r="K236" s="2" t="s">
        <v>34</v>
      </c>
      <c r="L236" s="7" t="str">
        <f>HYPERLINK("http://slimages.macys.com/is/image/MCY/11526932 ")</f>
        <v xml:space="preserve">http://slimages.macys.com/is/image/MCY/11526932 </v>
      </c>
    </row>
    <row r="237" spans="1:12" ht="48.75" x14ac:dyDescent="0.25">
      <c r="A237" s="4" t="s">
        <v>7282</v>
      </c>
      <c r="B237" s="2" t="s">
        <v>7283</v>
      </c>
      <c r="C237" s="3">
        <v>1</v>
      </c>
      <c r="D237" s="5">
        <v>29.99</v>
      </c>
      <c r="E237" s="3" t="s">
        <v>7284</v>
      </c>
      <c r="F237" s="2" t="s">
        <v>26</v>
      </c>
      <c r="G237" s="6" t="s">
        <v>234</v>
      </c>
      <c r="H237" s="2" t="s">
        <v>284</v>
      </c>
      <c r="I237" s="2" t="s">
        <v>408</v>
      </c>
      <c r="J237" s="2" t="s">
        <v>19</v>
      </c>
      <c r="K237" s="2" t="s">
        <v>787</v>
      </c>
      <c r="L237" s="7" t="str">
        <f>HYPERLINK("http://slimages.macys.com/is/image/MCY/9863772 ")</f>
        <v xml:space="preserve">http://slimages.macys.com/is/image/MCY/9863772 </v>
      </c>
    </row>
    <row r="238" spans="1:12" ht="24.75" x14ac:dyDescent="0.25">
      <c r="A238" s="4" t="s">
        <v>2481</v>
      </c>
      <c r="B238" s="2" t="s">
        <v>876</v>
      </c>
      <c r="C238" s="3">
        <v>1</v>
      </c>
      <c r="D238" s="5">
        <v>34.5</v>
      </c>
      <c r="E238" s="3" t="s">
        <v>877</v>
      </c>
      <c r="F238" s="2" t="s">
        <v>878</v>
      </c>
      <c r="G238" s="6" t="s">
        <v>934</v>
      </c>
      <c r="H238" s="2" t="s">
        <v>426</v>
      </c>
      <c r="I238" s="2" t="s">
        <v>229</v>
      </c>
      <c r="J238" s="2" t="s">
        <v>19</v>
      </c>
      <c r="K238" s="2" t="s">
        <v>253</v>
      </c>
      <c r="L238" s="7" t="str">
        <f>HYPERLINK("http://slimages.macys.com/is/image/MCY/1290325 ")</f>
        <v xml:space="preserve">http://slimages.macys.com/is/image/MCY/1290325 </v>
      </c>
    </row>
    <row r="239" spans="1:12" ht="24.75" x14ac:dyDescent="0.25">
      <c r="A239" s="4" t="s">
        <v>3621</v>
      </c>
      <c r="B239" s="2" t="s">
        <v>876</v>
      </c>
      <c r="C239" s="3">
        <v>1</v>
      </c>
      <c r="D239" s="5">
        <v>34.5</v>
      </c>
      <c r="E239" s="3" t="s">
        <v>877</v>
      </c>
      <c r="F239" s="2" t="s">
        <v>878</v>
      </c>
      <c r="G239" s="6" t="s">
        <v>126</v>
      </c>
      <c r="H239" s="2" t="s">
        <v>426</v>
      </c>
      <c r="I239" s="2" t="s">
        <v>229</v>
      </c>
      <c r="J239" s="2" t="s">
        <v>19</v>
      </c>
      <c r="K239" s="2" t="s">
        <v>253</v>
      </c>
      <c r="L239" s="7" t="str">
        <f>HYPERLINK("http://slimages.macys.com/is/image/MCY/1290325 ")</f>
        <v xml:space="preserve">http://slimages.macys.com/is/image/MCY/1290325 </v>
      </c>
    </row>
    <row r="240" spans="1:12" ht="48.75" x14ac:dyDescent="0.25">
      <c r="A240" s="4" t="s">
        <v>7285</v>
      </c>
      <c r="B240" s="2" t="s">
        <v>7283</v>
      </c>
      <c r="C240" s="3">
        <v>1</v>
      </c>
      <c r="D240" s="5">
        <v>29.99</v>
      </c>
      <c r="E240" s="3" t="s">
        <v>7284</v>
      </c>
      <c r="F240" s="2" t="s">
        <v>26</v>
      </c>
      <c r="G240" s="6" t="s">
        <v>156</v>
      </c>
      <c r="H240" s="2" t="s">
        <v>284</v>
      </c>
      <c r="I240" s="2" t="s">
        <v>408</v>
      </c>
      <c r="J240" s="2" t="s">
        <v>19</v>
      </c>
      <c r="K240" s="2" t="s">
        <v>787</v>
      </c>
      <c r="L240" s="7" t="str">
        <f>HYPERLINK("http://slimages.macys.com/is/image/MCY/9863772 ")</f>
        <v xml:space="preserve">http://slimages.macys.com/is/image/MCY/9863772 </v>
      </c>
    </row>
    <row r="241" spans="1:12" ht="24.75" x14ac:dyDescent="0.25">
      <c r="A241" s="4" t="s">
        <v>2480</v>
      </c>
      <c r="B241" s="2" t="s">
        <v>876</v>
      </c>
      <c r="C241" s="3">
        <v>1</v>
      </c>
      <c r="D241" s="5">
        <v>34.5</v>
      </c>
      <c r="E241" s="3" t="s">
        <v>877</v>
      </c>
      <c r="F241" s="2" t="s">
        <v>878</v>
      </c>
      <c r="G241" s="6" t="s">
        <v>205</v>
      </c>
      <c r="H241" s="2" t="s">
        <v>426</v>
      </c>
      <c r="I241" s="2" t="s">
        <v>229</v>
      </c>
      <c r="J241" s="2" t="s">
        <v>19</v>
      </c>
      <c r="K241" s="2" t="s">
        <v>253</v>
      </c>
      <c r="L241" s="7" t="str">
        <f>HYPERLINK("http://slimages.macys.com/is/image/MCY/1290325 ")</f>
        <v xml:space="preserve">http://slimages.macys.com/is/image/MCY/1290325 </v>
      </c>
    </row>
    <row r="242" spans="1:12" ht="24.75" x14ac:dyDescent="0.25">
      <c r="A242" s="4" t="s">
        <v>7286</v>
      </c>
      <c r="B242" s="2" t="s">
        <v>811</v>
      </c>
      <c r="C242" s="3">
        <v>1</v>
      </c>
      <c r="D242" s="5">
        <v>36.5</v>
      </c>
      <c r="E242" s="3" t="s">
        <v>3628</v>
      </c>
      <c r="F242" s="2" t="s">
        <v>15</v>
      </c>
      <c r="G242" s="6" t="s">
        <v>181</v>
      </c>
      <c r="H242" s="2" t="s">
        <v>194</v>
      </c>
      <c r="I242" s="2" t="s">
        <v>195</v>
      </c>
      <c r="J242" s="2" t="s">
        <v>19</v>
      </c>
      <c r="K242" s="2" t="s">
        <v>160</v>
      </c>
      <c r="L242" s="7" t="str">
        <f>HYPERLINK("http://slimages.macys.com/is/image/MCY/11764562 ")</f>
        <v xml:space="preserve">http://slimages.macys.com/is/image/MCY/11764562 </v>
      </c>
    </row>
    <row r="243" spans="1:12" x14ac:dyDescent="0.25">
      <c r="A243" s="4" t="s">
        <v>7287</v>
      </c>
      <c r="B243" s="2" t="s">
        <v>3630</v>
      </c>
      <c r="C243" s="3">
        <v>1</v>
      </c>
      <c r="D243" s="5">
        <v>59.5</v>
      </c>
      <c r="E243" s="3" t="s">
        <v>3631</v>
      </c>
      <c r="F243" s="2" t="s">
        <v>15</v>
      </c>
      <c r="G243" s="6"/>
      <c r="H243" s="2" t="s">
        <v>206</v>
      </c>
      <c r="I243" s="2" t="s">
        <v>207</v>
      </c>
      <c r="J243" s="2" t="s">
        <v>19</v>
      </c>
      <c r="K243" s="2" t="s">
        <v>201</v>
      </c>
      <c r="L243" s="7" t="str">
        <f>HYPERLINK("http://slimages.macys.com/is/image/MCY/12792755 ")</f>
        <v xml:space="preserve">http://slimages.macys.com/is/image/MCY/12792755 </v>
      </c>
    </row>
    <row r="244" spans="1:12" ht="24.75" x14ac:dyDescent="0.25">
      <c r="A244" s="4" t="s">
        <v>3627</v>
      </c>
      <c r="B244" s="2" t="s">
        <v>811</v>
      </c>
      <c r="C244" s="3">
        <v>1</v>
      </c>
      <c r="D244" s="5">
        <v>36.5</v>
      </c>
      <c r="E244" s="3" t="s">
        <v>3628</v>
      </c>
      <c r="F244" s="2" t="s">
        <v>15</v>
      </c>
      <c r="G244" s="6" t="s">
        <v>154</v>
      </c>
      <c r="H244" s="2" t="s">
        <v>194</v>
      </c>
      <c r="I244" s="2" t="s">
        <v>195</v>
      </c>
      <c r="J244" s="2" t="s">
        <v>19</v>
      </c>
      <c r="K244" s="2" t="s">
        <v>160</v>
      </c>
      <c r="L244" s="7" t="str">
        <f>HYPERLINK("http://slimages.macys.com/is/image/MCY/11764562 ")</f>
        <v xml:space="preserve">http://slimages.macys.com/is/image/MCY/11764562 </v>
      </c>
    </row>
    <row r="245" spans="1:12" ht="24.75" x14ac:dyDescent="0.25">
      <c r="A245" s="4" t="s">
        <v>7288</v>
      </c>
      <c r="B245" s="2" t="s">
        <v>5638</v>
      </c>
      <c r="C245" s="3">
        <v>7</v>
      </c>
      <c r="D245" s="5">
        <v>44.63</v>
      </c>
      <c r="E245" s="3" t="s">
        <v>5639</v>
      </c>
      <c r="F245" s="2" t="s">
        <v>376</v>
      </c>
      <c r="G245" s="6" t="s">
        <v>200</v>
      </c>
      <c r="H245" s="2" t="s">
        <v>194</v>
      </c>
      <c r="I245" s="2" t="s">
        <v>195</v>
      </c>
      <c r="J245" s="2" t="s">
        <v>19</v>
      </c>
      <c r="K245" s="2" t="s">
        <v>160</v>
      </c>
      <c r="L245" s="7" t="str">
        <f>HYPERLINK("http://slimages.macys.com/is/image/MCY/12739319 ")</f>
        <v xml:space="preserve">http://slimages.macys.com/is/image/MCY/12739319 </v>
      </c>
    </row>
    <row r="246" spans="1:12" ht="24.75" x14ac:dyDescent="0.25">
      <c r="A246" s="4" t="s">
        <v>6466</v>
      </c>
      <c r="B246" s="2" t="s">
        <v>2483</v>
      </c>
      <c r="C246" s="3">
        <v>2</v>
      </c>
      <c r="D246" s="5">
        <v>34.880000000000003</v>
      </c>
      <c r="E246" s="3">
        <v>100058189</v>
      </c>
      <c r="F246" s="2" t="s">
        <v>15</v>
      </c>
      <c r="G246" s="6" t="s">
        <v>16</v>
      </c>
      <c r="H246" s="2" t="s">
        <v>194</v>
      </c>
      <c r="I246" s="2" t="s">
        <v>195</v>
      </c>
      <c r="J246" s="2" t="s">
        <v>19</v>
      </c>
      <c r="K246" s="2" t="s">
        <v>648</v>
      </c>
      <c r="L246" s="7" t="str">
        <f>HYPERLINK("http://slimages.macys.com/is/image/MCY/12802459 ")</f>
        <v xml:space="preserve">http://slimages.macys.com/is/image/MCY/12802459 </v>
      </c>
    </row>
    <row r="247" spans="1:12" ht="24.75" x14ac:dyDescent="0.25">
      <c r="A247" s="4" t="s">
        <v>7289</v>
      </c>
      <c r="B247" s="2" t="s">
        <v>890</v>
      </c>
      <c r="C247" s="3">
        <v>1</v>
      </c>
      <c r="D247" s="5">
        <v>34.5</v>
      </c>
      <c r="E247" s="3" t="s">
        <v>891</v>
      </c>
      <c r="F247" s="2" t="s">
        <v>64</v>
      </c>
      <c r="G247" s="6" t="s">
        <v>106</v>
      </c>
      <c r="H247" s="2" t="s">
        <v>228</v>
      </c>
      <c r="I247" s="2" t="s">
        <v>229</v>
      </c>
      <c r="J247" s="2" t="s">
        <v>19</v>
      </c>
      <c r="K247" s="2" t="s">
        <v>253</v>
      </c>
      <c r="L247" s="7" t="str">
        <f>HYPERLINK("http://slimages.macys.com/is/image/MCY/3623510 ")</f>
        <v xml:space="preserve">http://slimages.macys.com/is/image/MCY/3623510 </v>
      </c>
    </row>
    <row r="248" spans="1:12" ht="24.75" x14ac:dyDescent="0.25">
      <c r="A248" s="4" t="s">
        <v>7290</v>
      </c>
      <c r="B248" s="2" t="s">
        <v>890</v>
      </c>
      <c r="C248" s="3">
        <v>1</v>
      </c>
      <c r="D248" s="5">
        <v>34.5</v>
      </c>
      <c r="E248" s="3" t="s">
        <v>891</v>
      </c>
      <c r="F248" s="2" t="s">
        <v>64</v>
      </c>
      <c r="G248" s="6" t="s">
        <v>65</v>
      </c>
      <c r="H248" s="2" t="s">
        <v>228</v>
      </c>
      <c r="I248" s="2" t="s">
        <v>229</v>
      </c>
      <c r="J248" s="2" t="s">
        <v>19</v>
      </c>
      <c r="K248" s="2" t="s">
        <v>253</v>
      </c>
      <c r="L248" s="7" t="str">
        <f>HYPERLINK("http://slimages.macys.com/is/image/MCY/3623510 ")</f>
        <v xml:space="preserve">http://slimages.macys.com/is/image/MCY/3623510 </v>
      </c>
    </row>
    <row r="249" spans="1:12" ht="24.75" x14ac:dyDescent="0.25">
      <c r="A249" s="4" t="s">
        <v>892</v>
      </c>
      <c r="B249" s="2" t="s">
        <v>890</v>
      </c>
      <c r="C249" s="3">
        <v>1</v>
      </c>
      <c r="D249" s="5">
        <v>34.5</v>
      </c>
      <c r="E249" s="3" t="s">
        <v>891</v>
      </c>
      <c r="F249" s="2" t="s">
        <v>64</v>
      </c>
      <c r="G249" s="6" t="s">
        <v>141</v>
      </c>
      <c r="H249" s="2" t="s">
        <v>228</v>
      </c>
      <c r="I249" s="2" t="s">
        <v>229</v>
      </c>
      <c r="J249" s="2" t="s">
        <v>19</v>
      </c>
      <c r="K249" s="2" t="s">
        <v>253</v>
      </c>
      <c r="L249" s="7" t="str">
        <f>HYPERLINK("http://slimages.macys.com/is/image/MCY/3623510 ")</f>
        <v xml:space="preserve">http://slimages.macys.com/is/image/MCY/3623510 </v>
      </c>
    </row>
    <row r="250" spans="1:12" ht="24.75" x14ac:dyDescent="0.25">
      <c r="A250" s="4" t="s">
        <v>4726</v>
      </c>
      <c r="B250" s="2" t="s">
        <v>890</v>
      </c>
      <c r="C250" s="3">
        <v>4</v>
      </c>
      <c r="D250" s="5">
        <v>34.5</v>
      </c>
      <c r="E250" s="3" t="s">
        <v>891</v>
      </c>
      <c r="F250" s="2" t="s">
        <v>64</v>
      </c>
      <c r="G250" s="6" t="s">
        <v>58</v>
      </c>
      <c r="H250" s="2" t="s">
        <v>228</v>
      </c>
      <c r="I250" s="2" t="s">
        <v>229</v>
      </c>
      <c r="J250" s="2" t="s">
        <v>19</v>
      </c>
      <c r="K250" s="2" t="s">
        <v>253</v>
      </c>
      <c r="L250" s="7" t="str">
        <f>HYPERLINK("http://slimages.macys.com/is/image/MCY/3623510 ")</f>
        <v xml:space="preserve">http://slimages.macys.com/is/image/MCY/3623510 </v>
      </c>
    </row>
    <row r="251" spans="1:12" ht="24.75" x14ac:dyDescent="0.25">
      <c r="A251" s="4" t="s">
        <v>7291</v>
      </c>
      <c r="B251" s="2" t="s">
        <v>3640</v>
      </c>
      <c r="C251" s="3">
        <v>1</v>
      </c>
      <c r="D251" s="5">
        <v>44.63</v>
      </c>
      <c r="E251" s="3" t="s">
        <v>3641</v>
      </c>
      <c r="F251" s="2" t="s">
        <v>26</v>
      </c>
      <c r="G251" s="6" t="s">
        <v>473</v>
      </c>
      <c r="H251" s="2" t="s">
        <v>246</v>
      </c>
      <c r="I251" s="2" t="s">
        <v>487</v>
      </c>
      <c r="J251" s="2" t="s">
        <v>19</v>
      </c>
      <c r="K251" s="2" t="s">
        <v>409</v>
      </c>
      <c r="L251" s="7" t="str">
        <f>HYPERLINK("http://slimages.macys.com/is/image/MCY/11699445 ")</f>
        <v xml:space="preserve">http://slimages.macys.com/is/image/MCY/11699445 </v>
      </c>
    </row>
    <row r="252" spans="1:12" ht="24.75" x14ac:dyDescent="0.25">
      <c r="A252" s="4" t="s">
        <v>7292</v>
      </c>
      <c r="B252" s="2" t="s">
        <v>901</v>
      </c>
      <c r="C252" s="3">
        <v>3</v>
      </c>
      <c r="D252" s="5">
        <v>39.5</v>
      </c>
      <c r="E252" s="3" t="s">
        <v>902</v>
      </c>
      <c r="F252" s="2" t="s">
        <v>417</v>
      </c>
      <c r="G252" s="6" t="s">
        <v>200</v>
      </c>
      <c r="H252" s="2" t="s">
        <v>194</v>
      </c>
      <c r="I252" s="2" t="s">
        <v>195</v>
      </c>
      <c r="J252" s="2" t="s">
        <v>19</v>
      </c>
      <c r="K252" s="2" t="s">
        <v>438</v>
      </c>
      <c r="L252" s="7" t="str">
        <f>HYPERLINK("http://slimages.macys.com/is/image/MCY/12143757 ")</f>
        <v xml:space="preserve">http://slimages.macys.com/is/image/MCY/12143757 </v>
      </c>
    </row>
    <row r="253" spans="1:12" ht="24.75" x14ac:dyDescent="0.25">
      <c r="A253" s="4" t="s">
        <v>7293</v>
      </c>
      <c r="B253" s="2" t="s">
        <v>904</v>
      </c>
      <c r="C253" s="3">
        <v>1</v>
      </c>
      <c r="D253" s="5">
        <v>34.5</v>
      </c>
      <c r="E253" s="3">
        <v>100051031</v>
      </c>
      <c r="F253" s="2" t="s">
        <v>111</v>
      </c>
      <c r="G253" s="6" t="s">
        <v>234</v>
      </c>
      <c r="H253" s="2" t="s">
        <v>228</v>
      </c>
      <c r="I253" s="2" t="s">
        <v>229</v>
      </c>
      <c r="J253" s="2" t="s">
        <v>19</v>
      </c>
      <c r="K253" s="2" t="s">
        <v>353</v>
      </c>
      <c r="L253" s="7" t="str">
        <f>HYPERLINK("http://slimages.macys.com/is/image/MCY/11606163 ")</f>
        <v xml:space="preserve">http://slimages.macys.com/is/image/MCY/11606163 </v>
      </c>
    </row>
    <row r="254" spans="1:12" ht="24.75" x14ac:dyDescent="0.25">
      <c r="A254" s="4" t="s">
        <v>2493</v>
      </c>
      <c r="B254" s="2" t="s">
        <v>904</v>
      </c>
      <c r="C254" s="3">
        <v>1</v>
      </c>
      <c r="D254" s="5">
        <v>34.5</v>
      </c>
      <c r="E254" s="3" t="s">
        <v>905</v>
      </c>
      <c r="F254" s="2" t="s">
        <v>74</v>
      </c>
      <c r="G254" s="6" t="s">
        <v>181</v>
      </c>
      <c r="H254" s="2" t="s">
        <v>228</v>
      </c>
      <c r="I254" s="2" t="s">
        <v>229</v>
      </c>
      <c r="J254" s="2" t="s">
        <v>19</v>
      </c>
      <c r="K254" s="2" t="s">
        <v>253</v>
      </c>
      <c r="L254" s="7" t="str">
        <f>HYPERLINK("http://slimages.macys.com/is/image/MCY/12794164 ")</f>
        <v xml:space="preserve">http://slimages.macys.com/is/image/MCY/12794164 </v>
      </c>
    </row>
    <row r="255" spans="1:12" ht="24.75" x14ac:dyDescent="0.25">
      <c r="A255" s="4" t="s">
        <v>7294</v>
      </c>
      <c r="B255" s="2" t="s">
        <v>909</v>
      </c>
      <c r="C255" s="3">
        <v>1</v>
      </c>
      <c r="D255" s="5">
        <v>40.880000000000003</v>
      </c>
      <c r="E255" s="3" t="s">
        <v>7295</v>
      </c>
      <c r="F255" s="2" t="s">
        <v>1584</v>
      </c>
      <c r="G255" s="6" t="s">
        <v>238</v>
      </c>
      <c r="H255" s="2" t="s">
        <v>188</v>
      </c>
      <c r="I255" s="2" t="s">
        <v>189</v>
      </c>
      <c r="J255" s="2" t="s">
        <v>19</v>
      </c>
      <c r="K255" s="2" t="s">
        <v>648</v>
      </c>
      <c r="L255" s="7" t="str">
        <f>HYPERLINK("http://slimages.macys.com/is/image/MCY/12268099 ")</f>
        <v xml:space="preserve">http://slimages.macys.com/is/image/MCY/12268099 </v>
      </c>
    </row>
    <row r="256" spans="1:12" ht="24.75" x14ac:dyDescent="0.25">
      <c r="A256" s="4" t="s">
        <v>7296</v>
      </c>
      <c r="B256" s="2" t="s">
        <v>909</v>
      </c>
      <c r="C256" s="3">
        <v>1</v>
      </c>
      <c r="D256" s="5">
        <v>40.880000000000003</v>
      </c>
      <c r="E256" s="3" t="s">
        <v>7295</v>
      </c>
      <c r="F256" s="2" t="s">
        <v>1584</v>
      </c>
      <c r="G256" s="6" t="s">
        <v>126</v>
      </c>
      <c r="H256" s="2" t="s">
        <v>188</v>
      </c>
      <c r="I256" s="2" t="s">
        <v>189</v>
      </c>
      <c r="J256" s="2" t="s">
        <v>19</v>
      </c>
      <c r="K256" s="2" t="s">
        <v>648</v>
      </c>
      <c r="L256" s="7" t="str">
        <f>HYPERLINK("http://slimages.macys.com/is/image/MCY/12268099 ")</f>
        <v xml:space="preserve">http://slimages.macys.com/is/image/MCY/12268099 </v>
      </c>
    </row>
    <row r="257" spans="1:12" ht="24.75" x14ac:dyDescent="0.25">
      <c r="A257" s="4" t="s">
        <v>7297</v>
      </c>
      <c r="B257" s="2" t="s">
        <v>909</v>
      </c>
      <c r="C257" s="3">
        <v>1</v>
      </c>
      <c r="D257" s="5">
        <v>40.880000000000003</v>
      </c>
      <c r="E257" s="3" t="s">
        <v>7295</v>
      </c>
      <c r="F257" s="2" t="s">
        <v>1584</v>
      </c>
      <c r="G257" s="6" t="s">
        <v>934</v>
      </c>
      <c r="H257" s="2" t="s">
        <v>188</v>
      </c>
      <c r="I257" s="2" t="s">
        <v>189</v>
      </c>
      <c r="J257" s="2" t="s">
        <v>19</v>
      </c>
      <c r="K257" s="2" t="s">
        <v>648</v>
      </c>
      <c r="L257" s="7" t="str">
        <f>HYPERLINK("http://slimages.macys.com/is/image/MCY/12268099 ")</f>
        <v xml:space="preserve">http://slimages.macys.com/is/image/MCY/12268099 </v>
      </c>
    </row>
    <row r="258" spans="1:12" ht="24.75" x14ac:dyDescent="0.25">
      <c r="A258" s="4" t="s">
        <v>7298</v>
      </c>
      <c r="B258" s="2" t="s">
        <v>909</v>
      </c>
      <c r="C258" s="3">
        <v>2</v>
      </c>
      <c r="D258" s="5">
        <v>40.880000000000003</v>
      </c>
      <c r="E258" s="3" t="s">
        <v>7295</v>
      </c>
      <c r="F258" s="2" t="s">
        <v>1584</v>
      </c>
      <c r="G258" s="6" t="s">
        <v>205</v>
      </c>
      <c r="H258" s="2" t="s">
        <v>188</v>
      </c>
      <c r="I258" s="2" t="s">
        <v>189</v>
      </c>
      <c r="J258" s="2" t="s">
        <v>19</v>
      </c>
      <c r="K258" s="2" t="s">
        <v>648</v>
      </c>
      <c r="L258" s="7" t="str">
        <f>HYPERLINK("http://slimages.macys.com/is/image/MCY/12268099 ")</f>
        <v xml:space="preserve">http://slimages.macys.com/is/image/MCY/12268099 </v>
      </c>
    </row>
    <row r="259" spans="1:12" ht="24.75" x14ac:dyDescent="0.25">
      <c r="A259" s="4" t="s">
        <v>7299</v>
      </c>
      <c r="B259" s="2" t="s">
        <v>2496</v>
      </c>
      <c r="C259" s="3">
        <v>1</v>
      </c>
      <c r="D259" s="5">
        <v>37.130000000000003</v>
      </c>
      <c r="E259" s="3" t="s">
        <v>2497</v>
      </c>
      <c r="F259" s="2" t="s">
        <v>252</v>
      </c>
      <c r="G259" s="6" t="s">
        <v>154</v>
      </c>
      <c r="H259" s="2" t="s">
        <v>194</v>
      </c>
      <c r="I259" s="2" t="s">
        <v>307</v>
      </c>
      <c r="J259" s="2" t="s">
        <v>19</v>
      </c>
      <c r="K259" s="2" t="s">
        <v>160</v>
      </c>
      <c r="L259" s="7" t="str">
        <f>HYPERLINK("http://slimages.macys.com/is/image/MCY/12316773 ")</f>
        <v xml:space="preserve">http://slimages.macys.com/is/image/MCY/12316773 </v>
      </c>
    </row>
    <row r="260" spans="1:12" ht="24.75" x14ac:dyDescent="0.25">
      <c r="A260" s="4" t="s">
        <v>3653</v>
      </c>
      <c r="B260" s="2" t="s">
        <v>2496</v>
      </c>
      <c r="C260" s="3">
        <v>5</v>
      </c>
      <c r="D260" s="5">
        <v>37.130000000000003</v>
      </c>
      <c r="E260" s="3" t="s">
        <v>2497</v>
      </c>
      <c r="F260" s="2" t="s">
        <v>252</v>
      </c>
      <c r="G260" s="6" t="s">
        <v>181</v>
      </c>
      <c r="H260" s="2" t="s">
        <v>194</v>
      </c>
      <c r="I260" s="2" t="s">
        <v>307</v>
      </c>
      <c r="J260" s="2" t="s">
        <v>19</v>
      </c>
      <c r="K260" s="2" t="s">
        <v>160</v>
      </c>
      <c r="L260" s="7" t="str">
        <f>HYPERLINK("http://slimages.macys.com/is/image/MCY/12316773 ")</f>
        <v xml:space="preserve">http://slimages.macys.com/is/image/MCY/12316773 </v>
      </c>
    </row>
    <row r="261" spans="1:12" ht="48.75" x14ac:dyDescent="0.25">
      <c r="A261" s="4" t="s">
        <v>7300</v>
      </c>
      <c r="B261" s="2" t="s">
        <v>7301</v>
      </c>
      <c r="C261" s="3">
        <v>1</v>
      </c>
      <c r="D261" s="5">
        <v>37.130000000000003</v>
      </c>
      <c r="E261" s="3" t="s">
        <v>7302</v>
      </c>
      <c r="F261" s="2" t="s">
        <v>252</v>
      </c>
      <c r="G261" s="6" t="s">
        <v>154</v>
      </c>
      <c r="H261" s="2" t="s">
        <v>194</v>
      </c>
      <c r="I261" s="2" t="s">
        <v>307</v>
      </c>
      <c r="J261" s="2" t="s">
        <v>19</v>
      </c>
      <c r="K261" s="2" t="s">
        <v>7303</v>
      </c>
      <c r="L261" s="7" t="str">
        <f>HYPERLINK("http://slimages.macys.com/is/image/MCY/12734344 ")</f>
        <v xml:space="preserve">http://slimages.macys.com/is/image/MCY/12734344 </v>
      </c>
    </row>
    <row r="262" spans="1:12" ht="24.75" x14ac:dyDescent="0.25">
      <c r="A262" s="4" t="s">
        <v>947</v>
      </c>
      <c r="B262" s="2" t="s">
        <v>948</v>
      </c>
      <c r="C262" s="3">
        <v>1</v>
      </c>
      <c r="D262" s="5">
        <v>34.880000000000003</v>
      </c>
      <c r="E262" s="3">
        <v>100038962</v>
      </c>
      <c r="F262" s="2" t="s">
        <v>376</v>
      </c>
      <c r="G262" s="6" t="s">
        <v>141</v>
      </c>
      <c r="H262" s="2" t="s">
        <v>194</v>
      </c>
      <c r="I262" s="2" t="s">
        <v>195</v>
      </c>
      <c r="J262" s="2" t="s">
        <v>19</v>
      </c>
      <c r="K262" s="2" t="s">
        <v>353</v>
      </c>
      <c r="L262" s="7" t="str">
        <f>HYPERLINK("http://slimages.macys.com/is/image/MCY/11145019 ")</f>
        <v xml:space="preserve">http://slimages.macys.com/is/image/MCY/11145019 </v>
      </c>
    </row>
    <row r="263" spans="1:12" ht="48.75" x14ac:dyDescent="0.25">
      <c r="A263" s="4" t="s">
        <v>7304</v>
      </c>
      <c r="B263" s="2" t="s">
        <v>7305</v>
      </c>
      <c r="C263" s="3">
        <v>1</v>
      </c>
      <c r="D263" s="5">
        <v>40.880000000000003</v>
      </c>
      <c r="E263" s="3" t="s">
        <v>7306</v>
      </c>
      <c r="F263" s="2" t="s">
        <v>417</v>
      </c>
      <c r="G263" s="6" t="s">
        <v>58</v>
      </c>
      <c r="H263" s="2" t="s">
        <v>246</v>
      </c>
      <c r="I263" s="2" t="s">
        <v>487</v>
      </c>
      <c r="J263" s="2" t="s">
        <v>19</v>
      </c>
      <c r="K263" s="2" t="s">
        <v>775</v>
      </c>
      <c r="L263" s="7" t="str">
        <f>HYPERLINK("http://slimages.macys.com/is/image/MCY/12401713 ")</f>
        <v xml:space="preserve">http://slimages.macys.com/is/image/MCY/12401713 </v>
      </c>
    </row>
    <row r="264" spans="1:12" ht="24.75" x14ac:dyDescent="0.25">
      <c r="A264" s="4" t="s">
        <v>7307</v>
      </c>
      <c r="B264" s="2" t="s">
        <v>3664</v>
      </c>
      <c r="C264" s="3">
        <v>1</v>
      </c>
      <c r="D264" s="5">
        <v>40.880000000000003</v>
      </c>
      <c r="E264" s="3" t="s">
        <v>3665</v>
      </c>
      <c r="F264" s="2" t="s">
        <v>132</v>
      </c>
      <c r="G264" s="6" t="s">
        <v>156</v>
      </c>
      <c r="H264" s="2" t="s">
        <v>194</v>
      </c>
      <c r="I264" s="2" t="s">
        <v>503</v>
      </c>
      <c r="J264" s="2" t="s">
        <v>19</v>
      </c>
      <c r="K264" s="2" t="s">
        <v>107</v>
      </c>
      <c r="L264" s="7" t="str">
        <f>HYPERLINK("http://slimages.macys.com/is/image/MCY/12794091 ")</f>
        <v xml:space="preserve">http://slimages.macys.com/is/image/MCY/12794091 </v>
      </c>
    </row>
    <row r="265" spans="1:12" ht="24.75" x14ac:dyDescent="0.25">
      <c r="A265" s="4" t="s">
        <v>7308</v>
      </c>
      <c r="B265" s="2" t="s">
        <v>808</v>
      </c>
      <c r="C265" s="3">
        <v>1</v>
      </c>
      <c r="D265" s="5">
        <v>37.130000000000003</v>
      </c>
      <c r="E265" s="3" t="s">
        <v>5680</v>
      </c>
      <c r="F265" s="2" t="s">
        <v>170</v>
      </c>
      <c r="G265" s="6"/>
      <c r="H265" s="2" t="s">
        <v>312</v>
      </c>
      <c r="I265" s="2" t="s">
        <v>503</v>
      </c>
      <c r="J265" s="2" t="s">
        <v>19</v>
      </c>
      <c r="K265" s="2" t="s">
        <v>546</v>
      </c>
      <c r="L265" s="7" t="str">
        <f>HYPERLINK("http://slimages.macys.com/is/image/MCY/12144056 ")</f>
        <v xml:space="preserve">http://slimages.macys.com/is/image/MCY/12144056 </v>
      </c>
    </row>
    <row r="266" spans="1:12" ht="36.75" x14ac:dyDescent="0.25">
      <c r="A266" s="4" t="s">
        <v>7309</v>
      </c>
      <c r="B266" s="2" t="s">
        <v>3667</v>
      </c>
      <c r="C266" s="3">
        <v>1</v>
      </c>
      <c r="D266" s="5">
        <v>33.380000000000003</v>
      </c>
      <c r="E266" s="3" t="s">
        <v>3668</v>
      </c>
      <c r="F266" s="2" t="s">
        <v>26</v>
      </c>
      <c r="G266" s="6" t="s">
        <v>181</v>
      </c>
      <c r="H266" s="2" t="s">
        <v>284</v>
      </c>
      <c r="I266" s="2" t="s">
        <v>285</v>
      </c>
      <c r="J266" s="2" t="s">
        <v>19</v>
      </c>
      <c r="K266" s="2" t="s">
        <v>3675</v>
      </c>
      <c r="L266" s="7" t="str">
        <f>HYPERLINK("http://slimages.macys.com/is/image/MCY/11858186 ")</f>
        <v xml:space="preserve">http://slimages.macys.com/is/image/MCY/11858186 </v>
      </c>
    </row>
    <row r="267" spans="1:12" ht="36.75" x14ac:dyDescent="0.25">
      <c r="A267" s="4" t="s">
        <v>7310</v>
      </c>
      <c r="B267" s="2" t="s">
        <v>964</v>
      </c>
      <c r="C267" s="3">
        <v>1</v>
      </c>
      <c r="D267" s="5">
        <v>37.130000000000003</v>
      </c>
      <c r="E267" s="3">
        <v>100026210</v>
      </c>
      <c r="F267" s="2" t="s">
        <v>956</v>
      </c>
      <c r="G267" s="6" t="s">
        <v>154</v>
      </c>
      <c r="H267" s="2" t="s">
        <v>194</v>
      </c>
      <c r="I267" s="2" t="s">
        <v>195</v>
      </c>
      <c r="J267" s="2" t="s">
        <v>19</v>
      </c>
      <c r="K267" s="2" t="s">
        <v>965</v>
      </c>
      <c r="L267" s="7" t="str">
        <f>HYPERLINK("http://slimages.macys.com/is/image/MCY/9714233 ")</f>
        <v xml:space="preserve">http://slimages.macys.com/is/image/MCY/9714233 </v>
      </c>
    </row>
    <row r="268" spans="1:12" ht="36.75" x14ac:dyDescent="0.25">
      <c r="A268" s="4" t="s">
        <v>7311</v>
      </c>
      <c r="B268" s="2" t="s">
        <v>964</v>
      </c>
      <c r="C268" s="3">
        <v>1</v>
      </c>
      <c r="D268" s="5">
        <v>37.130000000000003</v>
      </c>
      <c r="E268" s="3">
        <v>100026210</v>
      </c>
      <c r="F268" s="2" t="s">
        <v>1788</v>
      </c>
      <c r="G268" s="6" t="s">
        <v>200</v>
      </c>
      <c r="H268" s="2" t="s">
        <v>194</v>
      </c>
      <c r="I268" s="2" t="s">
        <v>195</v>
      </c>
      <c r="J268" s="2" t="s">
        <v>19</v>
      </c>
      <c r="K268" s="2" t="s">
        <v>965</v>
      </c>
      <c r="L268" s="7" t="str">
        <f>HYPERLINK("http://slimages.macys.com/is/image/MCY/9714233 ")</f>
        <v xml:space="preserve">http://slimages.macys.com/is/image/MCY/9714233 </v>
      </c>
    </row>
    <row r="269" spans="1:12" ht="36.75" x14ac:dyDescent="0.25">
      <c r="A269" s="4" t="s">
        <v>7312</v>
      </c>
      <c r="B269" s="2" t="s">
        <v>964</v>
      </c>
      <c r="C269" s="3">
        <v>1</v>
      </c>
      <c r="D269" s="5">
        <v>37.130000000000003</v>
      </c>
      <c r="E269" s="3">
        <v>100026210</v>
      </c>
      <c r="F269" s="2" t="s">
        <v>956</v>
      </c>
      <c r="G269" s="6" t="s">
        <v>156</v>
      </c>
      <c r="H269" s="2" t="s">
        <v>194</v>
      </c>
      <c r="I269" s="2" t="s">
        <v>195</v>
      </c>
      <c r="J269" s="2" t="s">
        <v>19</v>
      </c>
      <c r="K269" s="2" t="s">
        <v>965</v>
      </c>
      <c r="L269" s="7" t="str">
        <f>HYPERLINK("http://slimages.macys.com/is/image/MCY/9714233 ")</f>
        <v xml:space="preserve">http://slimages.macys.com/is/image/MCY/9714233 </v>
      </c>
    </row>
    <row r="270" spans="1:12" ht="24.75" x14ac:dyDescent="0.25">
      <c r="A270" s="4" t="s">
        <v>7313</v>
      </c>
      <c r="B270" s="2" t="s">
        <v>7301</v>
      </c>
      <c r="C270" s="3">
        <v>2</v>
      </c>
      <c r="D270" s="5">
        <v>37.130000000000003</v>
      </c>
      <c r="E270" s="3" t="s">
        <v>7314</v>
      </c>
      <c r="F270" s="2" t="s">
        <v>252</v>
      </c>
      <c r="G270" s="6"/>
      <c r="H270" s="2" t="s">
        <v>312</v>
      </c>
      <c r="I270" s="2" t="s">
        <v>307</v>
      </c>
      <c r="J270" s="2" t="s">
        <v>19</v>
      </c>
      <c r="K270" s="2" t="s">
        <v>7061</v>
      </c>
      <c r="L270" s="7" t="str">
        <f>HYPERLINK("http://slimages.macys.com/is/image/MCY/12734344 ")</f>
        <v xml:space="preserve">http://slimages.macys.com/is/image/MCY/12734344 </v>
      </c>
    </row>
    <row r="271" spans="1:12" ht="24.75" x14ac:dyDescent="0.25">
      <c r="A271" s="4" t="s">
        <v>7315</v>
      </c>
      <c r="B271" s="2" t="s">
        <v>7316</v>
      </c>
      <c r="C271" s="3">
        <v>1</v>
      </c>
      <c r="D271" s="5">
        <v>44.5</v>
      </c>
      <c r="E271" s="3" t="s">
        <v>7317</v>
      </c>
      <c r="F271" s="2" t="s">
        <v>48</v>
      </c>
      <c r="G271" s="6" t="s">
        <v>156</v>
      </c>
      <c r="H271" s="2" t="s">
        <v>246</v>
      </c>
      <c r="I271" s="2" t="s">
        <v>189</v>
      </c>
      <c r="J271" s="2" t="s">
        <v>19</v>
      </c>
      <c r="K271" s="2" t="s">
        <v>648</v>
      </c>
      <c r="L271" s="7" t="str">
        <f>HYPERLINK("http://slimages.macys.com/is/image/MCY/11621549 ")</f>
        <v xml:space="preserve">http://slimages.macys.com/is/image/MCY/11621549 </v>
      </c>
    </row>
    <row r="272" spans="1:12" ht="24.75" x14ac:dyDescent="0.25">
      <c r="A272" s="4" t="s">
        <v>7318</v>
      </c>
      <c r="B272" s="2" t="s">
        <v>641</v>
      </c>
      <c r="C272" s="3">
        <v>1</v>
      </c>
      <c r="D272" s="5">
        <v>29.99</v>
      </c>
      <c r="E272" s="3" t="s">
        <v>977</v>
      </c>
      <c r="F272" s="2" t="s">
        <v>74</v>
      </c>
      <c r="G272" s="6" t="s">
        <v>234</v>
      </c>
      <c r="H272" s="2" t="s">
        <v>284</v>
      </c>
      <c r="I272" s="2" t="s">
        <v>408</v>
      </c>
      <c r="J272" s="2" t="s">
        <v>19</v>
      </c>
      <c r="K272" s="2" t="s">
        <v>409</v>
      </c>
      <c r="L272" s="7" t="str">
        <f>HYPERLINK("http://slimages.macys.com/is/image/MCY/9387631 ")</f>
        <v xml:space="preserve">http://slimages.macys.com/is/image/MCY/9387631 </v>
      </c>
    </row>
    <row r="273" spans="1:12" ht="24.75" x14ac:dyDescent="0.25">
      <c r="A273" s="4" t="s">
        <v>7319</v>
      </c>
      <c r="B273" s="2" t="s">
        <v>641</v>
      </c>
      <c r="C273" s="3">
        <v>1</v>
      </c>
      <c r="D273" s="5">
        <v>29.99</v>
      </c>
      <c r="E273" s="3" t="s">
        <v>3677</v>
      </c>
      <c r="F273" s="2" t="s">
        <v>94</v>
      </c>
      <c r="G273" s="6" t="s">
        <v>234</v>
      </c>
      <c r="H273" s="2" t="s">
        <v>284</v>
      </c>
      <c r="I273" s="2" t="s">
        <v>408</v>
      </c>
      <c r="J273" s="2" t="s">
        <v>19</v>
      </c>
      <c r="K273" s="2" t="s">
        <v>409</v>
      </c>
      <c r="L273" s="7" t="str">
        <f>HYPERLINK("http://slimages.macys.com/is/image/MCY/9387631 ")</f>
        <v xml:space="preserve">http://slimages.macys.com/is/image/MCY/9387631 </v>
      </c>
    </row>
    <row r="274" spans="1:12" ht="24.75" x14ac:dyDescent="0.25">
      <c r="A274" s="4" t="s">
        <v>7320</v>
      </c>
      <c r="B274" s="2" t="s">
        <v>4746</v>
      </c>
      <c r="C274" s="3">
        <v>1</v>
      </c>
      <c r="D274" s="5">
        <v>36.5</v>
      </c>
      <c r="E274" s="3" t="s">
        <v>4747</v>
      </c>
      <c r="F274" s="2" t="s">
        <v>74</v>
      </c>
      <c r="G274" s="6" t="s">
        <v>154</v>
      </c>
      <c r="H274" s="2" t="s">
        <v>284</v>
      </c>
      <c r="I274" s="2" t="s">
        <v>408</v>
      </c>
      <c r="J274" s="2" t="s">
        <v>19</v>
      </c>
      <c r="K274" s="2" t="s">
        <v>409</v>
      </c>
      <c r="L274" s="7" t="str">
        <f>HYPERLINK("http://slimages.macys.com/is/image/MCY/11957298 ")</f>
        <v xml:space="preserve">http://slimages.macys.com/is/image/MCY/11957298 </v>
      </c>
    </row>
    <row r="275" spans="1:12" ht="24.75" x14ac:dyDescent="0.25">
      <c r="A275" s="4" t="s">
        <v>4750</v>
      </c>
      <c r="B275" s="2" t="s">
        <v>641</v>
      </c>
      <c r="C275" s="3">
        <v>2</v>
      </c>
      <c r="D275" s="5">
        <v>29.99</v>
      </c>
      <c r="E275" s="3" t="s">
        <v>2506</v>
      </c>
      <c r="F275" s="2" t="s">
        <v>26</v>
      </c>
      <c r="G275" s="6" t="s">
        <v>200</v>
      </c>
      <c r="H275" s="2" t="s">
        <v>284</v>
      </c>
      <c r="I275" s="2" t="s">
        <v>408</v>
      </c>
      <c r="J275" s="2" t="s">
        <v>19</v>
      </c>
      <c r="K275" s="2" t="s">
        <v>409</v>
      </c>
      <c r="L275" s="7" t="str">
        <f>HYPERLINK("http://slimages.macys.com/is/image/MCY/9387631 ")</f>
        <v xml:space="preserve">http://slimages.macys.com/is/image/MCY/9387631 </v>
      </c>
    </row>
    <row r="276" spans="1:12" ht="24.75" x14ac:dyDescent="0.25">
      <c r="A276" s="4" t="s">
        <v>976</v>
      </c>
      <c r="B276" s="2" t="s">
        <v>641</v>
      </c>
      <c r="C276" s="3">
        <v>1</v>
      </c>
      <c r="D276" s="5">
        <v>29.99</v>
      </c>
      <c r="E276" s="3" t="s">
        <v>977</v>
      </c>
      <c r="F276" s="2" t="s">
        <v>74</v>
      </c>
      <c r="G276" s="6" t="s">
        <v>200</v>
      </c>
      <c r="H276" s="2" t="s">
        <v>284</v>
      </c>
      <c r="I276" s="2" t="s">
        <v>408</v>
      </c>
      <c r="J276" s="2" t="s">
        <v>19</v>
      </c>
      <c r="K276" s="2" t="s">
        <v>409</v>
      </c>
      <c r="L276" s="7" t="str">
        <f>HYPERLINK("http://slimages.macys.com/is/image/MCY/9387631 ")</f>
        <v xml:space="preserve">http://slimages.macys.com/is/image/MCY/9387631 </v>
      </c>
    </row>
    <row r="277" spans="1:12" ht="24.75" x14ac:dyDescent="0.25">
      <c r="A277" s="4" t="s">
        <v>7321</v>
      </c>
      <c r="B277" s="2" t="s">
        <v>6494</v>
      </c>
      <c r="C277" s="3">
        <v>1</v>
      </c>
      <c r="D277" s="5">
        <v>34.99</v>
      </c>
      <c r="E277" s="3">
        <v>100022371</v>
      </c>
      <c r="F277" s="2" t="s">
        <v>132</v>
      </c>
      <c r="G277" s="6" t="s">
        <v>154</v>
      </c>
      <c r="H277" s="2" t="s">
        <v>284</v>
      </c>
      <c r="I277" s="2" t="s">
        <v>285</v>
      </c>
      <c r="J277" s="2" t="s">
        <v>19</v>
      </c>
      <c r="K277" s="2" t="s">
        <v>34</v>
      </c>
      <c r="L277" s="7" t="str">
        <f>HYPERLINK("http://slimages.macys.com/is/image/MCY/13980598 ")</f>
        <v xml:space="preserve">http://slimages.macys.com/is/image/MCY/13980598 </v>
      </c>
    </row>
    <row r="278" spans="1:12" ht="24.75" x14ac:dyDescent="0.25">
      <c r="A278" s="4" t="s">
        <v>7322</v>
      </c>
      <c r="B278" s="2" t="s">
        <v>6494</v>
      </c>
      <c r="C278" s="3">
        <v>1</v>
      </c>
      <c r="D278" s="5">
        <v>34.99</v>
      </c>
      <c r="E278" s="3">
        <v>100022371</v>
      </c>
      <c r="F278" s="2" t="s">
        <v>132</v>
      </c>
      <c r="G278" s="6" t="s">
        <v>200</v>
      </c>
      <c r="H278" s="2" t="s">
        <v>284</v>
      </c>
      <c r="I278" s="2" t="s">
        <v>285</v>
      </c>
      <c r="J278" s="2" t="s">
        <v>19</v>
      </c>
      <c r="K278" s="2" t="s">
        <v>34</v>
      </c>
      <c r="L278" s="7" t="str">
        <f>HYPERLINK("http://slimages.macys.com/is/image/MCY/13980598 ")</f>
        <v xml:space="preserve">http://slimages.macys.com/is/image/MCY/13980598 </v>
      </c>
    </row>
    <row r="279" spans="1:12" ht="24.75" x14ac:dyDescent="0.25">
      <c r="A279" s="4" t="s">
        <v>7323</v>
      </c>
      <c r="B279" s="2" t="s">
        <v>6494</v>
      </c>
      <c r="C279" s="3">
        <v>1</v>
      </c>
      <c r="D279" s="5">
        <v>34.99</v>
      </c>
      <c r="E279" s="3" t="s">
        <v>6496</v>
      </c>
      <c r="F279" s="2" t="s">
        <v>26</v>
      </c>
      <c r="G279" s="6" t="s">
        <v>234</v>
      </c>
      <c r="H279" s="2" t="s">
        <v>284</v>
      </c>
      <c r="I279" s="2" t="s">
        <v>285</v>
      </c>
      <c r="J279" s="2" t="s">
        <v>19</v>
      </c>
      <c r="K279" s="2" t="s">
        <v>34</v>
      </c>
      <c r="L279" s="7" t="str">
        <f>HYPERLINK("http://slimages.macys.com/is/image/MCY/11534595 ")</f>
        <v xml:space="preserve">http://slimages.macys.com/is/image/MCY/11534595 </v>
      </c>
    </row>
    <row r="280" spans="1:12" ht="24.75" x14ac:dyDescent="0.25">
      <c r="A280" s="4" t="s">
        <v>7324</v>
      </c>
      <c r="B280" s="2" t="s">
        <v>7325</v>
      </c>
      <c r="C280" s="3">
        <v>1</v>
      </c>
      <c r="D280" s="5">
        <v>35.65</v>
      </c>
      <c r="E280" s="3" t="s">
        <v>4804</v>
      </c>
      <c r="F280" s="2" t="s">
        <v>180</v>
      </c>
      <c r="G280" s="6" t="s">
        <v>181</v>
      </c>
      <c r="H280" s="2" t="s">
        <v>182</v>
      </c>
      <c r="I280" s="2" t="s">
        <v>183</v>
      </c>
      <c r="J280" s="2" t="s">
        <v>19</v>
      </c>
      <c r="K280" s="2" t="s">
        <v>34</v>
      </c>
      <c r="L280" s="7" t="str">
        <f>HYPERLINK("http://slimages.macys.com/is/image/MCY/12801985 ")</f>
        <v xml:space="preserve">http://slimages.macys.com/is/image/MCY/12801985 </v>
      </c>
    </row>
    <row r="281" spans="1:12" ht="24.75" x14ac:dyDescent="0.25">
      <c r="A281" s="4" t="s">
        <v>7326</v>
      </c>
      <c r="B281" s="2" t="s">
        <v>2511</v>
      </c>
      <c r="C281" s="3">
        <v>1</v>
      </c>
      <c r="D281" s="5">
        <v>27.99</v>
      </c>
      <c r="E281" s="3" t="s">
        <v>7327</v>
      </c>
      <c r="F281" s="2" t="s">
        <v>15</v>
      </c>
      <c r="G281" s="6"/>
      <c r="H281" s="2" t="s">
        <v>1425</v>
      </c>
      <c r="I281" s="2" t="s">
        <v>1469</v>
      </c>
      <c r="J281" s="2" t="s">
        <v>19</v>
      </c>
      <c r="K281" s="2" t="s">
        <v>495</v>
      </c>
      <c r="L281" s="7" t="str">
        <f>HYPERLINK("http://slimages.macys.com/is/image/MCY/11882106 ")</f>
        <v xml:space="preserve">http://slimages.macys.com/is/image/MCY/11882106 </v>
      </c>
    </row>
    <row r="282" spans="1:12" ht="24.75" x14ac:dyDescent="0.25">
      <c r="A282" s="4" t="s">
        <v>7328</v>
      </c>
      <c r="B282" s="2" t="s">
        <v>2511</v>
      </c>
      <c r="C282" s="3">
        <v>1</v>
      </c>
      <c r="D282" s="5">
        <v>27.99</v>
      </c>
      <c r="E282" s="3" t="s">
        <v>7327</v>
      </c>
      <c r="F282" s="2" t="s">
        <v>15</v>
      </c>
      <c r="G282" s="6" t="s">
        <v>219</v>
      </c>
      <c r="H282" s="2" t="s">
        <v>1425</v>
      </c>
      <c r="I282" s="2" t="s">
        <v>1469</v>
      </c>
      <c r="J282" s="2" t="s">
        <v>19</v>
      </c>
      <c r="K282" s="2" t="s">
        <v>495</v>
      </c>
      <c r="L282" s="7" t="str">
        <f>HYPERLINK("http://slimages.macys.com/is/image/MCY/11882106 ")</f>
        <v xml:space="preserve">http://slimages.macys.com/is/image/MCY/11882106 </v>
      </c>
    </row>
    <row r="283" spans="1:12" ht="24.75" x14ac:dyDescent="0.25">
      <c r="A283" s="4" t="s">
        <v>7329</v>
      </c>
      <c r="B283" s="2" t="s">
        <v>964</v>
      </c>
      <c r="C283" s="3">
        <v>1</v>
      </c>
      <c r="D283" s="5">
        <v>36.5</v>
      </c>
      <c r="E283" s="3" t="s">
        <v>3695</v>
      </c>
      <c r="F283" s="2" t="s">
        <v>956</v>
      </c>
      <c r="G283" s="6"/>
      <c r="H283" s="2" t="s">
        <v>312</v>
      </c>
      <c r="I283" s="2" t="s">
        <v>195</v>
      </c>
      <c r="J283" s="2" t="s">
        <v>19</v>
      </c>
      <c r="K283" s="2" t="s">
        <v>3699</v>
      </c>
      <c r="L283" s="7" t="str">
        <f>HYPERLINK("http://slimages.macys.com/is/image/MCY/9711318 ")</f>
        <v xml:space="preserve">http://slimages.macys.com/is/image/MCY/9711318 </v>
      </c>
    </row>
    <row r="284" spans="1:12" ht="24.75" x14ac:dyDescent="0.25">
      <c r="A284" s="4" t="s">
        <v>7330</v>
      </c>
      <c r="B284" s="2" t="s">
        <v>964</v>
      </c>
      <c r="C284" s="3">
        <v>1</v>
      </c>
      <c r="D284" s="5">
        <v>36.5</v>
      </c>
      <c r="E284" s="3" t="s">
        <v>3695</v>
      </c>
      <c r="F284" s="2" t="s">
        <v>956</v>
      </c>
      <c r="G284" s="6"/>
      <c r="H284" s="2" t="s">
        <v>312</v>
      </c>
      <c r="I284" s="2" t="s">
        <v>195</v>
      </c>
      <c r="J284" s="2" t="s">
        <v>19</v>
      </c>
      <c r="K284" s="2" t="s">
        <v>3699</v>
      </c>
      <c r="L284" s="7" t="str">
        <f>HYPERLINK("http://slimages.macys.com/is/image/MCY/9711318 ")</f>
        <v xml:space="preserve">http://slimages.macys.com/is/image/MCY/9711318 </v>
      </c>
    </row>
    <row r="285" spans="1:12" ht="24.75" x14ac:dyDescent="0.25">
      <c r="A285" s="4" t="s">
        <v>7331</v>
      </c>
      <c r="B285" s="2" t="s">
        <v>964</v>
      </c>
      <c r="C285" s="3">
        <v>1</v>
      </c>
      <c r="D285" s="5">
        <v>37.130000000000003</v>
      </c>
      <c r="E285" s="3" t="s">
        <v>3695</v>
      </c>
      <c r="F285" s="2" t="s">
        <v>15</v>
      </c>
      <c r="G285" s="6"/>
      <c r="H285" s="2" t="s">
        <v>312</v>
      </c>
      <c r="I285" s="2" t="s">
        <v>195</v>
      </c>
      <c r="J285" s="2" t="s">
        <v>19</v>
      </c>
      <c r="K285" s="2" t="s">
        <v>3699</v>
      </c>
      <c r="L285" s="7" t="str">
        <f>HYPERLINK("http://slimages.macys.com/is/image/MCY/12668240 ")</f>
        <v xml:space="preserve">http://slimages.macys.com/is/image/MCY/12668240 </v>
      </c>
    </row>
    <row r="286" spans="1:12" ht="24.75" x14ac:dyDescent="0.25">
      <c r="A286" s="4" t="s">
        <v>7332</v>
      </c>
      <c r="B286" s="2" t="s">
        <v>964</v>
      </c>
      <c r="C286" s="3">
        <v>1</v>
      </c>
      <c r="D286" s="5">
        <v>37.130000000000003</v>
      </c>
      <c r="E286" s="3" t="s">
        <v>3695</v>
      </c>
      <c r="F286" s="2" t="s">
        <v>15</v>
      </c>
      <c r="G286" s="6"/>
      <c r="H286" s="2" t="s">
        <v>312</v>
      </c>
      <c r="I286" s="2" t="s">
        <v>195</v>
      </c>
      <c r="J286" s="2" t="s">
        <v>19</v>
      </c>
      <c r="K286" s="2" t="s">
        <v>3699</v>
      </c>
      <c r="L286" s="7" t="str">
        <f>HYPERLINK("http://slimages.macys.com/is/image/MCY/12668240 ")</f>
        <v xml:space="preserve">http://slimages.macys.com/is/image/MCY/12668240 </v>
      </c>
    </row>
    <row r="287" spans="1:12" ht="24.75" x14ac:dyDescent="0.25">
      <c r="A287" s="4" t="s">
        <v>7333</v>
      </c>
      <c r="B287" s="2" t="s">
        <v>7334</v>
      </c>
      <c r="C287" s="3">
        <v>1</v>
      </c>
      <c r="D287" s="5">
        <v>37.130000000000003</v>
      </c>
      <c r="E287" s="3" t="s">
        <v>7335</v>
      </c>
      <c r="F287" s="2" t="s">
        <v>111</v>
      </c>
      <c r="G287" s="6"/>
      <c r="H287" s="2" t="s">
        <v>312</v>
      </c>
      <c r="I287" s="2" t="s">
        <v>195</v>
      </c>
      <c r="J287" s="2" t="s">
        <v>19</v>
      </c>
      <c r="K287" s="2" t="s">
        <v>107</v>
      </c>
      <c r="L287" s="7" t="str">
        <f>HYPERLINK("http://slimages.macys.com/is/image/MCY/12734319 ")</f>
        <v xml:space="preserve">http://slimages.macys.com/is/image/MCY/12734319 </v>
      </c>
    </row>
    <row r="288" spans="1:12" ht="24.75" x14ac:dyDescent="0.25">
      <c r="A288" s="4" t="s">
        <v>991</v>
      </c>
      <c r="B288" s="2" t="s">
        <v>992</v>
      </c>
      <c r="C288" s="3">
        <v>1</v>
      </c>
      <c r="D288" s="5">
        <v>34.5</v>
      </c>
      <c r="E288" s="3" t="s">
        <v>993</v>
      </c>
      <c r="F288" s="2" t="s">
        <v>74</v>
      </c>
      <c r="G288" s="6"/>
      <c r="H288" s="2" t="s">
        <v>426</v>
      </c>
      <c r="I288" s="2" t="s">
        <v>229</v>
      </c>
      <c r="J288" s="2" t="s">
        <v>19</v>
      </c>
      <c r="K288" s="2" t="s">
        <v>353</v>
      </c>
      <c r="L288" s="7" t="str">
        <f t="shared" ref="L288:L293" si="2">HYPERLINK("http://slimages.macys.com/is/image/MCY/11934830 ")</f>
        <v xml:space="preserve">http://slimages.macys.com/is/image/MCY/11934830 </v>
      </c>
    </row>
    <row r="289" spans="1:12" ht="24.75" x14ac:dyDescent="0.25">
      <c r="A289" s="4" t="s">
        <v>6513</v>
      </c>
      <c r="B289" s="2" t="s">
        <v>992</v>
      </c>
      <c r="C289" s="3">
        <v>1</v>
      </c>
      <c r="D289" s="5">
        <v>34.5</v>
      </c>
      <c r="E289" s="3" t="s">
        <v>993</v>
      </c>
      <c r="F289" s="2" t="s">
        <v>74</v>
      </c>
      <c r="G289" s="6" t="s">
        <v>187</v>
      </c>
      <c r="H289" s="2" t="s">
        <v>426</v>
      </c>
      <c r="I289" s="2" t="s">
        <v>229</v>
      </c>
      <c r="J289" s="2" t="s">
        <v>19</v>
      </c>
      <c r="K289" s="2" t="s">
        <v>353</v>
      </c>
      <c r="L289" s="7" t="str">
        <f t="shared" si="2"/>
        <v xml:space="preserve">http://slimages.macys.com/is/image/MCY/11934830 </v>
      </c>
    </row>
    <row r="290" spans="1:12" ht="24.75" x14ac:dyDescent="0.25">
      <c r="A290" s="4" t="s">
        <v>999</v>
      </c>
      <c r="B290" s="2" t="s">
        <v>992</v>
      </c>
      <c r="C290" s="3">
        <v>2</v>
      </c>
      <c r="D290" s="5">
        <v>34.5</v>
      </c>
      <c r="E290" s="3" t="s">
        <v>993</v>
      </c>
      <c r="F290" s="2" t="s">
        <v>74</v>
      </c>
      <c r="G290" s="6" t="s">
        <v>794</v>
      </c>
      <c r="H290" s="2" t="s">
        <v>426</v>
      </c>
      <c r="I290" s="2" t="s">
        <v>229</v>
      </c>
      <c r="J290" s="2" t="s">
        <v>19</v>
      </c>
      <c r="K290" s="2" t="s">
        <v>353</v>
      </c>
      <c r="L290" s="7" t="str">
        <f t="shared" si="2"/>
        <v xml:space="preserve">http://slimages.macys.com/is/image/MCY/11934830 </v>
      </c>
    </row>
    <row r="291" spans="1:12" ht="24.75" x14ac:dyDescent="0.25">
      <c r="A291" s="4" t="s">
        <v>4771</v>
      </c>
      <c r="B291" s="2" t="s">
        <v>904</v>
      </c>
      <c r="C291" s="3">
        <v>3</v>
      </c>
      <c r="D291" s="5">
        <v>34.5</v>
      </c>
      <c r="E291" s="3" t="s">
        <v>997</v>
      </c>
      <c r="F291" s="2" t="s">
        <v>998</v>
      </c>
      <c r="G291" s="6"/>
      <c r="H291" s="2" t="s">
        <v>426</v>
      </c>
      <c r="I291" s="2" t="s">
        <v>229</v>
      </c>
      <c r="J291" s="2" t="s">
        <v>19</v>
      </c>
      <c r="K291" s="2" t="s">
        <v>353</v>
      </c>
      <c r="L291" s="7" t="str">
        <f t="shared" si="2"/>
        <v xml:space="preserve">http://slimages.macys.com/is/image/MCY/11934830 </v>
      </c>
    </row>
    <row r="292" spans="1:12" ht="24.75" x14ac:dyDescent="0.25">
      <c r="A292" s="4" t="s">
        <v>7336</v>
      </c>
      <c r="B292" s="2" t="s">
        <v>904</v>
      </c>
      <c r="C292" s="3">
        <v>1</v>
      </c>
      <c r="D292" s="5">
        <v>34.5</v>
      </c>
      <c r="E292" s="3" t="s">
        <v>5707</v>
      </c>
      <c r="F292" s="2" t="s">
        <v>33</v>
      </c>
      <c r="G292" s="6"/>
      <c r="H292" s="2" t="s">
        <v>426</v>
      </c>
      <c r="I292" s="2" t="s">
        <v>229</v>
      </c>
      <c r="J292" s="2" t="s">
        <v>19</v>
      </c>
      <c r="K292" s="2" t="s">
        <v>353</v>
      </c>
      <c r="L292" s="7" t="str">
        <f t="shared" si="2"/>
        <v xml:space="preserve">http://slimages.macys.com/is/image/MCY/11934830 </v>
      </c>
    </row>
    <row r="293" spans="1:12" ht="24.75" x14ac:dyDescent="0.25">
      <c r="A293" s="4" t="s">
        <v>5706</v>
      </c>
      <c r="B293" s="2" t="s">
        <v>904</v>
      </c>
      <c r="C293" s="3">
        <v>2</v>
      </c>
      <c r="D293" s="5">
        <v>34.5</v>
      </c>
      <c r="E293" s="3" t="s">
        <v>5707</v>
      </c>
      <c r="F293" s="2" t="s">
        <v>33</v>
      </c>
      <c r="G293" s="6"/>
      <c r="H293" s="2" t="s">
        <v>426</v>
      </c>
      <c r="I293" s="2" t="s">
        <v>229</v>
      </c>
      <c r="J293" s="2" t="s">
        <v>19</v>
      </c>
      <c r="K293" s="2" t="s">
        <v>353</v>
      </c>
      <c r="L293" s="7" t="str">
        <f t="shared" si="2"/>
        <v xml:space="preserve">http://slimages.macys.com/is/image/MCY/11934830 </v>
      </c>
    </row>
    <row r="294" spans="1:12" ht="24.75" x14ac:dyDescent="0.25">
      <c r="A294" s="4" t="s">
        <v>4772</v>
      </c>
      <c r="B294" s="2" t="s">
        <v>1002</v>
      </c>
      <c r="C294" s="3">
        <v>1</v>
      </c>
      <c r="D294" s="5">
        <v>44.63</v>
      </c>
      <c r="E294" s="3" t="s">
        <v>1003</v>
      </c>
      <c r="F294" s="2" t="s">
        <v>15</v>
      </c>
      <c r="G294" s="6"/>
      <c r="H294" s="2" t="s">
        <v>312</v>
      </c>
      <c r="I294" s="2" t="s">
        <v>195</v>
      </c>
      <c r="J294" s="2" t="s">
        <v>19</v>
      </c>
      <c r="K294" s="2" t="s">
        <v>247</v>
      </c>
      <c r="L294" s="7" t="str">
        <f>HYPERLINK("http://slimages.macys.com/is/image/MCY/9653304 ")</f>
        <v xml:space="preserve">http://slimages.macys.com/is/image/MCY/9653304 </v>
      </c>
    </row>
    <row r="295" spans="1:12" ht="24.75" x14ac:dyDescent="0.25">
      <c r="A295" s="4" t="s">
        <v>7337</v>
      </c>
      <c r="B295" s="2" t="s">
        <v>7338</v>
      </c>
      <c r="C295" s="3">
        <v>1</v>
      </c>
      <c r="D295" s="5">
        <v>40.880000000000003</v>
      </c>
      <c r="E295" s="3" t="s">
        <v>7339</v>
      </c>
      <c r="F295" s="2" t="s">
        <v>331</v>
      </c>
      <c r="G295" s="6" t="s">
        <v>154</v>
      </c>
      <c r="H295" s="2" t="s">
        <v>284</v>
      </c>
      <c r="I295" s="2" t="s">
        <v>285</v>
      </c>
      <c r="J295" s="2" t="s">
        <v>19</v>
      </c>
      <c r="K295" s="2" t="s">
        <v>160</v>
      </c>
      <c r="L295" s="7" t="str">
        <f>HYPERLINK("http://slimages.macys.com/is/image/MCY/12671671 ")</f>
        <v xml:space="preserve">http://slimages.macys.com/is/image/MCY/12671671 </v>
      </c>
    </row>
    <row r="296" spans="1:12" ht="24.75" x14ac:dyDescent="0.25">
      <c r="A296" s="4" t="s">
        <v>3708</v>
      </c>
      <c r="B296" s="2" t="s">
        <v>3706</v>
      </c>
      <c r="C296" s="3">
        <v>1</v>
      </c>
      <c r="D296" s="5">
        <v>37.130000000000003</v>
      </c>
      <c r="E296" s="3" t="s">
        <v>3707</v>
      </c>
      <c r="F296" s="2" t="s">
        <v>680</v>
      </c>
      <c r="G296" s="6" t="s">
        <v>219</v>
      </c>
      <c r="H296" s="2" t="s">
        <v>188</v>
      </c>
      <c r="I296" s="2" t="s">
        <v>189</v>
      </c>
      <c r="J296" s="2" t="s">
        <v>19</v>
      </c>
      <c r="K296" s="2" t="s">
        <v>701</v>
      </c>
      <c r="L296" s="7" t="str">
        <f>HYPERLINK("http://slimages.macys.com/is/image/MCY/12894593 ")</f>
        <v xml:space="preserve">http://slimages.macys.com/is/image/MCY/12894593 </v>
      </c>
    </row>
    <row r="297" spans="1:12" ht="24.75" x14ac:dyDescent="0.25">
      <c r="A297" s="4" t="s">
        <v>7340</v>
      </c>
      <c r="B297" s="2" t="s">
        <v>3706</v>
      </c>
      <c r="C297" s="3">
        <v>1</v>
      </c>
      <c r="D297" s="5">
        <v>37.130000000000003</v>
      </c>
      <c r="E297" s="3" t="s">
        <v>3707</v>
      </c>
      <c r="F297" s="2" t="s">
        <v>680</v>
      </c>
      <c r="G297" s="6"/>
      <c r="H297" s="2" t="s">
        <v>188</v>
      </c>
      <c r="I297" s="2" t="s">
        <v>189</v>
      </c>
      <c r="J297" s="2" t="s">
        <v>19</v>
      </c>
      <c r="K297" s="2" t="s">
        <v>701</v>
      </c>
      <c r="L297" s="7" t="str">
        <f>HYPERLINK("http://slimages.macys.com/is/image/MCY/12894593 ")</f>
        <v xml:space="preserve">http://slimages.macys.com/is/image/MCY/12894593 </v>
      </c>
    </row>
    <row r="298" spans="1:12" ht="36.75" x14ac:dyDescent="0.25">
      <c r="A298" s="4" t="s">
        <v>7341</v>
      </c>
      <c r="B298" s="2" t="s">
        <v>5715</v>
      </c>
      <c r="C298" s="3">
        <v>1</v>
      </c>
      <c r="D298" s="5">
        <v>40.880000000000003</v>
      </c>
      <c r="E298" s="3" t="s">
        <v>5716</v>
      </c>
      <c r="F298" s="2" t="s">
        <v>331</v>
      </c>
      <c r="G298" s="6" t="s">
        <v>156</v>
      </c>
      <c r="H298" s="2" t="s">
        <v>284</v>
      </c>
      <c r="I298" s="2" t="s">
        <v>285</v>
      </c>
      <c r="J298" s="2" t="s">
        <v>19</v>
      </c>
      <c r="K298" s="2" t="s">
        <v>5717</v>
      </c>
      <c r="L298" s="7" t="str">
        <f>HYPERLINK("http://slimages.macys.com/is/image/MCY/13700613 ")</f>
        <v xml:space="preserve">http://slimages.macys.com/is/image/MCY/13700613 </v>
      </c>
    </row>
    <row r="299" spans="1:12" ht="24.75" x14ac:dyDescent="0.25">
      <c r="A299" s="4" t="s">
        <v>1007</v>
      </c>
      <c r="B299" s="2" t="s">
        <v>1008</v>
      </c>
      <c r="C299" s="3">
        <v>4</v>
      </c>
      <c r="D299" s="5">
        <v>49.5</v>
      </c>
      <c r="E299" s="3" t="s">
        <v>1009</v>
      </c>
      <c r="F299" s="2" t="s">
        <v>74</v>
      </c>
      <c r="G299" s="6" t="s">
        <v>238</v>
      </c>
      <c r="H299" s="2" t="s">
        <v>206</v>
      </c>
      <c r="I299" s="2" t="s">
        <v>1010</v>
      </c>
      <c r="J299" s="2" t="s">
        <v>19</v>
      </c>
      <c r="K299" s="2" t="s">
        <v>409</v>
      </c>
      <c r="L299" s="7" t="str">
        <f>HYPERLINK("http://slimages.macys.com/is/image/MCY/9044823 ")</f>
        <v xml:space="preserve">http://slimages.macys.com/is/image/MCY/9044823 </v>
      </c>
    </row>
    <row r="300" spans="1:12" ht="24.75" x14ac:dyDescent="0.25">
      <c r="A300" s="4" t="s">
        <v>7342</v>
      </c>
      <c r="B300" s="2" t="s">
        <v>7343</v>
      </c>
      <c r="C300" s="3">
        <v>1</v>
      </c>
      <c r="D300" s="5">
        <v>40.880000000000003</v>
      </c>
      <c r="E300" s="3" t="s">
        <v>7344</v>
      </c>
      <c r="F300" s="2" t="s">
        <v>64</v>
      </c>
      <c r="G300" s="6" t="s">
        <v>181</v>
      </c>
      <c r="H300" s="2" t="s">
        <v>246</v>
      </c>
      <c r="I300" s="2" t="s">
        <v>189</v>
      </c>
      <c r="J300" s="2" t="s">
        <v>19</v>
      </c>
      <c r="K300" s="2" t="s">
        <v>648</v>
      </c>
      <c r="L300" s="7" t="str">
        <f>HYPERLINK("http://slimages.macys.com/is/image/MCY/11947732 ")</f>
        <v xml:space="preserve">http://slimages.macys.com/is/image/MCY/11947732 </v>
      </c>
    </row>
    <row r="301" spans="1:12" ht="24.75" x14ac:dyDescent="0.25">
      <c r="A301" s="4" t="s">
        <v>1017</v>
      </c>
      <c r="B301" s="2" t="s">
        <v>1012</v>
      </c>
      <c r="C301" s="3">
        <v>1</v>
      </c>
      <c r="D301" s="5">
        <v>37.130000000000003</v>
      </c>
      <c r="E301" s="3" t="s">
        <v>1013</v>
      </c>
      <c r="F301" s="2" t="s">
        <v>494</v>
      </c>
      <c r="G301" s="6" t="s">
        <v>106</v>
      </c>
      <c r="H301" s="2" t="s">
        <v>246</v>
      </c>
      <c r="I301" s="2" t="s">
        <v>214</v>
      </c>
      <c r="J301" s="2" t="s">
        <v>19</v>
      </c>
      <c r="K301" s="2" t="s">
        <v>253</v>
      </c>
      <c r="L301" s="7" t="str">
        <f>HYPERLINK("http://slimages.macys.com/is/image/MCY/10679372 ")</f>
        <v xml:space="preserve">http://slimages.macys.com/is/image/MCY/10679372 </v>
      </c>
    </row>
    <row r="302" spans="1:12" ht="24.75" x14ac:dyDescent="0.25">
      <c r="A302" s="4" t="s">
        <v>2527</v>
      </c>
      <c r="B302" s="2" t="s">
        <v>1012</v>
      </c>
      <c r="C302" s="3">
        <v>2</v>
      </c>
      <c r="D302" s="5">
        <v>37.130000000000003</v>
      </c>
      <c r="E302" s="3" t="s">
        <v>1013</v>
      </c>
      <c r="F302" s="2" t="s">
        <v>64</v>
      </c>
      <c r="G302" s="6" t="s">
        <v>22</v>
      </c>
      <c r="H302" s="2" t="s">
        <v>246</v>
      </c>
      <c r="I302" s="2" t="s">
        <v>214</v>
      </c>
      <c r="J302" s="2" t="s">
        <v>19</v>
      </c>
      <c r="K302" s="2" t="s">
        <v>253</v>
      </c>
      <c r="L302" s="7" t="str">
        <f>HYPERLINK("http://slimages.macys.com/is/image/MCY/10679372 ")</f>
        <v xml:space="preserve">http://slimages.macys.com/is/image/MCY/10679372 </v>
      </c>
    </row>
    <row r="303" spans="1:12" ht="24.75" x14ac:dyDescent="0.25">
      <c r="A303" s="4" t="s">
        <v>7345</v>
      </c>
      <c r="B303" s="2" t="s">
        <v>1012</v>
      </c>
      <c r="C303" s="3">
        <v>1</v>
      </c>
      <c r="D303" s="5">
        <v>37.130000000000003</v>
      </c>
      <c r="E303" s="3" t="s">
        <v>1013</v>
      </c>
      <c r="F303" s="2" t="s">
        <v>64</v>
      </c>
      <c r="G303" s="6" t="s">
        <v>141</v>
      </c>
      <c r="H303" s="2" t="s">
        <v>246</v>
      </c>
      <c r="I303" s="2" t="s">
        <v>214</v>
      </c>
      <c r="J303" s="2" t="s">
        <v>19</v>
      </c>
      <c r="K303" s="2" t="s">
        <v>253</v>
      </c>
      <c r="L303" s="7" t="str">
        <f>HYPERLINK("http://slimages.macys.com/is/image/MCY/10679372 ")</f>
        <v xml:space="preserve">http://slimages.macys.com/is/image/MCY/10679372 </v>
      </c>
    </row>
    <row r="304" spans="1:12" ht="36.75" x14ac:dyDescent="0.25">
      <c r="A304" s="4" t="s">
        <v>7346</v>
      </c>
      <c r="B304" s="2" t="s">
        <v>7347</v>
      </c>
      <c r="C304" s="3">
        <v>1</v>
      </c>
      <c r="D304" s="5">
        <v>40.880000000000003</v>
      </c>
      <c r="E304" s="3" t="s">
        <v>7348</v>
      </c>
      <c r="F304" s="2" t="s">
        <v>74</v>
      </c>
      <c r="G304" s="6"/>
      <c r="H304" s="2" t="s">
        <v>632</v>
      </c>
      <c r="I304" s="2" t="s">
        <v>285</v>
      </c>
      <c r="J304" s="2" t="s">
        <v>19</v>
      </c>
      <c r="K304" s="2" t="s">
        <v>7349</v>
      </c>
      <c r="L304" s="7" t="str">
        <f>HYPERLINK("http://slimages.macys.com/is/image/MCY/12035227 ")</f>
        <v xml:space="preserve">http://slimages.macys.com/is/image/MCY/12035227 </v>
      </c>
    </row>
    <row r="305" spans="1:12" ht="24.75" x14ac:dyDescent="0.25">
      <c r="A305" s="4" t="s">
        <v>7350</v>
      </c>
      <c r="B305" s="2" t="s">
        <v>2524</v>
      </c>
      <c r="C305" s="3">
        <v>1</v>
      </c>
      <c r="D305" s="5">
        <v>33.380000000000003</v>
      </c>
      <c r="E305" s="3" t="s">
        <v>2525</v>
      </c>
      <c r="F305" s="2" t="s">
        <v>26</v>
      </c>
      <c r="G305" s="6"/>
      <c r="H305" s="2" t="s">
        <v>312</v>
      </c>
      <c r="I305" s="2" t="s">
        <v>1398</v>
      </c>
      <c r="J305" s="2" t="s">
        <v>19</v>
      </c>
      <c r="K305" s="2" t="s">
        <v>247</v>
      </c>
      <c r="L305" s="7" t="str">
        <f>HYPERLINK("http://slimages.macys.com/is/image/MCY/13368039 ")</f>
        <v xml:space="preserve">http://slimages.macys.com/is/image/MCY/13368039 </v>
      </c>
    </row>
    <row r="306" spans="1:12" ht="24.75" x14ac:dyDescent="0.25">
      <c r="A306" s="4" t="s">
        <v>1023</v>
      </c>
      <c r="B306" s="2" t="s">
        <v>1012</v>
      </c>
      <c r="C306" s="3">
        <v>3</v>
      </c>
      <c r="D306" s="5">
        <v>37.130000000000003</v>
      </c>
      <c r="E306" s="3" t="s">
        <v>1013</v>
      </c>
      <c r="F306" s="2" t="s">
        <v>64</v>
      </c>
      <c r="G306" s="6" t="s">
        <v>58</v>
      </c>
      <c r="H306" s="2" t="s">
        <v>246</v>
      </c>
      <c r="I306" s="2" t="s">
        <v>214</v>
      </c>
      <c r="J306" s="2" t="s">
        <v>19</v>
      </c>
      <c r="K306" s="2" t="s">
        <v>253</v>
      </c>
      <c r="L306" s="7" t="str">
        <f>HYPERLINK("http://slimages.macys.com/is/image/MCY/10679372 ")</f>
        <v xml:space="preserve">http://slimages.macys.com/is/image/MCY/10679372 </v>
      </c>
    </row>
    <row r="307" spans="1:12" ht="24.75" x14ac:dyDescent="0.25">
      <c r="A307" s="4" t="s">
        <v>7351</v>
      </c>
      <c r="B307" s="2" t="s">
        <v>1012</v>
      </c>
      <c r="C307" s="3">
        <v>1</v>
      </c>
      <c r="D307" s="5">
        <v>37.130000000000003</v>
      </c>
      <c r="E307" s="3" t="s">
        <v>1013</v>
      </c>
      <c r="F307" s="2" t="s">
        <v>26</v>
      </c>
      <c r="G307" s="6" t="s">
        <v>65</v>
      </c>
      <c r="H307" s="2" t="s">
        <v>246</v>
      </c>
      <c r="I307" s="2" t="s">
        <v>214</v>
      </c>
      <c r="J307" s="2" t="s">
        <v>19</v>
      </c>
      <c r="K307" s="2" t="s">
        <v>253</v>
      </c>
      <c r="L307" s="7" t="str">
        <f>HYPERLINK("http://slimages.macys.com/is/image/MCY/10679372 ")</f>
        <v xml:space="preserve">http://slimages.macys.com/is/image/MCY/10679372 </v>
      </c>
    </row>
    <row r="308" spans="1:12" ht="24.75" x14ac:dyDescent="0.25">
      <c r="A308" s="4" t="s">
        <v>1011</v>
      </c>
      <c r="B308" s="2" t="s">
        <v>1012</v>
      </c>
      <c r="C308" s="3">
        <v>4</v>
      </c>
      <c r="D308" s="5">
        <v>37.130000000000003</v>
      </c>
      <c r="E308" s="3" t="s">
        <v>1013</v>
      </c>
      <c r="F308" s="2" t="s">
        <v>64</v>
      </c>
      <c r="G308" s="6" t="s">
        <v>106</v>
      </c>
      <c r="H308" s="2" t="s">
        <v>246</v>
      </c>
      <c r="I308" s="2" t="s">
        <v>214</v>
      </c>
      <c r="J308" s="2" t="s">
        <v>19</v>
      </c>
      <c r="K308" s="2" t="s">
        <v>253</v>
      </c>
      <c r="L308" s="7" t="str">
        <f>HYPERLINK("http://slimages.macys.com/is/image/MCY/10679372 ")</f>
        <v xml:space="preserve">http://slimages.macys.com/is/image/MCY/10679372 </v>
      </c>
    </row>
    <row r="309" spans="1:12" ht="24.75" x14ac:dyDescent="0.25">
      <c r="A309" s="4" t="s">
        <v>2526</v>
      </c>
      <c r="B309" s="2" t="s">
        <v>1012</v>
      </c>
      <c r="C309" s="3">
        <v>1</v>
      </c>
      <c r="D309" s="5">
        <v>37.130000000000003</v>
      </c>
      <c r="E309" s="3" t="s">
        <v>1013</v>
      </c>
      <c r="F309" s="2" t="s">
        <v>64</v>
      </c>
      <c r="G309" s="6" t="s">
        <v>65</v>
      </c>
      <c r="H309" s="2" t="s">
        <v>246</v>
      </c>
      <c r="I309" s="2" t="s">
        <v>214</v>
      </c>
      <c r="J309" s="2" t="s">
        <v>19</v>
      </c>
      <c r="K309" s="2" t="s">
        <v>253</v>
      </c>
      <c r="L309" s="7" t="str">
        <f>HYPERLINK("http://slimages.macys.com/is/image/MCY/10679372 ")</f>
        <v xml:space="preserve">http://slimages.macys.com/is/image/MCY/10679372 </v>
      </c>
    </row>
    <row r="310" spans="1:12" ht="24.75" x14ac:dyDescent="0.25">
      <c r="A310" s="4" t="s">
        <v>2528</v>
      </c>
      <c r="B310" s="2" t="s">
        <v>1012</v>
      </c>
      <c r="C310" s="3">
        <v>1</v>
      </c>
      <c r="D310" s="5">
        <v>37.130000000000003</v>
      </c>
      <c r="E310" s="3" t="s">
        <v>1013</v>
      </c>
      <c r="F310" s="2" t="s">
        <v>64</v>
      </c>
      <c r="G310" s="6" t="s">
        <v>16</v>
      </c>
      <c r="H310" s="2" t="s">
        <v>246</v>
      </c>
      <c r="I310" s="2" t="s">
        <v>214</v>
      </c>
      <c r="J310" s="2" t="s">
        <v>19</v>
      </c>
      <c r="K310" s="2" t="s">
        <v>253</v>
      </c>
      <c r="L310" s="7" t="str">
        <f>HYPERLINK("http://slimages.macys.com/is/image/MCY/10679372 ")</f>
        <v xml:space="preserve">http://slimages.macys.com/is/image/MCY/10679372 </v>
      </c>
    </row>
    <row r="311" spans="1:12" ht="24.75" x14ac:dyDescent="0.25">
      <c r="A311" s="4" t="s">
        <v>3719</v>
      </c>
      <c r="B311" s="2" t="s">
        <v>2530</v>
      </c>
      <c r="C311" s="3">
        <v>1</v>
      </c>
      <c r="D311" s="5">
        <v>34.5</v>
      </c>
      <c r="E311" s="3">
        <v>100054339</v>
      </c>
      <c r="F311" s="2" t="s">
        <v>26</v>
      </c>
      <c r="G311" s="6" t="s">
        <v>156</v>
      </c>
      <c r="H311" s="2" t="s">
        <v>228</v>
      </c>
      <c r="I311" s="2" t="s">
        <v>857</v>
      </c>
      <c r="J311" s="2" t="s">
        <v>19</v>
      </c>
      <c r="K311" s="2" t="s">
        <v>338</v>
      </c>
      <c r="L311" s="7" t="str">
        <f>HYPERLINK("http://slimages.macys.com/is/image/MCY/12144139 ")</f>
        <v xml:space="preserve">http://slimages.macys.com/is/image/MCY/12144139 </v>
      </c>
    </row>
    <row r="312" spans="1:12" ht="24.75" x14ac:dyDescent="0.25">
      <c r="A312" s="4" t="s">
        <v>4783</v>
      </c>
      <c r="B312" s="2" t="s">
        <v>4784</v>
      </c>
      <c r="C312" s="3">
        <v>1</v>
      </c>
      <c r="D312" s="5">
        <v>37.130000000000003</v>
      </c>
      <c r="E312" s="3" t="s">
        <v>4785</v>
      </c>
      <c r="F312" s="2" t="s">
        <v>74</v>
      </c>
      <c r="G312" s="6" t="s">
        <v>181</v>
      </c>
      <c r="H312" s="2" t="s">
        <v>284</v>
      </c>
      <c r="I312" s="2" t="s">
        <v>285</v>
      </c>
      <c r="J312" s="2" t="s">
        <v>19</v>
      </c>
      <c r="K312" s="2" t="s">
        <v>160</v>
      </c>
      <c r="L312" s="7" t="str">
        <f>HYPERLINK("http://slimages.macys.com/is/image/MCY/9863547 ")</f>
        <v xml:space="preserve">http://slimages.macys.com/is/image/MCY/9863547 </v>
      </c>
    </row>
    <row r="313" spans="1:12" ht="24.75" x14ac:dyDescent="0.25">
      <c r="A313" s="4" t="s">
        <v>7352</v>
      </c>
      <c r="B313" s="2" t="s">
        <v>7353</v>
      </c>
      <c r="C313" s="3">
        <v>1</v>
      </c>
      <c r="D313" s="5">
        <v>37.130000000000003</v>
      </c>
      <c r="E313" s="3" t="s">
        <v>7354</v>
      </c>
      <c r="F313" s="2" t="s">
        <v>74</v>
      </c>
      <c r="G313" s="6" t="s">
        <v>234</v>
      </c>
      <c r="H313" s="2" t="s">
        <v>284</v>
      </c>
      <c r="I313" s="2" t="s">
        <v>285</v>
      </c>
      <c r="J313" s="2" t="s">
        <v>19</v>
      </c>
      <c r="K313" s="2" t="s">
        <v>160</v>
      </c>
      <c r="L313" s="7" t="str">
        <f>HYPERLINK("http://slimages.macys.com/is/image/MCY/11755910 ")</f>
        <v xml:space="preserve">http://slimages.macys.com/is/image/MCY/11755910 </v>
      </c>
    </row>
    <row r="314" spans="1:12" ht="24.75" x14ac:dyDescent="0.25">
      <c r="A314" s="4" t="s">
        <v>6528</v>
      </c>
      <c r="B314" s="2" t="s">
        <v>1002</v>
      </c>
      <c r="C314" s="3">
        <v>1</v>
      </c>
      <c r="D314" s="5">
        <v>44.63</v>
      </c>
      <c r="E314" s="3">
        <v>100015592</v>
      </c>
      <c r="F314" s="2" t="s">
        <v>74</v>
      </c>
      <c r="G314" s="6" t="s">
        <v>154</v>
      </c>
      <c r="H314" s="2" t="s">
        <v>194</v>
      </c>
      <c r="I314" s="2" t="s">
        <v>195</v>
      </c>
      <c r="J314" s="2" t="s">
        <v>19</v>
      </c>
      <c r="K314" s="2" t="s">
        <v>137</v>
      </c>
      <c r="L314" s="7" t="str">
        <f>HYPERLINK("http://slimages.macys.com/is/image/MCY/9653304 ")</f>
        <v xml:space="preserve">http://slimages.macys.com/is/image/MCY/9653304 </v>
      </c>
    </row>
    <row r="315" spans="1:12" ht="24.75" x14ac:dyDescent="0.25">
      <c r="A315" s="4" t="s">
        <v>7355</v>
      </c>
      <c r="B315" s="2" t="s">
        <v>1028</v>
      </c>
      <c r="C315" s="3">
        <v>1</v>
      </c>
      <c r="D315" s="5">
        <v>36.5</v>
      </c>
      <c r="E315" s="3" t="s">
        <v>1029</v>
      </c>
      <c r="F315" s="2" t="s">
        <v>74</v>
      </c>
      <c r="G315" s="6"/>
      <c r="H315" s="2" t="s">
        <v>632</v>
      </c>
      <c r="I315" s="2" t="s">
        <v>408</v>
      </c>
      <c r="J315" s="2" t="s">
        <v>19</v>
      </c>
      <c r="K315" s="2" t="s">
        <v>409</v>
      </c>
      <c r="L315" s="7" t="str">
        <f>HYPERLINK("http://slimages.macys.com/is/image/MCY/8191312 ")</f>
        <v xml:space="preserve">http://slimages.macys.com/is/image/MCY/8191312 </v>
      </c>
    </row>
    <row r="316" spans="1:12" ht="24.75" x14ac:dyDescent="0.25">
      <c r="A316" s="4" t="s">
        <v>7356</v>
      </c>
      <c r="B316" s="2" t="s">
        <v>7357</v>
      </c>
      <c r="C316" s="3">
        <v>1</v>
      </c>
      <c r="D316" s="5">
        <v>37.130000000000003</v>
      </c>
      <c r="E316" s="3" t="s">
        <v>7358</v>
      </c>
      <c r="F316" s="2" t="s">
        <v>26</v>
      </c>
      <c r="G316" s="6"/>
      <c r="H316" s="2" t="s">
        <v>312</v>
      </c>
      <c r="I316" s="2" t="s">
        <v>195</v>
      </c>
      <c r="J316" s="2" t="s">
        <v>19</v>
      </c>
      <c r="K316" s="2" t="s">
        <v>648</v>
      </c>
      <c r="L316" s="7" t="str">
        <f>HYPERLINK("http://slimages.macys.com/is/image/MCY/9893924 ")</f>
        <v xml:space="preserve">http://slimages.macys.com/is/image/MCY/9893924 </v>
      </c>
    </row>
    <row r="317" spans="1:12" ht="24.75" x14ac:dyDescent="0.25">
      <c r="A317" s="4" t="s">
        <v>7359</v>
      </c>
      <c r="B317" s="2" t="s">
        <v>3725</v>
      </c>
      <c r="C317" s="3">
        <v>1</v>
      </c>
      <c r="D317" s="5">
        <v>40.880000000000003</v>
      </c>
      <c r="E317" s="3" t="s">
        <v>3726</v>
      </c>
      <c r="F317" s="2" t="s">
        <v>252</v>
      </c>
      <c r="G317" s="6" t="s">
        <v>200</v>
      </c>
      <c r="H317" s="2" t="s">
        <v>194</v>
      </c>
      <c r="I317" s="2" t="s">
        <v>195</v>
      </c>
      <c r="J317" s="2" t="s">
        <v>19</v>
      </c>
      <c r="K317" s="2" t="s">
        <v>3731</v>
      </c>
      <c r="L317" s="7" t="str">
        <f>HYPERLINK("http://slimages.macys.com/is/image/MCY/11937875 ")</f>
        <v xml:space="preserve">http://slimages.macys.com/is/image/MCY/11937875 </v>
      </c>
    </row>
    <row r="318" spans="1:12" ht="24.75" x14ac:dyDescent="0.25">
      <c r="A318" s="4" t="s">
        <v>3730</v>
      </c>
      <c r="B318" s="2" t="s">
        <v>1036</v>
      </c>
      <c r="C318" s="3">
        <v>1</v>
      </c>
      <c r="D318" s="5">
        <v>36.5</v>
      </c>
      <c r="E318" s="3" t="s">
        <v>1037</v>
      </c>
      <c r="F318" s="2" t="s">
        <v>998</v>
      </c>
      <c r="G318" s="6" t="s">
        <v>181</v>
      </c>
      <c r="H318" s="2" t="s">
        <v>194</v>
      </c>
      <c r="I318" s="2" t="s">
        <v>195</v>
      </c>
      <c r="J318" s="2" t="s">
        <v>19</v>
      </c>
      <c r="K318" s="2" t="s">
        <v>137</v>
      </c>
      <c r="L318" s="7" t="str">
        <f>HYPERLINK("http://slimages.macys.com/is/image/MCY/11526970 ")</f>
        <v xml:space="preserve">http://slimages.macys.com/is/image/MCY/11526970 </v>
      </c>
    </row>
    <row r="319" spans="1:12" ht="24.75" x14ac:dyDescent="0.25">
      <c r="A319" s="4" t="s">
        <v>2540</v>
      </c>
      <c r="B319" s="2" t="s">
        <v>1047</v>
      </c>
      <c r="C319" s="3">
        <v>2</v>
      </c>
      <c r="D319" s="5">
        <v>34.880000000000003</v>
      </c>
      <c r="E319" s="3">
        <v>100009312</v>
      </c>
      <c r="F319" s="2" t="s">
        <v>26</v>
      </c>
      <c r="G319" s="6" t="s">
        <v>154</v>
      </c>
      <c r="H319" s="2" t="s">
        <v>194</v>
      </c>
      <c r="I319" s="2" t="s">
        <v>195</v>
      </c>
      <c r="J319" s="2" t="s">
        <v>19</v>
      </c>
      <c r="K319" s="2" t="s">
        <v>353</v>
      </c>
      <c r="L319" s="7" t="str">
        <f t="shared" ref="L319:L324" si="3">HYPERLINK("http://slimages.macys.com/is/image/MCY/9603701 ")</f>
        <v xml:space="preserve">http://slimages.macys.com/is/image/MCY/9603701 </v>
      </c>
    </row>
    <row r="320" spans="1:12" ht="24.75" x14ac:dyDescent="0.25">
      <c r="A320" s="4" t="s">
        <v>5720</v>
      </c>
      <c r="B320" s="2" t="s">
        <v>1047</v>
      </c>
      <c r="C320" s="3">
        <v>1</v>
      </c>
      <c r="D320" s="5">
        <v>34.880000000000003</v>
      </c>
      <c r="E320" s="3">
        <v>100009312</v>
      </c>
      <c r="F320" s="2" t="s">
        <v>26</v>
      </c>
      <c r="G320" s="6" t="s">
        <v>181</v>
      </c>
      <c r="H320" s="2" t="s">
        <v>194</v>
      </c>
      <c r="I320" s="2" t="s">
        <v>195</v>
      </c>
      <c r="J320" s="2" t="s">
        <v>19</v>
      </c>
      <c r="K320" s="2" t="s">
        <v>353</v>
      </c>
      <c r="L320" s="7" t="str">
        <f t="shared" si="3"/>
        <v xml:space="preserve">http://slimages.macys.com/is/image/MCY/9603701 </v>
      </c>
    </row>
    <row r="321" spans="1:12" ht="24.75" x14ac:dyDescent="0.25">
      <c r="A321" s="4" t="s">
        <v>7360</v>
      </c>
      <c r="B321" s="2" t="s">
        <v>1047</v>
      </c>
      <c r="C321" s="3">
        <v>1</v>
      </c>
      <c r="D321" s="5">
        <v>34.880000000000003</v>
      </c>
      <c r="E321" s="3">
        <v>100009312</v>
      </c>
      <c r="F321" s="2" t="s">
        <v>74</v>
      </c>
      <c r="G321" s="6" t="s">
        <v>200</v>
      </c>
      <c r="H321" s="2" t="s">
        <v>194</v>
      </c>
      <c r="I321" s="2" t="s">
        <v>195</v>
      </c>
      <c r="J321" s="2" t="s">
        <v>19</v>
      </c>
      <c r="K321" s="2" t="s">
        <v>353</v>
      </c>
      <c r="L321" s="7" t="str">
        <f t="shared" si="3"/>
        <v xml:space="preserve">http://slimages.macys.com/is/image/MCY/9603701 </v>
      </c>
    </row>
    <row r="322" spans="1:12" ht="24.75" x14ac:dyDescent="0.25">
      <c r="A322" s="4" t="s">
        <v>7361</v>
      </c>
      <c r="B322" s="2" t="s">
        <v>1047</v>
      </c>
      <c r="C322" s="3">
        <v>1</v>
      </c>
      <c r="D322" s="5">
        <v>34.880000000000003</v>
      </c>
      <c r="E322" s="3">
        <v>100009312</v>
      </c>
      <c r="F322" s="2" t="s">
        <v>26</v>
      </c>
      <c r="G322" s="6" t="s">
        <v>234</v>
      </c>
      <c r="H322" s="2" t="s">
        <v>194</v>
      </c>
      <c r="I322" s="2" t="s">
        <v>195</v>
      </c>
      <c r="J322" s="2" t="s">
        <v>19</v>
      </c>
      <c r="K322" s="2" t="s">
        <v>353</v>
      </c>
      <c r="L322" s="7" t="str">
        <f t="shared" si="3"/>
        <v xml:space="preserve">http://slimages.macys.com/is/image/MCY/9603701 </v>
      </c>
    </row>
    <row r="323" spans="1:12" ht="24.75" x14ac:dyDescent="0.25">
      <c r="A323" s="4" t="s">
        <v>2539</v>
      </c>
      <c r="B323" s="2" t="s">
        <v>1047</v>
      </c>
      <c r="C323" s="3">
        <v>1</v>
      </c>
      <c r="D323" s="5">
        <v>34.880000000000003</v>
      </c>
      <c r="E323" s="3">
        <v>100009312</v>
      </c>
      <c r="F323" s="2" t="s">
        <v>74</v>
      </c>
      <c r="G323" s="6" t="s">
        <v>154</v>
      </c>
      <c r="H323" s="2" t="s">
        <v>194</v>
      </c>
      <c r="I323" s="2" t="s">
        <v>195</v>
      </c>
      <c r="J323" s="2" t="s">
        <v>19</v>
      </c>
      <c r="K323" s="2" t="s">
        <v>353</v>
      </c>
      <c r="L323" s="7" t="str">
        <f t="shared" si="3"/>
        <v xml:space="preserve">http://slimages.macys.com/is/image/MCY/9603701 </v>
      </c>
    </row>
    <row r="324" spans="1:12" ht="24.75" x14ac:dyDescent="0.25">
      <c r="A324" s="4" t="s">
        <v>7362</v>
      </c>
      <c r="B324" s="2" t="s">
        <v>1047</v>
      </c>
      <c r="C324" s="3">
        <v>1</v>
      </c>
      <c r="D324" s="5">
        <v>34.880000000000003</v>
      </c>
      <c r="E324" s="3">
        <v>100009312</v>
      </c>
      <c r="F324" s="2" t="s">
        <v>506</v>
      </c>
      <c r="G324" s="6" t="s">
        <v>234</v>
      </c>
      <c r="H324" s="2" t="s">
        <v>194</v>
      </c>
      <c r="I324" s="2" t="s">
        <v>195</v>
      </c>
      <c r="J324" s="2" t="s">
        <v>19</v>
      </c>
      <c r="K324" s="2" t="s">
        <v>353</v>
      </c>
      <c r="L324" s="7" t="str">
        <f t="shared" si="3"/>
        <v xml:space="preserve">http://slimages.macys.com/is/image/MCY/9603701 </v>
      </c>
    </row>
    <row r="325" spans="1:12" ht="24.75" x14ac:dyDescent="0.25">
      <c r="A325" s="4" t="s">
        <v>7363</v>
      </c>
      <c r="B325" s="2" t="s">
        <v>6539</v>
      </c>
      <c r="C325" s="3">
        <v>1</v>
      </c>
      <c r="D325" s="5">
        <v>37.130000000000003</v>
      </c>
      <c r="E325" s="3" t="s">
        <v>6540</v>
      </c>
      <c r="F325" s="2" t="s">
        <v>64</v>
      </c>
      <c r="G325" s="6" t="s">
        <v>234</v>
      </c>
      <c r="H325" s="2" t="s">
        <v>246</v>
      </c>
      <c r="I325" s="2" t="s">
        <v>189</v>
      </c>
      <c r="J325" s="2" t="s">
        <v>19</v>
      </c>
      <c r="K325" s="2" t="s">
        <v>160</v>
      </c>
      <c r="L325" s="7" t="str">
        <f>HYPERLINK("http://slimages.macys.com/is/image/MCY/12326932 ")</f>
        <v xml:space="preserve">http://slimages.macys.com/is/image/MCY/12326932 </v>
      </c>
    </row>
    <row r="326" spans="1:12" ht="48.75" x14ac:dyDescent="0.25">
      <c r="A326" s="4" t="s">
        <v>4809</v>
      </c>
      <c r="B326" s="2" t="s">
        <v>1065</v>
      </c>
      <c r="C326" s="3">
        <v>1</v>
      </c>
      <c r="D326" s="5">
        <v>37.130000000000003</v>
      </c>
      <c r="E326" s="3">
        <v>100016108</v>
      </c>
      <c r="F326" s="2" t="s">
        <v>26</v>
      </c>
      <c r="G326" s="6" t="s">
        <v>154</v>
      </c>
      <c r="H326" s="2" t="s">
        <v>194</v>
      </c>
      <c r="I326" s="2" t="s">
        <v>919</v>
      </c>
      <c r="J326" s="2" t="s">
        <v>19</v>
      </c>
      <c r="K326" s="2" t="s">
        <v>1066</v>
      </c>
      <c r="L326" s="7" t="str">
        <f>HYPERLINK("http://slimages.macys.com/is/image/MCY/9582082 ")</f>
        <v xml:space="preserve">http://slimages.macys.com/is/image/MCY/9582082 </v>
      </c>
    </row>
    <row r="327" spans="1:12" ht="24.75" x14ac:dyDescent="0.25">
      <c r="A327" s="4" t="s">
        <v>1068</v>
      </c>
      <c r="B327" s="2" t="s">
        <v>1069</v>
      </c>
      <c r="C327" s="3">
        <v>1</v>
      </c>
      <c r="D327" s="5">
        <v>34.5</v>
      </c>
      <c r="E327" s="3">
        <v>100050028</v>
      </c>
      <c r="F327" s="2" t="s">
        <v>180</v>
      </c>
      <c r="G327" s="6" t="s">
        <v>27</v>
      </c>
      <c r="H327" s="2" t="s">
        <v>228</v>
      </c>
      <c r="I327" s="2" t="s">
        <v>229</v>
      </c>
      <c r="J327" s="2" t="s">
        <v>19</v>
      </c>
      <c r="K327" s="2" t="s">
        <v>353</v>
      </c>
      <c r="L327" s="7" t="str">
        <f>HYPERLINK("http://slimages.macys.com/is/image/MCY/11527150 ")</f>
        <v xml:space="preserve">http://slimages.macys.com/is/image/MCY/11527150 </v>
      </c>
    </row>
    <row r="328" spans="1:12" ht="24.75" x14ac:dyDescent="0.25">
      <c r="A328" s="4" t="s">
        <v>7364</v>
      </c>
      <c r="B328" s="2" t="s">
        <v>898</v>
      </c>
      <c r="C328" s="3">
        <v>2</v>
      </c>
      <c r="D328" s="5">
        <v>37.130000000000003</v>
      </c>
      <c r="E328" s="3">
        <v>100009193</v>
      </c>
      <c r="F328" s="2" t="s">
        <v>26</v>
      </c>
      <c r="G328" s="6" t="s">
        <v>27</v>
      </c>
      <c r="H328" s="2" t="s">
        <v>194</v>
      </c>
      <c r="I328" s="2" t="s">
        <v>503</v>
      </c>
      <c r="J328" s="2" t="s">
        <v>19</v>
      </c>
      <c r="K328" s="2" t="s">
        <v>353</v>
      </c>
      <c r="L328" s="7" t="str">
        <f>HYPERLINK("http://slimages.macys.com/is/image/MCY/11804644 ")</f>
        <v xml:space="preserve">http://slimages.macys.com/is/image/MCY/11804644 </v>
      </c>
    </row>
    <row r="329" spans="1:12" ht="24.75" x14ac:dyDescent="0.25">
      <c r="A329" s="4" t="s">
        <v>7365</v>
      </c>
      <c r="B329" s="2" t="s">
        <v>898</v>
      </c>
      <c r="C329" s="3">
        <v>1</v>
      </c>
      <c r="D329" s="5">
        <v>37.130000000000003</v>
      </c>
      <c r="E329" s="3">
        <v>100009193</v>
      </c>
      <c r="F329" s="2" t="s">
        <v>26</v>
      </c>
      <c r="G329" s="6" t="s">
        <v>16</v>
      </c>
      <c r="H329" s="2" t="s">
        <v>194</v>
      </c>
      <c r="I329" s="2" t="s">
        <v>503</v>
      </c>
      <c r="J329" s="2" t="s">
        <v>19</v>
      </c>
      <c r="K329" s="2" t="s">
        <v>353</v>
      </c>
      <c r="L329" s="7" t="str">
        <f>HYPERLINK("http://slimages.macys.com/is/image/MCY/11804644 ")</f>
        <v xml:space="preserve">http://slimages.macys.com/is/image/MCY/11804644 </v>
      </c>
    </row>
    <row r="330" spans="1:12" ht="24.75" x14ac:dyDescent="0.25">
      <c r="A330" s="4" t="s">
        <v>7366</v>
      </c>
      <c r="B330" s="2" t="s">
        <v>2571</v>
      </c>
      <c r="C330" s="3">
        <v>1</v>
      </c>
      <c r="D330" s="5">
        <v>37.130000000000003</v>
      </c>
      <c r="E330" s="3" t="s">
        <v>2572</v>
      </c>
      <c r="F330" s="2" t="s">
        <v>26</v>
      </c>
      <c r="G330" s="6" t="s">
        <v>156</v>
      </c>
      <c r="H330" s="2" t="s">
        <v>246</v>
      </c>
      <c r="I330" s="2" t="s">
        <v>189</v>
      </c>
      <c r="J330" s="2" t="s">
        <v>19</v>
      </c>
      <c r="K330" s="2" t="s">
        <v>1230</v>
      </c>
      <c r="L330" s="7" t="str">
        <f>HYPERLINK("http://slimages.macys.com/is/image/MCY/9818614 ")</f>
        <v xml:space="preserve">http://slimages.macys.com/is/image/MCY/9818614 </v>
      </c>
    </row>
    <row r="331" spans="1:12" ht="24.75" x14ac:dyDescent="0.25">
      <c r="A331" s="4" t="s">
        <v>7367</v>
      </c>
      <c r="B331" s="2" t="s">
        <v>3740</v>
      </c>
      <c r="C331" s="3">
        <v>1</v>
      </c>
      <c r="D331" s="5">
        <v>39.5</v>
      </c>
      <c r="E331" s="3" t="s">
        <v>3741</v>
      </c>
      <c r="F331" s="2" t="s">
        <v>111</v>
      </c>
      <c r="G331" s="6"/>
      <c r="H331" s="2" t="s">
        <v>312</v>
      </c>
      <c r="I331" s="2" t="s">
        <v>195</v>
      </c>
      <c r="J331" s="2" t="s">
        <v>19</v>
      </c>
      <c r="K331" s="2" t="s">
        <v>34</v>
      </c>
      <c r="L331" s="7" t="str">
        <f>HYPERLINK("http://slimages.macys.com/is/image/MCY/10483906 ")</f>
        <v xml:space="preserve">http://slimages.macys.com/is/image/MCY/10483906 </v>
      </c>
    </row>
    <row r="332" spans="1:12" ht="24.75" x14ac:dyDescent="0.25">
      <c r="A332" s="4" t="s">
        <v>7368</v>
      </c>
      <c r="B332" s="2" t="s">
        <v>1078</v>
      </c>
      <c r="C332" s="3">
        <v>1</v>
      </c>
      <c r="D332" s="5">
        <v>34.5</v>
      </c>
      <c r="E332" s="3">
        <v>100032353</v>
      </c>
      <c r="F332" s="2" t="s">
        <v>417</v>
      </c>
      <c r="G332" s="6" t="s">
        <v>58</v>
      </c>
      <c r="H332" s="2" t="s">
        <v>228</v>
      </c>
      <c r="I332" s="2" t="s">
        <v>229</v>
      </c>
      <c r="J332" s="2" t="s">
        <v>19</v>
      </c>
      <c r="K332" s="2" t="s">
        <v>230</v>
      </c>
      <c r="L332" s="7" t="str">
        <f>HYPERLINK("http://slimages.macys.com/is/image/MCY/10985401 ")</f>
        <v xml:space="preserve">http://slimages.macys.com/is/image/MCY/10985401 </v>
      </c>
    </row>
    <row r="333" spans="1:12" ht="24.75" x14ac:dyDescent="0.25">
      <c r="A333" s="4" t="s">
        <v>7369</v>
      </c>
      <c r="B333" s="2" t="s">
        <v>1080</v>
      </c>
      <c r="C333" s="3">
        <v>1</v>
      </c>
      <c r="D333" s="5">
        <v>33.380000000000003</v>
      </c>
      <c r="E333" s="3" t="s">
        <v>1081</v>
      </c>
      <c r="F333" s="2" t="s">
        <v>252</v>
      </c>
      <c r="G333" s="6" t="s">
        <v>234</v>
      </c>
      <c r="H333" s="2" t="s">
        <v>194</v>
      </c>
      <c r="I333" s="2" t="s">
        <v>195</v>
      </c>
      <c r="J333" s="2" t="s">
        <v>19</v>
      </c>
      <c r="K333" s="2" t="s">
        <v>1082</v>
      </c>
      <c r="L333" s="7" t="str">
        <f>HYPERLINK("http://slimages.macys.com/is/image/MCY/13120798 ")</f>
        <v xml:space="preserve">http://slimages.macys.com/is/image/MCY/13120798 </v>
      </c>
    </row>
    <row r="334" spans="1:12" ht="24.75" x14ac:dyDescent="0.25">
      <c r="A334" s="4" t="s">
        <v>7370</v>
      </c>
      <c r="B334" s="2" t="s">
        <v>7371</v>
      </c>
      <c r="C334" s="3">
        <v>1</v>
      </c>
      <c r="D334" s="5">
        <v>33.380000000000003</v>
      </c>
      <c r="E334" s="3" t="s">
        <v>7372</v>
      </c>
      <c r="F334" s="2" t="s">
        <v>417</v>
      </c>
      <c r="G334" s="6" t="s">
        <v>156</v>
      </c>
      <c r="H334" s="2" t="s">
        <v>194</v>
      </c>
      <c r="I334" s="2" t="s">
        <v>195</v>
      </c>
      <c r="J334" s="2" t="s">
        <v>19</v>
      </c>
      <c r="K334" s="2" t="s">
        <v>323</v>
      </c>
      <c r="L334" s="7" t="str">
        <f>HYPERLINK("http://slimages.macys.com/is/image/MCY/12734325 ")</f>
        <v xml:space="preserve">http://slimages.macys.com/is/image/MCY/12734325 </v>
      </c>
    </row>
    <row r="335" spans="1:12" ht="24.75" x14ac:dyDescent="0.25">
      <c r="A335" s="4" t="s">
        <v>7373</v>
      </c>
      <c r="B335" s="2" t="s">
        <v>1080</v>
      </c>
      <c r="C335" s="3">
        <v>1</v>
      </c>
      <c r="D335" s="5">
        <v>33.380000000000003</v>
      </c>
      <c r="E335" s="3" t="s">
        <v>1081</v>
      </c>
      <c r="F335" s="2" t="s">
        <v>252</v>
      </c>
      <c r="G335" s="6" t="s">
        <v>200</v>
      </c>
      <c r="H335" s="2" t="s">
        <v>194</v>
      </c>
      <c r="I335" s="2" t="s">
        <v>195</v>
      </c>
      <c r="J335" s="2" t="s">
        <v>19</v>
      </c>
      <c r="K335" s="2" t="s">
        <v>1082</v>
      </c>
      <c r="L335" s="7" t="str">
        <f>HYPERLINK("http://slimages.macys.com/is/image/MCY/13120798 ")</f>
        <v xml:space="preserve">http://slimages.macys.com/is/image/MCY/13120798 </v>
      </c>
    </row>
    <row r="336" spans="1:12" ht="24.75" x14ac:dyDescent="0.25">
      <c r="A336" s="4" t="s">
        <v>7374</v>
      </c>
      <c r="B336" s="2" t="s">
        <v>1090</v>
      </c>
      <c r="C336" s="3">
        <v>1</v>
      </c>
      <c r="D336" s="5">
        <v>34.5</v>
      </c>
      <c r="E336" s="3" t="s">
        <v>1091</v>
      </c>
      <c r="F336" s="2" t="s">
        <v>111</v>
      </c>
      <c r="G336" s="6" t="s">
        <v>794</v>
      </c>
      <c r="H336" s="2" t="s">
        <v>426</v>
      </c>
      <c r="I336" s="2" t="s">
        <v>229</v>
      </c>
      <c r="J336" s="2" t="s">
        <v>19</v>
      </c>
      <c r="K336" s="2" t="s">
        <v>383</v>
      </c>
      <c r="L336" s="7" t="str">
        <f>HYPERLINK("http://slimages.macys.com/is/image/MCY/11804183 ")</f>
        <v xml:space="preserve">http://slimages.macys.com/is/image/MCY/11804183 </v>
      </c>
    </row>
    <row r="337" spans="1:12" ht="24.75" x14ac:dyDescent="0.25">
      <c r="A337" s="4" t="s">
        <v>7375</v>
      </c>
      <c r="B337" s="2" t="s">
        <v>6558</v>
      </c>
      <c r="C337" s="3">
        <v>1</v>
      </c>
      <c r="D337" s="5">
        <v>40.880000000000003</v>
      </c>
      <c r="E337" s="3" t="s">
        <v>6559</v>
      </c>
      <c r="F337" s="2" t="s">
        <v>3267</v>
      </c>
      <c r="G337" s="6" t="s">
        <v>154</v>
      </c>
      <c r="H337" s="2" t="s">
        <v>284</v>
      </c>
      <c r="I337" s="2" t="s">
        <v>285</v>
      </c>
      <c r="J337" s="2" t="s">
        <v>19</v>
      </c>
      <c r="K337" s="2" t="s">
        <v>160</v>
      </c>
      <c r="L337" s="7" t="str">
        <f>HYPERLINK("http://slimages.macys.com/is/image/MCY/12671722 ")</f>
        <v xml:space="preserve">http://slimages.macys.com/is/image/MCY/12671722 </v>
      </c>
    </row>
    <row r="338" spans="1:12" ht="24.75" x14ac:dyDescent="0.25">
      <c r="A338" s="4" t="s">
        <v>7376</v>
      </c>
      <c r="B338" s="2" t="s">
        <v>2571</v>
      </c>
      <c r="C338" s="3">
        <v>1</v>
      </c>
      <c r="D338" s="5">
        <v>37.130000000000003</v>
      </c>
      <c r="E338" s="3" t="s">
        <v>2572</v>
      </c>
      <c r="F338" s="2" t="s">
        <v>1322</v>
      </c>
      <c r="G338" s="6" t="s">
        <v>156</v>
      </c>
      <c r="H338" s="2" t="s">
        <v>246</v>
      </c>
      <c r="I338" s="2" t="s">
        <v>189</v>
      </c>
      <c r="J338" s="2" t="s">
        <v>19</v>
      </c>
      <c r="K338" s="2" t="s">
        <v>1230</v>
      </c>
      <c r="L338" s="7" t="str">
        <f>HYPERLINK("http://slimages.macys.com/is/image/MCY/9818614 ")</f>
        <v xml:space="preserve">http://slimages.macys.com/is/image/MCY/9818614 </v>
      </c>
    </row>
    <row r="339" spans="1:12" ht="36.75" x14ac:dyDescent="0.25">
      <c r="A339" s="4" t="s">
        <v>7377</v>
      </c>
      <c r="B339" s="2" t="s">
        <v>969</v>
      </c>
      <c r="C339" s="3">
        <v>1</v>
      </c>
      <c r="D339" s="5">
        <v>37.130000000000003</v>
      </c>
      <c r="E339" s="3">
        <v>100026210</v>
      </c>
      <c r="F339" s="2" t="s">
        <v>752</v>
      </c>
      <c r="G339" s="6" t="s">
        <v>154</v>
      </c>
      <c r="H339" s="2" t="s">
        <v>194</v>
      </c>
      <c r="I339" s="2" t="s">
        <v>195</v>
      </c>
      <c r="J339" s="2" t="s">
        <v>19</v>
      </c>
      <c r="K339" s="2" t="s">
        <v>965</v>
      </c>
      <c r="L339" s="7" t="str">
        <f>HYPERLINK("http://slimages.macys.com/is/image/MCY/9714233 ")</f>
        <v xml:space="preserve">http://slimages.macys.com/is/image/MCY/9714233 </v>
      </c>
    </row>
    <row r="340" spans="1:12" ht="24.75" x14ac:dyDescent="0.25">
      <c r="A340" s="4" t="s">
        <v>7378</v>
      </c>
      <c r="B340" s="2" t="s">
        <v>7379</v>
      </c>
      <c r="C340" s="3">
        <v>1</v>
      </c>
      <c r="D340" s="5">
        <v>36.5</v>
      </c>
      <c r="E340" s="3" t="s">
        <v>7380</v>
      </c>
      <c r="F340" s="2" t="s">
        <v>64</v>
      </c>
      <c r="G340" s="6" t="s">
        <v>234</v>
      </c>
      <c r="H340" s="2" t="s">
        <v>194</v>
      </c>
      <c r="I340" s="2" t="s">
        <v>195</v>
      </c>
      <c r="J340" s="2" t="s">
        <v>19</v>
      </c>
      <c r="K340" s="2" t="s">
        <v>34</v>
      </c>
      <c r="L340" s="7" t="str">
        <f>HYPERLINK("http://slimages.macys.com/is/image/MCY/11526912 ")</f>
        <v xml:space="preserve">http://slimages.macys.com/is/image/MCY/11526912 </v>
      </c>
    </row>
    <row r="341" spans="1:12" ht="24.75" x14ac:dyDescent="0.25">
      <c r="A341" s="4" t="s">
        <v>7381</v>
      </c>
      <c r="B341" s="2" t="s">
        <v>1394</v>
      </c>
      <c r="C341" s="3">
        <v>1</v>
      </c>
      <c r="D341" s="5">
        <v>37.130000000000003</v>
      </c>
      <c r="E341" s="3" t="s">
        <v>5757</v>
      </c>
      <c r="F341" s="2" t="s">
        <v>53</v>
      </c>
      <c r="G341" s="6" t="s">
        <v>181</v>
      </c>
      <c r="H341" s="2" t="s">
        <v>194</v>
      </c>
      <c r="I341" s="2" t="s">
        <v>195</v>
      </c>
      <c r="J341" s="2" t="s">
        <v>19</v>
      </c>
      <c r="K341" s="2" t="s">
        <v>34</v>
      </c>
      <c r="L341" s="7" t="str">
        <f>HYPERLINK("http://slimages.macys.com/is/image/MCY/13367997 ")</f>
        <v xml:space="preserve">http://slimages.macys.com/is/image/MCY/13367997 </v>
      </c>
    </row>
    <row r="342" spans="1:12" ht="24.75" x14ac:dyDescent="0.25">
      <c r="A342" s="4" t="s">
        <v>4831</v>
      </c>
      <c r="B342" s="2" t="s">
        <v>1265</v>
      </c>
      <c r="C342" s="3">
        <v>1</v>
      </c>
      <c r="D342" s="5">
        <v>37.130000000000003</v>
      </c>
      <c r="E342" s="3">
        <v>100020742</v>
      </c>
      <c r="F342" s="2" t="s">
        <v>15</v>
      </c>
      <c r="G342" s="6" t="s">
        <v>234</v>
      </c>
      <c r="H342" s="2" t="s">
        <v>194</v>
      </c>
      <c r="I342" s="2" t="s">
        <v>503</v>
      </c>
      <c r="J342" s="2" t="s">
        <v>19</v>
      </c>
      <c r="K342" s="2" t="s">
        <v>201</v>
      </c>
      <c r="L342" s="7" t="str">
        <f>HYPERLINK("http://slimages.macys.com/is/image/MCY/12035316 ")</f>
        <v xml:space="preserve">http://slimages.macys.com/is/image/MCY/12035316 </v>
      </c>
    </row>
    <row r="343" spans="1:12" ht="24.75" x14ac:dyDescent="0.25">
      <c r="A343" s="4" t="s">
        <v>5760</v>
      </c>
      <c r="B343" s="2" t="s">
        <v>1106</v>
      </c>
      <c r="C343" s="3">
        <v>1</v>
      </c>
      <c r="D343" s="5">
        <v>32.5</v>
      </c>
      <c r="E343" s="3" t="s">
        <v>1107</v>
      </c>
      <c r="F343" s="2" t="s">
        <v>15</v>
      </c>
      <c r="G343" s="6" t="s">
        <v>154</v>
      </c>
      <c r="H343" s="2" t="s">
        <v>194</v>
      </c>
      <c r="I343" s="2" t="s">
        <v>195</v>
      </c>
      <c r="J343" s="2" t="s">
        <v>19</v>
      </c>
      <c r="K343" s="2" t="s">
        <v>1108</v>
      </c>
      <c r="L343" s="7" t="str">
        <f>HYPERLINK("http://slimages.macys.com/is/image/MCY/11764459 ")</f>
        <v xml:space="preserve">http://slimages.macys.com/is/image/MCY/11764459 </v>
      </c>
    </row>
    <row r="344" spans="1:12" ht="24.75" x14ac:dyDescent="0.25">
      <c r="A344" s="4" t="s">
        <v>7382</v>
      </c>
      <c r="B344" s="2" t="s">
        <v>1114</v>
      </c>
      <c r="C344" s="3">
        <v>1</v>
      </c>
      <c r="D344" s="5">
        <v>37.130000000000003</v>
      </c>
      <c r="E344" s="3">
        <v>100042369</v>
      </c>
      <c r="F344" s="2" t="s">
        <v>136</v>
      </c>
      <c r="G344" s="6" t="s">
        <v>16</v>
      </c>
      <c r="H344" s="2" t="s">
        <v>194</v>
      </c>
      <c r="I344" s="2" t="s">
        <v>195</v>
      </c>
      <c r="J344" s="2"/>
      <c r="K344" s="2"/>
      <c r="L344" s="7" t="str">
        <f>HYPERLINK("http://slimages.macys.com/is/image/MCY/11934939 ")</f>
        <v xml:space="preserve">http://slimages.macys.com/is/image/MCY/11934939 </v>
      </c>
    </row>
    <row r="345" spans="1:12" ht="24.75" x14ac:dyDescent="0.25">
      <c r="A345" s="4" t="s">
        <v>1113</v>
      </c>
      <c r="B345" s="2" t="s">
        <v>1114</v>
      </c>
      <c r="C345" s="3">
        <v>1</v>
      </c>
      <c r="D345" s="5">
        <v>37.130000000000003</v>
      </c>
      <c r="E345" s="3">
        <v>100042369</v>
      </c>
      <c r="F345" s="2" t="s">
        <v>57</v>
      </c>
      <c r="G345" s="6" t="s">
        <v>27</v>
      </c>
      <c r="H345" s="2" t="s">
        <v>194</v>
      </c>
      <c r="I345" s="2" t="s">
        <v>195</v>
      </c>
      <c r="J345" s="2" t="s">
        <v>19</v>
      </c>
      <c r="K345" s="2" t="s">
        <v>353</v>
      </c>
      <c r="L345" s="7" t="str">
        <f>HYPERLINK("http://slimages.macys.com/is/image/MCY/11934953 ")</f>
        <v xml:space="preserve">http://slimages.macys.com/is/image/MCY/11934953 </v>
      </c>
    </row>
    <row r="346" spans="1:12" ht="24.75" x14ac:dyDescent="0.25">
      <c r="A346" s="4" t="s">
        <v>7383</v>
      </c>
      <c r="B346" s="2" t="s">
        <v>1114</v>
      </c>
      <c r="C346" s="3">
        <v>1</v>
      </c>
      <c r="D346" s="5">
        <v>37.130000000000003</v>
      </c>
      <c r="E346" s="3">
        <v>100042369</v>
      </c>
      <c r="F346" s="2" t="s">
        <v>94</v>
      </c>
      <c r="G346" s="6" t="s">
        <v>141</v>
      </c>
      <c r="H346" s="2" t="s">
        <v>194</v>
      </c>
      <c r="I346" s="2" t="s">
        <v>195</v>
      </c>
      <c r="J346" s="2" t="s">
        <v>19</v>
      </c>
      <c r="K346" s="2" t="s">
        <v>353</v>
      </c>
      <c r="L346" s="7" t="str">
        <f>HYPERLINK("http://slimages.macys.com/is/image/MCY/11934953 ")</f>
        <v xml:space="preserve">http://slimages.macys.com/is/image/MCY/11934953 </v>
      </c>
    </row>
    <row r="347" spans="1:12" ht="60.75" x14ac:dyDescent="0.25">
      <c r="A347" s="4" t="s">
        <v>7384</v>
      </c>
      <c r="B347" s="2" t="s">
        <v>5974</v>
      </c>
      <c r="C347" s="3">
        <v>1</v>
      </c>
      <c r="D347" s="5">
        <v>27.99</v>
      </c>
      <c r="E347" s="3" t="s">
        <v>7385</v>
      </c>
      <c r="F347" s="2" t="s">
        <v>74</v>
      </c>
      <c r="G347" s="6" t="s">
        <v>2276</v>
      </c>
      <c r="H347" s="2" t="s">
        <v>349</v>
      </c>
      <c r="I347" s="2" t="s">
        <v>285</v>
      </c>
      <c r="J347" s="2" t="s">
        <v>19</v>
      </c>
      <c r="K347" s="2" t="s">
        <v>7386</v>
      </c>
      <c r="L347" s="7" t="str">
        <f>HYPERLINK("http://slimages.macys.com/is/image/MCY/13535605 ")</f>
        <v xml:space="preserve">http://slimages.macys.com/is/image/MCY/13535605 </v>
      </c>
    </row>
    <row r="348" spans="1:12" ht="24.75" x14ac:dyDescent="0.25">
      <c r="A348" s="4" t="s">
        <v>1126</v>
      </c>
      <c r="B348" s="2" t="s">
        <v>1118</v>
      </c>
      <c r="C348" s="3">
        <v>1</v>
      </c>
      <c r="D348" s="5">
        <v>37.130000000000003</v>
      </c>
      <c r="E348" s="3">
        <v>100070736</v>
      </c>
      <c r="F348" s="2" t="s">
        <v>74</v>
      </c>
      <c r="G348" s="6" t="s">
        <v>154</v>
      </c>
      <c r="H348" s="2" t="s">
        <v>194</v>
      </c>
      <c r="I348" s="2" t="s">
        <v>195</v>
      </c>
      <c r="J348" s="2" t="s">
        <v>19</v>
      </c>
      <c r="K348" s="2" t="s">
        <v>353</v>
      </c>
      <c r="L348" s="7" t="str">
        <f>HYPERLINK("http://slimages.macys.com/is/image/MCY/13120823 ")</f>
        <v xml:space="preserve">http://slimages.macys.com/is/image/MCY/13120823 </v>
      </c>
    </row>
    <row r="349" spans="1:12" ht="24.75" x14ac:dyDescent="0.25">
      <c r="A349" s="4" t="s">
        <v>1125</v>
      </c>
      <c r="B349" s="2" t="s">
        <v>1118</v>
      </c>
      <c r="C349" s="3">
        <v>1</v>
      </c>
      <c r="D349" s="5">
        <v>37.130000000000003</v>
      </c>
      <c r="E349" s="3">
        <v>100070736</v>
      </c>
      <c r="F349" s="2" t="s">
        <v>74</v>
      </c>
      <c r="G349" s="6" t="s">
        <v>181</v>
      </c>
      <c r="H349" s="2" t="s">
        <v>194</v>
      </c>
      <c r="I349" s="2" t="s">
        <v>195</v>
      </c>
      <c r="J349" s="2" t="s">
        <v>19</v>
      </c>
      <c r="K349" s="2" t="s">
        <v>353</v>
      </c>
      <c r="L349" s="7" t="str">
        <f>HYPERLINK("http://slimages.macys.com/is/image/MCY/13120823 ")</f>
        <v xml:space="preserve">http://slimages.macys.com/is/image/MCY/13120823 </v>
      </c>
    </row>
    <row r="350" spans="1:12" ht="24.75" x14ac:dyDescent="0.25">
      <c r="A350" s="4" t="s">
        <v>1122</v>
      </c>
      <c r="B350" s="2" t="s">
        <v>1118</v>
      </c>
      <c r="C350" s="3">
        <v>1</v>
      </c>
      <c r="D350" s="5">
        <v>37.130000000000003</v>
      </c>
      <c r="E350" s="3">
        <v>100070736</v>
      </c>
      <c r="F350" s="2" t="s">
        <v>376</v>
      </c>
      <c r="G350" s="6" t="s">
        <v>181</v>
      </c>
      <c r="H350" s="2" t="s">
        <v>194</v>
      </c>
      <c r="I350" s="2" t="s">
        <v>195</v>
      </c>
      <c r="J350" s="2" t="s">
        <v>19</v>
      </c>
      <c r="K350" s="2" t="s">
        <v>353</v>
      </c>
      <c r="L350" s="7" t="str">
        <f>HYPERLINK("http://slimages.macys.com/is/image/MCY/13120823 ")</f>
        <v xml:space="preserve">http://slimages.macys.com/is/image/MCY/13120823 </v>
      </c>
    </row>
    <row r="351" spans="1:12" ht="24.75" x14ac:dyDescent="0.25">
      <c r="A351" s="4" t="s">
        <v>3756</v>
      </c>
      <c r="B351" s="2" t="s">
        <v>1128</v>
      </c>
      <c r="C351" s="3">
        <v>2</v>
      </c>
      <c r="D351" s="5">
        <v>32.5</v>
      </c>
      <c r="E351" s="3" t="s">
        <v>1129</v>
      </c>
      <c r="F351" s="2" t="s">
        <v>252</v>
      </c>
      <c r="G351" s="6" t="s">
        <v>154</v>
      </c>
      <c r="H351" s="2" t="s">
        <v>194</v>
      </c>
      <c r="I351" s="2" t="s">
        <v>195</v>
      </c>
      <c r="J351" s="2" t="s">
        <v>19</v>
      </c>
      <c r="K351" s="2" t="s">
        <v>1108</v>
      </c>
      <c r="L351" s="7" t="str">
        <f>HYPERLINK("http://slimages.macys.com/is/image/MCY/12850781 ")</f>
        <v xml:space="preserve">http://slimages.macys.com/is/image/MCY/12850781 </v>
      </c>
    </row>
    <row r="352" spans="1:12" ht="24.75" x14ac:dyDescent="0.25">
      <c r="A352" s="4" t="s">
        <v>2589</v>
      </c>
      <c r="B352" s="2" t="s">
        <v>1147</v>
      </c>
      <c r="C352" s="3">
        <v>1</v>
      </c>
      <c r="D352" s="5">
        <v>34.880000000000003</v>
      </c>
      <c r="E352" s="3">
        <v>100055540</v>
      </c>
      <c r="F352" s="2" t="s">
        <v>15</v>
      </c>
      <c r="G352" s="6" t="s">
        <v>112</v>
      </c>
      <c r="H352" s="2" t="s">
        <v>194</v>
      </c>
      <c r="I352" s="2" t="s">
        <v>195</v>
      </c>
      <c r="J352" s="2" t="s">
        <v>19</v>
      </c>
      <c r="K352" s="2" t="s">
        <v>353</v>
      </c>
      <c r="L352" s="7" t="str">
        <f>HYPERLINK("http://slimages.macys.com/is/image/MCY/12035336 ")</f>
        <v xml:space="preserve">http://slimages.macys.com/is/image/MCY/12035336 </v>
      </c>
    </row>
    <row r="353" spans="1:12" ht="24.75" x14ac:dyDescent="0.25">
      <c r="A353" s="4" t="s">
        <v>1154</v>
      </c>
      <c r="B353" s="2" t="s">
        <v>1155</v>
      </c>
      <c r="C353" s="3">
        <v>1</v>
      </c>
      <c r="D353" s="5">
        <v>37.130000000000003</v>
      </c>
      <c r="E353" s="3" t="s">
        <v>1156</v>
      </c>
      <c r="F353" s="2" t="s">
        <v>417</v>
      </c>
      <c r="G353" s="6" t="s">
        <v>181</v>
      </c>
      <c r="H353" s="2" t="s">
        <v>194</v>
      </c>
      <c r="I353" s="2" t="s">
        <v>195</v>
      </c>
      <c r="J353" s="2" t="s">
        <v>19</v>
      </c>
      <c r="K353" s="2" t="s">
        <v>648</v>
      </c>
      <c r="L353" s="7" t="str">
        <f>HYPERLINK("http://slimages.macys.com/is/image/MCY/13120794 ")</f>
        <v xml:space="preserve">http://slimages.macys.com/is/image/MCY/13120794 </v>
      </c>
    </row>
    <row r="354" spans="1:12" ht="24.75" x14ac:dyDescent="0.25">
      <c r="A354" s="4" t="s">
        <v>7387</v>
      </c>
      <c r="B354" s="2" t="s">
        <v>1160</v>
      </c>
      <c r="C354" s="3">
        <v>1</v>
      </c>
      <c r="D354" s="5">
        <v>69.5</v>
      </c>
      <c r="E354" s="3">
        <v>100055239</v>
      </c>
      <c r="F354" s="2" t="s">
        <v>74</v>
      </c>
      <c r="G354" s="6" t="s">
        <v>112</v>
      </c>
      <c r="H354" s="2" t="s">
        <v>386</v>
      </c>
      <c r="I354" s="2" t="s">
        <v>207</v>
      </c>
      <c r="J354" s="2" t="s">
        <v>19</v>
      </c>
      <c r="K354" s="2" t="s">
        <v>387</v>
      </c>
      <c r="L354" s="7" t="str">
        <f>HYPERLINK("http://slimages.macys.com/is/image/MCY/11535562 ")</f>
        <v xml:space="preserve">http://slimages.macys.com/is/image/MCY/11535562 </v>
      </c>
    </row>
    <row r="355" spans="1:12" ht="24.75" x14ac:dyDescent="0.25">
      <c r="A355" s="4" t="s">
        <v>7388</v>
      </c>
      <c r="B355" s="2" t="s">
        <v>6569</v>
      </c>
      <c r="C355" s="3">
        <v>1</v>
      </c>
      <c r="D355" s="5">
        <v>27.99</v>
      </c>
      <c r="E355" s="3" t="s">
        <v>6570</v>
      </c>
      <c r="F355" s="2" t="s">
        <v>33</v>
      </c>
      <c r="G355" s="6" t="s">
        <v>181</v>
      </c>
      <c r="H355" s="2" t="s">
        <v>1522</v>
      </c>
      <c r="I355" s="2" t="s">
        <v>1469</v>
      </c>
      <c r="J355" s="2" t="s">
        <v>19</v>
      </c>
      <c r="K355" s="2" t="s">
        <v>495</v>
      </c>
      <c r="L355" s="7" t="str">
        <f>HYPERLINK("http://slimages.macys.com/is/image/MCY/11830613 ")</f>
        <v xml:space="preserve">http://slimages.macys.com/is/image/MCY/11830613 </v>
      </c>
    </row>
    <row r="356" spans="1:12" ht="24.75" x14ac:dyDescent="0.25">
      <c r="A356" s="4" t="s">
        <v>7389</v>
      </c>
      <c r="B356" s="2" t="s">
        <v>6569</v>
      </c>
      <c r="C356" s="3">
        <v>1</v>
      </c>
      <c r="D356" s="5">
        <v>27.99</v>
      </c>
      <c r="E356" s="3" t="s">
        <v>7390</v>
      </c>
      <c r="F356" s="2" t="s">
        <v>33</v>
      </c>
      <c r="G356" s="6" t="s">
        <v>219</v>
      </c>
      <c r="H356" s="2" t="s">
        <v>1425</v>
      </c>
      <c r="I356" s="2" t="s">
        <v>1469</v>
      </c>
      <c r="J356" s="2" t="s">
        <v>19</v>
      </c>
      <c r="K356" s="2" t="s">
        <v>495</v>
      </c>
      <c r="L356" s="7" t="str">
        <f>HYPERLINK("http://slimages.macys.com/is/image/MCY/11830613 ")</f>
        <v xml:space="preserve">http://slimages.macys.com/is/image/MCY/11830613 </v>
      </c>
    </row>
    <row r="357" spans="1:12" ht="24.75" x14ac:dyDescent="0.25">
      <c r="A357" s="4" t="s">
        <v>7391</v>
      </c>
      <c r="B357" s="2" t="s">
        <v>6569</v>
      </c>
      <c r="C357" s="3">
        <v>2</v>
      </c>
      <c r="D357" s="5">
        <v>27.99</v>
      </c>
      <c r="E357" s="3" t="s">
        <v>7390</v>
      </c>
      <c r="F357" s="2" t="s">
        <v>33</v>
      </c>
      <c r="G357" s="6"/>
      <c r="H357" s="2" t="s">
        <v>1425</v>
      </c>
      <c r="I357" s="2" t="s">
        <v>1469</v>
      </c>
      <c r="J357" s="2" t="s">
        <v>19</v>
      </c>
      <c r="K357" s="2" t="s">
        <v>495</v>
      </c>
      <c r="L357" s="7" t="str">
        <f>HYPERLINK("http://slimages.macys.com/is/image/MCY/11830613 ")</f>
        <v xml:space="preserve">http://slimages.macys.com/is/image/MCY/11830613 </v>
      </c>
    </row>
    <row r="358" spans="1:12" ht="24.75" x14ac:dyDescent="0.25">
      <c r="A358" s="4" t="s">
        <v>7392</v>
      </c>
      <c r="B358" s="2" t="s">
        <v>6569</v>
      </c>
      <c r="C358" s="3">
        <v>3</v>
      </c>
      <c r="D358" s="5">
        <v>27.99</v>
      </c>
      <c r="E358" s="3" t="s">
        <v>7390</v>
      </c>
      <c r="F358" s="2" t="s">
        <v>33</v>
      </c>
      <c r="G358" s="6"/>
      <c r="H358" s="2" t="s">
        <v>1425</v>
      </c>
      <c r="I358" s="2" t="s">
        <v>1469</v>
      </c>
      <c r="J358" s="2" t="s">
        <v>19</v>
      </c>
      <c r="K358" s="2" t="s">
        <v>495</v>
      </c>
      <c r="L358" s="7" t="str">
        <f>HYPERLINK("http://slimages.macys.com/is/image/MCY/11830613 ")</f>
        <v xml:space="preserve">http://slimages.macys.com/is/image/MCY/11830613 </v>
      </c>
    </row>
    <row r="359" spans="1:12" ht="24.75" x14ac:dyDescent="0.25">
      <c r="A359" s="4" t="s">
        <v>7393</v>
      </c>
      <c r="B359" s="2" t="s">
        <v>1199</v>
      </c>
      <c r="C359" s="3">
        <v>1</v>
      </c>
      <c r="D359" s="5">
        <v>37.130000000000003</v>
      </c>
      <c r="E359" s="3">
        <v>100009324</v>
      </c>
      <c r="F359" s="2" t="s">
        <v>33</v>
      </c>
      <c r="G359" s="6" t="s">
        <v>112</v>
      </c>
      <c r="H359" s="2" t="s">
        <v>194</v>
      </c>
      <c r="I359" s="2" t="s">
        <v>195</v>
      </c>
      <c r="J359" s="2" t="s">
        <v>19</v>
      </c>
      <c r="K359" s="2" t="s">
        <v>353</v>
      </c>
      <c r="L359" s="7" t="str">
        <f t="shared" ref="L359:L364" si="4">HYPERLINK("http://slimages.macys.com/is/image/MCY/12316457 ")</f>
        <v xml:space="preserve">http://slimages.macys.com/is/image/MCY/12316457 </v>
      </c>
    </row>
    <row r="360" spans="1:12" ht="24.75" x14ac:dyDescent="0.25">
      <c r="A360" s="4" t="s">
        <v>7394</v>
      </c>
      <c r="B360" s="2" t="s">
        <v>1199</v>
      </c>
      <c r="C360" s="3">
        <v>2</v>
      </c>
      <c r="D360" s="5">
        <v>37.130000000000003</v>
      </c>
      <c r="E360" s="3">
        <v>100009324</v>
      </c>
      <c r="F360" s="2" t="s">
        <v>33</v>
      </c>
      <c r="G360" s="6" t="s">
        <v>58</v>
      </c>
      <c r="H360" s="2" t="s">
        <v>194</v>
      </c>
      <c r="I360" s="2" t="s">
        <v>195</v>
      </c>
      <c r="J360" s="2" t="s">
        <v>19</v>
      </c>
      <c r="K360" s="2" t="s">
        <v>353</v>
      </c>
      <c r="L360" s="7" t="str">
        <f t="shared" si="4"/>
        <v xml:space="preserve">http://slimages.macys.com/is/image/MCY/12316457 </v>
      </c>
    </row>
    <row r="361" spans="1:12" ht="24.75" x14ac:dyDescent="0.25">
      <c r="A361" s="4" t="s">
        <v>6572</v>
      </c>
      <c r="B361" s="2" t="s">
        <v>1199</v>
      </c>
      <c r="C361" s="3">
        <v>1</v>
      </c>
      <c r="D361" s="5">
        <v>37.130000000000003</v>
      </c>
      <c r="E361" s="3">
        <v>100009324</v>
      </c>
      <c r="F361" s="2" t="s">
        <v>33</v>
      </c>
      <c r="G361" s="6" t="s">
        <v>16</v>
      </c>
      <c r="H361" s="2" t="s">
        <v>194</v>
      </c>
      <c r="I361" s="2" t="s">
        <v>195</v>
      </c>
      <c r="J361" s="2" t="s">
        <v>19</v>
      </c>
      <c r="K361" s="2" t="s">
        <v>353</v>
      </c>
      <c r="L361" s="7" t="str">
        <f t="shared" si="4"/>
        <v xml:space="preserve">http://slimages.macys.com/is/image/MCY/12316457 </v>
      </c>
    </row>
    <row r="362" spans="1:12" ht="24.75" x14ac:dyDescent="0.25">
      <c r="A362" s="4" t="s">
        <v>7395</v>
      </c>
      <c r="B362" s="2" t="s">
        <v>1199</v>
      </c>
      <c r="C362" s="3">
        <v>1</v>
      </c>
      <c r="D362" s="5">
        <v>37.130000000000003</v>
      </c>
      <c r="E362" s="3">
        <v>100009324</v>
      </c>
      <c r="F362" s="2" t="s">
        <v>33</v>
      </c>
      <c r="G362" s="6" t="s">
        <v>65</v>
      </c>
      <c r="H362" s="2" t="s">
        <v>194</v>
      </c>
      <c r="I362" s="2" t="s">
        <v>195</v>
      </c>
      <c r="J362" s="2" t="s">
        <v>19</v>
      </c>
      <c r="K362" s="2" t="s">
        <v>353</v>
      </c>
      <c r="L362" s="7" t="str">
        <f t="shared" si="4"/>
        <v xml:space="preserve">http://slimages.macys.com/is/image/MCY/12316457 </v>
      </c>
    </row>
    <row r="363" spans="1:12" ht="24.75" x14ac:dyDescent="0.25">
      <c r="A363" s="4" t="s">
        <v>2596</v>
      </c>
      <c r="B363" s="2" t="s">
        <v>1199</v>
      </c>
      <c r="C363" s="3">
        <v>2</v>
      </c>
      <c r="D363" s="5">
        <v>37.130000000000003</v>
      </c>
      <c r="E363" s="3">
        <v>100009324</v>
      </c>
      <c r="F363" s="2" t="s">
        <v>33</v>
      </c>
      <c r="G363" s="6" t="s">
        <v>27</v>
      </c>
      <c r="H363" s="2" t="s">
        <v>194</v>
      </c>
      <c r="I363" s="2" t="s">
        <v>195</v>
      </c>
      <c r="J363" s="2" t="s">
        <v>19</v>
      </c>
      <c r="K363" s="2" t="s">
        <v>353</v>
      </c>
      <c r="L363" s="7" t="str">
        <f t="shared" si="4"/>
        <v xml:space="preserve">http://slimages.macys.com/is/image/MCY/12316457 </v>
      </c>
    </row>
    <row r="364" spans="1:12" ht="24.75" x14ac:dyDescent="0.25">
      <c r="A364" s="4" t="s">
        <v>6571</v>
      </c>
      <c r="B364" s="2" t="s">
        <v>1199</v>
      </c>
      <c r="C364" s="3">
        <v>1</v>
      </c>
      <c r="D364" s="5">
        <v>37.130000000000003</v>
      </c>
      <c r="E364" s="3">
        <v>100009324</v>
      </c>
      <c r="F364" s="2" t="s">
        <v>33</v>
      </c>
      <c r="G364" s="6" t="s">
        <v>22</v>
      </c>
      <c r="H364" s="2" t="s">
        <v>194</v>
      </c>
      <c r="I364" s="2" t="s">
        <v>195</v>
      </c>
      <c r="J364" s="2" t="s">
        <v>19</v>
      </c>
      <c r="K364" s="2" t="s">
        <v>353</v>
      </c>
      <c r="L364" s="7" t="str">
        <f t="shared" si="4"/>
        <v xml:space="preserve">http://slimages.macys.com/is/image/MCY/12316457 </v>
      </c>
    </row>
    <row r="365" spans="1:12" ht="24.75" x14ac:dyDescent="0.25">
      <c r="A365" s="4" t="s">
        <v>6576</v>
      </c>
      <c r="B365" s="2" t="s">
        <v>1106</v>
      </c>
      <c r="C365" s="3">
        <v>1</v>
      </c>
      <c r="D365" s="5">
        <v>33.380000000000003</v>
      </c>
      <c r="E365" s="3" t="s">
        <v>3775</v>
      </c>
      <c r="F365" s="2" t="s">
        <v>417</v>
      </c>
      <c r="G365" s="6" t="s">
        <v>154</v>
      </c>
      <c r="H365" s="2" t="s">
        <v>194</v>
      </c>
      <c r="I365" s="2" t="s">
        <v>195</v>
      </c>
      <c r="J365" s="2" t="s">
        <v>19</v>
      </c>
      <c r="K365" s="2" t="s">
        <v>1108</v>
      </c>
      <c r="L365" s="7" t="str">
        <f>HYPERLINK("http://slimages.macys.com/is/image/MCY/12034216 ")</f>
        <v xml:space="preserve">http://slimages.macys.com/is/image/MCY/12034216 </v>
      </c>
    </row>
    <row r="366" spans="1:12" ht="24.75" x14ac:dyDescent="0.25">
      <c r="A366" s="4" t="s">
        <v>7396</v>
      </c>
      <c r="B366" s="2" t="s">
        <v>4854</v>
      </c>
      <c r="C366" s="3">
        <v>1</v>
      </c>
      <c r="D366" s="5">
        <v>37.130000000000003</v>
      </c>
      <c r="E366" s="3">
        <v>100027424</v>
      </c>
      <c r="F366" s="2" t="s">
        <v>15</v>
      </c>
      <c r="G366" s="6" t="s">
        <v>4855</v>
      </c>
      <c r="H366" s="2" t="s">
        <v>194</v>
      </c>
      <c r="I366" s="2" t="s">
        <v>1112</v>
      </c>
      <c r="J366" s="2" t="s">
        <v>19</v>
      </c>
      <c r="K366" s="2" t="s">
        <v>409</v>
      </c>
      <c r="L366" s="7" t="str">
        <f>HYPERLINK("http://slimages.macys.com/is/image/MCY/8185791 ")</f>
        <v xml:space="preserve">http://slimages.macys.com/is/image/MCY/8185791 </v>
      </c>
    </row>
    <row r="367" spans="1:12" ht="24.75" x14ac:dyDescent="0.25">
      <c r="A367" s="4" t="s">
        <v>7397</v>
      </c>
      <c r="B367" s="2" t="s">
        <v>7398</v>
      </c>
      <c r="C367" s="3">
        <v>1</v>
      </c>
      <c r="D367" s="5">
        <v>37.130000000000003</v>
      </c>
      <c r="E367" s="3">
        <v>100027423</v>
      </c>
      <c r="F367" s="2" t="s">
        <v>74</v>
      </c>
      <c r="G367" s="6" t="s">
        <v>6455</v>
      </c>
      <c r="H367" s="2" t="s">
        <v>194</v>
      </c>
      <c r="I367" s="2" t="s">
        <v>1112</v>
      </c>
      <c r="J367" s="2" t="s">
        <v>19</v>
      </c>
      <c r="K367" s="2" t="s">
        <v>409</v>
      </c>
      <c r="L367" s="7" t="str">
        <f>HYPERLINK("http://slimages.macys.com/is/image/MCY/8185791 ")</f>
        <v xml:space="preserve">http://slimages.macys.com/is/image/MCY/8185791 </v>
      </c>
    </row>
    <row r="368" spans="1:12" ht="24.75" x14ac:dyDescent="0.25">
      <c r="A368" s="4" t="s">
        <v>4860</v>
      </c>
      <c r="B368" s="2" t="s">
        <v>4858</v>
      </c>
      <c r="C368" s="3">
        <v>1</v>
      </c>
      <c r="D368" s="5">
        <v>37.130000000000003</v>
      </c>
      <c r="E368" s="3" t="s">
        <v>4859</v>
      </c>
      <c r="F368" s="2" t="s">
        <v>26</v>
      </c>
      <c r="G368" s="6" t="s">
        <v>234</v>
      </c>
      <c r="H368" s="2" t="s">
        <v>246</v>
      </c>
      <c r="I368" s="2" t="s">
        <v>189</v>
      </c>
      <c r="J368" s="2" t="s">
        <v>19</v>
      </c>
      <c r="K368" s="2" t="s">
        <v>34</v>
      </c>
      <c r="L368" s="7" t="str">
        <f>HYPERLINK("http://slimages.macys.com/is/image/MCY/12327034 ")</f>
        <v xml:space="preserve">http://slimages.macys.com/is/image/MCY/12327034 </v>
      </c>
    </row>
    <row r="369" spans="1:12" ht="24.75" x14ac:dyDescent="0.25">
      <c r="A369" s="4" t="s">
        <v>7399</v>
      </c>
      <c r="B369" s="2" t="s">
        <v>4854</v>
      </c>
      <c r="C369" s="3">
        <v>1</v>
      </c>
      <c r="D369" s="5">
        <v>37.130000000000003</v>
      </c>
      <c r="E369" s="3">
        <v>100027424</v>
      </c>
      <c r="F369" s="2" t="s">
        <v>878</v>
      </c>
      <c r="G369" s="6" t="s">
        <v>7400</v>
      </c>
      <c r="H369" s="2" t="s">
        <v>194</v>
      </c>
      <c r="I369" s="2" t="s">
        <v>1112</v>
      </c>
      <c r="J369" s="2" t="s">
        <v>19</v>
      </c>
      <c r="K369" s="2" t="s">
        <v>409</v>
      </c>
      <c r="L369" s="7" t="str">
        <f>HYPERLINK("http://slimages.macys.com/is/image/MCY/8185791 ")</f>
        <v xml:space="preserve">http://slimages.macys.com/is/image/MCY/8185791 </v>
      </c>
    </row>
    <row r="370" spans="1:12" ht="24.75" x14ac:dyDescent="0.25">
      <c r="A370" s="4" t="s">
        <v>5792</v>
      </c>
      <c r="B370" s="2" t="s">
        <v>1183</v>
      </c>
      <c r="C370" s="3">
        <v>1</v>
      </c>
      <c r="D370" s="5">
        <v>34.5</v>
      </c>
      <c r="E370" s="3">
        <v>100010006</v>
      </c>
      <c r="F370" s="2" t="s">
        <v>417</v>
      </c>
      <c r="G370" s="6" t="s">
        <v>156</v>
      </c>
      <c r="H370" s="2" t="s">
        <v>228</v>
      </c>
      <c r="I370" s="2" t="s">
        <v>229</v>
      </c>
      <c r="J370" s="2" t="s">
        <v>19</v>
      </c>
      <c r="K370" s="2" t="s">
        <v>253</v>
      </c>
      <c r="L370" s="7" t="str">
        <f>HYPERLINK("http://slimages.macys.com/is/image/MCY/11269044 ")</f>
        <v xml:space="preserve">http://slimages.macys.com/is/image/MCY/11269044 </v>
      </c>
    </row>
    <row r="371" spans="1:12" ht="24.75" x14ac:dyDescent="0.25">
      <c r="A371" s="4" t="s">
        <v>2603</v>
      </c>
      <c r="B371" s="2" t="s">
        <v>1183</v>
      </c>
      <c r="C371" s="3">
        <v>1</v>
      </c>
      <c r="D371" s="5">
        <v>34.5</v>
      </c>
      <c r="E371" s="3" t="s">
        <v>2602</v>
      </c>
      <c r="F371" s="2" t="s">
        <v>26</v>
      </c>
      <c r="G371" s="6" t="s">
        <v>154</v>
      </c>
      <c r="H371" s="2" t="s">
        <v>228</v>
      </c>
      <c r="I371" s="2" t="s">
        <v>229</v>
      </c>
      <c r="J371" s="2" t="s">
        <v>19</v>
      </c>
      <c r="K371" s="2" t="s">
        <v>253</v>
      </c>
      <c r="L371" s="7" t="str">
        <f>HYPERLINK("http://slimages.macys.com/is/image/MCY/11269044 ")</f>
        <v xml:space="preserve">http://slimages.macys.com/is/image/MCY/11269044 </v>
      </c>
    </row>
    <row r="372" spans="1:12" ht="24.75" x14ac:dyDescent="0.25">
      <c r="A372" s="4" t="s">
        <v>5789</v>
      </c>
      <c r="B372" s="2" t="s">
        <v>1183</v>
      </c>
      <c r="C372" s="3">
        <v>1</v>
      </c>
      <c r="D372" s="5">
        <v>34.5</v>
      </c>
      <c r="E372" s="3">
        <v>100045810</v>
      </c>
      <c r="F372" s="2" t="s">
        <v>111</v>
      </c>
      <c r="G372" s="6" t="s">
        <v>234</v>
      </c>
      <c r="H372" s="2" t="s">
        <v>228</v>
      </c>
      <c r="I372" s="2" t="s">
        <v>229</v>
      </c>
      <c r="J372" s="2" t="s">
        <v>19</v>
      </c>
      <c r="K372" s="2" t="s">
        <v>253</v>
      </c>
      <c r="L372" s="7" t="str">
        <f>HYPERLINK("http://slimages.macys.com/is/image/MCY/11269044 ")</f>
        <v xml:space="preserve">http://slimages.macys.com/is/image/MCY/11269044 </v>
      </c>
    </row>
    <row r="373" spans="1:12" x14ac:dyDescent="0.25">
      <c r="A373" s="4" t="s">
        <v>7401</v>
      </c>
      <c r="B373" s="2" t="s">
        <v>5798</v>
      </c>
      <c r="C373" s="3">
        <v>1</v>
      </c>
      <c r="D373" s="5">
        <v>34.65</v>
      </c>
      <c r="E373" s="3" t="s">
        <v>5799</v>
      </c>
      <c r="F373" s="2"/>
      <c r="G373" s="6" t="s">
        <v>181</v>
      </c>
      <c r="H373" s="2" t="s">
        <v>182</v>
      </c>
      <c r="I373" s="2" t="s">
        <v>183</v>
      </c>
      <c r="J373" s="2" t="s">
        <v>19</v>
      </c>
      <c r="K373" s="2" t="s">
        <v>247</v>
      </c>
      <c r="L373" s="7" t="str">
        <f>HYPERLINK("http://slimages.macys.com/is/image/MCY/15138538 ")</f>
        <v xml:space="preserve">http://slimages.macys.com/is/image/MCY/15138538 </v>
      </c>
    </row>
    <row r="374" spans="1:12" ht="24.75" x14ac:dyDescent="0.25">
      <c r="A374" s="4" t="s">
        <v>7402</v>
      </c>
      <c r="B374" s="2" t="s">
        <v>1188</v>
      </c>
      <c r="C374" s="3">
        <v>1</v>
      </c>
      <c r="D374" s="5">
        <v>44.63</v>
      </c>
      <c r="E374" s="3" t="s">
        <v>1189</v>
      </c>
      <c r="F374" s="2" t="s">
        <v>38</v>
      </c>
      <c r="G374" s="6" t="s">
        <v>181</v>
      </c>
      <c r="H374" s="2" t="s">
        <v>194</v>
      </c>
      <c r="I374" s="2" t="s">
        <v>195</v>
      </c>
      <c r="J374" s="2" t="s">
        <v>19</v>
      </c>
      <c r="K374" s="2" t="s">
        <v>803</v>
      </c>
      <c r="L374" s="7" t="str">
        <f>HYPERLINK("http://slimages.macys.com/is/image/MCY/13683354 ")</f>
        <v xml:space="preserve">http://slimages.macys.com/is/image/MCY/13683354 </v>
      </c>
    </row>
    <row r="375" spans="1:12" ht="24.75" x14ac:dyDescent="0.25">
      <c r="A375" s="4" t="s">
        <v>7403</v>
      </c>
      <c r="B375" s="2" t="s">
        <v>1188</v>
      </c>
      <c r="C375" s="3">
        <v>3</v>
      </c>
      <c r="D375" s="5">
        <v>44.63</v>
      </c>
      <c r="E375" s="3" t="s">
        <v>1189</v>
      </c>
      <c r="F375" s="2" t="s">
        <v>74</v>
      </c>
      <c r="G375" s="6" t="s">
        <v>181</v>
      </c>
      <c r="H375" s="2" t="s">
        <v>194</v>
      </c>
      <c r="I375" s="2" t="s">
        <v>195</v>
      </c>
      <c r="J375" s="2" t="s">
        <v>19</v>
      </c>
      <c r="K375" s="2" t="s">
        <v>803</v>
      </c>
      <c r="L375" s="7" t="str">
        <f>HYPERLINK("http://slimages.macys.com/is/image/MCY/13683354 ")</f>
        <v xml:space="preserve">http://slimages.macys.com/is/image/MCY/13683354 </v>
      </c>
    </row>
    <row r="376" spans="1:12" ht="24.75" x14ac:dyDescent="0.25">
      <c r="A376" s="4" t="s">
        <v>1187</v>
      </c>
      <c r="B376" s="2" t="s">
        <v>1188</v>
      </c>
      <c r="C376" s="3">
        <v>1</v>
      </c>
      <c r="D376" s="5">
        <v>44.63</v>
      </c>
      <c r="E376" s="3" t="s">
        <v>1189</v>
      </c>
      <c r="F376" s="2" t="s">
        <v>38</v>
      </c>
      <c r="G376" s="6" t="s">
        <v>234</v>
      </c>
      <c r="H376" s="2" t="s">
        <v>194</v>
      </c>
      <c r="I376" s="2" t="s">
        <v>195</v>
      </c>
      <c r="J376" s="2" t="s">
        <v>19</v>
      </c>
      <c r="K376" s="2" t="s">
        <v>803</v>
      </c>
      <c r="L376" s="7" t="str">
        <f>HYPERLINK("http://slimages.macys.com/is/image/MCY/13683354 ")</f>
        <v xml:space="preserve">http://slimages.macys.com/is/image/MCY/13683354 </v>
      </c>
    </row>
    <row r="377" spans="1:12" ht="24.75" x14ac:dyDescent="0.25">
      <c r="A377" s="4" t="s">
        <v>7404</v>
      </c>
      <c r="B377" s="2" t="s">
        <v>1188</v>
      </c>
      <c r="C377" s="3">
        <v>1</v>
      </c>
      <c r="D377" s="5">
        <v>44.63</v>
      </c>
      <c r="E377" s="3" t="s">
        <v>1189</v>
      </c>
      <c r="F377" s="2" t="s">
        <v>38</v>
      </c>
      <c r="G377" s="6" t="s">
        <v>200</v>
      </c>
      <c r="H377" s="2" t="s">
        <v>194</v>
      </c>
      <c r="I377" s="2" t="s">
        <v>195</v>
      </c>
      <c r="J377" s="2" t="s">
        <v>19</v>
      </c>
      <c r="K377" s="2" t="s">
        <v>803</v>
      </c>
      <c r="L377" s="7" t="str">
        <f>HYPERLINK("http://slimages.macys.com/is/image/MCY/13683354 ")</f>
        <v xml:space="preserve">http://slimages.macys.com/is/image/MCY/13683354 </v>
      </c>
    </row>
    <row r="378" spans="1:12" ht="24.75" x14ac:dyDescent="0.25">
      <c r="A378" s="4" t="s">
        <v>7405</v>
      </c>
      <c r="B378" s="2" t="s">
        <v>7406</v>
      </c>
      <c r="C378" s="3">
        <v>3</v>
      </c>
      <c r="D378" s="5">
        <v>49.99</v>
      </c>
      <c r="E378" s="3" t="s">
        <v>7407</v>
      </c>
      <c r="F378" s="2" t="s">
        <v>417</v>
      </c>
      <c r="G378" s="6" t="s">
        <v>7408</v>
      </c>
      <c r="H378" s="2" t="s">
        <v>127</v>
      </c>
      <c r="I378" s="2" t="s">
        <v>541</v>
      </c>
      <c r="J378" s="2" t="s">
        <v>19</v>
      </c>
      <c r="K378" s="2" t="s">
        <v>137</v>
      </c>
      <c r="L378" s="7" t="str">
        <f>HYPERLINK("http://slimages.macys.com/is/image/MCY/10438351 ")</f>
        <v xml:space="preserve">http://slimages.macys.com/is/image/MCY/10438351 </v>
      </c>
    </row>
    <row r="379" spans="1:12" ht="24.75" x14ac:dyDescent="0.25">
      <c r="A379" s="4" t="s">
        <v>1197</v>
      </c>
      <c r="B379" s="2" t="s">
        <v>1188</v>
      </c>
      <c r="C379" s="3">
        <v>2</v>
      </c>
      <c r="D379" s="5">
        <v>44.63</v>
      </c>
      <c r="E379" s="3" t="s">
        <v>1189</v>
      </c>
      <c r="F379" s="2" t="s">
        <v>125</v>
      </c>
      <c r="G379" s="6" t="s">
        <v>234</v>
      </c>
      <c r="H379" s="2" t="s">
        <v>194</v>
      </c>
      <c r="I379" s="2" t="s">
        <v>195</v>
      </c>
      <c r="J379" s="2" t="s">
        <v>19</v>
      </c>
      <c r="K379" s="2" t="s">
        <v>803</v>
      </c>
      <c r="L379" s="7" t="str">
        <f>HYPERLINK("http://slimages.macys.com/is/image/MCY/13683354 ")</f>
        <v xml:space="preserve">http://slimages.macys.com/is/image/MCY/13683354 </v>
      </c>
    </row>
    <row r="380" spans="1:12" ht="24.75" x14ac:dyDescent="0.25">
      <c r="A380" s="4" t="s">
        <v>2607</v>
      </c>
      <c r="B380" s="2" t="s">
        <v>1188</v>
      </c>
      <c r="C380" s="3">
        <v>1</v>
      </c>
      <c r="D380" s="5">
        <v>44.63</v>
      </c>
      <c r="E380" s="3" t="s">
        <v>1189</v>
      </c>
      <c r="F380" s="2" t="s">
        <v>125</v>
      </c>
      <c r="G380" s="6" t="s">
        <v>154</v>
      </c>
      <c r="H380" s="2" t="s">
        <v>194</v>
      </c>
      <c r="I380" s="2" t="s">
        <v>195</v>
      </c>
      <c r="J380" s="2" t="s">
        <v>19</v>
      </c>
      <c r="K380" s="2" t="s">
        <v>803</v>
      </c>
      <c r="L380" s="7" t="str">
        <f>HYPERLINK("http://slimages.macys.com/is/image/MCY/13683354 ")</f>
        <v xml:space="preserve">http://slimages.macys.com/is/image/MCY/13683354 </v>
      </c>
    </row>
    <row r="381" spans="1:12" ht="24.75" x14ac:dyDescent="0.25">
      <c r="A381" s="4" t="s">
        <v>1194</v>
      </c>
      <c r="B381" s="2" t="s">
        <v>1188</v>
      </c>
      <c r="C381" s="3">
        <v>1</v>
      </c>
      <c r="D381" s="5">
        <v>44.63</v>
      </c>
      <c r="E381" s="3" t="s">
        <v>1189</v>
      </c>
      <c r="F381" s="2" t="s">
        <v>125</v>
      </c>
      <c r="G381" s="6" t="s">
        <v>181</v>
      </c>
      <c r="H381" s="2" t="s">
        <v>194</v>
      </c>
      <c r="I381" s="2" t="s">
        <v>195</v>
      </c>
      <c r="J381" s="2" t="s">
        <v>19</v>
      </c>
      <c r="K381" s="2" t="s">
        <v>803</v>
      </c>
      <c r="L381" s="7" t="str">
        <f>HYPERLINK("http://slimages.macys.com/is/image/MCY/13683354 ")</f>
        <v xml:space="preserve">http://slimages.macys.com/is/image/MCY/13683354 </v>
      </c>
    </row>
    <row r="382" spans="1:12" ht="24.75" x14ac:dyDescent="0.25">
      <c r="A382" s="4" t="s">
        <v>7409</v>
      </c>
      <c r="B382" s="2" t="s">
        <v>1188</v>
      </c>
      <c r="C382" s="3">
        <v>1</v>
      </c>
      <c r="D382" s="5">
        <v>44.63</v>
      </c>
      <c r="E382" s="3" t="s">
        <v>1189</v>
      </c>
      <c r="F382" s="2" t="s">
        <v>125</v>
      </c>
      <c r="G382" s="6" t="s">
        <v>156</v>
      </c>
      <c r="H382" s="2" t="s">
        <v>194</v>
      </c>
      <c r="I382" s="2" t="s">
        <v>195</v>
      </c>
      <c r="J382" s="2" t="s">
        <v>19</v>
      </c>
      <c r="K382" s="2" t="s">
        <v>803</v>
      </c>
      <c r="L382" s="7" t="str">
        <f>HYPERLINK("http://slimages.macys.com/is/image/MCY/13683354 ")</f>
        <v xml:space="preserve">http://slimages.macys.com/is/image/MCY/13683354 </v>
      </c>
    </row>
    <row r="383" spans="1:12" ht="24.75" x14ac:dyDescent="0.25">
      <c r="A383" s="4" t="s">
        <v>7410</v>
      </c>
      <c r="B383" s="2" t="s">
        <v>4871</v>
      </c>
      <c r="C383" s="3">
        <v>1</v>
      </c>
      <c r="D383" s="5">
        <v>34.5</v>
      </c>
      <c r="E383" s="3" t="s">
        <v>4872</v>
      </c>
      <c r="F383" s="2" t="s">
        <v>225</v>
      </c>
      <c r="G383" s="6"/>
      <c r="H383" s="2" t="s">
        <v>228</v>
      </c>
      <c r="I383" s="2" t="s">
        <v>229</v>
      </c>
      <c r="J383" s="2" t="s">
        <v>19</v>
      </c>
      <c r="K383" s="2" t="s">
        <v>253</v>
      </c>
      <c r="L383" s="7" t="str">
        <f>HYPERLINK("http://slimages.macys.com/is/image/MCY/3055310 ")</f>
        <v xml:space="preserve">http://slimages.macys.com/is/image/MCY/3055310 </v>
      </c>
    </row>
    <row r="384" spans="1:12" ht="24.75" x14ac:dyDescent="0.25">
      <c r="A384" s="4" t="s">
        <v>7411</v>
      </c>
      <c r="B384" s="2" t="s">
        <v>7343</v>
      </c>
      <c r="C384" s="3">
        <v>1</v>
      </c>
      <c r="D384" s="5">
        <v>39.5</v>
      </c>
      <c r="E384" s="3" t="s">
        <v>7412</v>
      </c>
      <c r="F384" s="2" t="s">
        <v>64</v>
      </c>
      <c r="G384" s="6"/>
      <c r="H384" s="2" t="s">
        <v>188</v>
      </c>
      <c r="I384" s="2" t="s">
        <v>189</v>
      </c>
      <c r="J384" s="2" t="s">
        <v>19</v>
      </c>
      <c r="K384" s="2" t="s">
        <v>107</v>
      </c>
      <c r="L384" s="7" t="str">
        <f>HYPERLINK("http://slimages.macys.com/is/image/MCY/11947732 ")</f>
        <v xml:space="preserve">http://slimages.macys.com/is/image/MCY/11947732 </v>
      </c>
    </row>
    <row r="385" spans="1:12" ht="24.75" x14ac:dyDescent="0.25">
      <c r="A385" s="4" t="s">
        <v>7413</v>
      </c>
      <c r="B385" s="2" t="s">
        <v>7414</v>
      </c>
      <c r="C385" s="3">
        <v>1</v>
      </c>
      <c r="D385" s="5">
        <v>37.130000000000003</v>
      </c>
      <c r="E385" s="3" t="s">
        <v>7415</v>
      </c>
      <c r="F385" s="2" t="s">
        <v>74</v>
      </c>
      <c r="G385" s="6" t="s">
        <v>112</v>
      </c>
      <c r="H385" s="2" t="s">
        <v>246</v>
      </c>
      <c r="I385" s="2" t="s">
        <v>189</v>
      </c>
      <c r="J385" s="2" t="s">
        <v>19</v>
      </c>
      <c r="K385" s="2" t="s">
        <v>353</v>
      </c>
      <c r="L385" s="7" t="str">
        <f>HYPERLINK("http://slimages.macys.com/is/image/MCY/11915457 ")</f>
        <v xml:space="preserve">http://slimages.macys.com/is/image/MCY/11915457 </v>
      </c>
    </row>
    <row r="386" spans="1:12" ht="24.75" x14ac:dyDescent="0.25">
      <c r="A386" s="4" t="s">
        <v>7416</v>
      </c>
      <c r="B386" s="2" t="s">
        <v>1199</v>
      </c>
      <c r="C386" s="3">
        <v>1</v>
      </c>
      <c r="D386" s="5">
        <v>37.130000000000003</v>
      </c>
      <c r="E386" s="3">
        <v>100009324</v>
      </c>
      <c r="F386" s="2" t="s">
        <v>1234</v>
      </c>
      <c r="G386" s="6" t="s">
        <v>22</v>
      </c>
      <c r="H386" s="2" t="s">
        <v>194</v>
      </c>
      <c r="I386" s="2" t="s">
        <v>195</v>
      </c>
      <c r="J386" s="2" t="s">
        <v>19</v>
      </c>
      <c r="K386" s="2" t="s">
        <v>353</v>
      </c>
      <c r="L386" s="7" t="str">
        <f>HYPERLINK("http://slimages.macys.com/is/image/MCY/9404224 ")</f>
        <v xml:space="preserve">http://slimages.macys.com/is/image/MCY/9404224 </v>
      </c>
    </row>
    <row r="387" spans="1:12" ht="24.75" x14ac:dyDescent="0.25">
      <c r="A387" s="4" t="s">
        <v>7417</v>
      </c>
      <c r="B387" s="2" t="s">
        <v>1199</v>
      </c>
      <c r="C387" s="3">
        <v>1</v>
      </c>
      <c r="D387" s="5">
        <v>37.130000000000003</v>
      </c>
      <c r="E387" s="3">
        <v>100009324</v>
      </c>
      <c r="F387" s="2" t="s">
        <v>26</v>
      </c>
      <c r="G387" s="6" t="s">
        <v>27</v>
      </c>
      <c r="H387" s="2" t="s">
        <v>194</v>
      </c>
      <c r="I387" s="2" t="s">
        <v>195</v>
      </c>
      <c r="J387" s="2" t="s">
        <v>19</v>
      </c>
      <c r="K387" s="2" t="s">
        <v>353</v>
      </c>
      <c r="L387" s="7" t="str">
        <f>HYPERLINK("http://slimages.macys.com/is/image/MCY/9404224 ")</f>
        <v xml:space="preserve">http://slimages.macys.com/is/image/MCY/9404224 </v>
      </c>
    </row>
    <row r="388" spans="1:12" ht="24.75" x14ac:dyDescent="0.25">
      <c r="A388" s="4" t="s">
        <v>7418</v>
      </c>
      <c r="B388" s="2" t="s">
        <v>1199</v>
      </c>
      <c r="C388" s="3">
        <v>1</v>
      </c>
      <c r="D388" s="5">
        <v>37.130000000000003</v>
      </c>
      <c r="E388" s="3">
        <v>100009324</v>
      </c>
      <c r="F388" s="2" t="s">
        <v>376</v>
      </c>
      <c r="G388" s="6" t="s">
        <v>112</v>
      </c>
      <c r="H388" s="2" t="s">
        <v>194</v>
      </c>
      <c r="I388" s="2" t="s">
        <v>195</v>
      </c>
      <c r="J388" s="2" t="s">
        <v>19</v>
      </c>
      <c r="K388" s="2" t="s">
        <v>353</v>
      </c>
      <c r="L388" s="7" t="str">
        <f>HYPERLINK("http://slimages.macys.com/is/image/MCY/9404224 ")</f>
        <v xml:space="preserve">http://slimages.macys.com/is/image/MCY/9404224 </v>
      </c>
    </row>
    <row r="389" spans="1:12" ht="24.75" x14ac:dyDescent="0.25">
      <c r="A389" s="4" t="s">
        <v>3785</v>
      </c>
      <c r="B389" s="2" t="s">
        <v>1199</v>
      </c>
      <c r="C389" s="3">
        <v>1</v>
      </c>
      <c r="D389" s="5">
        <v>37.130000000000003</v>
      </c>
      <c r="E389" s="3">
        <v>100009324</v>
      </c>
      <c r="F389" s="2" t="s">
        <v>1234</v>
      </c>
      <c r="G389" s="6" t="s">
        <v>16</v>
      </c>
      <c r="H389" s="2" t="s">
        <v>194</v>
      </c>
      <c r="I389" s="2" t="s">
        <v>195</v>
      </c>
      <c r="J389" s="2" t="s">
        <v>19</v>
      </c>
      <c r="K389" s="2" t="s">
        <v>353</v>
      </c>
      <c r="L389" s="7" t="str">
        <f>HYPERLINK("http://slimages.macys.com/is/image/MCY/9404224 ")</f>
        <v xml:space="preserve">http://slimages.macys.com/is/image/MCY/9404224 </v>
      </c>
    </row>
    <row r="390" spans="1:12" ht="24.75" x14ac:dyDescent="0.25">
      <c r="A390" s="4" t="s">
        <v>7419</v>
      </c>
      <c r="B390" s="2" t="s">
        <v>7420</v>
      </c>
      <c r="C390" s="3">
        <v>1</v>
      </c>
      <c r="D390" s="5">
        <v>37.130000000000003</v>
      </c>
      <c r="E390" s="3">
        <v>100030318</v>
      </c>
      <c r="F390" s="2" t="s">
        <v>417</v>
      </c>
      <c r="G390" s="6" t="s">
        <v>156</v>
      </c>
      <c r="H390" s="2" t="s">
        <v>194</v>
      </c>
      <c r="I390" s="2" t="s">
        <v>195</v>
      </c>
      <c r="J390" s="2"/>
      <c r="K390" s="2"/>
      <c r="L390" s="7" t="str">
        <f>HYPERLINK("http://slimages.macys.com/is/image/MCY/8744807 ")</f>
        <v xml:space="preserve">http://slimages.macys.com/is/image/MCY/8744807 </v>
      </c>
    </row>
    <row r="391" spans="1:12" ht="24.75" x14ac:dyDescent="0.25">
      <c r="A391" s="4" t="s">
        <v>7421</v>
      </c>
      <c r="B391" s="2" t="s">
        <v>7422</v>
      </c>
      <c r="C391" s="3">
        <v>1</v>
      </c>
      <c r="D391" s="5">
        <v>45</v>
      </c>
      <c r="E391" s="3" t="s">
        <v>7423</v>
      </c>
      <c r="F391" s="2" t="s">
        <v>15</v>
      </c>
      <c r="G391" s="6"/>
      <c r="H391" s="2" t="s">
        <v>447</v>
      </c>
      <c r="I391" s="2" t="s">
        <v>792</v>
      </c>
      <c r="J391" s="2" t="s">
        <v>19</v>
      </c>
      <c r="K391" s="2" t="s">
        <v>75</v>
      </c>
      <c r="L391" s="7" t="str">
        <f>HYPERLINK("http://slimages.macys.com/is/image/MCY/13042665 ")</f>
        <v xml:space="preserve">http://slimages.macys.com/is/image/MCY/13042665 </v>
      </c>
    </row>
    <row r="392" spans="1:12" ht="24.75" x14ac:dyDescent="0.25">
      <c r="A392" s="4" t="s">
        <v>7424</v>
      </c>
      <c r="B392" s="2" t="s">
        <v>3793</v>
      </c>
      <c r="C392" s="3">
        <v>1</v>
      </c>
      <c r="D392" s="5">
        <v>65</v>
      </c>
      <c r="E392" s="3" t="s">
        <v>3794</v>
      </c>
      <c r="F392" s="2" t="s">
        <v>74</v>
      </c>
      <c r="G392" s="6"/>
      <c r="H392" s="2" t="s">
        <v>447</v>
      </c>
      <c r="I392" s="2" t="s">
        <v>792</v>
      </c>
      <c r="J392" s="2" t="s">
        <v>19</v>
      </c>
      <c r="K392" s="2" t="s">
        <v>160</v>
      </c>
      <c r="L392" s="7" t="str">
        <f>HYPERLINK("http://slimages.macys.com/is/image/MCY/15173570 ")</f>
        <v xml:space="preserve">http://slimages.macys.com/is/image/MCY/15173570 </v>
      </c>
    </row>
    <row r="393" spans="1:12" ht="24.75" x14ac:dyDescent="0.25">
      <c r="A393" s="4" t="s">
        <v>7425</v>
      </c>
      <c r="B393" s="2" t="s">
        <v>1215</v>
      </c>
      <c r="C393" s="3">
        <v>7</v>
      </c>
      <c r="D393" s="5">
        <v>37.130000000000003</v>
      </c>
      <c r="E393" s="3" t="s">
        <v>1216</v>
      </c>
      <c r="F393" s="2" t="s">
        <v>579</v>
      </c>
      <c r="G393" s="6" t="s">
        <v>154</v>
      </c>
      <c r="H393" s="2" t="s">
        <v>194</v>
      </c>
      <c r="I393" s="2" t="s">
        <v>580</v>
      </c>
      <c r="J393" s="2" t="s">
        <v>19</v>
      </c>
      <c r="K393" s="2" t="s">
        <v>247</v>
      </c>
      <c r="L393" s="7" t="str">
        <f>HYPERLINK("http://slimages.macys.com/is/image/MCY/12950186 ")</f>
        <v xml:space="preserve">http://slimages.macys.com/is/image/MCY/12950186 </v>
      </c>
    </row>
    <row r="394" spans="1:12" ht="24.75" x14ac:dyDescent="0.25">
      <c r="A394" s="4" t="s">
        <v>3799</v>
      </c>
      <c r="B394" s="2" t="s">
        <v>1222</v>
      </c>
      <c r="C394" s="3">
        <v>1</v>
      </c>
      <c r="D394" s="5">
        <v>37.130000000000003</v>
      </c>
      <c r="E394" s="3" t="s">
        <v>1223</v>
      </c>
      <c r="F394" s="2" t="s">
        <v>26</v>
      </c>
      <c r="G394" s="6" t="s">
        <v>156</v>
      </c>
      <c r="H394" s="2" t="s">
        <v>194</v>
      </c>
      <c r="I394" s="2" t="s">
        <v>580</v>
      </c>
      <c r="J394" s="2" t="s">
        <v>19</v>
      </c>
      <c r="K394" s="2" t="s">
        <v>247</v>
      </c>
      <c r="L394" s="7" t="str">
        <f>HYPERLINK("http://slimages.macys.com/is/image/MCY/12950179 ")</f>
        <v xml:space="preserve">http://slimages.macys.com/is/image/MCY/12950179 </v>
      </c>
    </row>
    <row r="395" spans="1:12" ht="24.75" x14ac:dyDescent="0.25">
      <c r="A395" s="4" t="s">
        <v>1225</v>
      </c>
      <c r="B395" s="2" t="s">
        <v>1222</v>
      </c>
      <c r="C395" s="3">
        <v>2</v>
      </c>
      <c r="D395" s="5">
        <v>37.130000000000003</v>
      </c>
      <c r="E395" s="3" t="s">
        <v>1223</v>
      </c>
      <c r="F395" s="2" t="s">
        <v>26</v>
      </c>
      <c r="G395" s="6" t="s">
        <v>234</v>
      </c>
      <c r="H395" s="2" t="s">
        <v>194</v>
      </c>
      <c r="I395" s="2" t="s">
        <v>580</v>
      </c>
      <c r="J395" s="2" t="s">
        <v>19</v>
      </c>
      <c r="K395" s="2" t="s">
        <v>247</v>
      </c>
      <c r="L395" s="7" t="str">
        <f>HYPERLINK("http://slimages.macys.com/is/image/MCY/12950179 ")</f>
        <v xml:space="preserve">http://slimages.macys.com/is/image/MCY/12950179 </v>
      </c>
    </row>
    <row r="396" spans="1:12" ht="24.75" x14ac:dyDescent="0.25">
      <c r="A396" s="4" t="s">
        <v>1224</v>
      </c>
      <c r="B396" s="2" t="s">
        <v>1215</v>
      </c>
      <c r="C396" s="3">
        <v>1</v>
      </c>
      <c r="D396" s="5">
        <v>37.130000000000003</v>
      </c>
      <c r="E396" s="3" t="s">
        <v>1216</v>
      </c>
      <c r="F396" s="2" t="s">
        <v>579</v>
      </c>
      <c r="G396" s="6" t="s">
        <v>181</v>
      </c>
      <c r="H396" s="2" t="s">
        <v>194</v>
      </c>
      <c r="I396" s="2" t="s">
        <v>580</v>
      </c>
      <c r="J396" s="2" t="s">
        <v>19</v>
      </c>
      <c r="K396" s="2" t="s">
        <v>247</v>
      </c>
      <c r="L396" s="7" t="str">
        <f>HYPERLINK("http://slimages.macys.com/is/image/MCY/12950186 ")</f>
        <v xml:space="preserve">http://slimages.macys.com/is/image/MCY/12950186 </v>
      </c>
    </row>
    <row r="397" spans="1:12" ht="24.75" x14ac:dyDescent="0.25">
      <c r="A397" s="4" t="s">
        <v>1217</v>
      </c>
      <c r="B397" s="2" t="s">
        <v>1215</v>
      </c>
      <c r="C397" s="3">
        <v>2</v>
      </c>
      <c r="D397" s="5">
        <v>37.130000000000003</v>
      </c>
      <c r="E397" s="3" t="s">
        <v>1216</v>
      </c>
      <c r="F397" s="2" t="s">
        <v>579</v>
      </c>
      <c r="G397" s="6" t="s">
        <v>234</v>
      </c>
      <c r="H397" s="2" t="s">
        <v>194</v>
      </c>
      <c r="I397" s="2" t="s">
        <v>580</v>
      </c>
      <c r="J397" s="2" t="s">
        <v>19</v>
      </c>
      <c r="K397" s="2" t="s">
        <v>247</v>
      </c>
      <c r="L397" s="7" t="str">
        <f>HYPERLINK("http://slimages.macys.com/is/image/MCY/12950186 ")</f>
        <v xml:space="preserve">http://slimages.macys.com/is/image/MCY/12950186 </v>
      </c>
    </row>
    <row r="398" spans="1:12" ht="24.75" x14ac:dyDescent="0.25">
      <c r="A398" s="4" t="s">
        <v>2632</v>
      </c>
      <c r="B398" s="2" t="s">
        <v>1222</v>
      </c>
      <c r="C398" s="3">
        <v>1</v>
      </c>
      <c r="D398" s="5">
        <v>37.130000000000003</v>
      </c>
      <c r="E398" s="3" t="s">
        <v>1223</v>
      </c>
      <c r="F398" s="2" t="s">
        <v>26</v>
      </c>
      <c r="G398" s="6" t="s">
        <v>181</v>
      </c>
      <c r="H398" s="2" t="s">
        <v>194</v>
      </c>
      <c r="I398" s="2" t="s">
        <v>580</v>
      </c>
      <c r="J398" s="2" t="s">
        <v>19</v>
      </c>
      <c r="K398" s="2" t="s">
        <v>247</v>
      </c>
      <c r="L398" s="7" t="str">
        <f>HYPERLINK("http://slimages.macys.com/is/image/MCY/12950179 ")</f>
        <v xml:space="preserve">http://slimages.macys.com/is/image/MCY/12950179 </v>
      </c>
    </row>
    <row r="399" spans="1:12" ht="24.75" x14ac:dyDescent="0.25">
      <c r="A399" s="4" t="s">
        <v>1221</v>
      </c>
      <c r="B399" s="2" t="s">
        <v>1222</v>
      </c>
      <c r="C399" s="3">
        <v>4</v>
      </c>
      <c r="D399" s="5">
        <v>37.130000000000003</v>
      </c>
      <c r="E399" s="3" t="s">
        <v>1223</v>
      </c>
      <c r="F399" s="2" t="s">
        <v>26</v>
      </c>
      <c r="G399" s="6" t="s">
        <v>154</v>
      </c>
      <c r="H399" s="2" t="s">
        <v>194</v>
      </c>
      <c r="I399" s="2" t="s">
        <v>580</v>
      </c>
      <c r="J399" s="2" t="s">
        <v>19</v>
      </c>
      <c r="K399" s="2" t="s">
        <v>247</v>
      </c>
      <c r="L399" s="7" t="str">
        <f>HYPERLINK("http://slimages.macys.com/is/image/MCY/12950179 ")</f>
        <v xml:space="preserve">http://slimages.macys.com/is/image/MCY/12950179 </v>
      </c>
    </row>
    <row r="400" spans="1:12" ht="24.75" x14ac:dyDescent="0.25">
      <c r="A400" s="4" t="s">
        <v>7426</v>
      </c>
      <c r="B400" s="2" t="s">
        <v>1228</v>
      </c>
      <c r="C400" s="3">
        <v>1</v>
      </c>
      <c r="D400" s="5">
        <v>37.130000000000003</v>
      </c>
      <c r="E400" s="3" t="s">
        <v>1229</v>
      </c>
      <c r="F400" s="2" t="s">
        <v>331</v>
      </c>
      <c r="G400" s="6" t="s">
        <v>156</v>
      </c>
      <c r="H400" s="2" t="s">
        <v>246</v>
      </c>
      <c r="I400" s="2" t="s">
        <v>189</v>
      </c>
      <c r="J400" s="2" t="s">
        <v>19</v>
      </c>
      <c r="K400" s="2" t="s">
        <v>1230</v>
      </c>
      <c r="L400" s="7" t="str">
        <f>HYPERLINK("http://slimages.macys.com/is/image/MCY/12048293 ")</f>
        <v xml:space="preserve">http://slimages.macys.com/is/image/MCY/12048293 </v>
      </c>
    </row>
    <row r="401" spans="1:12" ht="24.75" x14ac:dyDescent="0.25">
      <c r="A401" s="4" t="s">
        <v>5820</v>
      </c>
      <c r="B401" s="2" t="s">
        <v>1232</v>
      </c>
      <c r="C401" s="3">
        <v>1</v>
      </c>
      <c r="D401" s="5">
        <v>34.880000000000003</v>
      </c>
      <c r="E401" s="3" t="s">
        <v>1238</v>
      </c>
      <c r="F401" s="2" t="s">
        <v>26</v>
      </c>
      <c r="G401" s="6" t="s">
        <v>106</v>
      </c>
      <c r="H401" s="2" t="s">
        <v>194</v>
      </c>
      <c r="I401" s="2" t="s">
        <v>195</v>
      </c>
      <c r="J401" s="2" t="s">
        <v>19</v>
      </c>
      <c r="K401" s="2" t="s">
        <v>353</v>
      </c>
      <c r="L401" s="7" t="str">
        <f>HYPERLINK("http://slimages.macys.com/is/image/MCY/8312314 ")</f>
        <v xml:space="preserve">http://slimages.macys.com/is/image/MCY/8312314 </v>
      </c>
    </row>
    <row r="402" spans="1:12" ht="24.75" x14ac:dyDescent="0.25">
      <c r="A402" s="4" t="s">
        <v>1237</v>
      </c>
      <c r="B402" s="2" t="s">
        <v>1232</v>
      </c>
      <c r="C402" s="3">
        <v>1</v>
      </c>
      <c r="D402" s="5">
        <v>34.880000000000003</v>
      </c>
      <c r="E402" s="3" t="s">
        <v>1238</v>
      </c>
      <c r="F402" s="2" t="s">
        <v>26</v>
      </c>
      <c r="G402" s="6" t="s">
        <v>22</v>
      </c>
      <c r="H402" s="2" t="s">
        <v>194</v>
      </c>
      <c r="I402" s="2" t="s">
        <v>195</v>
      </c>
      <c r="J402" s="2" t="s">
        <v>19</v>
      </c>
      <c r="K402" s="2" t="s">
        <v>353</v>
      </c>
      <c r="L402" s="7" t="str">
        <f>HYPERLINK("http://slimages.macys.com/is/image/MCY/8312314 ")</f>
        <v xml:space="preserve">http://slimages.macys.com/is/image/MCY/8312314 </v>
      </c>
    </row>
    <row r="403" spans="1:12" ht="24.75" x14ac:dyDescent="0.25">
      <c r="A403" s="4" t="s">
        <v>7427</v>
      </c>
      <c r="B403" s="2" t="s">
        <v>1232</v>
      </c>
      <c r="C403" s="3">
        <v>1</v>
      </c>
      <c r="D403" s="5">
        <v>34.5</v>
      </c>
      <c r="E403" s="3" t="s">
        <v>1236</v>
      </c>
      <c r="F403" s="2" t="s">
        <v>506</v>
      </c>
      <c r="G403" s="6" t="s">
        <v>27</v>
      </c>
      <c r="H403" s="2" t="s">
        <v>194</v>
      </c>
      <c r="I403" s="2" t="s">
        <v>195</v>
      </c>
      <c r="J403" s="2" t="s">
        <v>19</v>
      </c>
      <c r="K403" s="2" t="s">
        <v>353</v>
      </c>
      <c r="L403" s="7" t="str">
        <f>HYPERLINK("http://slimages.macys.com/is/image/MCY/8312314 ")</f>
        <v xml:space="preserve">http://slimages.macys.com/is/image/MCY/8312314 </v>
      </c>
    </row>
    <row r="404" spans="1:12" ht="24.75" x14ac:dyDescent="0.25">
      <c r="A404" s="4" t="s">
        <v>2634</v>
      </c>
      <c r="B404" s="2" t="s">
        <v>1232</v>
      </c>
      <c r="C404" s="3">
        <v>1</v>
      </c>
      <c r="D404" s="5">
        <v>34.5</v>
      </c>
      <c r="E404" s="3" t="s">
        <v>1236</v>
      </c>
      <c r="F404" s="2" t="s">
        <v>506</v>
      </c>
      <c r="G404" s="6" t="s">
        <v>112</v>
      </c>
      <c r="H404" s="2" t="s">
        <v>194</v>
      </c>
      <c r="I404" s="2" t="s">
        <v>195</v>
      </c>
      <c r="J404" s="2" t="s">
        <v>19</v>
      </c>
      <c r="K404" s="2" t="s">
        <v>353</v>
      </c>
      <c r="L404" s="7" t="str">
        <f>HYPERLINK("http://slimages.macys.com/is/image/MCY/8312314 ")</f>
        <v xml:space="preserve">http://slimages.macys.com/is/image/MCY/8312314 </v>
      </c>
    </row>
    <row r="405" spans="1:12" ht="24.75" x14ac:dyDescent="0.25">
      <c r="A405" s="4" t="s">
        <v>7428</v>
      </c>
      <c r="B405" s="2" t="s">
        <v>7429</v>
      </c>
      <c r="C405" s="3">
        <v>1</v>
      </c>
      <c r="D405" s="5">
        <v>24.99</v>
      </c>
      <c r="E405" s="3">
        <v>100037992</v>
      </c>
      <c r="F405" s="2" t="s">
        <v>417</v>
      </c>
      <c r="G405" s="6" t="s">
        <v>22</v>
      </c>
      <c r="H405" s="2" t="s">
        <v>228</v>
      </c>
      <c r="I405" s="2" t="s">
        <v>857</v>
      </c>
      <c r="J405" s="2" t="s">
        <v>19</v>
      </c>
      <c r="K405" s="2" t="s">
        <v>495</v>
      </c>
      <c r="L405" s="7" t="str">
        <f>HYPERLINK("http://slimages.macys.com/is/image/MCY/10242349 ")</f>
        <v xml:space="preserve">http://slimages.macys.com/is/image/MCY/10242349 </v>
      </c>
    </row>
    <row r="406" spans="1:12" ht="24.75" x14ac:dyDescent="0.25">
      <c r="A406" s="4" t="s">
        <v>7430</v>
      </c>
      <c r="B406" s="2" t="s">
        <v>1327</v>
      </c>
      <c r="C406" s="3">
        <v>1</v>
      </c>
      <c r="D406" s="5">
        <v>34.880000000000003</v>
      </c>
      <c r="E406" s="3" t="s">
        <v>3808</v>
      </c>
      <c r="F406" s="2" t="s">
        <v>506</v>
      </c>
      <c r="G406" s="6" t="s">
        <v>106</v>
      </c>
      <c r="H406" s="2" t="s">
        <v>194</v>
      </c>
      <c r="I406" s="2" t="s">
        <v>195</v>
      </c>
      <c r="J406" s="2" t="s">
        <v>19</v>
      </c>
      <c r="K406" s="2" t="s">
        <v>353</v>
      </c>
      <c r="L406" s="7" t="str">
        <f>HYPERLINK("http://slimages.macys.com/is/image/MCY/12033298 ")</f>
        <v xml:space="preserve">http://slimages.macys.com/is/image/MCY/12033298 </v>
      </c>
    </row>
    <row r="407" spans="1:12" ht="24.75" x14ac:dyDescent="0.25">
      <c r="A407" s="4" t="s">
        <v>7431</v>
      </c>
      <c r="B407" s="2" t="s">
        <v>1244</v>
      </c>
      <c r="C407" s="3">
        <v>1</v>
      </c>
      <c r="D407" s="5">
        <v>37.130000000000003</v>
      </c>
      <c r="E407" s="3">
        <v>100058183</v>
      </c>
      <c r="F407" s="2" t="s">
        <v>15</v>
      </c>
      <c r="G407" s="6" t="s">
        <v>106</v>
      </c>
      <c r="H407" s="2" t="s">
        <v>194</v>
      </c>
      <c r="I407" s="2" t="s">
        <v>195</v>
      </c>
      <c r="J407" s="2" t="s">
        <v>19</v>
      </c>
      <c r="K407" s="2" t="s">
        <v>353</v>
      </c>
      <c r="L407" s="7" t="str">
        <f>HYPERLINK("http://slimages.macys.com/is/image/MCY/12793647 ")</f>
        <v xml:space="preserve">http://slimages.macys.com/is/image/MCY/12793647 </v>
      </c>
    </row>
    <row r="408" spans="1:12" ht="24.75" x14ac:dyDescent="0.25">
      <c r="A408" s="4" t="s">
        <v>7432</v>
      </c>
      <c r="B408" s="2" t="s">
        <v>1244</v>
      </c>
      <c r="C408" s="3">
        <v>1</v>
      </c>
      <c r="D408" s="5">
        <v>37.130000000000003</v>
      </c>
      <c r="E408" s="3">
        <v>100058183</v>
      </c>
      <c r="F408" s="2" t="s">
        <v>15</v>
      </c>
      <c r="G408" s="6" t="s">
        <v>22</v>
      </c>
      <c r="H408" s="2" t="s">
        <v>194</v>
      </c>
      <c r="I408" s="2" t="s">
        <v>195</v>
      </c>
      <c r="J408" s="2" t="s">
        <v>19</v>
      </c>
      <c r="K408" s="2" t="s">
        <v>353</v>
      </c>
      <c r="L408" s="7" t="str">
        <f>HYPERLINK("http://slimages.macys.com/is/image/MCY/12793647 ")</f>
        <v xml:space="preserve">http://slimages.macys.com/is/image/MCY/12793647 </v>
      </c>
    </row>
    <row r="409" spans="1:12" ht="24.75" x14ac:dyDescent="0.25">
      <c r="A409" s="4" t="s">
        <v>2644</v>
      </c>
      <c r="B409" s="2" t="s">
        <v>1244</v>
      </c>
      <c r="C409" s="3">
        <v>1</v>
      </c>
      <c r="D409" s="5">
        <v>37.130000000000003</v>
      </c>
      <c r="E409" s="3">
        <v>100058183</v>
      </c>
      <c r="F409" s="2" t="s">
        <v>15</v>
      </c>
      <c r="G409" s="6" t="s">
        <v>27</v>
      </c>
      <c r="H409" s="2" t="s">
        <v>194</v>
      </c>
      <c r="I409" s="2" t="s">
        <v>195</v>
      </c>
      <c r="J409" s="2" t="s">
        <v>19</v>
      </c>
      <c r="K409" s="2" t="s">
        <v>353</v>
      </c>
      <c r="L409" s="7" t="str">
        <f>HYPERLINK("http://slimages.macys.com/is/image/MCY/12793647 ")</f>
        <v xml:space="preserve">http://slimages.macys.com/is/image/MCY/12793647 </v>
      </c>
    </row>
    <row r="410" spans="1:12" ht="24.75" x14ac:dyDescent="0.25">
      <c r="A410" s="4" t="s">
        <v>3811</v>
      </c>
      <c r="B410" s="2" t="s">
        <v>1244</v>
      </c>
      <c r="C410" s="3">
        <v>1</v>
      </c>
      <c r="D410" s="5">
        <v>37.130000000000003</v>
      </c>
      <c r="E410" s="3">
        <v>100058183</v>
      </c>
      <c r="F410" s="2" t="s">
        <v>26</v>
      </c>
      <c r="G410" s="6" t="s">
        <v>22</v>
      </c>
      <c r="H410" s="2" t="s">
        <v>194</v>
      </c>
      <c r="I410" s="2" t="s">
        <v>195</v>
      </c>
      <c r="J410" s="2" t="s">
        <v>19</v>
      </c>
      <c r="K410" s="2" t="s">
        <v>353</v>
      </c>
      <c r="L410" s="7" t="str">
        <f>HYPERLINK("http://slimages.macys.com/is/image/MCY/12793647 ")</f>
        <v xml:space="preserve">http://slimages.macys.com/is/image/MCY/12793647 </v>
      </c>
    </row>
    <row r="411" spans="1:12" ht="24.75" x14ac:dyDescent="0.25">
      <c r="A411" s="4" t="s">
        <v>3805</v>
      </c>
      <c r="B411" s="2" t="s">
        <v>1244</v>
      </c>
      <c r="C411" s="3">
        <v>1</v>
      </c>
      <c r="D411" s="5">
        <v>37.130000000000003</v>
      </c>
      <c r="E411" s="3">
        <v>100058183</v>
      </c>
      <c r="F411" s="2" t="s">
        <v>26</v>
      </c>
      <c r="G411" s="6" t="s">
        <v>65</v>
      </c>
      <c r="H411" s="2" t="s">
        <v>194</v>
      </c>
      <c r="I411" s="2" t="s">
        <v>195</v>
      </c>
      <c r="J411" s="2" t="s">
        <v>19</v>
      </c>
      <c r="K411" s="2" t="s">
        <v>353</v>
      </c>
      <c r="L411" s="7" t="str">
        <f>HYPERLINK("http://slimages.macys.com/is/image/MCY/12793647 ")</f>
        <v xml:space="preserve">http://slimages.macys.com/is/image/MCY/12793647 </v>
      </c>
    </row>
    <row r="412" spans="1:12" ht="24.75" x14ac:dyDescent="0.25">
      <c r="A412" s="4" t="s">
        <v>1247</v>
      </c>
      <c r="B412" s="2" t="s">
        <v>1232</v>
      </c>
      <c r="C412" s="3">
        <v>5</v>
      </c>
      <c r="D412" s="5">
        <v>34.880000000000003</v>
      </c>
      <c r="E412" s="3" t="s">
        <v>1246</v>
      </c>
      <c r="F412" s="2" t="s">
        <v>74</v>
      </c>
      <c r="G412" s="6" t="s">
        <v>336</v>
      </c>
      <c r="H412" s="2" t="s">
        <v>312</v>
      </c>
      <c r="I412" s="2" t="s">
        <v>195</v>
      </c>
      <c r="J412" s="2" t="s">
        <v>19</v>
      </c>
      <c r="K412" s="2" t="s">
        <v>353</v>
      </c>
      <c r="L412" s="7" t="str">
        <f>HYPERLINK("http://slimages.macys.com/is/image/MCY/8256708 ")</f>
        <v xml:space="preserve">http://slimages.macys.com/is/image/MCY/8256708 </v>
      </c>
    </row>
    <row r="413" spans="1:12" ht="24.75" x14ac:dyDescent="0.25">
      <c r="A413" s="4" t="s">
        <v>2650</v>
      </c>
      <c r="B413" s="2" t="s">
        <v>1232</v>
      </c>
      <c r="C413" s="3">
        <v>2</v>
      </c>
      <c r="D413" s="5">
        <v>34.880000000000003</v>
      </c>
      <c r="E413" s="3" t="s">
        <v>1246</v>
      </c>
      <c r="F413" s="2" t="s">
        <v>74</v>
      </c>
      <c r="G413" s="6" t="s">
        <v>126</v>
      </c>
      <c r="H413" s="2" t="s">
        <v>312</v>
      </c>
      <c r="I413" s="2" t="s">
        <v>195</v>
      </c>
      <c r="J413" s="2" t="s">
        <v>19</v>
      </c>
      <c r="K413" s="2" t="s">
        <v>353</v>
      </c>
      <c r="L413" s="7" t="str">
        <f>HYPERLINK("http://slimages.macys.com/is/image/MCY/8256708 ")</f>
        <v xml:space="preserve">http://slimages.macys.com/is/image/MCY/8256708 </v>
      </c>
    </row>
    <row r="414" spans="1:12" ht="24.75" x14ac:dyDescent="0.25">
      <c r="A414" s="4" t="s">
        <v>1248</v>
      </c>
      <c r="B414" s="2" t="s">
        <v>1232</v>
      </c>
      <c r="C414" s="3">
        <v>1</v>
      </c>
      <c r="D414" s="5">
        <v>34.880000000000003</v>
      </c>
      <c r="E414" s="3" t="s">
        <v>1246</v>
      </c>
      <c r="F414" s="2" t="s">
        <v>74</v>
      </c>
      <c r="G414" s="6" t="s">
        <v>205</v>
      </c>
      <c r="H414" s="2" t="s">
        <v>312</v>
      </c>
      <c r="I414" s="2" t="s">
        <v>195</v>
      </c>
      <c r="J414" s="2" t="s">
        <v>19</v>
      </c>
      <c r="K414" s="2" t="s">
        <v>353</v>
      </c>
      <c r="L414" s="7" t="str">
        <f>HYPERLINK("http://slimages.macys.com/is/image/MCY/8256708 ")</f>
        <v xml:space="preserve">http://slimages.macys.com/is/image/MCY/8256708 </v>
      </c>
    </row>
    <row r="415" spans="1:12" ht="24.75" x14ac:dyDescent="0.25">
      <c r="A415" s="4" t="s">
        <v>7433</v>
      </c>
      <c r="B415" s="2" t="s">
        <v>1232</v>
      </c>
      <c r="C415" s="3">
        <v>1</v>
      </c>
      <c r="D415" s="5">
        <v>34.880000000000003</v>
      </c>
      <c r="E415" s="3" t="s">
        <v>1246</v>
      </c>
      <c r="F415" s="2" t="s">
        <v>74</v>
      </c>
      <c r="G415" s="6" t="s">
        <v>363</v>
      </c>
      <c r="H415" s="2" t="s">
        <v>312</v>
      </c>
      <c r="I415" s="2" t="s">
        <v>195</v>
      </c>
      <c r="J415" s="2" t="s">
        <v>19</v>
      </c>
      <c r="K415" s="2" t="s">
        <v>353</v>
      </c>
      <c r="L415" s="7" t="str">
        <f>HYPERLINK("http://slimages.macys.com/is/image/MCY/8256708 ")</f>
        <v xml:space="preserve">http://slimages.macys.com/is/image/MCY/8256708 </v>
      </c>
    </row>
    <row r="416" spans="1:12" ht="24.75" x14ac:dyDescent="0.25">
      <c r="A416" s="4" t="s">
        <v>7434</v>
      </c>
      <c r="B416" s="2" t="s">
        <v>1250</v>
      </c>
      <c r="C416" s="3">
        <v>1</v>
      </c>
      <c r="D416" s="5">
        <v>34.5</v>
      </c>
      <c r="E416" s="3">
        <v>100003654</v>
      </c>
      <c r="F416" s="2" t="s">
        <v>417</v>
      </c>
      <c r="G416" s="6" t="s">
        <v>141</v>
      </c>
      <c r="H416" s="2" t="s">
        <v>228</v>
      </c>
      <c r="I416" s="2" t="s">
        <v>229</v>
      </c>
      <c r="J416" s="2" t="s">
        <v>19</v>
      </c>
      <c r="K416" s="2" t="s">
        <v>1251</v>
      </c>
      <c r="L416" s="7" t="str">
        <f t="shared" ref="L416:L421" si="5">HYPERLINK("http://slimages.macys.com/is/image/MCY/9100235 ")</f>
        <v xml:space="preserve">http://slimages.macys.com/is/image/MCY/9100235 </v>
      </c>
    </row>
    <row r="417" spans="1:12" ht="24.75" x14ac:dyDescent="0.25">
      <c r="A417" s="4" t="s">
        <v>7435</v>
      </c>
      <c r="B417" s="2" t="s">
        <v>1250</v>
      </c>
      <c r="C417" s="3">
        <v>1</v>
      </c>
      <c r="D417" s="5">
        <v>34.5</v>
      </c>
      <c r="E417" s="3">
        <v>100003654</v>
      </c>
      <c r="F417" s="2" t="s">
        <v>417</v>
      </c>
      <c r="G417" s="6" t="s">
        <v>65</v>
      </c>
      <c r="H417" s="2" t="s">
        <v>228</v>
      </c>
      <c r="I417" s="2" t="s">
        <v>229</v>
      </c>
      <c r="J417" s="2" t="s">
        <v>19</v>
      </c>
      <c r="K417" s="2" t="s">
        <v>1251</v>
      </c>
      <c r="L417" s="7" t="str">
        <f t="shared" si="5"/>
        <v xml:space="preserve">http://slimages.macys.com/is/image/MCY/9100235 </v>
      </c>
    </row>
    <row r="418" spans="1:12" ht="24.75" x14ac:dyDescent="0.25">
      <c r="A418" s="4" t="s">
        <v>7436</v>
      </c>
      <c r="B418" s="2" t="s">
        <v>1250</v>
      </c>
      <c r="C418" s="3">
        <v>1</v>
      </c>
      <c r="D418" s="5">
        <v>34.5</v>
      </c>
      <c r="E418" s="3">
        <v>100003654</v>
      </c>
      <c r="F418" s="2" t="s">
        <v>417</v>
      </c>
      <c r="G418" s="6" t="s">
        <v>106</v>
      </c>
      <c r="H418" s="2" t="s">
        <v>228</v>
      </c>
      <c r="I418" s="2" t="s">
        <v>229</v>
      </c>
      <c r="J418" s="2" t="s">
        <v>19</v>
      </c>
      <c r="K418" s="2" t="s">
        <v>1251</v>
      </c>
      <c r="L418" s="7" t="str">
        <f t="shared" si="5"/>
        <v xml:space="preserve">http://slimages.macys.com/is/image/MCY/9100235 </v>
      </c>
    </row>
    <row r="419" spans="1:12" ht="24.75" x14ac:dyDescent="0.25">
      <c r="A419" s="4" t="s">
        <v>7437</v>
      </c>
      <c r="B419" s="2" t="s">
        <v>1250</v>
      </c>
      <c r="C419" s="3">
        <v>2</v>
      </c>
      <c r="D419" s="5">
        <v>34.5</v>
      </c>
      <c r="E419" s="3">
        <v>100003653</v>
      </c>
      <c r="F419" s="2" t="s">
        <v>417</v>
      </c>
      <c r="G419" s="6" t="s">
        <v>16</v>
      </c>
      <c r="H419" s="2" t="s">
        <v>228</v>
      </c>
      <c r="I419" s="2" t="s">
        <v>229</v>
      </c>
      <c r="J419" s="2" t="s">
        <v>19</v>
      </c>
      <c r="K419" s="2" t="s">
        <v>1251</v>
      </c>
      <c r="L419" s="7" t="str">
        <f t="shared" si="5"/>
        <v xml:space="preserve">http://slimages.macys.com/is/image/MCY/9100235 </v>
      </c>
    </row>
    <row r="420" spans="1:12" ht="24.75" x14ac:dyDescent="0.25">
      <c r="A420" s="4" t="s">
        <v>7438</v>
      </c>
      <c r="B420" s="2" t="s">
        <v>1250</v>
      </c>
      <c r="C420" s="3">
        <v>3</v>
      </c>
      <c r="D420" s="5">
        <v>34.5</v>
      </c>
      <c r="E420" s="3">
        <v>100003654</v>
      </c>
      <c r="F420" s="2" t="s">
        <v>417</v>
      </c>
      <c r="G420" s="6" t="s">
        <v>58</v>
      </c>
      <c r="H420" s="2" t="s">
        <v>228</v>
      </c>
      <c r="I420" s="2" t="s">
        <v>229</v>
      </c>
      <c r="J420" s="2" t="s">
        <v>19</v>
      </c>
      <c r="K420" s="2" t="s">
        <v>1251</v>
      </c>
      <c r="L420" s="7" t="str">
        <f t="shared" si="5"/>
        <v xml:space="preserve">http://slimages.macys.com/is/image/MCY/9100235 </v>
      </c>
    </row>
    <row r="421" spans="1:12" ht="24.75" x14ac:dyDescent="0.25">
      <c r="A421" s="4" t="s">
        <v>7439</v>
      </c>
      <c r="B421" s="2" t="s">
        <v>1250</v>
      </c>
      <c r="C421" s="3">
        <v>1</v>
      </c>
      <c r="D421" s="5">
        <v>34.5</v>
      </c>
      <c r="E421" s="3">
        <v>100003653</v>
      </c>
      <c r="F421" s="2" t="s">
        <v>417</v>
      </c>
      <c r="G421" s="6" t="s">
        <v>27</v>
      </c>
      <c r="H421" s="2" t="s">
        <v>228</v>
      </c>
      <c r="I421" s="2" t="s">
        <v>229</v>
      </c>
      <c r="J421" s="2" t="s">
        <v>19</v>
      </c>
      <c r="K421" s="2" t="s">
        <v>1251</v>
      </c>
      <c r="L421" s="7" t="str">
        <f t="shared" si="5"/>
        <v xml:space="preserve">http://slimages.macys.com/is/image/MCY/9100235 </v>
      </c>
    </row>
    <row r="422" spans="1:12" ht="24.75" x14ac:dyDescent="0.25">
      <c r="A422" s="4" t="s">
        <v>7440</v>
      </c>
      <c r="B422" s="2" t="s">
        <v>1327</v>
      </c>
      <c r="C422" s="3">
        <v>1</v>
      </c>
      <c r="D422" s="5">
        <v>34.880000000000003</v>
      </c>
      <c r="E422" s="3" t="s">
        <v>7441</v>
      </c>
      <c r="F422" s="2" t="s">
        <v>676</v>
      </c>
      <c r="G422" s="6" t="s">
        <v>336</v>
      </c>
      <c r="H422" s="2" t="s">
        <v>312</v>
      </c>
      <c r="I422" s="2" t="s">
        <v>195</v>
      </c>
      <c r="J422" s="2" t="s">
        <v>19</v>
      </c>
      <c r="K422" s="2" t="s">
        <v>353</v>
      </c>
      <c r="L422" s="7" t="str">
        <f>HYPERLINK("http://slimages.macys.com/is/image/MCY/8256708 ")</f>
        <v xml:space="preserve">http://slimages.macys.com/is/image/MCY/8256708 </v>
      </c>
    </row>
    <row r="423" spans="1:12" ht="24.75" x14ac:dyDescent="0.25">
      <c r="A423" s="4" t="s">
        <v>7442</v>
      </c>
      <c r="B423" s="2" t="s">
        <v>1416</v>
      </c>
      <c r="C423" s="3">
        <v>2</v>
      </c>
      <c r="D423" s="5">
        <v>21.99</v>
      </c>
      <c r="E423" s="3" t="s">
        <v>4910</v>
      </c>
      <c r="F423" s="2" t="s">
        <v>70</v>
      </c>
      <c r="G423" s="6" t="s">
        <v>126</v>
      </c>
      <c r="H423" s="2" t="s">
        <v>312</v>
      </c>
      <c r="I423" s="2" t="s">
        <v>195</v>
      </c>
      <c r="J423" s="2" t="s">
        <v>19</v>
      </c>
      <c r="K423" s="2" t="s">
        <v>353</v>
      </c>
      <c r="L423" s="7" t="str">
        <f>HYPERLINK("http://slimages.macys.com/is/image/MCY/16058397 ")</f>
        <v xml:space="preserve">http://slimages.macys.com/is/image/MCY/16058397 </v>
      </c>
    </row>
    <row r="424" spans="1:12" ht="24.75" x14ac:dyDescent="0.25">
      <c r="A424" s="4" t="s">
        <v>7443</v>
      </c>
      <c r="B424" s="2" t="s">
        <v>1327</v>
      </c>
      <c r="C424" s="3">
        <v>1</v>
      </c>
      <c r="D424" s="5">
        <v>34.880000000000003</v>
      </c>
      <c r="E424" s="3" t="s">
        <v>7441</v>
      </c>
      <c r="F424" s="2" t="s">
        <v>676</v>
      </c>
      <c r="G424" s="6" t="s">
        <v>165</v>
      </c>
      <c r="H424" s="2" t="s">
        <v>312</v>
      </c>
      <c r="I424" s="2" t="s">
        <v>195</v>
      </c>
      <c r="J424" s="2" t="s">
        <v>19</v>
      </c>
      <c r="K424" s="2" t="s">
        <v>353</v>
      </c>
      <c r="L424" s="7" t="str">
        <f>HYPERLINK("http://slimages.macys.com/is/image/MCY/8256708 ")</f>
        <v xml:space="preserve">http://slimages.macys.com/is/image/MCY/8256708 </v>
      </c>
    </row>
    <row r="425" spans="1:12" ht="24.75" x14ac:dyDescent="0.25">
      <c r="A425" s="4" t="s">
        <v>7444</v>
      </c>
      <c r="B425" s="2" t="s">
        <v>1253</v>
      </c>
      <c r="C425" s="3">
        <v>1</v>
      </c>
      <c r="D425" s="5">
        <v>24.99</v>
      </c>
      <c r="E425" s="3" t="s">
        <v>1254</v>
      </c>
      <c r="F425" s="2" t="s">
        <v>15</v>
      </c>
      <c r="G425" s="6" t="s">
        <v>363</v>
      </c>
      <c r="H425" s="2" t="s">
        <v>426</v>
      </c>
      <c r="I425" s="2" t="s">
        <v>229</v>
      </c>
      <c r="J425" s="2" t="s">
        <v>19</v>
      </c>
      <c r="K425" s="2" t="s">
        <v>253</v>
      </c>
      <c r="L425" s="7" t="str">
        <f>HYPERLINK("http://slimages.macys.com/is/image/MCY/9029356 ")</f>
        <v xml:space="preserve">http://slimages.macys.com/is/image/MCY/9029356 </v>
      </c>
    </row>
    <row r="426" spans="1:12" ht="24.75" x14ac:dyDescent="0.25">
      <c r="A426" s="4" t="s">
        <v>7445</v>
      </c>
      <c r="B426" s="2" t="s">
        <v>1259</v>
      </c>
      <c r="C426" s="3">
        <v>1</v>
      </c>
      <c r="D426" s="5">
        <v>36.75</v>
      </c>
      <c r="E426" s="3" t="s">
        <v>7446</v>
      </c>
      <c r="F426" s="2" t="s">
        <v>74</v>
      </c>
      <c r="G426" s="6" t="s">
        <v>165</v>
      </c>
      <c r="H426" s="2" t="s">
        <v>426</v>
      </c>
      <c r="I426" s="2" t="s">
        <v>229</v>
      </c>
      <c r="J426" s="2" t="s">
        <v>19</v>
      </c>
      <c r="K426" s="2" t="s">
        <v>253</v>
      </c>
      <c r="L426" s="7" t="str">
        <f>HYPERLINK("http://slimages.macys.com/is/image/MCY/10334558 ")</f>
        <v xml:space="preserve">http://slimages.macys.com/is/image/MCY/10334558 </v>
      </c>
    </row>
    <row r="427" spans="1:12" ht="24.75" x14ac:dyDescent="0.25">
      <c r="A427" s="4" t="s">
        <v>7447</v>
      </c>
      <c r="B427" s="2" t="s">
        <v>1259</v>
      </c>
      <c r="C427" s="3">
        <v>1</v>
      </c>
      <c r="D427" s="5">
        <v>36.75</v>
      </c>
      <c r="E427" s="3" t="s">
        <v>7446</v>
      </c>
      <c r="F427" s="2" t="s">
        <v>74</v>
      </c>
      <c r="G427" s="6" t="s">
        <v>238</v>
      </c>
      <c r="H427" s="2" t="s">
        <v>426</v>
      </c>
      <c r="I427" s="2" t="s">
        <v>229</v>
      </c>
      <c r="J427" s="2" t="s">
        <v>19</v>
      </c>
      <c r="K427" s="2" t="s">
        <v>253</v>
      </c>
      <c r="L427" s="7" t="str">
        <f>HYPERLINK("http://slimages.macys.com/is/image/MCY/10334558 ")</f>
        <v xml:space="preserve">http://slimages.macys.com/is/image/MCY/10334558 </v>
      </c>
    </row>
    <row r="428" spans="1:12" ht="24.75" x14ac:dyDescent="0.25">
      <c r="A428" s="4" t="s">
        <v>7448</v>
      </c>
      <c r="B428" s="2" t="s">
        <v>7449</v>
      </c>
      <c r="C428" s="3">
        <v>1</v>
      </c>
      <c r="D428" s="5">
        <v>44.63</v>
      </c>
      <c r="E428" s="3" t="s">
        <v>7450</v>
      </c>
      <c r="F428" s="2" t="s">
        <v>132</v>
      </c>
      <c r="G428" s="6" t="s">
        <v>234</v>
      </c>
      <c r="H428" s="2" t="s">
        <v>246</v>
      </c>
      <c r="I428" s="2" t="s">
        <v>189</v>
      </c>
      <c r="J428" s="2" t="s">
        <v>19</v>
      </c>
      <c r="K428" s="2" t="s">
        <v>438</v>
      </c>
      <c r="L428" s="7" t="str">
        <f>HYPERLINK("http://slimages.macys.com/is/image/MCY/13330096 ")</f>
        <v xml:space="preserve">http://slimages.macys.com/is/image/MCY/13330096 </v>
      </c>
    </row>
    <row r="429" spans="1:12" ht="24.75" x14ac:dyDescent="0.25">
      <c r="A429" s="4" t="s">
        <v>3835</v>
      </c>
      <c r="B429" s="2" t="s">
        <v>1265</v>
      </c>
      <c r="C429" s="3">
        <v>1</v>
      </c>
      <c r="D429" s="5">
        <v>37.130000000000003</v>
      </c>
      <c r="E429" s="3">
        <v>100020742</v>
      </c>
      <c r="F429" s="2" t="s">
        <v>132</v>
      </c>
      <c r="G429" s="6" t="s">
        <v>200</v>
      </c>
      <c r="H429" s="2" t="s">
        <v>194</v>
      </c>
      <c r="I429" s="2" t="s">
        <v>503</v>
      </c>
      <c r="J429" s="2" t="s">
        <v>19</v>
      </c>
      <c r="K429" s="2" t="s">
        <v>201</v>
      </c>
      <c r="L429" s="7" t="str">
        <f>HYPERLINK("http://slimages.macys.com/is/image/MCY/12035316 ")</f>
        <v xml:space="preserve">http://slimages.macys.com/is/image/MCY/12035316 </v>
      </c>
    </row>
    <row r="430" spans="1:12" ht="24.75" x14ac:dyDescent="0.25">
      <c r="A430" s="4" t="s">
        <v>7451</v>
      </c>
      <c r="B430" s="2" t="s">
        <v>7452</v>
      </c>
      <c r="C430" s="3">
        <v>1</v>
      </c>
      <c r="D430" s="5">
        <v>27.99</v>
      </c>
      <c r="E430" s="3" t="s">
        <v>7453</v>
      </c>
      <c r="F430" s="2" t="s">
        <v>26</v>
      </c>
      <c r="G430" s="6" t="s">
        <v>156</v>
      </c>
      <c r="H430" s="2" t="s">
        <v>1522</v>
      </c>
      <c r="I430" s="2" t="s">
        <v>1469</v>
      </c>
      <c r="J430" s="2" t="s">
        <v>19</v>
      </c>
      <c r="K430" s="2" t="s">
        <v>353</v>
      </c>
      <c r="L430" s="7" t="str">
        <f>HYPERLINK("http://slimages.macys.com/is/image/MCY/11809180 ")</f>
        <v xml:space="preserve">http://slimages.macys.com/is/image/MCY/11809180 </v>
      </c>
    </row>
    <row r="431" spans="1:12" ht="24.75" x14ac:dyDescent="0.25">
      <c r="A431" s="4" t="s">
        <v>7454</v>
      </c>
      <c r="B431" s="2" t="s">
        <v>7452</v>
      </c>
      <c r="C431" s="3">
        <v>2</v>
      </c>
      <c r="D431" s="5">
        <v>27.99</v>
      </c>
      <c r="E431" s="3" t="s">
        <v>7453</v>
      </c>
      <c r="F431" s="2" t="s">
        <v>26</v>
      </c>
      <c r="G431" s="6" t="s">
        <v>234</v>
      </c>
      <c r="H431" s="2" t="s">
        <v>1522</v>
      </c>
      <c r="I431" s="2" t="s">
        <v>1469</v>
      </c>
      <c r="J431" s="2" t="s">
        <v>19</v>
      </c>
      <c r="K431" s="2" t="s">
        <v>353</v>
      </c>
      <c r="L431" s="7" t="str">
        <f>HYPERLINK("http://slimages.macys.com/is/image/MCY/11809180 ")</f>
        <v xml:space="preserve">http://slimages.macys.com/is/image/MCY/11809180 </v>
      </c>
    </row>
    <row r="432" spans="1:12" ht="24.75" x14ac:dyDescent="0.25">
      <c r="A432" s="4" t="s">
        <v>7455</v>
      </c>
      <c r="B432" s="2" t="s">
        <v>7452</v>
      </c>
      <c r="C432" s="3">
        <v>1</v>
      </c>
      <c r="D432" s="5">
        <v>27.99</v>
      </c>
      <c r="E432" s="3" t="s">
        <v>7453</v>
      </c>
      <c r="F432" s="2" t="s">
        <v>26</v>
      </c>
      <c r="G432" s="6" t="s">
        <v>154</v>
      </c>
      <c r="H432" s="2" t="s">
        <v>1522</v>
      </c>
      <c r="I432" s="2" t="s">
        <v>1469</v>
      </c>
      <c r="J432" s="2" t="s">
        <v>19</v>
      </c>
      <c r="K432" s="2" t="s">
        <v>353</v>
      </c>
      <c r="L432" s="7" t="str">
        <f>HYPERLINK("http://slimages.macys.com/is/image/MCY/11809180 ")</f>
        <v xml:space="preserve">http://slimages.macys.com/is/image/MCY/11809180 </v>
      </c>
    </row>
    <row r="433" spans="1:12" ht="24.75" x14ac:dyDescent="0.25">
      <c r="A433" s="4" t="s">
        <v>7456</v>
      </c>
      <c r="B433" s="2" t="s">
        <v>7452</v>
      </c>
      <c r="C433" s="3">
        <v>1</v>
      </c>
      <c r="D433" s="5">
        <v>27.99</v>
      </c>
      <c r="E433" s="3" t="s">
        <v>7453</v>
      </c>
      <c r="F433" s="2" t="s">
        <v>26</v>
      </c>
      <c r="G433" s="6" t="s">
        <v>200</v>
      </c>
      <c r="H433" s="2" t="s">
        <v>1522</v>
      </c>
      <c r="I433" s="2" t="s">
        <v>1469</v>
      </c>
      <c r="J433" s="2" t="s">
        <v>19</v>
      </c>
      <c r="K433" s="2" t="s">
        <v>353</v>
      </c>
      <c r="L433" s="7" t="str">
        <f>HYPERLINK("http://slimages.macys.com/is/image/MCY/11809180 ")</f>
        <v xml:space="preserve">http://slimages.macys.com/is/image/MCY/11809180 </v>
      </c>
    </row>
    <row r="434" spans="1:12" ht="24.75" x14ac:dyDescent="0.25">
      <c r="A434" s="4" t="s">
        <v>5848</v>
      </c>
      <c r="B434" s="2" t="s">
        <v>1274</v>
      </c>
      <c r="C434" s="3">
        <v>1</v>
      </c>
      <c r="D434" s="5">
        <v>33.380000000000003</v>
      </c>
      <c r="E434" s="3" t="s">
        <v>1275</v>
      </c>
      <c r="F434" s="2" t="s">
        <v>26</v>
      </c>
      <c r="G434" s="6" t="s">
        <v>181</v>
      </c>
      <c r="H434" s="2" t="s">
        <v>194</v>
      </c>
      <c r="I434" s="2" t="s">
        <v>195</v>
      </c>
      <c r="J434" s="2" t="s">
        <v>19</v>
      </c>
      <c r="K434" s="2" t="s">
        <v>107</v>
      </c>
      <c r="L434" s="7" t="str">
        <f>HYPERLINK("http://slimages.macys.com/is/image/MCY/12850892 ")</f>
        <v xml:space="preserve">http://slimages.macys.com/is/image/MCY/12850892 </v>
      </c>
    </row>
    <row r="435" spans="1:12" ht="24.75" x14ac:dyDescent="0.25">
      <c r="A435" s="4" t="s">
        <v>1300</v>
      </c>
      <c r="B435" s="2" t="s">
        <v>1279</v>
      </c>
      <c r="C435" s="3">
        <v>11</v>
      </c>
      <c r="D435" s="5">
        <v>27.99</v>
      </c>
      <c r="E435" s="3" t="s">
        <v>1286</v>
      </c>
      <c r="F435" s="2" t="s">
        <v>506</v>
      </c>
      <c r="G435" s="6" t="s">
        <v>181</v>
      </c>
      <c r="H435" s="2" t="s">
        <v>194</v>
      </c>
      <c r="I435" s="2" t="s">
        <v>919</v>
      </c>
      <c r="J435" s="2" t="s">
        <v>19</v>
      </c>
      <c r="K435" s="2" t="s">
        <v>409</v>
      </c>
      <c r="L435" s="7" t="str">
        <f>HYPERLINK("http://slimages.macys.com/is/image/MCY/8185331 ")</f>
        <v xml:space="preserve">http://slimages.macys.com/is/image/MCY/8185331 </v>
      </c>
    </row>
    <row r="436" spans="1:12" ht="24.75" x14ac:dyDescent="0.25">
      <c r="A436" s="4" t="s">
        <v>1298</v>
      </c>
      <c r="B436" s="2" t="s">
        <v>1279</v>
      </c>
      <c r="C436" s="3">
        <v>3</v>
      </c>
      <c r="D436" s="5">
        <v>27.99</v>
      </c>
      <c r="E436" s="3" t="s">
        <v>1286</v>
      </c>
      <c r="F436" s="2" t="s">
        <v>506</v>
      </c>
      <c r="G436" s="6" t="s">
        <v>200</v>
      </c>
      <c r="H436" s="2" t="s">
        <v>194</v>
      </c>
      <c r="I436" s="2" t="s">
        <v>919</v>
      </c>
      <c r="J436" s="2" t="s">
        <v>19</v>
      </c>
      <c r="K436" s="2" t="s">
        <v>409</v>
      </c>
      <c r="L436" s="7" t="str">
        <f>HYPERLINK("http://slimages.macys.com/is/image/MCY/8185331 ")</f>
        <v xml:space="preserve">http://slimages.macys.com/is/image/MCY/8185331 </v>
      </c>
    </row>
    <row r="437" spans="1:12" ht="24.75" x14ac:dyDescent="0.25">
      <c r="A437" s="4" t="s">
        <v>1303</v>
      </c>
      <c r="B437" s="2" t="s">
        <v>1279</v>
      </c>
      <c r="C437" s="3">
        <v>12</v>
      </c>
      <c r="D437" s="5">
        <v>27.99</v>
      </c>
      <c r="E437" s="3" t="s">
        <v>1286</v>
      </c>
      <c r="F437" s="2" t="s">
        <v>506</v>
      </c>
      <c r="G437" s="6" t="s">
        <v>234</v>
      </c>
      <c r="H437" s="2" t="s">
        <v>194</v>
      </c>
      <c r="I437" s="2" t="s">
        <v>919</v>
      </c>
      <c r="J437" s="2" t="s">
        <v>19</v>
      </c>
      <c r="K437" s="2" t="s">
        <v>409</v>
      </c>
      <c r="L437" s="7" t="str">
        <f>HYPERLINK("http://slimages.macys.com/is/image/MCY/8185331 ")</f>
        <v xml:space="preserve">http://slimages.macys.com/is/image/MCY/8185331 </v>
      </c>
    </row>
    <row r="438" spans="1:12" ht="24.75" x14ac:dyDescent="0.25">
      <c r="A438" s="4" t="s">
        <v>5849</v>
      </c>
      <c r="B438" s="2" t="s">
        <v>1279</v>
      </c>
      <c r="C438" s="3">
        <v>1</v>
      </c>
      <c r="D438" s="5">
        <v>27.99</v>
      </c>
      <c r="E438" s="3" t="s">
        <v>1302</v>
      </c>
      <c r="F438" s="2" t="s">
        <v>566</v>
      </c>
      <c r="G438" s="6" t="s">
        <v>181</v>
      </c>
      <c r="H438" s="2" t="s">
        <v>194</v>
      </c>
      <c r="I438" s="2" t="s">
        <v>919</v>
      </c>
      <c r="J438" s="2" t="s">
        <v>19</v>
      </c>
      <c r="K438" s="2" t="s">
        <v>409</v>
      </c>
      <c r="L438" s="7" t="str">
        <f>HYPERLINK("http://slimages.macys.com/is/image/MCY/3244804 ")</f>
        <v xml:space="preserve">http://slimages.macys.com/is/image/MCY/3244804 </v>
      </c>
    </row>
    <row r="439" spans="1:12" ht="24.75" x14ac:dyDescent="0.25">
      <c r="A439" s="4" t="s">
        <v>2667</v>
      </c>
      <c r="B439" s="2" t="s">
        <v>1279</v>
      </c>
      <c r="C439" s="3">
        <v>2</v>
      </c>
      <c r="D439" s="5">
        <v>27.99</v>
      </c>
      <c r="E439" s="3" t="s">
        <v>1286</v>
      </c>
      <c r="F439" s="2" t="s">
        <v>506</v>
      </c>
      <c r="G439" s="6" t="s">
        <v>245</v>
      </c>
      <c r="H439" s="2" t="s">
        <v>194</v>
      </c>
      <c r="I439" s="2" t="s">
        <v>919</v>
      </c>
      <c r="J439" s="2" t="s">
        <v>19</v>
      </c>
      <c r="K439" s="2" t="s">
        <v>409</v>
      </c>
      <c r="L439" s="7" t="str">
        <f>HYPERLINK("http://slimages.macys.com/is/image/MCY/8185331 ")</f>
        <v xml:space="preserve">http://slimages.macys.com/is/image/MCY/8185331 </v>
      </c>
    </row>
    <row r="440" spans="1:12" ht="24.75" x14ac:dyDescent="0.25">
      <c r="A440" s="4" t="s">
        <v>5856</v>
      </c>
      <c r="B440" s="2" t="s">
        <v>1294</v>
      </c>
      <c r="C440" s="3">
        <v>1</v>
      </c>
      <c r="D440" s="5">
        <v>37.130000000000003</v>
      </c>
      <c r="E440" s="3">
        <v>100002345</v>
      </c>
      <c r="F440" s="2" t="s">
        <v>74</v>
      </c>
      <c r="G440" s="6" t="s">
        <v>181</v>
      </c>
      <c r="H440" s="2" t="s">
        <v>284</v>
      </c>
      <c r="I440" s="2" t="s">
        <v>285</v>
      </c>
      <c r="J440" s="2" t="s">
        <v>19</v>
      </c>
      <c r="K440" s="2" t="s">
        <v>2669</v>
      </c>
      <c r="L440" s="7" t="str">
        <f>HYPERLINK("http://slimages.macys.com/is/image/MCY/8660800 ")</f>
        <v xml:space="preserve">http://slimages.macys.com/is/image/MCY/8660800 </v>
      </c>
    </row>
    <row r="441" spans="1:12" ht="24.75" x14ac:dyDescent="0.25">
      <c r="A441" s="4" t="s">
        <v>7457</v>
      </c>
      <c r="B441" s="2" t="s">
        <v>1279</v>
      </c>
      <c r="C441" s="3">
        <v>2</v>
      </c>
      <c r="D441" s="5">
        <v>27.99</v>
      </c>
      <c r="E441" s="3" t="s">
        <v>1302</v>
      </c>
      <c r="F441" s="2" t="s">
        <v>566</v>
      </c>
      <c r="G441" s="6" t="s">
        <v>156</v>
      </c>
      <c r="H441" s="2" t="s">
        <v>194</v>
      </c>
      <c r="I441" s="2" t="s">
        <v>919</v>
      </c>
      <c r="J441" s="2" t="s">
        <v>19</v>
      </c>
      <c r="K441" s="2" t="s">
        <v>409</v>
      </c>
      <c r="L441" s="7" t="str">
        <f>HYPERLINK("http://slimages.macys.com/is/image/MCY/3244804 ")</f>
        <v xml:space="preserve">http://slimages.macys.com/is/image/MCY/3244804 </v>
      </c>
    </row>
    <row r="442" spans="1:12" ht="24.75" x14ac:dyDescent="0.25">
      <c r="A442" s="4" t="s">
        <v>1288</v>
      </c>
      <c r="B442" s="2" t="s">
        <v>1279</v>
      </c>
      <c r="C442" s="3">
        <v>1</v>
      </c>
      <c r="D442" s="5">
        <v>27.99</v>
      </c>
      <c r="E442" s="3" t="s">
        <v>1280</v>
      </c>
      <c r="F442" s="2" t="s">
        <v>566</v>
      </c>
      <c r="G442" s="6"/>
      <c r="H442" s="2" t="s">
        <v>312</v>
      </c>
      <c r="I442" s="2" t="s">
        <v>1112</v>
      </c>
      <c r="J442" s="2" t="s">
        <v>19</v>
      </c>
      <c r="K442" s="2" t="s">
        <v>409</v>
      </c>
      <c r="L442" s="7" t="str">
        <f>HYPERLINK("http://slimages.macys.com/is/image/MCY/3832970 ")</f>
        <v xml:space="preserve">http://slimages.macys.com/is/image/MCY/3832970 </v>
      </c>
    </row>
    <row r="443" spans="1:12" ht="24.75" x14ac:dyDescent="0.25">
      <c r="A443" s="4" t="s">
        <v>1287</v>
      </c>
      <c r="B443" s="2" t="s">
        <v>1279</v>
      </c>
      <c r="C443" s="3">
        <v>1</v>
      </c>
      <c r="D443" s="5">
        <v>27.99</v>
      </c>
      <c r="E443" s="3" t="s">
        <v>1280</v>
      </c>
      <c r="F443" s="2" t="s">
        <v>566</v>
      </c>
      <c r="G443" s="6"/>
      <c r="H443" s="2" t="s">
        <v>312</v>
      </c>
      <c r="I443" s="2" t="s">
        <v>1112</v>
      </c>
      <c r="J443" s="2" t="s">
        <v>19</v>
      </c>
      <c r="K443" s="2" t="s">
        <v>409</v>
      </c>
      <c r="L443" s="7" t="str">
        <f>HYPERLINK("http://slimages.macys.com/is/image/MCY/3832970 ")</f>
        <v xml:space="preserve">http://slimages.macys.com/is/image/MCY/3832970 </v>
      </c>
    </row>
    <row r="444" spans="1:12" ht="24.75" x14ac:dyDescent="0.25">
      <c r="A444" s="4" t="s">
        <v>1299</v>
      </c>
      <c r="B444" s="2" t="s">
        <v>1279</v>
      </c>
      <c r="C444" s="3">
        <v>6</v>
      </c>
      <c r="D444" s="5">
        <v>27.99</v>
      </c>
      <c r="E444" s="3" t="s">
        <v>1286</v>
      </c>
      <c r="F444" s="2" t="s">
        <v>506</v>
      </c>
      <c r="G444" s="6" t="s">
        <v>156</v>
      </c>
      <c r="H444" s="2" t="s">
        <v>194</v>
      </c>
      <c r="I444" s="2" t="s">
        <v>919</v>
      </c>
      <c r="J444" s="2" t="s">
        <v>19</v>
      </c>
      <c r="K444" s="2" t="s">
        <v>409</v>
      </c>
      <c r="L444" s="7" t="str">
        <f>HYPERLINK("http://slimages.macys.com/is/image/MCY/8185331 ")</f>
        <v xml:space="preserve">http://slimages.macys.com/is/image/MCY/8185331 </v>
      </c>
    </row>
    <row r="445" spans="1:12" ht="24.75" x14ac:dyDescent="0.25">
      <c r="A445" s="4" t="s">
        <v>1285</v>
      </c>
      <c r="B445" s="2" t="s">
        <v>1279</v>
      </c>
      <c r="C445" s="3">
        <v>20</v>
      </c>
      <c r="D445" s="5">
        <v>27.99</v>
      </c>
      <c r="E445" s="3" t="s">
        <v>1286</v>
      </c>
      <c r="F445" s="2" t="s">
        <v>506</v>
      </c>
      <c r="G445" s="6" t="s">
        <v>154</v>
      </c>
      <c r="H445" s="2" t="s">
        <v>194</v>
      </c>
      <c r="I445" s="2" t="s">
        <v>919</v>
      </c>
      <c r="J445" s="2" t="s">
        <v>19</v>
      </c>
      <c r="K445" s="2" t="s">
        <v>409</v>
      </c>
      <c r="L445" s="7" t="str">
        <f>HYPERLINK("http://slimages.macys.com/is/image/MCY/8185331 ")</f>
        <v xml:space="preserve">http://slimages.macys.com/is/image/MCY/8185331 </v>
      </c>
    </row>
    <row r="446" spans="1:12" ht="24.75" x14ac:dyDescent="0.25">
      <c r="A446" s="4" t="s">
        <v>1278</v>
      </c>
      <c r="B446" s="2" t="s">
        <v>1279</v>
      </c>
      <c r="C446" s="3">
        <v>1</v>
      </c>
      <c r="D446" s="5">
        <v>27.99</v>
      </c>
      <c r="E446" s="3" t="s">
        <v>1280</v>
      </c>
      <c r="F446" s="2" t="s">
        <v>566</v>
      </c>
      <c r="G446" s="6"/>
      <c r="H446" s="2" t="s">
        <v>312</v>
      </c>
      <c r="I446" s="2" t="s">
        <v>1112</v>
      </c>
      <c r="J446" s="2" t="s">
        <v>19</v>
      </c>
      <c r="K446" s="2" t="s">
        <v>409</v>
      </c>
      <c r="L446" s="7" t="str">
        <f>HYPERLINK("http://slimages.macys.com/is/image/MCY/3832970 ")</f>
        <v xml:space="preserve">http://slimages.macys.com/is/image/MCY/3832970 </v>
      </c>
    </row>
    <row r="447" spans="1:12" ht="24.75" x14ac:dyDescent="0.25">
      <c r="A447" s="4" t="s">
        <v>4933</v>
      </c>
      <c r="B447" s="2" t="s">
        <v>1307</v>
      </c>
      <c r="C447" s="3">
        <v>1</v>
      </c>
      <c r="D447" s="5">
        <v>32.5</v>
      </c>
      <c r="E447" s="3" t="s">
        <v>1308</v>
      </c>
      <c r="F447" s="2" t="s">
        <v>193</v>
      </c>
      <c r="G447" s="6" t="s">
        <v>154</v>
      </c>
      <c r="H447" s="2" t="s">
        <v>194</v>
      </c>
      <c r="I447" s="2" t="s">
        <v>195</v>
      </c>
      <c r="J447" s="2" t="s">
        <v>19</v>
      </c>
      <c r="K447" s="2" t="s">
        <v>1108</v>
      </c>
      <c r="L447" s="7" t="str">
        <f>HYPERLINK("http://slimages.macys.com/is/image/MCY/12950211 ")</f>
        <v xml:space="preserve">http://slimages.macys.com/is/image/MCY/12950211 </v>
      </c>
    </row>
    <row r="448" spans="1:12" ht="24.75" x14ac:dyDescent="0.25">
      <c r="A448" s="4" t="s">
        <v>7458</v>
      </c>
      <c r="B448" s="2" t="s">
        <v>7459</v>
      </c>
      <c r="C448" s="3">
        <v>1</v>
      </c>
      <c r="D448" s="5">
        <v>37.130000000000003</v>
      </c>
      <c r="E448" s="3" t="s">
        <v>7460</v>
      </c>
      <c r="F448" s="2" t="s">
        <v>676</v>
      </c>
      <c r="G448" s="6" t="s">
        <v>200</v>
      </c>
      <c r="H448" s="2" t="s">
        <v>246</v>
      </c>
      <c r="I448" s="2" t="s">
        <v>189</v>
      </c>
      <c r="J448" s="2" t="s">
        <v>19</v>
      </c>
      <c r="K448" s="2" t="s">
        <v>160</v>
      </c>
      <c r="L448" s="7" t="str">
        <f>HYPERLINK("http://slimages.macys.com/is/image/MCY/13761368 ")</f>
        <v xml:space="preserve">http://slimages.macys.com/is/image/MCY/13761368 </v>
      </c>
    </row>
    <row r="449" spans="1:12" ht="24.75" x14ac:dyDescent="0.25">
      <c r="A449" s="4" t="s">
        <v>7461</v>
      </c>
      <c r="B449" s="2" t="s">
        <v>7462</v>
      </c>
      <c r="C449" s="3">
        <v>1</v>
      </c>
      <c r="D449" s="5">
        <v>32.5</v>
      </c>
      <c r="E449" s="3" t="s">
        <v>7463</v>
      </c>
      <c r="F449" s="2" t="s">
        <v>74</v>
      </c>
      <c r="G449" s="6"/>
      <c r="H449" s="2" t="s">
        <v>312</v>
      </c>
      <c r="I449" s="2" t="s">
        <v>195</v>
      </c>
      <c r="J449" s="2" t="s">
        <v>19</v>
      </c>
      <c r="K449" s="2" t="s">
        <v>1082</v>
      </c>
      <c r="L449" s="7" t="str">
        <f>HYPERLINK("http://slimages.macys.com/is/image/MCY/9742327 ")</f>
        <v xml:space="preserve">http://slimages.macys.com/is/image/MCY/9742327 </v>
      </c>
    </row>
    <row r="450" spans="1:12" ht="24.75" x14ac:dyDescent="0.25">
      <c r="A450" s="4" t="s">
        <v>7464</v>
      </c>
      <c r="B450" s="2" t="s">
        <v>7462</v>
      </c>
      <c r="C450" s="3">
        <v>1</v>
      </c>
      <c r="D450" s="5">
        <v>32.5</v>
      </c>
      <c r="E450" s="3" t="s">
        <v>7463</v>
      </c>
      <c r="F450" s="2" t="s">
        <v>74</v>
      </c>
      <c r="G450" s="6"/>
      <c r="H450" s="2" t="s">
        <v>312</v>
      </c>
      <c r="I450" s="2" t="s">
        <v>195</v>
      </c>
      <c r="J450" s="2" t="s">
        <v>19</v>
      </c>
      <c r="K450" s="2" t="s">
        <v>1082</v>
      </c>
      <c r="L450" s="7" t="str">
        <f>HYPERLINK("http://slimages.macys.com/is/image/MCY/9742327 ")</f>
        <v xml:space="preserve">http://slimages.macys.com/is/image/MCY/9742327 </v>
      </c>
    </row>
    <row r="451" spans="1:12" ht="24.75" x14ac:dyDescent="0.25">
      <c r="A451" s="4" t="s">
        <v>7465</v>
      </c>
      <c r="B451" s="2" t="s">
        <v>7462</v>
      </c>
      <c r="C451" s="3">
        <v>2</v>
      </c>
      <c r="D451" s="5">
        <v>32.5</v>
      </c>
      <c r="E451" s="3" t="s">
        <v>7463</v>
      </c>
      <c r="F451" s="2" t="s">
        <v>74</v>
      </c>
      <c r="G451" s="6"/>
      <c r="H451" s="2" t="s">
        <v>312</v>
      </c>
      <c r="I451" s="2" t="s">
        <v>195</v>
      </c>
      <c r="J451" s="2" t="s">
        <v>19</v>
      </c>
      <c r="K451" s="2" t="s">
        <v>1082</v>
      </c>
      <c r="L451" s="7" t="str">
        <f>HYPERLINK("http://slimages.macys.com/is/image/MCY/9742327 ")</f>
        <v xml:space="preserve">http://slimages.macys.com/is/image/MCY/9742327 </v>
      </c>
    </row>
    <row r="452" spans="1:12" ht="24.75" x14ac:dyDescent="0.25">
      <c r="A452" s="4" t="s">
        <v>7466</v>
      </c>
      <c r="B452" s="2" t="s">
        <v>7462</v>
      </c>
      <c r="C452" s="3">
        <v>3</v>
      </c>
      <c r="D452" s="5">
        <v>32.5</v>
      </c>
      <c r="E452" s="3" t="s">
        <v>7463</v>
      </c>
      <c r="F452" s="2" t="s">
        <v>74</v>
      </c>
      <c r="G452" s="6"/>
      <c r="H452" s="2" t="s">
        <v>312</v>
      </c>
      <c r="I452" s="2" t="s">
        <v>195</v>
      </c>
      <c r="J452" s="2" t="s">
        <v>19</v>
      </c>
      <c r="K452" s="2" t="s">
        <v>1082</v>
      </c>
      <c r="L452" s="7" t="str">
        <f>HYPERLINK("http://slimages.macys.com/is/image/MCY/9742327 ")</f>
        <v xml:space="preserve">http://slimages.macys.com/is/image/MCY/9742327 </v>
      </c>
    </row>
    <row r="453" spans="1:12" ht="24.75" x14ac:dyDescent="0.25">
      <c r="A453" s="4" t="s">
        <v>7467</v>
      </c>
      <c r="B453" s="2" t="s">
        <v>1327</v>
      </c>
      <c r="C453" s="3">
        <v>1</v>
      </c>
      <c r="D453" s="5">
        <v>34.880000000000003</v>
      </c>
      <c r="E453" s="3" t="s">
        <v>1328</v>
      </c>
      <c r="F453" s="2" t="s">
        <v>506</v>
      </c>
      <c r="G453" s="6" t="s">
        <v>802</v>
      </c>
      <c r="H453" s="2" t="s">
        <v>312</v>
      </c>
      <c r="I453" s="2" t="s">
        <v>195</v>
      </c>
      <c r="J453" s="2" t="s">
        <v>19</v>
      </c>
      <c r="K453" s="2" t="s">
        <v>353</v>
      </c>
      <c r="L453" s="7" t="str">
        <f>HYPERLINK("http://slimages.macys.com/is/image/MCY/8256708 ")</f>
        <v xml:space="preserve">http://slimages.macys.com/is/image/MCY/8256708 </v>
      </c>
    </row>
    <row r="454" spans="1:12" ht="24.75" x14ac:dyDescent="0.25">
      <c r="A454" s="4" t="s">
        <v>4945</v>
      </c>
      <c r="B454" s="2" t="s">
        <v>4946</v>
      </c>
      <c r="C454" s="3">
        <v>2</v>
      </c>
      <c r="D454" s="5">
        <v>37.130000000000003</v>
      </c>
      <c r="E454" s="3" t="s">
        <v>4947</v>
      </c>
      <c r="F454" s="2" t="s">
        <v>74</v>
      </c>
      <c r="G454" s="6" t="s">
        <v>200</v>
      </c>
      <c r="H454" s="2" t="s">
        <v>284</v>
      </c>
      <c r="I454" s="2" t="s">
        <v>285</v>
      </c>
      <c r="J454" s="2" t="s">
        <v>19</v>
      </c>
      <c r="K454" s="2" t="s">
        <v>160</v>
      </c>
      <c r="L454" s="7" t="str">
        <f>HYPERLINK("http://slimages.macys.com/is/image/MCY/13401017 ")</f>
        <v xml:space="preserve">http://slimages.macys.com/is/image/MCY/13401017 </v>
      </c>
    </row>
    <row r="455" spans="1:12" ht="24.75" x14ac:dyDescent="0.25">
      <c r="A455" s="4" t="s">
        <v>7468</v>
      </c>
      <c r="B455" s="2" t="s">
        <v>7462</v>
      </c>
      <c r="C455" s="3">
        <v>1</v>
      </c>
      <c r="D455" s="5">
        <v>32.5</v>
      </c>
      <c r="E455" s="3">
        <v>100018058</v>
      </c>
      <c r="F455" s="2" t="s">
        <v>74</v>
      </c>
      <c r="G455" s="6" t="s">
        <v>245</v>
      </c>
      <c r="H455" s="2" t="s">
        <v>194</v>
      </c>
      <c r="I455" s="2" t="s">
        <v>195</v>
      </c>
      <c r="J455" s="2" t="s">
        <v>19</v>
      </c>
      <c r="K455" s="2" t="s">
        <v>1082</v>
      </c>
      <c r="L455" s="7" t="str">
        <f>HYPERLINK("http://slimages.macys.com/is/image/MCY/9742327 ")</f>
        <v xml:space="preserve">http://slimages.macys.com/is/image/MCY/9742327 </v>
      </c>
    </row>
    <row r="456" spans="1:12" ht="24.75" x14ac:dyDescent="0.25">
      <c r="A456" s="4" t="s">
        <v>7469</v>
      </c>
      <c r="B456" s="2" t="s">
        <v>1343</v>
      </c>
      <c r="C456" s="3">
        <v>1</v>
      </c>
      <c r="D456" s="5">
        <v>24.99</v>
      </c>
      <c r="E456" s="3" t="s">
        <v>1344</v>
      </c>
      <c r="F456" s="2" t="s">
        <v>33</v>
      </c>
      <c r="G456" s="6" t="s">
        <v>22</v>
      </c>
      <c r="H456" s="2" t="s">
        <v>228</v>
      </c>
      <c r="I456" s="2" t="s">
        <v>863</v>
      </c>
      <c r="J456" s="2" t="s">
        <v>19</v>
      </c>
      <c r="K456" s="2" t="s">
        <v>253</v>
      </c>
      <c r="L456" s="7" t="str">
        <f>HYPERLINK("http://slimages.macys.com/is/image/MCY/11804521 ")</f>
        <v xml:space="preserve">http://slimages.macys.com/is/image/MCY/11804521 </v>
      </c>
    </row>
    <row r="457" spans="1:12" ht="24.75" x14ac:dyDescent="0.25">
      <c r="A457" s="4" t="s">
        <v>7470</v>
      </c>
      <c r="B457" s="2" t="s">
        <v>2678</v>
      </c>
      <c r="C457" s="3">
        <v>1</v>
      </c>
      <c r="D457" s="5">
        <v>24.99</v>
      </c>
      <c r="E457" s="3" t="s">
        <v>6619</v>
      </c>
      <c r="F457" s="2" t="s">
        <v>878</v>
      </c>
      <c r="G457" s="6" t="s">
        <v>58</v>
      </c>
      <c r="H457" s="2" t="s">
        <v>228</v>
      </c>
      <c r="I457" s="2" t="s">
        <v>863</v>
      </c>
      <c r="J457" s="2" t="s">
        <v>19</v>
      </c>
      <c r="K457" s="2" t="s">
        <v>253</v>
      </c>
      <c r="L457" s="7" t="str">
        <f>HYPERLINK("http://slimages.macys.com/is/image/MCY/11804521 ")</f>
        <v xml:space="preserve">http://slimages.macys.com/is/image/MCY/11804521 </v>
      </c>
    </row>
    <row r="458" spans="1:12" ht="24.75" x14ac:dyDescent="0.25">
      <c r="A458" s="4" t="s">
        <v>7471</v>
      </c>
      <c r="B458" s="2" t="s">
        <v>2678</v>
      </c>
      <c r="C458" s="3">
        <v>1</v>
      </c>
      <c r="D458" s="5">
        <v>24.99</v>
      </c>
      <c r="E458" s="3" t="s">
        <v>2679</v>
      </c>
      <c r="F458" s="2" t="s">
        <v>2680</v>
      </c>
      <c r="G458" s="6" t="s">
        <v>7472</v>
      </c>
      <c r="H458" s="2" t="s">
        <v>228</v>
      </c>
      <c r="I458" s="2" t="s">
        <v>863</v>
      </c>
      <c r="J458" s="2"/>
      <c r="K458" s="2"/>
      <c r="L458" s="7" t="str">
        <f t="shared" ref="L458:L463" si="6">HYPERLINK("http://slimages.macys.com/is/image/MCY/9257806 ")</f>
        <v xml:space="preserve">http://slimages.macys.com/is/image/MCY/9257806 </v>
      </c>
    </row>
    <row r="459" spans="1:12" ht="24.75" x14ac:dyDescent="0.25">
      <c r="A459" s="4" t="s">
        <v>3862</v>
      </c>
      <c r="B459" s="2" t="s">
        <v>2678</v>
      </c>
      <c r="C459" s="3">
        <v>1</v>
      </c>
      <c r="D459" s="5">
        <v>24.99</v>
      </c>
      <c r="E459" s="3" t="s">
        <v>2679</v>
      </c>
      <c r="F459" s="2" t="s">
        <v>2680</v>
      </c>
      <c r="G459" s="6" t="s">
        <v>473</v>
      </c>
      <c r="H459" s="2" t="s">
        <v>228</v>
      </c>
      <c r="I459" s="2" t="s">
        <v>863</v>
      </c>
      <c r="J459" s="2"/>
      <c r="K459" s="2"/>
      <c r="L459" s="7" t="str">
        <f t="shared" si="6"/>
        <v xml:space="preserve">http://slimages.macys.com/is/image/MCY/9257806 </v>
      </c>
    </row>
    <row r="460" spans="1:12" ht="24.75" x14ac:dyDescent="0.25">
      <c r="A460" s="4" t="s">
        <v>7473</v>
      </c>
      <c r="B460" s="2" t="s">
        <v>2678</v>
      </c>
      <c r="C460" s="3">
        <v>1</v>
      </c>
      <c r="D460" s="5">
        <v>24.99</v>
      </c>
      <c r="E460" s="3" t="s">
        <v>2679</v>
      </c>
      <c r="F460" s="2" t="s">
        <v>2680</v>
      </c>
      <c r="G460" s="6" t="s">
        <v>1172</v>
      </c>
      <c r="H460" s="2" t="s">
        <v>228</v>
      </c>
      <c r="I460" s="2" t="s">
        <v>863</v>
      </c>
      <c r="J460" s="2"/>
      <c r="K460" s="2"/>
      <c r="L460" s="7" t="str">
        <f t="shared" si="6"/>
        <v xml:space="preserve">http://slimages.macys.com/is/image/MCY/9257806 </v>
      </c>
    </row>
    <row r="461" spans="1:12" ht="24.75" x14ac:dyDescent="0.25">
      <c r="A461" s="4" t="s">
        <v>7474</v>
      </c>
      <c r="B461" s="2" t="s">
        <v>2678</v>
      </c>
      <c r="C461" s="3">
        <v>2</v>
      </c>
      <c r="D461" s="5">
        <v>24.99</v>
      </c>
      <c r="E461" s="3" t="s">
        <v>2679</v>
      </c>
      <c r="F461" s="2" t="s">
        <v>2680</v>
      </c>
      <c r="G461" s="6" t="s">
        <v>58</v>
      </c>
      <c r="H461" s="2" t="s">
        <v>228</v>
      </c>
      <c r="I461" s="2" t="s">
        <v>863</v>
      </c>
      <c r="J461" s="2"/>
      <c r="K461" s="2"/>
      <c r="L461" s="7" t="str">
        <f t="shared" si="6"/>
        <v xml:space="preserve">http://slimages.macys.com/is/image/MCY/9257806 </v>
      </c>
    </row>
    <row r="462" spans="1:12" ht="24.75" x14ac:dyDescent="0.25">
      <c r="A462" s="4" t="s">
        <v>5871</v>
      </c>
      <c r="B462" s="2" t="s">
        <v>2678</v>
      </c>
      <c r="C462" s="3">
        <v>1</v>
      </c>
      <c r="D462" s="5">
        <v>24.99</v>
      </c>
      <c r="E462" s="3" t="s">
        <v>2679</v>
      </c>
      <c r="F462" s="2" t="s">
        <v>2680</v>
      </c>
      <c r="G462" s="6" t="s">
        <v>22</v>
      </c>
      <c r="H462" s="2" t="s">
        <v>228</v>
      </c>
      <c r="I462" s="2" t="s">
        <v>863</v>
      </c>
      <c r="J462" s="2"/>
      <c r="K462" s="2"/>
      <c r="L462" s="7" t="str">
        <f t="shared" si="6"/>
        <v xml:space="preserve">http://slimages.macys.com/is/image/MCY/9257806 </v>
      </c>
    </row>
    <row r="463" spans="1:12" ht="24.75" x14ac:dyDescent="0.25">
      <c r="A463" s="4" t="s">
        <v>2677</v>
      </c>
      <c r="B463" s="2" t="s">
        <v>2678</v>
      </c>
      <c r="C463" s="3">
        <v>2</v>
      </c>
      <c r="D463" s="5">
        <v>24.99</v>
      </c>
      <c r="E463" s="3" t="s">
        <v>2679</v>
      </c>
      <c r="F463" s="2" t="s">
        <v>2680</v>
      </c>
      <c r="G463" s="6" t="s">
        <v>27</v>
      </c>
      <c r="H463" s="2" t="s">
        <v>228</v>
      </c>
      <c r="I463" s="2" t="s">
        <v>863</v>
      </c>
      <c r="J463" s="2"/>
      <c r="K463" s="2"/>
      <c r="L463" s="7" t="str">
        <f t="shared" si="6"/>
        <v xml:space="preserve">http://slimages.macys.com/is/image/MCY/9257806 </v>
      </c>
    </row>
    <row r="464" spans="1:12" ht="24.75" x14ac:dyDescent="0.25">
      <c r="A464" s="4" t="s">
        <v>2682</v>
      </c>
      <c r="B464" s="2" t="s">
        <v>2683</v>
      </c>
      <c r="C464" s="3">
        <v>1</v>
      </c>
      <c r="D464" s="5">
        <v>33.380000000000003</v>
      </c>
      <c r="E464" s="3" t="s">
        <v>2684</v>
      </c>
      <c r="F464" s="2" t="s">
        <v>752</v>
      </c>
      <c r="G464" s="6" t="s">
        <v>154</v>
      </c>
      <c r="H464" s="2" t="s">
        <v>194</v>
      </c>
      <c r="I464" s="2" t="s">
        <v>195</v>
      </c>
      <c r="J464" s="2" t="s">
        <v>19</v>
      </c>
      <c r="K464" s="2" t="s">
        <v>247</v>
      </c>
      <c r="L464" s="7" t="str">
        <f>HYPERLINK("http://slimages.macys.com/is/image/MCY/12404928 ")</f>
        <v xml:space="preserve">http://slimages.macys.com/is/image/MCY/12404928 </v>
      </c>
    </row>
    <row r="465" spans="1:12" ht="24.75" x14ac:dyDescent="0.25">
      <c r="A465" s="4" t="s">
        <v>4949</v>
      </c>
      <c r="B465" s="2" t="s">
        <v>2683</v>
      </c>
      <c r="C465" s="3">
        <v>1</v>
      </c>
      <c r="D465" s="5">
        <v>33.380000000000003</v>
      </c>
      <c r="E465" s="3" t="s">
        <v>2684</v>
      </c>
      <c r="F465" s="2" t="s">
        <v>752</v>
      </c>
      <c r="G465" s="6" t="s">
        <v>156</v>
      </c>
      <c r="H465" s="2" t="s">
        <v>194</v>
      </c>
      <c r="I465" s="2" t="s">
        <v>195</v>
      </c>
      <c r="J465" s="2" t="s">
        <v>19</v>
      </c>
      <c r="K465" s="2" t="s">
        <v>247</v>
      </c>
      <c r="L465" s="7" t="str">
        <f>HYPERLINK("http://slimages.macys.com/is/image/MCY/12404928 ")</f>
        <v xml:space="preserve">http://slimages.macys.com/is/image/MCY/12404928 </v>
      </c>
    </row>
    <row r="466" spans="1:12" ht="24.75" x14ac:dyDescent="0.25">
      <c r="A466" s="4" t="s">
        <v>4948</v>
      </c>
      <c r="B466" s="2" t="s">
        <v>2683</v>
      </c>
      <c r="C466" s="3">
        <v>2</v>
      </c>
      <c r="D466" s="5">
        <v>33.380000000000003</v>
      </c>
      <c r="E466" s="3" t="s">
        <v>2684</v>
      </c>
      <c r="F466" s="2" t="s">
        <v>752</v>
      </c>
      <c r="G466" s="6" t="s">
        <v>234</v>
      </c>
      <c r="H466" s="2" t="s">
        <v>194</v>
      </c>
      <c r="I466" s="2" t="s">
        <v>195</v>
      </c>
      <c r="J466" s="2" t="s">
        <v>19</v>
      </c>
      <c r="K466" s="2" t="s">
        <v>247</v>
      </c>
      <c r="L466" s="7" t="str">
        <f>HYPERLINK("http://slimages.macys.com/is/image/MCY/12404928 ")</f>
        <v xml:space="preserve">http://slimages.macys.com/is/image/MCY/12404928 </v>
      </c>
    </row>
    <row r="467" spans="1:12" ht="24.75" x14ac:dyDescent="0.25">
      <c r="A467" s="4" t="s">
        <v>1349</v>
      </c>
      <c r="B467" s="2" t="s">
        <v>1318</v>
      </c>
      <c r="C467" s="3">
        <v>1</v>
      </c>
      <c r="D467" s="5">
        <v>24.99</v>
      </c>
      <c r="E467" s="3" t="s">
        <v>1321</v>
      </c>
      <c r="F467" s="2" t="s">
        <v>376</v>
      </c>
      <c r="G467" s="6" t="s">
        <v>112</v>
      </c>
      <c r="H467" s="2" t="s">
        <v>228</v>
      </c>
      <c r="I467" s="2" t="s">
        <v>229</v>
      </c>
      <c r="J467" s="2" t="s">
        <v>19</v>
      </c>
      <c r="K467" s="2" t="s">
        <v>253</v>
      </c>
      <c r="L467" s="7" t="str">
        <f t="shared" ref="L467:L473" si="7">HYPERLINK("http://slimages.macys.com/is/image/MCY/9029356 ")</f>
        <v xml:space="preserve">http://slimages.macys.com/is/image/MCY/9029356 </v>
      </c>
    </row>
    <row r="468" spans="1:12" ht="24.75" x14ac:dyDescent="0.25">
      <c r="A468" s="4" t="s">
        <v>7475</v>
      </c>
      <c r="B468" s="2" t="s">
        <v>1253</v>
      </c>
      <c r="C468" s="3">
        <v>1</v>
      </c>
      <c r="D468" s="5">
        <v>24.99</v>
      </c>
      <c r="E468" s="3" t="s">
        <v>2688</v>
      </c>
      <c r="F468" s="2" t="s">
        <v>506</v>
      </c>
      <c r="G468" s="6" t="s">
        <v>238</v>
      </c>
      <c r="H468" s="2" t="s">
        <v>426</v>
      </c>
      <c r="I468" s="2" t="s">
        <v>863</v>
      </c>
      <c r="J468" s="2" t="s">
        <v>19</v>
      </c>
      <c r="K468" s="2" t="s">
        <v>253</v>
      </c>
      <c r="L468" s="7" t="str">
        <f t="shared" si="7"/>
        <v xml:space="preserve">http://slimages.macys.com/is/image/MCY/9029356 </v>
      </c>
    </row>
    <row r="469" spans="1:12" ht="24.75" x14ac:dyDescent="0.25">
      <c r="A469" s="4" t="s">
        <v>2687</v>
      </c>
      <c r="B469" s="2" t="s">
        <v>1253</v>
      </c>
      <c r="C469" s="3">
        <v>2</v>
      </c>
      <c r="D469" s="5">
        <v>24.99</v>
      </c>
      <c r="E469" s="3" t="s">
        <v>2688</v>
      </c>
      <c r="F469" s="2" t="s">
        <v>506</v>
      </c>
      <c r="G469" s="6" t="s">
        <v>165</v>
      </c>
      <c r="H469" s="2" t="s">
        <v>426</v>
      </c>
      <c r="I469" s="2" t="s">
        <v>863</v>
      </c>
      <c r="J469" s="2" t="s">
        <v>19</v>
      </c>
      <c r="K469" s="2" t="s">
        <v>253</v>
      </c>
      <c r="L469" s="7" t="str">
        <f t="shared" si="7"/>
        <v xml:space="preserve">http://slimages.macys.com/is/image/MCY/9029356 </v>
      </c>
    </row>
    <row r="470" spans="1:12" ht="24.75" x14ac:dyDescent="0.25">
      <c r="A470" s="4" t="s">
        <v>3883</v>
      </c>
      <c r="B470" s="2" t="s">
        <v>1253</v>
      </c>
      <c r="C470" s="3">
        <v>1</v>
      </c>
      <c r="D470" s="5">
        <v>24.99</v>
      </c>
      <c r="E470" s="3" t="s">
        <v>2688</v>
      </c>
      <c r="F470" s="2" t="s">
        <v>506</v>
      </c>
      <c r="G470" s="6" t="s">
        <v>205</v>
      </c>
      <c r="H470" s="2" t="s">
        <v>426</v>
      </c>
      <c r="I470" s="2" t="s">
        <v>863</v>
      </c>
      <c r="J470" s="2" t="s">
        <v>19</v>
      </c>
      <c r="K470" s="2" t="s">
        <v>253</v>
      </c>
      <c r="L470" s="7" t="str">
        <f t="shared" si="7"/>
        <v xml:space="preserve">http://slimages.macys.com/is/image/MCY/9029356 </v>
      </c>
    </row>
    <row r="471" spans="1:12" ht="24.75" x14ac:dyDescent="0.25">
      <c r="A471" s="4" t="s">
        <v>6637</v>
      </c>
      <c r="B471" s="2" t="s">
        <v>1318</v>
      </c>
      <c r="C471" s="3">
        <v>1</v>
      </c>
      <c r="D471" s="5">
        <v>24.99</v>
      </c>
      <c r="E471" s="3" t="s">
        <v>1321</v>
      </c>
      <c r="F471" s="2" t="s">
        <v>70</v>
      </c>
      <c r="G471" s="6" t="s">
        <v>27</v>
      </c>
      <c r="H471" s="2" t="s">
        <v>228</v>
      </c>
      <c r="I471" s="2" t="s">
        <v>229</v>
      </c>
      <c r="J471" s="2" t="s">
        <v>19</v>
      </c>
      <c r="K471" s="2" t="s">
        <v>253</v>
      </c>
      <c r="L471" s="7" t="str">
        <f t="shared" si="7"/>
        <v xml:space="preserve">http://slimages.macys.com/is/image/MCY/9029356 </v>
      </c>
    </row>
    <row r="472" spans="1:12" ht="24.75" x14ac:dyDescent="0.25">
      <c r="A472" s="4" t="s">
        <v>2689</v>
      </c>
      <c r="B472" s="2" t="s">
        <v>1318</v>
      </c>
      <c r="C472" s="3">
        <v>1</v>
      </c>
      <c r="D472" s="5">
        <v>24.99</v>
      </c>
      <c r="E472" s="3" t="s">
        <v>1321</v>
      </c>
      <c r="F472" s="2" t="s">
        <v>64</v>
      </c>
      <c r="G472" s="6" t="s">
        <v>65</v>
      </c>
      <c r="H472" s="2" t="s">
        <v>228</v>
      </c>
      <c r="I472" s="2" t="s">
        <v>229</v>
      </c>
      <c r="J472" s="2" t="s">
        <v>19</v>
      </c>
      <c r="K472" s="2" t="s">
        <v>253</v>
      </c>
      <c r="L472" s="7" t="str">
        <f t="shared" si="7"/>
        <v xml:space="preserve">http://slimages.macys.com/is/image/MCY/9029356 </v>
      </c>
    </row>
    <row r="473" spans="1:12" ht="24.75" x14ac:dyDescent="0.25">
      <c r="A473" s="4" t="s">
        <v>7476</v>
      </c>
      <c r="B473" s="2" t="s">
        <v>1318</v>
      </c>
      <c r="C473" s="3">
        <v>4</v>
      </c>
      <c r="D473" s="5">
        <v>24.99</v>
      </c>
      <c r="E473" s="3" t="s">
        <v>1321</v>
      </c>
      <c r="F473" s="2" t="s">
        <v>70</v>
      </c>
      <c r="G473" s="6" t="s">
        <v>65</v>
      </c>
      <c r="H473" s="2" t="s">
        <v>228</v>
      </c>
      <c r="I473" s="2" t="s">
        <v>229</v>
      </c>
      <c r="J473" s="2" t="s">
        <v>19</v>
      </c>
      <c r="K473" s="2" t="s">
        <v>253</v>
      </c>
      <c r="L473" s="7" t="str">
        <f t="shared" si="7"/>
        <v xml:space="preserve">http://slimages.macys.com/is/image/MCY/9029356 </v>
      </c>
    </row>
    <row r="474" spans="1:12" ht="24.75" x14ac:dyDescent="0.25">
      <c r="A474" s="4" t="s">
        <v>7477</v>
      </c>
      <c r="B474" s="2" t="s">
        <v>1356</v>
      </c>
      <c r="C474" s="3">
        <v>1</v>
      </c>
      <c r="D474" s="5">
        <v>34.5</v>
      </c>
      <c r="E474" s="3">
        <v>100045812</v>
      </c>
      <c r="F474" s="2" t="s">
        <v>111</v>
      </c>
      <c r="G474" s="6" t="s">
        <v>27</v>
      </c>
      <c r="H474" s="2" t="s">
        <v>228</v>
      </c>
      <c r="I474" s="2" t="s">
        <v>229</v>
      </c>
      <c r="J474" s="2" t="s">
        <v>19</v>
      </c>
      <c r="K474" s="2" t="s">
        <v>353</v>
      </c>
      <c r="L474" s="7" t="str">
        <f>HYPERLINK("http://slimages.macys.com/is/image/MCY/11936020 ")</f>
        <v xml:space="preserve">http://slimages.macys.com/is/image/MCY/11936020 </v>
      </c>
    </row>
    <row r="475" spans="1:12" ht="24.75" x14ac:dyDescent="0.25">
      <c r="A475" s="4" t="s">
        <v>6634</v>
      </c>
      <c r="B475" s="2" t="s">
        <v>1318</v>
      </c>
      <c r="C475" s="3">
        <v>1</v>
      </c>
      <c r="D475" s="5">
        <v>24.99</v>
      </c>
      <c r="E475" s="3" t="s">
        <v>1321</v>
      </c>
      <c r="F475" s="2" t="s">
        <v>376</v>
      </c>
      <c r="G475" s="6" t="s">
        <v>27</v>
      </c>
      <c r="H475" s="2" t="s">
        <v>228</v>
      </c>
      <c r="I475" s="2" t="s">
        <v>229</v>
      </c>
      <c r="J475" s="2" t="s">
        <v>19</v>
      </c>
      <c r="K475" s="2" t="s">
        <v>253</v>
      </c>
      <c r="L475" s="7" t="str">
        <f>HYPERLINK("http://slimages.macys.com/is/image/MCY/9029356 ")</f>
        <v xml:space="preserve">http://slimages.macys.com/is/image/MCY/9029356 </v>
      </c>
    </row>
    <row r="476" spans="1:12" ht="24.75" x14ac:dyDescent="0.25">
      <c r="A476" s="4" t="s">
        <v>3888</v>
      </c>
      <c r="B476" s="2" t="s">
        <v>1365</v>
      </c>
      <c r="C476" s="3">
        <v>1</v>
      </c>
      <c r="D476" s="5">
        <v>37.130000000000003</v>
      </c>
      <c r="E476" s="3">
        <v>100065803</v>
      </c>
      <c r="F476" s="2" t="s">
        <v>74</v>
      </c>
      <c r="G476" s="6" t="s">
        <v>154</v>
      </c>
      <c r="H476" s="2" t="s">
        <v>194</v>
      </c>
      <c r="I476" s="2" t="s">
        <v>195</v>
      </c>
      <c r="J476" s="2" t="s">
        <v>19</v>
      </c>
      <c r="K476" s="2" t="s">
        <v>353</v>
      </c>
      <c r="L476" s="7" t="str">
        <f>HYPERLINK("http://slimages.macys.com/is/image/MCY/12850008 ")</f>
        <v xml:space="preserve">http://slimages.macys.com/is/image/MCY/12850008 </v>
      </c>
    </row>
    <row r="477" spans="1:12" ht="24.75" x14ac:dyDescent="0.25">
      <c r="A477" s="4" t="s">
        <v>4959</v>
      </c>
      <c r="B477" s="2" t="s">
        <v>1365</v>
      </c>
      <c r="C477" s="3">
        <v>1</v>
      </c>
      <c r="D477" s="5">
        <v>37.130000000000003</v>
      </c>
      <c r="E477" s="3">
        <v>100065803</v>
      </c>
      <c r="F477" s="2" t="s">
        <v>15</v>
      </c>
      <c r="G477" s="6" t="s">
        <v>154</v>
      </c>
      <c r="H477" s="2" t="s">
        <v>194</v>
      </c>
      <c r="I477" s="2" t="s">
        <v>195</v>
      </c>
      <c r="J477" s="2" t="s">
        <v>19</v>
      </c>
      <c r="K477" s="2" t="s">
        <v>353</v>
      </c>
      <c r="L477" s="7" t="str">
        <f>HYPERLINK("http://slimages.macys.com/is/image/MCY/12850008 ")</f>
        <v xml:space="preserve">http://slimages.macys.com/is/image/MCY/12850008 </v>
      </c>
    </row>
    <row r="478" spans="1:12" ht="24.75" x14ac:dyDescent="0.25">
      <c r="A478" s="4" t="s">
        <v>1368</v>
      </c>
      <c r="B478" s="2" t="s">
        <v>1365</v>
      </c>
      <c r="C478" s="3">
        <v>1</v>
      </c>
      <c r="D478" s="5">
        <v>37.130000000000003</v>
      </c>
      <c r="E478" s="3">
        <v>100065803</v>
      </c>
      <c r="F478" s="2" t="s">
        <v>15</v>
      </c>
      <c r="G478" s="6" t="s">
        <v>156</v>
      </c>
      <c r="H478" s="2" t="s">
        <v>194</v>
      </c>
      <c r="I478" s="2" t="s">
        <v>195</v>
      </c>
      <c r="J478" s="2" t="s">
        <v>19</v>
      </c>
      <c r="K478" s="2" t="s">
        <v>353</v>
      </c>
      <c r="L478" s="7" t="str">
        <f>HYPERLINK("http://slimages.macys.com/is/image/MCY/12850008 ")</f>
        <v xml:space="preserve">http://slimages.macys.com/is/image/MCY/12850008 </v>
      </c>
    </row>
    <row r="479" spans="1:12" ht="24.75" x14ac:dyDescent="0.25">
      <c r="A479" s="4" t="s">
        <v>1369</v>
      </c>
      <c r="B479" s="2" t="s">
        <v>1365</v>
      </c>
      <c r="C479" s="3">
        <v>1</v>
      </c>
      <c r="D479" s="5">
        <v>37.130000000000003</v>
      </c>
      <c r="E479" s="3">
        <v>100065803</v>
      </c>
      <c r="F479" s="2" t="s">
        <v>15</v>
      </c>
      <c r="G479" s="6" t="s">
        <v>234</v>
      </c>
      <c r="H479" s="2" t="s">
        <v>194</v>
      </c>
      <c r="I479" s="2" t="s">
        <v>195</v>
      </c>
      <c r="J479" s="2" t="s">
        <v>19</v>
      </c>
      <c r="K479" s="2" t="s">
        <v>353</v>
      </c>
      <c r="L479" s="7" t="str">
        <f>HYPERLINK("http://slimages.macys.com/is/image/MCY/12850008 ")</f>
        <v xml:space="preserve">http://slimages.macys.com/is/image/MCY/12850008 </v>
      </c>
    </row>
    <row r="480" spans="1:12" ht="24.75" x14ac:dyDescent="0.25">
      <c r="A480" s="4" t="s">
        <v>1370</v>
      </c>
      <c r="B480" s="2" t="s">
        <v>1365</v>
      </c>
      <c r="C480" s="3">
        <v>1</v>
      </c>
      <c r="D480" s="5">
        <v>37.130000000000003</v>
      </c>
      <c r="E480" s="3">
        <v>100065803</v>
      </c>
      <c r="F480" s="2" t="s">
        <v>74</v>
      </c>
      <c r="G480" s="6" t="s">
        <v>156</v>
      </c>
      <c r="H480" s="2" t="s">
        <v>194</v>
      </c>
      <c r="I480" s="2" t="s">
        <v>195</v>
      </c>
      <c r="J480" s="2" t="s">
        <v>19</v>
      </c>
      <c r="K480" s="2" t="s">
        <v>353</v>
      </c>
      <c r="L480" s="7" t="str">
        <f>HYPERLINK("http://slimages.macys.com/is/image/MCY/12850008 ")</f>
        <v xml:space="preserve">http://slimages.macys.com/is/image/MCY/12850008 </v>
      </c>
    </row>
    <row r="481" spans="1:12" ht="24.75" x14ac:dyDescent="0.25">
      <c r="A481" s="4" t="s">
        <v>7478</v>
      </c>
      <c r="B481" s="2" t="s">
        <v>1373</v>
      </c>
      <c r="C481" s="3">
        <v>1</v>
      </c>
      <c r="D481" s="5">
        <v>37.130000000000003</v>
      </c>
      <c r="E481" s="3" t="s">
        <v>1374</v>
      </c>
      <c r="F481" s="2" t="s">
        <v>64</v>
      </c>
      <c r="G481" s="6" t="s">
        <v>181</v>
      </c>
      <c r="H481" s="2" t="s">
        <v>194</v>
      </c>
      <c r="I481" s="2" t="s">
        <v>195</v>
      </c>
      <c r="J481" s="2" t="s">
        <v>19</v>
      </c>
      <c r="K481" s="2" t="s">
        <v>247</v>
      </c>
      <c r="L481" s="7" t="str">
        <f>HYPERLINK("http://slimages.macys.com/is/image/MCY/12034795 ")</f>
        <v xml:space="preserve">http://slimages.macys.com/is/image/MCY/12034795 </v>
      </c>
    </row>
    <row r="482" spans="1:12" ht="24.75" x14ac:dyDescent="0.25">
      <c r="A482" s="4" t="s">
        <v>7479</v>
      </c>
      <c r="B482" s="2" t="s">
        <v>1373</v>
      </c>
      <c r="C482" s="3">
        <v>2</v>
      </c>
      <c r="D482" s="5">
        <v>37.130000000000003</v>
      </c>
      <c r="E482" s="3" t="s">
        <v>1374</v>
      </c>
      <c r="F482" s="2" t="s">
        <v>1322</v>
      </c>
      <c r="G482" s="6" t="s">
        <v>234</v>
      </c>
      <c r="H482" s="2" t="s">
        <v>194</v>
      </c>
      <c r="I482" s="2" t="s">
        <v>195</v>
      </c>
      <c r="J482" s="2" t="s">
        <v>19</v>
      </c>
      <c r="K482" s="2" t="s">
        <v>247</v>
      </c>
      <c r="L482" s="7" t="str">
        <f>HYPERLINK("http://slimages.macys.com/is/image/MCY/12034795 ")</f>
        <v xml:space="preserve">http://slimages.macys.com/is/image/MCY/12034795 </v>
      </c>
    </row>
    <row r="483" spans="1:12" ht="24.75" x14ac:dyDescent="0.25">
      <c r="A483" s="4" t="s">
        <v>7480</v>
      </c>
      <c r="B483" s="2" t="s">
        <v>1381</v>
      </c>
      <c r="C483" s="3">
        <v>2</v>
      </c>
      <c r="D483" s="5">
        <v>37.130000000000003</v>
      </c>
      <c r="E483" s="3" t="s">
        <v>7481</v>
      </c>
      <c r="F483" s="2" t="s">
        <v>887</v>
      </c>
      <c r="G483" s="6" t="s">
        <v>181</v>
      </c>
      <c r="H483" s="2" t="s">
        <v>194</v>
      </c>
      <c r="I483" s="2" t="s">
        <v>195</v>
      </c>
      <c r="J483" s="2" t="s">
        <v>19</v>
      </c>
      <c r="K483" s="2" t="s">
        <v>247</v>
      </c>
      <c r="L483" s="7" t="str">
        <f>HYPERLINK("http://slimages.macys.com/is/image/MCY/12734392 ")</f>
        <v xml:space="preserve">http://slimages.macys.com/is/image/MCY/12734392 </v>
      </c>
    </row>
    <row r="484" spans="1:12" ht="24.75" x14ac:dyDescent="0.25">
      <c r="A484" s="4" t="s">
        <v>7482</v>
      </c>
      <c r="B484" s="2" t="s">
        <v>1381</v>
      </c>
      <c r="C484" s="3">
        <v>2</v>
      </c>
      <c r="D484" s="5">
        <v>37.130000000000003</v>
      </c>
      <c r="E484" s="3" t="s">
        <v>7481</v>
      </c>
      <c r="F484" s="2" t="s">
        <v>887</v>
      </c>
      <c r="G484" s="6" t="s">
        <v>154</v>
      </c>
      <c r="H484" s="2" t="s">
        <v>194</v>
      </c>
      <c r="I484" s="2" t="s">
        <v>195</v>
      </c>
      <c r="J484" s="2" t="s">
        <v>19</v>
      </c>
      <c r="K484" s="2" t="s">
        <v>247</v>
      </c>
      <c r="L484" s="7" t="str">
        <f>HYPERLINK("http://slimages.macys.com/is/image/MCY/12734392 ")</f>
        <v xml:space="preserve">http://slimages.macys.com/is/image/MCY/12734392 </v>
      </c>
    </row>
    <row r="485" spans="1:12" ht="24.75" x14ac:dyDescent="0.25">
      <c r="A485" s="4" t="s">
        <v>7483</v>
      </c>
      <c r="B485" s="2" t="s">
        <v>1381</v>
      </c>
      <c r="C485" s="3">
        <v>1</v>
      </c>
      <c r="D485" s="5">
        <v>37.130000000000003</v>
      </c>
      <c r="E485" s="3" t="s">
        <v>7481</v>
      </c>
      <c r="F485" s="2" t="s">
        <v>887</v>
      </c>
      <c r="G485" s="6" t="s">
        <v>234</v>
      </c>
      <c r="H485" s="2" t="s">
        <v>194</v>
      </c>
      <c r="I485" s="2" t="s">
        <v>195</v>
      </c>
      <c r="J485" s="2" t="s">
        <v>19</v>
      </c>
      <c r="K485" s="2" t="s">
        <v>247</v>
      </c>
      <c r="L485" s="7" t="str">
        <f>HYPERLINK("http://slimages.macys.com/is/image/MCY/12734392 ")</f>
        <v xml:space="preserve">http://slimages.macys.com/is/image/MCY/12734392 </v>
      </c>
    </row>
    <row r="486" spans="1:12" ht="36.75" x14ac:dyDescent="0.25">
      <c r="A486" s="4" t="s">
        <v>7484</v>
      </c>
      <c r="B486" s="2" t="s">
        <v>2351</v>
      </c>
      <c r="C486" s="3">
        <v>1</v>
      </c>
      <c r="D486" s="5">
        <v>29.63</v>
      </c>
      <c r="E486" s="3" t="s">
        <v>4963</v>
      </c>
      <c r="F486" s="2" t="s">
        <v>752</v>
      </c>
      <c r="G486" s="6" t="s">
        <v>154</v>
      </c>
      <c r="H486" s="2" t="s">
        <v>194</v>
      </c>
      <c r="I486" s="2" t="s">
        <v>195</v>
      </c>
      <c r="J486" s="2" t="s">
        <v>19</v>
      </c>
      <c r="K486" s="2" t="s">
        <v>1390</v>
      </c>
      <c r="L486" s="7" t="str">
        <f>HYPERLINK("http://slimages.macys.com/is/image/MCY/12950203 ")</f>
        <v xml:space="preserve">http://slimages.macys.com/is/image/MCY/12950203 </v>
      </c>
    </row>
    <row r="487" spans="1:12" ht="24.75" x14ac:dyDescent="0.25">
      <c r="A487" s="4" t="s">
        <v>6657</v>
      </c>
      <c r="B487" s="2" t="s">
        <v>1394</v>
      </c>
      <c r="C487" s="3">
        <v>1</v>
      </c>
      <c r="D487" s="5">
        <v>37.130000000000003</v>
      </c>
      <c r="E487" s="3" t="s">
        <v>1395</v>
      </c>
      <c r="F487" s="2" t="s">
        <v>33</v>
      </c>
      <c r="G487" s="6" t="s">
        <v>234</v>
      </c>
      <c r="H487" s="2" t="s">
        <v>194</v>
      </c>
      <c r="I487" s="2" t="s">
        <v>195</v>
      </c>
      <c r="J487" s="2" t="s">
        <v>19</v>
      </c>
      <c r="K487" s="2" t="s">
        <v>34</v>
      </c>
      <c r="L487" s="7" t="str">
        <f>HYPERLINK("http://slimages.macys.com/is/image/MCY/13367997 ")</f>
        <v xml:space="preserve">http://slimages.macys.com/is/image/MCY/13367997 </v>
      </c>
    </row>
    <row r="488" spans="1:12" ht="24.75" x14ac:dyDescent="0.25">
      <c r="A488" s="4" t="s">
        <v>7485</v>
      </c>
      <c r="B488" s="2" t="s">
        <v>7486</v>
      </c>
      <c r="C488" s="3">
        <v>1</v>
      </c>
      <c r="D488" s="5">
        <v>37.5</v>
      </c>
      <c r="E488" s="3" t="s">
        <v>7487</v>
      </c>
      <c r="F488" s="2" t="s">
        <v>998</v>
      </c>
      <c r="G488" s="6" t="s">
        <v>794</v>
      </c>
      <c r="H488" s="2" t="s">
        <v>447</v>
      </c>
      <c r="I488" s="2" t="s">
        <v>792</v>
      </c>
      <c r="J488" s="2" t="s">
        <v>19</v>
      </c>
      <c r="K488" s="2" t="s">
        <v>803</v>
      </c>
      <c r="L488" s="7" t="str">
        <f>HYPERLINK("http://slimages.macys.com/is/image/MCY/11417137 ")</f>
        <v xml:space="preserve">http://slimages.macys.com/is/image/MCY/11417137 </v>
      </c>
    </row>
    <row r="489" spans="1:12" ht="60.75" x14ac:dyDescent="0.25">
      <c r="A489" s="4" t="s">
        <v>1396</v>
      </c>
      <c r="B489" s="2" t="s">
        <v>1397</v>
      </c>
      <c r="C489" s="3">
        <v>2</v>
      </c>
      <c r="D489" s="5">
        <v>29.63</v>
      </c>
      <c r="E489" s="3">
        <v>100022669</v>
      </c>
      <c r="F489" s="2" t="s">
        <v>48</v>
      </c>
      <c r="G489" s="6" t="s">
        <v>200</v>
      </c>
      <c r="H489" s="2" t="s">
        <v>194</v>
      </c>
      <c r="I489" s="2" t="s">
        <v>1398</v>
      </c>
      <c r="J489" s="2" t="s">
        <v>19</v>
      </c>
      <c r="K489" s="2" t="s">
        <v>1399</v>
      </c>
      <c r="L489" s="7" t="str">
        <f>HYPERLINK("http://slimages.macys.com/is/image/MCY/13368177 ")</f>
        <v xml:space="preserve">http://slimages.macys.com/is/image/MCY/13368177 </v>
      </c>
    </row>
    <row r="490" spans="1:12" ht="24.75" x14ac:dyDescent="0.25">
      <c r="A490" s="4" t="s">
        <v>7488</v>
      </c>
      <c r="B490" s="2" t="s">
        <v>7489</v>
      </c>
      <c r="C490" s="3">
        <v>1</v>
      </c>
      <c r="D490" s="5">
        <v>37.130000000000003</v>
      </c>
      <c r="E490" s="3" t="s">
        <v>7490</v>
      </c>
      <c r="F490" s="2" t="s">
        <v>170</v>
      </c>
      <c r="G490" s="6"/>
      <c r="H490" s="2" t="s">
        <v>312</v>
      </c>
      <c r="I490" s="2" t="s">
        <v>195</v>
      </c>
      <c r="J490" s="2" t="s">
        <v>19</v>
      </c>
      <c r="K490" s="2" t="s">
        <v>247</v>
      </c>
      <c r="L490" s="7" t="str">
        <f>HYPERLINK("http://slimages.macys.com/is/image/MCY/12668006 ")</f>
        <v xml:space="preserve">http://slimages.macys.com/is/image/MCY/12668006 </v>
      </c>
    </row>
    <row r="491" spans="1:12" ht="24.75" x14ac:dyDescent="0.25">
      <c r="A491" s="4" t="s">
        <v>7491</v>
      </c>
      <c r="B491" s="2" t="s">
        <v>1373</v>
      </c>
      <c r="C491" s="3">
        <v>1</v>
      </c>
      <c r="D491" s="5">
        <v>37.130000000000003</v>
      </c>
      <c r="E491" s="3" t="s">
        <v>7492</v>
      </c>
      <c r="F491" s="2" t="s">
        <v>64</v>
      </c>
      <c r="G491" s="6"/>
      <c r="H491" s="2" t="s">
        <v>312</v>
      </c>
      <c r="I491" s="2" t="s">
        <v>195</v>
      </c>
      <c r="J491" s="2" t="s">
        <v>19</v>
      </c>
      <c r="K491" s="2" t="s">
        <v>247</v>
      </c>
      <c r="L491" s="7" t="str">
        <f>HYPERLINK("http://slimages.macys.com/is/image/MCY/12337196 ")</f>
        <v xml:space="preserve">http://slimages.macys.com/is/image/MCY/12337196 </v>
      </c>
    </row>
    <row r="492" spans="1:12" ht="24.75" x14ac:dyDescent="0.25">
      <c r="A492" s="4" t="s">
        <v>7493</v>
      </c>
      <c r="B492" s="2" t="s">
        <v>1397</v>
      </c>
      <c r="C492" s="3">
        <v>1</v>
      </c>
      <c r="D492" s="5">
        <v>29.63</v>
      </c>
      <c r="E492" s="3" t="s">
        <v>4974</v>
      </c>
      <c r="F492" s="2" t="s">
        <v>15</v>
      </c>
      <c r="G492" s="6"/>
      <c r="H492" s="2" t="s">
        <v>312</v>
      </c>
      <c r="I492" s="2" t="s">
        <v>1398</v>
      </c>
      <c r="J492" s="2"/>
      <c r="K492" s="2"/>
      <c r="L492" s="7" t="str">
        <f>HYPERLINK("http://slimages.macys.com/is/image/MCY/9504703 ")</f>
        <v xml:space="preserve">http://slimages.macys.com/is/image/MCY/9504703 </v>
      </c>
    </row>
    <row r="493" spans="1:12" ht="24.75" x14ac:dyDescent="0.25">
      <c r="A493" s="4" t="s">
        <v>2725</v>
      </c>
      <c r="B493" s="2" t="s">
        <v>1405</v>
      </c>
      <c r="C493" s="3">
        <v>1</v>
      </c>
      <c r="D493" s="5">
        <v>34.880000000000003</v>
      </c>
      <c r="E493" s="3">
        <v>100042372</v>
      </c>
      <c r="F493" s="2" t="s">
        <v>676</v>
      </c>
      <c r="G493" s="6" t="s">
        <v>16</v>
      </c>
      <c r="H493" s="2" t="s">
        <v>194</v>
      </c>
      <c r="I493" s="2" t="s">
        <v>195</v>
      </c>
      <c r="J493" s="2" t="s">
        <v>19</v>
      </c>
      <c r="K493" s="2" t="s">
        <v>353</v>
      </c>
      <c r="L493" s="7" t="str">
        <f>HYPERLINK("http://slimages.macys.com/is/image/MCY/11935225 ")</f>
        <v xml:space="preserve">http://slimages.macys.com/is/image/MCY/11935225 </v>
      </c>
    </row>
    <row r="494" spans="1:12" ht="24.75" x14ac:dyDescent="0.25">
      <c r="A494" s="4" t="s">
        <v>2722</v>
      </c>
      <c r="B494" s="2" t="s">
        <v>1405</v>
      </c>
      <c r="C494" s="3">
        <v>1</v>
      </c>
      <c r="D494" s="5">
        <v>34.880000000000003</v>
      </c>
      <c r="E494" s="3">
        <v>100042372</v>
      </c>
      <c r="F494" s="2" t="s">
        <v>676</v>
      </c>
      <c r="G494" s="6" t="s">
        <v>58</v>
      </c>
      <c r="H494" s="2" t="s">
        <v>194</v>
      </c>
      <c r="I494" s="2" t="s">
        <v>195</v>
      </c>
      <c r="J494" s="2" t="s">
        <v>19</v>
      </c>
      <c r="K494" s="2" t="s">
        <v>353</v>
      </c>
      <c r="L494" s="7" t="str">
        <f>HYPERLINK("http://slimages.macys.com/is/image/MCY/11935225 ")</f>
        <v xml:space="preserve">http://slimages.macys.com/is/image/MCY/11935225 </v>
      </c>
    </row>
    <row r="495" spans="1:12" ht="24.75" x14ac:dyDescent="0.25">
      <c r="A495" s="4" t="s">
        <v>1406</v>
      </c>
      <c r="B495" s="2" t="s">
        <v>1405</v>
      </c>
      <c r="C495" s="3">
        <v>1</v>
      </c>
      <c r="D495" s="5">
        <v>34.880000000000003</v>
      </c>
      <c r="E495" s="3">
        <v>100042372</v>
      </c>
      <c r="F495" s="2" t="s">
        <v>94</v>
      </c>
      <c r="G495" s="6" t="s">
        <v>141</v>
      </c>
      <c r="H495" s="2" t="s">
        <v>194</v>
      </c>
      <c r="I495" s="2" t="s">
        <v>195</v>
      </c>
      <c r="J495" s="2" t="s">
        <v>19</v>
      </c>
      <c r="K495" s="2" t="s">
        <v>353</v>
      </c>
      <c r="L495" s="7" t="str">
        <f>HYPERLINK("http://slimages.macys.com/is/image/MCY/11935225 ")</f>
        <v xml:space="preserve">http://slimages.macys.com/is/image/MCY/11935225 </v>
      </c>
    </row>
    <row r="496" spans="1:12" ht="24.75" x14ac:dyDescent="0.25">
      <c r="A496" s="4" t="s">
        <v>7494</v>
      </c>
      <c r="B496" s="2" t="s">
        <v>2729</v>
      </c>
      <c r="C496" s="3">
        <v>1</v>
      </c>
      <c r="D496" s="5">
        <v>33.380000000000003</v>
      </c>
      <c r="E496" s="3" t="s">
        <v>2730</v>
      </c>
      <c r="F496" s="2" t="s">
        <v>26</v>
      </c>
      <c r="G496" s="6" t="s">
        <v>181</v>
      </c>
      <c r="H496" s="2" t="s">
        <v>194</v>
      </c>
      <c r="I496" s="2" t="s">
        <v>195</v>
      </c>
      <c r="J496" s="2" t="s">
        <v>19</v>
      </c>
      <c r="K496" s="2" t="s">
        <v>990</v>
      </c>
      <c r="L496" s="7" t="str">
        <f>HYPERLINK("http://slimages.macys.com/is/image/MCY/12734313 ")</f>
        <v xml:space="preserve">http://slimages.macys.com/is/image/MCY/12734313 </v>
      </c>
    </row>
    <row r="497" spans="1:12" ht="36.75" x14ac:dyDescent="0.25">
      <c r="A497" s="4" t="s">
        <v>7495</v>
      </c>
      <c r="B497" s="2" t="s">
        <v>1040</v>
      </c>
      <c r="C497" s="3">
        <v>1</v>
      </c>
      <c r="D497" s="5">
        <v>44.63</v>
      </c>
      <c r="E497" s="3" t="s">
        <v>1041</v>
      </c>
      <c r="F497" s="2" t="s">
        <v>89</v>
      </c>
      <c r="G497" s="6" t="s">
        <v>112</v>
      </c>
      <c r="H497" s="2" t="s">
        <v>246</v>
      </c>
      <c r="I497" s="2" t="s">
        <v>487</v>
      </c>
      <c r="J497" s="2" t="s">
        <v>19</v>
      </c>
      <c r="K497" s="2" t="s">
        <v>500</v>
      </c>
      <c r="L497" s="7" t="str">
        <f>HYPERLINK("http://slimages.macys.com/is/image/MCY/11231757 ")</f>
        <v xml:space="preserve">http://slimages.macys.com/is/image/MCY/11231757 </v>
      </c>
    </row>
    <row r="498" spans="1:12" ht="24.75" x14ac:dyDescent="0.25">
      <c r="A498" s="4" t="s">
        <v>7496</v>
      </c>
      <c r="B498" s="2" t="s">
        <v>5911</v>
      </c>
      <c r="C498" s="3">
        <v>1</v>
      </c>
      <c r="D498" s="5">
        <v>49.5</v>
      </c>
      <c r="E498" s="3" t="s">
        <v>5912</v>
      </c>
      <c r="F498" s="2" t="s">
        <v>15</v>
      </c>
      <c r="G498" s="6" t="s">
        <v>165</v>
      </c>
      <c r="H498" s="2" t="s">
        <v>206</v>
      </c>
      <c r="I498" s="2" t="s">
        <v>1010</v>
      </c>
      <c r="J498" s="2" t="s">
        <v>19</v>
      </c>
      <c r="K498" s="2" t="s">
        <v>409</v>
      </c>
      <c r="L498" s="7" t="str">
        <f>HYPERLINK("http://slimages.macys.com/is/image/MCY/16635004 ")</f>
        <v xml:space="preserve">http://slimages.macys.com/is/image/MCY/16635004 </v>
      </c>
    </row>
    <row r="499" spans="1:12" ht="24.75" x14ac:dyDescent="0.25">
      <c r="A499" s="4" t="s">
        <v>7497</v>
      </c>
      <c r="B499" s="2" t="s">
        <v>1444</v>
      </c>
      <c r="C499" s="3">
        <v>1</v>
      </c>
      <c r="D499" s="5">
        <v>34.880000000000003</v>
      </c>
      <c r="E499" s="3">
        <v>100042376</v>
      </c>
      <c r="F499" s="2" t="s">
        <v>64</v>
      </c>
      <c r="G499" s="6" t="s">
        <v>22</v>
      </c>
      <c r="H499" s="2" t="s">
        <v>194</v>
      </c>
      <c r="I499" s="2" t="s">
        <v>195</v>
      </c>
      <c r="J499" s="2" t="s">
        <v>19</v>
      </c>
      <c r="K499" s="2" t="s">
        <v>353</v>
      </c>
      <c r="L499" s="7" t="str">
        <f t="shared" ref="L499:L513" si="8">HYPERLINK("http://slimages.macys.com/is/image/MCY/11764758 ")</f>
        <v xml:space="preserve">http://slimages.macys.com/is/image/MCY/11764758 </v>
      </c>
    </row>
    <row r="500" spans="1:12" ht="24.75" x14ac:dyDescent="0.25">
      <c r="A500" s="4" t="s">
        <v>7498</v>
      </c>
      <c r="B500" s="2" t="s">
        <v>1444</v>
      </c>
      <c r="C500" s="3">
        <v>1</v>
      </c>
      <c r="D500" s="5">
        <v>34.880000000000003</v>
      </c>
      <c r="E500" s="3">
        <v>100042376</v>
      </c>
      <c r="F500" s="2" t="s">
        <v>64</v>
      </c>
      <c r="G500" s="6" t="s">
        <v>27</v>
      </c>
      <c r="H500" s="2" t="s">
        <v>194</v>
      </c>
      <c r="I500" s="2" t="s">
        <v>195</v>
      </c>
      <c r="J500" s="2" t="s">
        <v>19</v>
      </c>
      <c r="K500" s="2" t="s">
        <v>353</v>
      </c>
      <c r="L500" s="7" t="str">
        <f t="shared" si="8"/>
        <v xml:space="preserve">http://slimages.macys.com/is/image/MCY/11764758 </v>
      </c>
    </row>
    <row r="501" spans="1:12" ht="24.75" x14ac:dyDescent="0.25">
      <c r="A501" s="4" t="s">
        <v>7499</v>
      </c>
      <c r="B501" s="2" t="s">
        <v>1444</v>
      </c>
      <c r="C501" s="3">
        <v>1</v>
      </c>
      <c r="D501" s="5">
        <v>34.880000000000003</v>
      </c>
      <c r="E501" s="3">
        <v>100042376</v>
      </c>
      <c r="F501" s="2" t="s">
        <v>64</v>
      </c>
      <c r="G501" s="6" t="s">
        <v>65</v>
      </c>
      <c r="H501" s="2" t="s">
        <v>194</v>
      </c>
      <c r="I501" s="2" t="s">
        <v>195</v>
      </c>
      <c r="J501" s="2" t="s">
        <v>19</v>
      </c>
      <c r="K501" s="2" t="s">
        <v>353</v>
      </c>
      <c r="L501" s="7" t="str">
        <f t="shared" si="8"/>
        <v xml:space="preserve">http://slimages.macys.com/is/image/MCY/11764758 </v>
      </c>
    </row>
    <row r="502" spans="1:12" ht="24.75" x14ac:dyDescent="0.25">
      <c r="A502" s="4" t="s">
        <v>7500</v>
      </c>
      <c r="B502" s="2" t="s">
        <v>1444</v>
      </c>
      <c r="C502" s="3">
        <v>1</v>
      </c>
      <c r="D502" s="5">
        <v>34.880000000000003</v>
      </c>
      <c r="E502" s="3">
        <v>100042376</v>
      </c>
      <c r="F502" s="2" t="s">
        <v>64</v>
      </c>
      <c r="G502" s="6" t="s">
        <v>141</v>
      </c>
      <c r="H502" s="2" t="s">
        <v>194</v>
      </c>
      <c r="I502" s="2" t="s">
        <v>195</v>
      </c>
      <c r="J502" s="2" t="s">
        <v>19</v>
      </c>
      <c r="K502" s="2" t="s">
        <v>353</v>
      </c>
      <c r="L502" s="7" t="str">
        <f t="shared" si="8"/>
        <v xml:space="preserve">http://slimages.macys.com/is/image/MCY/11764758 </v>
      </c>
    </row>
    <row r="503" spans="1:12" ht="24.75" x14ac:dyDescent="0.25">
      <c r="A503" s="4" t="s">
        <v>5913</v>
      </c>
      <c r="B503" s="2" t="s">
        <v>1444</v>
      </c>
      <c r="C503" s="3">
        <v>3</v>
      </c>
      <c r="D503" s="5">
        <v>34.880000000000003</v>
      </c>
      <c r="E503" s="3">
        <v>100042376</v>
      </c>
      <c r="F503" s="2" t="s">
        <v>136</v>
      </c>
      <c r="G503" s="6" t="s">
        <v>27</v>
      </c>
      <c r="H503" s="2" t="s">
        <v>194</v>
      </c>
      <c r="I503" s="2" t="s">
        <v>195</v>
      </c>
      <c r="J503" s="2" t="s">
        <v>19</v>
      </c>
      <c r="K503" s="2" t="s">
        <v>353</v>
      </c>
      <c r="L503" s="7" t="str">
        <f t="shared" si="8"/>
        <v xml:space="preserve">http://slimages.macys.com/is/image/MCY/11764758 </v>
      </c>
    </row>
    <row r="504" spans="1:12" ht="24.75" x14ac:dyDescent="0.25">
      <c r="A504" s="4" t="s">
        <v>7501</v>
      </c>
      <c r="B504" s="2" t="s">
        <v>1444</v>
      </c>
      <c r="C504" s="3">
        <v>1</v>
      </c>
      <c r="D504" s="5">
        <v>34.880000000000003</v>
      </c>
      <c r="E504" s="3">
        <v>100042376</v>
      </c>
      <c r="F504" s="2" t="s">
        <v>136</v>
      </c>
      <c r="G504" s="6" t="s">
        <v>106</v>
      </c>
      <c r="H504" s="2" t="s">
        <v>194</v>
      </c>
      <c r="I504" s="2" t="s">
        <v>195</v>
      </c>
      <c r="J504" s="2" t="s">
        <v>19</v>
      </c>
      <c r="K504" s="2" t="s">
        <v>353</v>
      </c>
      <c r="L504" s="7" t="str">
        <f t="shared" si="8"/>
        <v xml:space="preserve">http://slimages.macys.com/is/image/MCY/11764758 </v>
      </c>
    </row>
    <row r="505" spans="1:12" ht="24.75" x14ac:dyDescent="0.25">
      <c r="A505" s="4" t="s">
        <v>4987</v>
      </c>
      <c r="B505" s="2" t="s">
        <v>1444</v>
      </c>
      <c r="C505" s="3">
        <v>4</v>
      </c>
      <c r="D505" s="5">
        <v>34.880000000000003</v>
      </c>
      <c r="E505" s="3">
        <v>100042376</v>
      </c>
      <c r="F505" s="2" t="s">
        <v>136</v>
      </c>
      <c r="G505" s="6" t="s">
        <v>22</v>
      </c>
      <c r="H505" s="2" t="s">
        <v>194</v>
      </c>
      <c r="I505" s="2" t="s">
        <v>195</v>
      </c>
      <c r="J505" s="2" t="s">
        <v>19</v>
      </c>
      <c r="K505" s="2" t="s">
        <v>353</v>
      </c>
      <c r="L505" s="7" t="str">
        <f t="shared" si="8"/>
        <v xml:space="preserve">http://slimages.macys.com/is/image/MCY/11764758 </v>
      </c>
    </row>
    <row r="506" spans="1:12" ht="24.75" x14ac:dyDescent="0.25">
      <c r="A506" s="4" t="s">
        <v>7502</v>
      </c>
      <c r="B506" s="2" t="s">
        <v>1444</v>
      </c>
      <c r="C506" s="3">
        <v>1</v>
      </c>
      <c r="D506" s="5">
        <v>34.880000000000003</v>
      </c>
      <c r="E506" s="3">
        <v>100042376</v>
      </c>
      <c r="F506" s="2" t="s">
        <v>136</v>
      </c>
      <c r="G506" s="6" t="s">
        <v>65</v>
      </c>
      <c r="H506" s="2" t="s">
        <v>194</v>
      </c>
      <c r="I506" s="2" t="s">
        <v>195</v>
      </c>
      <c r="J506" s="2" t="s">
        <v>19</v>
      </c>
      <c r="K506" s="2" t="s">
        <v>353</v>
      </c>
      <c r="L506" s="7" t="str">
        <f t="shared" si="8"/>
        <v xml:space="preserve">http://slimages.macys.com/is/image/MCY/11764758 </v>
      </c>
    </row>
    <row r="507" spans="1:12" ht="24.75" x14ac:dyDescent="0.25">
      <c r="A507" s="4" t="s">
        <v>6674</v>
      </c>
      <c r="B507" s="2" t="s">
        <v>1444</v>
      </c>
      <c r="C507" s="3">
        <v>2</v>
      </c>
      <c r="D507" s="5">
        <v>34.880000000000003</v>
      </c>
      <c r="E507" s="3">
        <v>100042376</v>
      </c>
      <c r="F507" s="2" t="s">
        <v>136</v>
      </c>
      <c r="G507" s="6" t="s">
        <v>58</v>
      </c>
      <c r="H507" s="2" t="s">
        <v>194</v>
      </c>
      <c r="I507" s="2" t="s">
        <v>195</v>
      </c>
      <c r="J507" s="2" t="s">
        <v>19</v>
      </c>
      <c r="K507" s="2" t="s">
        <v>353</v>
      </c>
      <c r="L507" s="7" t="str">
        <f t="shared" si="8"/>
        <v xml:space="preserve">http://slimages.macys.com/is/image/MCY/11764758 </v>
      </c>
    </row>
    <row r="508" spans="1:12" ht="24.75" x14ac:dyDescent="0.25">
      <c r="A508" s="4" t="s">
        <v>2731</v>
      </c>
      <c r="B508" s="2" t="s">
        <v>1444</v>
      </c>
      <c r="C508" s="3">
        <v>3</v>
      </c>
      <c r="D508" s="5">
        <v>34.880000000000003</v>
      </c>
      <c r="E508" s="3">
        <v>100042376</v>
      </c>
      <c r="F508" s="2" t="s">
        <v>136</v>
      </c>
      <c r="G508" s="6" t="s">
        <v>16</v>
      </c>
      <c r="H508" s="2" t="s">
        <v>194</v>
      </c>
      <c r="I508" s="2" t="s">
        <v>195</v>
      </c>
      <c r="J508" s="2" t="s">
        <v>19</v>
      </c>
      <c r="K508" s="2" t="s">
        <v>353</v>
      </c>
      <c r="L508" s="7" t="str">
        <f t="shared" si="8"/>
        <v xml:space="preserve">http://slimages.macys.com/is/image/MCY/11764758 </v>
      </c>
    </row>
    <row r="509" spans="1:12" ht="24.75" x14ac:dyDescent="0.25">
      <c r="A509" s="4" t="s">
        <v>7503</v>
      </c>
      <c r="B509" s="2" t="s">
        <v>1444</v>
      </c>
      <c r="C509" s="3">
        <v>1</v>
      </c>
      <c r="D509" s="5">
        <v>34.880000000000003</v>
      </c>
      <c r="E509" s="3">
        <v>100042376</v>
      </c>
      <c r="F509" s="2" t="s">
        <v>136</v>
      </c>
      <c r="G509" s="6" t="s">
        <v>141</v>
      </c>
      <c r="H509" s="2" t="s">
        <v>194</v>
      </c>
      <c r="I509" s="2" t="s">
        <v>195</v>
      </c>
      <c r="J509" s="2" t="s">
        <v>19</v>
      </c>
      <c r="K509" s="2" t="s">
        <v>353</v>
      </c>
      <c r="L509" s="7" t="str">
        <f t="shared" si="8"/>
        <v xml:space="preserve">http://slimages.macys.com/is/image/MCY/11764758 </v>
      </c>
    </row>
    <row r="510" spans="1:12" ht="24.75" x14ac:dyDescent="0.25">
      <c r="A510" s="4" t="s">
        <v>6675</v>
      </c>
      <c r="B510" s="2" t="s">
        <v>1444</v>
      </c>
      <c r="C510" s="3">
        <v>1</v>
      </c>
      <c r="D510" s="5">
        <v>34.880000000000003</v>
      </c>
      <c r="E510" s="3">
        <v>100042376</v>
      </c>
      <c r="F510" s="2" t="s">
        <v>136</v>
      </c>
      <c r="G510" s="6" t="s">
        <v>112</v>
      </c>
      <c r="H510" s="2" t="s">
        <v>194</v>
      </c>
      <c r="I510" s="2" t="s">
        <v>195</v>
      </c>
      <c r="J510" s="2" t="s">
        <v>19</v>
      </c>
      <c r="K510" s="2" t="s">
        <v>353</v>
      </c>
      <c r="L510" s="7" t="str">
        <f t="shared" si="8"/>
        <v xml:space="preserve">http://slimages.macys.com/is/image/MCY/11764758 </v>
      </c>
    </row>
    <row r="511" spans="1:12" ht="24.75" x14ac:dyDescent="0.25">
      <c r="A511" s="4" t="s">
        <v>2732</v>
      </c>
      <c r="B511" s="2" t="s">
        <v>1444</v>
      </c>
      <c r="C511" s="3">
        <v>1</v>
      </c>
      <c r="D511" s="5">
        <v>34.880000000000003</v>
      </c>
      <c r="E511" s="3">
        <v>100042376</v>
      </c>
      <c r="F511" s="2" t="s">
        <v>64</v>
      </c>
      <c r="G511" s="6" t="s">
        <v>106</v>
      </c>
      <c r="H511" s="2" t="s">
        <v>194</v>
      </c>
      <c r="I511" s="2" t="s">
        <v>195</v>
      </c>
      <c r="J511" s="2" t="s">
        <v>19</v>
      </c>
      <c r="K511" s="2" t="s">
        <v>353</v>
      </c>
      <c r="L511" s="7" t="str">
        <f t="shared" si="8"/>
        <v xml:space="preserve">http://slimages.macys.com/is/image/MCY/11764758 </v>
      </c>
    </row>
    <row r="512" spans="1:12" ht="24.75" x14ac:dyDescent="0.25">
      <c r="A512" s="4" t="s">
        <v>6676</v>
      </c>
      <c r="B512" s="2" t="s">
        <v>1444</v>
      </c>
      <c r="C512" s="3">
        <v>2</v>
      </c>
      <c r="D512" s="5">
        <v>34.880000000000003</v>
      </c>
      <c r="E512" s="3">
        <v>100042376</v>
      </c>
      <c r="F512" s="2" t="s">
        <v>64</v>
      </c>
      <c r="G512" s="6" t="s">
        <v>16</v>
      </c>
      <c r="H512" s="2" t="s">
        <v>194</v>
      </c>
      <c r="I512" s="2" t="s">
        <v>195</v>
      </c>
      <c r="J512" s="2" t="s">
        <v>19</v>
      </c>
      <c r="K512" s="2" t="s">
        <v>353</v>
      </c>
      <c r="L512" s="7" t="str">
        <f t="shared" si="8"/>
        <v xml:space="preserve">http://slimages.macys.com/is/image/MCY/11764758 </v>
      </c>
    </row>
    <row r="513" spans="1:12" ht="24.75" x14ac:dyDescent="0.25">
      <c r="A513" s="4" t="s">
        <v>7504</v>
      </c>
      <c r="B513" s="2" t="s">
        <v>1444</v>
      </c>
      <c r="C513" s="3">
        <v>2</v>
      </c>
      <c r="D513" s="5">
        <v>34.880000000000003</v>
      </c>
      <c r="E513" s="3">
        <v>100042376</v>
      </c>
      <c r="F513" s="2" t="s">
        <v>64</v>
      </c>
      <c r="G513" s="6" t="s">
        <v>58</v>
      </c>
      <c r="H513" s="2" t="s">
        <v>194</v>
      </c>
      <c r="I513" s="2" t="s">
        <v>195</v>
      </c>
      <c r="J513" s="2" t="s">
        <v>19</v>
      </c>
      <c r="K513" s="2" t="s">
        <v>353</v>
      </c>
      <c r="L513" s="7" t="str">
        <f t="shared" si="8"/>
        <v xml:space="preserve">http://slimages.macys.com/is/image/MCY/11764758 </v>
      </c>
    </row>
    <row r="514" spans="1:12" ht="24.75" x14ac:dyDescent="0.25">
      <c r="A514" s="4" t="s">
        <v>7505</v>
      </c>
      <c r="B514" s="2" t="s">
        <v>1419</v>
      </c>
      <c r="C514" s="3">
        <v>1</v>
      </c>
      <c r="D514" s="5">
        <v>33.380000000000003</v>
      </c>
      <c r="E514" s="3" t="s">
        <v>1420</v>
      </c>
      <c r="F514" s="2" t="s">
        <v>15</v>
      </c>
      <c r="G514" s="6" t="s">
        <v>181</v>
      </c>
      <c r="H514" s="2" t="s">
        <v>194</v>
      </c>
      <c r="I514" s="2" t="s">
        <v>195</v>
      </c>
      <c r="J514" s="2" t="s">
        <v>19</v>
      </c>
      <c r="K514" s="2" t="s">
        <v>1082</v>
      </c>
      <c r="L514" s="7" t="str">
        <f>HYPERLINK("http://slimages.macys.com/is/image/MCY/12850874 ")</f>
        <v xml:space="preserve">http://slimages.macys.com/is/image/MCY/12850874 </v>
      </c>
    </row>
    <row r="515" spans="1:12" ht="24.75" x14ac:dyDescent="0.25">
      <c r="A515" s="4" t="s">
        <v>2738</v>
      </c>
      <c r="B515" s="2" t="s">
        <v>2734</v>
      </c>
      <c r="C515" s="3">
        <v>1</v>
      </c>
      <c r="D515" s="5">
        <v>29.63</v>
      </c>
      <c r="E515" s="3" t="s">
        <v>2735</v>
      </c>
      <c r="F515" s="2" t="s">
        <v>125</v>
      </c>
      <c r="G515" s="6" t="s">
        <v>154</v>
      </c>
      <c r="H515" s="2" t="s">
        <v>194</v>
      </c>
      <c r="I515" s="2" t="s">
        <v>195</v>
      </c>
      <c r="J515" s="2" t="s">
        <v>19</v>
      </c>
      <c r="K515" s="2" t="s">
        <v>137</v>
      </c>
      <c r="L515" s="7" t="str">
        <f>HYPERLINK("http://slimages.macys.com/is/image/MCY/12279918 ")</f>
        <v xml:space="preserve">http://slimages.macys.com/is/image/MCY/12279918 </v>
      </c>
    </row>
    <row r="516" spans="1:12" ht="24.75" x14ac:dyDescent="0.25">
      <c r="A516" s="4" t="s">
        <v>7506</v>
      </c>
      <c r="B516" s="2" t="s">
        <v>7507</v>
      </c>
      <c r="C516" s="3">
        <v>1</v>
      </c>
      <c r="D516" s="5">
        <v>24.99</v>
      </c>
      <c r="E516" s="3" t="s">
        <v>7508</v>
      </c>
      <c r="F516" s="2" t="s">
        <v>15</v>
      </c>
      <c r="G516" s="6"/>
      <c r="H516" s="2" t="s">
        <v>1425</v>
      </c>
      <c r="I516" s="2" t="s">
        <v>1426</v>
      </c>
      <c r="J516" s="2" t="s">
        <v>19</v>
      </c>
      <c r="K516" s="2" t="s">
        <v>1431</v>
      </c>
      <c r="L516" s="7" t="str">
        <f>HYPERLINK("http://slimages.macys.com/is/image/MCY/11774703 ")</f>
        <v xml:space="preserve">http://slimages.macys.com/is/image/MCY/11774703 </v>
      </c>
    </row>
    <row r="517" spans="1:12" ht="24.75" x14ac:dyDescent="0.25">
      <c r="A517" s="4" t="s">
        <v>1436</v>
      </c>
      <c r="B517" s="2" t="s">
        <v>1423</v>
      </c>
      <c r="C517" s="3">
        <v>1</v>
      </c>
      <c r="D517" s="5">
        <v>24.99</v>
      </c>
      <c r="E517" s="3" t="s">
        <v>1424</v>
      </c>
      <c r="F517" s="2" t="s">
        <v>252</v>
      </c>
      <c r="G517" s="6"/>
      <c r="H517" s="2" t="s">
        <v>1425</v>
      </c>
      <c r="I517" s="2" t="s">
        <v>1426</v>
      </c>
      <c r="J517" s="2" t="s">
        <v>19</v>
      </c>
      <c r="K517" s="2" t="s">
        <v>1427</v>
      </c>
      <c r="L517" s="7" t="str">
        <f>HYPERLINK("http://slimages.macys.com/is/image/MCY/11774672 ")</f>
        <v xml:space="preserve">http://slimages.macys.com/is/image/MCY/11774672 </v>
      </c>
    </row>
    <row r="518" spans="1:12" ht="24.75" x14ac:dyDescent="0.25">
      <c r="A518" s="4" t="s">
        <v>7509</v>
      </c>
      <c r="B518" s="2" t="s">
        <v>1444</v>
      </c>
      <c r="C518" s="3">
        <v>1</v>
      </c>
      <c r="D518" s="5">
        <v>34.880000000000003</v>
      </c>
      <c r="E518" s="3">
        <v>100042376</v>
      </c>
      <c r="F518" s="2" t="s">
        <v>566</v>
      </c>
      <c r="G518" s="6" t="s">
        <v>16</v>
      </c>
      <c r="H518" s="2" t="s">
        <v>194</v>
      </c>
      <c r="I518" s="2" t="s">
        <v>195</v>
      </c>
      <c r="J518" s="2" t="s">
        <v>19</v>
      </c>
      <c r="K518" s="2" t="s">
        <v>353</v>
      </c>
      <c r="L518" s="7" t="str">
        <f>HYPERLINK("http://slimages.macys.com/is/image/MCY/11764758 ")</f>
        <v xml:space="preserve">http://slimages.macys.com/is/image/MCY/11764758 </v>
      </c>
    </row>
    <row r="519" spans="1:12" ht="24.75" x14ac:dyDescent="0.25">
      <c r="A519" s="4" t="s">
        <v>2742</v>
      </c>
      <c r="B519" s="2" t="s">
        <v>1444</v>
      </c>
      <c r="C519" s="3">
        <v>1</v>
      </c>
      <c r="D519" s="5">
        <v>34.880000000000003</v>
      </c>
      <c r="E519" s="3">
        <v>100042376</v>
      </c>
      <c r="F519" s="2" t="s">
        <v>566</v>
      </c>
      <c r="G519" s="6" t="s">
        <v>27</v>
      </c>
      <c r="H519" s="2" t="s">
        <v>194</v>
      </c>
      <c r="I519" s="2" t="s">
        <v>195</v>
      </c>
      <c r="J519" s="2" t="s">
        <v>19</v>
      </c>
      <c r="K519" s="2" t="s">
        <v>353</v>
      </c>
      <c r="L519" s="7" t="str">
        <f>HYPERLINK("http://slimages.macys.com/is/image/MCY/11764758 ")</f>
        <v xml:space="preserve">http://slimages.macys.com/is/image/MCY/11764758 </v>
      </c>
    </row>
    <row r="520" spans="1:12" ht="24.75" x14ac:dyDescent="0.25">
      <c r="A520" s="4" t="s">
        <v>2740</v>
      </c>
      <c r="B520" s="2" t="s">
        <v>1444</v>
      </c>
      <c r="C520" s="3">
        <v>1</v>
      </c>
      <c r="D520" s="5">
        <v>34.880000000000003</v>
      </c>
      <c r="E520" s="3">
        <v>100042376</v>
      </c>
      <c r="F520" s="2" t="s">
        <v>566</v>
      </c>
      <c r="G520" s="6" t="s">
        <v>141</v>
      </c>
      <c r="H520" s="2" t="s">
        <v>194</v>
      </c>
      <c r="I520" s="2" t="s">
        <v>195</v>
      </c>
      <c r="J520" s="2" t="s">
        <v>19</v>
      </c>
      <c r="K520" s="2" t="s">
        <v>353</v>
      </c>
      <c r="L520" s="7" t="str">
        <f>HYPERLINK("http://slimages.macys.com/is/image/MCY/11764758 ")</f>
        <v xml:space="preserve">http://slimages.macys.com/is/image/MCY/11764758 </v>
      </c>
    </row>
    <row r="521" spans="1:12" ht="24.75" x14ac:dyDescent="0.25">
      <c r="A521" s="4" t="s">
        <v>7510</v>
      </c>
      <c r="B521" s="2" t="s">
        <v>1456</v>
      </c>
      <c r="C521" s="3">
        <v>1</v>
      </c>
      <c r="D521" s="5">
        <v>37.130000000000003</v>
      </c>
      <c r="E521" s="3" t="s">
        <v>1457</v>
      </c>
      <c r="F521" s="2" t="s">
        <v>752</v>
      </c>
      <c r="G521" s="6" t="s">
        <v>200</v>
      </c>
      <c r="H521" s="2" t="s">
        <v>194</v>
      </c>
      <c r="I521" s="2" t="s">
        <v>195</v>
      </c>
      <c r="J521" s="2" t="s">
        <v>19</v>
      </c>
      <c r="K521" s="2" t="s">
        <v>34</v>
      </c>
      <c r="L521" s="7" t="str">
        <f>HYPERLINK("http://slimages.macys.com/is/image/MCY/13368207 ")</f>
        <v xml:space="preserve">http://slimages.macys.com/is/image/MCY/13368207 </v>
      </c>
    </row>
    <row r="522" spans="1:12" ht="24.75" x14ac:dyDescent="0.25">
      <c r="A522" s="4" t="s">
        <v>7511</v>
      </c>
      <c r="B522" s="2" t="s">
        <v>1462</v>
      </c>
      <c r="C522" s="3">
        <v>1</v>
      </c>
      <c r="D522" s="5">
        <v>37.130000000000003</v>
      </c>
      <c r="E522" s="3" t="s">
        <v>1463</v>
      </c>
      <c r="F522" s="2" t="s">
        <v>15</v>
      </c>
      <c r="G522" s="6" t="s">
        <v>181</v>
      </c>
      <c r="H522" s="2" t="s">
        <v>194</v>
      </c>
      <c r="I522" s="2" t="s">
        <v>1112</v>
      </c>
      <c r="J522" s="2" t="s">
        <v>19</v>
      </c>
      <c r="K522" s="2" t="s">
        <v>409</v>
      </c>
      <c r="L522" s="7" t="str">
        <f>HYPERLINK("http://slimages.macys.com/is/image/MCY/8106050 ")</f>
        <v xml:space="preserve">http://slimages.macys.com/is/image/MCY/8106050 </v>
      </c>
    </row>
    <row r="523" spans="1:12" ht="36.75" x14ac:dyDescent="0.25">
      <c r="A523" s="4" t="s">
        <v>7512</v>
      </c>
      <c r="B523" s="2" t="s">
        <v>1482</v>
      </c>
      <c r="C523" s="3">
        <v>1</v>
      </c>
      <c r="D523" s="5">
        <v>32.5</v>
      </c>
      <c r="E523" s="3" t="s">
        <v>7513</v>
      </c>
      <c r="F523" s="2" t="s">
        <v>74</v>
      </c>
      <c r="G523" s="6" t="s">
        <v>181</v>
      </c>
      <c r="H523" s="2" t="s">
        <v>194</v>
      </c>
      <c r="I523" s="2" t="s">
        <v>195</v>
      </c>
      <c r="J523" s="2" t="s">
        <v>19</v>
      </c>
      <c r="K523" s="2" t="s">
        <v>1484</v>
      </c>
      <c r="L523" s="7" t="str">
        <f>HYPERLINK("http://slimages.macys.com/is/image/MCY/12064112 ")</f>
        <v xml:space="preserve">http://slimages.macys.com/is/image/MCY/12064112 </v>
      </c>
    </row>
    <row r="524" spans="1:12" ht="24.75" x14ac:dyDescent="0.25">
      <c r="A524" s="4" t="s">
        <v>3922</v>
      </c>
      <c r="B524" s="2" t="s">
        <v>2746</v>
      </c>
      <c r="C524" s="3">
        <v>1</v>
      </c>
      <c r="D524" s="5">
        <v>29.5</v>
      </c>
      <c r="E524" s="3" t="s">
        <v>2747</v>
      </c>
      <c r="F524" s="2" t="s">
        <v>74</v>
      </c>
      <c r="G524" s="6"/>
      <c r="H524" s="2" t="s">
        <v>312</v>
      </c>
      <c r="I524" s="2" t="s">
        <v>195</v>
      </c>
      <c r="J524" s="2" t="s">
        <v>19</v>
      </c>
      <c r="K524" s="2" t="s">
        <v>1629</v>
      </c>
      <c r="L524" s="7" t="str">
        <f>HYPERLINK("http://slimages.macys.com/is/image/MCY/8604512 ")</f>
        <v xml:space="preserve">http://slimages.macys.com/is/image/MCY/8604512 </v>
      </c>
    </row>
    <row r="525" spans="1:12" ht="36.75" x14ac:dyDescent="0.25">
      <c r="A525" s="4" t="s">
        <v>7514</v>
      </c>
      <c r="B525" s="2" t="s">
        <v>1482</v>
      </c>
      <c r="C525" s="3">
        <v>2</v>
      </c>
      <c r="D525" s="5">
        <v>32.5</v>
      </c>
      <c r="E525" s="3" t="s">
        <v>7513</v>
      </c>
      <c r="F525" s="2" t="s">
        <v>74</v>
      </c>
      <c r="G525" s="6" t="s">
        <v>234</v>
      </c>
      <c r="H525" s="2" t="s">
        <v>194</v>
      </c>
      <c r="I525" s="2" t="s">
        <v>195</v>
      </c>
      <c r="J525" s="2" t="s">
        <v>19</v>
      </c>
      <c r="K525" s="2" t="s">
        <v>1484</v>
      </c>
      <c r="L525" s="7" t="str">
        <f>HYPERLINK("http://slimages.macys.com/is/image/MCY/12064112 ")</f>
        <v xml:space="preserve">http://slimages.macys.com/is/image/MCY/12064112 </v>
      </c>
    </row>
    <row r="526" spans="1:12" ht="24.75" x14ac:dyDescent="0.25">
      <c r="A526" s="4" t="s">
        <v>7515</v>
      </c>
      <c r="B526" s="2" t="s">
        <v>1482</v>
      </c>
      <c r="C526" s="3">
        <v>1</v>
      </c>
      <c r="D526" s="5">
        <v>29.63</v>
      </c>
      <c r="E526" s="3" t="s">
        <v>4997</v>
      </c>
      <c r="F526" s="2" t="s">
        <v>252</v>
      </c>
      <c r="G526" s="6" t="s">
        <v>181</v>
      </c>
      <c r="H526" s="2" t="s">
        <v>194</v>
      </c>
      <c r="I526" s="2" t="s">
        <v>195</v>
      </c>
      <c r="J526" s="2" t="s">
        <v>19</v>
      </c>
      <c r="K526" s="2" t="s">
        <v>1082</v>
      </c>
      <c r="L526" s="7" t="str">
        <f>HYPERLINK("http://slimages.macys.com/is/image/MCY/12734370 ")</f>
        <v xml:space="preserve">http://slimages.macys.com/is/image/MCY/12734370 </v>
      </c>
    </row>
    <row r="527" spans="1:12" ht="24.75" x14ac:dyDescent="0.25">
      <c r="A527" s="4" t="s">
        <v>4996</v>
      </c>
      <c r="B527" s="2" t="s">
        <v>1482</v>
      </c>
      <c r="C527" s="3">
        <v>1</v>
      </c>
      <c r="D527" s="5">
        <v>29.63</v>
      </c>
      <c r="E527" s="3" t="s">
        <v>4997</v>
      </c>
      <c r="F527" s="2" t="s">
        <v>252</v>
      </c>
      <c r="G527" s="6" t="s">
        <v>234</v>
      </c>
      <c r="H527" s="2" t="s">
        <v>194</v>
      </c>
      <c r="I527" s="2" t="s">
        <v>195</v>
      </c>
      <c r="J527" s="2" t="s">
        <v>19</v>
      </c>
      <c r="K527" s="2" t="s">
        <v>1082</v>
      </c>
      <c r="L527" s="7" t="str">
        <f>HYPERLINK("http://slimages.macys.com/is/image/MCY/12734370 ")</f>
        <v xml:space="preserve">http://slimages.macys.com/is/image/MCY/12734370 </v>
      </c>
    </row>
    <row r="528" spans="1:12" ht="36.75" x14ac:dyDescent="0.25">
      <c r="A528" s="4" t="s">
        <v>7516</v>
      </c>
      <c r="B528" s="2" t="s">
        <v>1482</v>
      </c>
      <c r="C528" s="3">
        <v>1</v>
      </c>
      <c r="D528" s="5">
        <v>32.5</v>
      </c>
      <c r="E528" s="3" t="s">
        <v>7513</v>
      </c>
      <c r="F528" s="2" t="s">
        <v>74</v>
      </c>
      <c r="G528" s="6" t="s">
        <v>156</v>
      </c>
      <c r="H528" s="2" t="s">
        <v>194</v>
      </c>
      <c r="I528" s="2" t="s">
        <v>195</v>
      </c>
      <c r="J528" s="2" t="s">
        <v>19</v>
      </c>
      <c r="K528" s="2" t="s">
        <v>1484</v>
      </c>
      <c r="L528" s="7" t="str">
        <f>HYPERLINK("http://slimages.macys.com/is/image/MCY/12064112 ")</f>
        <v xml:space="preserve">http://slimages.macys.com/is/image/MCY/12064112 </v>
      </c>
    </row>
    <row r="529" spans="1:12" ht="24.75" x14ac:dyDescent="0.25">
      <c r="A529" s="4" t="s">
        <v>7517</v>
      </c>
      <c r="B529" s="2" t="s">
        <v>1465</v>
      </c>
      <c r="C529" s="3">
        <v>1</v>
      </c>
      <c r="D529" s="5">
        <v>34.880000000000003</v>
      </c>
      <c r="E529" s="3">
        <v>100054394</v>
      </c>
      <c r="F529" s="2" t="s">
        <v>376</v>
      </c>
      <c r="G529" s="6" t="s">
        <v>22</v>
      </c>
      <c r="H529" s="2" t="s">
        <v>194</v>
      </c>
      <c r="I529" s="2" t="s">
        <v>195</v>
      </c>
      <c r="J529" s="2" t="s">
        <v>19</v>
      </c>
      <c r="K529" s="2" t="s">
        <v>353</v>
      </c>
      <c r="L529" s="7" t="str">
        <f>HYPERLINK("http://slimages.macys.com/is/image/MCY/12404668 ")</f>
        <v xml:space="preserve">http://slimages.macys.com/is/image/MCY/12404668 </v>
      </c>
    </row>
    <row r="530" spans="1:12" ht="24.75" x14ac:dyDescent="0.25">
      <c r="A530" s="4" t="s">
        <v>1464</v>
      </c>
      <c r="B530" s="2" t="s">
        <v>1465</v>
      </c>
      <c r="C530" s="3">
        <v>1</v>
      </c>
      <c r="D530" s="5">
        <v>34.880000000000003</v>
      </c>
      <c r="E530" s="3">
        <v>100054394</v>
      </c>
      <c r="F530" s="2" t="s">
        <v>74</v>
      </c>
      <c r="G530" s="6" t="s">
        <v>22</v>
      </c>
      <c r="H530" s="2" t="s">
        <v>194</v>
      </c>
      <c r="I530" s="2" t="s">
        <v>195</v>
      </c>
      <c r="J530" s="2" t="s">
        <v>19</v>
      </c>
      <c r="K530" s="2" t="s">
        <v>353</v>
      </c>
      <c r="L530" s="7" t="str">
        <f>HYPERLINK("http://slimages.macys.com/is/image/MCY/12404668 ")</f>
        <v xml:space="preserve">http://slimages.macys.com/is/image/MCY/12404668 </v>
      </c>
    </row>
    <row r="531" spans="1:12" ht="24.75" x14ac:dyDescent="0.25">
      <c r="A531" s="4" t="s">
        <v>7518</v>
      </c>
      <c r="B531" s="2" t="s">
        <v>1465</v>
      </c>
      <c r="C531" s="3">
        <v>1</v>
      </c>
      <c r="D531" s="5">
        <v>34.880000000000003</v>
      </c>
      <c r="E531" s="3">
        <v>100054394</v>
      </c>
      <c r="F531" s="2" t="s">
        <v>26</v>
      </c>
      <c r="G531" s="6" t="s">
        <v>16</v>
      </c>
      <c r="H531" s="2" t="s">
        <v>194</v>
      </c>
      <c r="I531" s="2" t="s">
        <v>195</v>
      </c>
      <c r="J531" s="2" t="s">
        <v>19</v>
      </c>
      <c r="K531" s="2" t="s">
        <v>353</v>
      </c>
      <c r="L531" s="7" t="str">
        <f>HYPERLINK("http://slimages.macys.com/is/image/MCY/12404668 ")</f>
        <v xml:space="preserve">http://slimages.macys.com/is/image/MCY/12404668 </v>
      </c>
    </row>
    <row r="532" spans="1:12" ht="24.75" x14ac:dyDescent="0.25">
      <c r="A532" s="4" t="s">
        <v>7519</v>
      </c>
      <c r="B532" s="2" t="s">
        <v>1465</v>
      </c>
      <c r="C532" s="3">
        <v>1</v>
      </c>
      <c r="D532" s="5">
        <v>34.880000000000003</v>
      </c>
      <c r="E532" s="3">
        <v>100054394</v>
      </c>
      <c r="F532" s="2" t="s">
        <v>506</v>
      </c>
      <c r="G532" s="6" t="s">
        <v>112</v>
      </c>
      <c r="H532" s="2" t="s">
        <v>194</v>
      </c>
      <c r="I532" s="2" t="s">
        <v>195</v>
      </c>
      <c r="J532" s="2" t="s">
        <v>19</v>
      </c>
      <c r="K532" s="2" t="s">
        <v>353</v>
      </c>
      <c r="L532" s="7" t="str">
        <f>HYPERLINK("http://slimages.macys.com/is/image/MCY/12404668 ")</f>
        <v xml:space="preserve">http://slimages.macys.com/is/image/MCY/12404668 </v>
      </c>
    </row>
    <row r="533" spans="1:12" ht="24.75" x14ac:dyDescent="0.25">
      <c r="A533" s="4" t="s">
        <v>7520</v>
      </c>
      <c r="B533" s="2" t="s">
        <v>1465</v>
      </c>
      <c r="C533" s="3">
        <v>1</v>
      </c>
      <c r="D533" s="5">
        <v>34.880000000000003</v>
      </c>
      <c r="E533" s="3">
        <v>100054394</v>
      </c>
      <c r="F533" s="2" t="s">
        <v>566</v>
      </c>
      <c r="G533" s="6" t="s">
        <v>39</v>
      </c>
      <c r="H533" s="2" t="s">
        <v>194</v>
      </c>
      <c r="I533" s="2" t="s">
        <v>195</v>
      </c>
      <c r="J533" s="2" t="s">
        <v>19</v>
      </c>
      <c r="K533" s="2" t="s">
        <v>353</v>
      </c>
      <c r="L533" s="7" t="str">
        <f>HYPERLINK("http://slimages.macys.com/is/image/MCY/12404668 ")</f>
        <v xml:space="preserve">http://slimages.macys.com/is/image/MCY/12404668 </v>
      </c>
    </row>
    <row r="534" spans="1:12" ht="24.75" x14ac:dyDescent="0.25">
      <c r="A534" s="4" t="s">
        <v>7521</v>
      </c>
      <c r="B534" s="2" t="s">
        <v>2759</v>
      </c>
      <c r="C534" s="3">
        <v>1</v>
      </c>
      <c r="D534" s="5">
        <v>24.99</v>
      </c>
      <c r="E534" s="3" t="s">
        <v>2760</v>
      </c>
      <c r="F534" s="2" t="s">
        <v>15</v>
      </c>
      <c r="G534" s="6" t="s">
        <v>187</v>
      </c>
      <c r="H534" s="2" t="s">
        <v>1425</v>
      </c>
      <c r="I534" s="2" t="s">
        <v>1469</v>
      </c>
      <c r="J534" s="2" t="s">
        <v>19</v>
      </c>
      <c r="K534" s="2" t="s">
        <v>495</v>
      </c>
      <c r="L534" s="7" t="str">
        <f>HYPERLINK("http://slimages.macys.com/is/image/MCY/12650081 ")</f>
        <v xml:space="preserve">http://slimages.macys.com/is/image/MCY/12650081 </v>
      </c>
    </row>
    <row r="535" spans="1:12" ht="24.75" x14ac:dyDescent="0.25">
      <c r="A535" s="4" t="s">
        <v>7522</v>
      </c>
      <c r="B535" s="2" t="s">
        <v>2759</v>
      </c>
      <c r="C535" s="3">
        <v>3</v>
      </c>
      <c r="D535" s="5">
        <v>24.99</v>
      </c>
      <c r="E535" s="3" t="s">
        <v>2760</v>
      </c>
      <c r="F535" s="2" t="s">
        <v>15</v>
      </c>
      <c r="G535" s="6"/>
      <c r="H535" s="2" t="s">
        <v>1425</v>
      </c>
      <c r="I535" s="2" t="s">
        <v>1469</v>
      </c>
      <c r="J535" s="2" t="s">
        <v>19</v>
      </c>
      <c r="K535" s="2" t="s">
        <v>495</v>
      </c>
      <c r="L535" s="7" t="str">
        <f>HYPERLINK("http://slimages.macys.com/is/image/MCY/12650081 ")</f>
        <v xml:space="preserve">http://slimages.macys.com/is/image/MCY/12650081 </v>
      </c>
    </row>
    <row r="536" spans="1:12" ht="24.75" x14ac:dyDescent="0.25">
      <c r="A536" s="4" t="s">
        <v>7523</v>
      </c>
      <c r="B536" s="2" t="s">
        <v>2763</v>
      </c>
      <c r="C536" s="3">
        <v>2</v>
      </c>
      <c r="D536" s="5">
        <v>24.99</v>
      </c>
      <c r="E536" s="3" t="s">
        <v>2764</v>
      </c>
      <c r="F536" s="2" t="s">
        <v>74</v>
      </c>
      <c r="G536" s="6"/>
      <c r="H536" s="2" t="s">
        <v>1425</v>
      </c>
      <c r="I536" s="2" t="s">
        <v>1469</v>
      </c>
      <c r="J536" s="2" t="s">
        <v>19</v>
      </c>
      <c r="K536" s="2" t="s">
        <v>495</v>
      </c>
      <c r="L536" s="7" t="str">
        <f>HYPERLINK("http://slimages.macys.com/is/image/MCY/12144707 ")</f>
        <v xml:space="preserve">http://slimages.macys.com/is/image/MCY/12144707 </v>
      </c>
    </row>
    <row r="537" spans="1:12" ht="24.75" x14ac:dyDescent="0.25">
      <c r="A537" s="4" t="s">
        <v>7524</v>
      </c>
      <c r="B537" s="2" t="s">
        <v>2763</v>
      </c>
      <c r="C537" s="3">
        <v>1</v>
      </c>
      <c r="D537" s="5">
        <v>24.99</v>
      </c>
      <c r="E537" s="3" t="s">
        <v>2764</v>
      </c>
      <c r="F537" s="2" t="s">
        <v>74</v>
      </c>
      <c r="G537" s="6" t="s">
        <v>187</v>
      </c>
      <c r="H537" s="2" t="s">
        <v>1425</v>
      </c>
      <c r="I537" s="2" t="s">
        <v>1469</v>
      </c>
      <c r="J537" s="2" t="s">
        <v>19</v>
      </c>
      <c r="K537" s="2" t="s">
        <v>495</v>
      </c>
      <c r="L537" s="7" t="str">
        <f>HYPERLINK("http://slimages.macys.com/is/image/MCY/12144707 ")</f>
        <v xml:space="preserve">http://slimages.macys.com/is/image/MCY/12144707 </v>
      </c>
    </row>
    <row r="538" spans="1:12" ht="24.75" x14ac:dyDescent="0.25">
      <c r="A538" s="4" t="s">
        <v>7525</v>
      </c>
      <c r="B538" s="2" t="s">
        <v>5948</v>
      </c>
      <c r="C538" s="3">
        <v>1</v>
      </c>
      <c r="D538" s="5">
        <v>24.99</v>
      </c>
      <c r="E538" s="3" t="s">
        <v>7526</v>
      </c>
      <c r="F538" s="2" t="s">
        <v>74</v>
      </c>
      <c r="G538" s="6" t="s">
        <v>238</v>
      </c>
      <c r="H538" s="2" t="s">
        <v>1425</v>
      </c>
      <c r="I538" s="2" t="s">
        <v>1426</v>
      </c>
      <c r="J538" s="2" t="s">
        <v>19</v>
      </c>
      <c r="K538" s="2" t="s">
        <v>353</v>
      </c>
      <c r="L538" s="7" t="str">
        <f>HYPERLINK("http://slimages.macys.com/is/image/MCY/11134801 ")</f>
        <v xml:space="preserve">http://slimages.macys.com/is/image/MCY/11134801 </v>
      </c>
    </row>
    <row r="539" spans="1:12" ht="24.75" x14ac:dyDescent="0.25">
      <c r="A539" s="4" t="s">
        <v>7527</v>
      </c>
      <c r="B539" s="2" t="s">
        <v>2763</v>
      </c>
      <c r="C539" s="3">
        <v>1</v>
      </c>
      <c r="D539" s="5">
        <v>24.99</v>
      </c>
      <c r="E539" s="3" t="s">
        <v>2764</v>
      </c>
      <c r="F539" s="2" t="s">
        <v>74</v>
      </c>
      <c r="G539" s="6" t="s">
        <v>219</v>
      </c>
      <c r="H539" s="2" t="s">
        <v>1425</v>
      </c>
      <c r="I539" s="2" t="s">
        <v>1469</v>
      </c>
      <c r="J539" s="2" t="s">
        <v>19</v>
      </c>
      <c r="K539" s="2" t="s">
        <v>495</v>
      </c>
      <c r="L539" s="7" t="str">
        <f>HYPERLINK("http://slimages.macys.com/is/image/MCY/12144707 ")</f>
        <v xml:space="preserve">http://slimages.macys.com/is/image/MCY/12144707 </v>
      </c>
    </row>
    <row r="540" spans="1:12" ht="24.75" x14ac:dyDescent="0.25">
      <c r="A540" s="4" t="s">
        <v>7528</v>
      </c>
      <c r="B540" s="2" t="s">
        <v>2759</v>
      </c>
      <c r="C540" s="3">
        <v>2</v>
      </c>
      <c r="D540" s="5">
        <v>24.99</v>
      </c>
      <c r="E540" s="3" t="s">
        <v>2760</v>
      </c>
      <c r="F540" s="2" t="s">
        <v>15</v>
      </c>
      <c r="G540" s="6"/>
      <c r="H540" s="2" t="s">
        <v>1425</v>
      </c>
      <c r="I540" s="2" t="s">
        <v>1469</v>
      </c>
      <c r="J540" s="2" t="s">
        <v>19</v>
      </c>
      <c r="K540" s="2" t="s">
        <v>495</v>
      </c>
      <c r="L540" s="7" t="str">
        <f>HYPERLINK("http://slimages.macys.com/is/image/MCY/12650081 ")</f>
        <v xml:space="preserve">http://slimages.macys.com/is/image/MCY/12650081 </v>
      </c>
    </row>
    <row r="541" spans="1:12" ht="24.75" x14ac:dyDescent="0.25">
      <c r="A541" s="4" t="s">
        <v>3927</v>
      </c>
      <c r="B541" s="2" t="s">
        <v>1467</v>
      </c>
      <c r="C541" s="3">
        <v>1</v>
      </c>
      <c r="D541" s="5">
        <v>24.99</v>
      </c>
      <c r="E541" s="3" t="s">
        <v>1468</v>
      </c>
      <c r="F541" s="2" t="s">
        <v>33</v>
      </c>
      <c r="G541" s="6"/>
      <c r="H541" s="2" t="s">
        <v>1425</v>
      </c>
      <c r="I541" s="2" t="s">
        <v>1469</v>
      </c>
      <c r="J541" s="2" t="s">
        <v>19</v>
      </c>
      <c r="K541" s="2" t="s">
        <v>495</v>
      </c>
      <c r="L541" s="7" t="str">
        <f>HYPERLINK("http://slimages.macys.com/is/image/MCY/11989539 ")</f>
        <v xml:space="preserve">http://slimages.macys.com/is/image/MCY/11989539 </v>
      </c>
    </row>
    <row r="542" spans="1:12" ht="24.75" x14ac:dyDescent="0.25">
      <c r="A542" s="4" t="s">
        <v>2758</v>
      </c>
      <c r="B542" s="2" t="s">
        <v>2759</v>
      </c>
      <c r="C542" s="3">
        <v>1</v>
      </c>
      <c r="D542" s="5">
        <v>24.99</v>
      </c>
      <c r="E542" s="3" t="s">
        <v>2760</v>
      </c>
      <c r="F542" s="2" t="s">
        <v>15</v>
      </c>
      <c r="G542" s="6"/>
      <c r="H542" s="2" t="s">
        <v>1425</v>
      </c>
      <c r="I542" s="2" t="s">
        <v>1469</v>
      </c>
      <c r="J542" s="2" t="s">
        <v>19</v>
      </c>
      <c r="K542" s="2" t="s">
        <v>495</v>
      </c>
      <c r="L542" s="7" t="str">
        <f>HYPERLINK("http://slimages.macys.com/is/image/MCY/12650081 ")</f>
        <v xml:space="preserve">http://slimages.macys.com/is/image/MCY/12650081 </v>
      </c>
    </row>
    <row r="543" spans="1:12" ht="24.75" x14ac:dyDescent="0.25">
      <c r="A543" s="4" t="s">
        <v>2762</v>
      </c>
      <c r="B543" s="2" t="s">
        <v>2763</v>
      </c>
      <c r="C543" s="3">
        <v>3</v>
      </c>
      <c r="D543" s="5">
        <v>24.99</v>
      </c>
      <c r="E543" s="3" t="s">
        <v>2764</v>
      </c>
      <c r="F543" s="2" t="s">
        <v>74</v>
      </c>
      <c r="G543" s="6"/>
      <c r="H543" s="2" t="s">
        <v>1425</v>
      </c>
      <c r="I543" s="2" t="s">
        <v>1469</v>
      </c>
      <c r="J543" s="2" t="s">
        <v>19</v>
      </c>
      <c r="K543" s="2" t="s">
        <v>495</v>
      </c>
      <c r="L543" s="7" t="str">
        <f>HYPERLINK("http://slimages.macys.com/is/image/MCY/12144707 ")</f>
        <v xml:space="preserve">http://slimages.macys.com/is/image/MCY/12144707 </v>
      </c>
    </row>
    <row r="544" spans="1:12" ht="24.75" x14ac:dyDescent="0.25">
      <c r="A544" s="4" t="s">
        <v>7529</v>
      </c>
      <c r="B544" s="2" t="s">
        <v>1478</v>
      </c>
      <c r="C544" s="3">
        <v>1</v>
      </c>
      <c r="D544" s="5">
        <v>29.99</v>
      </c>
      <c r="E544" s="3" t="s">
        <v>1479</v>
      </c>
      <c r="F544" s="2" t="s">
        <v>331</v>
      </c>
      <c r="G544" s="6"/>
      <c r="H544" s="2" t="s">
        <v>188</v>
      </c>
      <c r="I544" s="2" t="s">
        <v>189</v>
      </c>
      <c r="J544" s="2" t="s">
        <v>19</v>
      </c>
      <c r="K544" s="2" t="s">
        <v>1480</v>
      </c>
      <c r="L544" s="7" t="str">
        <f>HYPERLINK("http://slimages.macys.com/is/image/MCY/10048339 ")</f>
        <v xml:space="preserve">http://slimages.macys.com/is/image/MCY/10048339 </v>
      </c>
    </row>
    <row r="545" spans="1:12" ht="24.75" x14ac:dyDescent="0.25">
      <c r="A545" s="4" t="s">
        <v>7530</v>
      </c>
      <c r="B545" s="2" t="s">
        <v>7531</v>
      </c>
      <c r="C545" s="3">
        <v>1</v>
      </c>
      <c r="D545" s="5">
        <v>32.5</v>
      </c>
      <c r="E545" s="3" t="s">
        <v>7532</v>
      </c>
      <c r="F545" s="2" t="s">
        <v>79</v>
      </c>
      <c r="G545" s="6"/>
      <c r="H545" s="2" t="s">
        <v>312</v>
      </c>
      <c r="I545" s="2" t="s">
        <v>195</v>
      </c>
      <c r="J545" s="2" t="s">
        <v>19</v>
      </c>
      <c r="K545" s="2" t="s">
        <v>1082</v>
      </c>
      <c r="L545" s="7" t="str">
        <f>HYPERLINK("http://slimages.macys.com/is/image/MCY/9631527 ")</f>
        <v xml:space="preserve">http://slimages.macys.com/is/image/MCY/9631527 </v>
      </c>
    </row>
    <row r="546" spans="1:12" ht="24.75" x14ac:dyDescent="0.25">
      <c r="A546" s="4" t="s">
        <v>7533</v>
      </c>
      <c r="B546" s="2" t="s">
        <v>7531</v>
      </c>
      <c r="C546" s="3">
        <v>2</v>
      </c>
      <c r="D546" s="5">
        <v>32.5</v>
      </c>
      <c r="E546" s="3" t="s">
        <v>7532</v>
      </c>
      <c r="F546" s="2" t="s">
        <v>79</v>
      </c>
      <c r="G546" s="6"/>
      <c r="H546" s="2" t="s">
        <v>312</v>
      </c>
      <c r="I546" s="2" t="s">
        <v>195</v>
      </c>
      <c r="J546" s="2" t="s">
        <v>19</v>
      </c>
      <c r="K546" s="2" t="s">
        <v>1082</v>
      </c>
      <c r="L546" s="7" t="str">
        <f>HYPERLINK("http://slimages.macys.com/is/image/MCY/9631527 ")</f>
        <v xml:space="preserve">http://slimages.macys.com/is/image/MCY/9631527 </v>
      </c>
    </row>
    <row r="547" spans="1:12" ht="24.75" x14ac:dyDescent="0.25">
      <c r="A547" s="4" t="s">
        <v>7534</v>
      </c>
      <c r="B547" s="2" t="s">
        <v>7531</v>
      </c>
      <c r="C547" s="3">
        <v>1</v>
      </c>
      <c r="D547" s="5">
        <v>32.5</v>
      </c>
      <c r="E547" s="3" t="s">
        <v>7532</v>
      </c>
      <c r="F547" s="2" t="s">
        <v>79</v>
      </c>
      <c r="G547" s="6"/>
      <c r="H547" s="2" t="s">
        <v>312</v>
      </c>
      <c r="I547" s="2" t="s">
        <v>195</v>
      </c>
      <c r="J547" s="2" t="s">
        <v>19</v>
      </c>
      <c r="K547" s="2" t="s">
        <v>1082</v>
      </c>
      <c r="L547" s="7" t="str">
        <f>HYPERLINK("http://slimages.macys.com/is/image/MCY/9631527 ")</f>
        <v xml:space="preserve">http://slimages.macys.com/is/image/MCY/9631527 </v>
      </c>
    </row>
    <row r="548" spans="1:12" x14ac:dyDescent="0.25">
      <c r="A548" s="4" t="s">
        <v>7535</v>
      </c>
      <c r="B548" s="2" t="s">
        <v>1486</v>
      </c>
      <c r="C548" s="3">
        <v>1</v>
      </c>
      <c r="D548" s="5">
        <v>39.5</v>
      </c>
      <c r="E548" s="3" t="s">
        <v>1487</v>
      </c>
      <c r="F548" s="2" t="s">
        <v>752</v>
      </c>
      <c r="G548" s="6" t="s">
        <v>187</v>
      </c>
      <c r="H548" s="2" t="s">
        <v>206</v>
      </c>
      <c r="I548" s="2" t="s">
        <v>207</v>
      </c>
      <c r="J548" s="2" t="s">
        <v>19</v>
      </c>
      <c r="K548" s="2" t="s">
        <v>1488</v>
      </c>
      <c r="L548" s="7" t="str">
        <f>HYPERLINK("http://slimages.macys.com/is/image/MCY/12953073 ")</f>
        <v xml:space="preserve">http://slimages.macys.com/is/image/MCY/12953073 </v>
      </c>
    </row>
    <row r="549" spans="1:12" ht="24.75" x14ac:dyDescent="0.25">
      <c r="A549" s="4" t="s">
        <v>7536</v>
      </c>
      <c r="B549" s="2" t="s">
        <v>2775</v>
      </c>
      <c r="C549" s="3">
        <v>1</v>
      </c>
      <c r="D549" s="5">
        <v>34.5</v>
      </c>
      <c r="E549" s="3">
        <v>100053906</v>
      </c>
      <c r="F549" s="2" t="s">
        <v>89</v>
      </c>
      <c r="G549" s="6" t="s">
        <v>65</v>
      </c>
      <c r="H549" s="2" t="s">
        <v>228</v>
      </c>
      <c r="I549" s="2" t="s">
        <v>857</v>
      </c>
      <c r="J549" s="2" t="s">
        <v>19</v>
      </c>
      <c r="K549" s="2" t="s">
        <v>338</v>
      </c>
      <c r="L549" s="7" t="str">
        <f>HYPERLINK("http://slimages.macys.com/is/image/MCY/12143886 ")</f>
        <v xml:space="preserve">http://slimages.macys.com/is/image/MCY/12143886 </v>
      </c>
    </row>
    <row r="550" spans="1:12" ht="24.75" x14ac:dyDescent="0.25">
      <c r="A550" s="4" t="s">
        <v>5021</v>
      </c>
      <c r="B550" s="2" t="s">
        <v>2775</v>
      </c>
      <c r="C550" s="3">
        <v>1</v>
      </c>
      <c r="D550" s="5">
        <v>34.5</v>
      </c>
      <c r="E550" s="3">
        <v>100053906</v>
      </c>
      <c r="F550" s="2" t="s">
        <v>89</v>
      </c>
      <c r="G550" s="6" t="s">
        <v>141</v>
      </c>
      <c r="H550" s="2" t="s">
        <v>228</v>
      </c>
      <c r="I550" s="2" t="s">
        <v>857</v>
      </c>
      <c r="J550" s="2" t="s">
        <v>19</v>
      </c>
      <c r="K550" s="2" t="s">
        <v>338</v>
      </c>
      <c r="L550" s="7" t="str">
        <f>HYPERLINK("http://slimages.macys.com/is/image/MCY/12143886 ")</f>
        <v xml:space="preserve">http://slimages.macys.com/is/image/MCY/12143886 </v>
      </c>
    </row>
    <row r="551" spans="1:12" ht="24.75" x14ac:dyDescent="0.25">
      <c r="A551" s="4" t="s">
        <v>7537</v>
      </c>
      <c r="B551" s="2" t="s">
        <v>2775</v>
      </c>
      <c r="C551" s="3">
        <v>2</v>
      </c>
      <c r="D551" s="5">
        <v>34.5</v>
      </c>
      <c r="E551" s="3">
        <v>100053906</v>
      </c>
      <c r="F551" s="2" t="s">
        <v>89</v>
      </c>
      <c r="G551" s="6" t="s">
        <v>106</v>
      </c>
      <c r="H551" s="2" t="s">
        <v>228</v>
      </c>
      <c r="I551" s="2" t="s">
        <v>857</v>
      </c>
      <c r="J551" s="2" t="s">
        <v>19</v>
      </c>
      <c r="K551" s="2" t="s">
        <v>338</v>
      </c>
      <c r="L551" s="7" t="str">
        <f>HYPERLINK("http://slimages.macys.com/is/image/MCY/12143886 ")</f>
        <v xml:space="preserve">http://slimages.macys.com/is/image/MCY/12143886 </v>
      </c>
    </row>
    <row r="552" spans="1:12" ht="24.75" x14ac:dyDescent="0.25">
      <c r="A552" s="4" t="s">
        <v>7538</v>
      </c>
      <c r="B552" s="2" t="s">
        <v>2775</v>
      </c>
      <c r="C552" s="3">
        <v>1</v>
      </c>
      <c r="D552" s="5">
        <v>34.5</v>
      </c>
      <c r="E552" s="3">
        <v>100053906</v>
      </c>
      <c r="F552" s="2" t="s">
        <v>89</v>
      </c>
      <c r="G552" s="6" t="s">
        <v>27</v>
      </c>
      <c r="H552" s="2" t="s">
        <v>228</v>
      </c>
      <c r="I552" s="2" t="s">
        <v>857</v>
      </c>
      <c r="J552" s="2" t="s">
        <v>19</v>
      </c>
      <c r="K552" s="2" t="s">
        <v>338</v>
      </c>
      <c r="L552" s="7" t="str">
        <f>HYPERLINK("http://slimages.macys.com/is/image/MCY/12143886 ")</f>
        <v xml:space="preserve">http://slimages.macys.com/is/image/MCY/12143886 </v>
      </c>
    </row>
    <row r="553" spans="1:12" ht="24.75" x14ac:dyDescent="0.25">
      <c r="A553" s="4" t="s">
        <v>7539</v>
      </c>
      <c r="B553" s="2" t="s">
        <v>2775</v>
      </c>
      <c r="C553" s="3">
        <v>2</v>
      </c>
      <c r="D553" s="5">
        <v>34.5</v>
      </c>
      <c r="E553" s="3">
        <v>100053906</v>
      </c>
      <c r="F553" s="2" t="s">
        <v>89</v>
      </c>
      <c r="G553" s="6" t="s">
        <v>58</v>
      </c>
      <c r="H553" s="2" t="s">
        <v>228</v>
      </c>
      <c r="I553" s="2" t="s">
        <v>857</v>
      </c>
      <c r="J553" s="2" t="s">
        <v>19</v>
      </c>
      <c r="K553" s="2" t="s">
        <v>338</v>
      </c>
      <c r="L553" s="7" t="str">
        <f>HYPERLINK("http://slimages.macys.com/is/image/MCY/12143886 ")</f>
        <v xml:space="preserve">http://slimages.macys.com/is/image/MCY/12143886 </v>
      </c>
    </row>
    <row r="554" spans="1:12" ht="24.75" x14ac:dyDescent="0.25">
      <c r="A554" s="4" t="s">
        <v>3934</v>
      </c>
      <c r="B554" s="2" t="s">
        <v>2779</v>
      </c>
      <c r="C554" s="3">
        <v>1</v>
      </c>
      <c r="D554" s="5">
        <v>29.63</v>
      </c>
      <c r="E554" s="3" t="s">
        <v>2780</v>
      </c>
      <c r="F554" s="2" t="s">
        <v>125</v>
      </c>
      <c r="G554" s="6" t="s">
        <v>154</v>
      </c>
      <c r="H554" s="2" t="s">
        <v>194</v>
      </c>
      <c r="I554" s="2" t="s">
        <v>195</v>
      </c>
      <c r="J554" s="2" t="s">
        <v>19</v>
      </c>
      <c r="K554" s="2" t="s">
        <v>247</v>
      </c>
      <c r="L554" s="7" t="str">
        <f>HYPERLINK("http://slimages.macys.com/is/image/MCY/12279859 ")</f>
        <v xml:space="preserve">http://slimages.macys.com/is/image/MCY/12279859 </v>
      </c>
    </row>
    <row r="555" spans="1:12" ht="24.75" x14ac:dyDescent="0.25">
      <c r="A555" s="4" t="s">
        <v>6700</v>
      </c>
      <c r="B555" s="2" t="s">
        <v>2779</v>
      </c>
      <c r="C555" s="3">
        <v>1</v>
      </c>
      <c r="D555" s="5">
        <v>29.63</v>
      </c>
      <c r="E555" s="3" t="s">
        <v>2780</v>
      </c>
      <c r="F555" s="2" t="s">
        <v>125</v>
      </c>
      <c r="G555" s="6" t="s">
        <v>200</v>
      </c>
      <c r="H555" s="2" t="s">
        <v>194</v>
      </c>
      <c r="I555" s="2" t="s">
        <v>195</v>
      </c>
      <c r="J555" s="2" t="s">
        <v>19</v>
      </c>
      <c r="K555" s="2" t="s">
        <v>247</v>
      </c>
      <c r="L555" s="7" t="str">
        <f>HYPERLINK("http://slimages.macys.com/is/image/MCY/12279859 ")</f>
        <v xml:space="preserve">http://slimages.macys.com/is/image/MCY/12279859 </v>
      </c>
    </row>
    <row r="556" spans="1:12" ht="24.75" x14ac:dyDescent="0.25">
      <c r="A556" s="4" t="s">
        <v>7540</v>
      </c>
      <c r="B556" s="2" t="s">
        <v>1494</v>
      </c>
      <c r="C556" s="3">
        <v>1</v>
      </c>
      <c r="D556" s="5">
        <v>24.99</v>
      </c>
      <c r="E556" s="3">
        <v>100016601</v>
      </c>
      <c r="F556" s="2" t="s">
        <v>252</v>
      </c>
      <c r="G556" s="6" t="s">
        <v>16</v>
      </c>
      <c r="H556" s="2" t="s">
        <v>228</v>
      </c>
      <c r="I556" s="2" t="s">
        <v>857</v>
      </c>
      <c r="J556" s="2" t="s">
        <v>19</v>
      </c>
      <c r="K556" s="2" t="s">
        <v>1495</v>
      </c>
      <c r="L556" s="7" t="str">
        <f>HYPERLINK("http://slimages.macys.com/is/image/MCY/12143827 ")</f>
        <v xml:space="preserve">http://slimages.macys.com/is/image/MCY/12143827 </v>
      </c>
    </row>
    <row r="557" spans="1:12" ht="24.75" x14ac:dyDescent="0.25">
      <c r="A557" s="4" t="s">
        <v>7541</v>
      </c>
      <c r="B557" s="2" t="s">
        <v>1494</v>
      </c>
      <c r="C557" s="3">
        <v>2</v>
      </c>
      <c r="D557" s="5">
        <v>24.99</v>
      </c>
      <c r="E557" s="3">
        <v>100016601</v>
      </c>
      <c r="F557" s="2" t="s">
        <v>252</v>
      </c>
      <c r="G557" s="6" t="s">
        <v>22</v>
      </c>
      <c r="H557" s="2" t="s">
        <v>228</v>
      </c>
      <c r="I557" s="2" t="s">
        <v>857</v>
      </c>
      <c r="J557" s="2" t="s">
        <v>19</v>
      </c>
      <c r="K557" s="2" t="s">
        <v>1495</v>
      </c>
      <c r="L557" s="7" t="str">
        <f>HYPERLINK("http://slimages.macys.com/is/image/MCY/12143827 ")</f>
        <v xml:space="preserve">http://slimages.macys.com/is/image/MCY/12143827 </v>
      </c>
    </row>
    <row r="558" spans="1:12" ht="24.75" x14ac:dyDescent="0.25">
      <c r="A558" s="4" t="s">
        <v>7542</v>
      </c>
      <c r="B558" s="2" t="s">
        <v>1494</v>
      </c>
      <c r="C558" s="3">
        <v>1</v>
      </c>
      <c r="D558" s="5">
        <v>24.99</v>
      </c>
      <c r="E558" s="3">
        <v>100011892</v>
      </c>
      <c r="F558" s="2" t="s">
        <v>417</v>
      </c>
      <c r="G558" s="6" t="s">
        <v>27</v>
      </c>
      <c r="H558" s="2" t="s">
        <v>228</v>
      </c>
      <c r="I558" s="2" t="s">
        <v>857</v>
      </c>
      <c r="J558" s="2" t="s">
        <v>19</v>
      </c>
      <c r="K558" s="2" t="s">
        <v>1495</v>
      </c>
      <c r="L558" s="7" t="str">
        <f>HYPERLINK("http://slimages.macys.com/is/image/MCY/12143827 ")</f>
        <v xml:space="preserve">http://slimages.macys.com/is/image/MCY/12143827 </v>
      </c>
    </row>
    <row r="559" spans="1:12" ht="24.75" x14ac:dyDescent="0.25">
      <c r="A559" s="4" t="s">
        <v>5969</v>
      </c>
      <c r="B559" s="2" t="s">
        <v>1508</v>
      </c>
      <c r="C559" s="3">
        <v>1</v>
      </c>
      <c r="D559" s="5">
        <v>26.99</v>
      </c>
      <c r="E559" s="3" t="s">
        <v>1509</v>
      </c>
      <c r="F559" s="2" t="s">
        <v>417</v>
      </c>
      <c r="G559" s="6" t="s">
        <v>58</v>
      </c>
      <c r="H559" s="2" t="s">
        <v>1473</v>
      </c>
      <c r="I559" s="2" t="s">
        <v>1426</v>
      </c>
      <c r="J559" s="2" t="s">
        <v>19</v>
      </c>
      <c r="K559" s="2" t="s">
        <v>353</v>
      </c>
      <c r="L559" s="7" t="str">
        <f>HYPERLINK("http://slimages.macys.com/is/image/MCY/11029993 ")</f>
        <v xml:space="preserve">http://slimages.macys.com/is/image/MCY/11029993 </v>
      </c>
    </row>
    <row r="560" spans="1:12" ht="24.75" x14ac:dyDescent="0.25">
      <c r="A560" s="4" t="s">
        <v>7543</v>
      </c>
      <c r="B560" s="2" t="s">
        <v>7544</v>
      </c>
      <c r="C560" s="3">
        <v>1</v>
      </c>
      <c r="D560" s="5">
        <v>24.99</v>
      </c>
      <c r="E560" s="3" t="s">
        <v>7545</v>
      </c>
      <c r="F560" s="2" t="s">
        <v>70</v>
      </c>
      <c r="G560" s="6" t="s">
        <v>245</v>
      </c>
      <c r="H560" s="2" t="s">
        <v>1473</v>
      </c>
      <c r="I560" s="2" t="s">
        <v>1426</v>
      </c>
      <c r="J560" s="2" t="s">
        <v>19</v>
      </c>
      <c r="K560" s="2" t="s">
        <v>648</v>
      </c>
      <c r="L560" s="7" t="str">
        <f>HYPERLINK("http://slimages.macys.com/is/image/MCY/9555145 ")</f>
        <v xml:space="preserve">http://slimages.macys.com/is/image/MCY/9555145 </v>
      </c>
    </row>
    <row r="561" spans="1:12" ht="24.75" x14ac:dyDescent="0.25">
      <c r="A561" s="4" t="s">
        <v>7546</v>
      </c>
      <c r="B561" s="2" t="s">
        <v>2804</v>
      </c>
      <c r="C561" s="3">
        <v>1</v>
      </c>
      <c r="D561" s="5">
        <v>24.99</v>
      </c>
      <c r="E561" s="3" t="s">
        <v>6708</v>
      </c>
      <c r="F561" s="2" t="s">
        <v>15</v>
      </c>
      <c r="G561" s="6" t="s">
        <v>58</v>
      </c>
      <c r="H561" s="2" t="s">
        <v>1473</v>
      </c>
      <c r="I561" s="2" t="s">
        <v>1426</v>
      </c>
      <c r="J561" s="2" t="s">
        <v>19</v>
      </c>
      <c r="K561" s="2" t="s">
        <v>353</v>
      </c>
      <c r="L561" s="7" t="str">
        <f>HYPERLINK("http://slimages.macys.com/is/image/MCY/11029945 ")</f>
        <v xml:space="preserve">http://slimages.macys.com/is/image/MCY/11029945 </v>
      </c>
    </row>
    <row r="562" spans="1:12" ht="24.75" x14ac:dyDescent="0.25">
      <c r="A562" s="4" t="s">
        <v>7547</v>
      </c>
      <c r="B562" s="2" t="s">
        <v>5032</v>
      </c>
      <c r="C562" s="3">
        <v>1</v>
      </c>
      <c r="D562" s="5">
        <v>24.99</v>
      </c>
      <c r="E562" s="3" t="s">
        <v>5033</v>
      </c>
      <c r="F562" s="2" t="s">
        <v>70</v>
      </c>
      <c r="G562" s="6" t="s">
        <v>187</v>
      </c>
      <c r="H562" s="2" t="s">
        <v>1425</v>
      </c>
      <c r="I562" s="2" t="s">
        <v>1469</v>
      </c>
      <c r="J562" s="2" t="s">
        <v>19</v>
      </c>
      <c r="K562" s="2" t="s">
        <v>990</v>
      </c>
      <c r="L562" s="7" t="str">
        <f>HYPERLINK("http://slimages.macys.com/is/image/MCY/12645266 ")</f>
        <v xml:space="preserve">http://slimages.macys.com/is/image/MCY/12645266 </v>
      </c>
    </row>
    <row r="563" spans="1:12" ht="24.75" x14ac:dyDescent="0.25">
      <c r="A563" s="4" t="s">
        <v>1518</v>
      </c>
      <c r="B563" s="2" t="s">
        <v>1502</v>
      </c>
      <c r="C563" s="3">
        <v>1</v>
      </c>
      <c r="D563" s="5">
        <v>24.99</v>
      </c>
      <c r="E563" s="3" t="s">
        <v>1503</v>
      </c>
      <c r="F563" s="2" t="s">
        <v>15</v>
      </c>
      <c r="G563" s="6"/>
      <c r="H563" s="2" t="s">
        <v>1425</v>
      </c>
      <c r="I563" s="2" t="s">
        <v>1469</v>
      </c>
      <c r="J563" s="2" t="s">
        <v>19</v>
      </c>
      <c r="K563" s="2" t="s">
        <v>990</v>
      </c>
      <c r="L563" s="7" t="str">
        <f>HYPERLINK("http://slimages.macys.com/is/image/MCY/13048287 ")</f>
        <v xml:space="preserve">http://slimages.macys.com/is/image/MCY/13048287 </v>
      </c>
    </row>
    <row r="564" spans="1:12" ht="24.75" x14ac:dyDescent="0.25">
      <c r="A564" s="4" t="s">
        <v>2793</v>
      </c>
      <c r="B564" s="2" t="s">
        <v>1516</v>
      </c>
      <c r="C564" s="3">
        <v>1</v>
      </c>
      <c r="D564" s="5">
        <v>24.99</v>
      </c>
      <c r="E564" s="3" t="s">
        <v>1517</v>
      </c>
      <c r="F564" s="2" t="s">
        <v>998</v>
      </c>
      <c r="G564" s="6" t="s">
        <v>112</v>
      </c>
      <c r="H564" s="2" t="s">
        <v>1473</v>
      </c>
      <c r="I564" s="2" t="s">
        <v>1426</v>
      </c>
      <c r="J564" s="2" t="s">
        <v>19</v>
      </c>
      <c r="K564" s="2" t="s">
        <v>353</v>
      </c>
      <c r="L564" s="7" t="str">
        <f>HYPERLINK("http://slimages.macys.com/is/image/MCY/11029826 ")</f>
        <v xml:space="preserve">http://slimages.macys.com/is/image/MCY/11029826 </v>
      </c>
    </row>
    <row r="565" spans="1:12" ht="24.75" x14ac:dyDescent="0.25">
      <c r="A565" s="4" t="s">
        <v>7548</v>
      </c>
      <c r="B565" s="2" t="s">
        <v>3946</v>
      </c>
      <c r="C565" s="3">
        <v>1</v>
      </c>
      <c r="D565" s="5">
        <v>24.99</v>
      </c>
      <c r="E565" s="3" t="s">
        <v>3947</v>
      </c>
      <c r="F565" s="2" t="s">
        <v>15</v>
      </c>
      <c r="G565" s="6"/>
      <c r="H565" s="2" t="s">
        <v>1425</v>
      </c>
      <c r="I565" s="2" t="s">
        <v>1426</v>
      </c>
      <c r="J565" s="2" t="s">
        <v>19</v>
      </c>
      <c r="K565" s="2" t="s">
        <v>648</v>
      </c>
      <c r="L565" s="7" t="str">
        <f>HYPERLINK("http://slimages.macys.com/is/image/MCY/11456937 ")</f>
        <v xml:space="preserve">http://slimages.macys.com/is/image/MCY/11456937 </v>
      </c>
    </row>
    <row r="566" spans="1:12" ht="24.75" x14ac:dyDescent="0.25">
      <c r="A566" s="4" t="s">
        <v>3938</v>
      </c>
      <c r="B566" s="2" t="s">
        <v>1502</v>
      </c>
      <c r="C566" s="3">
        <v>1</v>
      </c>
      <c r="D566" s="5">
        <v>24.99</v>
      </c>
      <c r="E566" s="3" t="s">
        <v>1503</v>
      </c>
      <c r="F566" s="2" t="s">
        <v>15</v>
      </c>
      <c r="G566" s="6"/>
      <c r="H566" s="2" t="s">
        <v>1425</v>
      </c>
      <c r="I566" s="2" t="s">
        <v>1469</v>
      </c>
      <c r="J566" s="2" t="s">
        <v>19</v>
      </c>
      <c r="K566" s="2" t="s">
        <v>990</v>
      </c>
      <c r="L566" s="7" t="str">
        <f>HYPERLINK("http://slimages.macys.com/is/image/MCY/13048287 ")</f>
        <v xml:space="preserve">http://slimages.macys.com/is/image/MCY/13048287 </v>
      </c>
    </row>
    <row r="567" spans="1:12" ht="24.75" x14ac:dyDescent="0.25">
      <c r="A567" s="4" t="s">
        <v>6710</v>
      </c>
      <c r="B567" s="2" t="s">
        <v>5032</v>
      </c>
      <c r="C567" s="3">
        <v>1</v>
      </c>
      <c r="D567" s="5">
        <v>24.99</v>
      </c>
      <c r="E567" s="3" t="s">
        <v>5033</v>
      </c>
      <c r="F567" s="2" t="s">
        <v>70</v>
      </c>
      <c r="G567" s="6"/>
      <c r="H567" s="2" t="s">
        <v>1425</v>
      </c>
      <c r="I567" s="2" t="s">
        <v>1469</v>
      </c>
      <c r="J567" s="2" t="s">
        <v>19</v>
      </c>
      <c r="K567" s="2" t="s">
        <v>990</v>
      </c>
      <c r="L567" s="7" t="str">
        <f>HYPERLINK("http://slimages.macys.com/is/image/MCY/12645266 ")</f>
        <v xml:space="preserve">http://slimages.macys.com/is/image/MCY/12645266 </v>
      </c>
    </row>
    <row r="568" spans="1:12" ht="24.75" x14ac:dyDescent="0.25">
      <c r="A568" s="4" t="s">
        <v>6717</v>
      </c>
      <c r="B568" s="2" t="s">
        <v>2779</v>
      </c>
      <c r="C568" s="3">
        <v>1</v>
      </c>
      <c r="D568" s="5">
        <v>29.63</v>
      </c>
      <c r="E568" s="3" t="s">
        <v>2810</v>
      </c>
      <c r="F568" s="2" t="s">
        <v>15</v>
      </c>
      <c r="G568" s="6"/>
      <c r="H568" s="2" t="s">
        <v>312</v>
      </c>
      <c r="I568" s="2" t="s">
        <v>195</v>
      </c>
      <c r="J568" s="2" t="s">
        <v>19</v>
      </c>
      <c r="K568" s="2" t="s">
        <v>247</v>
      </c>
      <c r="L568" s="7" t="str">
        <f>HYPERLINK("http://slimages.macys.com/is/image/MCY/12279859 ")</f>
        <v xml:space="preserve">http://slimages.macys.com/is/image/MCY/12279859 </v>
      </c>
    </row>
    <row r="569" spans="1:12" ht="24.75" x14ac:dyDescent="0.25">
      <c r="A569" s="4" t="s">
        <v>2809</v>
      </c>
      <c r="B569" s="2" t="s">
        <v>2779</v>
      </c>
      <c r="C569" s="3">
        <v>2</v>
      </c>
      <c r="D569" s="5">
        <v>29.63</v>
      </c>
      <c r="E569" s="3" t="s">
        <v>2810</v>
      </c>
      <c r="F569" s="2" t="s">
        <v>15</v>
      </c>
      <c r="G569" s="6"/>
      <c r="H569" s="2" t="s">
        <v>312</v>
      </c>
      <c r="I569" s="2" t="s">
        <v>195</v>
      </c>
      <c r="J569" s="2" t="s">
        <v>19</v>
      </c>
      <c r="K569" s="2" t="s">
        <v>247</v>
      </c>
      <c r="L569" s="7" t="str">
        <f>HYPERLINK("http://slimages.macys.com/is/image/MCY/12279859 ")</f>
        <v xml:space="preserve">http://slimages.macys.com/is/image/MCY/12279859 </v>
      </c>
    </row>
    <row r="570" spans="1:12" ht="24.75" x14ac:dyDescent="0.25">
      <c r="A570" s="4" t="s">
        <v>5037</v>
      </c>
      <c r="B570" s="2" t="s">
        <v>2779</v>
      </c>
      <c r="C570" s="3">
        <v>2</v>
      </c>
      <c r="D570" s="5">
        <v>29.63</v>
      </c>
      <c r="E570" s="3" t="s">
        <v>2810</v>
      </c>
      <c r="F570" s="2" t="s">
        <v>15</v>
      </c>
      <c r="G570" s="6"/>
      <c r="H570" s="2" t="s">
        <v>312</v>
      </c>
      <c r="I570" s="2" t="s">
        <v>195</v>
      </c>
      <c r="J570" s="2" t="s">
        <v>19</v>
      </c>
      <c r="K570" s="2" t="s">
        <v>247</v>
      </c>
      <c r="L570" s="7" t="str">
        <f>HYPERLINK("http://slimages.macys.com/is/image/MCY/12279859 ")</f>
        <v xml:space="preserve">http://slimages.macys.com/is/image/MCY/12279859 </v>
      </c>
    </row>
    <row r="571" spans="1:12" ht="24.75" x14ac:dyDescent="0.25">
      <c r="A571" s="4" t="s">
        <v>7549</v>
      </c>
      <c r="B571" s="2" t="s">
        <v>1529</v>
      </c>
      <c r="C571" s="3">
        <v>2</v>
      </c>
      <c r="D571" s="5">
        <v>37.130000000000003</v>
      </c>
      <c r="E571" s="3" t="s">
        <v>1530</v>
      </c>
      <c r="F571" s="2" t="s">
        <v>94</v>
      </c>
      <c r="G571" s="6" t="s">
        <v>238</v>
      </c>
      <c r="H571" s="2" t="s">
        <v>312</v>
      </c>
      <c r="I571" s="2" t="s">
        <v>195</v>
      </c>
      <c r="J571" s="2" t="s">
        <v>19</v>
      </c>
      <c r="K571" s="2" t="s">
        <v>353</v>
      </c>
      <c r="L571" s="7" t="str">
        <f>HYPERLINK("http://slimages.macys.com/is/image/MCY/11938040 ")</f>
        <v xml:space="preserve">http://slimages.macys.com/is/image/MCY/11938040 </v>
      </c>
    </row>
    <row r="572" spans="1:12" ht="24.75" x14ac:dyDescent="0.25">
      <c r="A572" s="4" t="s">
        <v>1532</v>
      </c>
      <c r="B572" s="2" t="s">
        <v>1533</v>
      </c>
      <c r="C572" s="3">
        <v>1</v>
      </c>
      <c r="D572" s="5">
        <v>37.130000000000003</v>
      </c>
      <c r="E572" s="3" t="s">
        <v>1534</v>
      </c>
      <c r="F572" s="2" t="s">
        <v>15</v>
      </c>
      <c r="G572" s="6"/>
      <c r="H572" s="2" t="s">
        <v>312</v>
      </c>
      <c r="I572" s="2" t="s">
        <v>195</v>
      </c>
      <c r="J572" s="2" t="s">
        <v>19</v>
      </c>
      <c r="K572" s="2" t="s">
        <v>353</v>
      </c>
      <c r="L572" s="7" t="str">
        <f>HYPERLINK("http://slimages.macys.com/is/image/MCY/12035001 ")</f>
        <v xml:space="preserve">http://slimages.macys.com/is/image/MCY/12035001 </v>
      </c>
    </row>
    <row r="573" spans="1:12" ht="24.75" x14ac:dyDescent="0.25">
      <c r="A573" s="4" t="s">
        <v>7550</v>
      </c>
      <c r="B573" s="2" t="s">
        <v>1533</v>
      </c>
      <c r="C573" s="3">
        <v>1</v>
      </c>
      <c r="D573" s="5">
        <v>37.130000000000003</v>
      </c>
      <c r="E573" s="3" t="s">
        <v>1534</v>
      </c>
      <c r="F573" s="2" t="s">
        <v>15</v>
      </c>
      <c r="G573" s="6"/>
      <c r="H573" s="2" t="s">
        <v>312</v>
      </c>
      <c r="I573" s="2" t="s">
        <v>195</v>
      </c>
      <c r="J573" s="2" t="s">
        <v>19</v>
      </c>
      <c r="K573" s="2" t="s">
        <v>353</v>
      </c>
      <c r="L573" s="7" t="str">
        <f>HYPERLINK("http://slimages.macys.com/is/image/MCY/12035001 ")</f>
        <v xml:space="preserve">http://slimages.macys.com/is/image/MCY/12035001 </v>
      </c>
    </row>
    <row r="574" spans="1:12" ht="24.75" x14ac:dyDescent="0.25">
      <c r="A574" s="4" t="s">
        <v>2827</v>
      </c>
      <c r="B574" s="2" t="s">
        <v>1539</v>
      </c>
      <c r="C574" s="3">
        <v>1</v>
      </c>
      <c r="D574" s="5">
        <v>26.99</v>
      </c>
      <c r="E574" s="3" t="s">
        <v>1540</v>
      </c>
      <c r="F574" s="2" t="s">
        <v>74</v>
      </c>
      <c r="G574" s="6" t="s">
        <v>112</v>
      </c>
      <c r="H574" s="2" t="s">
        <v>1473</v>
      </c>
      <c r="I574" s="2" t="s">
        <v>1426</v>
      </c>
      <c r="J574" s="2" t="s">
        <v>19</v>
      </c>
      <c r="K574" s="2" t="s">
        <v>353</v>
      </c>
      <c r="L574" s="7" t="str">
        <f>HYPERLINK("http://slimages.macys.com/is/image/MCY/10786732 ")</f>
        <v xml:space="preserve">http://slimages.macys.com/is/image/MCY/10786732 </v>
      </c>
    </row>
    <row r="575" spans="1:12" ht="24.75" x14ac:dyDescent="0.25">
      <c r="A575" s="4" t="s">
        <v>7551</v>
      </c>
      <c r="B575" s="2" t="s">
        <v>1539</v>
      </c>
      <c r="C575" s="3">
        <v>1</v>
      </c>
      <c r="D575" s="5">
        <v>26.99</v>
      </c>
      <c r="E575" s="3" t="s">
        <v>1540</v>
      </c>
      <c r="F575" s="2" t="s">
        <v>15</v>
      </c>
      <c r="G575" s="6" t="s">
        <v>58</v>
      </c>
      <c r="H575" s="2" t="s">
        <v>1473</v>
      </c>
      <c r="I575" s="2" t="s">
        <v>1426</v>
      </c>
      <c r="J575" s="2" t="s">
        <v>19</v>
      </c>
      <c r="K575" s="2" t="s">
        <v>353</v>
      </c>
      <c r="L575" s="7" t="str">
        <f>HYPERLINK("http://slimages.macys.com/is/image/MCY/10786732 ")</f>
        <v xml:space="preserve">http://slimages.macys.com/is/image/MCY/10786732 </v>
      </c>
    </row>
    <row r="576" spans="1:12" ht="24.75" x14ac:dyDescent="0.25">
      <c r="A576" s="4" t="s">
        <v>2825</v>
      </c>
      <c r="B576" s="2" t="s">
        <v>1539</v>
      </c>
      <c r="C576" s="3">
        <v>1</v>
      </c>
      <c r="D576" s="5">
        <v>26.99</v>
      </c>
      <c r="E576" s="3" t="s">
        <v>1540</v>
      </c>
      <c r="F576" s="2" t="s">
        <v>252</v>
      </c>
      <c r="G576" s="6" t="s">
        <v>22</v>
      </c>
      <c r="H576" s="2" t="s">
        <v>1473</v>
      </c>
      <c r="I576" s="2" t="s">
        <v>1426</v>
      </c>
      <c r="J576" s="2" t="s">
        <v>19</v>
      </c>
      <c r="K576" s="2" t="s">
        <v>353</v>
      </c>
      <c r="L576" s="7" t="str">
        <f>HYPERLINK("http://slimages.macys.com/is/image/MCY/10786732 ")</f>
        <v xml:space="preserve">http://slimages.macys.com/is/image/MCY/10786732 </v>
      </c>
    </row>
    <row r="577" spans="1:12" ht="24.75" x14ac:dyDescent="0.25">
      <c r="A577" s="4" t="s">
        <v>3962</v>
      </c>
      <c r="B577" s="2" t="s">
        <v>1539</v>
      </c>
      <c r="C577" s="3">
        <v>1</v>
      </c>
      <c r="D577" s="5">
        <v>26.99</v>
      </c>
      <c r="E577" s="3" t="s">
        <v>1548</v>
      </c>
      <c r="F577" s="2" t="s">
        <v>252</v>
      </c>
      <c r="G577" s="6" t="s">
        <v>934</v>
      </c>
      <c r="H577" s="2" t="s">
        <v>1425</v>
      </c>
      <c r="I577" s="2" t="s">
        <v>1426</v>
      </c>
      <c r="J577" s="2" t="s">
        <v>19</v>
      </c>
      <c r="K577" s="2" t="s">
        <v>353</v>
      </c>
      <c r="L577" s="7" t="str">
        <f>HYPERLINK("http://slimages.macys.com/is/image/MCY/11092539 ")</f>
        <v xml:space="preserve">http://slimages.macys.com/is/image/MCY/11092539 </v>
      </c>
    </row>
    <row r="578" spans="1:12" ht="24.75" x14ac:dyDescent="0.25">
      <c r="A578" s="4" t="s">
        <v>2814</v>
      </c>
      <c r="B578" s="2" t="s">
        <v>1539</v>
      </c>
      <c r="C578" s="3">
        <v>1</v>
      </c>
      <c r="D578" s="5">
        <v>26.99</v>
      </c>
      <c r="E578" s="3" t="s">
        <v>1548</v>
      </c>
      <c r="F578" s="2" t="s">
        <v>252</v>
      </c>
      <c r="G578" s="6" t="s">
        <v>205</v>
      </c>
      <c r="H578" s="2" t="s">
        <v>1425</v>
      </c>
      <c r="I578" s="2" t="s">
        <v>1426</v>
      </c>
      <c r="J578" s="2" t="s">
        <v>19</v>
      </c>
      <c r="K578" s="2" t="s">
        <v>353</v>
      </c>
      <c r="L578" s="7" t="str">
        <f>HYPERLINK("http://slimages.macys.com/is/image/MCY/11092539 ")</f>
        <v xml:space="preserve">http://slimages.macys.com/is/image/MCY/11092539 </v>
      </c>
    </row>
    <row r="579" spans="1:12" ht="24.75" x14ac:dyDescent="0.25">
      <c r="A579" s="4" t="s">
        <v>2831</v>
      </c>
      <c r="B579" s="2" t="s">
        <v>1539</v>
      </c>
      <c r="C579" s="3">
        <v>1</v>
      </c>
      <c r="D579" s="5">
        <v>26.99</v>
      </c>
      <c r="E579" s="3" t="s">
        <v>1548</v>
      </c>
      <c r="F579" s="2" t="s">
        <v>998</v>
      </c>
      <c r="G579" s="6" t="s">
        <v>238</v>
      </c>
      <c r="H579" s="2" t="s">
        <v>1425</v>
      </c>
      <c r="I579" s="2" t="s">
        <v>1426</v>
      </c>
      <c r="J579" s="2" t="s">
        <v>19</v>
      </c>
      <c r="K579" s="2" t="s">
        <v>353</v>
      </c>
      <c r="L579" s="7" t="str">
        <f>HYPERLINK("http://slimages.macys.com/is/image/MCY/11092539 ")</f>
        <v xml:space="preserve">http://slimages.macys.com/is/image/MCY/11092539 </v>
      </c>
    </row>
    <row r="580" spans="1:12" ht="24.75" x14ac:dyDescent="0.25">
      <c r="A580" s="4" t="s">
        <v>1547</v>
      </c>
      <c r="B580" s="2" t="s">
        <v>1539</v>
      </c>
      <c r="C580" s="3">
        <v>1</v>
      </c>
      <c r="D580" s="5">
        <v>26.99</v>
      </c>
      <c r="E580" s="3" t="s">
        <v>1548</v>
      </c>
      <c r="F580" s="2" t="s">
        <v>998</v>
      </c>
      <c r="G580" s="6" t="s">
        <v>934</v>
      </c>
      <c r="H580" s="2" t="s">
        <v>1425</v>
      </c>
      <c r="I580" s="2" t="s">
        <v>1426</v>
      </c>
      <c r="J580" s="2" t="s">
        <v>19</v>
      </c>
      <c r="K580" s="2" t="s">
        <v>353</v>
      </c>
      <c r="L580" s="7" t="str">
        <f>HYPERLINK("http://slimages.macys.com/is/image/MCY/11092539 ")</f>
        <v xml:space="preserve">http://slimages.macys.com/is/image/MCY/11092539 </v>
      </c>
    </row>
    <row r="581" spans="1:12" ht="24.75" x14ac:dyDescent="0.25">
      <c r="A581" s="4" t="s">
        <v>7552</v>
      </c>
      <c r="B581" s="2" t="s">
        <v>1539</v>
      </c>
      <c r="C581" s="3">
        <v>1</v>
      </c>
      <c r="D581" s="5">
        <v>26.99</v>
      </c>
      <c r="E581" s="3" t="s">
        <v>1548</v>
      </c>
      <c r="F581" s="2" t="s">
        <v>252</v>
      </c>
      <c r="G581" s="6" t="s">
        <v>126</v>
      </c>
      <c r="H581" s="2" t="s">
        <v>1425</v>
      </c>
      <c r="I581" s="2" t="s">
        <v>1426</v>
      </c>
      <c r="J581" s="2" t="s">
        <v>19</v>
      </c>
      <c r="K581" s="2" t="s">
        <v>353</v>
      </c>
      <c r="L581" s="7" t="str">
        <f>HYPERLINK("http://slimages.macys.com/is/image/MCY/11092539 ")</f>
        <v xml:space="preserve">http://slimages.macys.com/is/image/MCY/11092539 </v>
      </c>
    </row>
    <row r="582" spans="1:12" ht="24.75" x14ac:dyDescent="0.25">
      <c r="A582" s="4" t="s">
        <v>2824</v>
      </c>
      <c r="B582" s="2" t="s">
        <v>1539</v>
      </c>
      <c r="C582" s="3">
        <v>1</v>
      </c>
      <c r="D582" s="5">
        <v>26.99</v>
      </c>
      <c r="E582" s="3" t="s">
        <v>1540</v>
      </c>
      <c r="F582" s="2" t="s">
        <v>1234</v>
      </c>
      <c r="G582" s="6" t="s">
        <v>27</v>
      </c>
      <c r="H582" s="2" t="s">
        <v>1473</v>
      </c>
      <c r="I582" s="2" t="s">
        <v>1426</v>
      </c>
      <c r="J582" s="2" t="s">
        <v>19</v>
      </c>
      <c r="K582" s="2" t="s">
        <v>353</v>
      </c>
      <c r="L582" s="7" t="str">
        <f t="shared" ref="L582:L593" si="9">HYPERLINK("http://slimages.macys.com/is/image/MCY/10786732 ")</f>
        <v xml:space="preserve">http://slimages.macys.com/is/image/MCY/10786732 </v>
      </c>
    </row>
    <row r="583" spans="1:12" ht="24.75" x14ac:dyDescent="0.25">
      <c r="A583" s="4" t="s">
        <v>2815</v>
      </c>
      <c r="B583" s="2" t="s">
        <v>1539</v>
      </c>
      <c r="C583" s="3">
        <v>1</v>
      </c>
      <c r="D583" s="5">
        <v>26.99</v>
      </c>
      <c r="E583" s="3" t="s">
        <v>1540</v>
      </c>
      <c r="F583" s="2" t="s">
        <v>1234</v>
      </c>
      <c r="G583" s="6" t="s">
        <v>58</v>
      </c>
      <c r="H583" s="2" t="s">
        <v>1473</v>
      </c>
      <c r="I583" s="2" t="s">
        <v>1426</v>
      </c>
      <c r="J583" s="2" t="s">
        <v>19</v>
      </c>
      <c r="K583" s="2" t="s">
        <v>353</v>
      </c>
      <c r="L583" s="7" t="str">
        <f t="shared" si="9"/>
        <v xml:space="preserve">http://slimages.macys.com/is/image/MCY/10786732 </v>
      </c>
    </row>
    <row r="584" spans="1:12" ht="24.75" x14ac:dyDescent="0.25">
      <c r="A584" s="4" t="s">
        <v>1552</v>
      </c>
      <c r="B584" s="2" t="s">
        <v>1539</v>
      </c>
      <c r="C584" s="3">
        <v>1</v>
      </c>
      <c r="D584" s="5">
        <v>26.99</v>
      </c>
      <c r="E584" s="3" t="s">
        <v>1540</v>
      </c>
      <c r="F584" s="2" t="s">
        <v>998</v>
      </c>
      <c r="G584" s="6" t="s">
        <v>22</v>
      </c>
      <c r="H584" s="2" t="s">
        <v>1473</v>
      </c>
      <c r="I584" s="2" t="s">
        <v>1426</v>
      </c>
      <c r="J584" s="2" t="s">
        <v>19</v>
      </c>
      <c r="K584" s="2" t="s">
        <v>353</v>
      </c>
      <c r="L584" s="7" t="str">
        <f t="shared" si="9"/>
        <v xml:space="preserve">http://slimages.macys.com/is/image/MCY/10786732 </v>
      </c>
    </row>
    <row r="585" spans="1:12" ht="24.75" x14ac:dyDescent="0.25">
      <c r="A585" s="4" t="s">
        <v>2817</v>
      </c>
      <c r="B585" s="2" t="s">
        <v>1539</v>
      </c>
      <c r="C585" s="3">
        <v>1</v>
      </c>
      <c r="D585" s="5">
        <v>26.99</v>
      </c>
      <c r="E585" s="3" t="s">
        <v>1540</v>
      </c>
      <c r="F585" s="2" t="s">
        <v>1234</v>
      </c>
      <c r="G585" s="6" t="s">
        <v>112</v>
      </c>
      <c r="H585" s="2" t="s">
        <v>1473</v>
      </c>
      <c r="I585" s="2" t="s">
        <v>1426</v>
      </c>
      <c r="J585" s="2" t="s">
        <v>19</v>
      </c>
      <c r="K585" s="2" t="s">
        <v>353</v>
      </c>
      <c r="L585" s="7" t="str">
        <f t="shared" si="9"/>
        <v xml:space="preserve">http://slimages.macys.com/is/image/MCY/10786732 </v>
      </c>
    </row>
    <row r="586" spans="1:12" ht="24.75" x14ac:dyDescent="0.25">
      <c r="A586" s="4" t="s">
        <v>1545</v>
      </c>
      <c r="B586" s="2" t="s">
        <v>1539</v>
      </c>
      <c r="C586" s="3">
        <v>1</v>
      </c>
      <c r="D586" s="5">
        <v>26.99</v>
      </c>
      <c r="E586" s="3" t="s">
        <v>1540</v>
      </c>
      <c r="F586" s="2" t="s">
        <v>998</v>
      </c>
      <c r="G586" s="6" t="s">
        <v>58</v>
      </c>
      <c r="H586" s="2" t="s">
        <v>1473</v>
      </c>
      <c r="I586" s="2" t="s">
        <v>1426</v>
      </c>
      <c r="J586" s="2" t="s">
        <v>19</v>
      </c>
      <c r="K586" s="2" t="s">
        <v>353</v>
      </c>
      <c r="L586" s="7" t="str">
        <f t="shared" si="9"/>
        <v xml:space="preserve">http://slimages.macys.com/is/image/MCY/10786732 </v>
      </c>
    </row>
    <row r="587" spans="1:12" ht="24.75" x14ac:dyDescent="0.25">
      <c r="A587" s="4" t="s">
        <v>1553</v>
      </c>
      <c r="B587" s="2" t="s">
        <v>1539</v>
      </c>
      <c r="C587" s="3">
        <v>1</v>
      </c>
      <c r="D587" s="5">
        <v>26.99</v>
      </c>
      <c r="E587" s="3" t="s">
        <v>1540</v>
      </c>
      <c r="F587" s="2" t="s">
        <v>15</v>
      </c>
      <c r="G587" s="6" t="s">
        <v>16</v>
      </c>
      <c r="H587" s="2" t="s">
        <v>1473</v>
      </c>
      <c r="I587" s="2" t="s">
        <v>1426</v>
      </c>
      <c r="J587" s="2" t="s">
        <v>19</v>
      </c>
      <c r="K587" s="2" t="s">
        <v>353</v>
      </c>
      <c r="L587" s="7" t="str">
        <f t="shared" si="9"/>
        <v xml:space="preserve">http://slimages.macys.com/is/image/MCY/10786732 </v>
      </c>
    </row>
    <row r="588" spans="1:12" ht="24.75" x14ac:dyDescent="0.25">
      <c r="A588" s="4" t="s">
        <v>3955</v>
      </c>
      <c r="B588" s="2" t="s">
        <v>1539</v>
      </c>
      <c r="C588" s="3">
        <v>1</v>
      </c>
      <c r="D588" s="5">
        <v>26.99</v>
      </c>
      <c r="E588" s="3" t="s">
        <v>1540</v>
      </c>
      <c r="F588" s="2" t="s">
        <v>70</v>
      </c>
      <c r="G588" s="6" t="s">
        <v>27</v>
      </c>
      <c r="H588" s="2" t="s">
        <v>1473</v>
      </c>
      <c r="I588" s="2" t="s">
        <v>1426</v>
      </c>
      <c r="J588" s="2" t="s">
        <v>19</v>
      </c>
      <c r="K588" s="2" t="s">
        <v>353</v>
      </c>
      <c r="L588" s="7" t="str">
        <f t="shared" si="9"/>
        <v xml:space="preserve">http://slimages.macys.com/is/image/MCY/10786732 </v>
      </c>
    </row>
    <row r="589" spans="1:12" ht="24.75" x14ac:dyDescent="0.25">
      <c r="A589" s="4" t="s">
        <v>1538</v>
      </c>
      <c r="B589" s="2" t="s">
        <v>1539</v>
      </c>
      <c r="C589" s="3">
        <v>1</v>
      </c>
      <c r="D589" s="5">
        <v>26.99</v>
      </c>
      <c r="E589" s="3" t="s">
        <v>1540</v>
      </c>
      <c r="F589" s="2" t="s">
        <v>15</v>
      </c>
      <c r="G589" s="6" t="s">
        <v>22</v>
      </c>
      <c r="H589" s="2" t="s">
        <v>1473</v>
      </c>
      <c r="I589" s="2" t="s">
        <v>1426</v>
      </c>
      <c r="J589" s="2" t="s">
        <v>19</v>
      </c>
      <c r="K589" s="2" t="s">
        <v>353</v>
      </c>
      <c r="L589" s="7" t="str">
        <f t="shared" si="9"/>
        <v xml:space="preserve">http://slimages.macys.com/is/image/MCY/10786732 </v>
      </c>
    </row>
    <row r="590" spans="1:12" ht="24.75" x14ac:dyDescent="0.25">
      <c r="A590" s="4" t="s">
        <v>1554</v>
      </c>
      <c r="B590" s="2" t="s">
        <v>1539</v>
      </c>
      <c r="C590" s="3">
        <v>1</v>
      </c>
      <c r="D590" s="5">
        <v>26.99</v>
      </c>
      <c r="E590" s="3" t="s">
        <v>1540</v>
      </c>
      <c r="F590" s="2" t="s">
        <v>70</v>
      </c>
      <c r="G590" s="6" t="s">
        <v>141</v>
      </c>
      <c r="H590" s="2" t="s">
        <v>1473</v>
      </c>
      <c r="I590" s="2" t="s">
        <v>1426</v>
      </c>
      <c r="J590" s="2" t="s">
        <v>19</v>
      </c>
      <c r="K590" s="2" t="s">
        <v>353</v>
      </c>
      <c r="L590" s="7" t="str">
        <f t="shared" si="9"/>
        <v xml:space="preserve">http://slimages.macys.com/is/image/MCY/10786732 </v>
      </c>
    </row>
    <row r="591" spans="1:12" ht="24.75" x14ac:dyDescent="0.25">
      <c r="A591" s="4" t="s">
        <v>1544</v>
      </c>
      <c r="B591" s="2" t="s">
        <v>1539</v>
      </c>
      <c r="C591" s="3">
        <v>3</v>
      </c>
      <c r="D591" s="5">
        <v>26.99</v>
      </c>
      <c r="E591" s="3" t="s">
        <v>1540</v>
      </c>
      <c r="F591" s="2" t="s">
        <v>252</v>
      </c>
      <c r="G591" s="6" t="s">
        <v>112</v>
      </c>
      <c r="H591" s="2" t="s">
        <v>1473</v>
      </c>
      <c r="I591" s="2" t="s">
        <v>1426</v>
      </c>
      <c r="J591" s="2" t="s">
        <v>19</v>
      </c>
      <c r="K591" s="2" t="s">
        <v>353</v>
      </c>
      <c r="L591" s="7" t="str">
        <f t="shared" si="9"/>
        <v xml:space="preserve">http://slimages.macys.com/is/image/MCY/10786732 </v>
      </c>
    </row>
    <row r="592" spans="1:12" ht="24.75" x14ac:dyDescent="0.25">
      <c r="A592" s="4" t="s">
        <v>2828</v>
      </c>
      <c r="B592" s="2" t="s">
        <v>1539</v>
      </c>
      <c r="C592" s="3">
        <v>1</v>
      </c>
      <c r="D592" s="5">
        <v>26.99</v>
      </c>
      <c r="E592" s="3" t="s">
        <v>1540</v>
      </c>
      <c r="F592" s="2" t="s">
        <v>74</v>
      </c>
      <c r="G592" s="6" t="s">
        <v>58</v>
      </c>
      <c r="H592" s="2" t="s">
        <v>1473</v>
      </c>
      <c r="I592" s="2" t="s">
        <v>1426</v>
      </c>
      <c r="J592" s="2" t="s">
        <v>19</v>
      </c>
      <c r="K592" s="2" t="s">
        <v>353</v>
      </c>
      <c r="L592" s="7" t="str">
        <f t="shared" si="9"/>
        <v xml:space="preserve">http://slimages.macys.com/is/image/MCY/10786732 </v>
      </c>
    </row>
    <row r="593" spans="1:12" ht="24.75" x14ac:dyDescent="0.25">
      <c r="A593" s="4" t="s">
        <v>1543</v>
      </c>
      <c r="B593" s="2" t="s">
        <v>1539</v>
      </c>
      <c r="C593" s="3">
        <v>1</v>
      </c>
      <c r="D593" s="5">
        <v>26.99</v>
      </c>
      <c r="E593" s="3" t="s">
        <v>1540</v>
      </c>
      <c r="F593" s="2" t="s">
        <v>1234</v>
      </c>
      <c r="G593" s="6" t="s">
        <v>22</v>
      </c>
      <c r="H593" s="2" t="s">
        <v>1473</v>
      </c>
      <c r="I593" s="2" t="s">
        <v>1426</v>
      </c>
      <c r="J593" s="2" t="s">
        <v>19</v>
      </c>
      <c r="K593" s="2" t="s">
        <v>353</v>
      </c>
      <c r="L593" s="7" t="str">
        <f t="shared" si="9"/>
        <v xml:space="preserve">http://slimages.macys.com/is/image/MCY/10786732 </v>
      </c>
    </row>
    <row r="594" spans="1:12" ht="24.75" x14ac:dyDescent="0.25">
      <c r="A594" s="4" t="s">
        <v>7553</v>
      </c>
      <c r="B594" s="2" t="s">
        <v>7554</v>
      </c>
      <c r="C594" s="3">
        <v>1</v>
      </c>
      <c r="D594" s="5">
        <v>31.5</v>
      </c>
      <c r="E594" s="3">
        <v>100051257</v>
      </c>
      <c r="F594" s="2" t="s">
        <v>15</v>
      </c>
      <c r="G594" s="6" t="s">
        <v>154</v>
      </c>
      <c r="H594" s="2" t="s">
        <v>194</v>
      </c>
      <c r="I594" s="2" t="s">
        <v>195</v>
      </c>
      <c r="J594" s="2" t="s">
        <v>19</v>
      </c>
      <c r="K594" s="2" t="s">
        <v>409</v>
      </c>
      <c r="L594" s="7" t="str">
        <f>HYPERLINK("http://slimages.macys.com/is/image/MCY/2946701 ")</f>
        <v xml:space="preserve">http://slimages.macys.com/is/image/MCY/2946701 </v>
      </c>
    </row>
    <row r="595" spans="1:12" ht="24.75" x14ac:dyDescent="0.25">
      <c r="A595" s="4" t="s">
        <v>7555</v>
      </c>
      <c r="B595" s="2" t="s">
        <v>1556</v>
      </c>
      <c r="C595" s="3">
        <v>2</v>
      </c>
      <c r="D595" s="5">
        <v>25.88</v>
      </c>
      <c r="E595" s="3">
        <v>100018059</v>
      </c>
      <c r="F595" s="2" t="s">
        <v>64</v>
      </c>
      <c r="G595" s="6" t="s">
        <v>154</v>
      </c>
      <c r="H595" s="2" t="s">
        <v>194</v>
      </c>
      <c r="I595" s="2" t="s">
        <v>195</v>
      </c>
      <c r="J595" s="2" t="s">
        <v>19</v>
      </c>
      <c r="K595" s="2" t="s">
        <v>648</v>
      </c>
      <c r="L595" s="7" t="str">
        <f>HYPERLINK("http://slimages.macys.com/is/image/MCY/9795496 ")</f>
        <v xml:space="preserve">http://slimages.macys.com/is/image/MCY/9795496 </v>
      </c>
    </row>
    <row r="596" spans="1:12" ht="24.75" x14ac:dyDescent="0.25">
      <c r="A596" s="4" t="s">
        <v>5046</v>
      </c>
      <c r="B596" s="2" t="s">
        <v>1559</v>
      </c>
      <c r="C596" s="3">
        <v>1</v>
      </c>
      <c r="D596" s="5">
        <v>24.99</v>
      </c>
      <c r="E596" s="3" t="s">
        <v>3967</v>
      </c>
      <c r="F596" s="2" t="s">
        <v>15</v>
      </c>
      <c r="G596" s="6" t="s">
        <v>154</v>
      </c>
      <c r="H596" s="2" t="s">
        <v>1522</v>
      </c>
      <c r="I596" s="2" t="s">
        <v>1469</v>
      </c>
      <c r="J596" s="2" t="s">
        <v>19</v>
      </c>
      <c r="K596" s="2" t="s">
        <v>353</v>
      </c>
      <c r="L596" s="7" t="str">
        <f>HYPERLINK("http://slimages.macys.com/is/image/MCY/9432476 ")</f>
        <v xml:space="preserve">http://slimages.macys.com/is/image/MCY/9432476 </v>
      </c>
    </row>
    <row r="597" spans="1:12" ht="24.75" x14ac:dyDescent="0.25">
      <c r="A597" s="4" t="s">
        <v>7556</v>
      </c>
      <c r="B597" s="2" t="s">
        <v>1683</v>
      </c>
      <c r="C597" s="3">
        <v>1</v>
      </c>
      <c r="D597" s="5">
        <v>37.130000000000003</v>
      </c>
      <c r="E597" s="3" t="s">
        <v>7557</v>
      </c>
      <c r="F597" s="2" t="s">
        <v>33</v>
      </c>
      <c r="G597" s="6" t="s">
        <v>181</v>
      </c>
      <c r="H597" s="2" t="s">
        <v>194</v>
      </c>
      <c r="I597" s="2" t="s">
        <v>195</v>
      </c>
      <c r="J597" s="2" t="s">
        <v>19</v>
      </c>
      <c r="K597" s="2" t="s">
        <v>247</v>
      </c>
      <c r="L597" s="7" t="str">
        <f>HYPERLINK("http://slimages.macys.com/is/image/MCY/12850758 ")</f>
        <v xml:space="preserve">http://slimages.macys.com/is/image/MCY/12850758 </v>
      </c>
    </row>
    <row r="598" spans="1:12" ht="36.75" x14ac:dyDescent="0.25">
      <c r="A598" s="4" t="s">
        <v>5050</v>
      </c>
      <c r="B598" s="2" t="s">
        <v>1575</v>
      </c>
      <c r="C598" s="3">
        <v>1</v>
      </c>
      <c r="D598" s="5">
        <v>33.380000000000003</v>
      </c>
      <c r="E598" s="3" t="s">
        <v>1576</v>
      </c>
      <c r="F598" s="2" t="s">
        <v>15</v>
      </c>
      <c r="G598" s="6" t="s">
        <v>156</v>
      </c>
      <c r="H598" s="2" t="s">
        <v>194</v>
      </c>
      <c r="I598" s="2" t="s">
        <v>195</v>
      </c>
      <c r="J598" s="2" t="s">
        <v>19</v>
      </c>
      <c r="K598" s="2" t="s">
        <v>1577</v>
      </c>
      <c r="L598" s="7" t="str">
        <f>HYPERLINK("http://slimages.macys.com/is/image/MCY/12734297 ")</f>
        <v xml:space="preserve">http://slimages.macys.com/is/image/MCY/12734297 </v>
      </c>
    </row>
    <row r="599" spans="1:12" ht="24.75" x14ac:dyDescent="0.25">
      <c r="A599" s="4" t="s">
        <v>1581</v>
      </c>
      <c r="B599" s="2" t="s">
        <v>1582</v>
      </c>
      <c r="C599" s="3">
        <v>1</v>
      </c>
      <c r="D599" s="5">
        <v>25.89</v>
      </c>
      <c r="E599" s="3" t="s">
        <v>1583</v>
      </c>
      <c r="F599" s="2" t="s">
        <v>1584</v>
      </c>
      <c r="G599" s="6" t="s">
        <v>181</v>
      </c>
      <c r="H599" s="2" t="s">
        <v>284</v>
      </c>
      <c r="I599" s="2" t="s">
        <v>285</v>
      </c>
      <c r="J599" s="2" t="s">
        <v>19</v>
      </c>
      <c r="K599" s="2" t="s">
        <v>247</v>
      </c>
      <c r="L599" s="7" t="str">
        <f>HYPERLINK("http://slimages.macys.com/is/image/MCY/13302247 ")</f>
        <v xml:space="preserve">http://slimages.macys.com/is/image/MCY/13302247 </v>
      </c>
    </row>
    <row r="600" spans="1:12" ht="24.75" x14ac:dyDescent="0.25">
      <c r="A600" s="4" t="s">
        <v>7558</v>
      </c>
      <c r="B600" s="2" t="s">
        <v>1579</v>
      </c>
      <c r="C600" s="3">
        <v>1</v>
      </c>
      <c r="D600" s="5">
        <v>29.63</v>
      </c>
      <c r="E600" s="3" t="s">
        <v>1580</v>
      </c>
      <c r="F600" s="2" t="s">
        <v>48</v>
      </c>
      <c r="G600" s="6" t="s">
        <v>234</v>
      </c>
      <c r="H600" s="2" t="s">
        <v>194</v>
      </c>
      <c r="I600" s="2" t="s">
        <v>195</v>
      </c>
      <c r="J600" s="2" t="s">
        <v>19</v>
      </c>
      <c r="K600" s="2" t="s">
        <v>691</v>
      </c>
      <c r="L600" s="7" t="str">
        <f>HYPERLINK("http://slimages.macys.com/is/image/MCY/12950272 ")</f>
        <v xml:space="preserve">http://slimages.macys.com/is/image/MCY/12950272 </v>
      </c>
    </row>
    <row r="601" spans="1:12" ht="24.75" x14ac:dyDescent="0.25">
      <c r="A601" s="4" t="s">
        <v>7559</v>
      </c>
      <c r="B601" s="2" t="s">
        <v>1579</v>
      </c>
      <c r="C601" s="3">
        <v>1</v>
      </c>
      <c r="D601" s="5">
        <v>29.63</v>
      </c>
      <c r="E601" s="3" t="s">
        <v>1580</v>
      </c>
      <c r="F601" s="2" t="s">
        <v>48</v>
      </c>
      <c r="G601" s="6" t="s">
        <v>156</v>
      </c>
      <c r="H601" s="2" t="s">
        <v>194</v>
      </c>
      <c r="I601" s="2" t="s">
        <v>195</v>
      </c>
      <c r="J601" s="2" t="s">
        <v>19</v>
      </c>
      <c r="K601" s="2" t="s">
        <v>691</v>
      </c>
      <c r="L601" s="7" t="str">
        <f>HYPERLINK("http://slimages.macys.com/is/image/MCY/12950272 ")</f>
        <v xml:space="preserve">http://slimages.macys.com/is/image/MCY/12950272 </v>
      </c>
    </row>
    <row r="602" spans="1:12" ht="24.75" x14ac:dyDescent="0.25">
      <c r="A602" s="4" t="s">
        <v>7560</v>
      </c>
      <c r="B602" s="2" t="s">
        <v>1600</v>
      </c>
      <c r="C602" s="3">
        <v>1</v>
      </c>
      <c r="D602" s="5">
        <v>21.99</v>
      </c>
      <c r="E602" s="3" t="s">
        <v>1601</v>
      </c>
      <c r="F602" s="2" t="s">
        <v>74</v>
      </c>
      <c r="G602" s="6"/>
      <c r="H602" s="2" t="s">
        <v>1425</v>
      </c>
      <c r="I602" s="2" t="s">
        <v>1426</v>
      </c>
      <c r="J602" s="2"/>
      <c r="K602" s="2"/>
      <c r="L602" s="7" t="str">
        <f>HYPERLINK("http://slimages.macys.com/is/image/MCY/10205122 ")</f>
        <v xml:space="preserve">http://slimages.macys.com/is/image/MCY/10205122 </v>
      </c>
    </row>
    <row r="603" spans="1:12" ht="24.75" x14ac:dyDescent="0.25">
      <c r="A603" s="4" t="s">
        <v>7561</v>
      </c>
      <c r="B603" s="2" t="s">
        <v>1586</v>
      </c>
      <c r="C603" s="3">
        <v>1</v>
      </c>
      <c r="D603" s="5">
        <v>21.99</v>
      </c>
      <c r="E603" s="3" t="s">
        <v>1587</v>
      </c>
      <c r="F603" s="2" t="s">
        <v>1234</v>
      </c>
      <c r="G603" s="6" t="s">
        <v>219</v>
      </c>
      <c r="H603" s="2" t="s">
        <v>1425</v>
      </c>
      <c r="I603" s="2" t="s">
        <v>1426</v>
      </c>
      <c r="J603" s="2" t="s">
        <v>19</v>
      </c>
      <c r="K603" s="2" t="s">
        <v>34</v>
      </c>
      <c r="L603" s="7" t="str">
        <f>HYPERLINK("http://slimages.macys.com/is/image/MCY/11174709 ")</f>
        <v xml:space="preserve">http://slimages.macys.com/is/image/MCY/11174709 </v>
      </c>
    </row>
    <row r="604" spans="1:12" ht="24.75" x14ac:dyDescent="0.25">
      <c r="A604" s="4" t="s">
        <v>3980</v>
      </c>
      <c r="B604" s="2" t="s">
        <v>1586</v>
      </c>
      <c r="C604" s="3">
        <v>2</v>
      </c>
      <c r="D604" s="5">
        <v>21.99</v>
      </c>
      <c r="E604" s="3" t="s">
        <v>1587</v>
      </c>
      <c r="F604" s="2" t="s">
        <v>15</v>
      </c>
      <c r="G604" s="6" t="s">
        <v>219</v>
      </c>
      <c r="H604" s="2" t="s">
        <v>1425</v>
      </c>
      <c r="I604" s="2" t="s">
        <v>1426</v>
      </c>
      <c r="J604" s="2" t="s">
        <v>19</v>
      </c>
      <c r="K604" s="2" t="s">
        <v>34</v>
      </c>
      <c r="L604" s="7" t="str">
        <f>HYPERLINK("http://slimages.macys.com/is/image/MCY/11174709 ")</f>
        <v xml:space="preserve">http://slimages.macys.com/is/image/MCY/11174709 </v>
      </c>
    </row>
    <row r="605" spans="1:12" ht="24.75" x14ac:dyDescent="0.25">
      <c r="A605" s="4" t="s">
        <v>3976</v>
      </c>
      <c r="B605" s="2" t="s">
        <v>1586</v>
      </c>
      <c r="C605" s="3">
        <v>4</v>
      </c>
      <c r="D605" s="5">
        <v>21.99</v>
      </c>
      <c r="E605" s="3" t="s">
        <v>1587</v>
      </c>
      <c r="F605" s="2" t="s">
        <v>15</v>
      </c>
      <c r="G605" s="6"/>
      <c r="H605" s="2" t="s">
        <v>1425</v>
      </c>
      <c r="I605" s="2" t="s">
        <v>1426</v>
      </c>
      <c r="J605" s="2" t="s">
        <v>19</v>
      </c>
      <c r="K605" s="2" t="s">
        <v>34</v>
      </c>
      <c r="L605" s="7" t="str">
        <f>HYPERLINK("http://slimages.macys.com/is/image/MCY/11174709 ")</f>
        <v xml:space="preserve">http://slimages.macys.com/is/image/MCY/11174709 </v>
      </c>
    </row>
    <row r="606" spans="1:12" ht="24.75" x14ac:dyDescent="0.25">
      <c r="A606" s="4" t="s">
        <v>2853</v>
      </c>
      <c r="B606" s="2" t="s">
        <v>1586</v>
      </c>
      <c r="C606" s="3">
        <v>2</v>
      </c>
      <c r="D606" s="5">
        <v>21.99</v>
      </c>
      <c r="E606" s="3" t="s">
        <v>1587</v>
      </c>
      <c r="F606" s="2" t="s">
        <v>252</v>
      </c>
      <c r="G606" s="6"/>
      <c r="H606" s="2" t="s">
        <v>1425</v>
      </c>
      <c r="I606" s="2" t="s">
        <v>1426</v>
      </c>
      <c r="J606" s="2" t="s">
        <v>19</v>
      </c>
      <c r="K606" s="2" t="s">
        <v>34</v>
      </c>
      <c r="L606" s="7" t="str">
        <f>HYPERLINK("http://slimages.macys.com/is/image/MCY/11174709 ")</f>
        <v xml:space="preserve">http://slimages.macys.com/is/image/MCY/11174709 </v>
      </c>
    </row>
    <row r="607" spans="1:12" ht="24.75" x14ac:dyDescent="0.25">
      <c r="A607" s="4" t="s">
        <v>1585</v>
      </c>
      <c r="B607" s="2" t="s">
        <v>1586</v>
      </c>
      <c r="C607" s="3">
        <v>1</v>
      </c>
      <c r="D607" s="5">
        <v>21.99</v>
      </c>
      <c r="E607" s="3" t="s">
        <v>1587</v>
      </c>
      <c r="F607" s="2" t="s">
        <v>136</v>
      </c>
      <c r="G607" s="6" t="s">
        <v>219</v>
      </c>
      <c r="H607" s="2" t="s">
        <v>1425</v>
      </c>
      <c r="I607" s="2" t="s">
        <v>1426</v>
      </c>
      <c r="J607" s="2" t="s">
        <v>19</v>
      </c>
      <c r="K607" s="2" t="s">
        <v>34</v>
      </c>
      <c r="L607" s="7" t="str">
        <f>HYPERLINK("http://slimages.macys.com/is/image/MCY/11174709 ")</f>
        <v xml:space="preserve">http://slimages.macys.com/is/image/MCY/11174709 </v>
      </c>
    </row>
    <row r="608" spans="1:12" ht="24.75" x14ac:dyDescent="0.25">
      <c r="A608" s="4" t="s">
        <v>5054</v>
      </c>
      <c r="B608" s="2" t="s">
        <v>1600</v>
      </c>
      <c r="C608" s="3">
        <v>1</v>
      </c>
      <c r="D608" s="5">
        <v>21.99</v>
      </c>
      <c r="E608" s="3" t="s">
        <v>1601</v>
      </c>
      <c r="F608" s="2" t="s">
        <v>136</v>
      </c>
      <c r="G608" s="6"/>
      <c r="H608" s="2" t="s">
        <v>1425</v>
      </c>
      <c r="I608" s="2" t="s">
        <v>1426</v>
      </c>
      <c r="J608" s="2"/>
      <c r="K608" s="2"/>
      <c r="L608" s="7" t="str">
        <f>HYPERLINK("http://slimages.macys.com/is/image/MCY/10205122 ")</f>
        <v xml:space="preserve">http://slimages.macys.com/is/image/MCY/10205122 </v>
      </c>
    </row>
    <row r="609" spans="1:12" ht="24.75" x14ac:dyDescent="0.25">
      <c r="A609" s="4" t="s">
        <v>7562</v>
      </c>
      <c r="B609" s="2" t="s">
        <v>7563</v>
      </c>
      <c r="C609" s="3">
        <v>1</v>
      </c>
      <c r="D609" s="5">
        <v>34.880000000000003</v>
      </c>
      <c r="E609" s="3">
        <v>100053961</v>
      </c>
      <c r="F609" s="2" t="s">
        <v>376</v>
      </c>
      <c r="G609" s="6" t="s">
        <v>16</v>
      </c>
      <c r="H609" s="2" t="s">
        <v>194</v>
      </c>
      <c r="I609" s="2" t="s">
        <v>195</v>
      </c>
      <c r="J609" s="2" t="s">
        <v>19</v>
      </c>
      <c r="K609" s="2" t="s">
        <v>353</v>
      </c>
      <c r="L609" s="7" t="str">
        <f>HYPERLINK("http://slimages.macys.com/is/image/MCY/11934999 ")</f>
        <v xml:space="preserve">http://slimages.macys.com/is/image/MCY/11934999 </v>
      </c>
    </row>
    <row r="610" spans="1:12" ht="24.75" x14ac:dyDescent="0.25">
      <c r="A610" s="4" t="s">
        <v>7564</v>
      </c>
      <c r="B610" s="2" t="s">
        <v>1616</v>
      </c>
      <c r="C610" s="3">
        <v>1</v>
      </c>
      <c r="D610" s="5">
        <v>25.88</v>
      </c>
      <c r="E610" s="3">
        <v>100011992</v>
      </c>
      <c r="F610" s="2" t="s">
        <v>26</v>
      </c>
      <c r="G610" s="6" t="s">
        <v>154</v>
      </c>
      <c r="H610" s="2" t="s">
        <v>194</v>
      </c>
      <c r="I610" s="2" t="s">
        <v>195</v>
      </c>
      <c r="J610" s="2" t="s">
        <v>19</v>
      </c>
      <c r="K610" s="2" t="s">
        <v>1617</v>
      </c>
      <c r="L610" s="7" t="str">
        <f>HYPERLINK("http://slimages.macys.com/is/image/MCY/13314771 ")</f>
        <v xml:space="preserve">http://slimages.macys.com/is/image/MCY/13314771 </v>
      </c>
    </row>
    <row r="611" spans="1:12" ht="24.75" x14ac:dyDescent="0.25">
      <c r="A611" s="4" t="s">
        <v>5058</v>
      </c>
      <c r="B611" s="2" t="s">
        <v>2856</v>
      </c>
      <c r="C611" s="3">
        <v>1</v>
      </c>
      <c r="D611" s="5">
        <v>24.99</v>
      </c>
      <c r="E611" s="3" t="s">
        <v>2857</v>
      </c>
      <c r="F611" s="2" t="s">
        <v>15</v>
      </c>
      <c r="G611" s="6" t="s">
        <v>187</v>
      </c>
      <c r="H611" s="2" t="s">
        <v>1425</v>
      </c>
      <c r="I611" s="2" t="s">
        <v>1426</v>
      </c>
      <c r="J611" s="2" t="s">
        <v>19</v>
      </c>
      <c r="K611" s="2" t="s">
        <v>495</v>
      </c>
      <c r="L611" s="7" t="str">
        <f>HYPERLINK("http://slimages.macys.com/is/image/MCY/11831271 ")</f>
        <v xml:space="preserve">http://slimages.macys.com/is/image/MCY/11831271 </v>
      </c>
    </row>
    <row r="612" spans="1:12" ht="24.75" x14ac:dyDescent="0.25">
      <c r="A612" s="4" t="s">
        <v>5057</v>
      </c>
      <c r="B612" s="2" t="s">
        <v>2856</v>
      </c>
      <c r="C612" s="3">
        <v>1</v>
      </c>
      <c r="D612" s="5">
        <v>24.99</v>
      </c>
      <c r="E612" s="3" t="s">
        <v>2857</v>
      </c>
      <c r="F612" s="2" t="s">
        <v>15</v>
      </c>
      <c r="G612" s="6"/>
      <c r="H612" s="2" t="s">
        <v>1425</v>
      </c>
      <c r="I612" s="2" t="s">
        <v>1426</v>
      </c>
      <c r="J612" s="2" t="s">
        <v>19</v>
      </c>
      <c r="K612" s="2" t="s">
        <v>495</v>
      </c>
      <c r="L612" s="7" t="str">
        <f>HYPERLINK("http://slimages.macys.com/is/image/MCY/11831271 ")</f>
        <v xml:space="preserve">http://slimages.macys.com/is/image/MCY/11831271 </v>
      </c>
    </row>
    <row r="613" spans="1:12" ht="24.75" x14ac:dyDescent="0.25">
      <c r="A613" s="4" t="s">
        <v>5059</v>
      </c>
      <c r="B613" s="2" t="s">
        <v>2856</v>
      </c>
      <c r="C613" s="3">
        <v>1</v>
      </c>
      <c r="D613" s="5">
        <v>24.99</v>
      </c>
      <c r="E613" s="3" t="s">
        <v>2857</v>
      </c>
      <c r="F613" s="2" t="s">
        <v>15</v>
      </c>
      <c r="G613" s="6"/>
      <c r="H613" s="2" t="s">
        <v>1425</v>
      </c>
      <c r="I613" s="2" t="s">
        <v>1426</v>
      </c>
      <c r="J613" s="2" t="s">
        <v>19</v>
      </c>
      <c r="K613" s="2" t="s">
        <v>495</v>
      </c>
      <c r="L613" s="7" t="str">
        <f>HYPERLINK("http://slimages.macys.com/is/image/MCY/11831271 ")</f>
        <v xml:space="preserve">http://slimages.macys.com/is/image/MCY/11831271 </v>
      </c>
    </row>
    <row r="614" spans="1:12" ht="24.75" x14ac:dyDescent="0.25">
      <c r="A614" s="4" t="s">
        <v>1630</v>
      </c>
      <c r="B614" s="2" t="s">
        <v>1627</v>
      </c>
      <c r="C614" s="3">
        <v>1</v>
      </c>
      <c r="D614" s="5">
        <v>25.88</v>
      </c>
      <c r="E614" s="3" t="s">
        <v>1628</v>
      </c>
      <c r="F614" s="2" t="s">
        <v>70</v>
      </c>
      <c r="G614" s="6" t="s">
        <v>156</v>
      </c>
      <c r="H614" s="2" t="s">
        <v>194</v>
      </c>
      <c r="I614" s="2" t="s">
        <v>195</v>
      </c>
      <c r="J614" s="2" t="s">
        <v>19</v>
      </c>
      <c r="K614" s="2" t="s">
        <v>1629</v>
      </c>
      <c r="L614" s="7" t="str">
        <f>HYPERLINK("http://slimages.macys.com/is/image/MCY/11531058 ")</f>
        <v xml:space="preserve">http://slimages.macys.com/is/image/MCY/11531058 </v>
      </c>
    </row>
    <row r="615" spans="1:12" ht="24.75" x14ac:dyDescent="0.25">
      <c r="A615" s="4" t="s">
        <v>5061</v>
      </c>
      <c r="B615" s="2" t="s">
        <v>1627</v>
      </c>
      <c r="C615" s="3">
        <v>1</v>
      </c>
      <c r="D615" s="5">
        <v>25.88</v>
      </c>
      <c r="E615" s="3" t="s">
        <v>1628</v>
      </c>
      <c r="F615" s="2" t="s">
        <v>70</v>
      </c>
      <c r="G615" s="6" t="s">
        <v>154</v>
      </c>
      <c r="H615" s="2" t="s">
        <v>194</v>
      </c>
      <c r="I615" s="2" t="s">
        <v>195</v>
      </c>
      <c r="J615" s="2" t="s">
        <v>19</v>
      </c>
      <c r="K615" s="2" t="s">
        <v>1629</v>
      </c>
      <c r="L615" s="7" t="str">
        <f>HYPERLINK("http://slimages.macys.com/is/image/MCY/11531058 ")</f>
        <v xml:space="preserve">http://slimages.macys.com/is/image/MCY/11531058 </v>
      </c>
    </row>
    <row r="616" spans="1:12" ht="24.75" x14ac:dyDescent="0.25">
      <c r="A616" s="4" t="s">
        <v>2867</v>
      </c>
      <c r="B616" s="2" t="s">
        <v>1627</v>
      </c>
      <c r="C616" s="3">
        <v>3</v>
      </c>
      <c r="D616" s="5">
        <v>25.88</v>
      </c>
      <c r="E616" s="3" t="s">
        <v>1628</v>
      </c>
      <c r="F616" s="2" t="s">
        <v>70</v>
      </c>
      <c r="G616" s="6" t="s">
        <v>234</v>
      </c>
      <c r="H616" s="2" t="s">
        <v>194</v>
      </c>
      <c r="I616" s="2" t="s">
        <v>195</v>
      </c>
      <c r="J616" s="2" t="s">
        <v>19</v>
      </c>
      <c r="K616" s="2" t="s">
        <v>1629</v>
      </c>
      <c r="L616" s="7" t="str">
        <f>HYPERLINK("http://slimages.macys.com/is/image/MCY/11531058 ")</f>
        <v xml:space="preserve">http://slimages.macys.com/is/image/MCY/11531058 </v>
      </c>
    </row>
    <row r="617" spans="1:12" ht="24.75" x14ac:dyDescent="0.25">
      <c r="A617" s="4" t="s">
        <v>2869</v>
      </c>
      <c r="B617" s="2" t="s">
        <v>1635</v>
      </c>
      <c r="C617" s="3">
        <v>2</v>
      </c>
      <c r="D617" s="5">
        <v>25.88</v>
      </c>
      <c r="E617" s="3">
        <v>100011992</v>
      </c>
      <c r="F617" s="2" t="s">
        <v>57</v>
      </c>
      <c r="G617" s="6" t="s">
        <v>154</v>
      </c>
      <c r="H617" s="2" t="s">
        <v>194</v>
      </c>
      <c r="I617" s="2" t="s">
        <v>195</v>
      </c>
      <c r="J617" s="2" t="s">
        <v>19</v>
      </c>
      <c r="K617" s="2" t="s">
        <v>1617</v>
      </c>
      <c r="L617" s="7" t="str">
        <f>HYPERLINK("http://slimages.macys.com/is/image/MCY/13314771 ")</f>
        <v xml:space="preserve">http://slimages.macys.com/is/image/MCY/13314771 </v>
      </c>
    </row>
    <row r="618" spans="1:12" ht="24.75" x14ac:dyDescent="0.25">
      <c r="A618" s="4" t="s">
        <v>2870</v>
      </c>
      <c r="B618" s="2" t="s">
        <v>1635</v>
      </c>
      <c r="C618" s="3">
        <v>1</v>
      </c>
      <c r="D618" s="5">
        <v>25.88</v>
      </c>
      <c r="E618" s="3">
        <v>100011992</v>
      </c>
      <c r="F618" s="2" t="s">
        <v>64</v>
      </c>
      <c r="G618" s="6" t="s">
        <v>181</v>
      </c>
      <c r="H618" s="2" t="s">
        <v>194</v>
      </c>
      <c r="I618" s="2" t="s">
        <v>195</v>
      </c>
      <c r="J618" s="2" t="s">
        <v>19</v>
      </c>
      <c r="K618" s="2" t="s">
        <v>1617</v>
      </c>
      <c r="L618" s="7" t="str">
        <f>HYPERLINK("http://slimages.macys.com/is/image/MCY/13314771 ")</f>
        <v xml:space="preserve">http://slimages.macys.com/is/image/MCY/13314771 </v>
      </c>
    </row>
    <row r="619" spans="1:12" ht="24.75" x14ac:dyDescent="0.25">
      <c r="A619" s="4" t="s">
        <v>3989</v>
      </c>
      <c r="B619" s="2" t="s">
        <v>1635</v>
      </c>
      <c r="C619" s="3">
        <v>1</v>
      </c>
      <c r="D619" s="5">
        <v>25.88</v>
      </c>
      <c r="E619" s="3">
        <v>100011992</v>
      </c>
      <c r="F619" s="2" t="s">
        <v>53</v>
      </c>
      <c r="G619" s="6" t="s">
        <v>156</v>
      </c>
      <c r="H619" s="2" t="s">
        <v>194</v>
      </c>
      <c r="I619" s="2" t="s">
        <v>195</v>
      </c>
      <c r="J619" s="2" t="s">
        <v>19</v>
      </c>
      <c r="K619" s="2" t="s">
        <v>1617</v>
      </c>
      <c r="L619" s="7" t="str">
        <f>HYPERLINK("http://slimages.macys.com/is/image/MCY/13314771 ")</f>
        <v xml:space="preserve">http://slimages.macys.com/is/image/MCY/13314771 </v>
      </c>
    </row>
    <row r="620" spans="1:12" ht="24.75" x14ac:dyDescent="0.25">
      <c r="A620" s="4" t="s">
        <v>2876</v>
      </c>
      <c r="B620" s="2" t="s">
        <v>1635</v>
      </c>
      <c r="C620" s="3">
        <v>1</v>
      </c>
      <c r="D620" s="5">
        <v>25.88</v>
      </c>
      <c r="E620" s="3">
        <v>100011992</v>
      </c>
      <c r="F620" s="2" t="s">
        <v>53</v>
      </c>
      <c r="G620" s="6" t="s">
        <v>154</v>
      </c>
      <c r="H620" s="2" t="s">
        <v>194</v>
      </c>
      <c r="I620" s="2" t="s">
        <v>195</v>
      </c>
      <c r="J620" s="2" t="s">
        <v>19</v>
      </c>
      <c r="K620" s="2" t="s">
        <v>1617</v>
      </c>
      <c r="L620" s="7" t="str">
        <f>HYPERLINK("http://slimages.macys.com/is/image/MCY/13314771 ")</f>
        <v xml:space="preserve">http://slimages.macys.com/is/image/MCY/13314771 </v>
      </c>
    </row>
    <row r="621" spans="1:12" ht="24.75" x14ac:dyDescent="0.25">
      <c r="A621" s="4" t="s">
        <v>7565</v>
      </c>
      <c r="B621" s="2" t="s">
        <v>1635</v>
      </c>
      <c r="C621" s="3">
        <v>1</v>
      </c>
      <c r="D621" s="5">
        <v>25.88</v>
      </c>
      <c r="E621" s="3">
        <v>100011992</v>
      </c>
      <c r="F621" s="2" t="s">
        <v>33</v>
      </c>
      <c r="G621" s="6" t="s">
        <v>181</v>
      </c>
      <c r="H621" s="2" t="s">
        <v>194</v>
      </c>
      <c r="I621" s="2" t="s">
        <v>195</v>
      </c>
      <c r="J621" s="2" t="s">
        <v>19</v>
      </c>
      <c r="K621" s="2" t="s">
        <v>1617</v>
      </c>
      <c r="L621" s="7" t="str">
        <f>HYPERLINK("http://slimages.macys.com/is/image/MCY/13314771 ")</f>
        <v xml:space="preserve">http://slimages.macys.com/is/image/MCY/13314771 </v>
      </c>
    </row>
    <row r="622" spans="1:12" ht="24.75" x14ac:dyDescent="0.25">
      <c r="A622" s="4" t="s">
        <v>2881</v>
      </c>
      <c r="B622" s="2" t="s">
        <v>1645</v>
      </c>
      <c r="C622" s="3">
        <v>1</v>
      </c>
      <c r="D622" s="5">
        <v>19.989999999999998</v>
      </c>
      <c r="E622" s="3" t="s">
        <v>1646</v>
      </c>
      <c r="F622" s="2" t="s">
        <v>74</v>
      </c>
      <c r="G622" s="6" t="s">
        <v>181</v>
      </c>
      <c r="H622" s="2" t="s">
        <v>194</v>
      </c>
      <c r="I622" s="2" t="s">
        <v>195</v>
      </c>
      <c r="J622" s="2" t="s">
        <v>19</v>
      </c>
      <c r="K622" s="2" t="s">
        <v>1647</v>
      </c>
      <c r="L622" s="7" t="str">
        <f>HYPERLINK("http://slimages.macys.com/is/image/MCY/12405276 ")</f>
        <v xml:space="preserve">http://slimages.macys.com/is/image/MCY/12405276 </v>
      </c>
    </row>
    <row r="623" spans="1:12" ht="24.75" x14ac:dyDescent="0.25">
      <c r="A623" s="4" t="s">
        <v>1654</v>
      </c>
      <c r="B623" s="2" t="s">
        <v>1645</v>
      </c>
      <c r="C623" s="3">
        <v>1</v>
      </c>
      <c r="D623" s="5">
        <v>19.989999999999998</v>
      </c>
      <c r="E623" s="3" t="s">
        <v>1646</v>
      </c>
      <c r="F623" s="2" t="s">
        <v>74</v>
      </c>
      <c r="G623" s="6" t="s">
        <v>154</v>
      </c>
      <c r="H623" s="2" t="s">
        <v>194</v>
      </c>
      <c r="I623" s="2" t="s">
        <v>195</v>
      </c>
      <c r="J623" s="2" t="s">
        <v>19</v>
      </c>
      <c r="K623" s="2" t="s">
        <v>1647</v>
      </c>
      <c r="L623" s="7" t="str">
        <f>HYPERLINK("http://slimages.macys.com/is/image/MCY/12405276 ")</f>
        <v xml:space="preserve">http://slimages.macys.com/is/image/MCY/12405276 </v>
      </c>
    </row>
    <row r="624" spans="1:12" ht="24.75" x14ac:dyDescent="0.25">
      <c r="A624" s="4" t="s">
        <v>5999</v>
      </c>
      <c r="B624" s="2" t="s">
        <v>1572</v>
      </c>
      <c r="C624" s="3">
        <v>1</v>
      </c>
      <c r="D624" s="5">
        <v>36.5</v>
      </c>
      <c r="E624" s="3" t="s">
        <v>5074</v>
      </c>
      <c r="F624" s="2" t="s">
        <v>1322</v>
      </c>
      <c r="G624" s="6" t="s">
        <v>181</v>
      </c>
      <c r="H624" s="2" t="s">
        <v>194</v>
      </c>
      <c r="I624" s="2" t="s">
        <v>195</v>
      </c>
      <c r="J624" s="2" t="s">
        <v>19</v>
      </c>
      <c r="K624" s="2" t="s">
        <v>247</v>
      </c>
      <c r="L624" s="7" t="str">
        <f>HYPERLINK("http://slimages.macys.com/is/image/MCY/12063852 ")</f>
        <v xml:space="preserve">http://slimages.macys.com/is/image/MCY/12063852 </v>
      </c>
    </row>
    <row r="625" spans="1:12" ht="24.75" x14ac:dyDescent="0.25">
      <c r="A625" s="4" t="s">
        <v>7566</v>
      </c>
      <c r="B625" s="2" t="s">
        <v>1689</v>
      </c>
      <c r="C625" s="3">
        <v>1</v>
      </c>
      <c r="D625" s="5">
        <v>25.88</v>
      </c>
      <c r="E625" s="3" t="s">
        <v>1690</v>
      </c>
      <c r="F625" s="2" t="s">
        <v>33</v>
      </c>
      <c r="G625" s="6" t="s">
        <v>156</v>
      </c>
      <c r="H625" s="2" t="s">
        <v>194</v>
      </c>
      <c r="I625" s="2" t="s">
        <v>195</v>
      </c>
      <c r="J625" s="2" t="s">
        <v>19</v>
      </c>
      <c r="K625" s="2" t="s">
        <v>648</v>
      </c>
      <c r="L625" s="7" t="str">
        <f>HYPERLINK("http://slimages.macys.com/is/image/MCY/3650047 ")</f>
        <v xml:space="preserve">http://slimages.macys.com/is/image/MCY/3650047 </v>
      </c>
    </row>
    <row r="626" spans="1:12" ht="24.75" x14ac:dyDescent="0.25">
      <c r="A626" s="4" t="s">
        <v>5073</v>
      </c>
      <c r="B626" s="2" t="s">
        <v>1572</v>
      </c>
      <c r="C626" s="3">
        <v>1</v>
      </c>
      <c r="D626" s="5">
        <v>36.5</v>
      </c>
      <c r="E626" s="3" t="s">
        <v>5074</v>
      </c>
      <c r="F626" s="2" t="s">
        <v>1322</v>
      </c>
      <c r="G626" s="6" t="s">
        <v>154</v>
      </c>
      <c r="H626" s="2" t="s">
        <v>194</v>
      </c>
      <c r="I626" s="2" t="s">
        <v>195</v>
      </c>
      <c r="J626" s="2" t="s">
        <v>19</v>
      </c>
      <c r="K626" s="2" t="s">
        <v>247</v>
      </c>
      <c r="L626" s="7" t="str">
        <f>HYPERLINK("http://slimages.macys.com/is/image/MCY/12063852 ")</f>
        <v xml:space="preserve">http://slimages.macys.com/is/image/MCY/12063852 </v>
      </c>
    </row>
    <row r="627" spans="1:12" ht="24.75" x14ac:dyDescent="0.25">
      <c r="A627" s="4" t="s">
        <v>3999</v>
      </c>
      <c r="B627" s="2" t="s">
        <v>1689</v>
      </c>
      <c r="C627" s="3">
        <v>1</v>
      </c>
      <c r="D627" s="5">
        <v>25.88</v>
      </c>
      <c r="E627" s="3" t="s">
        <v>1690</v>
      </c>
      <c r="F627" s="2" t="s">
        <v>1584</v>
      </c>
      <c r="G627" s="6" t="s">
        <v>156</v>
      </c>
      <c r="H627" s="2" t="s">
        <v>194</v>
      </c>
      <c r="I627" s="2" t="s">
        <v>195</v>
      </c>
      <c r="J627" s="2" t="s">
        <v>19</v>
      </c>
      <c r="K627" s="2" t="s">
        <v>648</v>
      </c>
      <c r="L627" s="7" t="str">
        <f>HYPERLINK("http://slimages.macys.com/is/image/MCY/3650047 ")</f>
        <v xml:space="preserve">http://slimages.macys.com/is/image/MCY/3650047 </v>
      </c>
    </row>
    <row r="628" spans="1:12" ht="24.75" x14ac:dyDescent="0.25">
      <c r="A628" s="4" t="s">
        <v>7567</v>
      </c>
      <c r="B628" s="2" t="s">
        <v>1572</v>
      </c>
      <c r="C628" s="3">
        <v>1</v>
      </c>
      <c r="D628" s="5">
        <v>36.5</v>
      </c>
      <c r="E628" s="3" t="s">
        <v>5074</v>
      </c>
      <c r="F628" s="2" t="s">
        <v>1322</v>
      </c>
      <c r="G628" s="6" t="s">
        <v>156</v>
      </c>
      <c r="H628" s="2" t="s">
        <v>194</v>
      </c>
      <c r="I628" s="2" t="s">
        <v>195</v>
      </c>
      <c r="J628" s="2" t="s">
        <v>19</v>
      </c>
      <c r="K628" s="2" t="s">
        <v>247</v>
      </c>
      <c r="L628" s="7" t="str">
        <f>HYPERLINK("http://slimages.macys.com/is/image/MCY/12063852 ")</f>
        <v xml:space="preserve">http://slimages.macys.com/is/image/MCY/12063852 </v>
      </c>
    </row>
    <row r="629" spans="1:12" ht="24.75" x14ac:dyDescent="0.25">
      <c r="A629" s="4" t="s">
        <v>7568</v>
      </c>
      <c r="B629" s="2" t="s">
        <v>1627</v>
      </c>
      <c r="C629" s="3">
        <v>1</v>
      </c>
      <c r="D629" s="5">
        <v>25.88</v>
      </c>
      <c r="E629" s="3" t="s">
        <v>7569</v>
      </c>
      <c r="F629" s="2" t="s">
        <v>15</v>
      </c>
      <c r="G629" s="6"/>
      <c r="H629" s="2" t="s">
        <v>312</v>
      </c>
      <c r="I629" s="2" t="s">
        <v>195</v>
      </c>
      <c r="J629" s="2" t="s">
        <v>19</v>
      </c>
      <c r="K629" s="2" t="s">
        <v>1629</v>
      </c>
      <c r="L629" s="7" t="str">
        <f>HYPERLINK("http://slimages.macys.com/is/image/MCY/3314148 ")</f>
        <v xml:space="preserve">http://slimages.macys.com/is/image/MCY/3314148 </v>
      </c>
    </row>
    <row r="630" spans="1:12" ht="24.75" x14ac:dyDescent="0.25">
      <c r="A630" s="4" t="s">
        <v>7570</v>
      </c>
      <c r="B630" s="2" t="s">
        <v>1676</v>
      </c>
      <c r="C630" s="3">
        <v>1</v>
      </c>
      <c r="D630" s="5">
        <v>19.989999999999998</v>
      </c>
      <c r="E630" s="3" t="s">
        <v>5080</v>
      </c>
      <c r="F630" s="2" t="s">
        <v>566</v>
      </c>
      <c r="G630" s="6"/>
      <c r="H630" s="2" t="s">
        <v>312</v>
      </c>
      <c r="I630" s="2" t="s">
        <v>195</v>
      </c>
      <c r="J630" s="2" t="s">
        <v>19</v>
      </c>
      <c r="K630" s="2" t="s">
        <v>247</v>
      </c>
      <c r="L630" s="7" t="str">
        <f>HYPERLINK("http://slimages.macys.com/is/image/MCY/11466457 ")</f>
        <v xml:space="preserve">http://slimages.macys.com/is/image/MCY/11466457 </v>
      </c>
    </row>
    <row r="631" spans="1:12" ht="24.75" x14ac:dyDescent="0.25">
      <c r="A631" s="4" t="s">
        <v>7571</v>
      </c>
      <c r="B631" s="2" t="s">
        <v>6003</v>
      </c>
      <c r="C631" s="3">
        <v>1</v>
      </c>
      <c r="D631" s="5">
        <v>24.37</v>
      </c>
      <c r="E631" s="3" t="s">
        <v>6004</v>
      </c>
      <c r="F631" s="2" t="s">
        <v>33</v>
      </c>
      <c r="G631" s="6"/>
      <c r="H631" s="2" t="s">
        <v>312</v>
      </c>
      <c r="I631" s="2" t="s">
        <v>580</v>
      </c>
      <c r="J631" s="2"/>
      <c r="K631" s="2"/>
      <c r="L631" s="7" t="str">
        <f>HYPERLINK("http://slimages.macys.com/is/image/MCY/9743378 ")</f>
        <v xml:space="preserve">http://slimages.macys.com/is/image/MCY/9743378 </v>
      </c>
    </row>
    <row r="632" spans="1:12" ht="24.75" x14ac:dyDescent="0.25">
      <c r="A632" s="4" t="s">
        <v>7572</v>
      </c>
      <c r="B632" s="2" t="s">
        <v>5916</v>
      </c>
      <c r="C632" s="3">
        <v>1</v>
      </c>
      <c r="D632" s="5">
        <v>24.99</v>
      </c>
      <c r="E632" s="3" t="s">
        <v>7573</v>
      </c>
      <c r="F632" s="2" t="s">
        <v>111</v>
      </c>
      <c r="G632" s="6" t="s">
        <v>181</v>
      </c>
      <c r="H632" s="2" t="s">
        <v>284</v>
      </c>
      <c r="I632" s="2" t="s">
        <v>285</v>
      </c>
      <c r="J632" s="2" t="s">
        <v>19</v>
      </c>
      <c r="K632" s="2" t="s">
        <v>208</v>
      </c>
      <c r="L632" s="7" t="str">
        <f>HYPERLINK("http://slimages.macys.com/is/image/MCY/12301382 ")</f>
        <v xml:space="preserve">http://slimages.macys.com/is/image/MCY/12301382 </v>
      </c>
    </row>
    <row r="633" spans="1:12" ht="24.75" x14ac:dyDescent="0.25">
      <c r="A633" s="4" t="s">
        <v>7574</v>
      </c>
      <c r="B633" s="2" t="s">
        <v>1699</v>
      </c>
      <c r="C633" s="3">
        <v>1</v>
      </c>
      <c r="D633" s="5">
        <v>19.989999999999998</v>
      </c>
      <c r="E633" s="3" t="s">
        <v>1700</v>
      </c>
      <c r="F633" s="2" t="s">
        <v>74</v>
      </c>
      <c r="G633" s="6" t="s">
        <v>156</v>
      </c>
      <c r="H633" s="2" t="s">
        <v>1473</v>
      </c>
      <c r="I633" s="2" t="s">
        <v>1426</v>
      </c>
      <c r="J633" s="2" t="s">
        <v>19</v>
      </c>
      <c r="K633" s="2" t="s">
        <v>990</v>
      </c>
      <c r="L633" s="7" t="str">
        <f>HYPERLINK("http://slimages.macys.com/is/image/MCY/11831242 ")</f>
        <v xml:space="preserve">http://slimages.macys.com/is/image/MCY/11831242 </v>
      </c>
    </row>
    <row r="634" spans="1:12" ht="24.75" x14ac:dyDescent="0.25">
      <c r="A634" s="4" t="s">
        <v>7575</v>
      </c>
      <c r="B634" s="2" t="s">
        <v>5086</v>
      </c>
      <c r="C634" s="3">
        <v>3</v>
      </c>
      <c r="D634" s="5">
        <v>25.5</v>
      </c>
      <c r="E634" s="3" t="s">
        <v>5087</v>
      </c>
      <c r="F634" s="2" t="s">
        <v>15</v>
      </c>
      <c r="G634" s="6" t="s">
        <v>181</v>
      </c>
      <c r="H634" s="2" t="s">
        <v>194</v>
      </c>
      <c r="I634" s="2" t="s">
        <v>195</v>
      </c>
      <c r="J634" s="2" t="s">
        <v>19</v>
      </c>
      <c r="K634" s="2" t="s">
        <v>1629</v>
      </c>
      <c r="L634" s="7" t="str">
        <f>HYPERLINK("http://slimages.macys.com/is/image/MCY/3276758 ")</f>
        <v xml:space="preserve">http://slimages.macys.com/is/image/MCY/3276758 </v>
      </c>
    </row>
    <row r="635" spans="1:12" ht="24.75" x14ac:dyDescent="0.25">
      <c r="A635" s="4" t="s">
        <v>5085</v>
      </c>
      <c r="B635" s="2" t="s">
        <v>5086</v>
      </c>
      <c r="C635" s="3">
        <v>1</v>
      </c>
      <c r="D635" s="5">
        <v>25.5</v>
      </c>
      <c r="E635" s="3" t="s">
        <v>5087</v>
      </c>
      <c r="F635" s="2" t="s">
        <v>15</v>
      </c>
      <c r="G635" s="6" t="s">
        <v>156</v>
      </c>
      <c r="H635" s="2" t="s">
        <v>194</v>
      </c>
      <c r="I635" s="2" t="s">
        <v>195</v>
      </c>
      <c r="J635" s="2" t="s">
        <v>19</v>
      </c>
      <c r="K635" s="2" t="s">
        <v>1629</v>
      </c>
      <c r="L635" s="7" t="str">
        <f>HYPERLINK("http://slimages.macys.com/is/image/MCY/3276758 ")</f>
        <v xml:space="preserve">http://slimages.macys.com/is/image/MCY/3276758 </v>
      </c>
    </row>
    <row r="636" spans="1:12" ht="24.75" x14ac:dyDescent="0.25">
      <c r="A636" s="4" t="s">
        <v>2899</v>
      </c>
      <c r="B636" s="2" t="s">
        <v>1705</v>
      </c>
      <c r="C636" s="3">
        <v>1</v>
      </c>
      <c r="D636" s="5">
        <v>24.99</v>
      </c>
      <c r="E636" s="3" t="s">
        <v>1706</v>
      </c>
      <c r="F636" s="2" t="s">
        <v>15</v>
      </c>
      <c r="G636" s="6" t="s">
        <v>219</v>
      </c>
      <c r="H636" s="2" t="s">
        <v>1425</v>
      </c>
      <c r="I636" s="2" t="s">
        <v>1469</v>
      </c>
      <c r="J636" s="2" t="s">
        <v>19</v>
      </c>
      <c r="K636" s="2" t="s">
        <v>990</v>
      </c>
      <c r="L636" s="7" t="str">
        <f t="shared" ref="L636:L641" si="10">HYPERLINK("http://slimages.macys.com/is/image/MCY/9127920 ")</f>
        <v xml:space="preserve">http://slimages.macys.com/is/image/MCY/9127920 </v>
      </c>
    </row>
    <row r="637" spans="1:12" ht="24.75" x14ac:dyDescent="0.25">
      <c r="A637" s="4" t="s">
        <v>7576</v>
      </c>
      <c r="B637" s="2" t="s">
        <v>1705</v>
      </c>
      <c r="C637" s="3">
        <v>1</v>
      </c>
      <c r="D637" s="5">
        <v>24.99</v>
      </c>
      <c r="E637" s="3" t="s">
        <v>1706</v>
      </c>
      <c r="F637" s="2" t="s">
        <v>15</v>
      </c>
      <c r="G637" s="6"/>
      <c r="H637" s="2" t="s">
        <v>1425</v>
      </c>
      <c r="I637" s="2" t="s">
        <v>1469</v>
      </c>
      <c r="J637" s="2" t="s">
        <v>19</v>
      </c>
      <c r="K637" s="2" t="s">
        <v>990</v>
      </c>
      <c r="L637" s="7" t="str">
        <f t="shared" si="10"/>
        <v xml:space="preserve">http://slimages.macys.com/is/image/MCY/9127920 </v>
      </c>
    </row>
    <row r="638" spans="1:12" ht="24.75" x14ac:dyDescent="0.25">
      <c r="A638" s="4" t="s">
        <v>7577</v>
      </c>
      <c r="B638" s="2" t="s">
        <v>1705</v>
      </c>
      <c r="C638" s="3">
        <v>1</v>
      </c>
      <c r="D638" s="5">
        <v>24.99</v>
      </c>
      <c r="E638" s="3" t="s">
        <v>1706</v>
      </c>
      <c r="F638" s="2" t="s">
        <v>15</v>
      </c>
      <c r="G638" s="6"/>
      <c r="H638" s="2" t="s">
        <v>1425</v>
      </c>
      <c r="I638" s="2" t="s">
        <v>1469</v>
      </c>
      <c r="J638" s="2" t="s">
        <v>19</v>
      </c>
      <c r="K638" s="2" t="s">
        <v>990</v>
      </c>
      <c r="L638" s="7" t="str">
        <f t="shared" si="10"/>
        <v xml:space="preserve">http://slimages.macys.com/is/image/MCY/9127920 </v>
      </c>
    </row>
    <row r="639" spans="1:12" ht="24.75" x14ac:dyDescent="0.25">
      <c r="A639" s="4" t="s">
        <v>7578</v>
      </c>
      <c r="B639" s="2" t="s">
        <v>1705</v>
      </c>
      <c r="C639" s="3">
        <v>1</v>
      </c>
      <c r="D639" s="5">
        <v>24.99</v>
      </c>
      <c r="E639" s="3" t="s">
        <v>1706</v>
      </c>
      <c r="F639" s="2" t="s">
        <v>413</v>
      </c>
      <c r="G639" s="6" t="s">
        <v>219</v>
      </c>
      <c r="H639" s="2" t="s">
        <v>1425</v>
      </c>
      <c r="I639" s="2" t="s">
        <v>1469</v>
      </c>
      <c r="J639" s="2" t="s">
        <v>19</v>
      </c>
      <c r="K639" s="2" t="s">
        <v>990</v>
      </c>
      <c r="L639" s="7" t="str">
        <f t="shared" si="10"/>
        <v xml:space="preserve">http://slimages.macys.com/is/image/MCY/9127920 </v>
      </c>
    </row>
    <row r="640" spans="1:12" ht="24.75" x14ac:dyDescent="0.25">
      <c r="A640" s="4" t="s">
        <v>7579</v>
      </c>
      <c r="B640" s="2" t="s">
        <v>1705</v>
      </c>
      <c r="C640" s="3">
        <v>3</v>
      </c>
      <c r="D640" s="5">
        <v>24.99</v>
      </c>
      <c r="E640" s="3" t="s">
        <v>1706</v>
      </c>
      <c r="F640" s="2" t="s">
        <v>15</v>
      </c>
      <c r="G640" s="6"/>
      <c r="H640" s="2" t="s">
        <v>1425</v>
      </c>
      <c r="I640" s="2" t="s">
        <v>1469</v>
      </c>
      <c r="J640" s="2" t="s">
        <v>19</v>
      </c>
      <c r="K640" s="2" t="s">
        <v>990</v>
      </c>
      <c r="L640" s="7" t="str">
        <f t="shared" si="10"/>
        <v xml:space="preserve">http://slimages.macys.com/is/image/MCY/9127920 </v>
      </c>
    </row>
    <row r="641" spans="1:12" ht="24.75" x14ac:dyDescent="0.25">
      <c r="A641" s="4" t="s">
        <v>7580</v>
      </c>
      <c r="B641" s="2" t="s">
        <v>1705</v>
      </c>
      <c r="C641" s="3">
        <v>2</v>
      </c>
      <c r="D641" s="5">
        <v>24.99</v>
      </c>
      <c r="E641" s="3" t="s">
        <v>1706</v>
      </c>
      <c r="F641" s="2" t="s">
        <v>74</v>
      </c>
      <c r="G641" s="6"/>
      <c r="H641" s="2" t="s">
        <v>1425</v>
      </c>
      <c r="I641" s="2" t="s">
        <v>1469</v>
      </c>
      <c r="J641" s="2" t="s">
        <v>19</v>
      </c>
      <c r="K641" s="2" t="s">
        <v>990</v>
      </c>
      <c r="L641" s="7" t="str">
        <f t="shared" si="10"/>
        <v xml:space="preserve">http://slimages.macys.com/is/image/MCY/9127920 </v>
      </c>
    </row>
    <row r="642" spans="1:12" ht="24.75" x14ac:dyDescent="0.25">
      <c r="A642" s="4" t="s">
        <v>2897</v>
      </c>
      <c r="B642" s="2" t="s">
        <v>1253</v>
      </c>
      <c r="C642" s="3">
        <v>1</v>
      </c>
      <c r="D642" s="5">
        <v>24.99</v>
      </c>
      <c r="E642" s="3" t="s">
        <v>2898</v>
      </c>
      <c r="F642" s="2" t="s">
        <v>417</v>
      </c>
      <c r="G642" s="6" t="s">
        <v>336</v>
      </c>
      <c r="H642" s="2" t="s">
        <v>426</v>
      </c>
      <c r="I642" s="2" t="s">
        <v>863</v>
      </c>
      <c r="J642" s="2" t="s">
        <v>19</v>
      </c>
      <c r="K642" s="2" t="s">
        <v>253</v>
      </c>
      <c r="L642" s="7" t="str">
        <f>HYPERLINK("http://slimages.macys.com/is/image/MCY/9029356 ")</f>
        <v xml:space="preserve">http://slimages.macys.com/is/image/MCY/9029356 </v>
      </c>
    </row>
    <row r="643" spans="1:12" ht="24.75" x14ac:dyDescent="0.25">
      <c r="A643" s="4" t="s">
        <v>7581</v>
      </c>
      <c r="B643" s="2" t="s">
        <v>1709</v>
      </c>
      <c r="C643" s="3">
        <v>1</v>
      </c>
      <c r="D643" s="5">
        <v>25.88</v>
      </c>
      <c r="E643" s="3" t="s">
        <v>1710</v>
      </c>
      <c r="F643" s="2" t="s">
        <v>74</v>
      </c>
      <c r="G643" s="6"/>
      <c r="H643" s="2" t="s">
        <v>312</v>
      </c>
      <c r="I643" s="2" t="s">
        <v>195</v>
      </c>
      <c r="J643" s="2" t="s">
        <v>19</v>
      </c>
      <c r="K643" s="2" t="s">
        <v>1629</v>
      </c>
      <c r="L643" s="7" t="str">
        <f>HYPERLINK("http://slimages.macys.com/is/image/MCY/3314148 ")</f>
        <v xml:space="preserve">http://slimages.macys.com/is/image/MCY/3314148 </v>
      </c>
    </row>
    <row r="644" spans="1:12" ht="24.75" x14ac:dyDescent="0.25">
      <c r="A644" s="4" t="s">
        <v>7582</v>
      </c>
      <c r="B644" s="2" t="s">
        <v>1709</v>
      </c>
      <c r="C644" s="3">
        <v>2</v>
      </c>
      <c r="D644" s="5">
        <v>25.88</v>
      </c>
      <c r="E644" s="3" t="s">
        <v>1710</v>
      </c>
      <c r="F644" s="2" t="s">
        <v>74</v>
      </c>
      <c r="G644" s="6"/>
      <c r="H644" s="2" t="s">
        <v>312</v>
      </c>
      <c r="I644" s="2" t="s">
        <v>195</v>
      </c>
      <c r="J644" s="2" t="s">
        <v>19</v>
      </c>
      <c r="K644" s="2" t="s">
        <v>1629</v>
      </c>
      <c r="L644" s="7" t="str">
        <f>HYPERLINK("http://slimages.macys.com/is/image/MCY/3314148 ")</f>
        <v xml:space="preserve">http://slimages.macys.com/is/image/MCY/3314148 </v>
      </c>
    </row>
    <row r="645" spans="1:12" ht="24.75" x14ac:dyDescent="0.25">
      <c r="A645" s="4" t="s">
        <v>1708</v>
      </c>
      <c r="B645" s="2" t="s">
        <v>1709</v>
      </c>
      <c r="C645" s="3">
        <v>2</v>
      </c>
      <c r="D645" s="5">
        <v>25.88</v>
      </c>
      <c r="E645" s="3" t="s">
        <v>1710</v>
      </c>
      <c r="F645" s="2" t="s">
        <v>74</v>
      </c>
      <c r="G645" s="6"/>
      <c r="H645" s="2" t="s">
        <v>312</v>
      </c>
      <c r="I645" s="2" t="s">
        <v>195</v>
      </c>
      <c r="J645" s="2" t="s">
        <v>19</v>
      </c>
      <c r="K645" s="2" t="s">
        <v>1629</v>
      </c>
      <c r="L645" s="7" t="str">
        <f>HYPERLINK("http://slimages.macys.com/is/image/MCY/3314148 ")</f>
        <v xml:space="preserve">http://slimages.macys.com/is/image/MCY/3314148 </v>
      </c>
    </row>
    <row r="646" spans="1:12" ht="24.75" x14ac:dyDescent="0.25">
      <c r="A646" s="4" t="s">
        <v>7583</v>
      </c>
      <c r="B646" s="2" t="s">
        <v>1709</v>
      </c>
      <c r="C646" s="3">
        <v>2</v>
      </c>
      <c r="D646" s="5">
        <v>25.88</v>
      </c>
      <c r="E646" s="3" t="s">
        <v>1710</v>
      </c>
      <c r="F646" s="2" t="s">
        <v>74</v>
      </c>
      <c r="G646" s="6"/>
      <c r="H646" s="2" t="s">
        <v>312</v>
      </c>
      <c r="I646" s="2" t="s">
        <v>195</v>
      </c>
      <c r="J646" s="2" t="s">
        <v>19</v>
      </c>
      <c r="K646" s="2" t="s">
        <v>1629</v>
      </c>
      <c r="L646" s="7" t="str">
        <f>HYPERLINK("http://slimages.macys.com/is/image/MCY/3314148 ")</f>
        <v xml:space="preserve">http://slimages.macys.com/is/image/MCY/3314148 </v>
      </c>
    </row>
    <row r="647" spans="1:12" ht="24.75" x14ac:dyDescent="0.25">
      <c r="A647" s="4" t="s">
        <v>7584</v>
      </c>
      <c r="B647" s="2" t="s">
        <v>5086</v>
      </c>
      <c r="C647" s="3">
        <v>1</v>
      </c>
      <c r="D647" s="5">
        <v>25.5</v>
      </c>
      <c r="E647" s="3" t="s">
        <v>5087</v>
      </c>
      <c r="F647" s="2" t="s">
        <v>15</v>
      </c>
      <c r="G647" s="6" t="s">
        <v>200</v>
      </c>
      <c r="H647" s="2" t="s">
        <v>194</v>
      </c>
      <c r="I647" s="2" t="s">
        <v>195</v>
      </c>
      <c r="J647" s="2" t="s">
        <v>19</v>
      </c>
      <c r="K647" s="2" t="s">
        <v>1629</v>
      </c>
      <c r="L647" s="7" t="str">
        <f>HYPERLINK("http://slimages.macys.com/is/image/MCY/3276758 ")</f>
        <v xml:space="preserve">http://slimages.macys.com/is/image/MCY/3276758 </v>
      </c>
    </row>
    <row r="648" spans="1:12" ht="24.75" x14ac:dyDescent="0.25">
      <c r="A648" s="4" t="s">
        <v>7585</v>
      </c>
      <c r="B648" s="2" t="s">
        <v>5086</v>
      </c>
      <c r="C648" s="3">
        <v>1</v>
      </c>
      <c r="D648" s="5">
        <v>25.5</v>
      </c>
      <c r="E648" s="3" t="s">
        <v>5087</v>
      </c>
      <c r="F648" s="2" t="s">
        <v>15</v>
      </c>
      <c r="G648" s="6" t="s">
        <v>234</v>
      </c>
      <c r="H648" s="2" t="s">
        <v>194</v>
      </c>
      <c r="I648" s="2" t="s">
        <v>195</v>
      </c>
      <c r="J648" s="2" t="s">
        <v>19</v>
      </c>
      <c r="K648" s="2" t="s">
        <v>1629</v>
      </c>
      <c r="L648" s="7" t="str">
        <f>HYPERLINK("http://slimages.macys.com/is/image/MCY/3276758 ")</f>
        <v xml:space="preserve">http://slimages.macys.com/is/image/MCY/3276758 </v>
      </c>
    </row>
    <row r="649" spans="1:12" ht="24.75" x14ac:dyDescent="0.25">
      <c r="A649" s="4" t="s">
        <v>7586</v>
      </c>
      <c r="B649" s="2" t="s">
        <v>5086</v>
      </c>
      <c r="C649" s="3">
        <v>5</v>
      </c>
      <c r="D649" s="5">
        <v>25.5</v>
      </c>
      <c r="E649" s="3" t="s">
        <v>5087</v>
      </c>
      <c r="F649" s="2" t="s">
        <v>15</v>
      </c>
      <c r="G649" s="6" t="s">
        <v>154</v>
      </c>
      <c r="H649" s="2" t="s">
        <v>194</v>
      </c>
      <c r="I649" s="2" t="s">
        <v>195</v>
      </c>
      <c r="J649" s="2" t="s">
        <v>19</v>
      </c>
      <c r="K649" s="2" t="s">
        <v>1629</v>
      </c>
      <c r="L649" s="7" t="str">
        <f>HYPERLINK("http://slimages.macys.com/is/image/MCY/3276758 ")</f>
        <v xml:space="preserve">http://slimages.macys.com/is/image/MCY/3276758 </v>
      </c>
    </row>
    <row r="650" spans="1:12" ht="24.75" x14ac:dyDescent="0.25">
      <c r="A650" s="4" t="s">
        <v>2906</v>
      </c>
      <c r="B650" s="2" t="s">
        <v>2907</v>
      </c>
      <c r="C650" s="3">
        <v>1</v>
      </c>
      <c r="D650" s="5">
        <v>19.989999999999998</v>
      </c>
      <c r="E650" s="3" t="s">
        <v>2908</v>
      </c>
      <c r="F650" s="2" t="s">
        <v>74</v>
      </c>
      <c r="G650" s="6" t="s">
        <v>156</v>
      </c>
      <c r="H650" s="2" t="s">
        <v>194</v>
      </c>
      <c r="I650" s="2" t="s">
        <v>195</v>
      </c>
      <c r="J650" s="2" t="s">
        <v>19</v>
      </c>
      <c r="K650" s="2" t="s">
        <v>160</v>
      </c>
      <c r="L650" s="7" t="str">
        <f>HYPERLINK("http://slimages.macys.com/is/image/MCY/12405238 ")</f>
        <v xml:space="preserve">http://slimages.macys.com/is/image/MCY/12405238 </v>
      </c>
    </row>
    <row r="651" spans="1:12" ht="24.75" x14ac:dyDescent="0.25">
      <c r="A651" s="4" t="s">
        <v>7587</v>
      </c>
      <c r="B651" s="2" t="s">
        <v>1712</v>
      </c>
      <c r="C651" s="3">
        <v>1</v>
      </c>
      <c r="D651" s="5">
        <v>19.989999999999998</v>
      </c>
      <c r="E651" s="3" t="s">
        <v>6014</v>
      </c>
      <c r="F651" s="2" t="s">
        <v>252</v>
      </c>
      <c r="G651" s="6" t="s">
        <v>200</v>
      </c>
      <c r="H651" s="2" t="s">
        <v>194</v>
      </c>
      <c r="I651" s="2" t="s">
        <v>195</v>
      </c>
      <c r="J651" s="2" t="s">
        <v>19</v>
      </c>
      <c r="K651" s="2" t="s">
        <v>160</v>
      </c>
      <c r="L651" s="7" t="str">
        <f>HYPERLINK("http://slimages.macys.com/is/image/MCY/13317763 ")</f>
        <v xml:space="preserve">http://slimages.macys.com/is/image/MCY/13317763 </v>
      </c>
    </row>
    <row r="652" spans="1:12" ht="36.75" x14ac:dyDescent="0.25">
      <c r="A652" s="4" t="s">
        <v>6016</v>
      </c>
      <c r="B652" s="2" t="s">
        <v>2911</v>
      </c>
      <c r="C652" s="3">
        <v>2</v>
      </c>
      <c r="D652" s="5">
        <v>25.88</v>
      </c>
      <c r="E652" s="3">
        <v>100015718</v>
      </c>
      <c r="F652" s="2" t="s">
        <v>48</v>
      </c>
      <c r="G652" s="6" t="s">
        <v>181</v>
      </c>
      <c r="H652" s="2" t="s">
        <v>194</v>
      </c>
      <c r="I652" s="2" t="s">
        <v>195</v>
      </c>
      <c r="J652" s="2" t="s">
        <v>19</v>
      </c>
      <c r="K652" s="2" t="s">
        <v>1696</v>
      </c>
      <c r="L652" s="7" t="str">
        <f>HYPERLINK("http://slimages.macys.com/is/image/MCY/9504848 ")</f>
        <v xml:space="preserve">http://slimages.macys.com/is/image/MCY/9504848 </v>
      </c>
    </row>
    <row r="653" spans="1:12" ht="36.75" x14ac:dyDescent="0.25">
      <c r="A653" s="4" t="s">
        <v>5090</v>
      </c>
      <c r="B653" s="2" t="s">
        <v>2911</v>
      </c>
      <c r="C653" s="3">
        <v>2</v>
      </c>
      <c r="D653" s="5">
        <v>25.88</v>
      </c>
      <c r="E653" s="3">
        <v>100015718</v>
      </c>
      <c r="F653" s="2" t="s">
        <v>48</v>
      </c>
      <c r="G653" s="6" t="s">
        <v>234</v>
      </c>
      <c r="H653" s="2" t="s">
        <v>194</v>
      </c>
      <c r="I653" s="2" t="s">
        <v>195</v>
      </c>
      <c r="J653" s="2" t="s">
        <v>19</v>
      </c>
      <c r="K653" s="2" t="s">
        <v>1696</v>
      </c>
      <c r="L653" s="7" t="str">
        <f>HYPERLINK("http://slimages.macys.com/is/image/MCY/9504848 ")</f>
        <v xml:space="preserve">http://slimages.macys.com/is/image/MCY/9504848 </v>
      </c>
    </row>
    <row r="654" spans="1:12" ht="36.75" x14ac:dyDescent="0.25">
      <c r="A654" s="4" t="s">
        <v>5091</v>
      </c>
      <c r="B654" s="2" t="s">
        <v>2911</v>
      </c>
      <c r="C654" s="3">
        <v>1</v>
      </c>
      <c r="D654" s="5">
        <v>25.88</v>
      </c>
      <c r="E654" s="3">
        <v>100015718</v>
      </c>
      <c r="F654" s="2" t="s">
        <v>48</v>
      </c>
      <c r="G654" s="6" t="s">
        <v>156</v>
      </c>
      <c r="H654" s="2" t="s">
        <v>194</v>
      </c>
      <c r="I654" s="2" t="s">
        <v>195</v>
      </c>
      <c r="J654" s="2" t="s">
        <v>19</v>
      </c>
      <c r="K654" s="2" t="s">
        <v>1696</v>
      </c>
      <c r="L654" s="7" t="str">
        <f>HYPERLINK("http://slimages.macys.com/is/image/MCY/9504848 ")</f>
        <v xml:space="preserve">http://slimages.macys.com/is/image/MCY/9504848 </v>
      </c>
    </row>
    <row r="655" spans="1:12" ht="24.75" x14ac:dyDescent="0.25">
      <c r="A655" s="4" t="s">
        <v>7588</v>
      </c>
      <c r="B655" s="2" t="s">
        <v>1692</v>
      </c>
      <c r="C655" s="3">
        <v>1</v>
      </c>
      <c r="D655" s="5">
        <v>24.37</v>
      </c>
      <c r="E655" s="3" t="s">
        <v>7589</v>
      </c>
      <c r="F655" s="2" t="s">
        <v>170</v>
      </c>
      <c r="G655" s="6" t="s">
        <v>181</v>
      </c>
      <c r="H655" s="2" t="s">
        <v>194</v>
      </c>
      <c r="I655" s="2" t="s">
        <v>580</v>
      </c>
      <c r="J655" s="2" t="s">
        <v>19</v>
      </c>
      <c r="K655" s="2" t="s">
        <v>137</v>
      </c>
      <c r="L655" s="7" t="str">
        <f>HYPERLINK("http://slimages.macys.com/is/image/MCY/16404085 ")</f>
        <v xml:space="preserve">http://slimages.macys.com/is/image/MCY/16404085 </v>
      </c>
    </row>
    <row r="656" spans="1:12" x14ac:dyDescent="0.25">
      <c r="A656" s="4" t="s">
        <v>7590</v>
      </c>
      <c r="B656" s="2" t="s">
        <v>3026</v>
      </c>
      <c r="C656" s="3">
        <v>1</v>
      </c>
      <c r="D656" s="5">
        <v>26.99</v>
      </c>
      <c r="E656" s="3" t="s">
        <v>7591</v>
      </c>
      <c r="F656" s="2" t="s">
        <v>5415</v>
      </c>
      <c r="G656" s="6"/>
      <c r="H656" s="2" t="s">
        <v>349</v>
      </c>
      <c r="I656" s="2" t="s">
        <v>285</v>
      </c>
      <c r="J656" s="2" t="s">
        <v>19</v>
      </c>
      <c r="K656" s="2" t="s">
        <v>247</v>
      </c>
      <c r="L656" s="7" t="str">
        <f>HYPERLINK("http://slimages.macys.com/is/image/MCY/8687069 ")</f>
        <v xml:space="preserve">http://slimages.macys.com/is/image/MCY/8687069 </v>
      </c>
    </row>
    <row r="657" spans="1:12" ht="24.75" x14ac:dyDescent="0.25">
      <c r="A657" s="4" t="s">
        <v>5095</v>
      </c>
      <c r="B657" s="2" t="s">
        <v>2913</v>
      </c>
      <c r="C657" s="3">
        <v>1</v>
      </c>
      <c r="D657" s="5">
        <v>34.880000000000003</v>
      </c>
      <c r="E657" s="3">
        <v>100054399</v>
      </c>
      <c r="F657" s="2" t="s">
        <v>199</v>
      </c>
      <c r="G657" s="6" t="s">
        <v>154</v>
      </c>
      <c r="H657" s="2" t="s">
        <v>194</v>
      </c>
      <c r="I657" s="2" t="s">
        <v>195</v>
      </c>
      <c r="J657" s="2" t="s">
        <v>19</v>
      </c>
      <c r="K657" s="2" t="s">
        <v>607</v>
      </c>
      <c r="L657" s="7" t="str">
        <f>HYPERLINK("http://slimages.macys.com/is/image/MCY/12850736 ")</f>
        <v xml:space="preserve">http://slimages.macys.com/is/image/MCY/12850736 </v>
      </c>
    </row>
    <row r="658" spans="1:12" ht="24.75" x14ac:dyDescent="0.25">
      <c r="A658" s="4" t="s">
        <v>7592</v>
      </c>
      <c r="B658" s="2" t="s">
        <v>1724</v>
      </c>
      <c r="C658" s="3">
        <v>1</v>
      </c>
      <c r="D658" s="5">
        <v>34.880000000000003</v>
      </c>
      <c r="E658" s="3">
        <v>100018041</v>
      </c>
      <c r="F658" s="2" t="s">
        <v>680</v>
      </c>
      <c r="G658" s="6" t="s">
        <v>16</v>
      </c>
      <c r="H658" s="2" t="s">
        <v>194</v>
      </c>
      <c r="I658" s="2" t="s">
        <v>195</v>
      </c>
      <c r="J658" s="2" t="s">
        <v>19</v>
      </c>
      <c r="K658" s="2" t="s">
        <v>353</v>
      </c>
      <c r="L658" s="7" t="str">
        <f>HYPERLINK("http://slimages.macys.com/is/image/MCY/12950342 ")</f>
        <v xml:space="preserve">http://slimages.macys.com/is/image/MCY/12950342 </v>
      </c>
    </row>
    <row r="659" spans="1:12" ht="24.75" x14ac:dyDescent="0.25">
      <c r="A659" s="4" t="s">
        <v>2916</v>
      </c>
      <c r="B659" s="2" t="s">
        <v>1724</v>
      </c>
      <c r="C659" s="3">
        <v>1</v>
      </c>
      <c r="D659" s="5">
        <v>34.880000000000003</v>
      </c>
      <c r="E659" s="3">
        <v>100018041</v>
      </c>
      <c r="F659" s="2" t="s">
        <v>566</v>
      </c>
      <c r="G659" s="6" t="s">
        <v>16</v>
      </c>
      <c r="H659" s="2" t="s">
        <v>194</v>
      </c>
      <c r="I659" s="2" t="s">
        <v>195</v>
      </c>
      <c r="J659" s="2" t="s">
        <v>19</v>
      </c>
      <c r="K659" s="2" t="s">
        <v>353</v>
      </c>
      <c r="L659" s="7" t="str">
        <f>HYPERLINK("http://slimages.macys.com/is/image/MCY/12950342 ")</f>
        <v xml:space="preserve">http://slimages.macys.com/is/image/MCY/12950342 </v>
      </c>
    </row>
    <row r="660" spans="1:12" ht="24.75" x14ac:dyDescent="0.25">
      <c r="A660" s="4" t="s">
        <v>7593</v>
      </c>
      <c r="B660" s="2" t="s">
        <v>1724</v>
      </c>
      <c r="C660" s="3">
        <v>1</v>
      </c>
      <c r="D660" s="5">
        <v>34.880000000000003</v>
      </c>
      <c r="E660" s="3">
        <v>100018041</v>
      </c>
      <c r="F660" s="2" t="s">
        <v>680</v>
      </c>
      <c r="G660" s="6" t="s">
        <v>27</v>
      </c>
      <c r="H660" s="2" t="s">
        <v>194</v>
      </c>
      <c r="I660" s="2" t="s">
        <v>195</v>
      </c>
      <c r="J660" s="2" t="s">
        <v>19</v>
      </c>
      <c r="K660" s="2" t="s">
        <v>353</v>
      </c>
      <c r="L660" s="7" t="str">
        <f>HYPERLINK("http://slimages.macys.com/is/image/MCY/12950342 ")</f>
        <v xml:space="preserve">http://slimages.macys.com/is/image/MCY/12950342 </v>
      </c>
    </row>
    <row r="661" spans="1:12" ht="24.75" x14ac:dyDescent="0.25">
      <c r="A661" s="4" t="s">
        <v>1723</v>
      </c>
      <c r="B661" s="2" t="s">
        <v>1724</v>
      </c>
      <c r="C661" s="3">
        <v>1</v>
      </c>
      <c r="D661" s="5">
        <v>34.880000000000003</v>
      </c>
      <c r="E661" s="3">
        <v>100018041</v>
      </c>
      <c r="F661" s="2" t="s">
        <v>680</v>
      </c>
      <c r="G661" s="6" t="s">
        <v>112</v>
      </c>
      <c r="H661" s="2" t="s">
        <v>194</v>
      </c>
      <c r="I661" s="2" t="s">
        <v>195</v>
      </c>
      <c r="J661" s="2" t="s">
        <v>19</v>
      </c>
      <c r="K661" s="2" t="s">
        <v>353</v>
      </c>
      <c r="L661" s="7" t="str">
        <f>HYPERLINK("http://slimages.macys.com/is/image/MCY/12950342 ")</f>
        <v xml:space="preserve">http://slimages.macys.com/is/image/MCY/12950342 </v>
      </c>
    </row>
    <row r="662" spans="1:12" ht="24.75" x14ac:dyDescent="0.25">
      <c r="A662" s="4" t="s">
        <v>1734</v>
      </c>
      <c r="B662" s="2" t="s">
        <v>1732</v>
      </c>
      <c r="C662" s="3">
        <v>1</v>
      </c>
      <c r="D662" s="5">
        <v>20.99</v>
      </c>
      <c r="E662" s="3" t="s">
        <v>1733</v>
      </c>
      <c r="F662" s="2" t="s">
        <v>15</v>
      </c>
      <c r="G662" s="6" t="s">
        <v>234</v>
      </c>
      <c r="H662" s="2" t="s">
        <v>1473</v>
      </c>
      <c r="I662" s="2" t="s">
        <v>1426</v>
      </c>
      <c r="J662" s="2" t="s">
        <v>19</v>
      </c>
      <c r="K662" s="2" t="s">
        <v>648</v>
      </c>
      <c r="L662" s="7" t="str">
        <f>HYPERLINK("http://slimages.macys.com/is/image/MCY/11995647 ")</f>
        <v xml:space="preserve">http://slimages.macys.com/is/image/MCY/11995647 </v>
      </c>
    </row>
    <row r="663" spans="1:12" ht="24.75" x14ac:dyDescent="0.25">
      <c r="A663" s="4" t="s">
        <v>7594</v>
      </c>
      <c r="B663" s="2" t="s">
        <v>1732</v>
      </c>
      <c r="C663" s="3">
        <v>1</v>
      </c>
      <c r="D663" s="5">
        <v>20.99</v>
      </c>
      <c r="E663" s="3" t="s">
        <v>1733</v>
      </c>
      <c r="F663" s="2" t="s">
        <v>15</v>
      </c>
      <c r="G663" s="6" t="s">
        <v>181</v>
      </c>
      <c r="H663" s="2" t="s">
        <v>1473</v>
      </c>
      <c r="I663" s="2" t="s">
        <v>1426</v>
      </c>
      <c r="J663" s="2" t="s">
        <v>19</v>
      </c>
      <c r="K663" s="2" t="s">
        <v>648</v>
      </c>
      <c r="L663" s="7" t="str">
        <f>HYPERLINK("http://slimages.macys.com/is/image/MCY/11995647 ")</f>
        <v xml:space="preserve">http://slimages.macys.com/is/image/MCY/11995647 </v>
      </c>
    </row>
    <row r="664" spans="1:12" ht="24.75" x14ac:dyDescent="0.25">
      <c r="A664" s="4" t="s">
        <v>6774</v>
      </c>
      <c r="B664" s="2" t="s">
        <v>1738</v>
      </c>
      <c r="C664" s="3">
        <v>1</v>
      </c>
      <c r="D664" s="5">
        <v>29.63</v>
      </c>
      <c r="E664" s="3" t="s">
        <v>1739</v>
      </c>
      <c r="F664" s="2" t="s">
        <v>26</v>
      </c>
      <c r="G664" s="6" t="s">
        <v>234</v>
      </c>
      <c r="H664" s="2" t="s">
        <v>194</v>
      </c>
      <c r="I664" s="2" t="s">
        <v>195</v>
      </c>
      <c r="J664" s="2" t="s">
        <v>19</v>
      </c>
      <c r="K664" s="2" t="s">
        <v>1108</v>
      </c>
      <c r="L664" s="7" t="str">
        <f>HYPERLINK("http://slimages.macys.com/is/image/MCY/12064042 ")</f>
        <v xml:space="preserve">http://slimages.macys.com/is/image/MCY/12064042 </v>
      </c>
    </row>
    <row r="665" spans="1:12" ht="24.75" x14ac:dyDescent="0.25">
      <c r="A665" s="4" t="s">
        <v>6775</v>
      </c>
      <c r="B665" s="2" t="s">
        <v>1738</v>
      </c>
      <c r="C665" s="3">
        <v>1</v>
      </c>
      <c r="D665" s="5">
        <v>29.63</v>
      </c>
      <c r="E665" s="3" t="s">
        <v>1739</v>
      </c>
      <c r="F665" s="2" t="s">
        <v>26</v>
      </c>
      <c r="G665" s="6" t="s">
        <v>200</v>
      </c>
      <c r="H665" s="2" t="s">
        <v>194</v>
      </c>
      <c r="I665" s="2" t="s">
        <v>195</v>
      </c>
      <c r="J665" s="2" t="s">
        <v>19</v>
      </c>
      <c r="K665" s="2" t="s">
        <v>1108</v>
      </c>
      <c r="L665" s="7" t="str">
        <f>HYPERLINK("http://slimages.macys.com/is/image/MCY/12064042 ")</f>
        <v xml:space="preserve">http://slimages.macys.com/is/image/MCY/12064042 </v>
      </c>
    </row>
    <row r="666" spans="1:12" ht="24.75" x14ac:dyDescent="0.25">
      <c r="A666" s="4" t="s">
        <v>7595</v>
      </c>
      <c r="B666" s="2" t="s">
        <v>1738</v>
      </c>
      <c r="C666" s="3">
        <v>1</v>
      </c>
      <c r="D666" s="5">
        <v>29.63</v>
      </c>
      <c r="E666" s="3" t="s">
        <v>1739</v>
      </c>
      <c r="F666" s="2" t="s">
        <v>15</v>
      </c>
      <c r="G666" s="6" t="s">
        <v>156</v>
      </c>
      <c r="H666" s="2" t="s">
        <v>194</v>
      </c>
      <c r="I666" s="2" t="s">
        <v>195</v>
      </c>
      <c r="J666" s="2" t="s">
        <v>19</v>
      </c>
      <c r="K666" s="2" t="s">
        <v>1108</v>
      </c>
      <c r="L666" s="7" t="str">
        <f>HYPERLINK("http://slimages.macys.com/is/image/MCY/12064042 ")</f>
        <v xml:space="preserve">http://slimages.macys.com/is/image/MCY/12064042 </v>
      </c>
    </row>
    <row r="667" spans="1:12" ht="24.75" x14ac:dyDescent="0.25">
      <c r="A667" s="4" t="s">
        <v>2927</v>
      </c>
      <c r="B667" s="2" t="s">
        <v>1738</v>
      </c>
      <c r="C667" s="3">
        <v>1</v>
      </c>
      <c r="D667" s="5">
        <v>29.63</v>
      </c>
      <c r="E667" s="3" t="s">
        <v>1739</v>
      </c>
      <c r="F667" s="2" t="s">
        <v>26</v>
      </c>
      <c r="G667" s="6" t="s">
        <v>154</v>
      </c>
      <c r="H667" s="2" t="s">
        <v>194</v>
      </c>
      <c r="I667" s="2" t="s">
        <v>195</v>
      </c>
      <c r="J667" s="2" t="s">
        <v>19</v>
      </c>
      <c r="K667" s="2" t="s">
        <v>1108</v>
      </c>
      <c r="L667" s="7" t="str">
        <f>HYPERLINK("http://slimages.macys.com/is/image/MCY/12064042 ")</f>
        <v xml:space="preserve">http://slimages.macys.com/is/image/MCY/12064042 </v>
      </c>
    </row>
    <row r="668" spans="1:12" ht="24.75" x14ac:dyDescent="0.25">
      <c r="A668" s="4" t="s">
        <v>4054</v>
      </c>
      <c r="B668" s="2" t="s">
        <v>2936</v>
      </c>
      <c r="C668" s="3">
        <v>3</v>
      </c>
      <c r="D668" s="5">
        <v>20.99</v>
      </c>
      <c r="E668" s="3" t="s">
        <v>2937</v>
      </c>
      <c r="F668" s="2" t="s">
        <v>64</v>
      </c>
      <c r="G668" s="6" t="s">
        <v>154</v>
      </c>
      <c r="H668" s="2" t="s">
        <v>1473</v>
      </c>
      <c r="I668" s="2" t="s">
        <v>1864</v>
      </c>
      <c r="J668" s="2" t="s">
        <v>19</v>
      </c>
      <c r="K668" s="2" t="s">
        <v>107</v>
      </c>
      <c r="L668" s="7" t="str">
        <f>HYPERLINK("http://slimages.macys.com/is/image/MCY/12266786 ")</f>
        <v xml:space="preserve">http://slimages.macys.com/is/image/MCY/12266786 </v>
      </c>
    </row>
    <row r="669" spans="1:12" ht="24.75" x14ac:dyDescent="0.25">
      <c r="A669" s="4" t="s">
        <v>2935</v>
      </c>
      <c r="B669" s="2" t="s">
        <v>2936</v>
      </c>
      <c r="C669" s="3">
        <v>4</v>
      </c>
      <c r="D669" s="5">
        <v>20.99</v>
      </c>
      <c r="E669" s="3" t="s">
        <v>2937</v>
      </c>
      <c r="F669" s="2" t="s">
        <v>64</v>
      </c>
      <c r="G669" s="6" t="s">
        <v>181</v>
      </c>
      <c r="H669" s="2" t="s">
        <v>1473</v>
      </c>
      <c r="I669" s="2" t="s">
        <v>1864</v>
      </c>
      <c r="J669" s="2" t="s">
        <v>19</v>
      </c>
      <c r="K669" s="2" t="s">
        <v>107</v>
      </c>
      <c r="L669" s="7" t="str">
        <f>HYPERLINK("http://slimages.macys.com/is/image/MCY/12266786 ")</f>
        <v xml:space="preserve">http://slimages.macys.com/is/image/MCY/12266786 </v>
      </c>
    </row>
    <row r="670" spans="1:12" ht="24.75" x14ac:dyDescent="0.25">
      <c r="A670" s="4" t="s">
        <v>4053</v>
      </c>
      <c r="B670" s="2" t="s">
        <v>2933</v>
      </c>
      <c r="C670" s="3">
        <v>1</v>
      </c>
      <c r="D670" s="5">
        <v>20.99</v>
      </c>
      <c r="E670" s="3" t="s">
        <v>2939</v>
      </c>
      <c r="F670" s="2" t="s">
        <v>64</v>
      </c>
      <c r="G670" s="6" t="s">
        <v>154</v>
      </c>
      <c r="H670" s="2" t="s">
        <v>1473</v>
      </c>
      <c r="I670" s="2" t="s">
        <v>1864</v>
      </c>
      <c r="J670" s="2" t="s">
        <v>19</v>
      </c>
      <c r="K670" s="2" t="s">
        <v>990</v>
      </c>
      <c r="L670" s="7" t="str">
        <f>HYPERLINK("http://slimages.macys.com/is/image/MCY/11515111 ")</f>
        <v xml:space="preserve">http://slimages.macys.com/is/image/MCY/11515111 </v>
      </c>
    </row>
    <row r="671" spans="1:12" ht="24.75" x14ac:dyDescent="0.25">
      <c r="A671" s="4" t="s">
        <v>5103</v>
      </c>
      <c r="B671" s="2" t="s">
        <v>2933</v>
      </c>
      <c r="C671" s="3">
        <v>1</v>
      </c>
      <c r="D671" s="5">
        <v>20.99</v>
      </c>
      <c r="E671" s="3" t="s">
        <v>2939</v>
      </c>
      <c r="F671" s="2" t="s">
        <v>64</v>
      </c>
      <c r="G671" s="6" t="s">
        <v>234</v>
      </c>
      <c r="H671" s="2" t="s">
        <v>1473</v>
      </c>
      <c r="I671" s="2" t="s">
        <v>1864</v>
      </c>
      <c r="J671" s="2" t="s">
        <v>19</v>
      </c>
      <c r="K671" s="2" t="s">
        <v>990</v>
      </c>
      <c r="L671" s="7" t="str">
        <f>HYPERLINK("http://slimages.macys.com/is/image/MCY/11515111 ")</f>
        <v xml:space="preserve">http://slimages.macys.com/is/image/MCY/11515111 </v>
      </c>
    </row>
    <row r="672" spans="1:12" ht="24.75" x14ac:dyDescent="0.25">
      <c r="A672" s="4" t="s">
        <v>7596</v>
      </c>
      <c r="B672" s="2" t="s">
        <v>1747</v>
      </c>
      <c r="C672" s="3">
        <v>1</v>
      </c>
      <c r="D672" s="5">
        <v>17.989999999999998</v>
      </c>
      <c r="E672" s="3" t="s">
        <v>1750</v>
      </c>
      <c r="F672" s="2" t="s">
        <v>15</v>
      </c>
      <c r="G672" s="6" t="s">
        <v>238</v>
      </c>
      <c r="H672" s="2" t="s">
        <v>1425</v>
      </c>
      <c r="I672" s="2" t="s">
        <v>1426</v>
      </c>
      <c r="J672" s="2" t="s">
        <v>19</v>
      </c>
      <c r="K672" s="2" t="s">
        <v>353</v>
      </c>
      <c r="L672" s="7" t="str">
        <f>HYPERLINK("http://slimages.macys.com/is/image/MCY/12776609 ")</f>
        <v xml:space="preserve">http://slimages.macys.com/is/image/MCY/12776609 </v>
      </c>
    </row>
    <row r="673" spans="1:12" ht="24.75" x14ac:dyDescent="0.25">
      <c r="A673" s="4" t="s">
        <v>7597</v>
      </c>
      <c r="B673" s="2" t="s">
        <v>1747</v>
      </c>
      <c r="C673" s="3">
        <v>1</v>
      </c>
      <c r="D673" s="5">
        <v>17.989999999999998</v>
      </c>
      <c r="E673" s="3" t="s">
        <v>1748</v>
      </c>
      <c r="F673" s="2" t="s">
        <v>1914</v>
      </c>
      <c r="G673" s="6" t="s">
        <v>58</v>
      </c>
      <c r="H673" s="2" t="s">
        <v>1473</v>
      </c>
      <c r="I673" s="2" t="s">
        <v>1426</v>
      </c>
      <c r="J673" s="2" t="s">
        <v>19</v>
      </c>
      <c r="K673" s="2" t="s">
        <v>353</v>
      </c>
      <c r="L673" s="7" t="str">
        <f>HYPERLINK("http://slimages.macys.com/is/image/MCY/12776597 ")</f>
        <v xml:space="preserve">http://slimages.macys.com/is/image/MCY/12776597 </v>
      </c>
    </row>
    <row r="674" spans="1:12" ht="24.75" x14ac:dyDescent="0.25">
      <c r="A674" s="4" t="s">
        <v>7598</v>
      </c>
      <c r="B674" s="2" t="s">
        <v>2952</v>
      </c>
      <c r="C674" s="3">
        <v>2</v>
      </c>
      <c r="D674" s="5">
        <v>19.989999999999998</v>
      </c>
      <c r="E674" s="3" t="s">
        <v>2953</v>
      </c>
      <c r="F674" s="2" t="s">
        <v>579</v>
      </c>
      <c r="G674" s="6" t="s">
        <v>156</v>
      </c>
      <c r="H674" s="2" t="s">
        <v>1473</v>
      </c>
      <c r="I674" s="2" t="s">
        <v>1426</v>
      </c>
      <c r="J674" s="2" t="s">
        <v>19</v>
      </c>
      <c r="K674" s="2" t="s">
        <v>648</v>
      </c>
      <c r="L674" s="7" t="str">
        <f>HYPERLINK("http://slimages.macys.com/is/image/MCY/11537489 ")</f>
        <v xml:space="preserve">http://slimages.macys.com/is/image/MCY/11537489 </v>
      </c>
    </row>
    <row r="675" spans="1:12" ht="24.75" x14ac:dyDescent="0.25">
      <c r="A675" s="4" t="s">
        <v>7599</v>
      </c>
      <c r="B675" s="2" t="s">
        <v>6055</v>
      </c>
      <c r="C675" s="3">
        <v>1</v>
      </c>
      <c r="D675" s="5">
        <v>22.13</v>
      </c>
      <c r="E675" s="3" t="s">
        <v>6056</v>
      </c>
      <c r="F675" s="2" t="s">
        <v>676</v>
      </c>
      <c r="G675" s="6" t="s">
        <v>154</v>
      </c>
      <c r="H675" s="2" t="s">
        <v>194</v>
      </c>
      <c r="I675" s="2" t="s">
        <v>580</v>
      </c>
      <c r="J675" s="2" t="s">
        <v>19</v>
      </c>
      <c r="K675" s="2" t="s">
        <v>1758</v>
      </c>
      <c r="L675" s="7" t="str">
        <f>HYPERLINK("http://slimages.macys.com/is/image/MCY/12794135 ")</f>
        <v xml:space="preserve">http://slimages.macys.com/is/image/MCY/12794135 </v>
      </c>
    </row>
    <row r="676" spans="1:12" ht="24.75" x14ac:dyDescent="0.25">
      <c r="A676" s="4" t="s">
        <v>2963</v>
      </c>
      <c r="B676" s="2" t="s">
        <v>1761</v>
      </c>
      <c r="C676" s="3">
        <v>2</v>
      </c>
      <c r="D676" s="5">
        <v>22.13</v>
      </c>
      <c r="E676" s="3" t="s">
        <v>1768</v>
      </c>
      <c r="F676" s="2" t="s">
        <v>64</v>
      </c>
      <c r="G676" s="6" t="s">
        <v>234</v>
      </c>
      <c r="H676" s="2" t="s">
        <v>194</v>
      </c>
      <c r="I676" s="2" t="s">
        <v>580</v>
      </c>
      <c r="J676" s="2" t="s">
        <v>19</v>
      </c>
      <c r="K676" s="2" t="s">
        <v>1758</v>
      </c>
      <c r="L676" s="7" t="str">
        <f>HYPERLINK("http://slimages.macys.com/is/image/MCY/12799771 ")</f>
        <v xml:space="preserve">http://slimages.macys.com/is/image/MCY/12799771 </v>
      </c>
    </row>
    <row r="677" spans="1:12" ht="24.75" x14ac:dyDescent="0.25">
      <c r="A677" s="4" t="s">
        <v>7600</v>
      </c>
      <c r="B677" s="2" t="s">
        <v>1761</v>
      </c>
      <c r="C677" s="3">
        <v>1</v>
      </c>
      <c r="D677" s="5">
        <v>22.13</v>
      </c>
      <c r="E677" s="3" t="s">
        <v>5127</v>
      </c>
      <c r="F677" s="2" t="s">
        <v>572</v>
      </c>
      <c r="G677" s="6" t="s">
        <v>156</v>
      </c>
      <c r="H677" s="2" t="s">
        <v>194</v>
      </c>
      <c r="I677" s="2" t="s">
        <v>580</v>
      </c>
      <c r="J677" s="2" t="s">
        <v>19</v>
      </c>
      <c r="K677" s="2" t="s">
        <v>1082</v>
      </c>
      <c r="L677" s="7" t="str">
        <f>HYPERLINK("http://slimages.macys.com/is/image/MCY/12950289 ")</f>
        <v xml:space="preserve">http://slimages.macys.com/is/image/MCY/12950289 </v>
      </c>
    </row>
    <row r="678" spans="1:12" ht="24.75" x14ac:dyDescent="0.25">
      <c r="A678" s="4" t="s">
        <v>7601</v>
      </c>
      <c r="B678" s="2" t="s">
        <v>1776</v>
      </c>
      <c r="C678" s="3">
        <v>1</v>
      </c>
      <c r="D678" s="5">
        <v>22.13</v>
      </c>
      <c r="E678" s="3" t="s">
        <v>1777</v>
      </c>
      <c r="F678" s="2" t="s">
        <v>132</v>
      </c>
      <c r="G678" s="6" t="s">
        <v>154</v>
      </c>
      <c r="H678" s="2" t="s">
        <v>194</v>
      </c>
      <c r="I678" s="2" t="s">
        <v>1766</v>
      </c>
      <c r="J678" s="2" t="s">
        <v>19</v>
      </c>
      <c r="K678" s="2" t="s">
        <v>1082</v>
      </c>
      <c r="L678" s="7" t="str">
        <f>HYPERLINK("http://slimages.macys.com/is/image/MCY/12143920 ")</f>
        <v xml:space="preserve">http://slimages.macys.com/is/image/MCY/12143920 </v>
      </c>
    </row>
    <row r="679" spans="1:12" ht="24.75" x14ac:dyDescent="0.25">
      <c r="A679" s="4" t="s">
        <v>7602</v>
      </c>
      <c r="B679" s="2" t="s">
        <v>4069</v>
      </c>
      <c r="C679" s="3">
        <v>1</v>
      </c>
      <c r="D679" s="5">
        <v>22.13</v>
      </c>
      <c r="E679" s="3" t="s">
        <v>4070</v>
      </c>
      <c r="F679" s="2" t="s">
        <v>38</v>
      </c>
      <c r="G679" s="6" t="s">
        <v>234</v>
      </c>
      <c r="H679" s="2" t="s">
        <v>194</v>
      </c>
      <c r="I679" s="2" t="s">
        <v>580</v>
      </c>
      <c r="J679" s="2" t="s">
        <v>19</v>
      </c>
      <c r="K679" s="2" t="s">
        <v>1758</v>
      </c>
      <c r="L679" s="7" t="str">
        <f>HYPERLINK("http://slimages.macys.com/is/image/MCY/11415427 ")</f>
        <v xml:space="preserve">http://slimages.macys.com/is/image/MCY/11415427 </v>
      </c>
    </row>
    <row r="680" spans="1:12" ht="24.75" x14ac:dyDescent="0.25">
      <c r="A680" s="4" t="s">
        <v>7603</v>
      </c>
      <c r="B680" s="2" t="s">
        <v>1770</v>
      </c>
      <c r="C680" s="3">
        <v>1</v>
      </c>
      <c r="D680" s="5">
        <v>22.13</v>
      </c>
      <c r="E680" s="3" t="s">
        <v>1771</v>
      </c>
      <c r="F680" s="2" t="s">
        <v>64</v>
      </c>
      <c r="G680" s="6" t="s">
        <v>154</v>
      </c>
      <c r="H680" s="2" t="s">
        <v>194</v>
      </c>
      <c r="I680" s="2" t="s">
        <v>580</v>
      </c>
      <c r="J680" s="2" t="s">
        <v>19</v>
      </c>
      <c r="K680" s="2" t="s">
        <v>1082</v>
      </c>
      <c r="L680" s="7" t="str">
        <f>HYPERLINK("http://slimages.macys.com/is/image/MCY/12794152 ")</f>
        <v xml:space="preserve">http://slimages.macys.com/is/image/MCY/12794152 </v>
      </c>
    </row>
    <row r="681" spans="1:12" ht="24.75" x14ac:dyDescent="0.25">
      <c r="A681" s="4" t="s">
        <v>7604</v>
      </c>
      <c r="B681" s="2" t="s">
        <v>1761</v>
      </c>
      <c r="C681" s="3">
        <v>2</v>
      </c>
      <c r="D681" s="5">
        <v>22.13</v>
      </c>
      <c r="E681" s="3" t="s">
        <v>1768</v>
      </c>
      <c r="F681" s="2" t="s">
        <v>64</v>
      </c>
      <c r="G681" s="6" t="s">
        <v>181</v>
      </c>
      <c r="H681" s="2" t="s">
        <v>194</v>
      </c>
      <c r="I681" s="2" t="s">
        <v>580</v>
      </c>
      <c r="J681" s="2" t="s">
        <v>19</v>
      </c>
      <c r="K681" s="2" t="s">
        <v>1758</v>
      </c>
      <c r="L681" s="7" t="str">
        <f>HYPERLINK("http://slimages.macys.com/is/image/MCY/12799771 ")</f>
        <v xml:space="preserve">http://slimages.macys.com/is/image/MCY/12799771 </v>
      </c>
    </row>
    <row r="682" spans="1:12" ht="24.75" x14ac:dyDescent="0.25">
      <c r="A682" s="4" t="s">
        <v>7605</v>
      </c>
      <c r="B682" s="2" t="s">
        <v>1756</v>
      </c>
      <c r="C682" s="3">
        <v>1</v>
      </c>
      <c r="D682" s="5">
        <v>22.13</v>
      </c>
      <c r="E682" s="3" t="s">
        <v>1757</v>
      </c>
      <c r="F682" s="2" t="s">
        <v>170</v>
      </c>
      <c r="G682" s="6" t="s">
        <v>200</v>
      </c>
      <c r="H682" s="2" t="s">
        <v>194</v>
      </c>
      <c r="I682" s="2" t="s">
        <v>580</v>
      </c>
      <c r="J682" s="2" t="s">
        <v>19</v>
      </c>
      <c r="K682" s="2" t="s">
        <v>1758</v>
      </c>
      <c r="L682" s="7" t="str">
        <f>HYPERLINK("http://slimages.macys.com/is/image/MCY/11937946 ")</f>
        <v xml:space="preserve">http://slimages.macys.com/is/image/MCY/11937946 </v>
      </c>
    </row>
    <row r="683" spans="1:12" ht="24.75" x14ac:dyDescent="0.25">
      <c r="A683" s="4" t="s">
        <v>7606</v>
      </c>
      <c r="B683" s="2" t="s">
        <v>1808</v>
      </c>
      <c r="C683" s="3">
        <v>1</v>
      </c>
      <c r="D683" s="5">
        <v>22.13</v>
      </c>
      <c r="E683" s="3" t="s">
        <v>7607</v>
      </c>
      <c r="F683" s="2" t="s">
        <v>252</v>
      </c>
      <c r="G683" s="6" t="s">
        <v>245</v>
      </c>
      <c r="H683" s="2" t="s">
        <v>194</v>
      </c>
      <c r="I683" s="2" t="s">
        <v>580</v>
      </c>
      <c r="J683" s="2" t="s">
        <v>19</v>
      </c>
      <c r="K683" s="2" t="s">
        <v>1758</v>
      </c>
      <c r="L683" s="7" t="str">
        <f>HYPERLINK("http://slimages.macys.com/is/image/MCY/12734385 ")</f>
        <v xml:space="preserve">http://slimages.macys.com/is/image/MCY/12734385 </v>
      </c>
    </row>
    <row r="684" spans="1:12" ht="24.75" x14ac:dyDescent="0.25">
      <c r="A684" s="4" t="s">
        <v>4068</v>
      </c>
      <c r="B684" s="2" t="s">
        <v>4069</v>
      </c>
      <c r="C684" s="3">
        <v>1</v>
      </c>
      <c r="D684" s="5">
        <v>22.13</v>
      </c>
      <c r="E684" s="3" t="s">
        <v>4070</v>
      </c>
      <c r="F684" s="2" t="s">
        <v>38</v>
      </c>
      <c r="G684" s="6" t="s">
        <v>200</v>
      </c>
      <c r="H684" s="2" t="s">
        <v>194</v>
      </c>
      <c r="I684" s="2" t="s">
        <v>580</v>
      </c>
      <c r="J684" s="2" t="s">
        <v>19</v>
      </c>
      <c r="K684" s="2" t="s">
        <v>1758</v>
      </c>
      <c r="L684" s="7" t="str">
        <f>HYPERLINK("http://slimages.macys.com/is/image/MCY/11415427 ")</f>
        <v xml:space="preserve">http://slimages.macys.com/is/image/MCY/11415427 </v>
      </c>
    </row>
    <row r="685" spans="1:12" ht="24.75" x14ac:dyDescent="0.25">
      <c r="A685" s="4" t="s">
        <v>7608</v>
      </c>
      <c r="B685" s="2" t="s">
        <v>6077</v>
      </c>
      <c r="C685" s="3">
        <v>1</v>
      </c>
      <c r="D685" s="5">
        <v>19.989999999999998</v>
      </c>
      <c r="E685" s="3" t="s">
        <v>6078</v>
      </c>
      <c r="F685" s="2" t="s">
        <v>820</v>
      </c>
      <c r="G685" s="6" t="s">
        <v>234</v>
      </c>
      <c r="H685" s="2" t="s">
        <v>1473</v>
      </c>
      <c r="I685" s="2" t="s">
        <v>1426</v>
      </c>
      <c r="J685" s="2" t="s">
        <v>19</v>
      </c>
      <c r="K685" s="2" t="s">
        <v>990</v>
      </c>
      <c r="L685" s="7" t="str">
        <f>HYPERLINK("http://slimages.macys.com/is/image/MCY/11831356 ")</f>
        <v xml:space="preserve">http://slimages.macys.com/is/image/MCY/11831356 </v>
      </c>
    </row>
    <row r="686" spans="1:12" ht="24.75" x14ac:dyDescent="0.25">
      <c r="A686" s="4" t="s">
        <v>6079</v>
      </c>
      <c r="B686" s="2" t="s">
        <v>1724</v>
      </c>
      <c r="C686" s="3">
        <v>1</v>
      </c>
      <c r="D686" s="5">
        <v>34.880000000000003</v>
      </c>
      <c r="E686" s="3">
        <v>100018041</v>
      </c>
      <c r="F686" s="2" t="s">
        <v>74</v>
      </c>
      <c r="G686" s="6" t="s">
        <v>65</v>
      </c>
      <c r="H686" s="2" t="s">
        <v>194</v>
      </c>
      <c r="I686" s="2" t="s">
        <v>195</v>
      </c>
      <c r="J686" s="2" t="s">
        <v>19</v>
      </c>
      <c r="K686" s="2" t="s">
        <v>353</v>
      </c>
      <c r="L686" s="7" t="str">
        <f>HYPERLINK("http://slimages.macys.com/is/image/MCY/12950342 ")</f>
        <v xml:space="preserve">http://slimages.macys.com/is/image/MCY/12950342 </v>
      </c>
    </row>
    <row r="687" spans="1:12" ht="24.75" x14ac:dyDescent="0.25">
      <c r="A687" s="4" t="s">
        <v>2979</v>
      </c>
      <c r="B687" s="2" t="s">
        <v>1724</v>
      </c>
      <c r="C687" s="3">
        <v>1</v>
      </c>
      <c r="D687" s="5">
        <v>34.880000000000003</v>
      </c>
      <c r="E687" s="3">
        <v>100018041</v>
      </c>
      <c r="F687" s="2" t="s">
        <v>26</v>
      </c>
      <c r="G687" s="6" t="s">
        <v>22</v>
      </c>
      <c r="H687" s="2" t="s">
        <v>194</v>
      </c>
      <c r="I687" s="2" t="s">
        <v>195</v>
      </c>
      <c r="J687" s="2" t="s">
        <v>19</v>
      </c>
      <c r="K687" s="2" t="s">
        <v>353</v>
      </c>
      <c r="L687" s="7" t="str">
        <f>HYPERLINK("http://slimages.macys.com/is/image/MCY/12950342 ")</f>
        <v xml:space="preserve">http://slimages.macys.com/is/image/MCY/12950342 </v>
      </c>
    </row>
    <row r="688" spans="1:12" ht="24.75" x14ac:dyDescent="0.25">
      <c r="A688" s="4" t="s">
        <v>7609</v>
      </c>
      <c r="B688" s="2" t="s">
        <v>6083</v>
      </c>
      <c r="C688" s="3">
        <v>1</v>
      </c>
      <c r="D688" s="5">
        <v>19.989999999999998</v>
      </c>
      <c r="E688" s="3" t="s">
        <v>6084</v>
      </c>
      <c r="F688" s="2" t="s">
        <v>64</v>
      </c>
      <c r="G688" s="6"/>
      <c r="H688" s="2" t="s">
        <v>1425</v>
      </c>
      <c r="I688" s="2" t="s">
        <v>1426</v>
      </c>
      <c r="J688" s="2" t="s">
        <v>19</v>
      </c>
      <c r="K688" s="2" t="s">
        <v>107</v>
      </c>
      <c r="L688" s="7" t="str">
        <f>HYPERLINK("http://slimages.macys.com/is/image/MCY/11517680 ")</f>
        <v xml:space="preserve">http://slimages.macys.com/is/image/MCY/11517680 </v>
      </c>
    </row>
    <row r="689" spans="1:12" ht="24.75" x14ac:dyDescent="0.25">
      <c r="A689" s="4" t="s">
        <v>7610</v>
      </c>
      <c r="B689" s="2" t="s">
        <v>7611</v>
      </c>
      <c r="C689" s="3">
        <v>1</v>
      </c>
      <c r="D689" s="5">
        <v>40</v>
      </c>
      <c r="E689" s="3" t="s">
        <v>7612</v>
      </c>
      <c r="F689" s="2" t="s">
        <v>820</v>
      </c>
      <c r="G689" s="6" t="s">
        <v>794</v>
      </c>
      <c r="H689" s="2" t="s">
        <v>447</v>
      </c>
      <c r="I689" s="2" t="s">
        <v>792</v>
      </c>
      <c r="J689" s="2" t="s">
        <v>19</v>
      </c>
      <c r="K689" s="2" t="s">
        <v>160</v>
      </c>
      <c r="L689" s="7" t="str">
        <f>HYPERLINK("http://slimages.macys.com/is/image/MCY/14315278 ")</f>
        <v xml:space="preserve">http://slimages.macys.com/is/image/MCY/14315278 </v>
      </c>
    </row>
    <row r="690" spans="1:12" ht="24.75" x14ac:dyDescent="0.25">
      <c r="A690" s="4" t="s">
        <v>6801</v>
      </c>
      <c r="B690" s="2" t="s">
        <v>1801</v>
      </c>
      <c r="C690" s="3">
        <v>1</v>
      </c>
      <c r="D690" s="5">
        <v>21.5</v>
      </c>
      <c r="E690" s="3" t="s">
        <v>1802</v>
      </c>
      <c r="F690" s="2" t="s">
        <v>566</v>
      </c>
      <c r="G690" s="6"/>
      <c r="H690" s="2" t="s">
        <v>312</v>
      </c>
      <c r="I690" s="2" t="s">
        <v>580</v>
      </c>
      <c r="J690" s="2" t="s">
        <v>19</v>
      </c>
      <c r="K690" s="2" t="s">
        <v>1758</v>
      </c>
      <c r="L690" s="7" t="str">
        <f>HYPERLINK("http://slimages.macys.com/is/image/MCY/11515389 ")</f>
        <v xml:space="preserve">http://slimages.macys.com/is/image/MCY/11515389 </v>
      </c>
    </row>
    <row r="691" spans="1:12" ht="24.75" x14ac:dyDescent="0.25">
      <c r="A691" s="4" t="s">
        <v>7613</v>
      </c>
      <c r="B691" s="2" t="s">
        <v>1808</v>
      </c>
      <c r="C691" s="3">
        <v>1</v>
      </c>
      <c r="D691" s="5">
        <v>22.13</v>
      </c>
      <c r="E691" s="3" t="s">
        <v>1809</v>
      </c>
      <c r="F691" s="2" t="s">
        <v>572</v>
      </c>
      <c r="G691" s="6"/>
      <c r="H691" s="2" t="s">
        <v>312</v>
      </c>
      <c r="I691" s="2" t="s">
        <v>580</v>
      </c>
      <c r="J691" s="2" t="s">
        <v>19</v>
      </c>
      <c r="K691" s="2" t="s">
        <v>1082</v>
      </c>
      <c r="L691" s="7" t="str">
        <f>HYPERLINK("http://slimages.macys.com/is/image/MCY/12950293 ")</f>
        <v xml:space="preserve">http://slimages.macys.com/is/image/MCY/12950293 </v>
      </c>
    </row>
    <row r="692" spans="1:12" ht="24.75" x14ac:dyDescent="0.25">
      <c r="A692" s="4" t="s">
        <v>7614</v>
      </c>
      <c r="B692" s="2" t="s">
        <v>1786</v>
      </c>
      <c r="C692" s="3">
        <v>1</v>
      </c>
      <c r="D692" s="5">
        <v>45</v>
      </c>
      <c r="E692" s="3" t="s">
        <v>1787</v>
      </c>
      <c r="F692" s="2" t="s">
        <v>1322</v>
      </c>
      <c r="G692" s="6" t="s">
        <v>446</v>
      </c>
      <c r="H692" s="2" t="s">
        <v>447</v>
      </c>
      <c r="I692" s="2" t="s">
        <v>792</v>
      </c>
      <c r="J692" s="2" t="s">
        <v>19</v>
      </c>
      <c r="K692" s="2" t="s">
        <v>160</v>
      </c>
      <c r="L692" s="7" t="str">
        <f>HYPERLINK("http://slimages.macys.com/is/image/MCY/8252064 ")</f>
        <v xml:space="preserve">http://slimages.macys.com/is/image/MCY/8252064 </v>
      </c>
    </row>
    <row r="693" spans="1:12" x14ac:dyDescent="0.25">
      <c r="A693" s="4" t="s">
        <v>7615</v>
      </c>
      <c r="B693" s="2" t="s">
        <v>6098</v>
      </c>
      <c r="C693" s="3">
        <v>1</v>
      </c>
      <c r="D693" s="5">
        <v>19.989999999999998</v>
      </c>
      <c r="E693" s="3" t="s">
        <v>7616</v>
      </c>
      <c r="F693" s="2" t="s">
        <v>1584</v>
      </c>
      <c r="G693" s="6" t="s">
        <v>348</v>
      </c>
      <c r="H693" s="2" t="s">
        <v>349</v>
      </c>
      <c r="I693" s="2" t="s">
        <v>285</v>
      </c>
      <c r="J693" s="2" t="s">
        <v>19</v>
      </c>
      <c r="K693" s="2" t="s">
        <v>247</v>
      </c>
      <c r="L693" s="7" t="str">
        <f>HYPERLINK("http://slimages.macys.com/is/image/MCY/10311232 ")</f>
        <v xml:space="preserve">http://slimages.macys.com/is/image/MCY/10311232 </v>
      </c>
    </row>
    <row r="694" spans="1:12" ht="24.75" x14ac:dyDescent="0.25">
      <c r="A694" s="4" t="s">
        <v>7617</v>
      </c>
      <c r="B694" s="2" t="s">
        <v>5138</v>
      </c>
      <c r="C694" s="3">
        <v>1</v>
      </c>
      <c r="D694" s="5">
        <v>19.989999999999998</v>
      </c>
      <c r="E694" s="3" t="s">
        <v>5139</v>
      </c>
      <c r="F694" s="2" t="s">
        <v>74</v>
      </c>
      <c r="G694" s="6" t="s">
        <v>200</v>
      </c>
      <c r="H694" s="2" t="s">
        <v>1473</v>
      </c>
      <c r="I694" s="2" t="s">
        <v>1426</v>
      </c>
      <c r="J694" s="2" t="s">
        <v>19</v>
      </c>
      <c r="K694" s="2" t="s">
        <v>648</v>
      </c>
      <c r="L694" s="7" t="str">
        <f>HYPERLINK("http://slimages.macys.com/is/image/MCY/12774735 ")</f>
        <v xml:space="preserve">http://slimages.macys.com/is/image/MCY/12774735 </v>
      </c>
    </row>
    <row r="695" spans="1:12" ht="24.75" x14ac:dyDescent="0.25">
      <c r="A695" s="4" t="s">
        <v>2996</v>
      </c>
      <c r="B695" s="2" t="s">
        <v>1817</v>
      </c>
      <c r="C695" s="3">
        <v>1</v>
      </c>
      <c r="D695" s="5">
        <v>17.989999999999998</v>
      </c>
      <c r="E695" s="3" t="s">
        <v>1818</v>
      </c>
      <c r="F695" s="2" t="s">
        <v>998</v>
      </c>
      <c r="G695" s="6" t="s">
        <v>22</v>
      </c>
      <c r="H695" s="2" t="s">
        <v>1473</v>
      </c>
      <c r="I695" s="2" t="s">
        <v>1426</v>
      </c>
      <c r="J695" s="2" t="s">
        <v>19</v>
      </c>
      <c r="K695" s="2" t="s">
        <v>353</v>
      </c>
      <c r="L695" s="7" t="str">
        <f t="shared" ref="L695:L701" si="11">HYPERLINK("http://slimages.macys.com/is/image/MCY/12070597 ")</f>
        <v xml:space="preserve">http://slimages.macys.com/is/image/MCY/12070597 </v>
      </c>
    </row>
    <row r="696" spans="1:12" ht="24.75" x14ac:dyDescent="0.25">
      <c r="A696" s="4" t="s">
        <v>7618</v>
      </c>
      <c r="B696" s="2" t="s">
        <v>1817</v>
      </c>
      <c r="C696" s="3">
        <v>1</v>
      </c>
      <c r="D696" s="5">
        <v>17.989999999999998</v>
      </c>
      <c r="E696" s="3" t="s">
        <v>1818</v>
      </c>
      <c r="F696" s="2" t="s">
        <v>252</v>
      </c>
      <c r="G696" s="6" t="s">
        <v>58</v>
      </c>
      <c r="H696" s="2" t="s">
        <v>1473</v>
      </c>
      <c r="I696" s="2" t="s">
        <v>1426</v>
      </c>
      <c r="J696" s="2" t="s">
        <v>19</v>
      </c>
      <c r="K696" s="2" t="s">
        <v>353</v>
      </c>
      <c r="L696" s="7" t="str">
        <f t="shared" si="11"/>
        <v xml:space="preserve">http://slimages.macys.com/is/image/MCY/12070597 </v>
      </c>
    </row>
    <row r="697" spans="1:12" ht="24.75" x14ac:dyDescent="0.25">
      <c r="A697" s="4" t="s">
        <v>4101</v>
      </c>
      <c r="B697" s="2" t="s">
        <v>1817</v>
      </c>
      <c r="C697" s="3">
        <v>2</v>
      </c>
      <c r="D697" s="5">
        <v>17.989999999999998</v>
      </c>
      <c r="E697" s="3" t="s">
        <v>1818</v>
      </c>
      <c r="F697" s="2" t="s">
        <v>998</v>
      </c>
      <c r="G697" s="6" t="s">
        <v>27</v>
      </c>
      <c r="H697" s="2" t="s">
        <v>1473</v>
      </c>
      <c r="I697" s="2" t="s">
        <v>1426</v>
      </c>
      <c r="J697" s="2" t="s">
        <v>19</v>
      </c>
      <c r="K697" s="2" t="s">
        <v>353</v>
      </c>
      <c r="L697" s="7" t="str">
        <f t="shared" si="11"/>
        <v xml:space="preserve">http://slimages.macys.com/is/image/MCY/12070597 </v>
      </c>
    </row>
    <row r="698" spans="1:12" ht="24.75" x14ac:dyDescent="0.25">
      <c r="A698" s="4" t="s">
        <v>7619</v>
      </c>
      <c r="B698" s="2" t="s">
        <v>1817</v>
      </c>
      <c r="C698" s="3">
        <v>1</v>
      </c>
      <c r="D698" s="5">
        <v>17.989999999999998</v>
      </c>
      <c r="E698" s="3" t="s">
        <v>1818</v>
      </c>
      <c r="F698" s="2" t="s">
        <v>998</v>
      </c>
      <c r="G698" s="6" t="s">
        <v>112</v>
      </c>
      <c r="H698" s="2" t="s">
        <v>1473</v>
      </c>
      <c r="I698" s="2" t="s">
        <v>1426</v>
      </c>
      <c r="J698" s="2" t="s">
        <v>19</v>
      </c>
      <c r="K698" s="2" t="s">
        <v>353</v>
      </c>
      <c r="L698" s="7" t="str">
        <f t="shared" si="11"/>
        <v xml:space="preserve">http://slimages.macys.com/is/image/MCY/12070597 </v>
      </c>
    </row>
    <row r="699" spans="1:12" ht="24.75" x14ac:dyDescent="0.25">
      <c r="A699" s="4" t="s">
        <v>7620</v>
      </c>
      <c r="B699" s="2" t="s">
        <v>1817</v>
      </c>
      <c r="C699" s="3">
        <v>1</v>
      </c>
      <c r="D699" s="5">
        <v>17.989999999999998</v>
      </c>
      <c r="E699" s="3" t="s">
        <v>1818</v>
      </c>
      <c r="F699" s="2" t="s">
        <v>74</v>
      </c>
      <c r="G699" s="6" t="s">
        <v>27</v>
      </c>
      <c r="H699" s="2" t="s">
        <v>1473</v>
      </c>
      <c r="I699" s="2" t="s">
        <v>1426</v>
      </c>
      <c r="J699" s="2" t="s">
        <v>19</v>
      </c>
      <c r="K699" s="2" t="s">
        <v>353</v>
      </c>
      <c r="L699" s="7" t="str">
        <f t="shared" si="11"/>
        <v xml:space="preserve">http://slimages.macys.com/is/image/MCY/12070597 </v>
      </c>
    </row>
    <row r="700" spans="1:12" ht="24.75" x14ac:dyDescent="0.25">
      <c r="A700" s="4" t="s">
        <v>6096</v>
      </c>
      <c r="B700" s="2" t="s">
        <v>1817</v>
      </c>
      <c r="C700" s="3">
        <v>1</v>
      </c>
      <c r="D700" s="5">
        <v>17.989999999999998</v>
      </c>
      <c r="E700" s="3" t="s">
        <v>1818</v>
      </c>
      <c r="F700" s="2" t="s">
        <v>252</v>
      </c>
      <c r="G700" s="6" t="s">
        <v>27</v>
      </c>
      <c r="H700" s="2" t="s">
        <v>1473</v>
      </c>
      <c r="I700" s="2" t="s">
        <v>1426</v>
      </c>
      <c r="J700" s="2" t="s">
        <v>19</v>
      </c>
      <c r="K700" s="2" t="s">
        <v>353</v>
      </c>
      <c r="L700" s="7" t="str">
        <f t="shared" si="11"/>
        <v xml:space="preserve">http://slimages.macys.com/is/image/MCY/12070597 </v>
      </c>
    </row>
    <row r="701" spans="1:12" ht="24.75" x14ac:dyDescent="0.25">
      <c r="A701" s="4" t="s">
        <v>6805</v>
      </c>
      <c r="B701" s="2" t="s">
        <v>1817</v>
      </c>
      <c r="C701" s="3">
        <v>1</v>
      </c>
      <c r="D701" s="5">
        <v>17.989999999999998</v>
      </c>
      <c r="E701" s="3" t="s">
        <v>1818</v>
      </c>
      <c r="F701" s="2" t="s">
        <v>74</v>
      </c>
      <c r="G701" s="6" t="s">
        <v>22</v>
      </c>
      <c r="H701" s="2" t="s">
        <v>1473</v>
      </c>
      <c r="I701" s="2" t="s">
        <v>1426</v>
      </c>
      <c r="J701" s="2" t="s">
        <v>19</v>
      </c>
      <c r="K701" s="2" t="s">
        <v>353</v>
      </c>
      <c r="L701" s="7" t="str">
        <f t="shared" si="11"/>
        <v xml:space="preserve">http://slimages.macys.com/is/image/MCY/12070597 </v>
      </c>
    </row>
    <row r="702" spans="1:12" x14ac:dyDescent="0.25">
      <c r="A702" s="4" t="s">
        <v>7621</v>
      </c>
      <c r="B702" s="2" t="s">
        <v>6098</v>
      </c>
      <c r="C702" s="3">
        <v>1</v>
      </c>
      <c r="D702" s="5">
        <v>19.989999999999998</v>
      </c>
      <c r="E702" s="3" t="s">
        <v>7622</v>
      </c>
      <c r="F702" s="2" t="s">
        <v>1614</v>
      </c>
      <c r="G702" s="6" t="s">
        <v>746</v>
      </c>
      <c r="H702" s="2" t="s">
        <v>349</v>
      </c>
      <c r="I702" s="2" t="s">
        <v>285</v>
      </c>
      <c r="J702" s="2" t="s">
        <v>19</v>
      </c>
      <c r="K702" s="2" t="s">
        <v>247</v>
      </c>
      <c r="L702" s="7" t="str">
        <f>HYPERLINK("http://slimages.macys.com/is/image/MCY/13934363 ")</f>
        <v xml:space="preserve">http://slimages.macys.com/is/image/MCY/13934363 </v>
      </c>
    </row>
    <row r="703" spans="1:12" ht="24.75" x14ac:dyDescent="0.25">
      <c r="A703" s="4" t="s">
        <v>7623</v>
      </c>
      <c r="B703" s="2" t="s">
        <v>3009</v>
      </c>
      <c r="C703" s="3">
        <v>1</v>
      </c>
      <c r="D703" s="5">
        <v>22.13</v>
      </c>
      <c r="E703" s="3" t="s">
        <v>3010</v>
      </c>
      <c r="F703" s="2" t="s">
        <v>566</v>
      </c>
      <c r="G703" s="6" t="s">
        <v>181</v>
      </c>
      <c r="H703" s="2" t="s">
        <v>194</v>
      </c>
      <c r="I703" s="2" t="s">
        <v>195</v>
      </c>
      <c r="J703" s="2" t="s">
        <v>19</v>
      </c>
      <c r="K703" s="2" t="s">
        <v>1082</v>
      </c>
      <c r="L703" s="7" t="str">
        <f>HYPERLINK("http://slimages.macys.com/is/image/MCY/11415452 ")</f>
        <v xml:space="preserve">http://slimages.macys.com/is/image/MCY/11415452 </v>
      </c>
    </row>
    <row r="704" spans="1:12" ht="24.75" x14ac:dyDescent="0.25">
      <c r="A704" s="4" t="s">
        <v>7624</v>
      </c>
      <c r="B704" s="2" t="s">
        <v>3016</v>
      </c>
      <c r="C704" s="3">
        <v>1</v>
      </c>
      <c r="D704" s="5">
        <v>17.989999999999998</v>
      </c>
      <c r="E704" s="3" t="s">
        <v>3017</v>
      </c>
      <c r="F704" s="2" t="s">
        <v>94</v>
      </c>
      <c r="G704" s="6" t="s">
        <v>234</v>
      </c>
      <c r="H704" s="2" t="s">
        <v>1522</v>
      </c>
      <c r="I704" s="2" t="s">
        <v>1469</v>
      </c>
      <c r="J704" s="2" t="s">
        <v>19</v>
      </c>
      <c r="K704" s="2" t="s">
        <v>495</v>
      </c>
      <c r="L704" s="7" t="str">
        <f>HYPERLINK("http://slimages.macys.com/is/image/MCY/12671977 ")</f>
        <v xml:space="preserve">http://slimages.macys.com/is/image/MCY/12671977 </v>
      </c>
    </row>
    <row r="705" spans="1:12" ht="24.75" x14ac:dyDescent="0.25">
      <c r="A705" s="4" t="s">
        <v>7625</v>
      </c>
      <c r="B705" s="2" t="s">
        <v>7626</v>
      </c>
      <c r="C705" s="3">
        <v>1</v>
      </c>
      <c r="D705" s="5">
        <v>17.989999999999998</v>
      </c>
      <c r="E705" s="3" t="s">
        <v>7627</v>
      </c>
      <c r="F705" s="2" t="s">
        <v>3267</v>
      </c>
      <c r="G705" s="6" t="s">
        <v>154</v>
      </c>
      <c r="H705" s="2" t="s">
        <v>194</v>
      </c>
      <c r="I705" s="2" t="s">
        <v>195</v>
      </c>
      <c r="J705" s="2" t="s">
        <v>19</v>
      </c>
      <c r="K705" s="2" t="s">
        <v>648</v>
      </c>
      <c r="L705" s="7" t="str">
        <f>HYPERLINK("http://slimages.macys.com/is/image/MCY/10482866 ")</f>
        <v xml:space="preserve">http://slimages.macys.com/is/image/MCY/10482866 </v>
      </c>
    </row>
    <row r="706" spans="1:12" ht="24.75" x14ac:dyDescent="0.25">
      <c r="A706" s="4" t="s">
        <v>5162</v>
      </c>
      <c r="B706" s="2" t="s">
        <v>3026</v>
      </c>
      <c r="C706" s="3">
        <v>1</v>
      </c>
      <c r="D706" s="5">
        <v>21.99</v>
      </c>
      <c r="E706" s="3" t="s">
        <v>5156</v>
      </c>
      <c r="F706" s="2" t="s">
        <v>64</v>
      </c>
      <c r="G706" s="6" t="s">
        <v>154</v>
      </c>
      <c r="H706" s="2" t="s">
        <v>284</v>
      </c>
      <c r="I706" s="2" t="s">
        <v>285</v>
      </c>
      <c r="J706" s="2" t="s">
        <v>19</v>
      </c>
      <c r="K706" s="2" t="s">
        <v>247</v>
      </c>
      <c r="L706" s="7" t="str">
        <f>HYPERLINK("http://slimages.macys.com/is/image/MCY/16393197 ")</f>
        <v xml:space="preserve">http://slimages.macys.com/is/image/MCY/16393197 </v>
      </c>
    </row>
    <row r="707" spans="1:12" ht="24.75" x14ac:dyDescent="0.25">
      <c r="A707" s="4" t="s">
        <v>5161</v>
      </c>
      <c r="B707" s="2" t="s">
        <v>3026</v>
      </c>
      <c r="C707" s="3">
        <v>2</v>
      </c>
      <c r="D707" s="5">
        <v>21.99</v>
      </c>
      <c r="E707" s="3" t="s">
        <v>5156</v>
      </c>
      <c r="F707" s="2" t="s">
        <v>64</v>
      </c>
      <c r="G707" s="6" t="s">
        <v>234</v>
      </c>
      <c r="H707" s="2" t="s">
        <v>284</v>
      </c>
      <c r="I707" s="2" t="s">
        <v>285</v>
      </c>
      <c r="J707" s="2" t="s">
        <v>19</v>
      </c>
      <c r="K707" s="2" t="s">
        <v>247</v>
      </c>
      <c r="L707" s="7" t="str">
        <f>HYPERLINK("http://slimages.macys.com/is/image/MCY/16393197 ")</f>
        <v xml:space="preserve">http://slimages.macys.com/is/image/MCY/16393197 </v>
      </c>
    </row>
    <row r="708" spans="1:12" ht="24.75" x14ac:dyDescent="0.25">
      <c r="A708" s="4" t="s">
        <v>7628</v>
      </c>
      <c r="B708" s="2" t="s">
        <v>7629</v>
      </c>
      <c r="C708" s="3">
        <v>1</v>
      </c>
      <c r="D708" s="5">
        <v>48</v>
      </c>
      <c r="E708" s="3" t="s">
        <v>7630</v>
      </c>
      <c r="F708" s="2" t="s">
        <v>132</v>
      </c>
      <c r="G708" s="6"/>
      <c r="H708" s="2" t="s">
        <v>3402</v>
      </c>
      <c r="I708" s="2" t="s">
        <v>3409</v>
      </c>
      <c r="J708" s="2"/>
      <c r="K708" s="2"/>
      <c r="L708" s="7" t="str">
        <f>HYPERLINK("http://slimages.macys.com/is/image/MCY/11869212 ")</f>
        <v xml:space="preserve">http://slimages.macys.com/is/image/MCY/11869212 </v>
      </c>
    </row>
    <row r="709" spans="1:12" ht="24.75" x14ac:dyDescent="0.25">
      <c r="A709" s="4" t="s">
        <v>7631</v>
      </c>
      <c r="B709" s="2" t="s">
        <v>1829</v>
      </c>
      <c r="C709" s="3">
        <v>1</v>
      </c>
      <c r="D709" s="5">
        <v>14.99</v>
      </c>
      <c r="E709" s="3" t="s">
        <v>7632</v>
      </c>
      <c r="F709" s="2" t="s">
        <v>417</v>
      </c>
      <c r="G709" s="6" t="s">
        <v>156</v>
      </c>
      <c r="H709" s="2" t="s">
        <v>194</v>
      </c>
      <c r="I709" s="2" t="s">
        <v>307</v>
      </c>
      <c r="J709" s="2" t="s">
        <v>19</v>
      </c>
      <c r="K709" s="2" t="s">
        <v>34</v>
      </c>
      <c r="L709" s="7" t="str">
        <f>HYPERLINK("http://slimages.macys.com/is/image/MCY/12668018 ")</f>
        <v xml:space="preserve">http://slimages.macys.com/is/image/MCY/12668018 </v>
      </c>
    </row>
    <row r="710" spans="1:12" ht="24.75" x14ac:dyDescent="0.25">
      <c r="A710" s="4" t="s">
        <v>7633</v>
      </c>
      <c r="B710" s="2" t="s">
        <v>1833</v>
      </c>
      <c r="C710" s="3">
        <v>1</v>
      </c>
      <c r="D710" s="5">
        <v>14.99</v>
      </c>
      <c r="E710" s="3" t="s">
        <v>1834</v>
      </c>
      <c r="F710" s="2" t="s">
        <v>566</v>
      </c>
      <c r="G710" s="6" t="s">
        <v>181</v>
      </c>
      <c r="H710" s="2" t="s">
        <v>194</v>
      </c>
      <c r="I710" s="2" t="s">
        <v>307</v>
      </c>
      <c r="J710" s="2" t="s">
        <v>19</v>
      </c>
      <c r="K710" s="2" t="s">
        <v>34</v>
      </c>
      <c r="L710" s="7" t="str">
        <f>HYPERLINK("http://slimages.macys.com/is/image/MCY/11337542 ")</f>
        <v xml:space="preserve">http://slimages.macys.com/is/image/MCY/11337542 </v>
      </c>
    </row>
    <row r="711" spans="1:12" ht="24.75" x14ac:dyDescent="0.25">
      <c r="A711" s="4" t="s">
        <v>7634</v>
      </c>
      <c r="B711" s="2" t="s">
        <v>1833</v>
      </c>
      <c r="C711" s="3">
        <v>1</v>
      </c>
      <c r="D711" s="5">
        <v>14.99</v>
      </c>
      <c r="E711" s="3" t="s">
        <v>1834</v>
      </c>
      <c r="F711" s="2" t="s">
        <v>566</v>
      </c>
      <c r="G711" s="6" t="s">
        <v>154</v>
      </c>
      <c r="H711" s="2" t="s">
        <v>194</v>
      </c>
      <c r="I711" s="2" t="s">
        <v>307</v>
      </c>
      <c r="J711" s="2" t="s">
        <v>19</v>
      </c>
      <c r="K711" s="2" t="s">
        <v>34</v>
      </c>
      <c r="L711" s="7" t="str">
        <f>HYPERLINK("http://slimages.macys.com/is/image/MCY/11337542 ")</f>
        <v xml:space="preserve">http://slimages.macys.com/is/image/MCY/11337542 </v>
      </c>
    </row>
    <row r="712" spans="1:12" ht="24.75" x14ac:dyDescent="0.25">
      <c r="A712" s="4" t="s">
        <v>6121</v>
      </c>
      <c r="B712" s="2" t="s">
        <v>1850</v>
      </c>
      <c r="C712" s="3">
        <v>1</v>
      </c>
      <c r="D712" s="5">
        <v>22.13</v>
      </c>
      <c r="E712" s="3" t="s">
        <v>1851</v>
      </c>
      <c r="F712" s="2" t="s">
        <v>64</v>
      </c>
      <c r="G712" s="6" t="s">
        <v>181</v>
      </c>
      <c r="H712" s="2" t="s">
        <v>194</v>
      </c>
      <c r="I712" s="2" t="s">
        <v>195</v>
      </c>
      <c r="J712" s="2" t="s">
        <v>19</v>
      </c>
      <c r="K712" s="2" t="s">
        <v>1108</v>
      </c>
      <c r="L712" s="7" t="str">
        <f>HYPERLINK("http://slimages.macys.com/is/image/MCY/15709119 ")</f>
        <v xml:space="preserve">http://slimages.macys.com/is/image/MCY/15709119 </v>
      </c>
    </row>
    <row r="713" spans="1:12" ht="24.75" x14ac:dyDescent="0.25">
      <c r="A713" s="4" t="s">
        <v>7635</v>
      </c>
      <c r="B713" s="2" t="s">
        <v>1853</v>
      </c>
      <c r="C713" s="3">
        <v>1</v>
      </c>
      <c r="D713" s="5">
        <v>17.989999999999998</v>
      </c>
      <c r="E713" s="3" t="s">
        <v>1854</v>
      </c>
      <c r="F713" s="2" t="s">
        <v>70</v>
      </c>
      <c r="G713" s="6"/>
      <c r="H713" s="2" t="s">
        <v>1425</v>
      </c>
      <c r="I713" s="2" t="s">
        <v>1469</v>
      </c>
      <c r="J713" s="2" t="s">
        <v>19</v>
      </c>
      <c r="K713" s="2" t="s">
        <v>353</v>
      </c>
      <c r="L713" s="7" t="str">
        <f>HYPERLINK("http://slimages.macys.com/is/image/MCY/3951544 ")</f>
        <v xml:space="preserve">http://slimages.macys.com/is/image/MCY/3951544 </v>
      </c>
    </row>
    <row r="714" spans="1:12" ht="24.75" x14ac:dyDescent="0.25">
      <c r="A714" s="4" t="s">
        <v>4138</v>
      </c>
      <c r="B714" s="2" t="s">
        <v>1856</v>
      </c>
      <c r="C714" s="3">
        <v>1</v>
      </c>
      <c r="D714" s="5">
        <v>17.989999999999998</v>
      </c>
      <c r="E714" s="3" t="s">
        <v>1857</v>
      </c>
      <c r="F714" s="2" t="s">
        <v>26</v>
      </c>
      <c r="G714" s="6"/>
      <c r="H714" s="2" t="s">
        <v>1425</v>
      </c>
      <c r="I714" s="2" t="s">
        <v>1469</v>
      </c>
      <c r="J714" s="2" t="s">
        <v>19</v>
      </c>
      <c r="K714" s="2" t="s">
        <v>353</v>
      </c>
      <c r="L714" s="7" t="str">
        <f>HYPERLINK("http://slimages.macys.com/is/image/MCY/11522835 ")</f>
        <v xml:space="preserve">http://slimages.macys.com/is/image/MCY/11522835 </v>
      </c>
    </row>
    <row r="715" spans="1:12" ht="24.75" x14ac:dyDescent="0.25">
      <c r="A715" s="4" t="s">
        <v>4137</v>
      </c>
      <c r="B715" s="2" t="s">
        <v>1856</v>
      </c>
      <c r="C715" s="3">
        <v>1</v>
      </c>
      <c r="D715" s="5">
        <v>17.989999999999998</v>
      </c>
      <c r="E715" s="3" t="s">
        <v>1857</v>
      </c>
      <c r="F715" s="2" t="s">
        <v>26</v>
      </c>
      <c r="G715" s="6"/>
      <c r="H715" s="2" t="s">
        <v>1425</v>
      </c>
      <c r="I715" s="2" t="s">
        <v>1469</v>
      </c>
      <c r="J715" s="2" t="s">
        <v>19</v>
      </c>
      <c r="K715" s="2" t="s">
        <v>353</v>
      </c>
      <c r="L715" s="7" t="str">
        <f>HYPERLINK("http://slimages.macys.com/is/image/MCY/11522835 ")</f>
        <v xml:space="preserve">http://slimages.macys.com/is/image/MCY/11522835 </v>
      </c>
    </row>
    <row r="716" spans="1:12" ht="24.75" x14ac:dyDescent="0.25">
      <c r="A716" s="4" t="s">
        <v>7636</v>
      </c>
      <c r="B716" s="2" t="s">
        <v>7637</v>
      </c>
      <c r="C716" s="3">
        <v>1</v>
      </c>
      <c r="D716" s="5">
        <v>20.99</v>
      </c>
      <c r="E716" s="3" t="s">
        <v>7638</v>
      </c>
      <c r="F716" s="2" t="s">
        <v>15</v>
      </c>
      <c r="G716" s="6" t="s">
        <v>154</v>
      </c>
      <c r="H716" s="2" t="s">
        <v>1473</v>
      </c>
      <c r="I716" s="2" t="s">
        <v>1426</v>
      </c>
      <c r="J716" s="2" t="s">
        <v>19</v>
      </c>
      <c r="K716" s="2" t="s">
        <v>803</v>
      </c>
      <c r="L716" s="7" t="str">
        <f>HYPERLINK("http://slimages.macys.com/is/image/MCY/12144612 ")</f>
        <v xml:space="preserve">http://slimages.macys.com/is/image/MCY/12144612 </v>
      </c>
    </row>
    <row r="717" spans="1:12" ht="24.75" x14ac:dyDescent="0.25">
      <c r="A717" s="4" t="s">
        <v>6831</v>
      </c>
      <c r="B717" s="2" t="s">
        <v>1859</v>
      </c>
      <c r="C717" s="3">
        <v>1</v>
      </c>
      <c r="D717" s="5">
        <v>20.99</v>
      </c>
      <c r="E717" s="3" t="s">
        <v>1860</v>
      </c>
      <c r="F717" s="2" t="s">
        <v>74</v>
      </c>
      <c r="G717" s="6" t="s">
        <v>234</v>
      </c>
      <c r="H717" s="2" t="s">
        <v>1473</v>
      </c>
      <c r="I717" s="2" t="s">
        <v>1426</v>
      </c>
      <c r="J717" s="2" t="s">
        <v>19</v>
      </c>
      <c r="K717" s="2" t="s">
        <v>803</v>
      </c>
      <c r="L717" s="7" t="str">
        <f>HYPERLINK("http://slimages.macys.com/is/image/MCY/12144754 ")</f>
        <v xml:space="preserve">http://slimages.macys.com/is/image/MCY/12144754 </v>
      </c>
    </row>
    <row r="718" spans="1:12" ht="24.75" x14ac:dyDescent="0.25">
      <c r="A718" s="4" t="s">
        <v>6832</v>
      </c>
      <c r="B718" s="2" t="s">
        <v>1862</v>
      </c>
      <c r="C718" s="3">
        <v>1</v>
      </c>
      <c r="D718" s="5">
        <v>20.99</v>
      </c>
      <c r="E718" s="3" t="s">
        <v>1868</v>
      </c>
      <c r="F718" s="2" t="s">
        <v>998</v>
      </c>
      <c r="G718" s="6" t="s">
        <v>234</v>
      </c>
      <c r="H718" s="2" t="s">
        <v>1473</v>
      </c>
      <c r="I718" s="2" t="s">
        <v>1864</v>
      </c>
      <c r="J718" s="2" t="s">
        <v>19</v>
      </c>
      <c r="K718" s="2" t="s">
        <v>648</v>
      </c>
      <c r="L718" s="7" t="str">
        <f>HYPERLINK("http://slimages.macys.com/is/image/MCY/12267099 ")</f>
        <v xml:space="preserve">http://slimages.macys.com/is/image/MCY/12267099 </v>
      </c>
    </row>
    <row r="719" spans="1:12" ht="24.75" x14ac:dyDescent="0.25">
      <c r="A719" s="4" t="s">
        <v>1870</v>
      </c>
      <c r="B719" s="2" t="s">
        <v>1862</v>
      </c>
      <c r="C719" s="3">
        <v>1</v>
      </c>
      <c r="D719" s="5">
        <v>20.99</v>
      </c>
      <c r="E719" s="3" t="s">
        <v>1868</v>
      </c>
      <c r="F719" s="2" t="s">
        <v>15</v>
      </c>
      <c r="G719" s="6" t="s">
        <v>156</v>
      </c>
      <c r="H719" s="2" t="s">
        <v>1473</v>
      </c>
      <c r="I719" s="2" t="s">
        <v>1864</v>
      </c>
      <c r="J719" s="2" t="s">
        <v>19</v>
      </c>
      <c r="K719" s="2" t="s">
        <v>648</v>
      </c>
      <c r="L719" s="7" t="str">
        <f>HYPERLINK("http://slimages.macys.com/is/image/MCY/12267099 ")</f>
        <v xml:space="preserve">http://slimages.macys.com/is/image/MCY/12267099 </v>
      </c>
    </row>
    <row r="720" spans="1:12" ht="24.75" x14ac:dyDescent="0.25">
      <c r="A720" s="4" t="s">
        <v>7639</v>
      </c>
      <c r="B720" s="2" t="s">
        <v>7640</v>
      </c>
      <c r="C720" s="3">
        <v>1</v>
      </c>
      <c r="D720" s="5">
        <v>21.99</v>
      </c>
      <c r="E720" s="3" t="s">
        <v>7641</v>
      </c>
      <c r="F720" s="2" t="s">
        <v>74</v>
      </c>
      <c r="G720" s="6" t="s">
        <v>154</v>
      </c>
      <c r="H720" s="2" t="s">
        <v>284</v>
      </c>
      <c r="I720" s="2" t="s">
        <v>285</v>
      </c>
      <c r="J720" s="2" t="s">
        <v>19</v>
      </c>
      <c r="K720" s="2" t="s">
        <v>247</v>
      </c>
      <c r="L720" s="7" t="str">
        <f>HYPERLINK("http://slimages.macys.com/is/image/MCY/11233530 ")</f>
        <v xml:space="preserve">http://slimages.macys.com/is/image/MCY/11233530 </v>
      </c>
    </row>
    <row r="721" spans="1:12" ht="24.75" x14ac:dyDescent="0.25">
      <c r="A721" s="4" t="s">
        <v>5169</v>
      </c>
      <c r="B721" s="2" t="s">
        <v>1862</v>
      </c>
      <c r="C721" s="3">
        <v>1</v>
      </c>
      <c r="D721" s="5">
        <v>20.99</v>
      </c>
      <c r="E721" s="3" t="s">
        <v>1868</v>
      </c>
      <c r="F721" s="2" t="s">
        <v>70</v>
      </c>
      <c r="G721" s="6" t="s">
        <v>234</v>
      </c>
      <c r="H721" s="2" t="s">
        <v>1473</v>
      </c>
      <c r="I721" s="2" t="s">
        <v>1864</v>
      </c>
      <c r="J721" s="2" t="s">
        <v>19</v>
      </c>
      <c r="K721" s="2" t="s">
        <v>648</v>
      </c>
      <c r="L721" s="7" t="str">
        <f>HYPERLINK("http://slimages.macys.com/is/image/MCY/12267099 ")</f>
        <v xml:space="preserve">http://slimages.macys.com/is/image/MCY/12267099 </v>
      </c>
    </row>
    <row r="722" spans="1:12" ht="24.75" x14ac:dyDescent="0.25">
      <c r="A722" s="4" t="s">
        <v>4141</v>
      </c>
      <c r="B722" s="2" t="s">
        <v>3049</v>
      </c>
      <c r="C722" s="3">
        <v>1</v>
      </c>
      <c r="D722" s="5">
        <v>14.99</v>
      </c>
      <c r="E722" s="3" t="s">
        <v>3050</v>
      </c>
      <c r="F722" s="2" t="s">
        <v>74</v>
      </c>
      <c r="G722" s="6" t="s">
        <v>156</v>
      </c>
      <c r="H722" s="2" t="s">
        <v>1473</v>
      </c>
      <c r="I722" s="2" t="s">
        <v>1426</v>
      </c>
      <c r="J722" s="2" t="s">
        <v>19</v>
      </c>
      <c r="K722" s="2" t="s">
        <v>495</v>
      </c>
      <c r="L722" s="7" t="str">
        <f>HYPERLINK("http://slimages.macys.com/is/image/MCY/11029120 ")</f>
        <v xml:space="preserve">http://slimages.macys.com/is/image/MCY/11029120 </v>
      </c>
    </row>
    <row r="723" spans="1:12" ht="24.75" x14ac:dyDescent="0.25">
      <c r="A723" s="4" t="s">
        <v>7642</v>
      </c>
      <c r="B723" s="2" t="s">
        <v>6128</v>
      </c>
      <c r="C723" s="3">
        <v>1</v>
      </c>
      <c r="D723" s="5">
        <v>17.989999999999998</v>
      </c>
      <c r="E723" s="3" t="s">
        <v>6129</v>
      </c>
      <c r="F723" s="2" t="s">
        <v>15</v>
      </c>
      <c r="G723" s="6" t="s">
        <v>181</v>
      </c>
      <c r="H723" s="2" t="s">
        <v>1473</v>
      </c>
      <c r="I723" s="2" t="s">
        <v>1426</v>
      </c>
      <c r="J723" s="2" t="s">
        <v>19</v>
      </c>
      <c r="K723" s="2" t="s">
        <v>495</v>
      </c>
      <c r="L723" s="7" t="str">
        <f>HYPERLINK("http://slimages.macys.com/is/image/MCY/11831265 ")</f>
        <v xml:space="preserve">http://slimages.macys.com/is/image/MCY/11831265 </v>
      </c>
    </row>
    <row r="724" spans="1:12" ht="24.75" x14ac:dyDescent="0.25">
      <c r="A724" s="4" t="s">
        <v>7643</v>
      </c>
      <c r="B724" s="2" t="s">
        <v>7644</v>
      </c>
      <c r="C724" s="3">
        <v>1</v>
      </c>
      <c r="D724" s="5">
        <v>29.63</v>
      </c>
      <c r="E724" s="3" t="s">
        <v>7645</v>
      </c>
      <c r="F724" s="2" t="s">
        <v>15</v>
      </c>
      <c r="G724" s="6" t="s">
        <v>156</v>
      </c>
      <c r="H724" s="2" t="s">
        <v>284</v>
      </c>
      <c r="I724" s="2" t="s">
        <v>285</v>
      </c>
      <c r="J724" s="2" t="s">
        <v>19</v>
      </c>
      <c r="K724" s="2" t="s">
        <v>160</v>
      </c>
      <c r="L724" s="7" t="str">
        <f>HYPERLINK("http://slimages.macys.com/is/image/MCY/12671557 ")</f>
        <v xml:space="preserve">http://slimages.macys.com/is/image/MCY/12671557 </v>
      </c>
    </row>
    <row r="725" spans="1:12" ht="24.75" x14ac:dyDescent="0.25">
      <c r="A725" s="4" t="s">
        <v>7646</v>
      </c>
      <c r="B725" s="2" t="s">
        <v>7647</v>
      </c>
      <c r="C725" s="3">
        <v>1</v>
      </c>
      <c r="D725" s="5">
        <v>28.5</v>
      </c>
      <c r="E725" s="3" t="s">
        <v>7648</v>
      </c>
      <c r="F725" s="2" t="s">
        <v>170</v>
      </c>
      <c r="G725" s="6" t="s">
        <v>200</v>
      </c>
      <c r="H725" s="2" t="s">
        <v>284</v>
      </c>
      <c r="I725" s="2" t="s">
        <v>285</v>
      </c>
      <c r="J725" s="2" t="s">
        <v>19</v>
      </c>
      <c r="K725" s="2" t="s">
        <v>247</v>
      </c>
      <c r="L725" s="7" t="str">
        <f>HYPERLINK("http://slimages.macys.com/is/image/MCY/14425002 ")</f>
        <v xml:space="preserve">http://slimages.macys.com/is/image/MCY/14425002 </v>
      </c>
    </row>
    <row r="726" spans="1:12" ht="24.75" x14ac:dyDescent="0.25">
      <c r="A726" s="4" t="s">
        <v>7649</v>
      </c>
      <c r="B726" s="2" t="s">
        <v>7647</v>
      </c>
      <c r="C726" s="3">
        <v>1</v>
      </c>
      <c r="D726" s="5">
        <v>28.5</v>
      </c>
      <c r="E726" s="3" t="s">
        <v>7648</v>
      </c>
      <c r="F726" s="2" t="s">
        <v>170</v>
      </c>
      <c r="G726" s="6" t="s">
        <v>154</v>
      </c>
      <c r="H726" s="2" t="s">
        <v>284</v>
      </c>
      <c r="I726" s="2" t="s">
        <v>285</v>
      </c>
      <c r="J726" s="2" t="s">
        <v>19</v>
      </c>
      <c r="K726" s="2" t="s">
        <v>247</v>
      </c>
      <c r="L726" s="7" t="str">
        <f>HYPERLINK("http://slimages.macys.com/is/image/MCY/14425002 ")</f>
        <v xml:space="preserve">http://slimages.macys.com/is/image/MCY/14425002 </v>
      </c>
    </row>
    <row r="727" spans="1:12" ht="24.75" x14ac:dyDescent="0.25">
      <c r="A727" s="4" t="s">
        <v>6847</v>
      </c>
      <c r="B727" s="2" t="s">
        <v>1888</v>
      </c>
      <c r="C727" s="3">
        <v>2</v>
      </c>
      <c r="D727" s="5">
        <v>29.63</v>
      </c>
      <c r="E727" s="3" t="s">
        <v>1889</v>
      </c>
      <c r="F727" s="2" t="s">
        <v>998</v>
      </c>
      <c r="G727" s="6" t="s">
        <v>154</v>
      </c>
      <c r="H727" s="2" t="s">
        <v>194</v>
      </c>
      <c r="I727" s="2" t="s">
        <v>195</v>
      </c>
      <c r="J727" s="2" t="s">
        <v>19</v>
      </c>
      <c r="K727" s="2" t="s">
        <v>648</v>
      </c>
      <c r="L727" s="7" t="str">
        <f>HYPERLINK("http://slimages.macys.com/is/image/MCY/10482866 ")</f>
        <v xml:space="preserve">http://slimages.macys.com/is/image/MCY/10482866 </v>
      </c>
    </row>
    <row r="728" spans="1:12" ht="24.75" x14ac:dyDescent="0.25">
      <c r="A728" s="4" t="s">
        <v>6844</v>
      </c>
      <c r="B728" s="2" t="s">
        <v>1888</v>
      </c>
      <c r="C728" s="3">
        <v>1</v>
      </c>
      <c r="D728" s="5">
        <v>29.63</v>
      </c>
      <c r="E728" s="3" t="s">
        <v>1889</v>
      </c>
      <c r="F728" s="2" t="s">
        <v>998</v>
      </c>
      <c r="G728" s="6" t="s">
        <v>181</v>
      </c>
      <c r="H728" s="2" t="s">
        <v>194</v>
      </c>
      <c r="I728" s="2" t="s">
        <v>195</v>
      </c>
      <c r="J728" s="2" t="s">
        <v>19</v>
      </c>
      <c r="K728" s="2" t="s">
        <v>648</v>
      </c>
      <c r="L728" s="7" t="str">
        <f>HYPERLINK("http://slimages.macys.com/is/image/MCY/10482866 ")</f>
        <v xml:space="preserve">http://slimages.macys.com/is/image/MCY/10482866 </v>
      </c>
    </row>
    <row r="729" spans="1:12" ht="24.75" x14ac:dyDescent="0.25">
      <c r="A729" s="4" t="s">
        <v>3066</v>
      </c>
      <c r="B729" s="2" t="s">
        <v>1896</v>
      </c>
      <c r="C729" s="3">
        <v>1</v>
      </c>
      <c r="D729" s="5">
        <v>20.99</v>
      </c>
      <c r="E729" s="3" t="s">
        <v>1899</v>
      </c>
      <c r="F729" s="2" t="s">
        <v>74</v>
      </c>
      <c r="G729" s="6" t="s">
        <v>245</v>
      </c>
      <c r="H729" s="2" t="s">
        <v>1473</v>
      </c>
      <c r="I729" s="2" t="s">
        <v>1864</v>
      </c>
      <c r="J729" s="2" t="s">
        <v>19</v>
      </c>
      <c r="K729" s="2" t="s">
        <v>648</v>
      </c>
      <c r="L729" s="7" t="str">
        <f>HYPERLINK("http://slimages.macys.com/is/image/MCY/10787705 ")</f>
        <v xml:space="preserve">http://slimages.macys.com/is/image/MCY/10787705 </v>
      </c>
    </row>
    <row r="730" spans="1:12" ht="24.75" x14ac:dyDescent="0.25">
      <c r="A730" s="4" t="s">
        <v>7650</v>
      </c>
      <c r="B730" s="2" t="s">
        <v>1896</v>
      </c>
      <c r="C730" s="3">
        <v>4</v>
      </c>
      <c r="D730" s="5">
        <v>20.99</v>
      </c>
      <c r="E730" s="3" t="s">
        <v>1899</v>
      </c>
      <c r="F730" s="2" t="s">
        <v>252</v>
      </c>
      <c r="G730" s="6" t="s">
        <v>181</v>
      </c>
      <c r="H730" s="2" t="s">
        <v>1473</v>
      </c>
      <c r="I730" s="2" t="s">
        <v>1864</v>
      </c>
      <c r="J730" s="2" t="s">
        <v>19</v>
      </c>
      <c r="K730" s="2" t="s">
        <v>648</v>
      </c>
      <c r="L730" s="7" t="str">
        <f>HYPERLINK("http://slimages.macys.com/is/image/MCY/10787705 ")</f>
        <v xml:space="preserve">http://slimages.macys.com/is/image/MCY/10787705 </v>
      </c>
    </row>
    <row r="731" spans="1:12" ht="24.75" x14ac:dyDescent="0.25">
      <c r="A731" s="4" t="s">
        <v>7651</v>
      </c>
      <c r="B731" s="2" t="s">
        <v>1896</v>
      </c>
      <c r="C731" s="3">
        <v>1</v>
      </c>
      <c r="D731" s="5">
        <v>20.99</v>
      </c>
      <c r="E731" s="3" t="s">
        <v>1897</v>
      </c>
      <c r="F731" s="2" t="s">
        <v>74</v>
      </c>
      <c r="G731" s="6" t="s">
        <v>219</v>
      </c>
      <c r="H731" s="2" t="s">
        <v>1425</v>
      </c>
      <c r="I731" s="2" t="s">
        <v>1864</v>
      </c>
      <c r="J731" s="2" t="s">
        <v>19</v>
      </c>
      <c r="K731" s="2" t="s">
        <v>648</v>
      </c>
      <c r="L731" s="7" t="str">
        <f>HYPERLINK("http://slimages.macys.com/is/image/MCY/10787699 ")</f>
        <v xml:space="preserve">http://slimages.macys.com/is/image/MCY/10787699 </v>
      </c>
    </row>
    <row r="732" spans="1:12" ht="24.75" x14ac:dyDescent="0.25">
      <c r="A732" s="4" t="s">
        <v>7652</v>
      </c>
      <c r="B732" s="2" t="s">
        <v>1896</v>
      </c>
      <c r="C732" s="3">
        <v>1</v>
      </c>
      <c r="D732" s="5">
        <v>20.99</v>
      </c>
      <c r="E732" s="3" t="s">
        <v>1897</v>
      </c>
      <c r="F732" s="2" t="s">
        <v>15</v>
      </c>
      <c r="G732" s="6"/>
      <c r="H732" s="2" t="s">
        <v>1425</v>
      </c>
      <c r="I732" s="2" t="s">
        <v>1864</v>
      </c>
      <c r="J732" s="2" t="s">
        <v>19</v>
      </c>
      <c r="K732" s="2" t="s">
        <v>648</v>
      </c>
      <c r="L732" s="7" t="str">
        <f>HYPERLINK("http://slimages.macys.com/is/image/MCY/10787699 ")</f>
        <v xml:space="preserve">http://slimages.macys.com/is/image/MCY/10787699 </v>
      </c>
    </row>
    <row r="733" spans="1:12" ht="24.75" x14ac:dyDescent="0.25">
      <c r="A733" s="4" t="s">
        <v>1916</v>
      </c>
      <c r="B733" s="2" t="s">
        <v>1896</v>
      </c>
      <c r="C733" s="3">
        <v>2</v>
      </c>
      <c r="D733" s="5">
        <v>20.99</v>
      </c>
      <c r="E733" s="3" t="s">
        <v>1899</v>
      </c>
      <c r="F733" s="2" t="s">
        <v>15</v>
      </c>
      <c r="G733" s="6" t="s">
        <v>154</v>
      </c>
      <c r="H733" s="2" t="s">
        <v>1473</v>
      </c>
      <c r="I733" s="2" t="s">
        <v>1864</v>
      </c>
      <c r="J733" s="2" t="s">
        <v>19</v>
      </c>
      <c r="K733" s="2" t="s">
        <v>648</v>
      </c>
      <c r="L733" s="7" t="str">
        <f>HYPERLINK("http://slimages.macys.com/is/image/MCY/10787705 ")</f>
        <v xml:space="preserve">http://slimages.macys.com/is/image/MCY/10787705 </v>
      </c>
    </row>
    <row r="734" spans="1:12" ht="24.75" x14ac:dyDescent="0.25">
      <c r="A734" s="4" t="s">
        <v>3076</v>
      </c>
      <c r="B734" s="2" t="s">
        <v>1896</v>
      </c>
      <c r="C734" s="3">
        <v>1</v>
      </c>
      <c r="D734" s="5">
        <v>20.99</v>
      </c>
      <c r="E734" s="3" t="s">
        <v>1899</v>
      </c>
      <c r="F734" s="2" t="s">
        <v>70</v>
      </c>
      <c r="G734" s="6" t="s">
        <v>154</v>
      </c>
      <c r="H734" s="2" t="s">
        <v>1473</v>
      </c>
      <c r="I734" s="2" t="s">
        <v>1864</v>
      </c>
      <c r="J734" s="2" t="s">
        <v>19</v>
      </c>
      <c r="K734" s="2" t="s">
        <v>648</v>
      </c>
      <c r="L734" s="7" t="str">
        <f>HYPERLINK("http://slimages.macys.com/is/image/MCY/10787705 ")</f>
        <v xml:space="preserve">http://slimages.macys.com/is/image/MCY/10787705 </v>
      </c>
    </row>
    <row r="735" spans="1:12" ht="24.75" x14ac:dyDescent="0.25">
      <c r="A735" s="4" t="s">
        <v>4157</v>
      </c>
      <c r="B735" s="2" t="s">
        <v>1892</v>
      </c>
      <c r="C735" s="3">
        <v>1</v>
      </c>
      <c r="D735" s="5">
        <v>20.99</v>
      </c>
      <c r="E735" s="3" t="s">
        <v>1901</v>
      </c>
      <c r="F735" s="2" t="s">
        <v>252</v>
      </c>
      <c r="G735" s="6" t="s">
        <v>234</v>
      </c>
      <c r="H735" s="2" t="s">
        <v>1473</v>
      </c>
      <c r="I735" s="2" t="s">
        <v>1864</v>
      </c>
      <c r="J735" s="2" t="s">
        <v>19</v>
      </c>
      <c r="K735" s="2" t="s">
        <v>648</v>
      </c>
      <c r="L735" s="7" t="str">
        <f>HYPERLINK("http://slimages.macys.com/is/image/MCY/11689284 ")</f>
        <v xml:space="preserve">http://slimages.macys.com/is/image/MCY/11689284 </v>
      </c>
    </row>
    <row r="736" spans="1:12" ht="24.75" x14ac:dyDescent="0.25">
      <c r="A736" s="4" t="s">
        <v>6133</v>
      </c>
      <c r="B736" s="2" t="s">
        <v>1892</v>
      </c>
      <c r="C736" s="3">
        <v>1</v>
      </c>
      <c r="D736" s="5">
        <v>20.99</v>
      </c>
      <c r="E736" s="3" t="s">
        <v>1901</v>
      </c>
      <c r="F736" s="2" t="s">
        <v>15</v>
      </c>
      <c r="G736" s="6" t="s">
        <v>154</v>
      </c>
      <c r="H736" s="2" t="s">
        <v>1473</v>
      </c>
      <c r="I736" s="2" t="s">
        <v>1864</v>
      </c>
      <c r="J736" s="2" t="s">
        <v>19</v>
      </c>
      <c r="K736" s="2" t="s">
        <v>648</v>
      </c>
      <c r="L736" s="7" t="str">
        <f>HYPERLINK("http://slimages.macys.com/is/image/MCY/11689284 ")</f>
        <v xml:space="preserve">http://slimages.macys.com/is/image/MCY/11689284 </v>
      </c>
    </row>
    <row r="737" spans="1:12" ht="24.75" x14ac:dyDescent="0.25">
      <c r="A737" s="4" t="s">
        <v>3071</v>
      </c>
      <c r="B737" s="2" t="s">
        <v>1892</v>
      </c>
      <c r="C737" s="3">
        <v>1</v>
      </c>
      <c r="D737" s="5">
        <v>20.99</v>
      </c>
      <c r="E737" s="3" t="s">
        <v>1901</v>
      </c>
      <c r="F737" s="2" t="s">
        <v>74</v>
      </c>
      <c r="G737" s="6" t="s">
        <v>154</v>
      </c>
      <c r="H737" s="2" t="s">
        <v>1473</v>
      </c>
      <c r="I737" s="2" t="s">
        <v>1864</v>
      </c>
      <c r="J737" s="2" t="s">
        <v>19</v>
      </c>
      <c r="K737" s="2" t="s">
        <v>648</v>
      </c>
      <c r="L737" s="7" t="str">
        <f>HYPERLINK("http://slimages.macys.com/is/image/MCY/11689284 ")</f>
        <v xml:space="preserve">http://slimages.macys.com/is/image/MCY/11689284 </v>
      </c>
    </row>
    <row r="738" spans="1:12" ht="24.75" x14ac:dyDescent="0.25">
      <c r="A738" s="4" t="s">
        <v>3056</v>
      </c>
      <c r="B738" s="2" t="s">
        <v>1892</v>
      </c>
      <c r="C738" s="3">
        <v>1</v>
      </c>
      <c r="D738" s="5">
        <v>20.99</v>
      </c>
      <c r="E738" s="3" t="s">
        <v>1901</v>
      </c>
      <c r="F738" s="2" t="s">
        <v>998</v>
      </c>
      <c r="G738" s="6" t="s">
        <v>234</v>
      </c>
      <c r="H738" s="2" t="s">
        <v>1473</v>
      </c>
      <c r="I738" s="2" t="s">
        <v>1864</v>
      </c>
      <c r="J738" s="2" t="s">
        <v>19</v>
      </c>
      <c r="K738" s="2" t="s">
        <v>648</v>
      </c>
      <c r="L738" s="7" t="str">
        <f>HYPERLINK("http://slimages.macys.com/is/image/MCY/11689284 ")</f>
        <v xml:space="preserve">http://slimages.macys.com/is/image/MCY/11689284 </v>
      </c>
    </row>
    <row r="739" spans="1:12" ht="24.75" x14ac:dyDescent="0.25">
      <c r="A739" s="4" t="s">
        <v>3064</v>
      </c>
      <c r="B739" s="2" t="s">
        <v>1896</v>
      </c>
      <c r="C739" s="3">
        <v>1</v>
      </c>
      <c r="D739" s="5">
        <v>20.99</v>
      </c>
      <c r="E739" s="3" t="s">
        <v>1899</v>
      </c>
      <c r="F739" s="2" t="s">
        <v>252</v>
      </c>
      <c r="G739" s="6" t="s">
        <v>156</v>
      </c>
      <c r="H739" s="2" t="s">
        <v>1473</v>
      </c>
      <c r="I739" s="2" t="s">
        <v>1864</v>
      </c>
      <c r="J739" s="2" t="s">
        <v>19</v>
      </c>
      <c r="K739" s="2" t="s">
        <v>648</v>
      </c>
      <c r="L739" s="7" t="str">
        <f t="shared" ref="L739:L745" si="12">HYPERLINK("http://slimages.macys.com/is/image/MCY/10787705 ")</f>
        <v xml:space="preserve">http://slimages.macys.com/is/image/MCY/10787705 </v>
      </c>
    </row>
    <row r="740" spans="1:12" ht="24.75" x14ac:dyDescent="0.25">
      <c r="A740" s="4" t="s">
        <v>3068</v>
      </c>
      <c r="B740" s="2" t="s">
        <v>1896</v>
      </c>
      <c r="C740" s="3">
        <v>3</v>
      </c>
      <c r="D740" s="5">
        <v>20.99</v>
      </c>
      <c r="E740" s="3" t="s">
        <v>1899</v>
      </c>
      <c r="F740" s="2" t="s">
        <v>74</v>
      </c>
      <c r="G740" s="6" t="s">
        <v>181</v>
      </c>
      <c r="H740" s="2" t="s">
        <v>1473</v>
      </c>
      <c r="I740" s="2" t="s">
        <v>1864</v>
      </c>
      <c r="J740" s="2" t="s">
        <v>19</v>
      </c>
      <c r="K740" s="2" t="s">
        <v>648</v>
      </c>
      <c r="L740" s="7" t="str">
        <f t="shared" si="12"/>
        <v xml:space="preserve">http://slimages.macys.com/is/image/MCY/10787705 </v>
      </c>
    </row>
    <row r="741" spans="1:12" ht="24.75" x14ac:dyDescent="0.25">
      <c r="A741" s="4" t="s">
        <v>3059</v>
      </c>
      <c r="B741" s="2" t="s">
        <v>1896</v>
      </c>
      <c r="C741" s="3">
        <v>3</v>
      </c>
      <c r="D741" s="5">
        <v>20.99</v>
      </c>
      <c r="E741" s="3" t="s">
        <v>1899</v>
      </c>
      <c r="F741" s="2" t="s">
        <v>74</v>
      </c>
      <c r="G741" s="6" t="s">
        <v>234</v>
      </c>
      <c r="H741" s="2" t="s">
        <v>1473</v>
      </c>
      <c r="I741" s="2" t="s">
        <v>1864</v>
      </c>
      <c r="J741" s="2" t="s">
        <v>19</v>
      </c>
      <c r="K741" s="2" t="s">
        <v>648</v>
      </c>
      <c r="L741" s="7" t="str">
        <f t="shared" si="12"/>
        <v xml:space="preserve">http://slimages.macys.com/is/image/MCY/10787705 </v>
      </c>
    </row>
    <row r="742" spans="1:12" ht="24.75" x14ac:dyDescent="0.25">
      <c r="A742" s="4" t="s">
        <v>3060</v>
      </c>
      <c r="B742" s="2" t="s">
        <v>1896</v>
      </c>
      <c r="C742" s="3">
        <v>1</v>
      </c>
      <c r="D742" s="5">
        <v>20.99</v>
      </c>
      <c r="E742" s="3" t="s">
        <v>1899</v>
      </c>
      <c r="F742" s="2" t="s">
        <v>15</v>
      </c>
      <c r="G742" s="6" t="s">
        <v>156</v>
      </c>
      <c r="H742" s="2" t="s">
        <v>1473</v>
      </c>
      <c r="I742" s="2" t="s">
        <v>1864</v>
      </c>
      <c r="J742" s="2" t="s">
        <v>19</v>
      </c>
      <c r="K742" s="2" t="s">
        <v>648</v>
      </c>
      <c r="L742" s="7" t="str">
        <f t="shared" si="12"/>
        <v xml:space="preserve">http://slimages.macys.com/is/image/MCY/10787705 </v>
      </c>
    </row>
    <row r="743" spans="1:12" ht="24.75" x14ac:dyDescent="0.25">
      <c r="A743" s="4" t="s">
        <v>3073</v>
      </c>
      <c r="B743" s="2" t="s">
        <v>1896</v>
      </c>
      <c r="C743" s="3">
        <v>4</v>
      </c>
      <c r="D743" s="5">
        <v>20.99</v>
      </c>
      <c r="E743" s="3" t="s">
        <v>1899</v>
      </c>
      <c r="F743" s="2" t="s">
        <v>15</v>
      </c>
      <c r="G743" s="6" t="s">
        <v>181</v>
      </c>
      <c r="H743" s="2" t="s">
        <v>1473</v>
      </c>
      <c r="I743" s="2" t="s">
        <v>1864</v>
      </c>
      <c r="J743" s="2" t="s">
        <v>19</v>
      </c>
      <c r="K743" s="2" t="s">
        <v>648</v>
      </c>
      <c r="L743" s="7" t="str">
        <f t="shared" si="12"/>
        <v xml:space="preserve">http://slimages.macys.com/is/image/MCY/10787705 </v>
      </c>
    </row>
    <row r="744" spans="1:12" ht="24.75" x14ac:dyDescent="0.25">
      <c r="A744" s="4" t="s">
        <v>3052</v>
      </c>
      <c r="B744" s="2" t="s">
        <v>1896</v>
      </c>
      <c r="C744" s="3">
        <v>2</v>
      </c>
      <c r="D744" s="5">
        <v>20.99</v>
      </c>
      <c r="E744" s="3" t="s">
        <v>1899</v>
      </c>
      <c r="F744" s="2" t="s">
        <v>74</v>
      </c>
      <c r="G744" s="6" t="s">
        <v>156</v>
      </c>
      <c r="H744" s="2" t="s">
        <v>1473</v>
      </c>
      <c r="I744" s="2" t="s">
        <v>1864</v>
      </c>
      <c r="J744" s="2" t="s">
        <v>19</v>
      </c>
      <c r="K744" s="2" t="s">
        <v>648</v>
      </c>
      <c r="L744" s="7" t="str">
        <f t="shared" si="12"/>
        <v xml:space="preserve">http://slimages.macys.com/is/image/MCY/10787705 </v>
      </c>
    </row>
    <row r="745" spans="1:12" ht="24.75" x14ac:dyDescent="0.25">
      <c r="A745" s="4" t="s">
        <v>6850</v>
      </c>
      <c r="B745" s="2" t="s">
        <v>1896</v>
      </c>
      <c r="C745" s="3">
        <v>1</v>
      </c>
      <c r="D745" s="5">
        <v>20.99</v>
      </c>
      <c r="E745" s="3" t="s">
        <v>1899</v>
      </c>
      <c r="F745" s="2" t="s">
        <v>70</v>
      </c>
      <c r="G745" s="6" t="s">
        <v>156</v>
      </c>
      <c r="H745" s="2" t="s">
        <v>1473</v>
      </c>
      <c r="I745" s="2" t="s">
        <v>1864</v>
      </c>
      <c r="J745" s="2" t="s">
        <v>19</v>
      </c>
      <c r="K745" s="2" t="s">
        <v>648</v>
      </c>
      <c r="L745" s="7" t="str">
        <f t="shared" si="12"/>
        <v xml:space="preserve">http://slimages.macys.com/is/image/MCY/10787705 </v>
      </c>
    </row>
    <row r="746" spans="1:12" ht="24.75" x14ac:dyDescent="0.25">
      <c r="A746" s="4" t="s">
        <v>3051</v>
      </c>
      <c r="B746" s="2" t="s">
        <v>1892</v>
      </c>
      <c r="C746" s="3">
        <v>1</v>
      </c>
      <c r="D746" s="5">
        <v>20.99</v>
      </c>
      <c r="E746" s="3" t="s">
        <v>1901</v>
      </c>
      <c r="F746" s="2" t="s">
        <v>998</v>
      </c>
      <c r="G746" s="6" t="s">
        <v>154</v>
      </c>
      <c r="H746" s="2" t="s">
        <v>1473</v>
      </c>
      <c r="I746" s="2" t="s">
        <v>1864</v>
      </c>
      <c r="J746" s="2" t="s">
        <v>19</v>
      </c>
      <c r="K746" s="2" t="s">
        <v>648</v>
      </c>
      <c r="L746" s="7" t="str">
        <f>HYPERLINK("http://slimages.macys.com/is/image/MCY/11689284 ")</f>
        <v xml:space="preserve">http://slimages.macys.com/is/image/MCY/11689284 </v>
      </c>
    </row>
    <row r="747" spans="1:12" ht="24.75" x14ac:dyDescent="0.25">
      <c r="A747" s="4" t="s">
        <v>3069</v>
      </c>
      <c r="B747" s="2" t="s">
        <v>1896</v>
      </c>
      <c r="C747" s="3">
        <v>2</v>
      </c>
      <c r="D747" s="5">
        <v>20.99</v>
      </c>
      <c r="E747" s="3" t="s">
        <v>1899</v>
      </c>
      <c r="F747" s="2" t="s">
        <v>998</v>
      </c>
      <c r="G747" s="6" t="s">
        <v>181</v>
      </c>
      <c r="H747" s="2" t="s">
        <v>1473</v>
      </c>
      <c r="I747" s="2" t="s">
        <v>1864</v>
      </c>
      <c r="J747" s="2" t="s">
        <v>19</v>
      </c>
      <c r="K747" s="2" t="s">
        <v>648</v>
      </c>
      <c r="L747" s="7" t="str">
        <f>HYPERLINK("http://slimages.macys.com/is/image/MCY/10787705 ")</f>
        <v xml:space="preserve">http://slimages.macys.com/is/image/MCY/10787705 </v>
      </c>
    </row>
    <row r="748" spans="1:12" ht="24.75" x14ac:dyDescent="0.25">
      <c r="A748" s="4" t="s">
        <v>1906</v>
      </c>
      <c r="B748" s="2" t="s">
        <v>1896</v>
      </c>
      <c r="C748" s="3">
        <v>1</v>
      </c>
      <c r="D748" s="5">
        <v>20.99</v>
      </c>
      <c r="E748" s="3" t="s">
        <v>1899</v>
      </c>
      <c r="F748" s="2" t="s">
        <v>998</v>
      </c>
      <c r="G748" s="6" t="s">
        <v>156</v>
      </c>
      <c r="H748" s="2" t="s">
        <v>1473</v>
      </c>
      <c r="I748" s="2" t="s">
        <v>1864</v>
      </c>
      <c r="J748" s="2" t="s">
        <v>19</v>
      </c>
      <c r="K748" s="2" t="s">
        <v>648</v>
      </c>
      <c r="L748" s="7" t="str">
        <f>HYPERLINK("http://slimages.macys.com/is/image/MCY/10787705 ")</f>
        <v xml:space="preserve">http://slimages.macys.com/is/image/MCY/10787705 </v>
      </c>
    </row>
    <row r="749" spans="1:12" ht="24.75" x14ac:dyDescent="0.25">
      <c r="A749" s="4" t="s">
        <v>7653</v>
      </c>
      <c r="B749" s="2" t="s">
        <v>1896</v>
      </c>
      <c r="C749" s="3">
        <v>2</v>
      </c>
      <c r="D749" s="5">
        <v>20.99</v>
      </c>
      <c r="E749" s="3" t="s">
        <v>1897</v>
      </c>
      <c r="F749" s="2" t="s">
        <v>74</v>
      </c>
      <c r="G749" s="6"/>
      <c r="H749" s="2" t="s">
        <v>1425</v>
      </c>
      <c r="I749" s="2" t="s">
        <v>1864</v>
      </c>
      <c r="J749" s="2" t="s">
        <v>19</v>
      </c>
      <c r="K749" s="2" t="s">
        <v>648</v>
      </c>
      <c r="L749" s="7" t="str">
        <f>HYPERLINK("http://slimages.macys.com/is/image/MCY/10787699 ")</f>
        <v xml:space="preserve">http://slimages.macys.com/is/image/MCY/10787699 </v>
      </c>
    </row>
    <row r="750" spans="1:12" ht="24.75" x14ac:dyDescent="0.25">
      <c r="A750" s="4" t="s">
        <v>3058</v>
      </c>
      <c r="B750" s="2" t="s">
        <v>1896</v>
      </c>
      <c r="C750" s="3">
        <v>1</v>
      </c>
      <c r="D750" s="5">
        <v>20.99</v>
      </c>
      <c r="E750" s="3" t="s">
        <v>1897</v>
      </c>
      <c r="F750" s="2" t="s">
        <v>15</v>
      </c>
      <c r="G750" s="6"/>
      <c r="H750" s="2" t="s">
        <v>1425</v>
      </c>
      <c r="I750" s="2" t="s">
        <v>1864</v>
      </c>
      <c r="J750" s="2" t="s">
        <v>19</v>
      </c>
      <c r="K750" s="2" t="s">
        <v>648</v>
      </c>
      <c r="L750" s="7" t="str">
        <f>HYPERLINK("http://slimages.macys.com/is/image/MCY/10787699 ")</f>
        <v xml:space="preserve">http://slimages.macys.com/is/image/MCY/10787699 </v>
      </c>
    </row>
    <row r="751" spans="1:12" ht="24.75" x14ac:dyDescent="0.25">
      <c r="A751" s="4" t="s">
        <v>1903</v>
      </c>
      <c r="B751" s="2" t="s">
        <v>1896</v>
      </c>
      <c r="C751" s="3">
        <v>2</v>
      </c>
      <c r="D751" s="5">
        <v>20.99</v>
      </c>
      <c r="E751" s="3" t="s">
        <v>1897</v>
      </c>
      <c r="F751" s="2" t="s">
        <v>74</v>
      </c>
      <c r="G751" s="6"/>
      <c r="H751" s="2" t="s">
        <v>1425</v>
      </c>
      <c r="I751" s="2" t="s">
        <v>1864</v>
      </c>
      <c r="J751" s="2" t="s">
        <v>19</v>
      </c>
      <c r="K751" s="2" t="s">
        <v>648</v>
      </c>
      <c r="L751" s="7" t="str">
        <f>HYPERLINK("http://slimages.macys.com/is/image/MCY/10787699 ")</f>
        <v xml:space="preserve">http://slimages.macys.com/is/image/MCY/10787699 </v>
      </c>
    </row>
    <row r="752" spans="1:12" ht="24.75" x14ac:dyDescent="0.25">
      <c r="A752" s="4" t="s">
        <v>7654</v>
      </c>
      <c r="B752" s="2" t="s">
        <v>1896</v>
      </c>
      <c r="C752" s="3">
        <v>2</v>
      </c>
      <c r="D752" s="5">
        <v>20.99</v>
      </c>
      <c r="E752" s="3" t="s">
        <v>1897</v>
      </c>
      <c r="F752" s="2" t="s">
        <v>74</v>
      </c>
      <c r="G752" s="6"/>
      <c r="H752" s="2" t="s">
        <v>1425</v>
      </c>
      <c r="I752" s="2" t="s">
        <v>1864</v>
      </c>
      <c r="J752" s="2" t="s">
        <v>19</v>
      </c>
      <c r="K752" s="2" t="s">
        <v>648</v>
      </c>
      <c r="L752" s="7" t="str">
        <f>HYPERLINK("http://slimages.macys.com/is/image/MCY/10787699 ")</f>
        <v xml:space="preserve">http://slimages.macys.com/is/image/MCY/10787699 </v>
      </c>
    </row>
    <row r="753" spans="1:12" ht="24.75" x14ac:dyDescent="0.25">
      <c r="A753" s="4" t="s">
        <v>1902</v>
      </c>
      <c r="B753" s="2" t="s">
        <v>1896</v>
      </c>
      <c r="C753" s="3">
        <v>1</v>
      </c>
      <c r="D753" s="5">
        <v>20.99</v>
      </c>
      <c r="E753" s="3" t="s">
        <v>1897</v>
      </c>
      <c r="F753" s="2" t="s">
        <v>15</v>
      </c>
      <c r="G753" s="6"/>
      <c r="H753" s="2" t="s">
        <v>1425</v>
      </c>
      <c r="I753" s="2" t="s">
        <v>1864</v>
      </c>
      <c r="J753" s="2" t="s">
        <v>19</v>
      </c>
      <c r="K753" s="2" t="s">
        <v>648</v>
      </c>
      <c r="L753" s="7" t="str">
        <f>HYPERLINK("http://slimages.macys.com/is/image/MCY/10787699 ")</f>
        <v xml:space="preserve">http://slimages.macys.com/is/image/MCY/10787699 </v>
      </c>
    </row>
    <row r="754" spans="1:12" ht="24.75" x14ac:dyDescent="0.25">
      <c r="A754" s="4" t="s">
        <v>1909</v>
      </c>
      <c r="B754" s="2" t="s">
        <v>1892</v>
      </c>
      <c r="C754" s="3">
        <v>1</v>
      </c>
      <c r="D754" s="5">
        <v>20.99</v>
      </c>
      <c r="E754" s="3" t="s">
        <v>1893</v>
      </c>
      <c r="F754" s="2" t="s">
        <v>15</v>
      </c>
      <c r="G754" s="6"/>
      <c r="H754" s="2" t="s">
        <v>1425</v>
      </c>
      <c r="I754" s="2" t="s">
        <v>1864</v>
      </c>
      <c r="J754" s="2" t="s">
        <v>19</v>
      </c>
      <c r="K754" s="2" t="s">
        <v>1894</v>
      </c>
      <c r="L754" s="7" t="str">
        <f>HYPERLINK("http://slimages.macys.com/is/image/MCY/11689288 ")</f>
        <v xml:space="preserve">http://slimages.macys.com/is/image/MCY/11689288 </v>
      </c>
    </row>
    <row r="755" spans="1:12" ht="24.75" x14ac:dyDescent="0.25">
      <c r="A755" s="4" t="s">
        <v>7655</v>
      </c>
      <c r="B755" s="2" t="s">
        <v>1892</v>
      </c>
      <c r="C755" s="3">
        <v>1</v>
      </c>
      <c r="D755" s="5">
        <v>20.99</v>
      </c>
      <c r="E755" s="3" t="s">
        <v>1901</v>
      </c>
      <c r="F755" s="2" t="s">
        <v>1296</v>
      </c>
      <c r="G755" s="6" t="s">
        <v>156</v>
      </c>
      <c r="H755" s="2" t="s">
        <v>1473</v>
      </c>
      <c r="I755" s="2" t="s">
        <v>1864</v>
      </c>
      <c r="J755" s="2" t="s">
        <v>19</v>
      </c>
      <c r="K755" s="2" t="s">
        <v>648</v>
      </c>
      <c r="L755" s="7" t="str">
        <f>HYPERLINK("http://slimages.macys.com/is/image/MCY/11689284 ")</f>
        <v xml:space="preserve">http://slimages.macys.com/is/image/MCY/11689284 </v>
      </c>
    </row>
    <row r="756" spans="1:12" ht="24.75" x14ac:dyDescent="0.25">
      <c r="A756" s="4" t="s">
        <v>6849</v>
      </c>
      <c r="B756" s="2" t="s">
        <v>1896</v>
      </c>
      <c r="C756" s="3">
        <v>2</v>
      </c>
      <c r="D756" s="5">
        <v>20.99</v>
      </c>
      <c r="E756" s="3" t="s">
        <v>1899</v>
      </c>
      <c r="F756" s="2" t="s">
        <v>252</v>
      </c>
      <c r="G756" s="6" t="s">
        <v>245</v>
      </c>
      <c r="H756" s="2" t="s">
        <v>1473</v>
      </c>
      <c r="I756" s="2" t="s">
        <v>1864</v>
      </c>
      <c r="J756" s="2" t="s">
        <v>19</v>
      </c>
      <c r="K756" s="2" t="s">
        <v>648</v>
      </c>
      <c r="L756" s="7" t="str">
        <f>HYPERLINK("http://slimages.macys.com/is/image/MCY/10787705 ")</f>
        <v xml:space="preserve">http://slimages.macys.com/is/image/MCY/10787705 </v>
      </c>
    </row>
    <row r="757" spans="1:12" ht="24.75" x14ac:dyDescent="0.25">
      <c r="A757" s="4" t="s">
        <v>7656</v>
      </c>
      <c r="B757" s="2" t="s">
        <v>1892</v>
      </c>
      <c r="C757" s="3">
        <v>1</v>
      </c>
      <c r="D757" s="5">
        <v>20.99</v>
      </c>
      <c r="E757" s="3" t="s">
        <v>1901</v>
      </c>
      <c r="F757" s="2" t="s">
        <v>74</v>
      </c>
      <c r="G757" s="6" t="s">
        <v>245</v>
      </c>
      <c r="H757" s="2" t="s">
        <v>1473</v>
      </c>
      <c r="I757" s="2" t="s">
        <v>1864</v>
      </c>
      <c r="J757" s="2" t="s">
        <v>19</v>
      </c>
      <c r="K757" s="2" t="s">
        <v>648</v>
      </c>
      <c r="L757" s="7" t="str">
        <f>HYPERLINK("http://slimages.macys.com/is/image/MCY/11689284 ")</f>
        <v xml:space="preserve">http://slimages.macys.com/is/image/MCY/11689284 </v>
      </c>
    </row>
    <row r="758" spans="1:12" ht="24.75" x14ac:dyDescent="0.25">
      <c r="A758" s="4" t="s">
        <v>4152</v>
      </c>
      <c r="B758" s="2" t="s">
        <v>1892</v>
      </c>
      <c r="C758" s="3">
        <v>3</v>
      </c>
      <c r="D758" s="5">
        <v>20.99</v>
      </c>
      <c r="E758" s="3" t="s">
        <v>1901</v>
      </c>
      <c r="F758" s="2" t="s">
        <v>15</v>
      </c>
      <c r="G758" s="6" t="s">
        <v>181</v>
      </c>
      <c r="H758" s="2" t="s">
        <v>1473</v>
      </c>
      <c r="I758" s="2" t="s">
        <v>1864</v>
      </c>
      <c r="J758" s="2" t="s">
        <v>19</v>
      </c>
      <c r="K758" s="2" t="s">
        <v>648</v>
      </c>
      <c r="L758" s="7" t="str">
        <f>HYPERLINK("http://slimages.macys.com/is/image/MCY/11689284 ")</f>
        <v xml:space="preserve">http://slimages.macys.com/is/image/MCY/11689284 </v>
      </c>
    </row>
    <row r="759" spans="1:12" ht="24.75" x14ac:dyDescent="0.25">
      <c r="A759" s="4" t="s">
        <v>5176</v>
      </c>
      <c r="B759" s="2" t="s">
        <v>1896</v>
      </c>
      <c r="C759" s="3">
        <v>3</v>
      </c>
      <c r="D759" s="5">
        <v>20.99</v>
      </c>
      <c r="E759" s="3" t="s">
        <v>1899</v>
      </c>
      <c r="F759" s="2" t="s">
        <v>252</v>
      </c>
      <c r="G759" s="6" t="s">
        <v>154</v>
      </c>
      <c r="H759" s="2" t="s">
        <v>1473</v>
      </c>
      <c r="I759" s="2" t="s">
        <v>1864</v>
      </c>
      <c r="J759" s="2" t="s">
        <v>19</v>
      </c>
      <c r="K759" s="2" t="s">
        <v>648</v>
      </c>
      <c r="L759" s="7" t="str">
        <f>HYPERLINK("http://slimages.macys.com/is/image/MCY/10787705 ")</f>
        <v xml:space="preserve">http://slimages.macys.com/is/image/MCY/10787705 </v>
      </c>
    </row>
    <row r="760" spans="1:12" ht="24.75" x14ac:dyDescent="0.25">
      <c r="A760" s="4" t="s">
        <v>7657</v>
      </c>
      <c r="B760" s="2" t="s">
        <v>3081</v>
      </c>
      <c r="C760" s="3">
        <v>1</v>
      </c>
      <c r="D760" s="5">
        <v>17.989999999999998</v>
      </c>
      <c r="E760" s="3" t="s">
        <v>3082</v>
      </c>
      <c r="F760" s="2" t="s">
        <v>26</v>
      </c>
      <c r="G760" s="6" t="s">
        <v>156</v>
      </c>
      <c r="H760" s="2" t="s">
        <v>1473</v>
      </c>
      <c r="I760" s="2" t="s">
        <v>1426</v>
      </c>
      <c r="J760" s="2" t="s">
        <v>19</v>
      </c>
      <c r="K760" s="2" t="s">
        <v>990</v>
      </c>
      <c r="L760" s="7" t="str">
        <f>HYPERLINK("http://slimages.macys.com/is/image/MCY/11882211 ")</f>
        <v xml:space="preserve">http://slimages.macys.com/is/image/MCY/11882211 </v>
      </c>
    </row>
    <row r="761" spans="1:12" ht="24.75" x14ac:dyDescent="0.25">
      <c r="A761" s="4" t="s">
        <v>7658</v>
      </c>
      <c r="B761" s="2" t="s">
        <v>7659</v>
      </c>
      <c r="C761" s="3">
        <v>1</v>
      </c>
      <c r="D761" s="5">
        <v>17.989999999999998</v>
      </c>
      <c r="E761" s="3" t="s">
        <v>7660</v>
      </c>
      <c r="F761" s="2" t="s">
        <v>417</v>
      </c>
      <c r="G761" s="6" t="s">
        <v>234</v>
      </c>
      <c r="H761" s="2" t="s">
        <v>1473</v>
      </c>
      <c r="I761" s="2" t="s">
        <v>1426</v>
      </c>
      <c r="J761" s="2" t="s">
        <v>19</v>
      </c>
      <c r="K761" s="2" t="s">
        <v>648</v>
      </c>
      <c r="L761" s="7" t="str">
        <f>HYPERLINK("http://slimages.macys.com/is/image/MCY/11882297 ")</f>
        <v xml:space="preserve">http://slimages.macys.com/is/image/MCY/11882297 </v>
      </c>
    </row>
    <row r="762" spans="1:12" ht="24.75" x14ac:dyDescent="0.25">
      <c r="A762" s="4" t="s">
        <v>7661</v>
      </c>
      <c r="B762" s="2" t="s">
        <v>3101</v>
      </c>
      <c r="C762" s="3">
        <v>1</v>
      </c>
      <c r="D762" s="5">
        <v>14.99</v>
      </c>
      <c r="E762" s="3" t="s">
        <v>3102</v>
      </c>
      <c r="F762" s="2" t="s">
        <v>64</v>
      </c>
      <c r="G762" s="6"/>
      <c r="H762" s="2" t="s">
        <v>1425</v>
      </c>
      <c r="I762" s="2" t="s">
        <v>1426</v>
      </c>
      <c r="J762" s="2"/>
      <c r="K762" s="2"/>
      <c r="L762" s="7" t="str">
        <f>HYPERLINK("http://slimages.macys.com/is/image/MCY/9931748 ")</f>
        <v xml:space="preserve">http://slimages.macys.com/is/image/MCY/9931748 </v>
      </c>
    </row>
    <row r="763" spans="1:12" ht="24.75" x14ac:dyDescent="0.25">
      <c r="A763" s="4" t="s">
        <v>7662</v>
      </c>
      <c r="B763" s="2" t="s">
        <v>3101</v>
      </c>
      <c r="C763" s="3">
        <v>1</v>
      </c>
      <c r="D763" s="5">
        <v>14.99</v>
      </c>
      <c r="E763" s="3" t="s">
        <v>3102</v>
      </c>
      <c r="F763" s="2" t="s">
        <v>64</v>
      </c>
      <c r="G763" s="6"/>
      <c r="H763" s="2" t="s">
        <v>1425</v>
      </c>
      <c r="I763" s="2" t="s">
        <v>1426</v>
      </c>
      <c r="J763" s="2"/>
      <c r="K763" s="2"/>
      <c r="L763" s="7" t="str">
        <f>HYPERLINK("http://slimages.macys.com/is/image/MCY/9931748 ")</f>
        <v xml:space="preserve">http://slimages.macys.com/is/image/MCY/9931748 </v>
      </c>
    </row>
    <row r="764" spans="1:12" ht="24.75" x14ac:dyDescent="0.25">
      <c r="A764" s="4" t="s">
        <v>3110</v>
      </c>
      <c r="B764" s="2" t="s">
        <v>1927</v>
      </c>
      <c r="C764" s="3">
        <v>2</v>
      </c>
      <c r="D764" s="5">
        <v>17.989999999999998</v>
      </c>
      <c r="E764" s="3" t="s">
        <v>1928</v>
      </c>
      <c r="F764" s="2" t="s">
        <v>15</v>
      </c>
      <c r="G764" s="6" t="s">
        <v>234</v>
      </c>
      <c r="H764" s="2" t="s">
        <v>1473</v>
      </c>
      <c r="I764" s="2" t="s">
        <v>1426</v>
      </c>
      <c r="J764" s="2" t="s">
        <v>19</v>
      </c>
      <c r="K764" s="2" t="s">
        <v>803</v>
      </c>
      <c r="L764" s="7" t="str">
        <f>HYPERLINK("http://slimages.macys.com/is/image/MCY/11882200 ")</f>
        <v xml:space="preserve">http://slimages.macys.com/is/image/MCY/11882200 </v>
      </c>
    </row>
    <row r="765" spans="1:12" ht="24.75" x14ac:dyDescent="0.25">
      <c r="A765" s="4" t="s">
        <v>7663</v>
      </c>
      <c r="B765" s="2" t="s">
        <v>1927</v>
      </c>
      <c r="C765" s="3">
        <v>1</v>
      </c>
      <c r="D765" s="5">
        <v>17.989999999999998</v>
      </c>
      <c r="E765" s="3" t="s">
        <v>3105</v>
      </c>
      <c r="F765" s="2" t="s">
        <v>74</v>
      </c>
      <c r="G765" s="6" t="s">
        <v>219</v>
      </c>
      <c r="H765" s="2" t="s">
        <v>1425</v>
      </c>
      <c r="I765" s="2" t="s">
        <v>1426</v>
      </c>
      <c r="J765" s="2" t="s">
        <v>19</v>
      </c>
      <c r="K765" s="2" t="s">
        <v>803</v>
      </c>
      <c r="L765" s="7" t="str">
        <f>HYPERLINK("http://slimages.macys.com/is/image/MCY/11882201 ")</f>
        <v xml:space="preserve">http://slimages.macys.com/is/image/MCY/11882201 </v>
      </c>
    </row>
    <row r="766" spans="1:12" ht="24.75" x14ac:dyDescent="0.25">
      <c r="A766" s="4" t="s">
        <v>3109</v>
      </c>
      <c r="B766" s="2" t="s">
        <v>1927</v>
      </c>
      <c r="C766" s="3">
        <v>1</v>
      </c>
      <c r="D766" s="5">
        <v>17.989999999999998</v>
      </c>
      <c r="E766" s="3" t="s">
        <v>1928</v>
      </c>
      <c r="F766" s="2" t="s">
        <v>74</v>
      </c>
      <c r="G766" s="6" t="s">
        <v>154</v>
      </c>
      <c r="H766" s="2" t="s">
        <v>1473</v>
      </c>
      <c r="I766" s="2" t="s">
        <v>1426</v>
      </c>
      <c r="J766" s="2" t="s">
        <v>19</v>
      </c>
      <c r="K766" s="2" t="s">
        <v>803</v>
      </c>
      <c r="L766" s="7" t="str">
        <f>HYPERLINK("http://slimages.macys.com/is/image/MCY/11882200 ")</f>
        <v xml:space="preserve">http://slimages.macys.com/is/image/MCY/11882200 </v>
      </c>
    </row>
    <row r="767" spans="1:12" ht="24.75" x14ac:dyDescent="0.25">
      <c r="A767" s="4" t="s">
        <v>5185</v>
      </c>
      <c r="B767" s="2" t="s">
        <v>1927</v>
      </c>
      <c r="C767" s="3">
        <v>1</v>
      </c>
      <c r="D767" s="5">
        <v>17.989999999999998</v>
      </c>
      <c r="E767" s="3" t="s">
        <v>3105</v>
      </c>
      <c r="F767" s="2" t="s">
        <v>74</v>
      </c>
      <c r="G767" s="6" t="s">
        <v>187</v>
      </c>
      <c r="H767" s="2" t="s">
        <v>1425</v>
      </c>
      <c r="I767" s="2" t="s">
        <v>1426</v>
      </c>
      <c r="J767" s="2" t="s">
        <v>19</v>
      </c>
      <c r="K767" s="2" t="s">
        <v>803</v>
      </c>
      <c r="L767" s="7" t="str">
        <f>HYPERLINK("http://slimages.macys.com/is/image/MCY/11882201 ")</f>
        <v xml:space="preserve">http://slimages.macys.com/is/image/MCY/11882201 </v>
      </c>
    </row>
    <row r="768" spans="1:12" ht="24.75" x14ac:dyDescent="0.25">
      <c r="A768" s="4" t="s">
        <v>4179</v>
      </c>
      <c r="B768" s="2" t="s">
        <v>1927</v>
      </c>
      <c r="C768" s="3">
        <v>1</v>
      </c>
      <c r="D768" s="5">
        <v>17.989999999999998</v>
      </c>
      <c r="E768" s="3" t="s">
        <v>3105</v>
      </c>
      <c r="F768" s="2" t="s">
        <v>15</v>
      </c>
      <c r="G768" s="6"/>
      <c r="H768" s="2" t="s">
        <v>1425</v>
      </c>
      <c r="I768" s="2" t="s">
        <v>1426</v>
      </c>
      <c r="J768" s="2" t="s">
        <v>19</v>
      </c>
      <c r="K768" s="2" t="s">
        <v>803</v>
      </c>
      <c r="L768" s="7" t="str">
        <f>HYPERLINK("http://slimages.macys.com/is/image/MCY/11882201 ")</f>
        <v xml:space="preserve">http://slimages.macys.com/is/image/MCY/11882201 </v>
      </c>
    </row>
    <row r="769" spans="1:12" ht="24.75" x14ac:dyDescent="0.25">
      <c r="A769" s="4" t="s">
        <v>7664</v>
      </c>
      <c r="B769" s="2" t="s">
        <v>1927</v>
      </c>
      <c r="C769" s="3">
        <v>1</v>
      </c>
      <c r="D769" s="5">
        <v>17.989999999999998</v>
      </c>
      <c r="E769" s="3" t="s">
        <v>1928</v>
      </c>
      <c r="F769" s="2" t="s">
        <v>74</v>
      </c>
      <c r="G769" s="6" t="s">
        <v>234</v>
      </c>
      <c r="H769" s="2" t="s">
        <v>1473</v>
      </c>
      <c r="I769" s="2" t="s">
        <v>1426</v>
      </c>
      <c r="J769" s="2" t="s">
        <v>19</v>
      </c>
      <c r="K769" s="2" t="s">
        <v>803</v>
      </c>
      <c r="L769" s="7" t="str">
        <f>HYPERLINK("http://slimages.macys.com/is/image/MCY/11882200 ")</f>
        <v xml:space="preserve">http://slimages.macys.com/is/image/MCY/11882200 </v>
      </c>
    </row>
    <row r="770" spans="1:12" ht="24.75" x14ac:dyDescent="0.25">
      <c r="A770" s="4" t="s">
        <v>3116</v>
      </c>
      <c r="B770" s="2" t="s">
        <v>1932</v>
      </c>
      <c r="C770" s="3">
        <v>1</v>
      </c>
      <c r="D770" s="5">
        <v>16.989999999999998</v>
      </c>
      <c r="E770" s="3" t="s">
        <v>1933</v>
      </c>
      <c r="F770" s="2" t="s">
        <v>15</v>
      </c>
      <c r="G770" s="6" t="s">
        <v>154</v>
      </c>
      <c r="H770" s="2" t="s">
        <v>1473</v>
      </c>
      <c r="I770" s="2" t="s">
        <v>1864</v>
      </c>
      <c r="J770" s="2" t="s">
        <v>19</v>
      </c>
      <c r="K770" s="2" t="s">
        <v>648</v>
      </c>
      <c r="L770" s="7" t="str">
        <f>HYPERLINK("http://slimages.macys.com/is/image/MCY/11634794 ")</f>
        <v xml:space="preserve">http://slimages.macys.com/is/image/MCY/11634794 </v>
      </c>
    </row>
    <row r="771" spans="1:12" ht="24.75" x14ac:dyDescent="0.25">
      <c r="A771" s="4" t="s">
        <v>7665</v>
      </c>
      <c r="B771" s="2" t="s">
        <v>7666</v>
      </c>
      <c r="C771" s="3">
        <v>1</v>
      </c>
      <c r="D771" s="5">
        <v>21.99</v>
      </c>
      <c r="E771" s="3" t="s">
        <v>7667</v>
      </c>
      <c r="F771" s="2" t="s">
        <v>74</v>
      </c>
      <c r="G771" s="6" t="s">
        <v>200</v>
      </c>
      <c r="H771" s="2" t="s">
        <v>284</v>
      </c>
      <c r="I771" s="2" t="s">
        <v>285</v>
      </c>
      <c r="J771" s="2" t="s">
        <v>19</v>
      </c>
      <c r="K771" s="2" t="s">
        <v>247</v>
      </c>
      <c r="L771" s="7" t="str">
        <f>HYPERLINK("http://slimages.macys.com/is/image/MCY/12055713 ")</f>
        <v xml:space="preserve">http://slimages.macys.com/is/image/MCY/12055713 </v>
      </c>
    </row>
    <row r="772" spans="1:12" x14ac:dyDescent="0.25">
      <c r="A772" s="4" t="s">
        <v>7668</v>
      </c>
      <c r="B772" s="2" t="s">
        <v>3026</v>
      </c>
      <c r="C772" s="3">
        <v>1</v>
      </c>
      <c r="D772" s="5">
        <v>26.99</v>
      </c>
      <c r="E772" s="3" t="s">
        <v>7669</v>
      </c>
      <c r="F772" s="2" t="s">
        <v>111</v>
      </c>
      <c r="G772" s="6"/>
      <c r="H772" s="2" t="s">
        <v>349</v>
      </c>
      <c r="I772" s="2" t="s">
        <v>285</v>
      </c>
      <c r="J772" s="2" t="s">
        <v>19</v>
      </c>
      <c r="K772" s="2" t="s">
        <v>247</v>
      </c>
      <c r="L772" s="7" t="str">
        <f>HYPERLINK("http://slimages.macys.com/is/image/MCY/15935726 ")</f>
        <v xml:space="preserve">http://slimages.macys.com/is/image/MCY/15935726 </v>
      </c>
    </row>
    <row r="773" spans="1:12" ht="24.75" x14ac:dyDescent="0.25">
      <c r="A773" s="4" t="s">
        <v>7670</v>
      </c>
      <c r="B773" s="2" t="s">
        <v>1918</v>
      </c>
      <c r="C773" s="3">
        <v>1</v>
      </c>
      <c r="D773" s="5">
        <v>19.989999999999998</v>
      </c>
      <c r="E773" s="3" t="s">
        <v>1919</v>
      </c>
      <c r="F773" s="2"/>
      <c r="G773" s="6"/>
      <c r="H773" s="2" t="s">
        <v>188</v>
      </c>
      <c r="I773" s="2" t="s">
        <v>189</v>
      </c>
      <c r="J773" s="2" t="s">
        <v>19</v>
      </c>
      <c r="K773" s="2" t="s">
        <v>648</v>
      </c>
      <c r="L773" s="7" t="str">
        <f>HYPERLINK("http://slimages.macys.com/is/image/MCY/11625273 ")</f>
        <v xml:space="preserve">http://slimages.macys.com/is/image/MCY/11625273 </v>
      </c>
    </row>
    <row r="774" spans="1:12" ht="24.75" x14ac:dyDescent="0.25">
      <c r="A774" s="4" t="s">
        <v>7671</v>
      </c>
      <c r="B774" s="2" t="s">
        <v>1918</v>
      </c>
      <c r="C774" s="3">
        <v>1</v>
      </c>
      <c r="D774" s="5">
        <v>19.989999999999998</v>
      </c>
      <c r="E774" s="3" t="s">
        <v>3087</v>
      </c>
      <c r="F774" s="2" t="s">
        <v>132</v>
      </c>
      <c r="G774" s="6" t="s">
        <v>154</v>
      </c>
      <c r="H774" s="2" t="s">
        <v>246</v>
      </c>
      <c r="I774" s="2" t="s">
        <v>189</v>
      </c>
      <c r="J774" s="2" t="s">
        <v>19</v>
      </c>
      <c r="K774" s="2" t="s">
        <v>648</v>
      </c>
      <c r="L774" s="7" t="str">
        <f>HYPERLINK("http://slimages.macys.com/is/image/MCY/8123674 ")</f>
        <v xml:space="preserve">http://slimages.macys.com/is/image/MCY/8123674 </v>
      </c>
    </row>
    <row r="775" spans="1:12" ht="24.75" x14ac:dyDescent="0.25">
      <c r="A775" s="4" t="s">
        <v>7672</v>
      </c>
      <c r="B775" s="2" t="s">
        <v>1918</v>
      </c>
      <c r="C775" s="3">
        <v>2</v>
      </c>
      <c r="D775" s="5">
        <v>19.989999999999998</v>
      </c>
      <c r="E775" s="3" t="s">
        <v>3087</v>
      </c>
      <c r="F775" s="2" t="s">
        <v>132</v>
      </c>
      <c r="G775" s="6" t="s">
        <v>234</v>
      </c>
      <c r="H775" s="2" t="s">
        <v>246</v>
      </c>
      <c r="I775" s="2" t="s">
        <v>189</v>
      </c>
      <c r="J775" s="2" t="s">
        <v>19</v>
      </c>
      <c r="K775" s="2" t="s">
        <v>648</v>
      </c>
      <c r="L775" s="7" t="str">
        <f>HYPERLINK("http://slimages.macys.com/is/image/MCY/8123674 ")</f>
        <v xml:space="preserve">http://slimages.macys.com/is/image/MCY/8123674 </v>
      </c>
    </row>
    <row r="776" spans="1:12" ht="24.75" x14ac:dyDescent="0.25">
      <c r="A776" s="4" t="s">
        <v>7673</v>
      </c>
      <c r="B776" s="2" t="s">
        <v>7674</v>
      </c>
      <c r="C776" s="3">
        <v>1</v>
      </c>
      <c r="D776" s="5">
        <v>14.99</v>
      </c>
      <c r="E776" s="3" t="s">
        <v>7675</v>
      </c>
      <c r="F776" s="2" t="s">
        <v>33</v>
      </c>
      <c r="G776" s="6"/>
      <c r="H776" s="2" t="s">
        <v>1425</v>
      </c>
      <c r="I776" s="2" t="s">
        <v>1469</v>
      </c>
      <c r="J776" s="2" t="s">
        <v>19</v>
      </c>
      <c r="K776" s="2" t="s">
        <v>495</v>
      </c>
      <c r="L776" s="7" t="str">
        <f>HYPERLINK("http://slimages.macys.com/is/image/MCY/11028879 ")</f>
        <v xml:space="preserve">http://slimages.macys.com/is/image/MCY/11028879 </v>
      </c>
    </row>
    <row r="777" spans="1:12" ht="24.75" x14ac:dyDescent="0.25">
      <c r="A777" s="4" t="s">
        <v>5190</v>
      </c>
      <c r="B777" s="2" t="s">
        <v>1937</v>
      </c>
      <c r="C777" s="3">
        <v>1</v>
      </c>
      <c r="D777" s="5">
        <v>19.989999999999998</v>
      </c>
      <c r="E777" s="3" t="s">
        <v>1938</v>
      </c>
      <c r="F777" s="2"/>
      <c r="G777" s="6" t="s">
        <v>234</v>
      </c>
      <c r="H777" s="2" t="s">
        <v>246</v>
      </c>
      <c r="I777" s="2" t="s">
        <v>1939</v>
      </c>
      <c r="J777" s="2" t="s">
        <v>19</v>
      </c>
      <c r="K777" s="2" t="s">
        <v>1940</v>
      </c>
      <c r="L777" s="7" t="str">
        <f>HYPERLINK("http://slimages.macys.com/is/image/MCY/11523112 ")</f>
        <v xml:space="preserve">http://slimages.macys.com/is/image/MCY/11523112 </v>
      </c>
    </row>
    <row r="778" spans="1:12" ht="24.75" x14ac:dyDescent="0.25">
      <c r="A778" s="4" t="s">
        <v>7676</v>
      </c>
      <c r="B778" s="2" t="s">
        <v>1566</v>
      </c>
      <c r="C778" s="3">
        <v>1</v>
      </c>
      <c r="D778" s="5">
        <v>34.5</v>
      </c>
      <c r="E778" s="3" t="s">
        <v>7677</v>
      </c>
      <c r="F778" s="2" t="s">
        <v>413</v>
      </c>
      <c r="G778" s="6" t="s">
        <v>187</v>
      </c>
      <c r="H778" s="2" t="s">
        <v>127</v>
      </c>
      <c r="I778" s="2" t="s">
        <v>128</v>
      </c>
      <c r="J778" s="2" t="s">
        <v>19</v>
      </c>
      <c r="K778" s="2" t="s">
        <v>247</v>
      </c>
      <c r="L778" s="7" t="str">
        <f>HYPERLINK("http://slimages.macys.com/is/image/MCY/11530434 ")</f>
        <v xml:space="preserve">http://slimages.macys.com/is/image/MCY/11530434 </v>
      </c>
    </row>
    <row r="779" spans="1:12" ht="24.75" x14ac:dyDescent="0.25">
      <c r="A779" s="4" t="s">
        <v>6153</v>
      </c>
      <c r="B779" s="2" t="s">
        <v>1942</v>
      </c>
      <c r="C779" s="3">
        <v>1</v>
      </c>
      <c r="D779" s="5">
        <v>17.989999999999998</v>
      </c>
      <c r="E779" s="3" t="s">
        <v>1943</v>
      </c>
      <c r="F779" s="2" t="s">
        <v>15</v>
      </c>
      <c r="G779" s="6" t="s">
        <v>154</v>
      </c>
      <c r="H779" s="2" t="s">
        <v>1522</v>
      </c>
      <c r="I779" s="2" t="s">
        <v>1469</v>
      </c>
      <c r="J779" s="2" t="s">
        <v>19</v>
      </c>
      <c r="K779" s="2" t="s">
        <v>353</v>
      </c>
      <c r="L779" s="7" t="str">
        <f>HYPERLINK("http://slimages.macys.com/is/image/MCY/10743541 ")</f>
        <v xml:space="preserve">http://slimages.macys.com/is/image/MCY/10743541 </v>
      </c>
    </row>
    <row r="780" spans="1:12" ht="24.75" x14ac:dyDescent="0.25">
      <c r="A780" s="4" t="s">
        <v>7678</v>
      </c>
      <c r="B780" s="2" t="s">
        <v>4188</v>
      </c>
      <c r="C780" s="3">
        <v>1</v>
      </c>
      <c r="D780" s="5">
        <v>17.989999999999998</v>
      </c>
      <c r="E780" s="3" t="s">
        <v>4189</v>
      </c>
      <c r="F780" s="2" t="s">
        <v>38</v>
      </c>
      <c r="G780" s="6" t="s">
        <v>200</v>
      </c>
      <c r="H780" s="2" t="s">
        <v>1473</v>
      </c>
      <c r="I780" s="2" t="s">
        <v>1426</v>
      </c>
      <c r="J780" s="2" t="s">
        <v>19</v>
      </c>
      <c r="K780" s="2" t="s">
        <v>990</v>
      </c>
      <c r="L780" s="7" t="str">
        <f>HYPERLINK("http://slimages.macys.com/is/image/MCY/12877743 ")</f>
        <v xml:space="preserve">http://slimages.macys.com/is/image/MCY/12877743 </v>
      </c>
    </row>
    <row r="781" spans="1:12" ht="24.75" x14ac:dyDescent="0.25">
      <c r="A781" s="4" t="s">
        <v>7679</v>
      </c>
      <c r="B781" s="2" t="s">
        <v>1942</v>
      </c>
      <c r="C781" s="3">
        <v>1</v>
      </c>
      <c r="D781" s="5">
        <v>17.989999999999998</v>
      </c>
      <c r="E781" s="3" t="s">
        <v>1943</v>
      </c>
      <c r="F781" s="2" t="s">
        <v>26</v>
      </c>
      <c r="G781" s="6" t="s">
        <v>234</v>
      </c>
      <c r="H781" s="2" t="s">
        <v>1522</v>
      </c>
      <c r="I781" s="2" t="s">
        <v>1469</v>
      </c>
      <c r="J781" s="2" t="s">
        <v>19</v>
      </c>
      <c r="K781" s="2" t="s">
        <v>353</v>
      </c>
      <c r="L781" s="7" t="str">
        <f>HYPERLINK("http://slimages.macys.com/is/image/MCY/10743541 ")</f>
        <v xml:space="preserve">http://slimages.macys.com/is/image/MCY/10743541 </v>
      </c>
    </row>
    <row r="782" spans="1:12" ht="24.75" x14ac:dyDescent="0.25">
      <c r="A782" s="4" t="s">
        <v>7680</v>
      </c>
      <c r="B782" s="2" t="s">
        <v>1942</v>
      </c>
      <c r="C782" s="3">
        <v>1</v>
      </c>
      <c r="D782" s="5">
        <v>17.989999999999998</v>
      </c>
      <c r="E782" s="3" t="s">
        <v>1943</v>
      </c>
      <c r="F782" s="2" t="s">
        <v>1945</v>
      </c>
      <c r="G782" s="6" t="s">
        <v>154</v>
      </c>
      <c r="H782" s="2" t="s">
        <v>1522</v>
      </c>
      <c r="I782" s="2" t="s">
        <v>1469</v>
      </c>
      <c r="J782" s="2" t="s">
        <v>19</v>
      </c>
      <c r="K782" s="2" t="s">
        <v>353</v>
      </c>
      <c r="L782" s="7" t="str">
        <f>HYPERLINK("http://slimages.macys.com/is/image/MCY/10743541 ")</f>
        <v xml:space="preserve">http://slimages.macys.com/is/image/MCY/10743541 </v>
      </c>
    </row>
    <row r="783" spans="1:12" ht="24.75" x14ac:dyDescent="0.25">
      <c r="A783" s="4" t="s">
        <v>4194</v>
      </c>
      <c r="B783" s="2" t="s">
        <v>3122</v>
      </c>
      <c r="C783" s="3">
        <v>1</v>
      </c>
      <c r="D783" s="5">
        <v>14.99</v>
      </c>
      <c r="E783" s="3" t="s">
        <v>3123</v>
      </c>
      <c r="F783" s="2" t="s">
        <v>79</v>
      </c>
      <c r="G783" s="6" t="s">
        <v>181</v>
      </c>
      <c r="H783" s="2" t="s">
        <v>1522</v>
      </c>
      <c r="I783" s="2" t="s">
        <v>1469</v>
      </c>
      <c r="J783" s="2" t="s">
        <v>19</v>
      </c>
      <c r="K783" s="2" t="s">
        <v>495</v>
      </c>
      <c r="L783" s="7" t="str">
        <f>HYPERLINK("http://slimages.macys.com/is/image/MCY/9957413 ")</f>
        <v xml:space="preserve">http://slimages.macys.com/is/image/MCY/9957413 </v>
      </c>
    </row>
    <row r="784" spans="1:12" ht="24.75" x14ac:dyDescent="0.25">
      <c r="A784" s="4" t="s">
        <v>7681</v>
      </c>
      <c r="B784" s="2" t="s">
        <v>3122</v>
      </c>
      <c r="C784" s="3">
        <v>2</v>
      </c>
      <c r="D784" s="5">
        <v>14.99</v>
      </c>
      <c r="E784" s="3" t="s">
        <v>3123</v>
      </c>
      <c r="F784" s="2" t="s">
        <v>79</v>
      </c>
      <c r="G784" s="6" t="s">
        <v>200</v>
      </c>
      <c r="H784" s="2" t="s">
        <v>1522</v>
      </c>
      <c r="I784" s="2" t="s">
        <v>1469</v>
      </c>
      <c r="J784" s="2" t="s">
        <v>19</v>
      </c>
      <c r="K784" s="2" t="s">
        <v>495</v>
      </c>
      <c r="L784" s="7" t="str">
        <f>HYPERLINK("http://slimages.macys.com/is/image/MCY/9957413 ")</f>
        <v xml:space="preserve">http://slimages.macys.com/is/image/MCY/9957413 </v>
      </c>
    </row>
    <row r="785" spans="1:12" ht="24.75" x14ac:dyDescent="0.25">
      <c r="A785" s="4" t="s">
        <v>5201</v>
      </c>
      <c r="B785" s="2" t="s">
        <v>3128</v>
      </c>
      <c r="C785" s="3">
        <v>1</v>
      </c>
      <c r="D785" s="5">
        <v>14.99</v>
      </c>
      <c r="E785" s="3" t="s">
        <v>3129</v>
      </c>
      <c r="F785" s="2" t="s">
        <v>26</v>
      </c>
      <c r="G785" s="6"/>
      <c r="H785" s="2" t="s">
        <v>1425</v>
      </c>
      <c r="I785" s="2" t="s">
        <v>1426</v>
      </c>
      <c r="J785" s="2" t="s">
        <v>19</v>
      </c>
      <c r="K785" s="2" t="s">
        <v>495</v>
      </c>
      <c r="L785" s="7" t="str">
        <f>HYPERLINK("http://slimages.macys.com/is/image/MCY/12064003 ")</f>
        <v xml:space="preserve">http://slimages.macys.com/is/image/MCY/12064003 </v>
      </c>
    </row>
    <row r="786" spans="1:12" ht="24.75" x14ac:dyDescent="0.25">
      <c r="A786" s="4" t="s">
        <v>3157</v>
      </c>
      <c r="B786" s="2" t="s">
        <v>3140</v>
      </c>
      <c r="C786" s="3">
        <v>1</v>
      </c>
      <c r="D786" s="5">
        <v>14.99</v>
      </c>
      <c r="E786" s="3" t="s">
        <v>3141</v>
      </c>
      <c r="F786" s="2" t="s">
        <v>15</v>
      </c>
      <c r="G786" s="6" t="s">
        <v>154</v>
      </c>
      <c r="H786" s="2" t="s">
        <v>1473</v>
      </c>
      <c r="I786" s="2" t="s">
        <v>1426</v>
      </c>
      <c r="J786" s="2" t="s">
        <v>19</v>
      </c>
      <c r="K786" s="2" t="s">
        <v>495</v>
      </c>
      <c r="L786" s="7" t="str">
        <f>HYPERLINK("http://slimages.macys.com/is/image/MCY/11774199 ")</f>
        <v xml:space="preserve">http://slimages.macys.com/is/image/MCY/11774199 </v>
      </c>
    </row>
    <row r="787" spans="1:12" ht="24.75" x14ac:dyDescent="0.25">
      <c r="A787" s="4" t="s">
        <v>3136</v>
      </c>
      <c r="B787" s="2" t="s">
        <v>3137</v>
      </c>
      <c r="C787" s="3">
        <v>1</v>
      </c>
      <c r="D787" s="5">
        <v>14.99</v>
      </c>
      <c r="E787" s="3" t="s">
        <v>3138</v>
      </c>
      <c r="F787" s="2" t="s">
        <v>26</v>
      </c>
      <c r="G787" s="6"/>
      <c r="H787" s="2" t="s">
        <v>1425</v>
      </c>
      <c r="I787" s="2" t="s">
        <v>1426</v>
      </c>
      <c r="J787" s="2" t="s">
        <v>19</v>
      </c>
      <c r="K787" s="2" t="s">
        <v>495</v>
      </c>
      <c r="L787" s="7" t="str">
        <f>HYPERLINK("http://slimages.macys.com/is/image/MCY/11915563 ")</f>
        <v xml:space="preserve">http://slimages.macys.com/is/image/MCY/11915563 </v>
      </c>
    </row>
    <row r="788" spans="1:12" ht="24.75" x14ac:dyDescent="0.25">
      <c r="A788" s="4" t="s">
        <v>3159</v>
      </c>
      <c r="B788" s="2" t="s">
        <v>3131</v>
      </c>
      <c r="C788" s="3">
        <v>1</v>
      </c>
      <c r="D788" s="5">
        <v>14.99</v>
      </c>
      <c r="E788" s="3" t="s">
        <v>3132</v>
      </c>
      <c r="F788" s="2" t="s">
        <v>94</v>
      </c>
      <c r="G788" s="6" t="s">
        <v>187</v>
      </c>
      <c r="H788" s="2" t="s">
        <v>1425</v>
      </c>
      <c r="I788" s="2" t="s">
        <v>1426</v>
      </c>
      <c r="J788" s="2" t="s">
        <v>19</v>
      </c>
      <c r="K788" s="2" t="s">
        <v>495</v>
      </c>
      <c r="L788" s="7" t="str">
        <f>HYPERLINK("http://slimages.macys.com/is/image/MCY/12673003 ")</f>
        <v xml:space="preserve">http://slimages.macys.com/is/image/MCY/12673003 </v>
      </c>
    </row>
    <row r="789" spans="1:12" ht="24.75" x14ac:dyDescent="0.25">
      <c r="A789" s="4" t="s">
        <v>7682</v>
      </c>
      <c r="B789" s="2" t="s">
        <v>7683</v>
      </c>
      <c r="C789" s="3">
        <v>1</v>
      </c>
      <c r="D789" s="5">
        <v>18.38</v>
      </c>
      <c r="E789" s="3">
        <v>100018061</v>
      </c>
      <c r="F789" s="2" t="s">
        <v>464</v>
      </c>
      <c r="G789" s="6" t="s">
        <v>154</v>
      </c>
      <c r="H789" s="2" t="s">
        <v>194</v>
      </c>
      <c r="I789" s="2" t="s">
        <v>195</v>
      </c>
      <c r="J789" s="2" t="s">
        <v>19</v>
      </c>
      <c r="K789" s="2" t="s">
        <v>495</v>
      </c>
      <c r="L789" s="7" t="str">
        <f>HYPERLINK("http://slimages.macys.com/is/image/MCY/12950402 ")</f>
        <v xml:space="preserve">http://slimages.macys.com/is/image/MCY/12950402 </v>
      </c>
    </row>
    <row r="790" spans="1:12" ht="24.75" x14ac:dyDescent="0.25">
      <c r="A790" s="4" t="s">
        <v>7684</v>
      </c>
      <c r="B790" s="2" t="s">
        <v>1954</v>
      </c>
      <c r="C790" s="3">
        <v>1</v>
      </c>
      <c r="D790" s="5">
        <v>18.38</v>
      </c>
      <c r="E790" s="3" t="s">
        <v>3173</v>
      </c>
      <c r="F790" s="2" t="s">
        <v>26</v>
      </c>
      <c r="G790" s="6" t="s">
        <v>156</v>
      </c>
      <c r="H790" s="2" t="s">
        <v>194</v>
      </c>
      <c r="I790" s="2" t="s">
        <v>195</v>
      </c>
      <c r="J790" s="2" t="s">
        <v>19</v>
      </c>
      <c r="K790" s="2" t="s">
        <v>1108</v>
      </c>
      <c r="L790" s="7" t="str">
        <f>HYPERLINK("http://slimages.macys.com/is/image/MCY/13036261 ")</f>
        <v xml:space="preserve">http://slimages.macys.com/is/image/MCY/13036261 </v>
      </c>
    </row>
    <row r="791" spans="1:12" ht="24.75" x14ac:dyDescent="0.25">
      <c r="A791" s="4" t="s">
        <v>1956</v>
      </c>
      <c r="B791" s="2" t="s">
        <v>1954</v>
      </c>
      <c r="C791" s="3">
        <v>1</v>
      </c>
      <c r="D791" s="5">
        <v>18.38</v>
      </c>
      <c r="E791" s="3" t="s">
        <v>1957</v>
      </c>
      <c r="F791" s="2" t="s">
        <v>15</v>
      </c>
      <c r="G791" s="6" t="s">
        <v>156</v>
      </c>
      <c r="H791" s="2" t="s">
        <v>194</v>
      </c>
      <c r="I791" s="2" t="s">
        <v>195</v>
      </c>
      <c r="J791" s="2" t="s">
        <v>19</v>
      </c>
      <c r="K791" s="2" t="s">
        <v>1108</v>
      </c>
      <c r="L791" s="7" t="str">
        <f>HYPERLINK("http://slimages.macys.com/is/image/MCY/13120664 ")</f>
        <v xml:space="preserve">http://slimages.macys.com/is/image/MCY/13120664 </v>
      </c>
    </row>
    <row r="792" spans="1:12" ht="24.75" x14ac:dyDescent="0.25">
      <c r="A792" s="4" t="s">
        <v>7685</v>
      </c>
      <c r="B792" s="2" t="s">
        <v>1954</v>
      </c>
      <c r="C792" s="3">
        <v>1</v>
      </c>
      <c r="D792" s="5">
        <v>18.38</v>
      </c>
      <c r="E792" s="3" t="s">
        <v>1955</v>
      </c>
      <c r="F792" s="2" t="s">
        <v>74</v>
      </c>
      <c r="G792" s="6" t="s">
        <v>154</v>
      </c>
      <c r="H792" s="2" t="s">
        <v>194</v>
      </c>
      <c r="I792" s="2" t="s">
        <v>195</v>
      </c>
      <c r="J792" s="2" t="s">
        <v>19</v>
      </c>
      <c r="K792" s="2" t="s">
        <v>1108</v>
      </c>
      <c r="L792" s="7" t="str">
        <f>HYPERLINK("http://slimages.macys.com/is/image/MCY/13036276 ")</f>
        <v xml:space="preserve">http://slimages.macys.com/is/image/MCY/13036276 </v>
      </c>
    </row>
    <row r="793" spans="1:12" ht="24.75" x14ac:dyDescent="0.25">
      <c r="A793" s="4" t="s">
        <v>7686</v>
      </c>
      <c r="B793" s="2" t="s">
        <v>3175</v>
      </c>
      <c r="C793" s="3">
        <v>1</v>
      </c>
      <c r="D793" s="5">
        <v>14.99</v>
      </c>
      <c r="E793" s="3" t="s">
        <v>7687</v>
      </c>
      <c r="F793" s="2" t="s">
        <v>111</v>
      </c>
      <c r="G793" s="6" t="s">
        <v>156</v>
      </c>
      <c r="H793" s="2" t="s">
        <v>194</v>
      </c>
      <c r="I793" s="2" t="s">
        <v>195</v>
      </c>
      <c r="J793" s="2" t="s">
        <v>19</v>
      </c>
      <c r="K793" s="2" t="s">
        <v>1108</v>
      </c>
      <c r="L793" s="7" t="str">
        <f>HYPERLINK("http://slimages.macys.com/is/image/MCY/11147951 ")</f>
        <v xml:space="preserve">http://slimages.macys.com/is/image/MCY/11147951 </v>
      </c>
    </row>
    <row r="794" spans="1:12" ht="24.75" x14ac:dyDescent="0.25">
      <c r="A794" s="4" t="s">
        <v>7688</v>
      </c>
      <c r="B794" s="2" t="s">
        <v>2068</v>
      </c>
      <c r="C794" s="3">
        <v>1</v>
      </c>
      <c r="D794" s="5">
        <v>12.99</v>
      </c>
      <c r="E794" s="3" t="s">
        <v>2069</v>
      </c>
      <c r="F794" s="2" t="s">
        <v>70</v>
      </c>
      <c r="G794" s="6" t="s">
        <v>234</v>
      </c>
      <c r="H794" s="2" t="s">
        <v>194</v>
      </c>
      <c r="I794" s="2" t="s">
        <v>195</v>
      </c>
      <c r="J794" s="2" t="s">
        <v>19</v>
      </c>
      <c r="K794" s="2" t="s">
        <v>648</v>
      </c>
      <c r="L794" s="7" t="str">
        <f>HYPERLINK("http://slimages.macys.com/is/image/MCY/12316464 ")</f>
        <v xml:space="preserve">http://slimages.macys.com/is/image/MCY/12316464 </v>
      </c>
    </row>
    <row r="795" spans="1:12" ht="24.75" x14ac:dyDescent="0.25">
      <c r="A795" s="4" t="s">
        <v>7689</v>
      </c>
      <c r="B795" s="2" t="s">
        <v>1962</v>
      </c>
      <c r="C795" s="3">
        <v>1</v>
      </c>
      <c r="D795" s="5">
        <v>21.99</v>
      </c>
      <c r="E795" s="3">
        <v>100017611</v>
      </c>
      <c r="F795" s="2" t="s">
        <v>956</v>
      </c>
      <c r="G795" s="6" t="s">
        <v>181</v>
      </c>
      <c r="H795" s="2" t="s">
        <v>284</v>
      </c>
      <c r="I795" s="2" t="s">
        <v>285</v>
      </c>
      <c r="J795" s="2" t="s">
        <v>19</v>
      </c>
      <c r="K795" s="2" t="s">
        <v>247</v>
      </c>
      <c r="L795" s="7" t="str">
        <f>HYPERLINK("http://slimages.macys.com/is/image/MCY/14013654 ")</f>
        <v xml:space="preserve">http://slimages.macys.com/is/image/MCY/14013654 </v>
      </c>
    </row>
    <row r="796" spans="1:12" ht="24.75" x14ac:dyDescent="0.25">
      <c r="A796" s="4" t="s">
        <v>7690</v>
      </c>
      <c r="B796" s="2" t="s">
        <v>3026</v>
      </c>
      <c r="C796" s="3">
        <v>1</v>
      </c>
      <c r="D796" s="5">
        <v>21.99</v>
      </c>
      <c r="E796" s="3" t="s">
        <v>6172</v>
      </c>
      <c r="F796" s="2" t="s">
        <v>331</v>
      </c>
      <c r="G796" s="6" t="s">
        <v>245</v>
      </c>
      <c r="H796" s="2" t="s">
        <v>284</v>
      </c>
      <c r="I796" s="2" t="s">
        <v>285</v>
      </c>
      <c r="J796" s="2"/>
      <c r="K796" s="2"/>
      <c r="L796" s="7" t="str">
        <f>HYPERLINK("http://slimages.macys.com/is/image/MCY/11640364 ")</f>
        <v xml:space="preserve">http://slimages.macys.com/is/image/MCY/11640364 </v>
      </c>
    </row>
    <row r="797" spans="1:12" ht="24.75" x14ac:dyDescent="0.25">
      <c r="A797" s="4" t="s">
        <v>7691</v>
      </c>
      <c r="B797" s="2" t="s">
        <v>3181</v>
      </c>
      <c r="C797" s="3">
        <v>1</v>
      </c>
      <c r="D797" s="5">
        <v>14.99</v>
      </c>
      <c r="E797" s="3" t="s">
        <v>3182</v>
      </c>
      <c r="F797" s="2" t="s">
        <v>15</v>
      </c>
      <c r="G797" s="6"/>
      <c r="H797" s="2" t="s">
        <v>1425</v>
      </c>
      <c r="I797" s="2" t="s">
        <v>1469</v>
      </c>
      <c r="J797" s="2" t="s">
        <v>19</v>
      </c>
      <c r="K797" s="2" t="s">
        <v>353</v>
      </c>
      <c r="L797" s="7" t="str">
        <f>HYPERLINK("http://slimages.macys.com/is/image/MCY/10743852 ")</f>
        <v xml:space="preserve">http://slimages.macys.com/is/image/MCY/10743852 </v>
      </c>
    </row>
    <row r="798" spans="1:12" ht="24.75" x14ac:dyDescent="0.25">
      <c r="A798" s="4" t="s">
        <v>4217</v>
      </c>
      <c r="B798" s="2" t="s">
        <v>1970</v>
      </c>
      <c r="C798" s="3">
        <v>1</v>
      </c>
      <c r="D798" s="5">
        <v>14.99</v>
      </c>
      <c r="E798" s="3" t="s">
        <v>1971</v>
      </c>
      <c r="F798" s="2" t="s">
        <v>64</v>
      </c>
      <c r="G798" s="6" t="s">
        <v>154</v>
      </c>
      <c r="H798" s="2" t="s">
        <v>1522</v>
      </c>
      <c r="I798" s="2" t="s">
        <v>1469</v>
      </c>
      <c r="J798" s="2" t="s">
        <v>19</v>
      </c>
      <c r="K798" s="2" t="s">
        <v>353</v>
      </c>
      <c r="L798" s="7" t="str">
        <f>HYPERLINK("http://slimages.macys.com/is/image/MCY/13741861 ")</f>
        <v xml:space="preserve">http://slimages.macys.com/is/image/MCY/13741861 </v>
      </c>
    </row>
    <row r="799" spans="1:12" ht="24.75" x14ac:dyDescent="0.25">
      <c r="A799" s="4" t="s">
        <v>7692</v>
      </c>
      <c r="B799" s="2" t="s">
        <v>1970</v>
      </c>
      <c r="C799" s="3">
        <v>1</v>
      </c>
      <c r="D799" s="5">
        <v>14.99</v>
      </c>
      <c r="E799" s="3" t="s">
        <v>1971</v>
      </c>
      <c r="F799" s="2" t="s">
        <v>26</v>
      </c>
      <c r="G799" s="6" t="s">
        <v>245</v>
      </c>
      <c r="H799" s="2" t="s">
        <v>1522</v>
      </c>
      <c r="I799" s="2" t="s">
        <v>1469</v>
      </c>
      <c r="J799" s="2" t="s">
        <v>19</v>
      </c>
      <c r="K799" s="2" t="s">
        <v>353</v>
      </c>
      <c r="L799" s="7" t="str">
        <f>HYPERLINK("http://slimages.macys.com/is/image/MCY/13741861 ")</f>
        <v xml:space="preserve">http://slimages.macys.com/is/image/MCY/13741861 </v>
      </c>
    </row>
    <row r="800" spans="1:12" ht="24.75" x14ac:dyDescent="0.25">
      <c r="A800" s="4" t="s">
        <v>6173</v>
      </c>
      <c r="B800" s="2" t="s">
        <v>1970</v>
      </c>
      <c r="C800" s="3">
        <v>1</v>
      </c>
      <c r="D800" s="5">
        <v>14.99</v>
      </c>
      <c r="E800" s="3" t="s">
        <v>1971</v>
      </c>
      <c r="F800" s="2" t="s">
        <v>1945</v>
      </c>
      <c r="G800" s="6" t="s">
        <v>181</v>
      </c>
      <c r="H800" s="2" t="s">
        <v>1522</v>
      </c>
      <c r="I800" s="2" t="s">
        <v>1469</v>
      </c>
      <c r="J800" s="2" t="s">
        <v>19</v>
      </c>
      <c r="K800" s="2" t="s">
        <v>353</v>
      </c>
      <c r="L800" s="7" t="str">
        <f>HYPERLINK("http://slimages.macys.com/is/image/MCY/13741861 ")</f>
        <v xml:space="preserve">http://slimages.macys.com/is/image/MCY/13741861 </v>
      </c>
    </row>
    <row r="801" spans="1:12" ht="24.75" x14ac:dyDescent="0.25">
      <c r="A801" s="4" t="s">
        <v>4221</v>
      </c>
      <c r="B801" s="2" t="s">
        <v>1970</v>
      </c>
      <c r="C801" s="3">
        <v>1</v>
      </c>
      <c r="D801" s="5">
        <v>14.99</v>
      </c>
      <c r="E801" s="3" t="s">
        <v>1971</v>
      </c>
      <c r="F801" s="2" t="s">
        <v>64</v>
      </c>
      <c r="G801" s="6" t="s">
        <v>245</v>
      </c>
      <c r="H801" s="2" t="s">
        <v>1522</v>
      </c>
      <c r="I801" s="2" t="s">
        <v>1469</v>
      </c>
      <c r="J801" s="2" t="s">
        <v>19</v>
      </c>
      <c r="K801" s="2" t="s">
        <v>353</v>
      </c>
      <c r="L801" s="7" t="str">
        <f>HYPERLINK("http://slimages.macys.com/is/image/MCY/13741861 ")</f>
        <v xml:space="preserve">http://slimages.macys.com/is/image/MCY/13741861 </v>
      </c>
    </row>
    <row r="802" spans="1:12" ht="24.75" x14ac:dyDescent="0.25">
      <c r="A802" s="4" t="s">
        <v>7693</v>
      </c>
      <c r="B802" s="2" t="s">
        <v>1973</v>
      </c>
      <c r="C802" s="3">
        <v>1</v>
      </c>
      <c r="D802" s="5">
        <v>16.989999999999998</v>
      </c>
      <c r="E802" s="3" t="s">
        <v>1974</v>
      </c>
      <c r="F802" s="2" t="s">
        <v>1296</v>
      </c>
      <c r="G802" s="6" t="s">
        <v>234</v>
      </c>
      <c r="H802" s="2" t="s">
        <v>1473</v>
      </c>
      <c r="I802" s="2" t="s">
        <v>1864</v>
      </c>
      <c r="J802" s="2" t="s">
        <v>19</v>
      </c>
      <c r="K802" s="2" t="s">
        <v>648</v>
      </c>
      <c r="L802" s="7" t="str">
        <f>HYPERLINK("http://slimages.macys.com/is/image/MCY/11634794 ")</f>
        <v xml:space="preserve">http://slimages.macys.com/is/image/MCY/11634794 </v>
      </c>
    </row>
    <row r="803" spans="1:12" ht="24.75" x14ac:dyDescent="0.25">
      <c r="A803" s="4" t="s">
        <v>3189</v>
      </c>
      <c r="B803" s="2" t="s">
        <v>1973</v>
      </c>
      <c r="C803" s="3">
        <v>2</v>
      </c>
      <c r="D803" s="5">
        <v>16.989999999999998</v>
      </c>
      <c r="E803" s="3" t="s">
        <v>1974</v>
      </c>
      <c r="F803" s="2" t="s">
        <v>74</v>
      </c>
      <c r="G803" s="6" t="s">
        <v>245</v>
      </c>
      <c r="H803" s="2" t="s">
        <v>1473</v>
      </c>
      <c r="I803" s="2" t="s">
        <v>1864</v>
      </c>
      <c r="J803" s="2" t="s">
        <v>19</v>
      </c>
      <c r="K803" s="2" t="s">
        <v>648</v>
      </c>
      <c r="L803" s="7" t="str">
        <f>HYPERLINK("http://slimages.macys.com/is/image/MCY/11634794 ")</f>
        <v xml:space="preserve">http://slimages.macys.com/is/image/MCY/11634794 </v>
      </c>
    </row>
    <row r="804" spans="1:12" ht="24.75" x14ac:dyDescent="0.25">
      <c r="A804" s="4" t="s">
        <v>1981</v>
      </c>
      <c r="B804" s="2" t="s">
        <v>1973</v>
      </c>
      <c r="C804" s="3">
        <v>1</v>
      </c>
      <c r="D804" s="5">
        <v>16.989999999999998</v>
      </c>
      <c r="E804" s="3" t="s">
        <v>1976</v>
      </c>
      <c r="F804" s="2" t="s">
        <v>998</v>
      </c>
      <c r="G804" s="6"/>
      <c r="H804" s="2" t="s">
        <v>1425</v>
      </c>
      <c r="I804" s="2" t="s">
        <v>1864</v>
      </c>
      <c r="J804" s="2" t="s">
        <v>19</v>
      </c>
      <c r="K804" s="2" t="s">
        <v>648</v>
      </c>
      <c r="L804" s="7" t="str">
        <f>HYPERLINK("http://slimages.macys.com/is/image/MCY/11634785 ")</f>
        <v xml:space="preserve">http://slimages.macys.com/is/image/MCY/11634785 </v>
      </c>
    </row>
    <row r="805" spans="1:12" ht="24.75" x14ac:dyDescent="0.25">
      <c r="A805" s="4" t="s">
        <v>4230</v>
      </c>
      <c r="B805" s="2" t="s">
        <v>1973</v>
      </c>
      <c r="C805" s="3">
        <v>1</v>
      </c>
      <c r="D805" s="5">
        <v>16.989999999999998</v>
      </c>
      <c r="E805" s="3" t="s">
        <v>1974</v>
      </c>
      <c r="F805" s="2" t="s">
        <v>15</v>
      </c>
      <c r="G805" s="6" t="s">
        <v>154</v>
      </c>
      <c r="H805" s="2" t="s">
        <v>1473</v>
      </c>
      <c r="I805" s="2" t="s">
        <v>1864</v>
      </c>
      <c r="J805" s="2" t="s">
        <v>19</v>
      </c>
      <c r="K805" s="2" t="s">
        <v>648</v>
      </c>
      <c r="L805" s="7" t="str">
        <f t="shared" ref="L805:L810" si="13">HYPERLINK("http://slimages.macys.com/is/image/MCY/11634794 ")</f>
        <v xml:space="preserve">http://slimages.macys.com/is/image/MCY/11634794 </v>
      </c>
    </row>
    <row r="806" spans="1:12" ht="24.75" x14ac:dyDescent="0.25">
      <c r="A806" s="4" t="s">
        <v>3196</v>
      </c>
      <c r="B806" s="2" t="s">
        <v>1973</v>
      </c>
      <c r="C806" s="3">
        <v>2</v>
      </c>
      <c r="D806" s="5">
        <v>16.989999999999998</v>
      </c>
      <c r="E806" s="3" t="s">
        <v>1974</v>
      </c>
      <c r="F806" s="2" t="s">
        <v>15</v>
      </c>
      <c r="G806" s="6" t="s">
        <v>181</v>
      </c>
      <c r="H806" s="2" t="s">
        <v>1473</v>
      </c>
      <c r="I806" s="2" t="s">
        <v>1864</v>
      </c>
      <c r="J806" s="2" t="s">
        <v>19</v>
      </c>
      <c r="K806" s="2" t="s">
        <v>648</v>
      </c>
      <c r="L806" s="7" t="str">
        <f t="shared" si="13"/>
        <v xml:space="preserve">http://slimages.macys.com/is/image/MCY/11634794 </v>
      </c>
    </row>
    <row r="807" spans="1:12" ht="24.75" x14ac:dyDescent="0.25">
      <c r="A807" s="4" t="s">
        <v>1986</v>
      </c>
      <c r="B807" s="2" t="s">
        <v>1973</v>
      </c>
      <c r="C807" s="3">
        <v>1</v>
      </c>
      <c r="D807" s="5">
        <v>16.989999999999998</v>
      </c>
      <c r="E807" s="3" t="s">
        <v>1974</v>
      </c>
      <c r="F807" s="2" t="s">
        <v>74</v>
      </c>
      <c r="G807" s="6" t="s">
        <v>234</v>
      </c>
      <c r="H807" s="2" t="s">
        <v>1473</v>
      </c>
      <c r="I807" s="2" t="s">
        <v>1864</v>
      </c>
      <c r="J807" s="2" t="s">
        <v>19</v>
      </c>
      <c r="K807" s="2" t="s">
        <v>648</v>
      </c>
      <c r="L807" s="7" t="str">
        <f t="shared" si="13"/>
        <v xml:space="preserve">http://slimages.macys.com/is/image/MCY/11634794 </v>
      </c>
    </row>
    <row r="808" spans="1:12" ht="24.75" x14ac:dyDescent="0.25">
      <c r="A808" s="4" t="s">
        <v>1982</v>
      </c>
      <c r="B808" s="2" t="s">
        <v>1973</v>
      </c>
      <c r="C808" s="3">
        <v>2</v>
      </c>
      <c r="D808" s="5">
        <v>16.989999999999998</v>
      </c>
      <c r="E808" s="3" t="s">
        <v>1974</v>
      </c>
      <c r="F808" s="2" t="s">
        <v>74</v>
      </c>
      <c r="G808" s="6" t="s">
        <v>156</v>
      </c>
      <c r="H808" s="2" t="s">
        <v>1473</v>
      </c>
      <c r="I808" s="2" t="s">
        <v>1864</v>
      </c>
      <c r="J808" s="2" t="s">
        <v>19</v>
      </c>
      <c r="K808" s="2" t="s">
        <v>648</v>
      </c>
      <c r="L808" s="7" t="str">
        <f t="shared" si="13"/>
        <v xml:space="preserve">http://slimages.macys.com/is/image/MCY/11634794 </v>
      </c>
    </row>
    <row r="809" spans="1:12" ht="24.75" x14ac:dyDescent="0.25">
      <c r="A809" s="4" t="s">
        <v>1983</v>
      </c>
      <c r="B809" s="2" t="s">
        <v>1973</v>
      </c>
      <c r="C809" s="3">
        <v>2</v>
      </c>
      <c r="D809" s="5">
        <v>16.989999999999998</v>
      </c>
      <c r="E809" s="3" t="s">
        <v>1974</v>
      </c>
      <c r="F809" s="2" t="s">
        <v>998</v>
      </c>
      <c r="G809" s="6" t="s">
        <v>156</v>
      </c>
      <c r="H809" s="2" t="s">
        <v>1473</v>
      </c>
      <c r="I809" s="2" t="s">
        <v>1864</v>
      </c>
      <c r="J809" s="2" t="s">
        <v>19</v>
      </c>
      <c r="K809" s="2" t="s">
        <v>648</v>
      </c>
      <c r="L809" s="7" t="str">
        <f t="shared" si="13"/>
        <v xml:space="preserve">http://slimages.macys.com/is/image/MCY/11634794 </v>
      </c>
    </row>
    <row r="810" spans="1:12" ht="24.75" x14ac:dyDescent="0.25">
      <c r="A810" s="4" t="s">
        <v>7694</v>
      </c>
      <c r="B810" s="2" t="s">
        <v>1973</v>
      </c>
      <c r="C810" s="3">
        <v>1</v>
      </c>
      <c r="D810" s="5">
        <v>16.989999999999998</v>
      </c>
      <c r="E810" s="3" t="s">
        <v>1974</v>
      </c>
      <c r="F810" s="2" t="s">
        <v>1296</v>
      </c>
      <c r="G810" s="6" t="s">
        <v>156</v>
      </c>
      <c r="H810" s="2" t="s">
        <v>1473</v>
      </c>
      <c r="I810" s="2" t="s">
        <v>1864</v>
      </c>
      <c r="J810" s="2" t="s">
        <v>19</v>
      </c>
      <c r="K810" s="2" t="s">
        <v>648</v>
      </c>
      <c r="L810" s="7" t="str">
        <f t="shared" si="13"/>
        <v xml:space="preserve">http://slimages.macys.com/is/image/MCY/11634794 </v>
      </c>
    </row>
    <row r="811" spans="1:12" ht="24.75" x14ac:dyDescent="0.25">
      <c r="A811" s="4" t="s">
        <v>7695</v>
      </c>
      <c r="B811" s="2" t="s">
        <v>1988</v>
      </c>
      <c r="C811" s="3">
        <v>1</v>
      </c>
      <c r="D811" s="5">
        <v>14.99</v>
      </c>
      <c r="E811" s="3" t="s">
        <v>1991</v>
      </c>
      <c r="F811" s="2" t="s">
        <v>671</v>
      </c>
      <c r="G811" s="6" t="s">
        <v>234</v>
      </c>
      <c r="H811" s="2" t="s">
        <v>1473</v>
      </c>
      <c r="I811" s="2" t="s">
        <v>1426</v>
      </c>
      <c r="J811" s="2" t="s">
        <v>19</v>
      </c>
      <c r="K811" s="2" t="s">
        <v>648</v>
      </c>
      <c r="L811" s="7" t="str">
        <f t="shared" ref="L811:L817" si="14">HYPERLINK("http://slimages.macys.com/is/image/MCY/12767912 ")</f>
        <v xml:space="preserve">http://slimages.macys.com/is/image/MCY/12767912 </v>
      </c>
    </row>
    <row r="812" spans="1:12" ht="24.75" x14ac:dyDescent="0.25">
      <c r="A812" s="4" t="s">
        <v>7696</v>
      </c>
      <c r="B812" s="2" t="s">
        <v>1988</v>
      </c>
      <c r="C812" s="3">
        <v>1</v>
      </c>
      <c r="D812" s="5">
        <v>14.99</v>
      </c>
      <c r="E812" s="3" t="s">
        <v>1991</v>
      </c>
      <c r="F812" s="2" t="s">
        <v>1945</v>
      </c>
      <c r="G812" s="6" t="s">
        <v>234</v>
      </c>
      <c r="H812" s="2" t="s">
        <v>1473</v>
      </c>
      <c r="I812" s="2" t="s">
        <v>1426</v>
      </c>
      <c r="J812" s="2" t="s">
        <v>19</v>
      </c>
      <c r="K812" s="2" t="s">
        <v>648</v>
      </c>
      <c r="L812" s="7" t="str">
        <f t="shared" si="14"/>
        <v xml:space="preserve">http://slimages.macys.com/is/image/MCY/12767912 </v>
      </c>
    </row>
    <row r="813" spans="1:12" ht="24.75" x14ac:dyDescent="0.25">
      <c r="A813" s="4" t="s">
        <v>3213</v>
      </c>
      <c r="B813" s="2" t="s">
        <v>1988</v>
      </c>
      <c r="C813" s="3">
        <v>1</v>
      </c>
      <c r="D813" s="5">
        <v>14.99</v>
      </c>
      <c r="E813" s="3" t="s">
        <v>1991</v>
      </c>
      <c r="F813" s="2" t="s">
        <v>26</v>
      </c>
      <c r="G813" s="6" t="s">
        <v>154</v>
      </c>
      <c r="H813" s="2" t="s">
        <v>1473</v>
      </c>
      <c r="I813" s="2" t="s">
        <v>1426</v>
      </c>
      <c r="J813" s="2" t="s">
        <v>19</v>
      </c>
      <c r="K813" s="2" t="s">
        <v>648</v>
      </c>
      <c r="L813" s="7" t="str">
        <f t="shared" si="14"/>
        <v xml:space="preserve">http://slimages.macys.com/is/image/MCY/12767912 </v>
      </c>
    </row>
    <row r="814" spans="1:12" ht="24.75" x14ac:dyDescent="0.25">
      <c r="A814" s="4" t="s">
        <v>7697</v>
      </c>
      <c r="B814" s="2" t="s">
        <v>1988</v>
      </c>
      <c r="C814" s="3">
        <v>1</v>
      </c>
      <c r="D814" s="5">
        <v>14.99</v>
      </c>
      <c r="E814" s="3" t="s">
        <v>1991</v>
      </c>
      <c r="F814" s="2"/>
      <c r="G814" s="6" t="s">
        <v>200</v>
      </c>
      <c r="H814" s="2" t="s">
        <v>1473</v>
      </c>
      <c r="I814" s="2" t="s">
        <v>1426</v>
      </c>
      <c r="J814" s="2" t="s">
        <v>19</v>
      </c>
      <c r="K814" s="2" t="s">
        <v>648</v>
      </c>
      <c r="L814" s="7" t="str">
        <f t="shared" si="14"/>
        <v xml:space="preserve">http://slimages.macys.com/is/image/MCY/12767912 </v>
      </c>
    </row>
    <row r="815" spans="1:12" ht="24.75" x14ac:dyDescent="0.25">
      <c r="A815" s="4" t="s">
        <v>1994</v>
      </c>
      <c r="B815" s="2" t="s">
        <v>1988</v>
      </c>
      <c r="C815" s="3">
        <v>1</v>
      </c>
      <c r="D815" s="5">
        <v>14.99</v>
      </c>
      <c r="E815" s="3" t="s">
        <v>1991</v>
      </c>
      <c r="F815" s="2" t="s">
        <v>26</v>
      </c>
      <c r="G815" s="6" t="s">
        <v>156</v>
      </c>
      <c r="H815" s="2" t="s">
        <v>1473</v>
      </c>
      <c r="I815" s="2" t="s">
        <v>1426</v>
      </c>
      <c r="J815" s="2" t="s">
        <v>19</v>
      </c>
      <c r="K815" s="2" t="s">
        <v>648</v>
      </c>
      <c r="L815" s="7" t="str">
        <f t="shared" si="14"/>
        <v xml:space="preserve">http://slimages.macys.com/is/image/MCY/12767912 </v>
      </c>
    </row>
    <row r="816" spans="1:12" ht="24.75" x14ac:dyDescent="0.25">
      <c r="A816" s="4" t="s">
        <v>3202</v>
      </c>
      <c r="B816" s="2" t="s">
        <v>1988</v>
      </c>
      <c r="C816" s="3">
        <v>1</v>
      </c>
      <c r="D816" s="5">
        <v>14.99</v>
      </c>
      <c r="E816" s="3" t="s">
        <v>1991</v>
      </c>
      <c r="F816" s="2" t="s">
        <v>70</v>
      </c>
      <c r="G816" s="6" t="s">
        <v>154</v>
      </c>
      <c r="H816" s="2" t="s">
        <v>1473</v>
      </c>
      <c r="I816" s="2" t="s">
        <v>1426</v>
      </c>
      <c r="J816" s="2" t="s">
        <v>19</v>
      </c>
      <c r="K816" s="2" t="s">
        <v>648</v>
      </c>
      <c r="L816" s="7" t="str">
        <f t="shared" si="14"/>
        <v xml:space="preserve">http://slimages.macys.com/is/image/MCY/12767912 </v>
      </c>
    </row>
    <row r="817" spans="1:12" ht="24.75" x14ac:dyDescent="0.25">
      <c r="A817" s="4" t="s">
        <v>3200</v>
      </c>
      <c r="B817" s="2" t="s">
        <v>1988</v>
      </c>
      <c r="C817" s="3">
        <v>1</v>
      </c>
      <c r="D817" s="5">
        <v>14.99</v>
      </c>
      <c r="E817" s="3" t="s">
        <v>1991</v>
      </c>
      <c r="F817" s="2" t="s">
        <v>26</v>
      </c>
      <c r="G817" s="6" t="s">
        <v>181</v>
      </c>
      <c r="H817" s="2" t="s">
        <v>1473</v>
      </c>
      <c r="I817" s="2" t="s">
        <v>1426</v>
      </c>
      <c r="J817" s="2" t="s">
        <v>19</v>
      </c>
      <c r="K817" s="2" t="s">
        <v>648</v>
      </c>
      <c r="L817" s="7" t="str">
        <f t="shared" si="14"/>
        <v xml:space="preserve">http://slimages.macys.com/is/image/MCY/12767912 </v>
      </c>
    </row>
    <row r="818" spans="1:12" ht="24.75" x14ac:dyDescent="0.25">
      <c r="A818" s="4" t="s">
        <v>5216</v>
      </c>
      <c r="B818" s="2" t="s">
        <v>1988</v>
      </c>
      <c r="C818" s="3">
        <v>1</v>
      </c>
      <c r="D818" s="5">
        <v>14.99</v>
      </c>
      <c r="E818" s="3" t="s">
        <v>1989</v>
      </c>
      <c r="F818" s="2" t="s">
        <v>70</v>
      </c>
      <c r="G818" s="6" t="s">
        <v>219</v>
      </c>
      <c r="H818" s="2" t="s">
        <v>1425</v>
      </c>
      <c r="I818" s="2" t="s">
        <v>1426</v>
      </c>
      <c r="J818" s="2" t="s">
        <v>19</v>
      </c>
      <c r="K818" s="2" t="s">
        <v>648</v>
      </c>
      <c r="L818" s="7" t="str">
        <f>HYPERLINK("http://slimages.macys.com/is/image/MCY/11678994 ")</f>
        <v xml:space="preserve">http://slimages.macys.com/is/image/MCY/11678994 </v>
      </c>
    </row>
    <row r="819" spans="1:12" ht="24.75" x14ac:dyDescent="0.25">
      <c r="A819" s="4" t="s">
        <v>7698</v>
      </c>
      <c r="B819" s="2" t="s">
        <v>1988</v>
      </c>
      <c r="C819" s="3">
        <v>4</v>
      </c>
      <c r="D819" s="5">
        <v>14.99</v>
      </c>
      <c r="E819" s="3" t="s">
        <v>1991</v>
      </c>
      <c r="F819" s="2" t="s">
        <v>15</v>
      </c>
      <c r="G819" s="6" t="s">
        <v>181</v>
      </c>
      <c r="H819" s="2" t="s">
        <v>1473</v>
      </c>
      <c r="I819" s="2" t="s">
        <v>1426</v>
      </c>
      <c r="J819" s="2" t="s">
        <v>19</v>
      </c>
      <c r="K819" s="2" t="s">
        <v>648</v>
      </c>
      <c r="L819" s="7" t="str">
        <f>HYPERLINK("http://slimages.macys.com/is/image/MCY/12767912 ")</f>
        <v xml:space="preserve">http://slimages.macys.com/is/image/MCY/12767912 </v>
      </c>
    </row>
    <row r="820" spans="1:12" ht="24.75" x14ac:dyDescent="0.25">
      <c r="A820" s="4" t="s">
        <v>7699</v>
      </c>
      <c r="B820" s="2" t="s">
        <v>2000</v>
      </c>
      <c r="C820" s="3">
        <v>1</v>
      </c>
      <c r="D820" s="5">
        <v>21.99</v>
      </c>
      <c r="E820" s="3">
        <v>100015505</v>
      </c>
      <c r="F820" s="2" t="s">
        <v>956</v>
      </c>
      <c r="G820" s="6" t="s">
        <v>181</v>
      </c>
      <c r="H820" s="2" t="s">
        <v>284</v>
      </c>
      <c r="I820" s="2" t="s">
        <v>285</v>
      </c>
      <c r="J820" s="2" t="s">
        <v>19</v>
      </c>
      <c r="K820" s="2" t="s">
        <v>247</v>
      </c>
      <c r="L820" s="7" t="str">
        <f>HYPERLINK("http://slimages.macys.com/is/image/MCY/16500547 ")</f>
        <v xml:space="preserve">http://slimages.macys.com/is/image/MCY/16500547 </v>
      </c>
    </row>
    <row r="821" spans="1:12" ht="24.75" x14ac:dyDescent="0.25">
      <c r="A821" s="4" t="s">
        <v>6185</v>
      </c>
      <c r="B821" s="2" t="s">
        <v>3026</v>
      </c>
      <c r="C821" s="3">
        <v>1</v>
      </c>
      <c r="D821" s="5">
        <v>21.99</v>
      </c>
      <c r="E821" s="3" t="s">
        <v>6186</v>
      </c>
      <c r="F821" s="2" t="s">
        <v>252</v>
      </c>
      <c r="G821" s="6"/>
      <c r="H821" s="2" t="s">
        <v>632</v>
      </c>
      <c r="I821" s="2" t="s">
        <v>285</v>
      </c>
      <c r="J821" s="2" t="s">
        <v>19</v>
      </c>
      <c r="K821" s="2" t="s">
        <v>247</v>
      </c>
      <c r="L821" s="7" t="str">
        <f>HYPERLINK("http://slimages.macys.com/is/image/MCY/3742720 ")</f>
        <v xml:space="preserve">http://slimages.macys.com/is/image/MCY/3742720 </v>
      </c>
    </row>
    <row r="822" spans="1:12" ht="24.75" x14ac:dyDescent="0.25">
      <c r="A822" s="4" t="s">
        <v>7700</v>
      </c>
      <c r="B822" s="2" t="s">
        <v>4245</v>
      </c>
      <c r="C822" s="3">
        <v>1</v>
      </c>
      <c r="D822" s="5">
        <v>12.99</v>
      </c>
      <c r="E822" s="3" t="s">
        <v>5222</v>
      </c>
      <c r="F822" s="2" t="s">
        <v>413</v>
      </c>
      <c r="G822" s="6" t="s">
        <v>234</v>
      </c>
      <c r="H822" s="2" t="s">
        <v>194</v>
      </c>
      <c r="I822" s="2" t="s">
        <v>195</v>
      </c>
      <c r="J822" s="2" t="s">
        <v>19</v>
      </c>
      <c r="K822" s="2" t="s">
        <v>648</v>
      </c>
      <c r="L822" s="7" t="str">
        <f>HYPERLINK("http://slimages.macys.com/is/image/MCY/11279167 ")</f>
        <v xml:space="preserve">http://slimages.macys.com/is/image/MCY/11279167 </v>
      </c>
    </row>
    <row r="823" spans="1:12" ht="24.75" x14ac:dyDescent="0.25">
      <c r="A823" s="4" t="s">
        <v>6905</v>
      </c>
      <c r="B823" s="2" t="s">
        <v>2002</v>
      </c>
      <c r="C823" s="3">
        <v>1</v>
      </c>
      <c r="D823" s="5">
        <v>12.99</v>
      </c>
      <c r="E823" s="3" t="s">
        <v>2003</v>
      </c>
      <c r="F823" s="2" t="s">
        <v>33</v>
      </c>
      <c r="G823" s="6" t="s">
        <v>234</v>
      </c>
      <c r="H823" s="2" t="s">
        <v>194</v>
      </c>
      <c r="I823" s="2" t="s">
        <v>195</v>
      </c>
      <c r="J823" s="2" t="s">
        <v>19</v>
      </c>
      <c r="K823" s="2" t="s">
        <v>107</v>
      </c>
      <c r="L823" s="7" t="str">
        <f>HYPERLINK("http://slimages.macys.com/is/image/MCY/12063874 ")</f>
        <v xml:space="preserve">http://slimages.macys.com/is/image/MCY/12063874 </v>
      </c>
    </row>
    <row r="824" spans="1:12" ht="24.75" x14ac:dyDescent="0.25">
      <c r="A824" s="4" t="s">
        <v>5227</v>
      </c>
      <c r="B824" s="2" t="s">
        <v>2002</v>
      </c>
      <c r="C824" s="3">
        <v>3</v>
      </c>
      <c r="D824" s="5">
        <v>12.99</v>
      </c>
      <c r="E824" s="3" t="s">
        <v>2003</v>
      </c>
      <c r="F824" s="2" t="s">
        <v>33</v>
      </c>
      <c r="G824" s="6" t="s">
        <v>154</v>
      </c>
      <c r="H824" s="2" t="s">
        <v>194</v>
      </c>
      <c r="I824" s="2" t="s">
        <v>195</v>
      </c>
      <c r="J824" s="2" t="s">
        <v>19</v>
      </c>
      <c r="K824" s="2" t="s">
        <v>107</v>
      </c>
      <c r="L824" s="7" t="str">
        <f>HYPERLINK("http://slimages.macys.com/is/image/MCY/12063874 ")</f>
        <v xml:space="preserve">http://slimages.macys.com/is/image/MCY/12063874 </v>
      </c>
    </row>
    <row r="825" spans="1:12" ht="24.75" x14ac:dyDescent="0.25">
      <c r="A825" s="4" t="s">
        <v>6191</v>
      </c>
      <c r="B825" s="2" t="s">
        <v>2002</v>
      </c>
      <c r="C825" s="3">
        <v>1</v>
      </c>
      <c r="D825" s="5">
        <v>12.99</v>
      </c>
      <c r="E825" s="3" t="s">
        <v>6192</v>
      </c>
      <c r="F825" s="2" t="s">
        <v>33</v>
      </c>
      <c r="G825" s="6" t="s">
        <v>156</v>
      </c>
      <c r="H825" s="2" t="s">
        <v>194</v>
      </c>
      <c r="I825" s="2" t="s">
        <v>195</v>
      </c>
      <c r="J825" s="2" t="s">
        <v>19</v>
      </c>
      <c r="K825" s="2" t="s">
        <v>648</v>
      </c>
      <c r="L825" s="7" t="str">
        <f>HYPERLINK("http://slimages.macys.com/is/image/MCY/11935294 ")</f>
        <v xml:space="preserve">http://slimages.macys.com/is/image/MCY/11935294 </v>
      </c>
    </row>
    <row r="826" spans="1:12" ht="24.75" x14ac:dyDescent="0.25">
      <c r="A826" s="4" t="s">
        <v>7701</v>
      </c>
      <c r="B826" s="2" t="s">
        <v>7702</v>
      </c>
      <c r="C826" s="3">
        <v>3</v>
      </c>
      <c r="D826" s="5">
        <v>12.99</v>
      </c>
      <c r="E826" s="3" t="s">
        <v>7703</v>
      </c>
      <c r="F826" s="2" t="s">
        <v>170</v>
      </c>
      <c r="G826" s="6" t="s">
        <v>154</v>
      </c>
      <c r="H826" s="2" t="s">
        <v>194</v>
      </c>
      <c r="I826" s="2" t="s">
        <v>195</v>
      </c>
      <c r="J826" s="2" t="s">
        <v>19</v>
      </c>
      <c r="K826" s="2" t="s">
        <v>648</v>
      </c>
      <c r="L826" s="7" t="str">
        <f>HYPERLINK("http://slimages.macys.com/is/image/MCY/8257383 ")</f>
        <v xml:space="preserve">http://slimages.macys.com/is/image/MCY/8257383 </v>
      </c>
    </row>
    <row r="827" spans="1:12" ht="24.75" x14ac:dyDescent="0.25">
      <c r="A827" s="4" t="s">
        <v>7704</v>
      </c>
      <c r="B827" s="2" t="s">
        <v>7705</v>
      </c>
      <c r="C827" s="3">
        <v>1</v>
      </c>
      <c r="D827" s="5">
        <v>14.99</v>
      </c>
      <c r="E827" s="3" t="s">
        <v>6197</v>
      </c>
      <c r="F827" s="2" t="s">
        <v>70</v>
      </c>
      <c r="G827" s="6"/>
      <c r="H827" s="2" t="s">
        <v>1425</v>
      </c>
      <c r="I827" s="2" t="s">
        <v>1469</v>
      </c>
      <c r="J827" s="2" t="s">
        <v>19</v>
      </c>
      <c r="K827" s="2" t="s">
        <v>353</v>
      </c>
      <c r="L827" s="7" t="str">
        <f>HYPERLINK("http://slimages.macys.com/is/image/MCY/10743620 ")</f>
        <v xml:space="preserve">http://slimages.macys.com/is/image/MCY/10743620 </v>
      </c>
    </row>
    <row r="828" spans="1:12" ht="24.75" x14ac:dyDescent="0.25">
      <c r="A828" s="4" t="s">
        <v>5232</v>
      </c>
      <c r="B828" s="2" t="s">
        <v>2005</v>
      </c>
      <c r="C828" s="3">
        <v>1</v>
      </c>
      <c r="D828" s="5">
        <v>14.99</v>
      </c>
      <c r="E828" s="3" t="s">
        <v>2006</v>
      </c>
      <c r="F828" s="2" t="s">
        <v>38</v>
      </c>
      <c r="G828" s="6" t="s">
        <v>154</v>
      </c>
      <c r="H828" s="2" t="s">
        <v>1522</v>
      </c>
      <c r="I828" s="2" t="s">
        <v>1469</v>
      </c>
      <c r="J828" s="2" t="s">
        <v>19</v>
      </c>
      <c r="K828" s="2" t="s">
        <v>353</v>
      </c>
      <c r="L828" s="7" t="str">
        <f t="shared" ref="L828:L836" si="15">HYPERLINK("http://slimages.macys.com/is/image/MCY/10743611 ")</f>
        <v xml:space="preserve">http://slimages.macys.com/is/image/MCY/10743611 </v>
      </c>
    </row>
    <row r="829" spans="1:12" ht="24.75" x14ac:dyDescent="0.25">
      <c r="A829" s="4" t="s">
        <v>2013</v>
      </c>
      <c r="B829" s="2" t="s">
        <v>2005</v>
      </c>
      <c r="C829" s="3">
        <v>1</v>
      </c>
      <c r="D829" s="5">
        <v>14.99</v>
      </c>
      <c r="E829" s="3" t="s">
        <v>2006</v>
      </c>
      <c r="F829" s="2" t="s">
        <v>64</v>
      </c>
      <c r="G829" s="6" t="s">
        <v>156</v>
      </c>
      <c r="H829" s="2" t="s">
        <v>1522</v>
      </c>
      <c r="I829" s="2" t="s">
        <v>1469</v>
      </c>
      <c r="J829" s="2" t="s">
        <v>19</v>
      </c>
      <c r="K829" s="2" t="s">
        <v>353</v>
      </c>
      <c r="L829" s="7" t="str">
        <f t="shared" si="15"/>
        <v xml:space="preserve">http://slimages.macys.com/is/image/MCY/10743611 </v>
      </c>
    </row>
    <row r="830" spans="1:12" ht="24.75" x14ac:dyDescent="0.25">
      <c r="A830" s="4" t="s">
        <v>6908</v>
      </c>
      <c r="B830" s="2" t="s">
        <v>2005</v>
      </c>
      <c r="C830" s="3">
        <v>1</v>
      </c>
      <c r="D830" s="5">
        <v>14.99</v>
      </c>
      <c r="E830" s="3" t="s">
        <v>2006</v>
      </c>
      <c r="F830" s="2" t="s">
        <v>26</v>
      </c>
      <c r="G830" s="6" t="s">
        <v>154</v>
      </c>
      <c r="H830" s="2" t="s">
        <v>1522</v>
      </c>
      <c r="I830" s="2" t="s">
        <v>1469</v>
      </c>
      <c r="J830" s="2" t="s">
        <v>19</v>
      </c>
      <c r="K830" s="2" t="s">
        <v>353</v>
      </c>
      <c r="L830" s="7" t="str">
        <f t="shared" si="15"/>
        <v xml:space="preserve">http://slimages.macys.com/is/image/MCY/10743611 </v>
      </c>
    </row>
    <row r="831" spans="1:12" ht="24.75" x14ac:dyDescent="0.25">
      <c r="A831" s="4" t="s">
        <v>7706</v>
      </c>
      <c r="B831" s="2" t="s">
        <v>2005</v>
      </c>
      <c r="C831" s="3">
        <v>1</v>
      </c>
      <c r="D831" s="5">
        <v>14.99</v>
      </c>
      <c r="E831" s="3" t="s">
        <v>2006</v>
      </c>
      <c r="F831" s="2" t="s">
        <v>74</v>
      </c>
      <c r="G831" s="6" t="s">
        <v>181</v>
      </c>
      <c r="H831" s="2" t="s">
        <v>1522</v>
      </c>
      <c r="I831" s="2" t="s">
        <v>1469</v>
      </c>
      <c r="J831" s="2" t="s">
        <v>19</v>
      </c>
      <c r="K831" s="2" t="s">
        <v>353</v>
      </c>
      <c r="L831" s="7" t="str">
        <f t="shared" si="15"/>
        <v xml:space="preserve">http://slimages.macys.com/is/image/MCY/10743611 </v>
      </c>
    </row>
    <row r="832" spans="1:12" ht="24.75" x14ac:dyDescent="0.25">
      <c r="A832" s="4" t="s">
        <v>5228</v>
      </c>
      <c r="B832" s="2" t="s">
        <v>2005</v>
      </c>
      <c r="C832" s="3">
        <v>1</v>
      </c>
      <c r="D832" s="5">
        <v>14.99</v>
      </c>
      <c r="E832" s="3" t="s">
        <v>2006</v>
      </c>
      <c r="F832" s="2" t="s">
        <v>74</v>
      </c>
      <c r="G832" s="6" t="s">
        <v>154</v>
      </c>
      <c r="H832" s="2" t="s">
        <v>1522</v>
      </c>
      <c r="I832" s="2" t="s">
        <v>1469</v>
      </c>
      <c r="J832" s="2" t="s">
        <v>19</v>
      </c>
      <c r="K832" s="2" t="s">
        <v>353</v>
      </c>
      <c r="L832" s="7" t="str">
        <f t="shared" si="15"/>
        <v xml:space="preserve">http://slimages.macys.com/is/image/MCY/10743611 </v>
      </c>
    </row>
    <row r="833" spans="1:12" ht="24.75" x14ac:dyDescent="0.25">
      <c r="A833" s="4" t="s">
        <v>7707</v>
      </c>
      <c r="B833" s="2" t="s">
        <v>2005</v>
      </c>
      <c r="C833" s="3">
        <v>2</v>
      </c>
      <c r="D833" s="5">
        <v>14.99</v>
      </c>
      <c r="E833" s="3" t="s">
        <v>2006</v>
      </c>
      <c r="F833" s="2" t="s">
        <v>1945</v>
      </c>
      <c r="G833" s="6" t="s">
        <v>181</v>
      </c>
      <c r="H833" s="2" t="s">
        <v>1522</v>
      </c>
      <c r="I833" s="2" t="s">
        <v>1469</v>
      </c>
      <c r="J833" s="2" t="s">
        <v>19</v>
      </c>
      <c r="K833" s="2" t="s">
        <v>353</v>
      </c>
      <c r="L833" s="7" t="str">
        <f t="shared" si="15"/>
        <v xml:space="preserve">http://slimages.macys.com/is/image/MCY/10743611 </v>
      </c>
    </row>
    <row r="834" spans="1:12" ht="24.75" x14ac:dyDescent="0.25">
      <c r="A834" s="4" t="s">
        <v>2009</v>
      </c>
      <c r="B834" s="2" t="s">
        <v>2005</v>
      </c>
      <c r="C834" s="3">
        <v>2</v>
      </c>
      <c r="D834" s="5">
        <v>14.99</v>
      </c>
      <c r="E834" s="3" t="s">
        <v>2006</v>
      </c>
      <c r="F834" s="2" t="s">
        <v>26</v>
      </c>
      <c r="G834" s="6" t="s">
        <v>156</v>
      </c>
      <c r="H834" s="2" t="s">
        <v>1522</v>
      </c>
      <c r="I834" s="2" t="s">
        <v>1469</v>
      </c>
      <c r="J834" s="2" t="s">
        <v>19</v>
      </c>
      <c r="K834" s="2" t="s">
        <v>353</v>
      </c>
      <c r="L834" s="7" t="str">
        <f t="shared" si="15"/>
        <v xml:space="preserve">http://slimages.macys.com/is/image/MCY/10743611 </v>
      </c>
    </row>
    <row r="835" spans="1:12" ht="24.75" x14ac:dyDescent="0.25">
      <c r="A835" s="4" t="s">
        <v>5230</v>
      </c>
      <c r="B835" s="2" t="s">
        <v>2005</v>
      </c>
      <c r="C835" s="3">
        <v>2</v>
      </c>
      <c r="D835" s="5">
        <v>14.99</v>
      </c>
      <c r="E835" s="3" t="s">
        <v>2006</v>
      </c>
      <c r="F835" s="2" t="s">
        <v>26</v>
      </c>
      <c r="G835" s="6" t="s">
        <v>200</v>
      </c>
      <c r="H835" s="2" t="s">
        <v>1522</v>
      </c>
      <c r="I835" s="2" t="s">
        <v>1469</v>
      </c>
      <c r="J835" s="2" t="s">
        <v>19</v>
      </c>
      <c r="K835" s="2" t="s">
        <v>353</v>
      </c>
      <c r="L835" s="7" t="str">
        <f t="shared" si="15"/>
        <v xml:space="preserve">http://slimages.macys.com/is/image/MCY/10743611 </v>
      </c>
    </row>
    <row r="836" spans="1:12" ht="24.75" x14ac:dyDescent="0.25">
      <c r="A836" s="4" t="s">
        <v>4256</v>
      </c>
      <c r="B836" s="2" t="s">
        <v>2005</v>
      </c>
      <c r="C836" s="3">
        <v>1</v>
      </c>
      <c r="D836" s="5">
        <v>14.99</v>
      </c>
      <c r="E836" s="3" t="s">
        <v>2006</v>
      </c>
      <c r="F836" s="2" t="s">
        <v>64</v>
      </c>
      <c r="G836" s="6" t="s">
        <v>181</v>
      </c>
      <c r="H836" s="2" t="s">
        <v>1522</v>
      </c>
      <c r="I836" s="2" t="s">
        <v>1469</v>
      </c>
      <c r="J836" s="2" t="s">
        <v>19</v>
      </c>
      <c r="K836" s="2" t="s">
        <v>353</v>
      </c>
      <c r="L836" s="7" t="str">
        <f t="shared" si="15"/>
        <v xml:space="preserve">http://slimages.macys.com/is/image/MCY/10743611 </v>
      </c>
    </row>
    <row r="837" spans="1:12" ht="24.75" x14ac:dyDescent="0.25">
      <c r="A837" s="4" t="s">
        <v>7708</v>
      </c>
      <c r="B837" s="2" t="s">
        <v>3229</v>
      </c>
      <c r="C837" s="3">
        <v>1</v>
      </c>
      <c r="D837" s="5">
        <v>12.99</v>
      </c>
      <c r="E837" s="3" t="s">
        <v>3230</v>
      </c>
      <c r="F837" s="2" t="s">
        <v>752</v>
      </c>
      <c r="G837" s="6"/>
      <c r="H837" s="2" t="s">
        <v>312</v>
      </c>
      <c r="I837" s="2" t="s">
        <v>195</v>
      </c>
      <c r="J837" s="2" t="s">
        <v>19</v>
      </c>
      <c r="K837" s="2" t="s">
        <v>648</v>
      </c>
      <c r="L837" s="7" t="str">
        <f>HYPERLINK("http://slimages.macys.com/is/image/MCY/12850773 ")</f>
        <v xml:space="preserve">http://slimages.macys.com/is/image/MCY/12850773 </v>
      </c>
    </row>
    <row r="838" spans="1:12" ht="24.75" x14ac:dyDescent="0.25">
      <c r="A838" s="4" t="s">
        <v>7709</v>
      </c>
      <c r="B838" s="2" t="s">
        <v>2016</v>
      </c>
      <c r="C838" s="3">
        <v>1</v>
      </c>
      <c r="D838" s="5">
        <v>12.99</v>
      </c>
      <c r="E838" s="3" t="s">
        <v>2017</v>
      </c>
      <c r="F838" s="2" t="s">
        <v>1614</v>
      </c>
      <c r="G838" s="6" t="s">
        <v>234</v>
      </c>
      <c r="H838" s="2" t="s">
        <v>194</v>
      </c>
      <c r="I838" s="2" t="s">
        <v>195</v>
      </c>
      <c r="J838" s="2" t="s">
        <v>19</v>
      </c>
      <c r="K838" s="2" t="s">
        <v>648</v>
      </c>
      <c r="L838" s="7" t="str">
        <f>HYPERLINK("http://slimages.macys.com/is/image/MCY/14887463 ")</f>
        <v xml:space="preserve">http://slimages.macys.com/is/image/MCY/14887463 </v>
      </c>
    </row>
    <row r="839" spans="1:12" ht="24.75" x14ac:dyDescent="0.25">
      <c r="A839" s="4" t="s">
        <v>7710</v>
      </c>
      <c r="B839" s="2" t="s">
        <v>2016</v>
      </c>
      <c r="C839" s="3">
        <v>1</v>
      </c>
      <c r="D839" s="5">
        <v>12.99</v>
      </c>
      <c r="E839" s="3" t="s">
        <v>2017</v>
      </c>
      <c r="F839" s="2" t="s">
        <v>125</v>
      </c>
      <c r="G839" s="6" t="s">
        <v>156</v>
      </c>
      <c r="H839" s="2" t="s">
        <v>194</v>
      </c>
      <c r="I839" s="2" t="s">
        <v>195</v>
      </c>
      <c r="J839" s="2" t="s">
        <v>19</v>
      </c>
      <c r="K839" s="2" t="s">
        <v>648</v>
      </c>
      <c r="L839" s="7" t="str">
        <f>HYPERLINK("http://slimages.macys.com/is/image/MCY/14887463 ")</f>
        <v xml:space="preserve">http://slimages.macys.com/is/image/MCY/14887463 </v>
      </c>
    </row>
    <row r="840" spans="1:12" ht="24.75" x14ac:dyDescent="0.25">
      <c r="A840" s="4" t="s">
        <v>7711</v>
      </c>
      <c r="B840" s="2" t="s">
        <v>2016</v>
      </c>
      <c r="C840" s="3">
        <v>1</v>
      </c>
      <c r="D840" s="5">
        <v>12.99</v>
      </c>
      <c r="E840" s="3" t="s">
        <v>2017</v>
      </c>
      <c r="F840" s="2" t="s">
        <v>566</v>
      </c>
      <c r="G840" s="6" t="s">
        <v>181</v>
      </c>
      <c r="H840" s="2" t="s">
        <v>194</v>
      </c>
      <c r="I840" s="2" t="s">
        <v>195</v>
      </c>
      <c r="J840" s="2" t="s">
        <v>19</v>
      </c>
      <c r="K840" s="2" t="s">
        <v>648</v>
      </c>
      <c r="L840" s="7" t="str">
        <f>HYPERLINK("http://slimages.macys.com/is/image/MCY/14887463 ")</f>
        <v xml:space="preserve">http://slimages.macys.com/is/image/MCY/14887463 </v>
      </c>
    </row>
    <row r="841" spans="1:12" ht="24.75" x14ac:dyDescent="0.25">
      <c r="A841" s="4" t="s">
        <v>2018</v>
      </c>
      <c r="B841" s="2" t="s">
        <v>2016</v>
      </c>
      <c r="C841" s="3">
        <v>1</v>
      </c>
      <c r="D841" s="5">
        <v>12.99</v>
      </c>
      <c r="E841" s="3" t="s">
        <v>2017</v>
      </c>
      <c r="F841" s="2" t="s">
        <v>566</v>
      </c>
      <c r="G841" s="6" t="s">
        <v>156</v>
      </c>
      <c r="H841" s="2" t="s">
        <v>194</v>
      </c>
      <c r="I841" s="2" t="s">
        <v>195</v>
      </c>
      <c r="J841" s="2" t="s">
        <v>19</v>
      </c>
      <c r="K841" s="2" t="s">
        <v>648</v>
      </c>
      <c r="L841" s="7" t="str">
        <f>HYPERLINK("http://slimages.macys.com/is/image/MCY/14887463 ")</f>
        <v xml:space="preserve">http://slimages.macys.com/is/image/MCY/14887463 </v>
      </c>
    </row>
    <row r="842" spans="1:12" ht="24.75" x14ac:dyDescent="0.25">
      <c r="A842" s="4" t="s">
        <v>5239</v>
      </c>
      <c r="B842" s="2" t="s">
        <v>2021</v>
      </c>
      <c r="C842" s="3">
        <v>1</v>
      </c>
      <c r="D842" s="5">
        <v>18.38</v>
      </c>
      <c r="E842" s="3">
        <v>100018061</v>
      </c>
      <c r="F842" s="2" t="s">
        <v>48</v>
      </c>
      <c r="G842" s="6" t="s">
        <v>181</v>
      </c>
      <c r="H842" s="2" t="s">
        <v>194</v>
      </c>
      <c r="I842" s="2" t="s">
        <v>195</v>
      </c>
      <c r="J842" s="2" t="s">
        <v>19</v>
      </c>
      <c r="K842" s="2" t="s">
        <v>495</v>
      </c>
      <c r="L842" s="7" t="str">
        <f>HYPERLINK("http://slimages.macys.com/is/image/MCY/12950402 ")</f>
        <v xml:space="preserve">http://slimages.macys.com/is/image/MCY/12950402 </v>
      </c>
    </row>
    <row r="843" spans="1:12" ht="24.75" x14ac:dyDescent="0.25">
      <c r="A843" s="4" t="s">
        <v>5243</v>
      </c>
      <c r="B843" s="2" t="s">
        <v>2021</v>
      </c>
      <c r="C843" s="3">
        <v>1</v>
      </c>
      <c r="D843" s="5">
        <v>18.38</v>
      </c>
      <c r="E843" s="3">
        <v>100018061</v>
      </c>
      <c r="F843" s="2" t="s">
        <v>15</v>
      </c>
      <c r="G843" s="6" t="s">
        <v>181</v>
      </c>
      <c r="H843" s="2" t="s">
        <v>194</v>
      </c>
      <c r="I843" s="2" t="s">
        <v>195</v>
      </c>
      <c r="J843" s="2" t="s">
        <v>19</v>
      </c>
      <c r="K843" s="2" t="s">
        <v>495</v>
      </c>
      <c r="L843" s="7" t="str">
        <f>HYPERLINK("http://slimages.macys.com/is/image/MCY/12950402 ")</f>
        <v xml:space="preserve">http://slimages.macys.com/is/image/MCY/12950402 </v>
      </c>
    </row>
    <row r="844" spans="1:12" ht="24.75" x14ac:dyDescent="0.25">
      <c r="A844" s="4" t="s">
        <v>5242</v>
      </c>
      <c r="B844" s="2" t="s">
        <v>2021</v>
      </c>
      <c r="C844" s="3">
        <v>1</v>
      </c>
      <c r="D844" s="5">
        <v>18.38</v>
      </c>
      <c r="E844" s="3">
        <v>100018061</v>
      </c>
      <c r="F844" s="2" t="s">
        <v>64</v>
      </c>
      <c r="G844" s="6" t="s">
        <v>154</v>
      </c>
      <c r="H844" s="2" t="s">
        <v>194</v>
      </c>
      <c r="I844" s="2" t="s">
        <v>195</v>
      </c>
      <c r="J844" s="2" t="s">
        <v>19</v>
      </c>
      <c r="K844" s="2" t="s">
        <v>495</v>
      </c>
      <c r="L844" s="7" t="str">
        <f>HYPERLINK("http://slimages.macys.com/is/image/MCY/12950402 ")</f>
        <v xml:space="preserve">http://slimages.macys.com/is/image/MCY/12950402 </v>
      </c>
    </row>
    <row r="845" spans="1:12" ht="24.75" x14ac:dyDescent="0.25">
      <c r="A845" s="4" t="s">
        <v>7712</v>
      </c>
      <c r="B845" s="2" t="s">
        <v>4367</v>
      </c>
      <c r="C845" s="3">
        <v>1</v>
      </c>
      <c r="D845" s="5">
        <v>9.99</v>
      </c>
      <c r="E845" s="3" t="s">
        <v>5247</v>
      </c>
      <c r="F845" s="2" t="s">
        <v>417</v>
      </c>
      <c r="G845" s="6"/>
      <c r="H845" s="2" t="s">
        <v>312</v>
      </c>
      <c r="I845" s="2" t="s">
        <v>195</v>
      </c>
      <c r="J845" s="2" t="s">
        <v>19</v>
      </c>
      <c r="K845" s="2" t="s">
        <v>247</v>
      </c>
      <c r="L845" s="7" t="str">
        <f>HYPERLINK("http://slimages.macys.com/is/image/MCY/10889443 ")</f>
        <v xml:space="preserve">http://slimages.macys.com/is/image/MCY/10889443 </v>
      </c>
    </row>
    <row r="846" spans="1:12" ht="24.75" x14ac:dyDescent="0.25">
      <c r="A846" s="4" t="s">
        <v>7713</v>
      </c>
      <c r="B846" s="2" t="s">
        <v>4283</v>
      </c>
      <c r="C846" s="3">
        <v>1</v>
      </c>
      <c r="D846" s="5">
        <v>9.99</v>
      </c>
      <c r="E846" s="3" t="s">
        <v>7714</v>
      </c>
      <c r="F846" s="2" t="s">
        <v>74</v>
      </c>
      <c r="G846" s="6" t="s">
        <v>187</v>
      </c>
      <c r="H846" s="2" t="s">
        <v>1425</v>
      </c>
      <c r="I846" s="2" t="s">
        <v>1426</v>
      </c>
      <c r="J846" s="2" t="s">
        <v>19</v>
      </c>
      <c r="K846" s="2" t="s">
        <v>495</v>
      </c>
      <c r="L846" s="7" t="str">
        <f>HYPERLINK("http://slimages.macys.com/is/image/MCY/10703455 ")</f>
        <v xml:space="preserve">http://slimages.macys.com/is/image/MCY/10703455 </v>
      </c>
    </row>
    <row r="847" spans="1:12" ht="24.75" x14ac:dyDescent="0.25">
      <c r="A847" s="4" t="s">
        <v>7715</v>
      </c>
      <c r="B847" s="2" t="s">
        <v>7716</v>
      </c>
      <c r="C847" s="3">
        <v>1</v>
      </c>
      <c r="D847" s="5">
        <v>12.99</v>
      </c>
      <c r="E847" s="3" t="s">
        <v>7717</v>
      </c>
      <c r="F847" s="2" t="s">
        <v>94</v>
      </c>
      <c r="G847" s="6" t="s">
        <v>154</v>
      </c>
      <c r="H847" s="2" t="s">
        <v>1473</v>
      </c>
      <c r="I847" s="2" t="s">
        <v>1426</v>
      </c>
      <c r="J847" s="2" t="s">
        <v>19</v>
      </c>
      <c r="K847" s="2" t="s">
        <v>495</v>
      </c>
      <c r="L847" s="7" t="str">
        <f>HYPERLINK("http://slimages.macys.com/is/image/MCY/13758050 ")</f>
        <v xml:space="preserve">http://slimages.macys.com/is/image/MCY/13758050 </v>
      </c>
    </row>
    <row r="848" spans="1:12" ht="24.75" x14ac:dyDescent="0.25">
      <c r="A848" s="4" t="s">
        <v>7718</v>
      </c>
      <c r="B848" s="2" t="s">
        <v>7719</v>
      </c>
      <c r="C848" s="3">
        <v>1</v>
      </c>
      <c r="D848" s="5">
        <v>14.63</v>
      </c>
      <c r="E848" s="3" t="s">
        <v>7720</v>
      </c>
      <c r="F848" s="2" t="s">
        <v>53</v>
      </c>
      <c r="G848" s="6" t="s">
        <v>234</v>
      </c>
      <c r="H848" s="2" t="s">
        <v>246</v>
      </c>
      <c r="I848" s="2" t="s">
        <v>189</v>
      </c>
      <c r="J848" s="2" t="s">
        <v>19</v>
      </c>
      <c r="K848" s="2" t="s">
        <v>160</v>
      </c>
      <c r="L848" s="7" t="str">
        <f>HYPERLINK("http://slimages.macys.com/is/image/MCY/13893001 ")</f>
        <v xml:space="preserve">http://slimages.macys.com/is/image/MCY/13893001 </v>
      </c>
    </row>
    <row r="849" spans="1:12" ht="24.75" x14ac:dyDescent="0.25">
      <c r="A849" s="4" t="s">
        <v>7721</v>
      </c>
      <c r="B849" s="2" t="s">
        <v>3237</v>
      </c>
      <c r="C849" s="3">
        <v>1</v>
      </c>
      <c r="D849" s="5">
        <v>9.99</v>
      </c>
      <c r="E849" s="3" t="s">
        <v>3238</v>
      </c>
      <c r="F849" s="2" t="s">
        <v>125</v>
      </c>
      <c r="G849" s="6" t="s">
        <v>181</v>
      </c>
      <c r="H849" s="2" t="s">
        <v>194</v>
      </c>
      <c r="I849" s="2" t="s">
        <v>195</v>
      </c>
      <c r="J849" s="2" t="s">
        <v>19</v>
      </c>
      <c r="K849" s="2" t="s">
        <v>247</v>
      </c>
      <c r="L849" s="7" t="str">
        <f>HYPERLINK("http://slimages.macys.com/is/image/MCY/15522855 ")</f>
        <v xml:space="preserve">http://slimages.macys.com/is/image/MCY/15522855 </v>
      </c>
    </row>
    <row r="850" spans="1:12" ht="24.75" x14ac:dyDescent="0.25">
      <c r="A850" s="4" t="s">
        <v>7722</v>
      </c>
      <c r="B850" s="2" t="s">
        <v>3237</v>
      </c>
      <c r="C850" s="3">
        <v>1</v>
      </c>
      <c r="D850" s="5">
        <v>9.99</v>
      </c>
      <c r="E850" s="3" t="s">
        <v>3238</v>
      </c>
      <c r="F850" s="2" t="s">
        <v>125</v>
      </c>
      <c r="G850" s="6" t="s">
        <v>154</v>
      </c>
      <c r="H850" s="2" t="s">
        <v>194</v>
      </c>
      <c r="I850" s="2" t="s">
        <v>195</v>
      </c>
      <c r="J850" s="2" t="s">
        <v>19</v>
      </c>
      <c r="K850" s="2" t="s">
        <v>247</v>
      </c>
      <c r="L850" s="7" t="str">
        <f>HYPERLINK("http://slimages.macys.com/is/image/MCY/15522855 ")</f>
        <v xml:space="preserve">http://slimages.macys.com/is/image/MCY/15522855 </v>
      </c>
    </row>
    <row r="851" spans="1:12" ht="24.75" x14ac:dyDescent="0.25">
      <c r="A851" s="4" t="s">
        <v>7723</v>
      </c>
      <c r="B851" s="2" t="s">
        <v>3237</v>
      </c>
      <c r="C851" s="3">
        <v>1</v>
      </c>
      <c r="D851" s="5">
        <v>9.99</v>
      </c>
      <c r="E851" s="3" t="s">
        <v>3238</v>
      </c>
      <c r="F851" s="2" t="s">
        <v>70</v>
      </c>
      <c r="G851" s="6" t="s">
        <v>234</v>
      </c>
      <c r="H851" s="2" t="s">
        <v>194</v>
      </c>
      <c r="I851" s="2" t="s">
        <v>195</v>
      </c>
      <c r="J851" s="2" t="s">
        <v>19</v>
      </c>
      <c r="K851" s="2" t="s">
        <v>247</v>
      </c>
      <c r="L851" s="7" t="str">
        <f>HYPERLINK("http://slimages.macys.com/is/image/MCY/15522855 ")</f>
        <v xml:space="preserve">http://slimages.macys.com/is/image/MCY/15522855 </v>
      </c>
    </row>
    <row r="852" spans="1:12" ht="24.75" x14ac:dyDescent="0.25">
      <c r="A852" s="4" t="s">
        <v>4290</v>
      </c>
      <c r="B852" s="2" t="s">
        <v>3237</v>
      </c>
      <c r="C852" s="3">
        <v>1</v>
      </c>
      <c r="D852" s="5">
        <v>9.99</v>
      </c>
      <c r="E852" s="3" t="s">
        <v>3238</v>
      </c>
      <c r="F852" s="2" t="s">
        <v>956</v>
      </c>
      <c r="G852" s="6" t="s">
        <v>181</v>
      </c>
      <c r="H852" s="2" t="s">
        <v>194</v>
      </c>
      <c r="I852" s="2" t="s">
        <v>195</v>
      </c>
      <c r="J852" s="2" t="s">
        <v>19</v>
      </c>
      <c r="K852" s="2" t="s">
        <v>247</v>
      </c>
      <c r="L852" s="7" t="str">
        <f>HYPERLINK("http://slimages.macys.com/is/image/MCY/15522855 ")</f>
        <v xml:space="preserve">http://slimages.macys.com/is/image/MCY/15522855 </v>
      </c>
    </row>
    <row r="853" spans="1:12" ht="24.75" x14ac:dyDescent="0.25">
      <c r="A853" s="4" t="s">
        <v>7724</v>
      </c>
      <c r="B853" s="2" t="s">
        <v>3237</v>
      </c>
      <c r="C853" s="3">
        <v>1</v>
      </c>
      <c r="D853" s="5">
        <v>9.99</v>
      </c>
      <c r="E853" s="3" t="s">
        <v>3238</v>
      </c>
      <c r="F853" s="2" t="s">
        <v>125</v>
      </c>
      <c r="G853" s="6" t="s">
        <v>156</v>
      </c>
      <c r="H853" s="2" t="s">
        <v>194</v>
      </c>
      <c r="I853" s="2" t="s">
        <v>195</v>
      </c>
      <c r="J853" s="2" t="s">
        <v>19</v>
      </c>
      <c r="K853" s="2" t="s">
        <v>247</v>
      </c>
      <c r="L853" s="7" t="str">
        <f>HYPERLINK("http://slimages.macys.com/is/image/MCY/15522855 ")</f>
        <v xml:space="preserve">http://slimages.macys.com/is/image/MCY/15522855 </v>
      </c>
    </row>
    <row r="854" spans="1:12" ht="24.75" x14ac:dyDescent="0.25">
      <c r="A854" s="4" t="s">
        <v>3241</v>
      </c>
      <c r="B854" s="2" t="s">
        <v>2036</v>
      </c>
      <c r="C854" s="3">
        <v>1</v>
      </c>
      <c r="D854" s="5">
        <v>12.99</v>
      </c>
      <c r="E854" s="3" t="s">
        <v>2037</v>
      </c>
      <c r="F854" s="2" t="s">
        <v>170</v>
      </c>
      <c r="G854" s="6" t="s">
        <v>234</v>
      </c>
      <c r="H854" s="2" t="s">
        <v>194</v>
      </c>
      <c r="I854" s="2" t="s">
        <v>195</v>
      </c>
      <c r="J854" s="2" t="s">
        <v>19</v>
      </c>
      <c r="K854" s="2" t="s">
        <v>495</v>
      </c>
      <c r="L854" s="7" t="str">
        <f>HYPERLINK("http://slimages.macys.com/is/image/MCY/10191342 ")</f>
        <v xml:space="preserve">http://slimages.macys.com/is/image/MCY/10191342 </v>
      </c>
    </row>
    <row r="855" spans="1:12" ht="24.75" x14ac:dyDescent="0.25">
      <c r="A855" s="4" t="s">
        <v>7725</v>
      </c>
      <c r="B855" s="2" t="s">
        <v>2036</v>
      </c>
      <c r="C855" s="3">
        <v>1</v>
      </c>
      <c r="D855" s="5">
        <v>12.99</v>
      </c>
      <c r="E855" s="3" t="s">
        <v>2037</v>
      </c>
      <c r="F855" s="2" t="s">
        <v>170</v>
      </c>
      <c r="G855" s="6" t="s">
        <v>181</v>
      </c>
      <c r="H855" s="2" t="s">
        <v>194</v>
      </c>
      <c r="I855" s="2" t="s">
        <v>195</v>
      </c>
      <c r="J855" s="2" t="s">
        <v>19</v>
      </c>
      <c r="K855" s="2" t="s">
        <v>495</v>
      </c>
      <c r="L855" s="7" t="str">
        <f>HYPERLINK("http://slimages.macys.com/is/image/MCY/10191342 ")</f>
        <v xml:space="preserve">http://slimages.macys.com/is/image/MCY/10191342 </v>
      </c>
    </row>
    <row r="856" spans="1:12" ht="24.75" x14ac:dyDescent="0.25">
      <c r="A856" s="4" t="s">
        <v>7726</v>
      </c>
      <c r="B856" s="2" t="s">
        <v>2045</v>
      </c>
      <c r="C856" s="3">
        <v>1</v>
      </c>
      <c r="D856" s="5">
        <v>9.99</v>
      </c>
      <c r="E856" s="3" t="s">
        <v>2046</v>
      </c>
      <c r="F856" s="2" t="s">
        <v>33</v>
      </c>
      <c r="G856" s="6" t="s">
        <v>156</v>
      </c>
      <c r="H856" s="2" t="s">
        <v>1473</v>
      </c>
      <c r="I856" s="2" t="s">
        <v>1426</v>
      </c>
      <c r="J856" s="2" t="s">
        <v>19</v>
      </c>
      <c r="K856" s="2" t="s">
        <v>495</v>
      </c>
      <c r="L856" s="7" t="str">
        <f>HYPERLINK("http://slimages.macys.com/is/image/MCY/11533691 ")</f>
        <v xml:space="preserve">http://slimages.macys.com/is/image/MCY/11533691 </v>
      </c>
    </row>
    <row r="857" spans="1:12" ht="24.75" x14ac:dyDescent="0.25">
      <c r="A857" s="4" t="s">
        <v>7727</v>
      </c>
      <c r="B857" s="2" t="s">
        <v>7728</v>
      </c>
      <c r="C857" s="3">
        <v>1</v>
      </c>
      <c r="D857" s="5">
        <v>9.99</v>
      </c>
      <c r="E857" s="3" t="s">
        <v>7729</v>
      </c>
      <c r="F857" s="2" t="s">
        <v>15</v>
      </c>
      <c r="G857" s="6" t="s">
        <v>234</v>
      </c>
      <c r="H857" s="2" t="s">
        <v>1473</v>
      </c>
      <c r="I857" s="2" t="s">
        <v>1426</v>
      </c>
      <c r="J857" s="2" t="s">
        <v>19</v>
      </c>
      <c r="K857" s="2" t="s">
        <v>495</v>
      </c>
      <c r="L857" s="7" t="str">
        <f>HYPERLINK("http://slimages.macys.com/is/image/MCY/12266774 ")</f>
        <v xml:space="preserve">http://slimages.macys.com/is/image/MCY/12266774 </v>
      </c>
    </row>
    <row r="858" spans="1:12" ht="24.75" x14ac:dyDescent="0.25">
      <c r="A858" s="4" t="s">
        <v>7730</v>
      </c>
      <c r="B858" s="2" t="s">
        <v>7731</v>
      </c>
      <c r="C858" s="3">
        <v>1</v>
      </c>
      <c r="D858" s="5">
        <v>9.99</v>
      </c>
      <c r="E858" s="3" t="s">
        <v>7732</v>
      </c>
      <c r="F858" s="2" t="s">
        <v>74</v>
      </c>
      <c r="G858" s="6" t="s">
        <v>154</v>
      </c>
      <c r="H858" s="2" t="s">
        <v>1473</v>
      </c>
      <c r="I858" s="2" t="s">
        <v>1426</v>
      </c>
      <c r="J858" s="2" t="s">
        <v>19</v>
      </c>
      <c r="K858" s="2" t="s">
        <v>495</v>
      </c>
      <c r="L858" s="7" t="str">
        <f>HYPERLINK("http://slimages.macys.com/is/image/MCY/12072278 ")</f>
        <v xml:space="preserve">http://slimages.macys.com/is/image/MCY/12072278 </v>
      </c>
    </row>
    <row r="859" spans="1:12" ht="24.75" x14ac:dyDescent="0.25">
      <c r="A859" s="4" t="s">
        <v>7733</v>
      </c>
      <c r="B859" s="2" t="s">
        <v>6943</v>
      </c>
      <c r="C859" s="3">
        <v>1</v>
      </c>
      <c r="D859" s="5">
        <v>9.99</v>
      </c>
      <c r="E859" s="3" t="s">
        <v>6944</v>
      </c>
      <c r="F859" s="2" t="s">
        <v>413</v>
      </c>
      <c r="G859" s="6" t="s">
        <v>219</v>
      </c>
      <c r="H859" s="2" t="s">
        <v>1425</v>
      </c>
      <c r="I859" s="2" t="s">
        <v>1426</v>
      </c>
      <c r="J859" s="2" t="s">
        <v>19</v>
      </c>
      <c r="K859" s="2" t="s">
        <v>495</v>
      </c>
      <c r="L859" s="7" t="str">
        <f>HYPERLINK("http://slimages.macys.com/is/image/MCY/11774072 ")</f>
        <v xml:space="preserve">http://slimages.macys.com/is/image/MCY/11774072 </v>
      </c>
    </row>
    <row r="860" spans="1:12" ht="24.75" x14ac:dyDescent="0.25">
      <c r="A860" s="4" t="s">
        <v>7734</v>
      </c>
      <c r="B860" s="2" t="s">
        <v>2064</v>
      </c>
      <c r="C860" s="3">
        <v>1</v>
      </c>
      <c r="D860" s="5">
        <v>9.99</v>
      </c>
      <c r="E860" s="3" t="s">
        <v>3279</v>
      </c>
      <c r="F860" s="2" t="s">
        <v>1914</v>
      </c>
      <c r="G860" s="6" t="s">
        <v>154</v>
      </c>
      <c r="H860" s="2" t="s">
        <v>1473</v>
      </c>
      <c r="I860" s="2" t="s">
        <v>1426</v>
      </c>
      <c r="J860" s="2" t="s">
        <v>19</v>
      </c>
      <c r="K860" s="2" t="s">
        <v>990</v>
      </c>
      <c r="L860" s="7" t="str">
        <f>HYPERLINK("http://slimages.macys.com/is/image/MCY/11130625 ")</f>
        <v xml:space="preserve">http://slimages.macys.com/is/image/MCY/11130625 </v>
      </c>
    </row>
    <row r="861" spans="1:12" ht="24.75" x14ac:dyDescent="0.25">
      <c r="A861" s="4" t="s">
        <v>7735</v>
      </c>
      <c r="B861" s="2" t="s">
        <v>4318</v>
      </c>
      <c r="C861" s="3">
        <v>1</v>
      </c>
      <c r="D861" s="5">
        <v>9.99</v>
      </c>
      <c r="E861" s="3" t="s">
        <v>4319</v>
      </c>
      <c r="F861" s="2" t="s">
        <v>417</v>
      </c>
      <c r="G861" s="6" t="s">
        <v>234</v>
      </c>
      <c r="H861" s="2" t="s">
        <v>1473</v>
      </c>
      <c r="I861" s="2" t="s">
        <v>1426</v>
      </c>
      <c r="J861" s="2" t="s">
        <v>19</v>
      </c>
      <c r="K861" s="2" t="s">
        <v>648</v>
      </c>
      <c r="L861" s="7" t="str">
        <f>HYPERLINK("http://slimages.macys.com/is/image/MCY/13301237 ")</f>
        <v xml:space="preserve">http://slimages.macys.com/is/image/MCY/13301237 </v>
      </c>
    </row>
    <row r="862" spans="1:12" ht="24.75" x14ac:dyDescent="0.25">
      <c r="A862" s="4" t="s">
        <v>7736</v>
      </c>
      <c r="B862" s="2" t="s">
        <v>2075</v>
      </c>
      <c r="C862" s="3">
        <v>1</v>
      </c>
      <c r="D862" s="5">
        <v>9.99</v>
      </c>
      <c r="E862" s="3" t="s">
        <v>2076</v>
      </c>
      <c r="F862" s="2" t="s">
        <v>33</v>
      </c>
      <c r="G862" s="6" t="s">
        <v>154</v>
      </c>
      <c r="H862" s="2" t="s">
        <v>1473</v>
      </c>
      <c r="I862" s="2" t="s">
        <v>1426</v>
      </c>
      <c r="J862" s="2" t="s">
        <v>19</v>
      </c>
      <c r="K862" s="2" t="s">
        <v>990</v>
      </c>
      <c r="L862" s="7" t="str">
        <f>HYPERLINK("http://slimages.macys.com/is/image/MCY/15161436 ")</f>
        <v xml:space="preserve">http://slimages.macys.com/is/image/MCY/15161436 </v>
      </c>
    </row>
    <row r="863" spans="1:12" ht="24.75" x14ac:dyDescent="0.25">
      <c r="A863" s="4" t="s">
        <v>7737</v>
      </c>
      <c r="B863" s="2" t="s">
        <v>2075</v>
      </c>
      <c r="C863" s="3">
        <v>1</v>
      </c>
      <c r="D863" s="5">
        <v>9.99</v>
      </c>
      <c r="E863" s="3" t="s">
        <v>7738</v>
      </c>
      <c r="F863" s="2" t="s">
        <v>15</v>
      </c>
      <c r="G863" s="6"/>
      <c r="H863" s="2" t="s">
        <v>1425</v>
      </c>
      <c r="I863" s="2" t="s">
        <v>1426</v>
      </c>
      <c r="J863" s="2" t="s">
        <v>19</v>
      </c>
      <c r="K863" s="2" t="s">
        <v>648</v>
      </c>
      <c r="L863" s="7" t="str">
        <f>HYPERLINK("http://slimages.macys.com/is/image/MCY/10744097 ")</f>
        <v xml:space="preserve">http://slimages.macys.com/is/image/MCY/10744097 </v>
      </c>
    </row>
    <row r="864" spans="1:12" ht="24.75" x14ac:dyDescent="0.25">
      <c r="A864" s="4" t="s">
        <v>7739</v>
      </c>
      <c r="B864" s="2" t="s">
        <v>2075</v>
      </c>
      <c r="C864" s="3">
        <v>1</v>
      </c>
      <c r="D864" s="5">
        <v>9.99</v>
      </c>
      <c r="E864" s="3" t="s">
        <v>2076</v>
      </c>
      <c r="F864" s="2" t="s">
        <v>417</v>
      </c>
      <c r="G864" s="6" t="s">
        <v>181</v>
      </c>
      <c r="H864" s="2" t="s">
        <v>1473</v>
      </c>
      <c r="I864" s="2" t="s">
        <v>1426</v>
      </c>
      <c r="J864" s="2" t="s">
        <v>19</v>
      </c>
      <c r="K864" s="2" t="s">
        <v>990</v>
      </c>
      <c r="L864" s="7" t="str">
        <f t="shared" ref="L864:L871" si="16">HYPERLINK("http://slimages.macys.com/is/image/MCY/15161436 ")</f>
        <v xml:space="preserve">http://slimages.macys.com/is/image/MCY/15161436 </v>
      </c>
    </row>
    <row r="865" spans="1:12" ht="24.75" x14ac:dyDescent="0.25">
      <c r="A865" s="4" t="s">
        <v>4334</v>
      </c>
      <c r="B865" s="2" t="s">
        <v>2075</v>
      </c>
      <c r="C865" s="3">
        <v>1</v>
      </c>
      <c r="D865" s="5">
        <v>9.99</v>
      </c>
      <c r="E865" s="3" t="s">
        <v>2076</v>
      </c>
      <c r="F865" s="2" t="s">
        <v>331</v>
      </c>
      <c r="G865" s="6" t="s">
        <v>154</v>
      </c>
      <c r="H865" s="2" t="s">
        <v>1473</v>
      </c>
      <c r="I865" s="2" t="s">
        <v>1426</v>
      </c>
      <c r="J865" s="2" t="s">
        <v>19</v>
      </c>
      <c r="K865" s="2" t="s">
        <v>990</v>
      </c>
      <c r="L865" s="7" t="str">
        <f t="shared" si="16"/>
        <v xml:space="preserve">http://slimages.macys.com/is/image/MCY/15161436 </v>
      </c>
    </row>
    <row r="866" spans="1:12" ht="24.75" x14ac:dyDescent="0.25">
      <c r="A866" s="4" t="s">
        <v>5295</v>
      </c>
      <c r="B866" s="2" t="s">
        <v>2075</v>
      </c>
      <c r="C866" s="3">
        <v>1</v>
      </c>
      <c r="D866" s="5">
        <v>9.99</v>
      </c>
      <c r="E866" s="3" t="s">
        <v>2076</v>
      </c>
      <c r="F866" s="2" t="s">
        <v>15</v>
      </c>
      <c r="G866" s="6" t="s">
        <v>181</v>
      </c>
      <c r="H866" s="2" t="s">
        <v>1473</v>
      </c>
      <c r="I866" s="2" t="s">
        <v>1426</v>
      </c>
      <c r="J866" s="2" t="s">
        <v>19</v>
      </c>
      <c r="K866" s="2" t="s">
        <v>990</v>
      </c>
      <c r="L866" s="7" t="str">
        <f t="shared" si="16"/>
        <v xml:space="preserve">http://slimages.macys.com/is/image/MCY/15161436 </v>
      </c>
    </row>
    <row r="867" spans="1:12" ht="24.75" x14ac:dyDescent="0.25">
      <c r="A867" s="4" t="s">
        <v>3246</v>
      </c>
      <c r="B867" s="2" t="s">
        <v>2075</v>
      </c>
      <c r="C867" s="3">
        <v>2</v>
      </c>
      <c r="D867" s="5">
        <v>9.99</v>
      </c>
      <c r="E867" s="3" t="s">
        <v>2076</v>
      </c>
      <c r="F867" s="2" t="s">
        <v>26</v>
      </c>
      <c r="G867" s="6" t="s">
        <v>181</v>
      </c>
      <c r="H867" s="2" t="s">
        <v>1473</v>
      </c>
      <c r="I867" s="2" t="s">
        <v>1426</v>
      </c>
      <c r="J867" s="2" t="s">
        <v>19</v>
      </c>
      <c r="K867" s="2" t="s">
        <v>990</v>
      </c>
      <c r="L867" s="7" t="str">
        <f t="shared" si="16"/>
        <v xml:space="preserve">http://slimages.macys.com/is/image/MCY/15161436 </v>
      </c>
    </row>
    <row r="868" spans="1:12" ht="24.75" x14ac:dyDescent="0.25">
      <c r="A868" s="4" t="s">
        <v>6968</v>
      </c>
      <c r="B868" s="2" t="s">
        <v>2075</v>
      </c>
      <c r="C868" s="3">
        <v>1</v>
      </c>
      <c r="D868" s="5">
        <v>9.99</v>
      </c>
      <c r="E868" s="3" t="s">
        <v>2076</v>
      </c>
      <c r="F868" s="2" t="s">
        <v>331</v>
      </c>
      <c r="G868" s="6" t="s">
        <v>181</v>
      </c>
      <c r="H868" s="2" t="s">
        <v>1473</v>
      </c>
      <c r="I868" s="2" t="s">
        <v>1426</v>
      </c>
      <c r="J868" s="2" t="s">
        <v>19</v>
      </c>
      <c r="K868" s="2" t="s">
        <v>990</v>
      </c>
      <c r="L868" s="7" t="str">
        <f t="shared" si="16"/>
        <v xml:space="preserve">http://slimages.macys.com/is/image/MCY/15161436 </v>
      </c>
    </row>
    <row r="869" spans="1:12" ht="24.75" x14ac:dyDescent="0.25">
      <c r="A869" s="4" t="s">
        <v>2079</v>
      </c>
      <c r="B869" s="2" t="s">
        <v>2075</v>
      </c>
      <c r="C869" s="3">
        <v>2</v>
      </c>
      <c r="D869" s="5">
        <v>9.99</v>
      </c>
      <c r="E869" s="3" t="s">
        <v>2076</v>
      </c>
      <c r="F869" s="2" t="s">
        <v>26</v>
      </c>
      <c r="G869" s="6" t="s">
        <v>154</v>
      </c>
      <c r="H869" s="2" t="s">
        <v>1473</v>
      </c>
      <c r="I869" s="2" t="s">
        <v>1426</v>
      </c>
      <c r="J869" s="2" t="s">
        <v>19</v>
      </c>
      <c r="K869" s="2" t="s">
        <v>990</v>
      </c>
      <c r="L869" s="7" t="str">
        <f t="shared" si="16"/>
        <v xml:space="preserve">http://slimages.macys.com/is/image/MCY/15161436 </v>
      </c>
    </row>
    <row r="870" spans="1:12" ht="24.75" x14ac:dyDescent="0.25">
      <c r="A870" s="4" t="s">
        <v>5296</v>
      </c>
      <c r="B870" s="2" t="s">
        <v>2075</v>
      </c>
      <c r="C870" s="3">
        <v>1</v>
      </c>
      <c r="D870" s="5">
        <v>9.99</v>
      </c>
      <c r="E870" s="3" t="s">
        <v>2076</v>
      </c>
      <c r="F870" s="2" t="s">
        <v>413</v>
      </c>
      <c r="G870" s="6" t="s">
        <v>156</v>
      </c>
      <c r="H870" s="2" t="s">
        <v>1473</v>
      </c>
      <c r="I870" s="2" t="s">
        <v>1426</v>
      </c>
      <c r="J870" s="2" t="s">
        <v>19</v>
      </c>
      <c r="K870" s="2" t="s">
        <v>990</v>
      </c>
      <c r="L870" s="7" t="str">
        <f t="shared" si="16"/>
        <v xml:space="preserve">http://slimages.macys.com/is/image/MCY/15161436 </v>
      </c>
    </row>
    <row r="871" spans="1:12" ht="24.75" x14ac:dyDescent="0.25">
      <c r="A871" s="4" t="s">
        <v>4333</v>
      </c>
      <c r="B871" s="2" t="s">
        <v>2075</v>
      </c>
      <c r="C871" s="3">
        <v>1</v>
      </c>
      <c r="D871" s="5">
        <v>9.99</v>
      </c>
      <c r="E871" s="3" t="s">
        <v>2076</v>
      </c>
      <c r="F871" s="2" t="s">
        <v>74</v>
      </c>
      <c r="G871" s="6" t="s">
        <v>234</v>
      </c>
      <c r="H871" s="2" t="s">
        <v>1473</v>
      </c>
      <c r="I871" s="2" t="s">
        <v>1426</v>
      </c>
      <c r="J871" s="2" t="s">
        <v>19</v>
      </c>
      <c r="K871" s="2" t="s">
        <v>990</v>
      </c>
      <c r="L871" s="7" t="str">
        <f t="shared" si="16"/>
        <v xml:space="preserve">http://slimages.macys.com/is/image/MCY/15161436 </v>
      </c>
    </row>
    <row r="872" spans="1:12" ht="24.75" x14ac:dyDescent="0.25">
      <c r="A872" s="4" t="s">
        <v>7740</v>
      </c>
      <c r="B872" s="2" t="s">
        <v>2075</v>
      </c>
      <c r="C872" s="3">
        <v>1</v>
      </c>
      <c r="D872" s="5">
        <v>9.99</v>
      </c>
      <c r="E872" s="3" t="s">
        <v>7738</v>
      </c>
      <c r="F872" s="2" t="s">
        <v>94</v>
      </c>
      <c r="G872" s="6"/>
      <c r="H872" s="2" t="s">
        <v>1425</v>
      </c>
      <c r="I872" s="2" t="s">
        <v>1426</v>
      </c>
      <c r="J872" s="2" t="s">
        <v>19</v>
      </c>
      <c r="K872" s="2" t="s">
        <v>648</v>
      </c>
      <c r="L872" s="7" t="str">
        <f>HYPERLINK("http://slimages.macys.com/is/image/MCY/10744097 ")</f>
        <v xml:space="preserve">http://slimages.macys.com/is/image/MCY/10744097 </v>
      </c>
    </row>
    <row r="873" spans="1:12" ht="24.75" x14ac:dyDescent="0.25">
      <c r="A873" s="4" t="s">
        <v>5292</v>
      </c>
      <c r="B873" s="2" t="s">
        <v>2075</v>
      </c>
      <c r="C873" s="3">
        <v>1</v>
      </c>
      <c r="D873" s="5">
        <v>9.99</v>
      </c>
      <c r="E873" s="3" t="s">
        <v>2076</v>
      </c>
      <c r="F873" s="2" t="s">
        <v>413</v>
      </c>
      <c r="G873" s="6" t="s">
        <v>200</v>
      </c>
      <c r="H873" s="2" t="s">
        <v>1473</v>
      </c>
      <c r="I873" s="2" t="s">
        <v>1426</v>
      </c>
      <c r="J873" s="2" t="s">
        <v>19</v>
      </c>
      <c r="K873" s="2" t="s">
        <v>990</v>
      </c>
      <c r="L873" s="7" t="str">
        <f>HYPERLINK("http://slimages.macys.com/is/image/MCY/15161436 ")</f>
        <v xml:space="preserve">http://slimages.macys.com/is/image/MCY/15161436 </v>
      </c>
    </row>
    <row r="874" spans="1:12" ht="24.75" x14ac:dyDescent="0.25">
      <c r="A874" s="4" t="s">
        <v>7741</v>
      </c>
      <c r="B874" s="2" t="s">
        <v>2075</v>
      </c>
      <c r="C874" s="3">
        <v>1</v>
      </c>
      <c r="D874" s="5">
        <v>9.99</v>
      </c>
      <c r="E874" s="3" t="s">
        <v>2076</v>
      </c>
      <c r="F874" s="2" t="s">
        <v>74</v>
      </c>
      <c r="G874" s="6" t="s">
        <v>154</v>
      </c>
      <c r="H874" s="2" t="s">
        <v>1473</v>
      </c>
      <c r="I874" s="2" t="s">
        <v>1426</v>
      </c>
      <c r="J874" s="2" t="s">
        <v>19</v>
      </c>
      <c r="K874" s="2" t="s">
        <v>990</v>
      </c>
      <c r="L874" s="7" t="str">
        <f>HYPERLINK("http://slimages.macys.com/is/image/MCY/15161436 ")</f>
        <v xml:space="preserve">http://slimages.macys.com/is/image/MCY/15161436 </v>
      </c>
    </row>
    <row r="875" spans="1:12" ht="24.75" x14ac:dyDescent="0.25">
      <c r="A875" s="4" t="s">
        <v>7742</v>
      </c>
      <c r="B875" s="2" t="s">
        <v>2075</v>
      </c>
      <c r="C875" s="3">
        <v>1</v>
      </c>
      <c r="D875" s="5">
        <v>9.99</v>
      </c>
      <c r="E875" s="3" t="s">
        <v>2076</v>
      </c>
      <c r="F875" s="2" t="s">
        <v>74</v>
      </c>
      <c r="G875" s="6" t="s">
        <v>181</v>
      </c>
      <c r="H875" s="2" t="s">
        <v>1473</v>
      </c>
      <c r="I875" s="2" t="s">
        <v>1426</v>
      </c>
      <c r="J875" s="2" t="s">
        <v>19</v>
      </c>
      <c r="K875" s="2" t="s">
        <v>990</v>
      </c>
      <c r="L875" s="7" t="str">
        <f>HYPERLINK("http://slimages.macys.com/is/image/MCY/15161436 ")</f>
        <v xml:space="preserve">http://slimages.macys.com/is/image/MCY/15161436 </v>
      </c>
    </row>
    <row r="876" spans="1:12" ht="24.75" x14ac:dyDescent="0.25">
      <c r="A876" s="4" t="s">
        <v>5294</v>
      </c>
      <c r="B876" s="2" t="s">
        <v>2075</v>
      </c>
      <c r="C876" s="3">
        <v>2</v>
      </c>
      <c r="D876" s="5">
        <v>9.99</v>
      </c>
      <c r="E876" s="3" t="s">
        <v>2076</v>
      </c>
      <c r="F876" s="2" t="s">
        <v>15</v>
      </c>
      <c r="G876" s="6" t="s">
        <v>234</v>
      </c>
      <c r="H876" s="2" t="s">
        <v>1473</v>
      </c>
      <c r="I876" s="2" t="s">
        <v>1426</v>
      </c>
      <c r="J876" s="2" t="s">
        <v>19</v>
      </c>
      <c r="K876" s="2" t="s">
        <v>990</v>
      </c>
      <c r="L876" s="7" t="str">
        <f>HYPERLINK("http://slimages.macys.com/is/image/MCY/15161436 ")</f>
        <v xml:space="preserve">http://slimages.macys.com/is/image/MCY/15161436 </v>
      </c>
    </row>
    <row r="877" spans="1:12" ht="24.75" x14ac:dyDescent="0.25">
      <c r="A877" s="4" t="s">
        <v>5302</v>
      </c>
      <c r="B877" s="2" t="s">
        <v>2083</v>
      </c>
      <c r="C877" s="3">
        <v>1</v>
      </c>
      <c r="D877" s="5">
        <v>9.99</v>
      </c>
      <c r="E877" s="3" t="s">
        <v>3251</v>
      </c>
      <c r="F877" s="2" t="s">
        <v>33</v>
      </c>
      <c r="G877" s="6" t="s">
        <v>219</v>
      </c>
      <c r="H877" s="2" t="s">
        <v>1425</v>
      </c>
      <c r="I877" s="2" t="s">
        <v>1426</v>
      </c>
      <c r="J877" s="2" t="s">
        <v>19</v>
      </c>
      <c r="K877" s="2" t="s">
        <v>648</v>
      </c>
      <c r="L877" s="7" t="str">
        <f>HYPERLINK("http://slimages.macys.com/is/image/MCY/12315459 ")</f>
        <v xml:space="preserve">http://slimages.macys.com/is/image/MCY/12315459 </v>
      </c>
    </row>
    <row r="878" spans="1:12" ht="24.75" x14ac:dyDescent="0.25">
      <c r="A878" s="4" t="s">
        <v>7743</v>
      </c>
      <c r="B878" s="2" t="s">
        <v>4339</v>
      </c>
      <c r="C878" s="3">
        <v>1</v>
      </c>
      <c r="D878" s="5">
        <v>9.99</v>
      </c>
      <c r="E878" s="3" t="s">
        <v>4340</v>
      </c>
      <c r="F878" s="2" t="s">
        <v>70</v>
      </c>
      <c r="G878" s="6" t="s">
        <v>156</v>
      </c>
      <c r="H878" s="2" t="s">
        <v>1473</v>
      </c>
      <c r="I878" s="2" t="s">
        <v>1426</v>
      </c>
      <c r="J878" s="2" t="s">
        <v>19</v>
      </c>
      <c r="K878" s="2" t="s">
        <v>648</v>
      </c>
      <c r="L878" s="7" t="str">
        <f>HYPERLINK("http://slimages.macys.com/is/image/MCY/10747176 ")</f>
        <v xml:space="preserve">http://slimages.macys.com/is/image/MCY/10747176 </v>
      </c>
    </row>
    <row r="879" spans="1:12" ht="24.75" x14ac:dyDescent="0.25">
      <c r="A879" s="4" t="s">
        <v>7744</v>
      </c>
      <c r="B879" s="2" t="s">
        <v>4339</v>
      </c>
      <c r="C879" s="3">
        <v>1</v>
      </c>
      <c r="D879" s="5">
        <v>9.99</v>
      </c>
      <c r="E879" s="3" t="s">
        <v>4340</v>
      </c>
      <c r="F879" s="2" t="s">
        <v>1322</v>
      </c>
      <c r="G879" s="6" t="s">
        <v>200</v>
      </c>
      <c r="H879" s="2" t="s">
        <v>1473</v>
      </c>
      <c r="I879" s="2" t="s">
        <v>1426</v>
      </c>
      <c r="J879" s="2" t="s">
        <v>19</v>
      </c>
      <c r="K879" s="2" t="s">
        <v>648</v>
      </c>
      <c r="L879" s="7" t="str">
        <f>HYPERLINK("http://slimages.macys.com/is/image/MCY/10747176 ")</f>
        <v xml:space="preserve">http://slimages.macys.com/is/image/MCY/10747176 </v>
      </c>
    </row>
    <row r="880" spans="1:12" ht="24.75" x14ac:dyDescent="0.25">
      <c r="A880" s="4" t="s">
        <v>4338</v>
      </c>
      <c r="B880" s="2" t="s">
        <v>4339</v>
      </c>
      <c r="C880" s="3">
        <v>1</v>
      </c>
      <c r="D880" s="5">
        <v>9.99</v>
      </c>
      <c r="E880" s="3" t="s">
        <v>4340</v>
      </c>
      <c r="F880" s="2" t="s">
        <v>417</v>
      </c>
      <c r="G880" s="6" t="s">
        <v>234</v>
      </c>
      <c r="H880" s="2" t="s">
        <v>1473</v>
      </c>
      <c r="I880" s="2" t="s">
        <v>1426</v>
      </c>
      <c r="J880" s="2" t="s">
        <v>19</v>
      </c>
      <c r="K880" s="2" t="s">
        <v>648</v>
      </c>
      <c r="L880" s="7" t="str">
        <f>HYPERLINK("http://slimages.macys.com/is/image/MCY/10747176 ")</f>
        <v xml:space="preserve">http://slimages.macys.com/is/image/MCY/10747176 </v>
      </c>
    </row>
    <row r="881" spans="1:12" ht="24.75" x14ac:dyDescent="0.25">
      <c r="A881" s="4" t="s">
        <v>5297</v>
      </c>
      <c r="B881" s="2" t="s">
        <v>2083</v>
      </c>
      <c r="C881" s="3">
        <v>1</v>
      </c>
      <c r="D881" s="5">
        <v>9.99</v>
      </c>
      <c r="E881" s="3" t="s">
        <v>3251</v>
      </c>
      <c r="F881" s="2" t="s">
        <v>15</v>
      </c>
      <c r="G881" s="6"/>
      <c r="H881" s="2" t="s">
        <v>1425</v>
      </c>
      <c r="I881" s="2" t="s">
        <v>1426</v>
      </c>
      <c r="J881" s="2" t="s">
        <v>19</v>
      </c>
      <c r="K881" s="2" t="s">
        <v>648</v>
      </c>
      <c r="L881" s="7" t="str">
        <f>HYPERLINK("http://slimages.macys.com/is/image/MCY/12315459 ")</f>
        <v xml:space="preserve">http://slimages.macys.com/is/image/MCY/12315459 </v>
      </c>
    </row>
    <row r="882" spans="1:12" ht="24.75" x14ac:dyDescent="0.25">
      <c r="A882" s="4" t="s">
        <v>7745</v>
      </c>
      <c r="B882" s="2" t="s">
        <v>6242</v>
      </c>
      <c r="C882" s="3">
        <v>1</v>
      </c>
      <c r="D882" s="5">
        <v>9.99</v>
      </c>
      <c r="E882" s="3" t="s">
        <v>7746</v>
      </c>
      <c r="F882" s="2" t="s">
        <v>70</v>
      </c>
      <c r="G882" s="6" t="s">
        <v>234</v>
      </c>
      <c r="H882" s="2" t="s">
        <v>1473</v>
      </c>
      <c r="I882" s="2" t="s">
        <v>1426</v>
      </c>
      <c r="J882" s="2" t="s">
        <v>19</v>
      </c>
      <c r="K882" s="2" t="s">
        <v>648</v>
      </c>
      <c r="L882" s="7" t="str">
        <f>HYPERLINK("http://slimages.macys.com/is/image/MCY/12672003 ")</f>
        <v xml:space="preserve">http://slimages.macys.com/is/image/MCY/12672003 </v>
      </c>
    </row>
    <row r="883" spans="1:12" ht="24.75" x14ac:dyDescent="0.25">
      <c r="A883" s="4" t="s">
        <v>7747</v>
      </c>
      <c r="B883" s="2" t="s">
        <v>2087</v>
      </c>
      <c r="C883" s="3">
        <v>1</v>
      </c>
      <c r="D883" s="5">
        <v>9.99</v>
      </c>
      <c r="E883" s="3" t="s">
        <v>6984</v>
      </c>
      <c r="F883" s="2" t="s">
        <v>1945</v>
      </c>
      <c r="G883" s="6"/>
      <c r="H883" s="2" t="s">
        <v>1425</v>
      </c>
      <c r="I883" s="2" t="s">
        <v>1426</v>
      </c>
      <c r="J883" s="2" t="s">
        <v>19</v>
      </c>
      <c r="K883" s="2" t="s">
        <v>648</v>
      </c>
      <c r="L883" s="7" t="str">
        <f>HYPERLINK("http://slimages.macys.com/is/image/MCY/10745901 ")</f>
        <v xml:space="preserve">http://slimages.macys.com/is/image/MCY/10745901 </v>
      </c>
    </row>
    <row r="884" spans="1:12" ht="24.75" x14ac:dyDescent="0.25">
      <c r="A884" s="4" t="s">
        <v>7748</v>
      </c>
      <c r="B884" s="2" t="s">
        <v>5305</v>
      </c>
      <c r="C884" s="3">
        <v>1</v>
      </c>
      <c r="D884" s="5">
        <v>9.99</v>
      </c>
      <c r="E884" s="3" t="s">
        <v>5306</v>
      </c>
      <c r="F884" s="2" t="s">
        <v>15</v>
      </c>
      <c r="G884" s="6" t="s">
        <v>181</v>
      </c>
      <c r="H884" s="2" t="s">
        <v>1473</v>
      </c>
      <c r="I884" s="2" t="s">
        <v>1426</v>
      </c>
      <c r="J884" s="2" t="s">
        <v>19</v>
      </c>
      <c r="K884" s="2" t="s">
        <v>495</v>
      </c>
      <c r="L884" s="7" t="str">
        <f>HYPERLINK("http://slimages.macys.com/is/image/MCY/12326968 ")</f>
        <v xml:space="preserve">http://slimages.macys.com/is/image/MCY/12326968 </v>
      </c>
    </row>
    <row r="885" spans="1:12" ht="24.75" x14ac:dyDescent="0.25">
      <c r="A885" s="4" t="s">
        <v>7749</v>
      </c>
      <c r="B885" s="2" t="s">
        <v>6252</v>
      </c>
      <c r="C885" s="3">
        <v>1</v>
      </c>
      <c r="D885" s="5">
        <v>9.99</v>
      </c>
      <c r="E885" s="3" t="s">
        <v>6253</v>
      </c>
      <c r="F885" s="2" t="s">
        <v>413</v>
      </c>
      <c r="G885" s="6" t="s">
        <v>234</v>
      </c>
      <c r="H885" s="2" t="s">
        <v>1473</v>
      </c>
      <c r="I885" s="2" t="s">
        <v>1426</v>
      </c>
      <c r="J885" s="2" t="s">
        <v>19</v>
      </c>
      <c r="K885" s="2" t="s">
        <v>495</v>
      </c>
      <c r="L885" s="7" t="str">
        <f>HYPERLINK("http://slimages.macys.com/is/image/MCY/11517420 ")</f>
        <v xml:space="preserve">http://slimages.macys.com/is/image/MCY/11517420 </v>
      </c>
    </row>
    <row r="886" spans="1:12" ht="24.75" x14ac:dyDescent="0.25">
      <c r="A886" s="4" t="s">
        <v>7750</v>
      </c>
      <c r="B886" s="2" t="s">
        <v>2083</v>
      </c>
      <c r="C886" s="3">
        <v>2</v>
      </c>
      <c r="D886" s="5">
        <v>9.99</v>
      </c>
      <c r="E886" s="3" t="s">
        <v>3251</v>
      </c>
      <c r="F886" s="2" t="s">
        <v>74</v>
      </c>
      <c r="G886" s="6"/>
      <c r="H886" s="2" t="s">
        <v>1425</v>
      </c>
      <c r="I886" s="2" t="s">
        <v>1426</v>
      </c>
      <c r="J886" s="2" t="s">
        <v>19</v>
      </c>
      <c r="K886" s="2" t="s">
        <v>648</v>
      </c>
      <c r="L886" s="7" t="str">
        <f>HYPERLINK("http://slimages.macys.com/is/image/MCY/12315459 ")</f>
        <v xml:space="preserve">http://slimages.macys.com/is/image/MCY/12315459 </v>
      </c>
    </row>
    <row r="887" spans="1:12" ht="24.75" x14ac:dyDescent="0.25">
      <c r="A887" s="4" t="s">
        <v>7751</v>
      </c>
      <c r="B887" s="2" t="s">
        <v>2083</v>
      </c>
      <c r="C887" s="3">
        <v>4</v>
      </c>
      <c r="D887" s="5">
        <v>9.99</v>
      </c>
      <c r="E887" s="3" t="s">
        <v>3251</v>
      </c>
      <c r="F887" s="2" t="s">
        <v>74</v>
      </c>
      <c r="G887" s="6" t="s">
        <v>187</v>
      </c>
      <c r="H887" s="2" t="s">
        <v>1425</v>
      </c>
      <c r="I887" s="2" t="s">
        <v>1426</v>
      </c>
      <c r="J887" s="2" t="s">
        <v>19</v>
      </c>
      <c r="K887" s="2" t="s">
        <v>648</v>
      </c>
      <c r="L887" s="7" t="str">
        <f>HYPERLINK("http://slimages.macys.com/is/image/MCY/12315459 ")</f>
        <v xml:space="preserve">http://slimages.macys.com/is/image/MCY/12315459 </v>
      </c>
    </row>
    <row r="888" spans="1:12" ht="24.75" x14ac:dyDescent="0.25">
      <c r="A888" s="4" t="s">
        <v>7752</v>
      </c>
      <c r="B888" s="2" t="s">
        <v>2083</v>
      </c>
      <c r="C888" s="3">
        <v>1</v>
      </c>
      <c r="D888" s="5">
        <v>9.99</v>
      </c>
      <c r="E888" s="3" t="s">
        <v>3251</v>
      </c>
      <c r="F888" s="2" t="s">
        <v>74</v>
      </c>
      <c r="G888" s="6"/>
      <c r="H888" s="2" t="s">
        <v>1425</v>
      </c>
      <c r="I888" s="2" t="s">
        <v>1426</v>
      </c>
      <c r="J888" s="2" t="s">
        <v>19</v>
      </c>
      <c r="K888" s="2" t="s">
        <v>648</v>
      </c>
      <c r="L888" s="7" t="str">
        <f>HYPERLINK("http://slimages.macys.com/is/image/MCY/12315459 ")</f>
        <v xml:space="preserve">http://slimages.macys.com/is/image/MCY/12315459 </v>
      </c>
    </row>
    <row r="889" spans="1:12" ht="24.75" x14ac:dyDescent="0.25">
      <c r="A889" s="4" t="s">
        <v>5322</v>
      </c>
      <c r="B889" s="2" t="s">
        <v>5312</v>
      </c>
      <c r="C889" s="3">
        <v>1</v>
      </c>
      <c r="D889" s="5">
        <v>9.99</v>
      </c>
      <c r="E889" s="3" t="s">
        <v>5313</v>
      </c>
      <c r="F889" s="2" t="s">
        <v>417</v>
      </c>
      <c r="G889" s="6" t="s">
        <v>181</v>
      </c>
      <c r="H889" s="2" t="s">
        <v>1473</v>
      </c>
      <c r="I889" s="2" t="s">
        <v>1426</v>
      </c>
      <c r="J889" s="2" t="s">
        <v>19</v>
      </c>
      <c r="K889" s="2" t="s">
        <v>495</v>
      </c>
      <c r="L889" s="7" t="str">
        <f>HYPERLINK("http://slimages.macys.com/is/image/MCY/11774945 ")</f>
        <v xml:space="preserve">http://slimages.macys.com/is/image/MCY/11774945 </v>
      </c>
    </row>
    <row r="890" spans="1:12" ht="24.75" x14ac:dyDescent="0.25">
      <c r="A890" s="4" t="s">
        <v>7753</v>
      </c>
      <c r="B890" s="2" t="s">
        <v>2110</v>
      </c>
      <c r="C890" s="3">
        <v>1</v>
      </c>
      <c r="D890" s="5">
        <v>9.99</v>
      </c>
      <c r="E890" s="3" t="s">
        <v>2111</v>
      </c>
      <c r="F890" s="2" t="s">
        <v>1322</v>
      </c>
      <c r="G890" s="6" t="s">
        <v>181</v>
      </c>
      <c r="H890" s="2" t="s">
        <v>1473</v>
      </c>
      <c r="I890" s="2" t="s">
        <v>1426</v>
      </c>
      <c r="J890" s="2" t="s">
        <v>19</v>
      </c>
      <c r="K890" s="2" t="s">
        <v>648</v>
      </c>
      <c r="L890" s="7" t="str">
        <f>HYPERLINK("http://slimages.macys.com/is/image/MCY/10746456 ")</f>
        <v xml:space="preserve">http://slimages.macys.com/is/image/MCY/10746456 </v>
      </c>
    </row>
    <row r="891" spans="1:12" ht="24.75" x14ac:dyDescent="0.25">
      <c r="A891" s="4" t="s">
        <v>7754</v>
      </c>
      <c r="B891" s="2" t="s">
        <v>2110</v>
      </c>
      <c r="C891" s="3">
        <v>1</v>
      </c>
      <c r="D891" s="5">
        <v>9.99</v>
      </c>
      <c r="E891" s="3" t="s">
        <v>2111</v>
      </c>
      <c r="F891" s="2" t="s">
        <v>1322</v>
      </c>
      <c r="G891" s="6" t="s">
        <v>234</v>
      </c>
      <c r="H891" s="2" t="s">
        <v>1473</v>
      </c>
      <c r="I891" s="2" t="s">
        <v>1426</v>
      </c>
      <c r="J891" s="2" t="s">
        <v>19</v>
      </c>
      <c r="K891" s="2" t="s">
        <v>648</v>
      </c>
      <c r="L891" s="7" t="str">
        <f>HYPERLINK("http://slimages.macys.com/is/image/MCY/10746456 ")</f>
        <v xml:space="preserve">http://slimages.macys.com/is/image/MCY/10746456 </v>
      </c>
    </row>
    <row r="892" spans="1:12" ht="24.75" x14ac:dyDescent="0.25">
      <c r="A892" s="4" t="s">
        <v>7755</v>
      </c>
      <c r="B892" s="2" t="s">
        <v>2093</v>
      </c>
      <c r="C892" s="3">
        <v>1</v>
      </c>
      <c r="D892" s="5">
        <v>9.99</v>
      </c>
      <c r="E892" s="3" t="s">
        <v>2094</v>
      </c>
      <c r="F892" s="2" t="s">
        <v>33</v>
      </c>
      <c r="G892" s="6" t="s">
        <v>154</v>
      </c>
      <c r="H892" s="2" t="s">
        <v>1473</v>
      </c>
      <c r="I892" s="2" t="s">
        <v>1426</v>
      </c>
      <c r="J892" s="2" t="s">
        <v>19</v>
      </c>
      <c r="K892" s="2" t="s">
        <v>495</v>
      </c>
      <c r="L892" s="7" t="str">
        <f>HYPERLINK("http://slimages.macys.com/is/image/MCY/10464865 ")</f>
        <v xml:space="preserve">http://slimages.macys.com/is/image/MCY/10464865 </v>
      </c>
    </row>
    <row r="893" spans="1:12" ht="24.75" x14ac:dyDescent="0.25">
      <c r="A893" s="4" t="s">
        <v>7756</v>
      </c>
      <c r="B893" s="2" t="s">
        <v>2107</v>
      </c>
      <c r="C893" s="3">
        <v>1</v>
      </c>
      <c r="D893" s="5">
        <v>9.99</v>
      </c>
      <c r="E893" s="3" t="s">
        <v>2108</v>
      </c>
      <c r="F893" s="2" t="s">
        <v>15</v>
      </c>
      <c r="G893" s="6" t="s">
        <v>245</v>
      </c>
      <c r="H893" s="2" t="s">
        <v>1473</v>
      </c>
      <c r="I893" s="2" t="s">
        <v>1426</v>
      </c>
      <c r="J893" s="2" t="s">
        <v>19</v>
      </c>
      <c r="K893" s="2" t="s">
        <v>495</v>
      </c>
      <c r="L893" s="7" t="str">
        <f>HYPERLINK("http://slimages.macys.com/is/image/MCY/10746269 ")</f>
        <v xml:space="preserve">http://slimages.macys.com/is/image/MCY/10746269 </v>
      </c>
    </row>
    <row r="894" spans="1:12" ht="24.75" x14ac:dyDescent="0.25">
      <c r="A894" s="4" t="s">
        <v>7757</v>
      </c>
      <c r="B894" s="2" t="s">
        <v>5312</v>
      </c>
      <c r="C894" s="3">
        <v>1</v>
      </c>
      <c r="D894" s="5">
        <v>9.99</v>
      </c>
      <c r="E894" s="3" t="s">
        <v>5313</v>
      </c>
      <c r="F894" s="2" t="s">
        <v>417</v>
      </c>
      <c r="G894" s="6" t="s">
        <v>245</v>
      </c>
      <c r="H894" s="2" t="s">
        <v>1473</v>
      </c>
      <c r="I894" s="2" t="s">
        <v>1426</v>
      </c>
      <c r="J894" s="2" t="s">
        <v>19</v>
      </c>
      <c r="K894" s="2" t="s">
        <v>495</v>
      </c>
      <c r="L894" s="7" t="str">
        <f>HYPERLINK("http://slimages.macys.com/is/image/MCY/11774945 ")</f>
        <v xml:space="preserve">http://slimages.macys.com/is/image/MCY/11774945 </v>
      </c>
    </row>
    <row r="895" spans="1:12" ht="24.75" x14ac:dyDescent="0.25">
      <c r="A895" s="4" t="s">
        <v>7758</v>
      </c>
      <c r="B895" s="2" t="s">
        <v>5312</v>
      </c>
      <c r="C895" s="3">
        <v>1</v>
      </c>
      <c r="D895" s="5">
        <v>9.99</v>
      </c>
      <c r="E895" s="3" t="s">
        <v>5313</v>
      </c>
      <c r="F895" s="2" t="s">
        <v>417</v>
      </c>
      <c r="G895" s="6" t="s">
        <v>154</v>
      </c>
      <c r="H895" s="2" t="s">
        <v>1473</v>
      </c>
      <c r="I895" s="2" t="s">
        <v>1426</v>
      </c>
      <c r="J895" s="2" t="s">
        <v>19</v>
      </c>
      <c r="K895" s="2" t="s">
        <v>495</v>
      </c>
      <c r="L895" s="7" t="str">
        <f>HYPERLINK("http://slimages.macys.com/is/image/MCY/11774945 ")</f>
        <v xml:space="preserve">http://slimages.macys.com/is/image/MCY/11774945 </v>
      </c>
    </row>
    <row r="896" spans="1:12" ht="24.75" x14ac:dyDescent="0.25">
      <c r="A896" s="4" t="s">
        <v>7002</v>
      </c>
      <c r="B896" s="2" t="s">
        <v>7003</v>
      </c>
      <c r="C896" s="3">
        <v>1</v>
      </c>
      <c r="D896" s="5">
        <v>9.99</v>
      </c>
      <c r="E896" s="3" t="s">
        <v>7004</v>
      </c>
      <c r="F896" s="2" t="s">
        <v>417</v>
      </c>
      <c r="G896" s="6" t="s">
        <v>154</v>
      </c>
      <c r="H896" s="2" t="s">
        <v>1473</v>
      </c>
      <c r="I896" s="2" t="s">
        <v>1426</v>
      </c>
      <c r="J896" s="2" t="s">
        <v>19</v>
      </c>
      <c r="K896" s="2" t="s">
        <v>495</v>
      </c>
      <c r="L896" s="7" t="str">
        <f>HYPERLINK("http://slimages.macys.com/is/image/MCY/12327080 ")</f>
        <v xml:space="preserve">http://slimages.macys.com/is/image/MCY/12327080 </v>
      </c>
    </row>
    <row r="897" spans="1:12" ht="24.75" x14ac:dyDescent="0.25">
      <c r="A897" s="4" t="s">
        <v>7759</v>
      </c>
      <c r="B897" s="2" t="s">
        <v>5316</v>
      </c>
      <c r="C897" s="3">
        <v>1</v>
      </c>
      <c r="D897" s="5">
        <v>9.99</v>
      </c>
      <c r="E897" s="3" t="s">
        <v>7760</v>
      </c>
      <c r="F897" s="2" t="s">
        <v>33</v>
      </c>
      <c r="G897" s="6"/>
      <c r="H897" s="2" t="s">
        <v>1425</v>
      </c>
      <c r="I897" s="2" t="s">
        <v>1426</v>
      </c>
      <c r="J897" s="2" t="s">
        <v>19</v>
      </c>
      <c r="K897" s="2" t="s">
        <v>495</v>
      </c>
      <c r="L897" s="7" t="str">
        <f>HYPERLINK("http://slimages.macys.com/is/image/MCY/12269156 ")</f>
        <v xml:space="preserve">http://slimages.macys.com/is/image/MCY/12269156 </v>
      </c>
    </row>
    <row r="898" spans="1:12" ht="24.75" x14ac:dyDescent="0.25">
      <c r="A898" s="4" t="s">
        <v>7761</v>
      </c>
      <c r="B898" s="2" t="s">
        <v>2072</v>
      </c>
      <c r="C898" s="3">
        <v>2</v>
      </c>
      <c r="D898" s="5">
        <v>9.99</v>
      </c>
      <c r="E898" s="3" t="s">
        <v>2073</v>
      </c>
      <c r="F898" s="2" t="s">
        <v>26</v>
      </c>
      <c r="G898" s="6"/>
      <c r="H898" s="2" t="s">
        <v>1425</v>
      </c>
      <c r="I898" s="2" t="s">
        <v>1426</v>
      </c>
      <c r="J898" s="2" t="s">
        <v>19</v>
      </c>
      <c r="K898" s="2" t="s">
        <v>990</v>
      </c>
      <c r="L898" s="7" t="str">
        <f>HYPERLINK("http://slimages.macys.com/is/image/MCY/10741444 ")</f>
        <v xml:space="preserve">http://slimages.macys.com/is/image/MCY/10741444 </v>
      </c>
    </row>
    <row r="899" spans="1:12" ht="24.75" x14ac:dyDescent="0.25">
      <c r="A899" s="4" t="s">
        <v>7762</v>
      </c>
      <c r="B899" s="2" t="s">
        <v>2072</v>
      </c>
      <c r="C899" s="3">
        <v>3</v>
      </c>
      <c r="D899" s="5">
        <v>9.99</v>
      </c>
      <c r="E899" s="3" t="s">
        <v>2073</v>
      </c>
      <c r="F899" s="2" t="s">
        <v>26</v>
      </c>
      <c r="G899" s="6"/>
      <c r="H899" s="2" t="s">
        <v>1425</v>
      </c>
      <c r="I899" s="2" t="s">
        <v>1426</v>
      </c>
      <c r="J899" s="2" t="s">
        <v>19</v>
      </c>
      <c r="K899" s="2" t="s">
        <v>990</v>
      </c>
      <c r="L899" s="7" t="str">
        <f>HYPERLINK("http://slimages.macys.com/is/image/MCY/10741444 ")</f>
        <v xml:space="preserve">http://slimages.macys.com/is/image/MCY/10741444 </v>
      </c>
    </row>
    <row r="900" spans="1:12" ht="24.75" x14ac:dyDescent="0.25">
      <c r="A900" s="4" t="s">
        <v>7763</v>
      </c>
      <c r="B900" s="2" t="s">
        <v>7764</v>
      </c>
      <c r="C900" s="3">
        <v>1</v>
      </c>
      <c r="D900" s="5">
        <v>12.99</v>
      </c>
      <c r="E900" s="3" t="s">
        <v>7765</v>
      </c>
      <c r="F900" s="2" t="s">
        <v>1788</v>
      </c>
      <c r="G900" s="6" t="s">
        <v>154</v>
      </c>
      <c r="H900" s="2" t="s">
        <v>2029</v>
      </c>
      <c r="I900" s="2" t="s">
        <v>2030</v>
      </c>
      <c r="J900" s="2" t="s">
        <v>19</v>
      </c>
      <c r="K900" s="2" t="s">
        <v>495</v>
      </c>
      <c r="L900" s="7" t="str">
        <f>HYPERLINK("http://slimages.macys.com/is/image/MCY/11753159 ")</f>
        <v xml:space="preserve">http://slimages.macys.com/is/image/MCY/11753159 </v>
      </c>
    </row>
    <row r="901" spans="1:12" ht="24.75" x14ac:dyDescent="0.25">
      <c r="A901" s="4" t="s">
        <v>7766</v>
      </c>
      <c r="B901" s="2" t="s">
        <v>2072</v>
      </c>
      <c r="C901" s="3">
        <v>1</v>
      </c>
      <c r="D901" s="5">
        <v>9.99</v>
      </c>
      <c r="E901" s="3" t="s">
        <v>2073</v>
      </c>
      <c r="F901" s="2" t="s">
        <v>26</v>
      </c>
      <c r="G901" s="6" t="s">
        <v>187</v>
      </c>
      <c r="H901" s="2" t="s">
        <v>1425</v>
      </c>
      <c r="I901" s="2" t="s">
        <v>1426</v>
      </c>
      <c r="J901" s="2" t="s">
        <v>19</v>
      </c>
      <c r="K901" s="2" t="s">
        <v>990</v>
      </c>
      <c r="L901" s="7" t="str">
        <f>HYPERLINK("http://slimages.macys.com/is/image/MCY/10741444 ")</f>
        <v xml:space="preserve">http://slimages.macys.com/is/image/MCY/10741444 </v>
      </c>
    </row>
    <row r="902" spans="1:12" ht="24.75" x14ac:dyDescent="0.25">
      <c r="A902" s="4" t="s">
        <v>7767</v>
      </c>
      <c r="B902" s="2" t="s">
        <v>7768</v>
      </c>
      <c r="C902" s="3">
        <v>1</v>
      </c>
      <c r="D902" s="5">
        <v>9.99</v>
      </c>
      <c r="E902" s="3">
        <v>100007638</v>
      </c>
      <c r="F902" s="2" t="s">
        <v>111</v>
      </c>
      <c r="G902" s="6" t="s">
        <v>234</v>
      </c>
      <c r="H902" s="2" t="s">
        <v>2029</v>
      </c>
      <c r="I902" s="2" t="s">
        <v>2030</v>
      </c>
      <c r="J902" s="2" t="s">
        <v>19</v>
      </c>
      <c r="K902" s="2" t="s">
        <v>201</v>
      </c>
      <c r="L902" s="7" t="str">
        <f>HYPERLINK("http://slimages.macys.com/is/image/MCY/9494762 ")</f>
        <v xml:space="preserve">http://slimages.macys.com/is/image/MCY/9494762 </v>
      </c>
    </row>
    <row r="903" spans="1:12" ht="24.75" x14ac:dyDescent="0.25">
      <c r="A903" s="4" t="s">
        <v>7769</v>
      </c>
      <c r="B903" s="2" t="s">
        <v>2113</v>
      </c>
      <c r="C903" s="3">
        <v>1</v>
      </c>
      <c r="D903" s="5">
        <v>9.99</v>
      </c>
      <c r="E903" s="3" t="s">
        <v>2114</v>
      </c>
      <c r="F903" s="2" t="s">
        <v>15</v>
      </c>
      <c r="G903" s="6"/>
      <c r="H903" s="2" t="s">
        <v>1425</v>
      </c>
      <c r="I903" s="2" t="s">
        <v>1426</v>
      </c>
      <c r="J903" s="2" t="s">
        <v>19</v>
      </c>
      <c r="K903" s="2" t="s">
        <v>648</v>
      </c>
      <c r="L903" s="7" t="str">
        <f>HYPERLINK("http://slimages.macys.com/is/image/MCY/10703601 ")</f>
        <v xml:space="preserve">http://slimages.macys.com/is/image/MCY/10703601 </v>
      </c>
    </row>
    <row r="904" spans="1:12" ht="24.75" x14ac:dyDescent="0.25">
      <c r="A904" s="4" t="s">
        <v>5330</v>
      </c>
      <c r="B904" s="2" t="s">
        <v>2113</v>
      </c>
      <c r="C904" s="3">
        <v>2</v>
      </c>
      <c r="D904" s="5">
        <v>9.99</v>
      </c>
      <c r="E904" s="3" t="s">
        <v>2114</v>
      </c>
      <c r="F904" s="2" t="s">
        <v>74</v>
      </c>
      <c r="G904" s="6"/>
      <c r="H904" s="2" t="s">
        <v>1425</v>
      </c>
      <c r="I904" s="2" t="s">
        <v>1426</v>
      </c>
      <c r="J904" s="2" t="s">
        <v>19</v>
      </c>
      <c r="K904" s="2" t="s">
        <v>648</v>
      </c>
      <c r="L904" s="7" t="str">
        <f>HYPERLINK("http://slimages.macys.com/is/image/MCY/10703601 ")</f>
        <v xml:space="preserve">http://slimages.macys.com/is/image/MCY/10703601 </v>
      </c>
    </row>
    <row r="905" spans="1:12" ht="24.75" x14ac:dyDescent="0.25">
      <c r="A905" s="4" t="s">
        <v>7770</v>
      </c>
      <c r="B905" s="2" t="s">
        <v>2113</v>
      </c>
      <c r="C905" s="3">
        <v>1</v>
      </c>
      <c r="D905" s="5">
        <v>9.99</v>
      </c>
      <c r="E905" s="3" t="s">
        <v>2114</v>
      </c>
      <c r="F905" s="2" t="s">
        <v>15</v>
      </c>
      <c r="G905" s="6" t="s">
        <v>187</v>
      </c>
      <c r="H905" s="2" t="s">
        <v>1425</v>
      </c>
      <c r="I905" s="2" t="s">
        <v>1426</v>
      </c>
      <c r="J905" s="2" t="s">
        <v>19</v>
      </c>
      <c r="K905" s="2" t="s">
        <v>648</v>
      </c>
      <c r="L905" s="7" t="str">
        <f>HYPERLINK("http://slimages.macys.com/is/image/MCY/10703601 ")</f>
        <v xml:space="preserve">http://slimages.macys.com/is/image/MCY/10703601 </v>
      </c>
    </row>
    <row r="906" spans="1:12" ht="24.75" x14ac:dyDescent="0.25">
      <c r="A906" s="4" t="s">
        <v>3276</v>
      </c>
      <c r="B906" s="2" t="s">
        <v>2113</v>
      </c>
      <c r="C906" s="3">
        <v>1</v>
      </c>
      <c r="D906" s="5">
        <v>9.99</v>
      </c>
      <c r="E906" s="3" t="s">
        <v>2114</v>
      </c>
      <c r="F906" s="2" t="s">
        <v>15</v>
      </c>
      <c r="G906" s="6"/>
      <c r="H906" s="2" t="s">
        <v>1425</v>
      </c>
      <c r="I906" s="2" t="s">
        <v>1426</v>
      </c>
      <c r="J906" s="2" t="s">
        <v>19</v>
      </c>
      <c r="K906" s="2" t="s">
        <v>648</v>
      </c>
      <c r="L906" s="7" t="str">
        <f>HYPERLINK("http://slimages.macys.com/is/image/MCY/10703601 ")</f>
        <v xml:space="preserve">http://slimages.macys.com/is/image/MCY/10703601 </v>
      </c>
    </row>
    <row r="907" spans="1:12" ht="24.75" x14ac:dyDescent="0.25">
      <c r="A907" s="4" t="s">
        <v>3255</v>
      </c>
      <c r="B907" s="2" t="s">
        <v>2083</v>
      </c>
      <c r="C907" s="3">
        <v>2</v>
      </c>
      <c r="D907" s="5">
        <v>9.99</v>
      </c>
      <c r="E907" s="3" t="s">
        <v>2084</v>
      </c>
      <c r="F907" s="2" t="s">
        <v>136</v>
      </c>
      <c r="G907" s="6" t="s">
        <v>200</v>
      </c>
      <c r="H907" s="2" t="s">
        <v>1473</v>
      </c>
      <c r="I907" s="2" t="s">
        <v>1426</v>
      </c>
      <c r="J907" s="2" t="s">
        <v>19</v>
      </c>
      <c r="K907" s="2" t="s">
        <v>648</v>
      </c>
      <c r="L907" s="7" t="str">
        <f>HYPERLINK("http://slimages.macys.com/is/image/MCY/10703349 ")</f>
        <v xml:space="preserve">http://slimages.macys.com/is/image/MCY/10703349 </v>
      </c>
    </row>
    <row r="908" spans="1:12" ht="24.75" x14ac:dyDescent="0.25">
      <c r="A908" s="4" t="s">
        <v>4343</v>
      </c>
      <c r="B908" s="2" t="s">
        <v>2083</v>
      </c>
      <c r="C908" s="3">
        <v>1</v>
      </c>
      <c r="D908" s="5">
        <v>9.99</v>
      </c>
      <c r="E908" s="3" t="s">
        <v>2084</v>
      </c>
      <c r="F908" s="2" t="s">
        <v>15</v>
      </c>
      <c r="G908" s="6" t="s">
        <v>234</v>
      </c>
      <c r="H908" s="2" t="s">
        <v>1473</v>
      </c>
      <c r="I908" s="2" t="s">
        <v>1426</v>
      </c>
      <c r="J908" s="2" t="s">
        <v>19</v>
      </c>
      <c r="K908" s="2" t="s">
        <v>648</v>
      </c>
      <c r="L908" s="7" t="str">
        <f>HYPERLINK("http://slimages.macys.com/is/image/MCY/10703349 ")</f>
        <v xml:space="preserve">http://slimages.macys.com/is/image/MCY/10703349 </v>
      </c>
    </row>
    <row r="909" spans="1:12" ht="24.75" x14ac:dyDescent="0.25">
      <c r="A909" s="4" t="s">
        <v>7771</v>
      </c>
      <c r="B909" s="2" t="s">
        <v>2116</v>
      </c>
      <c r="C909" s="3">
        <v>2</v>
      </c>
      <c r="D909" s="5">
        <v>37.130000000000003</v>
      </c>
      <c r="E909" s="3" t="s">
        <v>2117</v>
      </c>
      <c r="F909" s="2" t="s">
        <v>572</v>
      </c>
      <c r="G909" s="6" t="s">
        <v>58</v>
      </c>
      <c r="H909" s="2" t="s">
        <v>246</v>
      </c>
      <c r="I909" s="2" t="s">
        <v>487</v>
      </c>
      <c r="J909" s="2"/>
      <c r="K909" s="2"/>
      <c r="L909" s="7"/>
    </row>
    <row r="910" spans="1:12" ht="24.75" x14ac:dyDescent="0.25">
      <c r="A910" s="4" t="s">
        <v>3277</v>
      </c>
      <c r="B910" s="2" t="s">
        <v>2116</v>
      </c>
      <c r="C910" s="3">
        <v>1</v>
      </c>
      <c r="D910" s="5">
        <v>37.130000000000003</v>
      </c>
      <c r="E910" s="3" t="s">
        <v>2117</v>
      </c>
      <c r="F910" s="2" t="s">
        <v>572</v>
      </c>
      <c r="G910" s="6" t="s">
        <v>141</v>
      </c>
      <c r="H910" s="2" t="s">
        <v>246</v>
      </c>
      <c r="I910" s="2" t="s">
        <v>487</v>
      </c>
      <c r="J910" s="2"/>
      <c r="K910" s="2"/>
      <c r="L910" s="7"/>
    </row>
    <row r="911" spans="1:12" ht="24.75" x14ac:dyDescent="0.25">
      <c r="A911" s="4" t="s">
        <v>2118</v>
      </c>
      <c r="B911" s="2" t="s">
        <v>2116</v>
      </c>
      <c r="C911" s="3">
        <v>1</v>
      </c>
      <c r="D911" s="5">
        <v>37.130000000000003</v>
      </c>
      <c r="E911" s="3" t="s">
        <v>2117</v>
      </c>
      <c r="F911" s="2" t="s">
        <v>572</v>
      </c>
      <c r="G911" s="6" t="s">
        <v>65</v>
      </c>
      <c r="H911" s="2" t="s">
        <v>246</v>
      </c>
      <c r="I911" s="2" t="s">
        <v>487</v>
      </c>
      <c r="J911" s="2"/>
      <c r="K911" s="2"/>
      <c r="L911" s="7"/>
    </row>
    <row r="912" spans="1:12" ht="24.75" x14ac:dyDescent="0.25">
      <c r="A912" s="4" t="s">
        <v>7772</v>
      </c>
      <c r="B912" s="2" t="s">
        <v>1873</v>
      </c>
      <c r="C912" s="3">
        <v>1</v>
      </c>
      <c r="D912" s="5">
        <v>17.989999999999998</v>
      </c>
      <c r="E912" s="3" t="s">
        <v>2123</v>
      </c>
      <c r="F912" s="2" t="s">
        <v>413</v>
      </c>
      <c r="G912" s="6" t="s">
        <v>200</v>
      </c>
      <c r="H912" s="2" t="s">
        <v>1522</v>
      </c>
      <c r="I912" s="2" t="s">
        <v>1469</v>
      </c>
      <c r="J912" s="2"/>
      <c r="K912" s="2"/>
      <c r="L912" s="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8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7773</v>
      </c>
      <c r="B2" s="2" t="s">
        <v>31</v>
      </c>
      <c r="C2" s="3">
        <v>1</v>
      </c>
      <c r="D2" s="5">
        <v>158</v>
      </c>
      <c r="E2" s="3" t="s">
        <v>32</v>
      </c>
      <c r="F2" s="2" t="s">
        <v>33</v>
      </c>
      <c r="G2" s="6" t="s">
        <v>106</v>
      </c>
      <c r="H2" s="2" t="s">
        <v>17</v>
      </c>
      <c r="I2" s="2" t="s">
        <v>18</v>
      </c>
      <c r="J2" s="2" t="s">
        <v>19</v>
      </c>
      <c r="K2" s="2" t="s">
        <v>34</v>
      </c>
      <c r="L2" s="7" t="str">
        <f>HYPERLINK("http://slimages.macys.com/is/image/MCY/13289754 ")</f>
        <v xml:space="preserve">http://slimages.macys.com/is/image/MCY/13289754 </v>
      </c>
    </row>
    <row r="3" spans="1:12" ht="24.75" x14ac:dyDescent="0.25">
      <c r="A3" s="4" t="s">
        <v>7774</v>
      </c>
      <c r="B3" s="2" t="s">
        <v>4372</v>
      </c>
      <c r="C3" s="3">
        <v>1</v>
      </c>
      <c r="D3" s="5">
        <v>148</v>
      </c>
      <c r="E3" s="3" t="s">
        <v>4373</v>
      </c>
      <c r="F3" s="2" t="s">
        <v>64</v>
      </c>
      <c r="G3" s="6" t="s">
        <v>39</v>
      </c>
      <c r="H3" s="2" t="s">
        <v>17</v>
      </c>
      <c r="I3" s="2" t="s">
        <v>18</v>
      </c>
      <c r="J3" s="2" t="s">
        <v>19</v>
      </c>
      <c r="K3" s="2" t="s">
        <v>107</v>
      </c>
      <c r="L3" s="7" t="str">
        <f>HYPERLINK("http://slimages.macys.com/is/image/MCY/12144773 ")</f>
        <v xml:space="preserve">http://slimages.macys.com/is/image/MCY/12144773 </v>
      </c>
    </row>
    <row r="4" spans="1:12" ht="24.75" x14ac:dyDescent="0.25">
      <c r="A4" s="4" t="s">
        <v>7775</v>
      </c>
      <c r="B4" s="2" t="s">
        <v>7776</v>
      </c>
      <c r="C4" s="3">
        <v>1</v>
      </c>
      <c r="D4" s="5">
        <v>138</v>
      </c>
      <c r="E4" s="3" t="s">
        <v>7777</v>
      </c>
      <c r="F4" s="2" t="s">
        <v>64</v>
      </c>
      <c r="G4" s="6" t="s">
        <v>39</v>
      </c>
      <c r="H4" s="2" t="s">
        <v>17</v>
      </c>
      <c r="I4" s="2" t="s">
        <v>18</v>
      </c>
      <c r="J4" s="2" t="s">
        <v>19</v>
      </c>
      <c r="K4" s="2" t="s">
        <v>5362</v>
      </c>
      <c r="L4" s="7" t="str">
        <f>HYPERLINK("http://slimages.macys.com/is/image/MCY/11713710 ")</f>
        <v xml:space="preserve">http://slimages.macys.com/is/image/MCY/11713710 </v>
      </c>
    </row>
    <row r="5" spans="1:12" ht="24.75" x14ac:dyDescent="0.25">
      <c r="A5" s="4" t="s">
        <v>7778</v>
      </c>
      <c r="B5" s="2" t="s">
        <v>3291</v>
      </c>
      <c r="C5" s="3">
        <v>1</v>
      </c>
      <c r="D5" s="5">
        <v>148</v>
      </c>
      <c r="E5" s="3" t="s">
        <v>3292</v>
      </c>
      <c r="F5" s="2" t="s">
        <v>3293</v>
      </c>
      <c r="G5" s="6" t="s">
        <v>141</v>
      </c>
      <c r="H5" s="2" t="s">
        <v>17</v>
      </c>
      <c r="I5" s="2" t="s">
        <v>40</v>
      </c>
      <c r="J5" s="2" t="s">
        <v>19</v>
      </c>
      <c r="K5" s="2" t="s">
        <v>66</v>
      </c>
      <c r="L5" s="7" t="str">
        <f>HYPERLINK("http://slimages.macys.com/is/image/MCY/12645894 ")</f>
        <v xml:space="preserve">http://slimages.macys.com/is/image/MCY/12645894 </v>
      </c>
    </row>
    <row r="6" spans="1:12" ht="24.75" x14ac:dyDescent="0.25">
      <c r="A6" s="4" t="s">
        <v>7779</v>
      </c>
      <c r="B6" s="2" t="s">
        <v>77</v>
      </c>
      <c r="C6" s="3">
        <v>1</v>
      </c>
      <c r="D6" s="5">
        <v>128</v>
      </c>
      <c r="E6" s="3" t="s">
        <v>78</v>
      </c>
      <c r="F6" s="2" t="s">
        <v>79</v>
      </c>
      <c r="G6" s="6" t="s">
        <v>141</v>
      </c>
      <c r="H6" s="2" t="s">
        <v>17</v>
      </c>
      <c r="I6" s="2" t="s">
        <v>18</v>
      </c>
      <c r="J6" s="2" t="s">
        <v>19</v>
      </c>
      <c r="K6" s="2" t="s">
        <v>75</v>
      </c>
      <c r="L6" s="7" t="str">
        <f>HYPERLINK("http://slimages.macys.com/is/image/MCY/13061199 ")</f>
        <v xml:space="preserve">http://slimages.macys.com/is/image/MCY/13061199 </v>
      </c>
    </row>
    <row r="7" spans="1:12" ht="24.75" x14ac:dyDescent="0.25">
      <c r="A7" s="4" t="s">
        <v>7780</v>
      </c>
      <c r="B7" s="2" t="s">
        <v>7781</v>
      </c>
      <c r="C7" s="3">
        <v>1</v>
      </c>
      <c r="D7" s="5">
        <v>119</v>
      </c>
      <c r="E7" s="3">
        <v>10713300</v>
      </c>
      <c r="F7" s="2" t="s">
        <v>33</v>
      </c>
      <c r="G7" s="6" t="s">
        <v>16</v>
      </c>
      <c r="H7" s="2" t="s">
        <v>2154</v>
      </c>
      <c r="I7" s="2" t="s">
        <v>2155</v>
      </c>
      <c r="J7" s="2" t="s">
        <v>19</v>
      </c>
      <c r="K7" s="2" t="s">
        <v>7782</v>
      </c>
      <c r="L7" s="7" t="str">
        <f>HYPERLINK("http://slimages.macys.com/is/image/MCY/11627191 ")</f>
        <v xml:space="preserve">http://slimages.macys.com/is/image/MCY/11627191 </v>
      </c>
    </row>
    <row r="8" spans="1:12" ht="24.75" x14ac:dyDescent="0.25">
      <c r="A8" s="4" t="s">
        <v>7783</v>
      </c>
      <c r="B8" s="2" t="s">
        <v>99</v>
      </c>
      <c r="C8" s="3">
        <v>1</v>
      </c>
      <c r="D8" s="5">
        <v>138</v>
      </c>
      <c r="E8" s="3" t="s">
        <v>100</v>
      </c>
      <c r="F8" s="2" t="s">
        <v>101</v>
      </c>
      <c r="G8" s="6" t="s">
        <v>39</v>
      </c>
      <c r="H8" s="2" t="s">
        <v>17</v>
      </c>
      <c r="I8" s="2" t="s">
        <v>40</v>
      </c>
      <c r="J8" s="2" t="s">
        <v>19</v>
      </c>
      <c r="K8" s="2" t="s">
        <v>75</v>
      </c>
      <c r="L8" s="7" t="str">
        <f>HYPERLINK("http://slimages.macys.com/is/image/MCY/12645823 ")</f>
        <v xml:space="preserve">http://slimages.macys.com/is/image/MCY/12645823 </v>
      </c>
    </row>
    <row r="9" spans="1:12" ht="36.75" x14ac:dyDescent="0.25">
      <c r="A9" s="4" t="s">
        <v>7784</v>
      </c>
      <c r="B9" s="2" t="s">
        <v>7036</v>
      </c>
      <c r="C9" s="3">
        <v>1</v>
      </c>
      <c r="D9" s="5">
        <v>118</v>
      </c>
      <c r="E9" s="3" t="s">
        <v>7037</v>
      </c>
      <c r="F9" s="2" t="s">
        <v>566</v>
      </c>
      <c r="G9" s="6" t="s">
        <v>106</v>
      </c>
      <c r="H9" s="2" t="s">
        <v>17</v>
      </c>
      <c r="I9" s="2" t="s">
        <v>18</v>
      </c>
      <c r="J9" s="2" t="s">
        <v>19</v>
      </c>
      <c r="K9" s="2" t="s">
        <v>2419</v>
      </c>
      <c r="L9" s="7" t="str">
        <f>HYPERLINK("http://slimages.macys.com/is/image/MCY/12330594 ")</f>
        <v xml:space="preserve">http://slimages.macys.com/is/image/MCY/12330594 </v>
      </c>
    </row>
    <row r="10" spans="1:12" ht="24.75" x14ac:dyDescent="0.25">
      <c r="A10" s="4" t="s">
        <v>7785</v>
      </c>
      <c r="B10" s="2" t="s">
        <v>2136</v>
      </c>
      <c r="C10" s="3">
        <v>1</v>
      </c>
      <c r="D10" s="5">
        <v>118</v>
      </c>
      <c r="E10" s="3" t="s">
        <v>2137</v>
      </c>
      <c r="F10" s="2" t="s">
        <v>111</v>
      </c>
      <c r="G10" s="6" t="s">
        <v>39</v>
      </c>
      <c r="H10" s="2" t="s">
        <v>17</v>
      </c>
      <c r="I10" s="2" t="s">
        <v>18</v>
      </c>
      <c r="J10" s="2" t="s">
        <v>19</v>
      </c>
      <c r="K10" s="2" t="s">
        <v>34</v>
      </c>
      <c r="L10" s="7" t="str">
        <f>HYPERLINK("http://slimages.macys.com/is/image/MCY/12072760 ")</f>
        <v xml:space="preserve">http://slimages.macys.com/is/image/MCY/12072760 </v>
      </c>
    </row>
    <row r="11" spans="1:12" ht="24.75" x14ac:dyDescent="0.25">
      <c r="A11" s="4" t="s">
        <v>7786</v>
      </c>
      <c r="B11" s="2" t="s">
        <v>109</v>
      </c>
      <c r="C11" s="3">
        <v>1</v>
      </c>
      <c r="D11" s="5">
        <v>128</v>
      </c>
      <c r="E11" s="3" t="s">
        <v>110</v>
      </c>
      <c r="F11" s="2" t="s">
        <v>111</v>
      </c>
      <c r="G11" s="6" t="s">
        <v>106</v>
      </c>
      <c r="H11" s="2" t="s">
        <v>17</v>
      </c>
      <c r="I11" s="2" t="s">
        <v>40</v>
      </c>
      <c r="J11" s="2" t="s">
        <v>19</v>
      </c>
      <c r="K11" s="2" t="s">
        <v>34</v>
      </c>
      <c r="L11" s="7" t="str">
        <f>HYPERLINK("http://slimages.macys.com/is/image/MCY/12898262 ")</f>
        <v xml:space="preserve">http://slimages.macys.com/is/image/MCY/12898262 </v>
      </c>
    </row>
    <row r="12" spans="1:12" ht="24.75" x14ac:dyDescent="0.25">
      <c r="A12" s="4" t="s">
        <v>7787</v>
      </c>
      <c r="B12" s="2" t="s">
        <v>7788</v>
      </c>
      <c r="C12" s="3">
        <v>1</v>
      </c>
      <c r="D12" s="5">
        <v>149</v>
      </c>
      <c r="E12" s="3" t="s">
        <v>7789</v>
      </c>
      <c r="F12" s="2" t="s">
        <v>15</v>
      </c>
      <c r="G12" s="6" t="s">
        <v>116</v>
      </c>
      <c r="H12" s="2" t="s">
        <v>17</v>
      </c>
      <c r="I12" s="2" t="s">
        <v>145</v>
      </c>
      <c r="J12" s="2" t="s">
        <v>19</v>
      </c>
      <c r="K12" s="2" t="s">
        <v>7790</v>
      </c>
      <c r="L12" s="7" t="str">
        <f>HYPERLINK("http://slimages.macys.com/is/image/MCY/12340619 ")</f>
        <v xml:space="preserve">http://slimages.macys.com/is/image/MCY/12340619 </v>
      </c>
    </row>
    <row r="13" spans="1:12" ht="24.75" x14ac:dyDescent="0.25">
      <c r="A13" s="4" t="s">
        <v>133</v>
      </c>
      <c r="B13" s="2" t="s">
        <v>134</v>
      </c>
      <c r="C13" s="3">
        <v>1</v>
      </c>
      <c r="D13" s="5">
        <v>99</v>
      </c>
      <c r="E13" s="3" t="s">
        <v>135</v>
      </c>
      <c r="F13" s="2" t="s">
        <v>136</v>
      </c>
      <c r="G13" s="6" t="s">
        <v>22</v>
      </c>
      <c r="H13" s="2" t="s">
        <v>95</v>
      </c>
      <c r="I13" s="2" t="s">
        <v>96</v>
      </c>
      <c r="J13" s="2" t="s">
        <v>19</v>
      </c>
      <c r="K13" s="2" t="s">
        <v>137</v>
      </c>
      <c r="L13" s="7" t="str">
        <f>HYPERLINK("http://slimages.macys.com/is/image/MCY/12746916 ")</f>
        <v xml:space="preserve">http://slimages.macys.com/is/image/MCY/12746916 </v>
      </c>
    </row>
    <row r="14" spans="1:12" ht="24.75" x14ac:dyDescent="0.25">
      <c r="A14" s="4" t="s">
        <v>7791</v>
      </c>
      <c r="B14" s="2" t="s">
        <v>6292</v>
      </c>
      <c r="C14" s="3">
        <v>1</v>
      </c>
      <c r="D14" s="5">
        <v>89</v>
      </c>
      <c r="E14" s="3" t="s">
        <v>6293</v>
      </c>
      <c r="F14" s="2" t="s">
        <v>15</v>
      </c>
      <c r="G14" s="6" t="s">
        <v>39</v>
      </c>
      <c r="H14" s="2" t="s">
        <v>95</v>
      </c>
      <c r="I14" s="2" t="s">
        <v>96</v>
      </c>
      <c r="J14" s="2" t="s">
        <v>19</v>
      </c>
      <c r="K14" s="2" t="s">
        <v>607</v>
      </c>
      <c r="L14" s="7" t="str">
        <f>HYPERLINK("http://slimages.macys.com/is/image/MCY/12228319 ")</f>
        <v xml:space="preserve">http://slimages.macys.com/is/image/MCY/12228319 </v>
      </c>
    </row>
    <row r="15" spans="1:12" ht="24.75" x14ac:dyDescent="0.25">
      <c r="A15" s="4" t="s">
        <v>6294</v>
      </c>
      <c r="B15" s="2" t="s">
        <v>149</v>
      </c>
      <c r="C15" s="3">
        <v>1</v>
      </c>
      <c r="D15" s="5">
        <v>89</v>
      </c>
      <c r="E15" s="3" t="s">
        <v>150</v>
      </c>
      <c r="F15" s="2" t="s">
        <v>74</v>
      </c>
      <c r="G15" s="6" t="s">
        <v>141</v>
      </c>
      <c r="H15" s="2" t="s">
        <v>95</v>
      </c>
      <c r="I15" s="2" t="s">
        <v>96</v>
      </c>
      <c r="J15" s="2" t="s">
        <v>19</v>
      </c>
      <c r="K15" s="2" t="s">
        <v>151</v>
      </c>
      <c r="L15" s="7" t="str">
        <f>HYPERLINK("http://slimages.macys.com/is/image/MCY/12794413 ")</f>
        <v xml:space="preserve">http://slimages.macys.com/is/image/MCY/12794413 </v>
      </c>
    </row>
    <row r="16" spans="1:12" ht="24.75" x14ac:dyDescent="0.25">
      <c r="A16" s="4" t="s">
        <v>2157</v>
      </c>
      <c r="B16" s="2" t="s">
        <v>153</v>
      </c>
      <c r="C16" s="3">
        <v>1</v>
      </c>
      <c r="D16" s="5">
        <v>79.5</v>
      </c>
      <c r="E16" s="3">
        <v>10719732</v>
      </c>
      <c r="F16" s="2" t="s">
        <v>33</v>
      </c>
      <c r="G16" s="6" t="s">
        <v>245</v>
      </c>
      <c r="H16" s="2" t="s">
        <v>17</v>
      </c>
      <c r="I16" s="2" t="s">
        <v>121</v>
      </c>
      <c r="J16" s="2" t="s">
        <v>19</v>
      </c>
      <c r="K16" s="2" t="s">
        <v>34</v>
      </c>
      <c r="L16" s="7" t="str">
        <f>HYPERLINK("http://slimages.macys.com/is/image/MCY/10534487 ")</f>
        <v xml:space="preserve">http://slimages.macys.com/is/image/MCY/10534487 </v>
      </c>
    </row>
    <row r="17" spans="1:12" ht="24.75" x14ac:dyDescent="0.25">
      <c r="A17" s="4" t="s">
        <v>2160</v>
      </c>
      <c r="B17" s="2" t="s">
        <v>153</v>
      </c>
      <c r="C17" s="3">
        <v>1</v>
      </c>
      <c r="D17" s="5">
        <v>79.5</v>
      </c>
      <c r="E17" s="3">
        <v>10719732</v>
      </c>
      <c r="F17" s="2" t="s">
        <v>33</v>
      </c>
      <c r="G17" s="6" t="s">
        <v>234</v>
      </c>
      <c r="H17" s="2" t="s">
        <v>17</v>
      </c>
      <c r="I17" s="2" t="s">
        <v>121</v>
      </c>
      <c r="J17" s="2" t="s">
        <v>19</v>
      </c>
      <c r="K17" s="2" t="s">
        <v>34</v>
      </c>
      <c r="L17" s="7" t="str">
        <f>HYPERLINK("http://slimages.macys.com/is/image/MCY/10534487 ")</f>
        <v xml:space="preserve">http://slimages.macys.com/is/image/MCY/10534487 </v>
      </c>
    </row>
    <row r="18" spans="1:12" ht="24.75" x14ac:dyDescent="0.25">
      <c r="A18" s="4" t="s">
        <v>3326</v>
      </c>
      <c r="B18" s="2" t="s">
        <v>2162</v>
      </c>
      <c r="C18" s="3">
        <v>1</v>
      </c>
      <c r="D18" s="5">
        <v>79</v>
      </c>
      <c r="E18" s="3" t="s">
        <v>2163</v>
      </c>
      <c r="F18" s="2" t="s">
        <v>887</v>
      </c>
      <c r="G18" s="6" t="s">
        <v>106</v>
      </c>
      <c r="H18" s="2" t="s">
        <v>95</v>
      </c>
      <c r="I18" s="2" t="s">
        <v>96</v>
      </c>
      <c r="J18" s="2" t="s">
        <v>19</v>
      </c>
      <c r="K18" s="2" t="s">
        <v>97</v>
      </c>
      <c r="L18" s="7" t="str">
        <f>HYPERLINK("http://slimages.macys.com/is/image/MCY/11784599 ")</f>
        <v xml:space="preserve">http://slimages.macys.com/is/image/MCY/11784599 </v>
      </c>
    </row>
    <row r="19" spans="1:12" ht="36.75" x14ac:dyDescent="0.25">
      <c r="A19" s="4" t="s">
        <v>7792</v>
      </c>
      <c r="B19" s="2" t="s">
        <v>7793</v>
      </c>
      <c r="C19" s="3">
        <v>1</v>
      </c>
      <c r="D19" s="5">
        <v>79</v>
      </c>
      <c r="E19" s="3" t="s">
        <v>7794</v>
      </c>
      <c r="F19" s="2" t="s">
        <v>15</v>
      </c>
      <c r="G19" s="6" t="s">
        <v>39</v>
      </c>
      <c r="H19" s="2" t="s">
        <v>95</v>
      </c>
      <c r="I19" s="2" t="s">
        <v>96</v>
      </c>
      <c r="J19" s="2" t="s">
        <v>19</v>
      </c>
      <c r="K19" s="2" t="s">
        <v>2419</v>
      </c>
      <c r="L19" s="7" t="str">
        <f>HYPERLINK("http://slimages.macys.com/is/image/MCY/12879487 ")</f>
        <v xml:space="preserve">http://slimages.macys.com/is/image/MCY/12879487 </v>
      </c>
    </row>
    <row r="20" spans="1:12" ht="24.75" x14ac:dyDescent="0.25">
      <c r="A20" s="4" t="s">
        <v>3325</v>
      </c>
      <c r="B20" s="2" t="s">
        <v>2162</v>
      </c>
      <c r="C20" s="3">
        <v>2</v>
      </c>
      <c r="D20" s="5">
        <v>79</v>
      </c>
      <c r="E20" s="3" t="s">
        <v>2163</v>
      </c>
      <c r="F20" s="2" t="s">
        <v>887</v>
      </c>
      <c r="G20" s="6" t="s">
        <v>22</v>
      </c>
      <c r="H20" s="2" t="s">
        <v>95</v>
      </c>
      <c r="I20" s="2" t="s">
        <v>96</v>
      </c>
      <c r="J20" s="2" t="s">
        <v>19</v>
      </c>
      <c r="K20" s="2" t="s">
        <v>97</v>
      </c>
      <c r="L20" s="7" t="str">
        <f>HYPERLINK("http://slimages.macys.com/is/image/MCY/11784599 ")</f>
        <v xml:space="preserve">http://slimages.macys.com/is/image/MCY/11784599 </v>
      </c>
    </row>
    <row r="21" spans="1:12" x14ac:dyDescent="0.25">
      <c r="A21" s="4" t="s">
        <v>7795</v>
      </c>
      <c r="B21" s="2" t="s">
        <v>7796</v>
      </c>
      <c r="C21" s="3">
        <v>2</v>
      </c>
      <c r="D21" s="5">
        <v>99.5</v>
      </c>
      <c r="E21" s="3">
        <v>100060508</v>
      </c>
      <c r="F21" s="2" t="s">
        <v>252</v>
      </c>
      <c r="G21" s="6" t="s">
        <v>65</v>
      </c>
      <c r="H21" s="2" t="s">
        <v>386</v>
      </c>
      <c r="I21" s="2" t="s">
        <v>207</v>
      </c>
      <c r="J21" s="2" t="s">
        <v>19</v>
      </c>
      <c r="K21" s="2" t="s">
        <v>353</v>
      </c>
      <c r="L21" s="7" t="str">
        <f>HYPERLINK("http://slimages.macys.com/is/image/MCY/12282267 ")</f>
        <v xml:space="preserve">http://slimages.macys.com/is/image/MCY/12282267 </v>
      </c>
    </row>
    <row r="22" spans="1:12" ht="24.75" x14ac:dyDescent="0.25">
      <c r="A22" s="4" t="s">
        <v>184</v>
      </c>
      <c r="B22" s="2" t="s">
        <v>185</v>
      </c>
      <c r="C22" s="3">
        <v>1</v>
      </c>
      <c r="D22" s="5">
        <v>82.13</v>
      </c>
      <c r="E22" s="3" t="s">
        <v>186</v>
      </c>
      <c r="F22" s="2" t="s">
        <v>26</v>
      </c>
      <c r="G22" s="6" t="s">
        <v>187</v>
      </c>
      <c r="H22" s="2" t="s">
        <v>188</v>
      </c>
      <c r="I22" s="2" t="s">
        <v>189</v>
      </c>
      <c r="J22" s="2" t="s">
        <v>19</v>
      </c>
      <c r="K22" s="2" t="s">
        <v>160</v>
      </c>
      <c r="L22" s="7" t="str">
        <f>HYPERLINK("http://slimages.macys.com/is/image/MCY/11680616 ")</f>
        <v xml:space="preserve">http://slimages.macys.com/is/image/MCY/11680616 </v>
      </c>
    </row>
    <row r="23" spans="1:12" ht="24.75" x14ac:dyDescent="0.25">
      <c r="A23" s="4" t="s">
        <v>7797</v>
      </c>
      <c r="B23" s="2" t="s">
        <v>7798</v>
      </c>
      <c r="C23" s="3">
        <v>1</v>
      </c>
      <c r="D23" s="5">
        <v>59.63</v>
      </c>
      <c r="E23" s="3" t="s">
        <v>7799</v>
      </c>
      <c r="F23" s="2" t="s">
        <v>26</v>
      </c>
      <c r="G23" s="6" t="s">
        <v>154</v>
      </c>
      <c r="H23" s="2" t="s">
        <v>246</v>
      </c>
      <c r="I23" s="2" t="s">
        <v>189</v>
      </c>
      <c r="J23" s="2" t="s">
        <v>19</v>
      </c>
      <c r="K23" s="2" t="s">
        <v>7800</v>
      </c>
      <c r="L23" s="7" t="str">
        <f>HYPERLINK("http://slimages.macys.com/is/image/MCY/10679220 ")</f>
        <v xml:space="preserve">http://slimages.macys.com/is/image/MCY/10679220 </v>
      </c>
    </row>
    <row r="24" spans="1:12" ht="48.75" x14ac:dyDescent="0.25">
      <c r="A24" s="4" t="s">
        <v>4432</v>
      </c>
      <c r="B24" s="2" t="s">
        <v>4433</v>
      </c>
      <c r="C24" s="3">
        <v>1</v>
      </c>
      <c r="D24" s="5">
        <v>99.5</v>
      </c>
      <c r="E24" s="3" t="s">
        <v>4434</v>
      </c>
      <c r="F24" s="2" t="s">
        <v>15</v>
      </c>
      <c r="G24" s="6" t="s">
        <v>187</v>
      </c>
      <c r="H24" s="2" t="s">
        <v>206</v>
      </c>
      <c r="I24" s="2" t="s">
        <v>207</v>
      </c>
      <c r="J24" s="2" t="s">
        <v>19</v>
      </c>
      <c r="K24" s="2" t="s">
        <v>4435</v>
      </c>
      <c r="L24" s="7" t="str">
        <f>HYPERLINK("http://slimages.macys.com/is/image/MCY/12067752 ")</f>
        <v xml:space="preserve">http://slimages.macys.com/is/image/MCY/12067752 </v>
      </c>
    </row>
    <row r="25" spans="1:12" ht="24.75" x14ac:dyDescent="0.25">
      <c r="A25" s="4" t="s">
        <v>7801</v>
      </c>
      <c r="B25" s="2" t="s">
        <v>236</v>
      </c>
      <c r="C25" s="3">
        <v>2</v>
      </c>
      <c r="D25" s="5">
        <v>59.63</v>
      </c>
      <c r="E25" s="3" t="s">
        <v>237</v>
      </c>
      <c r="F25" s="2" t="s">
        <v>64</v>
      </c>
      <c r="G25" s="6" t="s">
        <v>165</v>
      </c>
      <c r="H25" s="2" t="s">
        <v>188</v>
      </c>
      <c r="I25" s="2" t="s">
        <v>189</v>
      </c>
      <c r="J25" s="2" t="s">
        <v>19</v>
      </c>
      <c r="K25" s="2" t="s">
        <v>34</v>
      </c>
      <c r="L25" s="7" t="str">
        <f>HYPERLINK("http://slimages.macys.com/is/image/MCY/12268114 ")</f>
        <v xml:space="preserve">http://slimages.macys.com/is/image/MCY/12268114 </v>
      </c>
    </row>
    <row r="26" spans="1:12" ht="24.75" x14ac:dyDescent="0.25">
      <c r="A26" s="4" t="s">
        <v>7802</v>
      </c>
      <c r="B26" s="2" t="s">
        <v>7803</v>
      </c>
      <c r="C26" s="3">
        <v>1</v>
      </c>
      <c r="D26" s="5">
        <v>59.63</v>
      </c>
      <c r="E26" s="3" t="s">
        <v>7804</v>
      </c>
      <c r="F26" s="2" t="s">
        <v>15</v>
      </c>
      <c r="G26" s="6" t="s">
        <v>156</v>
      </c>
      <c r="H26" s="2" t="s">
        <v>213</v>
      </c>
      <c r="I26" s="2" t="s">
        <v>189</v>
      </c>
      <c r="J26" s="2" t="s">
        <v>19</v>
      </c>
      <c r="K26" s="2" t="s">
        <v>353</v>
      </c>
      <c r="L26" s="7" t="str">
        <f>HYPERLINK("http://slimages.macys.com/is/image/MCY/16125191 ")</f>
        <v xml:space="preserve">http://slimages.macys.com/is/image/MCY/16125191 </v>
      </c>
    </row>
    <row r="27" spans="1:12" x14ac:dyDescent="0.25">
      <c r="A27" s="4" t="s">
        <v>7805</v>
      </c>
      <c r="B27" s="2" t="s">
        <v>6304</v>
      </c>
      <c r="C27" s="3">
        <v>2</v>
      </c>
      <c r="D27" s="5">
        <v>60.15</v>
      </c>
      <c r="E27" s="3" t="s">
        <v>6305</v>
      </c>
      <c r="F27" s="2" t="s">
        <v>74</v>
      </c>
      <c r="G27" s="6" t="s">
        <v>234</v>
      </c>
      <c r="H27" s="2" t="s">
        <v>182</v>
      </c>
      <c r="I27" s="2" t="s">
        <v>183</v>
      </c>
      <c r="J27" s="2" t="s">
        <v>19</v>
      </c>
      <c r="K27" s="2" t="s">
        <v>160</v>
      </c>
      <c r="L27" s="7" t="str">
        <f>HYPERLINK("http://slimages.macys.com/is/image/MCY/12938516 ")</f>
        <v xml:space="preserve">http://slimages.macys.com/is/image/MCY/12938516 </v>
      </c>
    </row>
    <row r="28" spans="1:12" ht="24.75" x14ac:dyDescent="0.25">
      <c r="A28" s="4" t="s">
        <v>7806</v>
      </c>
      <c r="B28" s="2" t="s">
        <v>7807</v>
      </c>
      <c r="C28" s="3">
        <v>1</v>
      </c>
      <c r="D28" s="5">
        <v>69.5</v>
      </c>
      <c r="E28" s="3" t="s">
        <v>7808</v>
      </c>
      <c r="F28" s="2" t="s">
        <v>26</v>
      </c>
      <c r="G28" s="6" t="s">
        <v>934</v>
      </c>
      <c r="H28" s="2" t="s">
        <v>206</v>
      </c>
      <c r="I28" s="2" t="s">
        <v>207</v>
      </c>
      <c r="J28" s="2" t="s">
        <v>19</v>
      </c>
      <c r="K28" s="2" t="s">
        <v>7809</v>
      </c>
      <c r="L28" s="7" t="str">
        <f>HYPERLINK("http://slimages.macys.com/is/image/MCY/9381169 ")</f>
        <v xml:space="preserve">http://slimages.macys.com/is/image/MCY/9381169 </v>
      </c>
    </row>
    <row r="29" spans="1:12" ht="24.75" x14ac:dyDescent="0.25">
      <c r="A29" s="4" t="s">
        <v>248</v>
      </c>
      <c r="B29" s="2" t="s">
        <v>243</v>
      </c>
      <c r="C29" s="3">
        <v>2</v>
      </c>
      <c r="D29" s="5">
        <v>67.13</v>
      </c>
      <c r="E29" s="3" t="s">
        <v>244</v>
      </c>
      <c r="F29" s="2" t="s">
        <v>64</v>
      </c>
      <c r="G29" s="6" t="s">
        <v>156</v>
      </c>
      <c r="H29" s="2" t="s">
        <v>246</v>
      </c>
      <c r="I29" s="2" t="s">
        <v>189</v>
      </c>
      <c r="J29" s="2" t="s">
        <v>19</v>
      </c>
      <c r="K29" s="2" t="s">
        <v>247</v>
      </c>
      <c r="L29" s="7" t="str">
        <f>HYPERLINK("http://slimages.macys.com/is/image/MCY/11807730 ")</f>
        <v xml:space="preserve">http://slimages.macys.com/is/image/MCY/11807730 </v>
      </c>
    </row>
    <row r="30" spans="1:12" ht="24.75" x14ac:dyDescent="0.25">
      <c r="A30" s="4" t="s">
        <v>2175</v>
      </c>
      <c r="B30" s="2" t="s">
        <v>2176</v>
      </c>
      <c r="C30" s="3">
        <v>1</v>
      </c>
      <c r="D30" s="5">
        <v>51.75</v>
      </c>
      <c r="E30" s="3">
        <v>100053415</v>
      </c>
      <c r="F30" s="2" t="s">
        <v>15</v>
      </c>
      <c r="G30" s="6" t="s">
        <v>181</v>
      </c>
      <c r="H30" s="2" t="s">
        <v>228</v>
      </c>
      <c r="I30" s="2" t="s">
        <v>229</v>
      </c>
      <c r="J30" s="2" t="s">
        <v>19</v>
      </c>
      <c r="K30" s="2" t="s">
        <v>230</v>
      </c>
      <c r="L30" s="7" t="str">
        <f>HYPERLINK("http://slimages.macys.com/is/image/MCY/12317942 ")</f>
        <v xml:space="preserve">http://slimages.macys.com/is/image/MCY/12317942 </v>
      </c>
    </row>
    <row r="31" spans="1:12" ht="24.75" x14ac:dyDescent="0.25">
      <c r="A31" s="4" t="s">
        <v>7810</v>
      </c>
      <c r="B31" s="2" t="s">
        <v>4455</v>
      </c>
      <c r="C31" s="3">
        <v>1</v>
      </c>
      <c r="D31" s="5">
        <v>59.63</v>
      </c>
      <c r="E31" s="3" t="s">
        <v>4456</v>
      </c>
      <c r="F31" s="2" t="s">
        <v>1584</v>
      </c>
      <c r="G31" s="6" t="s">
        <v>245</v>
      </c>
      <c r="H31" s="2" t="s">
        <v>246</v>
      </c>
      <c r="I31" s="2" t="s">
        <v>189</v>
      </c>
      <c r="J31" s="2" t="s">
        <v>19</v>
      </c>
      <c r="K31" s="2" t="s">
        <v>798</v>
      </c>
      <c r="L31" s="7" t="str">
        <f>HYPERLINK("http://slimages.macys.com/is/image/MCY/10678558 ")</f>
        <v xml:space="preserve">http://slimages.macys.com/is/image/MCY/10678558 </v>
      </c>
    </row>
    <row r="32" spans="1:12" ht="24.75" x14ac:dyDescent="0.25">
      <c r="A32" s="4" t="s">
        <v>7811</v>
      </c>
      <c r="B32" s="2" t="s">
        <v>7812</v>
      </c>
      <c r="C32" s="3">
        <v>1</v>
      </c>
      <c r="D32" s="5">
        <v>99.5</v>
      </c>
      <c r="E32" s="3" t="s">
        <v>7813</v>
      </c>
      <c r="F32" s="2" t="s">
        <v>111</v>
      </c>
      <c r="G32" s="6" t="s">
        <v>187</v>
      </c>
      <c r="H32" s="2" t="s">
        <v>206</v>
      </c>
      <c r="I32" s="2" t="s">
        <v>207</v>
      </c>
      <c r="J32" s="2" t="s">
        <v>19</v>
      </c>
      <c r="K32" s="2" t="s">
        <v>258</v>
      </c>
      <c r="L32" s="7" t="str">
        <f>HYPERLINK("http://slimages.macys.com/is/image/MCY/12852448 ")</f>
        <v xml:space="preserve">http://slimages.macys.com/is/image/MCY/12852448 </v>
      </c>
    </row>
    <row r="33" spans="1:12" ht="24.75" x14ac:dyDescent="0.25">
      <c r="A33" s="4" t="s">
        <v>254</v>
      </c>
      <c r="B33" s="2" t="s">
        <v>255</v>
      </c>
      <c r="C33" s="3">
        <v>3</v>
      </c>
      <c r="D33" s="5">
        <v>62.15</v>
      </c>
      <c r="E33" s="3" t="s">
        <v>256</v>
      </c>
      <c r="F33" s="2" t="s">
        <v>257</v>
      </c>
      <c r="G33" s="6" t="s">
        <v>234</v>
      </c>
      <c r="H33" s="2" t="s">
        <v>182</v>
      </c>
      <c r="I33" s="2" t="s">
        <v>183</v>
      </c>
      <c r="J33" s="2" t="s">
        <v>19</v>
      </c>
      <c r="K33" s="2" t="s">
        <v>258</v>
      </c>
      <c r="L33" s="7" t="str">
        <f>HYPERLINK("http://slimages.macys.com/is/image/MCY/12851794 ")</f>
        <v xml:space="preserve">http://slimages.macys.com/is/image/MCY/12851794 </v>
      </c>
    </row>
    <row r="34" spans="1:12" ht="24.75" x14ac:dyDescent="0.25">
      <c r="A34" s="4" t="s">
        <v>7814</v>
      </c>
      <c r="B34" s="2" t="s">
        <v>255</v>
      </c>
      <c r="C34" s="3">
        <v>1</v>
      </c>
      <c r="D34" s="5">
        <v>62.15</v>
      </c>
      <c r="E34" s="3" t="s">
        <v>256</v>
      </c>
      <c r="F34" s="2" t="s">
        <v>257</v>
      </c>
      <c r="G34" s="6" t="s">
        <v>245</v>
      </c>
      <c r="H34" s="2" t="s">
        <v>182</v>
      </c>
      <c r="I34" s="2" t="s">
        <v>183</v>
      </c>
      <c r="J34" s="2" t="s">
        <v>19</v>
      </c>
      <c r="K34" s="2" t="s">
        <v>258</v>
      </c>
      <c r="L34" s="7" t="str">
        <f>HYPERLINK("http://slimages.macys.com/is/image/MCY/12851794 ")</f>
        <v xml:space="preserve">http://slimages.macys.com/is/image/MCY/12851794 </v>
      </c>
    </row>
    <row r="35" spans="1:12" ht="24.75" x14ac:dyDescent="0.25">
      <c r="A35" s="4" t="s">
        <v>2182</v>
      </c>
      <c r="B35" s="2" t="s">
        <v>255</v>
      </c>
      <c r="C35" s="3">
        <v>1</v>
      </c>
      <c r="D35" s="5">
        <v>62.15</v>
      </c>
      <c r="E35" s="3" t="s">
        <v>256</v>
      </c>
      <c r="F35" s="2" t="s">
        <v>257</v>
      </c>
      <c r="G35" s="6" t="s">
        <v>154</v>
      </c>
      <c r="H35" s="2" t="s">
        <v>182</v>
      </c>
      <c r="I35" s="2" t="s">
        <v>183</v>
      </c>
      <c r="J35" s="2" t="s">
        <v>19</v>
      </c>
      <c r="K35" s="2" t="s">
        <v>258</v>
      </c>
      <c r="L35" s="7" t="str">
        <f>HYPERLINK("http://slimages.macys.com/is/image/MCY/12851794 ")</f>
        <v xml:space="preserve">http://slimages.macys.com/is/image/MCY/12851794 </v>
      </c>
    </row>
    <row r="36" spans="1:12" ht="24.75" x14ac:dyDescent="0.25">
      <c r="A36" s="4" t="s">
        <v>7815</v>
      </c>
      <c r="B36" s="2" t="s">
        <v>7816</v>
      </c>
      <c r="C36" s="3">
        <v>1</v>
      </c>
      <c r="D36" s="5">
        <v>59</v>
      </c>
      <c r="E36" s="3" t="s">
        <v>7817</v>
      </c>
      <c r="F36" s="2" t="s">
        <v>26</v>
      </c>
      <c r="G36" s="6" t="s">
        <v>154</v>
      </c>
      <c r="H36" s="2" t="s">
        <v>95</v>
      </c>
      <c r="I36" s="2" t="s">
        <v>96</v>
      </c>
      <c r="J36" s="2" t="s">
        <v>19</v>
      </c>
      <c r="K36" s="2" t="s">
        <v>75</v>
      </c>
      <c r="L36" s="7" t="str">
        <f>HYPERLINK("http://slimages.macys.com/is/image/MCY/12922933 ")</f>
        <v xml:space="preserve">http://slimages.macys.com/is/image/MCY/12922933 </v>
      </c>
    </row>
    <row r="37" spans="1:12" ht="24.75" x14ac:dyDescent="0.25">
      <c r="A37" s="4" t="s">
        <v>7818</v>
      </c>
      <c r="B37" s="2" t="s">
        <v>7819</v>
      </c>
      <c r="C37" s="3">
        <v>1</v>
      </c>
      <c r="D37" s="5">
        <v>62.65</v>
      </c>
      <c r="E37" s="3" t="s">
        <v>7820</v>
      </c>
      <c r="F37" s="2" t="s">
        <v>74</v>
      </c>
      <c r="G37" s="6" t="s">
        <v>245</v>
      </c>
      <c r="H37" s="2" t="s">
        <v>182</v>
      </c>
      <c r="I37" s="2" t="s">
        <v>183</v>
      </c>
      <c r="J37" s="2" t="s">
        <v>19</v>
      </c>
      <c r="K37" s="2" t="s">
        <v>160</v>
      </c>
      <c r="L37" s="7" t="str">
        <f>HYPERLINK("http://slimages.macys.com/is/image/MCY/12851759 ")</f>
        <v xml:space="preserve">http://slimages.macys.com/is/image/MCY/12851759 </v>
      </c>
    </row>
    <row r="38" spans="1:12" ht="36.75" x14ac:dyDescent="0.25">
      <c r="A38" s="4" t="s">
        <v>7821</v>
      </c>
      <c r="B38" s="2" t="s">
        <v>7822</v>
      </c>
      <c r="C38" s="3">
        <v>1</v>
      </c>
      <c r="D38" s="5">
        <v>59.5</v>
      </c>
      <c r="E38" s="3" t="s">
        <v>7823</v>
      </c>
      <c r="F38" s="2" t="s">
        <v>820</v>
      </c>
      <c r="G38" s="6" t="s">
        <v>219</v>
      </c>
      <c r="H38" s="2" t="s">
        <v>127</v>
      </c>
      <c r="I38" s="2" t="s">
        <v>128</v>
      </c>
      <c r="J38" s="2" t="s">
        <v>19</v>
      </c>
      <c r="K38" s="2" t="s">
        <v>430</v>
      </c>
      <c r="L38" s="7" t="str">
        <f>HYPERLINK("http://slimages.macys.com/is/image/MCY/11947202 ")</f>
        <v xml:space="preserve">http://slimages.macys.com/is/image/MCY/11947202 </v>
      </c>
    </row>
    <row r="39" spans="1:12" ht="24.75" x14ac:dyDescent="0.25">
      <c r="A39" s="4" t="s">
        <v>7824</v>
      </c>
      <c r="B39" s="2" t="s">
        <v>7825</v>
      </c>
      <c r="C39" s="3">
        <v>1</v>
      </c>
      <c r="D39" s="5">
        <v>69.5</v>
      </c>
      <c r="E39" s="3" t="s">
        <v>7826</v>
      </c>
      <c r="F39" s="2" t="s">
        <v>998</v>
      </c>
      <c r="G39" s="6" t="s">
        <v>187</v>
      </c>
      <c r="H39" s="2" t="s">
        <v>127</v>
      </c>
      <c r="I39" s="2" t="s">
        <v>128</v>
      </c>
      <c r="J39" s="2" t="s">
        <v>19</v>
      </c>
      <c r="K39" s="2" t="s">
        <v>803</v>
      </c>
      <c r="L39" s="7" t="str">
        <f>HYPERLINK("http://slimages.macys.com/is/image/MCY/14607918 ")</f>
        <v xml:space="preserve">http://slimages.macys.com/is/image/MCY/14607918 </v>
      </c>
    </row>
    <row r="40" spans="1:12" ht="24.75" x14ac:dyDescent="0.25">
      <c r="A40" s="4" t="s">
        <v>7827</v>
      </c>
      <c r="B40" s="2" t="s">
        <v>7825</v>
      </c>
      <c r="C40" s="3">
        <v>1</v>
      </c>
      <c r="D40" s="5">
        <v>69.5</v>
      </c>
      <c r="E40" s="3" t="s">
        <v>7826</v>
      </c>
      <c r="F40" s="2" t="s">
        <v>998</v>
      </c>
      <c r="G40" s="6"/>
      <c r="H40" s="2" t="s">
        <v>127</v>
      </c>
      <c r="I40" s="2" t="s">
        <v>128</v>
      </c>
      <c r="J40" s="2" t="s">
        <v>19</v>
      </c>
      <c r="K40" s="2" t="s">
        <v>803</v>
      </c>
      <c r="L40" s="7" t="str">
        <f>HYPERLINK("http://slimages.macys.com/is/image/MCY/14607918 ")</f>
        <v xml:space="preserve">http://slimages.macys.com/is/image/MCY/14607918 </v>
      </c>
    </row>
    <row r="41" spans="1:12" ht="24.75" x14ac:dyDescent="0.25">
      <c r="A41" s="4" t="s">
        <v>7828</v>
      </c>
      <c r="B41" s="2" t="s">
        <v>269</v>
      </c>
      <c r="C41" s="3">
        <v>1</v>
      </c>
      <c r="D41" s="5">
        <v>50.65</v>
      </c>
      <c r="E41" s="3" t="s">
        <v>270</v>
      </c>
      <c r="F41" s="2" t="s">
        <v>252</v>
      </c>
      <c r="G41" s="6" t="s">
        <v>181</v>
      </c>
      <c r="H41" s="2" t="s">
        <v>182</v>
      </c>
      <c r="I41" s="2" t="s">
        <v>183</v>
      </c>
      <c r="J41" s="2" t="s">
        <v>19</v>
      </c>
      <c r="K41" s="2" t="s">
        <v>208</v>
      </c>
      <c r="L41" s="7" t="str">
        <f>HYPERLINK("http://slimages.macys.com/is/image/MCY/12465152 ")</f>
        <v xml:space="preserve">http://slimages.macys.com/is/image/MCY/12465152 </v>
      </c>
    </row>
    <row r="42" spans="1:12" ht="24.75" x14ac:dyDescent="0.25">
      <c r="A42" s="4" t="s">
        <v>7829</v>
      </c>
      <c r="B42" s="2" t="s">
        <v>7830</v>
      </c>
      <c r="C42" s="3">
        <v>1</v>
      </c>
      <c r="D42" s="5">
        <v>89.5</v>
      </c>
      <c r="E42" s="3">
        <v>100058204</v>
      </c>
      <c r="F42" s="2" t="s">
        <v>64</v>
      </c>
      <c r="G42" s="6" t="s">
        <v>2208</v>
      </c>
      <c r="H42" s="2" t="s">
        <v>386</v>
      </c>
      <c r="I42" s="2" t="s">
        <v>337</v>
      </c>
      <c r="J42" s="2" t="s">
        <v>19</v>
      </c>
      <c r="K42" s="2" t="s">
        <v>7831</v>
      </c>
      <c r="L42" s="7" t="str">
        <f>HYPERLINK("http://slimages.macys.com/is/image/MCY/11778736 ")</f>
        <v xml:space="preserve">http://slimages.macys.com/is/image/MCY/11778736 </v>
      </c>
    </row>
    <row r="43" spans="1:12" ht="24.75" x14ac:dyDescent="0.25">
      <c r="A43" s="4" t="s">
        <v>7832</v>
      </c>
      <c r="B43" s="2" t="s">
        <v>7833</v>
      </c>
      <c r="C43" s="3">
        <v>1</v>
      </c>
      <c r="D43" s="5">
        <v>48.38</v>
      </c>
      <c r="E43" s="3" t="s">
        <v>7834</v>
      </c>
      <c r="F43" s="2" t="s">
        <v>74</v>
      </c>
      <c r="G43" s="6" t="s">
        <v>2276</v>
      </c>
      <c r="H43" s="2" t="s">
        <v>349</v>
      </c>
      <c r="I43" s="2" t="s">
        <v>285</v>
      </c>
      <c r="J43" s="2" t="s">
        <v>19</v>
      </c>
      <c r="K43" s="2" t="s">
        <v>160</v>
      </c>
      <c r="L43" s="7" t="str">
        <f>HYPERLINK("http://slimages.macys.com/is/image/MCY/12035576 ")</f>
        <v xml:space="preserve">http://slimages.macys.com/is/image/MCY/12035576 </v>
      </c>
    </row>
    <row r="44" spans="1:12" ht="24.75" x14ac:dyDescent="0.25">
      <c r="A44" s="4" t="s">
        <v>7835</v>
      </c>
      <c r="B44" s="2" t="s">
        <v>4467</v>
      </c>
      <c r="C44" s="3">
        <v>1</v>
      </c>
      <c r="D44" s="5">
        <v>51.75</v>
      </c>
      <c r="E44" s="3">
        <v>100059774</v>
      </c>
      <c r="F44" s="2" t="s">
        <v>89</v>
      </c>
      <c r="G44" s="6" t="s">
        <v>16</v>
      </c>
      <c r="H44" s="2" t="s">
        <v>228</v>
      </c>
      <c r="I44" s="2" t="s">
        <v>229</v>
      </c>
      <c r="J44" s="2" t="s">
        <v>19</v>
      </c>
      <c r="K44" s="2" t="s">
        <v>253</v>
      </c>
      <c r="L44" s="7" t="str">
        <f>HYPERLINK("http://slimages.macys.com/is/image/MCY/12316717 ")</f>
        <v xml:space="preserve">http://slimages.macys.com/is/image/MCY/12316717 </v>
      </c>
    </row>
    <row r="45" spans="1:12" ht="24.75" x14ac:dyDescent="0.25">
      <c r="A45" s="4" t="s">
        <v>7836</v>
      </c>
      <c r="B45" s="2" t="s">
        <v>7837</v>
      </c>
      <c r="C45" s="3">
        <v>1</v>
      </c>
      <c r="D45" s="5">
        <v>69.5</v>
      </c>
      <c r="E45" s="3" t="s">
        <v>7838</v>
      </c>
      <c r="F45" s="2" t="s">
        <v>74</v>
      </c>
      <c r="G45" s="6"/>
      <c r="H45" s="2" t="s">
        <v>127</v>
      </c>
      <c r="I45" s="2" t="s">
        <v>128</v>
      </c>
      <c r="J45" s="2" t="s">
        <v>19</v>
      </c>
      <c r="K45" s="2" t="s">
        <v>7839</v>
      </c>
      <c r="L45" s="7" t="str">
        <f>HYPERLINK("http://slimages.macys.com/is/image/MCY/13036871 ")</f>
        <v xml:space="preserve">http://slimages.macys.com/is/image/MCY/13036871 </v>
      </c>
    </row>
    <row r="46" spans="1:12" ht="24.75" x14ac:dyDescent="0.25">
      <c r="A46" s="4" t="s">
        <v>7840</v>
      </c>
      <c r="B46" s="2" t="s">
        <v>7841</v>
      </c>
      <c r="C46" s="3">
        <v>1</v>
      </c>
      <c r="D46" s="5">
        <v>51.5</v>
      </c>
      <c r="E46" s="3" t="s">
        <v>7842</v>
      </c>
      <c r="F46" s="2" t="s">
        <v>7843</v>
      </c>
      <c r="G46" s="6" t="s">
        <v>181</v>
      </c>
      <c r="H46" s="2" t="s">
        <v>246</v>
      </c>
      <c r="I46" s="2" t="s">
        <v>189</v>
      </c>
      <c r="J46" s="2" t="s">
        <v>19</v>
      </c>
      <c r="K46" s="2" t="s">
        <v>263</v>
      </c>
      <c r="L46" s="7" t="str">
        <f>HYPERLINK("http://slimages.macys.com/is/image/MCY/16233468 ")</f>
        <v xml:space="preserve">http://slimages.macys.com/is/image/MCY/16233468 </v>
      </c>
    </row>
    <row r="47" spans="1:12" ht="24.75" x14ac:dyDescent="0.25">
      <c r="A47" s="4" t="s">
        <v>7844</v>
      </c>
      <c r="B47" s="2" t="s">
        <v>276</v>
      </c>
      <c r="C47" s="3">
        <v>1</v>
      </c>
      <c r="D47" s="5">
        <v>62.65</v>
      </c>
      <c r="E47" s="3" t="s">
        <v>277</v>
      </c>
      <c r="F47" s="2" t="s">
        <v>15</v>
      </c>
      <c r="G47" s="6" t="s">
        <v>234</v>
      </c>
      <c r="H47" s="2" t="s">
        <v>182</v>
      </c>
      <c r="I47" s="2" t="s">
        <v>183</v>
      </c>
      <c r="J47" s="2" t="s">
        <v>19</v>
      </c>
      <c r="K47" s="2" t="s">
        <v>208</v>
      </c>
      <c r="L47" s="7" t="str">
        <f>HYPERLINK("http://slimages.macys.com/is/image/MCY/12670890 ")</f>
        <v xml:space="preserve">http://slimages.macys.com/is/image/MCY/12670890 </v>
      </c>
    </row>
    <row r="48" spans="1:12" ht="24.75" x14ac:dyDescent="0.25">
      <c r="A48" s="4" t="s">
        <v>2191</v>
      </c>
      <c r="B48" s="2" t="s">
        <v>276</v>
      </c>
      <c r="C48" s="3">
        <v>1</v>
      </c>
      <c r="D48" s="5">
        <v>62.65</v>
      </c>
      <c r="E48" s="3" t="s">
        <v>277</v>
      </c>
      <c r="F48" s="2" t="s">
        <v>257</v>
      </c>
      <c r="G48" s="6" t="s">
        <v>181</v>
      </c>
      <c r="H48" s="2" t="s">
        <v>182</v>
      </c>
      <c r="I48" s="2" t="s">
        <v>183</v>
      </c>
      <c r="J48" s="2" t="s">
        <v>19</v>
      </c>
      <c r="K48" s="2" t="s">
        <v>208</v>
      </c>
      <c r="L48" s="7" t="str">
        <f>HYPERLINK("http://slimages.macys.com/is/image/MCY/12670890 ")</f>
        <v xml:space="preserve">http://slimages.macys.com/is/image/MCY/12670890 </v>
      </c>
    </row>
    <row r="49" spans="1:12" ht="24.75" x14ac:dyDescent="0.25">
      <c r="A49" s="4" t="s">
        <v>2192</v>
      </c>
      <c r="B49" s="2" t="s">
        <v>276</v>
      </c>
      <c r="C49" s="3">
        <v>2</v>
      </c>
      <c r="D49" s="5">
        <v>62.65</v>
      </c>
      <c r="E49" s="3" t="s">
        <v>277</v>
      </c>
      <c r="F49" s="2" t="s">
        <v>257</v>
      </c>
      <c r="G49" s="6" t="s">
        <v>154</v>
      </c>
      <c r="H49" s="2" t="s">
        <v>182</v>
      </c>
      <c r="I49" s="2" t="s">
        <v>183</v>
      </c>
      <c r="J49" s="2" t="s">
        <v>19</v>
      </c>
      <c r="K49" s="2" t="s">
        <v>208</v>
      </c>
      <c r="L49" s="7" t="str">
        <f>HYPERLINK("http://slimages.macys.com/is/image/MCY/12670890 ")</f>
        <v xml:space="preserve">http://slimages.macys.com/is/image/MCY/12670890 </v>
      </c>
    </row>
    <row r="50" spans="1:12" ht="24.75" x14ac:dyDescent="0.25">
      <c r="A50" s="4" t="s">
        <v>7845</v>
      </c>
      <c r="B50" s="2" t="s">
        <v>4469</v>
      </c>
      <c r="C50" s="3">
        <v>1</v>
      </c>
      <c r="D50" s="5">
        <v>59.5</v>
      </c>
      <c r="E50" s="3">
        <v>100061629</v>
      </c>
      <c r="F50" s="2" t="s">
        <v>64</v>
      </c>
      <c r="G50" s="6" t="s">
        <v>16</v>
      </c>
      <c r="H50" s="2" t="s">
        <v>386</v>
      </c>
      <c r="I50" s="2" t="s">
        <v>207</v>
      </c>
      <c r="J50" s="2" t="s">
        <v>19</v>
      </c>
      <c r="K50" s="2" t="s">
        <v>387</v>
      </c>
      <c r="L50" s="7" t="str">
        <f>HYPERLINK("http://slimages.macys.com/is/image/MCY/11963024 ")</f>
        <v xml:space="preserve">http://slimages.macys.com/is/image/MCY/11963024 </v>
      </c>
    </row>
    <row r="51" spans="1:12" ht="24.75" x14ac:dyDescent="0.25">
      <c r="A51" s="4" t="s">
        <v>2194</v>
      </c>
      <c r="B51" s="2" t="s">
        <v>2195</v>
      </c>
      <c r="C51" s="3">
        <v>1</v>
      </c>
      <c r="D51" s="5">
        <v>48.38</v>
      </c>
      <c r="E51" s="3" t="s">
        <v>2196</v>
      </c>
      <c r="F51" s="2" t="s">
        <v>74</v>
      </c>
      <c r="G51" s="6" t="s">
        <v>407</v>
      </c>
      <c r="H51" s="2" t="s">
        <v>349</v>
      </c>
      <c r="I51" s="2" t="s">
        <v>408</v>
      </c>
      <c r="J51" s="2" t="s">
        <v>19</v>
      </c>
      <c r="K51" s="2" t="s">
        <v>160</v>
      </c>
      <c r="L51" s="7" t="str">
        <f>HYPERLINK("http://slimages.macys.com/is/image/MCY/13535632 ")</f>
        <v xml:space="preserve">http://slimages.macys.com/is/image/MCY/13535632 </v>
      </c>
    </row>
    <row r="52" spans="1:12" ht="24.75" x14ac:dyDescent="0.25">
      <c r="A52" s="4" t="s">
        <v>7846</v>
      </c>
      <c r="B52" s="2" t="s">
        <v>7847</v>
      </c>
      <c r="C52" s="3">
        <v>1</v>
      </c>
      <c r="D52" s="5">
        <v>51.75</v>
      </c>
      <c r="E52" s="3">
        <v>100019102</v>
      </c>
      <c r="F52" s="2" t="s">
        <v>252</v>
      </c>
      <c r="G52" s="6" t="s">
        <v>65</v>
      </c>
      <c r="H52" s="2" t="s">
        <v>228</v>
      </c>
      <c r="I52" s="2" t="s">
        <v>229</v>
      </c>
      <c r="J52" s="2" t="s">
        <v>19</v>
      </c>
      <c r="K52" s="2" t="s">
        <v>253</v>
      </c>
      <c r="L52" s="7" t="str">
        <f>HYPERLINK("http://slimages.macys.com/is/image/MCY/12316717 ")</f>
        <v xml:space="preserve">http://slimages.macys.com/is/image/MCY/12316717 </v>
      </c>
    </row>
    <row r="53" spans="1:12" ht="24.75" x14ac:dyDescent="0.25">
      <c r="A53" s="4" t="s">
        <v>3368</v>
      </c>
      <c r="B53" s="2" t="s">
        <v>297</v>
      </c>
      <c r="C53" s="3">
        <v>1</v>
      </c>
      <c r="D53" s="5">
        <v>59.63</v>
      </c>
      <c r="E53" s="3" t="s">
        <v>3369</v>
      </c>
      <c r="F53" s="2" t="s">
        <v>74</v>
      </c>
      <c r="G53" s="6" t="s">
        <v>205</v>
      </c>
      <c r="H53" s="2" t="s">
        <v>188</v>
      </c>
      <c r="I53" s="2" t="s">
        <v>189</v>
      </c>
      <c r="J53" s="2" t="s">
        <v>19</v>
      </c>
      <c r="K53" s="2" t="s">
        <v>34</v>
      </c>
      <c r="L53" s="7" t="str">
        <f>HYPERLINK("http://slimages.macys.com/is/image/MCY/11884459 ")</f>
        <v xml:space="preserve">http://slimages.macys.com/is/image/MCY/11884459 </v>
      </c>
    </row>
    <row r="54" spans="1:12" ht="24.75" x14ac:dyDescent="0.25">
      <c r="A54" s="4" t="s">
        <v>7848</v>
      </c>
      <c r="B54" s="2" t="s">
        <v>7849</v>
      </c>
      <c r="C54" s="3">
        <v>1</v>
      </c>
      <c r="D54" s="5">
        <v>69.5</v>
      </c>
      <c r="E54" s="3" t="s">
        <v>7850</v>
      </c>
      <c r="F54" s="2" t="s">
        <v>225</v>
      </c>
      <c r="G54" s="6" t="s">
        <v>336</v>
      </c>
      <c r="H54" s="2" t="s">
        <v>127</v>
      </c>
      <c r="I54" s="2" t="s">
        <v>128</v>
      </c>
      <c r="J54" s="2" t="s">
        <v>19</v>
      </c>
      <c r="K54" s="2" t="s">
        <v>409</v>
      </c>
      <c r="L54" s="7" t="str">
        <f>HYPERLINK("http://slimages.macys.com/is/image/MCY/8940799 ")</f>
        <v xml:space="preserve">http://slimages.macys.com/is/image/MCY/8940799 </v>
      </c>
    </row>
    <row r="55" spans="1:12" ht="24.75" x14ac:dyDescent="0.25">
      <c r="A55" s="4" t="s">
        <v>7851</v>
      </c>
      <c r="B55" s="2" t="s">
        <v>7852</v>
      </c>
      <c r="C55" s="3">
        <v>1</v>
      </c>
      <c r="D55" s="5">
        <v>52.13</v>
      </c>
      <c r="E55" s="3" t="s">
        <v>7853</v>
      </c>
      <c r="F55" s="2" t="s">
        <v>64</v>
      </c>
      <c r="G55" s="6" t="s">
        <v>181</v>
      </c>
      <c r="H55" s="2" t="s">
        <v>246</v>
      </c>
      <c r="I55" s="2" t="s">
        <v>3427</v>
      </c>
      <c r="J55" s="2" t="s">
        <v>19</v>
      </c>
      <c r="K55" s="2" t="s">
        <v>7854</v>
      </c>
      <c r="L55" s="7" t="str">
        <f>HYPERLINK("http://slimages.macys.com/is/image/MCY/13330809 ")</f>
        <v xml:space="preserve">http://slimages.macys.com/is/image/MCY/13330809 </v>
      </c>
    </row>
    <row r="56" spans="1:12" ht="24.75" x14ac:dyDescent="0.25">
      <c r="A56" s="4" t="s">
        <v>7855</v>
      </c>
      <c r="B56" s="2" t="s">
        <v>7852</v>
      </c>
      <c r="C56" s="3">
        <v>1</v>
      </c>
      <c r="D56" s="5">
        <v>52.13</v>
      </c>
      <c r="E56" s="3" t="s">
        <v>7853</v>
      </c>
      <c r="F56" s="2" t="s">
        <v>26</v>
      </c>
      <c r="G56" s="6" t="s">
        <v>181</v>
      </c>
      <c r="H56" s="2" t="s">
        <v>246</v>
      </c>
      <c r="I56" s="2" t="s">
        <v>3427</v>
      </c>
      <c r="J56" s="2" t="s">
        <v>19</v>
      </c>
      <c r="K56" s="2" t="s">
        <v>7854</v>
      </c>
      <c r="L56" s="7" t="str">
        <f>HYPERLINK("http://slimages.macys.com/is/image/MCY/13330809 ")</f>
        <v xml:space="preserve">http://slimages.macys.com/is/image/MCY/13330809 </v>
      </c>
    </row>
    <row r="57" spans="1:12" x14ac:dyDescent="0.25">
      <c r="A57" s="4" t="s">
        <v>7856</v>
      </c>
      <c r="B57" s="2" t="s">
        <v>7857</v>
      </c>
      <c r="C57" s="3">
        <v>1</v>
      </c>
      <c r="D57" s="5">
        <v>69.5</v>
      </c>
      <c r="E57" s="3" t="s">
        <v>7858</v>
      </c>
      <c r="F57" s="2" t="s">
        <v>74</v>
      </c>
      <c r="G57" s="6" t="s">
        <v>126</v>
      </c>
      <c r="H57" s="2" t="s">
        <v>206</v>
      </c>
      <c r="I57" s="2" t="s">
        <v>1010</v>
      </c>
      <c r="J57" s="2" t="s">
        <v>19</v>
      </c>
      <c r="K57" s="2" t="s">
        <v>160</v>
      </c>
      <c r="L57" s="7" t="str">
        <f>HYPERLINK("http://slimages.macys.com/is/image/MCY/11859619 ")</f>
        <v xml:space="preserve">http://slimages.macys.com/is/image/MCY/11859619 </v>
      </c>
    </row>
    <row r="58" spans="1:12" ht="24.75" x14ac:dyDescent="0.25">
      <c r="A58" s="4" t="s">
        <v>7859</v>
      </c>
      <c r="B58" s="2" t="s">
        <v>325</v>
      </c>
      <c r="C58" s="3">
        <v>1</v>
      </c>
      <c r="D58" s="5">
        <v>52.13</v>
      </c>
      <c r="E58" s="3" t="s">
        <v>326</v>
      </c>
      <c r="F58" s="2" t="s">
        <v>74</v>
      </c>
      <c r="G58" s="6"/>
      <c r="H58" s="2" t="s">
        <v>312</v>
      </c>
      <c r="I58" s="2" t="s">
        <v>307</v>
      </c>
      <c r="J58" s="2" t="s">
        <v>19</v>
      </c>
      <c r="K58" s="2" t="s">
        <v>327</v>
      </c>
      <c r="L58" s="7" t="str">
        <f>HYPERLINK("http://slimages.macys.com/is/image/MCY/9484121 ")</f>
        <v xml:space="preserve">http://slimages.macys.com/is/image/MCY/9484121 </v>
      </c>
    </row>
    <row r="59" spans="1:12" ht="24.75" x14ac:dyDescent="0.25">
      <c r="A59" s="4" t="s">
        <v>7860</v>
      </c>
      <c r="B59" s="2" t="s">
        <v>7087</v>
      </c>
      <c r="C59" s="3">
        <v>1</v>
      </c>
      <c r="D59" s="5">
        <v>52.13</v>
      </c>
      <c r="E59" s="3" t="s">
        <v>7088</v>
      </c>
      <c r="F59" s="2" t="s">
        <v>101</v>
      </c>
      <c r="G59" s="6" t="s">
        <v>245</v>
      </c>
      <c r="H59" s="2" t="s">
        <v>246</v>
      </c>
      <c r="I59" s="2" t="s">
        <v>189</v>
      </c>
      <c r="J59" s="2"/>
      <c r="K59" s="2"/>
      <c r="L59" s="7" t="str">
        <f>HYPERLINK("http://slimages.macys.com/is/image/MCY/11972331 ")</f>
        <v xml:space="preserve">http://slimages.macys.com/is/image/MCY/11972331 </v>
      </c>
    </row>
    <row r="60" spans="1:12" ht="24.75" x14ac:dyDescent="0.25">
      <c r="A60" s="4" t="s">
        <v>2220</v>
      </c>
      <c r="B60" s="2" t="s">
        <v>2221</v>
      </c>
      <c r="C60" s="3">
        <v>1</v>
      </c>
      <c r="D60" s="5">
        <v>69.5</v>
      </c>
      <c r="E60" s="3">
        <v>100061334</v>
      </c>
      <c r="F60" s="2" t="s">
        <v>64</v>
      </c>
      <c r="G60" s="6" t="s">
        <v>27</v>
      </c>
      <c r="H60" s="2" t="s">
        <v>386</v>
      </c>
      <c r="I60" s="2" t="s">
        <v>207</v>
      </c>
      <c r="J60" s="2" t="s">
        <v>19</v>
      </c>
      <c r="K60" s="2" t="s">
        <v>338</v>
      </c>
      <c r="L60" s="7" t="str">
        <f>HYPERLINK("http://slimages.macys.com/is/image/MCY/12285299 ")</f>
        <v xml:space="preserve">http://slimages.macys.com/is/image/MCY/12285299 </v>
      </c>
    </row>
    <row r="61" spans="1:12" ht="36.75" x14ac:dyDescent="0.25">
      <c r="A61" s="4" t="s">
        <v>7861</v>
      </c>
      <c r="B61" s="2" t="s">
        <v>2223</v>
      </c>
      <c r="C61" s="3">
        <v>1</v>
      </c>
      <c r="D61" s="5">
        <v>48.38</v>
      </c>
      <c r="E61" s="3" t="s">
        <v>2224</v>
      </c>
      <c r="F61" s="2" t="s">
        <v>26</v>
      </c>
      <c r="G61" s="6" t="s">
        <v>348</v>
      </c>
      <c r="H61" s="2" t="s">
        <v>349</v>
      </c>
      <c r="I61" s="2" t="s">
        <v>285</v>
      </c>
      <c r="J61" s="2" t="s">
        <v>19</v>
      </c>
      <c r="K61" s="2" t="s">
        <v>2225</v>
      </c>
      <c r="L61" s="7" t="str">
        <f>HYPERLINK("http://slimages.macys.com/is/image/MCY/12077740 ")</f>
        <v xml:space="preserve">http://slimages.macys.com/is/image/MCY/12077740 </v>
      </c>
    </row>
    <row r="62" spans="1:12" ht="24.75" x14ac:dyDescent="0.25">
      <c r="A62" s="4" t="s">
        <v>6333</v>
      </c>
      <c r="B62" s="2" t="s">
        <v>6334</v>
      </c>
      <c r="C62" s="3">
        <v>1</v>
      </c>
      <c r="D62" s="5">
        <v>48.65</v>
      </c>
      <c r="E62" s="3" t="s">
        <v>6335</v>
      </c>
      <c r="F62" s="2" t="s">
        <v>252</v>
      </c>
      <c r="G62" s="6" t="s">
        <v>245</v>
      </c>
      <c r="H62" s="2" t="s">
        <v>182</v>
      </c>
      <c r="I62" s="2" t="s">
        <v>183</v>
      </c>
      <c r="J62" s="2" t="s">
        <v>19</v>
      </c>
      <c r="K62" s="2" t="s">
        <v>34</v>
      </c>
      <c r="L62" s="7" t="str">
        <f>HYPERLINK("http://slimages.macys.com/is/image/MCY/12935690 ")</f>
        <v xml:space="preserve">http://slimages.macys.com/is/image/MCY/12935690 </v>
      </c>
    </row>
    <row r="63" spans="1:12" ht="24.75" x14ac:dyDescent="0.25">
      <c r="A63" s="4" t="s">
        <v>7862</v>
      </c>
      <c r="B63" s="2" t="s">
        <v>261</v>
      </c>
      <c r="C63" s="3">
        <v>1</v>
      </c>
      <c r="D63" s="5">
        <v>52.13</v>
      </c>
      <c r="E63" s="3" t="s">
        <v>4494</v>
      </c>
      <c r="F63" s="2" t="s">
        <v>1584</v>
      </c>
      <c r="G63" s="6" t="s">
        <v>156</v>
      </c>
      <c r="H63" s="2" t="s">
        <v>246</v>
      </c>
      <c r="I63" s="2" t="s">
        <v>189</v>
      </c>
      <c r="J63" s="2" t="s">
        <v>19</v>
      </c>
      <c r="K63" s="2" t="s">
        <v>263</v>
      </c>
      <c r="L63" s="7" t="str">
        <f>HYPERLINK("http://slimages.macys.com/is/image/MCY/16351261 ")</f>
        <v xml:space="preserve">http://slimages.macys.com/is/image/MCY/16351261 </v>
      </c>
    </row>
    <row r="64" spans="1:12" x14ac:dyDescent="0.25">
      <c r="A64" s="4" t="s">
        <v>7863</v>
      </c>
      <c r="B64" s="2" t="s">
        <v>7864</v>
      </c>
      <c r="C64" s="3">
        <v>1</v>
      </c>
      <c r="D64" s="5">
        <v>69.5</v>
      </c>
      <c r="E64" s="3" t="s">
        <v>7865</v>
      </c>
      <c r="F64" s="2" t="s">
        <v>26</v>
      </c>
      <c r="G64" s="6" t="s">
        <v>219</v>
      </c>
      <c r="H64" s="2" t="s">
        <v>206</v>
      </c>
      <c r="I64" s="2" t="s">
        <v>207</v>
      </c>
      <c r="J64" s="2" t="s">
        <v>19</v>
      </c>
      <c r="K64" s="2" t="s">
        <v>107</v>
      </c>
      <c r="L64" s="7" t="str">
        <f>HYPERLINK("http://slimages.macys.com/is/image/MCY/13638673 ")</f>
        <v xml:space="preserve">http://slimages.macys.com/is/image/MCY/13638673 </v>
      </c>
    </row>
    <row r="65" spans="1:12" ht="24.75" x14ac:dyDescent="0.25">
      <c r="A65" s="4" t="s">
        <v>356</v>
      </c>
      <c r="B65" s="2" t="s">
        <v>355</v>
      </c>
      <c r="C65" s="3">
        <v>1</v>
      </c>
      <c r="D65" s="5">
        <v>48</v>
      </c>
      <c r="E65" s="3">
        <v>100053387</v>
      </c>
      <c r="F65" s="2" t="s">
        <v>111</v>
      </c>
      <c r="G65" s="6" t="s">
        <v>65</v>
      </c>
      <c r="H65" s="2" t="s">
        <v>228</v>
      </c>
      <c r="I65" s="2" t="s">
        <v>229</v>
      </c>
      <c r="J65" s="2" t="s">
        <v>19</v>
      </c>
      <c r="K65" s="2" t="s">
        <v>338</v>
      </c>
      <c r="L65" s="7" t="str">
        <f>HYPERLINK("http://slimages.macys.com/is/image/MCY/13829477 ")</f>
        <v xml:space="preserve">http://slimages.macys.com/is/image/MCY/13829477 </v>
      </c>
    </row>
    <row r="66" spans="1:12" ht="24.75" x14ac:dyDescent="0.25">
      <c r="A66" s="4" t="s">
        <v>354</v>
      </c>
      <c r="B66" s="2" t="s">
        <v>355</v>
      </c>
      <c r="C66" s="3">
        <v>3</v>
      </c>
      <c r="D66" s="5">
        <v>48</v>
      </c>
      <c r="E66" s="3">
        <v>100053387</v>
      </c>
      <c r="F66" s="2" t="s">
        <v>111</v>
      </c>
      <c r="G66" s="6" t="s">
        <v>27</v>
      </c>
      <c r="H66" s="2" t="s">
        <v>228</v>
      </c>
      <c r="I66" s="2" t="s">
        <v>229</v>
      </c>
      <c r="J66" s="2" t="s">
        <v>19</v>
      </c>
      <c r="K66" s="2" t="s">
        <v>338</v>
      </c>
      <c r="L66" s="7" t="str">
        <f>HYPERLINK("http://slimages.macys.com/is/image/MCY/13829477 ")</f>
        <v xml:space="preserve">http://slimages.macys.com/is/image/MCY/13829477 </v>
      </c>
    </row>
    <row r="67" spans="1:12" ht="24.75" x14ac:dyDescent="0.25">
      <c r="A67" s="4" t="s">
        <v>2238</v>
      </c>
      <c r="B67" s="2" t="s">
        <v>355</v>
      </c>
      <c r="C67" s="3">
        <v>3</v>
      </c>
      <c r="D67" s="5">
        <v>48</v>
      </c>
      <c r="E67" s="3">
        <v>100053387</v>
      </c>
      <c r="F67" s="2" t="s">
        <v>111</v>
      </c>
      <c r="G67" s="6" t="s">
        <v>22</v>
      </c>
      <c r="H67" s="2" t="s">
        <v>228</v>
      </c>
      <c r="I67" s="2" t="s">
        <v>229</v>
      </c>
      <c r="J67" s="2" t="s">
        <v>19</v>
      </c>
      <c r="K67" s="2" t="s">
        <v>338</v>
      </c>
      <c r="L67" s="7" t="str">
        <f>HYPERLINK("http://slimages.macys.com/is/image/MCY/13829477 ")</f>
        <v xml:space="preserve">http://slimages.macys.com/is/image/MCY/13829477 </v>
      </c>
    </row>
    <row r="68" spans="1:12" ht="24.75" x14ac:dyDescent="0.25">
      <c r="A68" s="4" t="s">
        <v>2241</v>
      </c>
      <c r="B68" s="2" t="s">
        <v>355</v>
      </c>
      <c r="C68" s="3">
        <v>3</v>
      </c>
      <c r="D68" s="5">
        <v>48</v>
      </c>
      <c r="E68" s="3">
        <v>100053387</v>
      </c>
      <c r="F68" s="2" t="s">
        <v>111</v>
      </c>
      <c r="G68" s="6" t="s">
        <v>58</v>
      </c>
      <c r="H68" s="2" t="s">
        <v>228</v>
      </c>
      <c r="I68" s="2" t="s">
        <v>229</v>
      </c>
      <c r="J68" s="2" t="s">
        <v>19</v>
      </c>
      <c r="K68" s="2" t="s">
        <v>338</v>
      </c>
      <c r="L68" s="7" t="str">
        <f>HYPERLINK("http://slimages.macys.com/is/image/MCY/13829477 ")</f>
        <v xml:space="preserve">http://slimages.macys.com/is/image/MCY/13829477 </v>
      </c>
    </row>
    <row r="69" spans="1:12" ht="24.75" x14ac:dyDescent="0.25">
      <c r="A69" s="4" t="s">
        <v>357</v>
      </c>
      <c r="B69" s="2" t="s">
        <v>355</v>
      </c>
      <c r="C69" s="3">
        <v>1</v>
      </c>
      <c r="D69" s="5">
        <v>48</v>
      </c>
      <c r="E69" s="3">
        <v>100053387</v>
      </c>
      <c r="F69" s="2" t="s">
        <v>111</v>
      </c>
      <c r="G69" s="6" t="s">
        <v>16</v>
      </c>
      <c r="H69" s="2" t="s">
        <v>228</v>
      </c>
      <c r="I69" s="2" t="s">
        <v>229</v>
      </c>
      <c r="J69" s="2" t="s">
        <v>19</v>
      </c>
      <c r="K69" s="2" t="s">
        <v>338</v>
      </c>
      <c r="L69" s="7" t="str">
        <f>HYPERLINK("http://slimages.macys.com/is/image/MCY/13829477 ")</f>
        <v xml:space="preserve">http://slimages.macys.com/is/image/MCY/13829477 </v>
      </c>
    </row>
    <row r="70" spans="1:12" ht="24.75" x14ac:dyDescent="0.25">
      <c r="A70" s="4" t="s">
        <v>7866</v>
      </c>
      <c r="B70" s="2" t="s">
        <v>7867</v>
      </c>
      <c r="C70" s="3">
        <v>1</v>
      </c>
      <c r="D70" s="5">
        <v>48.38</v>
      </c>
      <c r="E70" s="3" t="s">
        <v>7868</v>
      </c>
      <c r="F70" s="2" t="s">
        <v>26</v>
      </c>
      <c r="G70" s="6" t="s">
        <v>348</v>
      </c>
      <c r="H70" s="2" t="s">
        <v>349</v>
      </c>
      <c r="I70" s="2" t="s">
        <v>736</v>
      </c>
      <c r="J70" s="2" t="s">
        <v>19</v>
      </c>
      <c r="K70" s="2" t="s">
        <v>4640</v>
      </c>
      <c r="L70" s="7" t="str">
        <f>HYPERLINK("http://slimages.macys.com/is/image/MCY/12807604 ")</f>
        <v xml:space="preserve">http://slimages.macys.com/is/image/MCY/12807604 </v>
      </c>
    </row>
    <row r="71" spans="1:12" ht="24.75" x14ac:dyDescent="0.25">
      <c r="A71" s="4" t="s">
        <v>7869</v>
      </c>
      <c r="B71" s="2" t="s">
        <v>7870</v>
      </c>
      <c r="C71" s="3">
        <v>1</v>
      </c>
      <c r="D71" s="5">
        <v>59.5</v>
      </c>
      <c r="E71" s="3" t="s">
        <v>7871</v>
      </c>
      <c r="F71" s="2" t="s">
        <v>74</v>
      </c>
      <c r="G71" s="6"/>
      <c r="H71" s="2" t="s">
        <v>127</v>
      </c>
      <c r="I71" s="2" t="s">
        <v>128</v>
      </c>
      <c r="J71" s="2" t="s">
        <v>19</v>
      </c>
      <c r="K71" s="2" t="s">
        <v>34</v>
      </c>
      <c r="L71" s="7" t="str">
        <f>HYPERLINK("http://slimages.macys.com/is/image/MCY/11603096 ")</f>
        <v xml:space="preserve">http://slimages.macys.com/is/image/MCY/11603096 </v>
      </c>
    </row>
    <row r="72" spans="1:12" ht="24.75" x14ac:dyDescent="0.25">
      <c r="A72" s="4" t="s">
        <v>7100</v>
      </c>
      <c r="B72" s="2" t="s">
        <v>7101</v>
      </c>
      <c r="C72" s="3">
        <v>1</v>
      </c>
      <c r="D72" s="5">
        <v>48.38</v>
      </c>
      <c r="E72" s="3" t="s">
        <v>7102</v>
      </c>
      <c r="F72" s="2" t="s">
        <v>74</v>
      </c>
      <c r="G72" s="6" t="s">
        <v>407</v>
      </c>
      <c r="H72" s="2" t="s">
        <v>349</v>
      </c>
      <c r="I72" s="2" t="s">
        <v>7103</v>
      </c>
      <c r="J72" s="2" t="s">
        <v>19</v>
      </c>
      <c r="K72" s="2" t="s">
        <v>160</v>
      </c>
      <c r="L72" s="7" t="str">
        <f>HYPERLINK("http://slimages.macys.com/is/image/MCY/11943151 ")</f>
        <v xml:space="preserve">http://slimages.macys.com/is/image/MCY/11943151 </v>
      </c>
    </row>
    <row r="73" spans="1:12" ht="24.75" x14ac:dyDescent="0.25">
      <c r="A73" s="4" t="s">
        <v>5416</v>
      </c>
      <c r="B73" s="2" t="s">
        <v>2244</v>
      </c>
      <c r="C73" s="3">
        <v>1</v>
      </c>
      <c r="D73" s="5">
        <v>44.63</v>
      </c>
      <c r="E73" s="3" t="s">
        <v>2245</v>
      </c>
      <c r="F73" s="2" t="s">
        <v>125</v>
      </c>
      <c r="G73" s="6" t="s">
        <v>234</v>
      </c>
      <c r="H73" s="2" t="s">
        <v>194</v>
      </c>
      <c r="I73" s="2" t="s">
        <v>195</v>
      </c>
      <c r="J73" s="2" t="s">
        <v>19</v>
      </c>
      <c r="K73" s="2" t="s">
        <v>34</v>
      </c>
      <c r="L73" s="7" t="str">
        <f>HYPERLINK("http://slimages.macys.com/is/image/MCY/12756091 ")</f>
        <v xml:space="preserve">http://slimages.macys.com/is/image/MCY/12756091 </v>
      </c>
    </row>
    <row r="74" spans="1:12" ht="24.75" x14ac:dyDescent="0.25">
      <c r="A74" s="4" t="s">
        <v>7872</v>
      </c>
      <c r="B74" s="2" t="s">
        <v>2357</v>
      </c>
      <c r="C74" s="3">
        <v>1</v>
      </c>
      <c r="D74" s="5">
        <v>48.38</v>
      </c>
      <c r="E74" s="3" t="s">
        <v>7873</v>
      </c>
      <c r="F74" s="2" t="s">
        <v>15</v>
      </c>
      <c r="G74" s="6" t="s">
        <v>348</v>
      </c>
      <c r="H74" s="2" t="s">
        <v>349</v>
      </c>
      <c r="I74" s="2" t="s">
        <v>285</v>
      </c>
      <c r="J74" s="2" t="s">
        <v>19</v>
      </c>
      <c r="K74" s="2" t="s">
        <v>7092</v>
      </c>
      <c r="L74" s="7" t="str">
        <f>HYPERLINK("http://slimages.macys.com/is/image/MCY/12670303 ")</f>
        <v xml:space="preserve">http://slimages.macys.com/is/image/MCY/12670303 </v>
      </c>
    </row>
    <row r="75" spans="1:12" ht="24.75" x14ac:dyDescent="0.25">
      <c r="A75" s="4" t="s">
        <v>7874</v>
      </c>
      <c r="B75" s="2" t="s">
        <v>2254</v>
      </c>
      <c r="C75" s="3">
        <v>1</v>
      </c>
      <c r="D75" s="5">
        <v>44.5</v>
      </c>
      <c r="E75" s="3" t="s">
        <v>6351</v>
      </c>
      <c r="F75" s="2" t="s">
        <v>252</v>
      </c>
      <c r="G75" s="6" t="s">
        <v>200</v>
      </c>
      <c r="H75" s="2" t="s">
        <v>194</v>
      </c>
      <c r="I75" s="2" t="s">
        <v>195</v>
      </c>
      <c r="J75" s="2" t="s">
        <v>19</v>
      </c>
      <c r="K75" s="2" t="s">
        <v>6352</v>
      </c>
      <c r="L75" s="7" t="str">
        <f>HYPERLINK("http://slimages.macys.com/is/image/MCY/11937871 ")</f>
        <v xml:space="preserve">http://slimages.macys.com/is/image/MCY/11937871 </v>
      </c>
    </row>
    <row r="76" spans="1:12" ht="24.75" x14ac:dyDescent="0.25">
      <c r="A76" s="4" t="s">
        <v>7875</v>
      </c>
      <c r="B76" s="2" t="s">
        <v>2254</v>
      </c>
      <c r="C76" s="3">
        <v>1</v>
      </c>
      <c r="D76" s="5">
        <v>44.5</v>
      </c>
      <c r="E76" s="3" t="s">
        <v>6351</v>
      </c>
      <c r="F76" s="2" t="s">
        <v>252</v>
      </c>
      <c r="G76" s="6" t="s">
        <v>154</v>
      </c>
      <c r="H76" s="2" t="s">
        <v>194</v>
      </c>
      <c r="I76" s="2" t="s">
        <v>195</v>
      </c>
      <c r="J76" s="2" t="s">
        <v>19</v>
      </c>
      <c r="K76" s="2" t="s">
        <v>6352</v>
      </c>
      <c r="L76" s="7" t="str">
        <f>HYPERLINK("http://slimages.macys.com/is/image/MCY/11937871 ")</f>
        <v xml:space="preserve">http://slimages.macys.com/is/image/MCY/11937871 </v>
      </c>
    </row>
    <row r="77" spans="1:12" ht="24.75" x14ac:dyDescent="0.25">
      <c r="A77" s="4" t="s">
        <v>7115</v>
      </c>
      <c r="B77" s="2" t="s">
        <v>2254</v>
      </c>
      <c r="C77" s="3">
        <v>1</v>
      </c>
      <c r="D77" s="5">
        <v>44.5</v>
      </c>
      <c r="E77" s="3" t="s">
        <v>6351</v>
      </c>
      <c r="F77" s="2" t="s">
        <v>252</v>
      </c>
      <c r="G77" s="6" t="s">
        <v>234</v>
      </c>
      <c r="H77" s="2" t="s">
        <v>194</v>
      </c>
      <c r="I77" s="2" t="s">
        <v>195</v>
      </c>
      <c r="J77" s="2" t="s">
        <v>19</v>
      </c>
      <c r="K77" s="2" t="s">
        <v>6352</v>
      </c>
      <c r="L77" s="7" t="str">
        <f>HYPERLINK("http://slimages.macys.com/is/image/MCY/11937871 ")</f>
        <v xml:space="preserve">http://slimages.macys.com/is/image/MCY/11937871 </v>
      </c>
    </row>
    <row r="78" spans="1:12" ht="24.75" x14ac:dyDescent="0.25">
      <c r="A78" s="4" t="s">
        <v>7876</v>
      </c>
      <c r="B78" s="2" t="s">
        <v>7877</v>
      </c>
      <c r="C78" s="3">
        <v>1</v>
      </c>
      <c r="D78" s="5">
        <v>44.5</v>
      </c>
      <c r="E78" s="3" t="s">
        <v>7878</v>
      </c>
      <c r="F78" s="2" t="s">
        <v>413</v>
      </c>
      <c r="G78" s="6"/>
      <c r="H78" s="2" t="s">
        <v>312</v>
      </c>
      <c r="I78" s="2" t="s">
        <v>195</v>
      </c>
      <c r="J78" s="2" t="s">
        <v>19</v>
      </c>
      <c r="K78" s="2" t="s">
        <v>7879</v>
      </c>
      <c r="L78" s="7" t="str">
        <f>HYPERLINK("http://slimages.macys.com/is/image/MCY/11266298 ")</f>
        <v xml:space="preserve">http://slimages.macys.com/is/image/MCY/11266298 </v>
      </c>
    </row>
    <row r="79" spans="1:12" ht="24.75" x14ac:dyDescent="0.25">
      <c r="A79" s="4" t="s">
        <v>7880</v>
      </c>
      <c r="B79" s="2" t="s">
        <v>5433</v>
      </c>
      <c r="C79" s="3">
        <v>1</v>
      </c>
      <c r="D79" s="5">
        <v>69.5</v>
      </c>
      <c r="E79" s="3" t="s">
        <v>5434</v>
      </c>
      <c r="F79" s="2" t="s">
        <v>111</v>
      </c>
      <c r="G79" s="6" t="s">
        <v>336</v>
      </c>
      <c r="H79" s="2" t="s">
        <v>127</v>
      </c>
      <c r="I79" s="2" t="s">
        <v>128</v>
      </c>
      <c r="J79" s="2" t="s">
        <v>19</v>
      </c>
      <c r="K79" s="2" t="s">
        <v>409</v>
      </c>
      <c r="L79" s="7" t="str">
        <f>HYPERLINK("http://slimages.macys.com/is/image/MCY/10000265 ")</f>
        <v xml:space="preserve">http://slimages.macys.com/is/image/MCY/10000265 </v>
      </c>
    </row>
    <row r="80" spans="1:12" ht="24.75" x14ac:dyDescent="0.25">
      <c r="A80" s="4" t="s">
        <v>7881</v>
      </c>
      <c r="B80" s="2" t="s">
        <v>5548</v>
      </c>
      <c r="C80" s="3">
        <v>1</v>
      </c>
      <c r="D80" s="5">
        <v>48.38</v>
      </c>
      <c r="E80" s="3" t="s">
        <v>7882</v>
      </c>
      <c r="F80" s="2" t="s">
        <v>413</v>
      </c>
      <c r="G80" s="6" t="s">
        <v>2276</v>
      </c>
      <c r="H80" s="2" t="s">
        <v>349</v>
      </c>
      <c r="I80" s="2" t="s">
        <v>285</v>
      </c>
      <c r="J80" s="2" t="s">
        <v>19</v>
      </c>
      <c r="K80" s="2" t="s">
        <v>323</v>
      </c>
      <c r="L80" s="7" t="str">
        <f>HYPERLINK("http://slimages.macys.com/is/image/MCY/12337267 ")</f>
        <v xml:space="preserve">http://slimages.macys.com/is/image/MCY/12337267 </v>
      </c>
    </row>
    <row r="81" spans="1:12" ht="24.75" x14ac:dyDescent="0.25">
      <c r="A81" s="4" t="s">
        <v>7883</v>
      </c>
      <c r="B81" s="2" t="s">
        <v>3393</v>
      </c>
      <c r="C81" s="3">
        <v>1</v>
      </c>
      <c r="D81" s="5">
        <v>48.38</v>
      </c>
      <c r="E81" s="3" t="s">
        <v>3394</v>
      </c>
      <c r="F81" s="2" t="s">
        <v>252</v>
      </c>
      <c r="G81" s="6" t="s">
        <v>106</v>
      </c>
      <c r="H81" s="2" t="s">
        <v>213</v>
      </c>
      <c r="I81" s="2" t="s">
        <v>214</v>
      </c>
      <c r="J81" s="2" t="s">
        <v>19</v>
      </c>
      <c r="K81" s="2" t="s">
        <v>353</v>
      </c>
      <c r="L81" s="7" t="str">
        <f>HYPERLINK("http://slimages.macys.com/is/image/MCY/11503421 ")</f>
        <v xml:space="preserve">http://slimages.macys.com/is/image/MCY/11503421 </v>
      </c>
    </row>
    <row r="82" spans="1:12" ht="24.75" x14ac:dyDescent="0.25">
      <c r="A82" s="4" t="s">
        <v>7884</v>
      </c>
      <c r="B82" s="2" t="s">
        <v>6382</v>
      </c>
      <c r="C82" s="3">
        <v>1</v>
      </c>
      <c r="D82" s="5">
        <v>48.65</v>
      </c>
      <c r="E82" s="3" t="s">
        <v>6383</v>
      </c>
      <c r="F82" s="2" t="s">
        <v>180</v>
      </c>
      <c r="G82" s="6" t="s">
        <v>156</v>
      </c>
      <c r="H82" s="2" t="s">
        <v>182</v>
      </c>
      <c r="I82" s="2" t="s">
        <v>183</v>
      </c>
      <c r="J82" s="2" t="s">
        <v>19</v>
      </c>
      <c r="K82" s="2" t="s">
        <v>34</v>
      </c>
      <c r="L82" s="7" t="str">
        <f>HYPERLINK("http://slimages.macys.com/is/image/MCY/12938373 ")</f>
        <v xml:space="preserve">http://slimages.macys.com/is/image/MCY/12938373 </v>
      </c>
    </row>
    <row r="83" spans="1:12" ht="24.75" x14ac:dyDescent="0.25">
      <c r="A83" s="4" t="s">
        <v>4510</v>
      </c>
      <c r="B83" s="2" t="s">
        <v>4511</v>
      </c>
      <c r="C83" s="3">
        <v>1</v>
      </c>
      <c r="D83" s="5">
        <v>49</v>
      </c>
      <c r="E83" s="3" t="s">
        <v>4512</v>
      </c>
      <c r="F83" s="2" t="s">
        <v>89</v>
      </c>
      <c r="G83" s="6" t="s">
        <v>245</v>
      </c>
      <c r="H83" s="2" t="s">
        <v>95</v>
      </c>
      <c r="I83" s="2" t="s">
        <v>96</v>
      </c>
      <c r="J83" s="2" t="s">
        <v>19</v>
      </c>
      <c r="K83" s="2" t="s">
        <v>160</v>
      </c>
      <c r="L83" s="7" t="str">
        <f>HYPERLINK("http://slimages.macys.com/is/image/MCY/13292520 ")</f>
        <v xml:space="preserve">http://slimages.macys.com/is/image/MCY/13292520 </v>
      </c>
    </row>
    <row r="84" spans="1:12" ht="36.75" x14ac:dyDescent="0.25">
      <c r="A84" s="4" t="s">
        <v>2257</v>
      </c>
      <c r="B84" s="2" t="s">
        <v>2258</v>
      </c>
      <c r="C84" s="3">
        <v>1</v>
      </c>
      <c r="D84" s="5">
        <v>48.38</v>
      </c>
      <c r="E84" s="3" t="s">
        <v>2259</v>
      </c>
      <c r="F84" s="2" t="s">
        <v>170</v>
      </c>
      <c r="G84" s="6"/>
      <c r="H84" s="2" t="s">
        <v>349</v>
      </c>
      <c r="I84" s="2" t="s">
        <v>285</v>
      </c>
      <c r="J84" s="2" t="s">
        <v>19</v>
      </c>
      <c r="K84" s="2" t="s">
        <v>274</v>
      </c>
      <c r="L84" s="7" t="str">
        <f>HYPERLINK("http://slimages.macys.com/is/image/MCY/12077754 ")</f>
        <v xml:space="preserve">http://slimages.macys.com/is/image/MCY/12077754 </v>
      </c>
    </row>
    <row r="85" spans="1:12" ht="36.75" x14ac:dyDescent="0.25">
      <c r="A85" s="4" t="s">
        <v>7885</v>
      </c>
      <c r="B85" s="2" t="s">
        <v>2258</v>
      </c>
      <c r="C85" s="3">
        <v>2</v>
      </c>
      <c r="D85" s="5">
        <v>48.38</v>
      </c>
      <c r="E85" s="3" t="s">
        <v>2259</v>
      </c>
      <c r="F85" s="2" t="s">
        <v>170</v>
      </c>
      <c r="G85" s="6" t="s">
        <v>2276</v>
      </c>
      <c r="H85" s="2" t="s">
        <v>349</v>
      </c>
      <c r="I85" s="2" t="s">
        <v>285</v>
      </c>
      <c r="J85" s="2" t="s">
        <v>19</v>
      </c>
      <c r="K85" s="2" t="s">
        <v>274</v>
      </c>
      <c r="L85" s="7" t="str">
        <f>HYPERLINK("http://slimages.macys.com/is/image/MCY/12077754 ")</f>
        <v xml:space="preserve">http://slimages.macys.com/is/image/MCY/12077754 </v>
      </c>
    </row>
    <row r="86" spans="1:12" ht="24.75" x14ac:dyDescent="0.25">
      <c r="A86" s="4" t="s">
        <v>7886</v>
      </c>
      <c r="B86" s="2" t="s">
        <v>390</v>
      </c>
      <c r="C86" s="3">
        <v>1</v>
      </c>
      <c r="D86" s="5">
        <v>69.5</v>
      </c>
      <c r="E86" s="3">
        <v>100055524</v>
      </c>
      <c r="F86" s="2" t="s">
        <v>64</v>
      </c>
      <c r="G86" s="6" t="s">
        <v>39</v>
      </c>
      <c r="H86" s="2" t="s">
        <v>386</v>
      </c>
      <c r="I86" s="2" t="s">
        <v>391</v>
      </c>
      <c r="J86" s="2" t="s">
        <v>19</v>
      </c>
      <c r="K86" s="2" t="s">
        <v>392</v>
      </c>
      <c r="L86" s="7" t="str">
        <f>HYPERLINK("http://slimages.macys.com/is/image/MCY/11535527 ")</f>
        <v xml:space="preserve">http://slimages.macys.com/is/image/MCY/11535527 </v>
      </c>
    </row>
    <row r="87" spans="1:12" ht="24.75" x14ac:dyDescent="0.25">
      <c r="A87" s="4" t="s">
        <v>7887</v>
      </c>
      <c r="B87" s="2" t="s">
        <v>2185</v>
      </c>
      <c r="C87" s="3">
        <v>1</v>
      </c>
      <c r="D87" s="5">
        <v>59.63</v>
      </c>
      <c r="E87" s="3" t="s">
        <v>2186</v>
      </c>
      <c r="F87" s="2" t="s">
        <v>331</v>
      </c>
      <c r="G87" s="6" t="s">
        <v>219</v>
      </c>
      <c r="H87" s="2" t="s">
        <v>188</v>
      </c>
      <c r="I87" s="2" t="s">
        <v>214</v>
      </c>
      <c r="J87" s="2" t="s">
        <v>19</v>
      </c>
      <c r="K87" s="2" t="s">
        <v>253</v>
      </c>
      <c r="L87" s="7" t="str">
        <f>HYPERLINK("http://slimages.macys.com/is/image/MCY/8077966 ")</f>
        <v xml:space="preserve">http://slimages.macys.com/is/image/MCY/8077966 </v>
      </c>
    </row>
    <row r="88" spans="1:12" x14ac:dyDescent="0.25">
      <c r="A88" s="4" t="s">
        <v>7888</v>
      </c>
      <c r="B88" s="2" t="s">
        <v>4526</v>
      </c>
      <c r="C88" s="3">
        <v>1</v>
      </c>
      <c r="D88" s="5">
        <v>79.5</v>
      </c>
      <c r="E88" s="3" t="s">
        <v>4527</v>
      </c>
      <c r="F88" s="2" t="s">
        <v>15</v>
      </c>
      <c r="G88" s="6" t="s">
        <v>205</v>
      </c>
      <c r="H88" s="2" t="s">
        <v>206</v>
      </c>
      <c r="I88" s="2" t="s">
        <v>207</v>
      </c>
      <c r="J88" s="2" t="s">
        <v>19</v>
      </c>
      <c r="K88" s="2" t="s">
        <v>160</v>
      </c>
      <c r="L88" s="7" t="str">
        <f>HYPERLINK("http://slimages.macys.com/is/image/MCY/12953444 ")</f>
        <v xml:space="preserve">http://slimages.macys.com/is/image/MCY/12953444 </v>
      </c>
    </row>
    <row r="89" spans="1:12" ht="24.75" x14ac:dyDescent="0.25">
      <c r="A89" s="4" t="s">
        <v>7889</v>
      </c>
      <c r="B89" s="2" t="s">
        <v>2268</v>
      </c>
      <c r="C89" s="3">
        <v>4</v>
      </c>
      <c r="D89" s="5">
        <v>44.63</v>
      </c>
      <c r="E89" s="3" t="s">
        <v>2269</v>
      </c>
      <c r="F89" s="2" t="s">
        <v>94</v>
      </c>
      <c r="G89" s="6" t="s">
        <v>2276</v>
      </c>
      <c r="H89" s="2" t="s">
        <v>349</v>
      </c>
      <c r="I89" s="2" t="s">
        <v>285</v>
      </c>
      <c r="J89" s="2" t="s">
        <v>19</v>
      </c>
      <c r="K89" s="2" t="s">
        <v>160</v>
      </c>
      <c r="L89" s="7" t="str">
        <f>HYPERLINK("http://slimages.macys.com/is/image/MCY/13039993 ")</f>
        <v xml:space="preserve">http://slimages.macys.com/is/image/MCY/13039993 </v>
      </c>
    </row>
    <row r="90" spans="1:12" ht="24.75" x14ac:dyDescent="0.25">
      <c r="A90" s="4" t="s">
        <v>4537</v>
      </c>
      <c r="B90" s="2" t="s">
        <v>2268</v>
      </c>
      <c r="C90" s="3">
        <v>4</v>
      </c>
      <c r="D90" s="5">
        <v>44.63</v>
      </c>
      <c r="E90" s="3" t="s">
        <v>2269</v>
      </c>
      <c r="F90" s="2" t="s">
        <v>94</v>
      </c>
      <c r="G90" s="6" t="s">
        <v>746</v>
      </c>
      <c r="H90" s="2" t="s">
        <v>349</v>
      </c>
      <c r="I90" s="2" t="s">
        <v>285</v>
      </c>
      <c r="J90" s="2" t="s">
        <v>19</v>
      </c>
      <c r="K90" s="2" t="s">
        <v>160</v>
      </c>
      <c r="L90" s="7" t="str">
        <f>HYPERLINK("http://slimages.macys.com/is/image/MCY/13039993 ")</f>
        <v xml:space="preserve">http://slimages.macys.com/is/image/MCY/13039993 </v>
      </c>
    </row>
    <row r="91" spans="1:12" ht="24.75" x14ac:dyDescent="0.25">
      <c r="A91" s="4" t="s">
        <v>2267</v>
      </c>
      <c r="B91" s="2" t="s">
        <v>2268</v>
      </c>
      <c r="C91" s="3">
        <v>2</v>
      </c>
      <c r="D91" s="5">
        <v>44.63</v>
      </c>
      <c r="E91" s="3" t="s">
        <v>2269</v>
      </c>
      <c r="F91" s="2" t="s">
        <v>94</v>
      </c>
      <c r="G91" s="6" t="s">
        <v>348</v>
      </c>
      <c r="H91" s="2" t="s">
        <v>349</v>
      </c>
      <c r="I91" s="2" t="s">
        <v>285</v>
      </c>
      <c r="J91" s="2" t="s">
        <v>19</v>
      </c>
      <c r="K91" s="2" t="s">
        <v>160</v>
      </c>
      <c r="L91" s="7" t="str">
        <f>HYPERLINK("http://slimages.macys.com/is/image/MCY/13039993 ")</f>
        <v xml:space="preserve">http://slimages.macys.com/is/image/MCY/13039993 </v>
      </c>
    </row>
    <row r="92" spans="1:12" ht="24.75" x14ac:dyDescent="0.25">
      <c r="A92" s="4" t="s">
        <v>3403</v>
      </c>
      <c r="B92" s="2" t="s">
        <v>2268</v>
      </c>
      <c r="C92" s="3">
        <v>2</v>
      </c>
      <c r="D92" s="5">
        <v>44.63</v>
      </c>
      <c r="E92" s="3" t="s">
        <v>2269</v>
      </c>
      <c r="F92" s="2" t="s">
        <v>94</v>
      </c>
      <c r="G92" s="6"/>
      <c r="H92" s="2" t="s">
        <v>349</v>
      </c>
      <c r="I92" s="2" t="s">
        <v>285</v>
      </c>
      <c r="J92" s="2" t="s">
        <v>19</v>
      </c>
      <c r="K92" s="2" t="s">
        <v>160</v>
      </c>
      <c r="L92" s="7" t="str">
        <f>HYPERLINK("http://slimages.macys.com/is/image/MCY/13039993 ")</f>
        <v xml:space="preserve">http://slimages.macys.com/is/image/MCY/13039993 </v>
      </c>
    </row>
    <row r="93" spans="1:12" ht="36.75" x14ac:dyDescent="0.25">
      <c r="A93" s="4" t="s">
        <v>7890</v>
      </c>
      <c r="B93" s="2" t="s">
        <v>2278</v>
      </c>
      <c r="C93" s="3">
        <v>1</v>
      </c>
      <c r="D93" s="5">
        <v>44.5</v>
      </c>
      <c r="E93" s="3" t="s">
        <v>2279</v>
      </c>
      <c r="F93" s="2" t="s">
        <v>252</v>
      </c>
      <c r="G93" s="6" t="s">
        <v>181</v>
      </c>
      <c r="H93" s="2" t="s">
        <v>194</v>
      </c>
      <c r="I93" s="2" t="s">
        <v>195</v>
      </c>
      <c r="J93" s="2" t="s">
        <v>19</v>
      </c>
      <c r="K93" s="2" t="s">
        <v>2280</v>
      </c>
      <c r="L93" s="7" t="str">
        <f>HYPERLINK("http://slimages.macys.com/is/image/MCY/11804478 ")</f>
        <v xml:space="preserve">http://slimages.macys.com/is/image/MCY/11804478 </v>
      </c>
    </row>
    <row r="94" spans="1:12" ht="24.75" x14ac:dyDescent="0.25">
      <c r="A94" s="4" t="s">
        <v>5479</v>
      </c>
      <c r="B94" s="2" t="s">
        <v>492</v>
      </c>
      <c r="C94" s="3">
        <v>1</v>
      </c>
      <c r="D94" s="5">
        <v>44.5</v>
      </c>
      <c r="E94" s="3" t="s">
        <v>493</v>
      </c>
      <c r="F94" s="2" t="s">
        <v>494</v>
      </c>
      <c r="G94" s="6" t="s">
        <v>200</v>
      </c>
      <c r="H94" s="2" t="s">
        <v>194</v>
      </c>
      <c r="I94" s="2" t="s">
        <v>195</v>
      </c>
      <c r="J94" s="2" t="s">
        <v>19</v>
      </c>
      <c r="K94" s="2" t="s">
        <v>495</v>
      </c>
      <c r="L94" s="7" t="str">
        <f>HYPERLINK("http://slimages.macys.com/is/image/MCY/11937857 ")</f>
        <v xml:space="preserve">http://slimages.macys.com/is/image/MCY/11937857 </v>
      </c>
    </row>
    <row r="95" spans="1:12" ht="24.75" x14ac:dyDescent="0.25">
      <c r="A95" s="4" t="s">
        <v>5482</v>
      </c>
      <c r="B95" s="2" t="s">
        <v>2290</v>
      </c>
      <c r="C95" s="3">
        <v>1</v>
      </c>
      <c r="D95" s="5">
        <v>44.63</v>
      </c>
      <c r="E95" s="3" t="s">
        <v>2291</v>
      </c>
      <c r="F95" s="2" t="s">
        <v>26</v>
      </c>
      <c r="G95" s="6" t="s">
        <v>154</v>
      </c>
      <c r="H95" s="2" t="s">
        <v>284</v>
      </c>
      <c r="I95" s="2" t="s">
        <v>285</v>
      </c>
      <c r="J95" s="2" t="s">
        <v>19</v>
      </c>
      <c r="K95" s="2" t="s">
        <v>160</v>
      </c>
      <c r="L95" s="7" t="str">
        <f>HYPERLINK("http://slimages.macys.com/is/image/MCY/12271124 ")</f>
        <v xml:space="preserve">http://slimages.macys.com/is/image/MCY/12271124 </v>
      </c>
    </row>
    <row r="96" spans="1:12" ht="24.75" x14ac:dyDescent="0.25">
      <c r="A96" s="4" t="s">
        <v>4560</v>
      </c>
      <c r="B96" s="2" t="s">
        <v>2290</v>
      </c>
      <c r="C96" s="3">
        <v>1</v>
      </c>
      <c r="D96" s="5">
        <v>44.63</v>
      </c>
      <c r="E96" s="3" t="s">
        <v>2291</v>
      </c>
      <c r="F96" s="2" t="s">
        <v>26</v>
      </c>
      <c r="G96" s="6" t="s">
        <v>156</v>
      </c>
      <c r="H96" s="2" t="s">
        <v>284</v>
      </c>
      <c r="I96" s="2" t="s">
        <v>285</v>
      </c>
      <c r="J96" s="2" t="s">
        <v>19</v>
      </c>
      <c r="K96" s="2" t="s">
        <v>160</v>
      </c>
      <c r="L96" s="7" t="str">
        <f>HYPERLINK("http://slimages.macys.com/is/image/MCY/12271124 ")</f>
        <v xml:space="preserve">http://slimages.macys.com/is/image/MCY/12271124 </v>
      </c>
    </row>
    <row r="97" spans="1:12" ht="24.75" x14ac:dyDescent="0.25">
      <c r="A97" s="4" t="s">
        <v>7891</v>
      </c>
      <c r="B97" s="2" t="s">
        <v>7892</v>
      </c>
      <c r="C97" s="3">
        <v>1</v>
      </c>
      <c r="D97" s="5">
        <v>51.5</v>
      </c>
      <c r="E97" s="3" t="s">
        <v>7893</v>
      </c>
      <c r="F97" s="2" t="s">
        <v>572</v>
      </c>
      <c r="G97" s="6"/>
      <c r="H97" s="2" t="s">
        <v>188</v>
      </c>
      <c r="I97" s="2" t="s">
        <v>189</v>
      </c>
      <c r="J97" s="2" t="s">
        <v>19</v>
      </c>
      <c r="K97" s="2" t="s">
        <v>3423</v>
      </c>
      <c r="L97" s="7" t="str">
        <f>HYPERLINK("http://slimages.macys.com/is/image/MCY/10891750 ")</f>
        <v xml:space="preserve">http://slimages.macys.com/is/image/MCY/10891750 </v>
      </c>
    </row>
    <row r="98" spans="1:12" ht="24.75" x14ac:dyDescent="0.25">
      <c r="A98" s="4" t="s">
        <v>7894</v>
      </c>
      <c r="B98" s="2" t="s">
        <v>2295</v>
      </c>
      <c r="C98" s="3">
        <v>1</v>
      </c>
      <c r="D98" s="5">
        <v>40.880000000000003</v>
      </c>
      <c r="E98" s="3" t="s">
        <v>2296</v>
      </c>
      <c r="F98" s="2" t="s">
        <v>26</v>
      </c>
      <c r="G98" s="6" t="s">
        <v>154</v>
      </c>
      <c r="H98" s="2" t="s">
        <v>284</v>
      </c>
      <c r="I98" s="2" t="s">
        <v>408</v>
      </c>
      <c r="J98" s="2" t="s">
        <v>19</v>
      </c>
      <c r="K98" s="2" t="s">
        <v>409</v>
      </c>
      <c r="L98" s="7" t="str">
        <f>HYPERLINK("http://slimages.macys.com/is/image/MCY/12807933 ")</f>
        <v xml:space="preserve">http://slimages.macys.com/is/image/MCY/12807933 </v>
      </c>
    </row>
    <row r="99" spans="1:12" ht="36.75" x14ac:dyDescent="0.25">
      <c r="A99" s="4" t="s">
        <v>507</v>
      </c>
      <c r="B99" s="2" t="s">
        <v>502</v>
      </c>
      <c r="C99" s="3">
        <v>1</v>
      </c>
      <c r="D99" s="5">
        <v>40.880000000000003</v>
      </c>
      <c r="E99" s="3">
        <v>100047671</v>
      </c>
      <c r="F99" s="2" t="s">
        <v>79</v>
      </c>
      <c r="G99" s="6" t="s">
        <v>16</v>
      </c>
      <c r="H99" s="2" t="s">
        <v>194</v>
      </c>
      <c r="I99" s="2" t="s">
        <v>503</v>
      </c>
      <c r="J99" s="2" t="s">
        <v>19</v>
      </c>
      <c r="K99" s="2" t="s">
        <v>504</v>
      </c>
      <c r="L99" s="7" t="str">
        <f>HYPERLINK("http://slimages.macys.com/is/image/MCY/11937756 ")</f>
        <v xml:space="preserve">http://slimages.macys.com/is/image/MCY/11937756 </v>
      </c>
    </row>
    <row r="100" spans="1:12" ht="24.75" x14ac:dyDescent="0.25">
      <c r="A100" s="4" t="s">
        <v>3433</v>
      </c>
      <c r="B100" s="2" t="s">
        <v>551</v>
      </c>
      <c r="C100" s="3">
        <v>1</v>
      </c>
      <c r="D100" s="5">
        <v>48</v>
      </c>
      <c r="E100" s="3" t="s">
        <v>3434</v>
      </c>
      <c r="F100" s="2" t="s">
        <v>26</v>
      </c>
      <c r="G100" s="6"/>
      <c r="H100" s="2" t="s">
        <v>426</v>
      </c>
      <c r="I100" s="2" t="s">
        <v>229</v>
      </c>
      <c r="J100" s="2" t="s">
        <v>19</v>
      </c>
      <c r="K100" s="2" t="s">
        <v>353</v>
      </c>
      <c r="L100" s="7" t="str">
        <f>HYPERLINK("http://slimages.macys.com/is/image/MCY/11935431 ")</f>
        <v xml:space="preserve">http://slimages.macys.com/is/image/MCY/11935431 </v>
      </c>
    </row>
    <row r="101" spans="1:12" ht="24.75" x14ac:dyDescent="0.25">
      <c r="A101" s="4" t="s">
        <v>7895</v>
      </c>
      <c r="B101" s="2" t="s">
        <v>7896</v>
      </c>
      <c r="C101" s="3">
        <v>1</v>
      </c>
      <c r="D101" s="5">
        <v>59.5</v>
      </c>
      <c r="E101" s="3" t="s">
        <v>7897</v>
      </c>
      <c r="F101" s="2" t="s">
        <v>74</v>
      </c>
      <c r="G101" s="6"/>
      <c r="H101" s="2" t="s">
        <v>127</v>
      </c>
      <c r="I101" s="2" t="s">
        <v>128</v>
      </c>
      <c r="J101" s="2" t="s">
        <v>19</v>
      </c>
      <c r="K101" s="2" t="s">
        <v>7061</v>
      </c>
      <c r="L101" s="7" t="str">
        <f>HYPERLINK("http://slimages.macys.com/is/image/MCY/13289969 ")</f>
        <v xml:space="preserve">http://slimages.macys.com/is/image/MCY/13289969 </v>
      </c>
    </row>
    <row r="102" spans="1:12" ht="24.75" x14ac:dyDescent="0.25">
      <c r="A102" s="4" t="s">
        <v>7898</v>
      </c>
      <c r="B102" s="2" t="s">
        <v>5488</v>
      </c>
      <c r="C102" s="3">
        <v>1</v>
      </c>
      <c r="D102" s="5">
        <v>44.63</v>
      </c>
      <c r="E102" s="3" t="s">
        <v>5489</v>
      </c>
      <c r="F102" s="2" t="s">
        <v>111</v>
      </c>
      <c r="G102" s="6" t="s">
        <v>234</v>
      </c>
      <c r="H102" s="2" t="s">
        <v>194</v>
      </c>
      <c r="I102" s="2" t="s">
        <v>195</v>
      </c>
      <c r="J102" s="2" t="s">
        <v>19</v>
      </c>
      <c r="K102" s="2" t="s">
        <v>5490</v>
      </c>
      <c r="L102" s="7" t="str">
        <f>HYPERLINK("http://slimages.macys.com/is/image/MCY/12667985 ")</f>
        <v xml:space="preserve">http://slimages.macys.com/is/image/MCY/12667985 </v>
      </c>
    </row>
    <row r="103" spans="1:12" ht="24.75" x14ac:dyDescent="0.25">
      <c r="A103" s="4" t="s">
        <v>6372</v>
      </c>
      <c r="B103" s="2" t="s">
        <v>4572</v>
      </c>
      <c r="C103" s="3">
        <v>2</v>
      </c>
      <c r="D103" s="5">
        <v>48.38</v>
      </c>
      <c r="E103" s="3" t="s">
        <v>4573</v>
      </c>
      <c r="F103" s="2" t="s">
        <v>64</v>
      </c>
      <c r="G103" s="6"/>
      <c r="H103" s="2" t="s">
        <v>188</v>
      </c>
      <c r="I103" s="2" t="s">
        <v>189</v>
      </c>
      <c r="J103" s="2" t="s">
        <v>19</v>
      </c>
      <c r="K103" s="2" t="s">
        <v>4574</v>
      </c>
      <c r="L103" s="7" t="str">
        <f>HYPERLINK("http://slimages.macys.com/is/image/MCY/12894516 ")</f>
        <v xml:space="preserve">http://slimages.macys.com/is/image/MCY/12894516 </v>
      </c>
    </row>
    <row r="104" spans="1:12" ht="24.75" x14ac:dyDescent="0.25">
      <c r="A104" s="4" t="s">
        <v>4571</v>
      </c>
      <c r="B104" s="2" t="s">
        <v>4572</v>
      </c>
      <c r="C104" s="3">
        <v>1</v>
      </c>
      <c r="D104" s="5">
        <v>48.38</v>
      </c>
      <c r="E104" s="3" t="s">
        <v>4573</v>
      </c>
      <c r="F104" s="2" t="s">
        <v>64</v>
      </c>
      <c r="G104" s="6"/>
      <c r="H104" s="2" t="s">
        <v>188</v>
      </c>
      <c r="I104" s="2" t="s">
        <v>189</v>
      </c>
      <c r="J104" s="2" t="s">
        <v>19</v>
      </c>
      <c r="K104" s="2" t="s">
        <v>4574</v>
      </c>
      <c r="L104" s="7" t="str">
        <f>HYPERLINK("http://slimages.macys.com/is/image/MCY/12894516 ")</f>
        <v xml:space="preserve">http://slimages.macys.com/is/image/MCY/12894516 </v>
      </c>
    </row>
    <row r="105" spans="1:12" ht="24.75" x14ac:dyDescent="0.25">
      <c r="A105" s="4" t="s">
        <v>7899</v>
      </c>
      <c r="B105" s="2" t="s">
        <v>7900</v>
      </c>
      <c r="C105" s="3">
        <v>1</v>
      </c>
      <c r="D105" s="5">
        <v>44.63</v>
      </c>
      <c r="E105" s="3" t="s">
        <v>7901</v>
      </c>
      <c r="F105" s="2" t="s">
        <v>26</v>
      </c>
      <c r="G105" s="6" t="s">
        <v>181</v>
      </c>
      <c r="H105" s="2" t="s">
        <v>246</v>
      </c>
      <c r="I105" s="2" t="s">
        <v>189</v>
      </c>
      <c r="J105" s="2" t="s">
        <v>19</v>
      </c>
      <c r="K105" s="2" t="s">
        <v>701</v>
      </c>
      <c r="L105" s="7" t="str">
        <f>HYPERLINK("http://slimages.macys.com/is/image/MCY/14356378 ")</f>
        <v xml:space="preserve">http://slimages.macys.com/is/image/MCY/14356378 </v>
      </c>
    </row>
    <row r="106" spans="1:12" ht="24.75" x14ac:dyDescent="0.25">
      <c r="A106" s="4" t="s">
        <v>7902</v>
      </c>
      <c r="B106" s="2" t="s">
        <v>7903</v>
      </c>
      <c r="C106" s="3">
        <v>1</v>
      </c>
      <c r="D106" s="5">
        <v>52.13</v>
      </c>
      <c r="E106" s="3" t="s">
        <v>7904</v>
      </c>
      <c r="F106" s="2" t="s">
        <v>1584</v>
      </c>
      <c r="G106" s="6"/>
      <c r="H106" s="2" t="s">
        <v>349</v>
      </c>
      <c r="I106" s="2" t="s">
        <v>285</v>
      </c>
      <c r="J106" s="2" t="s">
        <v>19</v>
      </c>
      <c r="K106" s="2" t="s">
        <v>75</v>
      </c>
      <c r="L106" s="7" t="str">
        <f>HYPERLINK("http://slimages.macys.com/is/image/MCY/13761882 ")</f>
        <v xml:space="preserve">http://slimages.macys.com/is/image/MCY/13761882 </v>
      </c>
    </row>
    <row r="107" spans="1:12" ht="24.75" x14ac:dyDescent="0.25">
      <c r="A107" s="4" t="s">
        <v>7905</v>
      </c>
      <c r="B107" s="2" t="s">
        <v>7906</v>
      </c>
      <c r="C107" s="3">
        <v>1</v>
      </c>
      <c r="D107" s="5">
        <v>47.5</v>
      </c>
      <c r="E107" s="3">
        <v>100050012</v>
      </c>
      <c r="F107" s="2" t="s">
        <v>225</v>
      </c>
      <c r="G107" s="6" t="s">
        <v>22</v>
      </c>
      <c r="H107" s="2" t="s">
        <v>228</v>
      </c>
      <c r="I107" s="2" t="s">
        <v>229</v>
      </c>
      <c r="J107" s="2" t="s">
        <v>19</v>
      </c>
      <c r="K107" s="2" t="s">
        <v>230</v>
      </c>
      <c r="L107" s="7" t="str">
        <f>HYPERLINK("http://slimages.macys.com/is/image/MCY/11268623 ")</f>
        <v xml:space="preserve">http://slimages.macys.com/is/image/MCY/11268623 </v>
      </c>
    </row>
    <row r="108" spans="1:12" ht="24.75" x14ac:dyDescent="0.25">
      <c r="A108" s="4" t="s">
        <v>7907</v>
      </c>
      <c r="B108" s="2" t="s">
        <v>7906</v>
      </c>
      <c r="C108" s="3">
        <v>1</v>
      </c>
      <c r="D108" s="5">
        <v>47.5</v>
      </c>
      <c r="E108" s="3">
        <v>100050012</v>
      </c>
      <c r="F108" s="2" t="s">
        <v>225</v>
      </c>
      <c r="G108" s="6" t="s">
        <v>16</v>
      </c>
      <c r="H108" s="2" t="s">
        <v>228</v>
      </c>
      <c r="I108" s="2" t="s">
        <v>229</v>
      </c>
      <c r="J108" s="2" t="s">
        <v>19</v>
      </c>
      <c r="K108" s="2" t="s">
        <v>230</v>
      </c>
      <c r="L108" s="7" t="str">
        <f>HYPERLINK("http://slimages.macys.com/is/image/MCY/11268623 ")</f>
        <v xml:space="preserve">http://slimages.macys.com/is/image/MCY/11268623 </v>
      </c>
    </row>
    <row r="109" spans="1:12" ht="36.75" x14ac:dyDescent="0.25">
      <c r="A109" s="4" t="s">
        <v>2311</v>
      </c>
      <c r="B109" s="2" t="s">
        <v>519</v>
      </c>
      <c r="C109" s="3">
        <v>1</v>
      </c>
      <c r="D109" s="5">
        <v>44.63</v>
      </c>
      <c r="E109" s="3" t="s">
        <v>520</v>
      </c>
      <c r="F109" s="2" t="s">
        <v>26</v>
      </c>
      <c r="G109" s="6" t="s">
        <v>156</v>
      </c>
      <c r="H109" s="2" t="s">
        <v>194</v>
      </c>
      <c r="I109" s="2" t="s">
        <v>195</v>
      </c>
      <c r="J109" s="2" t="s">
        <v>19</v>
      </c>
      <c r="K109" s="2" t="s">
        <v>521</v>
      </c>
      <c r="L109" s="7" t="str">
        <f>HYPERLINK("http://slimages.macys.com/is/image/MCY/12279320 ")</f>
        <v xml:space="preserve">http://slimages.macys.com/is/image/MCY/12279320 </v>
      </c>
    </row>
    <row r="110" spans="1:12" ht="36.75" x14ac:dyDescent="0.25">
      <c r="A110" s="4" t="s">
        <v>2309</v>
      </c>
      <c r="B110" s="2" t="s">
        <v>519</v>
      </c>
      <c r="C110" s="3">
        <v>1</v>
      </c>
      <c r="D110" s="5">
        <v>44.63</v>
      </c>
      <c r="E110" s="3" t="s">
        <v>520</v>
      </c>
      <c r="F110" s="2" t="s">
        <v>15</v>
      </c>
      <c r="G110" s="6" t="s">
        <v>181</v>
      </c>
      <c r="H110" s="2" t="s">
        <v>194</v>
      </c>
      <c r="I110" s="2" t="s">
        <v>195</v>
      </c>
      <c r="J110" s="2" t="s">
        <v>19</v>
      </c>
      <c r="K110" s="2" t="s">
        <v>521</v>
      </c>
      <c r="L110" s="7" t="str">
        <f>HYPERLINK("http://slimages.macys.com/is/image/MCY/12279320 ")</f>
        <v xml:space="preserve">http://slimages.macys.com/is/image/MCY/12279320 </v>
      </c>
    </row>
    <row r="111" spans="1:12" ht="36.75" x14ac:dyDescent="0.25">
      <c r="A111" s="4" t="s">
        <v>6373</v>
      </c>
      <c r="B111" s="2" t="s">
        <v>519</v>
      </c>
      <c r="C111" s="3">
        <v>1</v>
      </c>
      <c r="D111" s="5">
        <v>44.63</v>
      </c>
      <c r="E111" s="3" t="s">
        <v>520</v>
      </c>
      <c r="F111" s="2" t="s">
        <v>74</v>
      </c>
      <c r="G111" s="6" t="s">
        <v>181</v>
      </c>
      <c r="H111" s="2" t="s">
        <v>194</v>
      </c>
      <c r="I111" s="2" t="s">
        <v>195</v>
      </c>
      <c r="J111" s="2" t="s">
        <v>19</v>
      </c>
      <c r="K111" s="2" t="s">
        <v>521</v>
      </c>
      <c r="L111" s="7" t="str">
        <f>HYPERLINK("http://slimages.macys.com/is/image/MCY/12279325 ")</f>
        <v xml:space="preserve">http://slimages.macys.com/is/image/MCY/12279325 </v>
      </c>
    </row>
    <row r="112" spans="1:12" ht="36.75" x14ac:dyDescent="0.25">
      <c r="A112" s="4" t="s">
        <v>518</v>
      </c>
      <c r="B112" s="2" t="s">
        <v>519</v>
      </c>
      <c r="C112" s="3">
        <v>4</v>
      </c>
      <c r="D112" s="5">
        <v>44.63</v>
      </c>
      <c r="E112" s="3" t="s">
        <v>520</v>
      </c>
      <c r="F112" s="2" t="s">
        <v>26</v>
      </c>
      <c r="G112" s="6" t="s">
        <v>234</v>
      </c>
      <c r="H112" s="2" t="s">
        <v>194</v>
      </c>
      <c r="I112" s="2" t="s">
        <v>195</v>
      </c>
      <c r="J112" s="2" t="s">
        <v>19</v>
      </c>
      <c r="K112" s="2" t="s">
        <v>521</v>
      </c>
      <c r="L112" s="7" t="str">
        <f>HYPERLINK("http://slimages.macys.com/is/image/MCY/12279320 ")</f>
        <v xml:space="preserve">http://slimages.macys.com/is/image/MCY/12279320 </v>
      </c>
    </row>
    <row r="113" spans="1:12" ht="36.75" x14ac:dyDescent="0.25">
      <c r="A113" s="4" t="s">
        <v>6374</v>
      </c>
      <c r="B113" s="2" t="s">
        <v>519</v>
      </c>
      <c r="C113" s="3">
        <v>1</v>
      </c>
      <c r="D113" s="5">
        <v>44.63</v>
      </c>
      <c r="E113" s="3" t="s">
        <v>520</v>
      </c>
      <c r="F113" s="2" t="s">
        <v>74</v>
      </c>
      <c r="G113" s="6" t="s">
        <v>245</v>
      </c>
      <c r="H113" s="2" t="s">
        <v>194</v>
      </c>
      <c r="I113" s="2" t="s">
        <v>195</v>
      </c>
      <c r="J113" s="2" t="s">
        <v>19</v>
      </c>
      <c r="K113" s="2" t="s">
        <v>521</v>
      </c>
      <c r="L113" s="7" t="str">
        <f>HYPERLINK("http://slimages.macys.com/is/image/MCY/12279325 ")</f>
        <v xml:space="preserve">http://slimages.macys.com/is/image/MCY/12279325 </v>
      </c>
    </row>
    <row r="114" spans="1:12" ht="36.75" x14ac:dyDescent="0.25">
      <c r="A114" s="4" t="s">
        <v>2306</v>
      </c>
      <c r="B114" s="2" t="s">
        <v>519</v>
      </c>
      <c r="C114" s="3">
        <v>1</v>
      </c>
      <c r="D114" s="5">
        <v>44.63</v>
      </c>
      <c r="E114" s="3" t="s">
        <v>520</v>
      </c>
      <c r="F114" s="2" t="s">
        <v>26</v>
      </c>
      <c r="G114" s="6" t="s">
        <v>181</v>
      </c>
      <c r="H114" s="2" t="s">
        <v>194</v>
      </c>
      <c r="I114" s="2" t="s">
        <v>195</v>
      </c>
      <c r="J114" s="2" t="s">
        <v>19</v>
      </c>
      <c r="K114" s="2" t="s">
        <v>521</v>
      </c>
      <c r="L114" s="7" t="str">
        <f>HYPERLINK("http://slimages.macys.com/is/image/MCY/12279320 ")</f>
        <v xml:space="preserve">http://slimages.macys.com/is/image/MCY/12279320 </v>
      </c>
    </row>
    <row r="115" spans="1:12" ht="36.75" x14ac:dyDescent="0.25">
      <c r="A115" s="4" t="s">
        <v>3445</v>
      </c>
      <c r="B115" s="2" t="s">
        <v>519</v>
      </c>
      <c r="C115" s="3">
        <v>1</v>
      </c>
      <c r="D115" s="5">
        <v>44.63</v>
      </c>
      <c r="E115" s="3" t="s">
        <v>520</v>
      </c>
      <c r="F115" s="2" t="s">
        <v>15</v>
      </c>
      <c r="G115" s="6" t="s">
        <v>156</v>
      </c>
      <c r="H115" s="2" t="s">
        <v>194</v>
      </c>
      <c r="I115" s="2" t="s">
        <v>195</v>
      </c>
      <c r="J115" s="2" t="s">
        <v>19</v>
      </c>
      <c r="K115" s="2" t="s">
        <v>521</v>
      </c>
      <c r="L115" s="7" t="str">
        <f>HYPERLINK("http://slimages.macys.com/is/image/MCY/12279320 ")</f>
        <v xml:space="preserve">http://slimages.macys.com/is/image/MCY/12279320 </v>
      </c>
    </row>
    <row r="116" spans="1:12" ht="36.75" x14ac:dyDescent="0.25">
      <c r="A116" s="4" t="s">
        <v>2308</v>
      </c>
      <c r="B116" s="2" t="s">
        <v>519</v>
      </c>
      <c r="C116" s="3">
        <v>1</v>
      </c>
      <c r="D116" s="5">
        <v>44.63</v>
      </c>
      <c r="E116" s="3" t="s">
        <v>520</v>
      </c>
      <c r="F116" s="2" t="s">
        <v>74</v>
      </c>
      <c r="G116" s="6" t="s">
        <v>154</v>
      </c>
      <c r="H116" s="2" t="s">
        <v>194</v>
      </c>
      <c r="I116" s="2" t="s">
        <v>195</v>
      </c>
      <c r="J116" s="2" t="s">
        <v>19</v>
      </c>
      <c r="K116" s="2" t="s">
        <v>521</v>
      </c>
      <c r="L116" s="7" t="str">
        <f>HYPERLINK("http://slimages.macys.com/is/image/MCY/12279325 ")</f>
        <v xml:space="preserve">http://slimages.macys.com/is/image/MCY/12279325 </v>
      </c>
    </row>
    <row r="117" spans="1:12" ht="24.75" x14ac:dyDescent="0.25">
      <c r="A117" s="4" t="s">
        <v>7908</v>
      </c>
      <c r="B117" s="2" t="s">
        <v>7909</v>
      </c>
      <c r="C117" s="3">
        <v>1</v>
      </c>
      <c r="D117" s="5">
        <v>48</v>
      </c>
      <c r="E117" s="3">
        <v>100055663</v>
      </c>
      <c r="F117" s="2" t="s">
        <v>180</v>
      </c>
      <c r="G117" s="6" t="s">
        <v>22</v>
      </c>
      <c r="H117" s="2" t="s">
        <v>228</v>
      </c>
      <c r="I117" s="2" t="s">
        <v>229</v>
      </c>
      <c r="J117" s="2" t="s">
        <v>19</v>
      </c>
      <c r="K117" s="2" t="s">
        <v>253</v>
      </c>
      <c r="L117" s="7" t="str">
        <f>HYPERLINK("http://slimages.macys.com/is/image/MCY/12950319 ")</f>
        <v xml:space="preserve">http://slimages.macys.com/is/image/MCY/12950319 </v>
      </c>
    </row>
    <row r="118" spans="1:12" ht="24.75" x14ac:dyDescent="0.25">
      <c r="A118" s="4" t="s">
        <v>7910</v>
      </c>
      <c r="B118" s="2" t="s">
        <v>7909</v>
      </c>
      <c r="C118" s="3">
        <v>1</v>
      </c>
      <c r="D118" s="5">
        <v>48</v>
      </c>
      <c r="E118" s="3">
        <v>100055663</v>
      </c>
      <c r="F118" s="2" t="s">
        <v>180</v>
      </c>
      <c r="G118" s="6" t="s">
        <v>58</v>
      </c>
      <c r="H118" s="2" t="s">
        <v>228</v>
      </c>
      <c r="I118" s="2" t="s">
        <v>229</v>
      </c>
      <c r="J118" s="2" t="s">
        <v>19</v>
      </c>
      <c r="K118" s="2" t="s">
        <v>253</v>
      </c>
      <c r="L118" s="7" t="str">
        <f>HYPERLINK("http://slimages.macys.com/is/image/MCY/12950319 ")</f>
        <v xml:space="preserve">http://slimages.macys.com/is/image/MCY/12950319 </v>
      </c>
    </row>
    <row r="119" spans="1:12" ht="24.75" x14ac:dyDescent="0.25">
      <c r="A119" s="4" t="s">
        <v>7911</v>
      </c>
      <c r="B119" s="2" t="s">
        <v>4581</v>
      </c>
      <c r="C119" s="3">
        <v>1</v>
      </c>
      <c r="D119" s="5">
        <v>49</v>
      </c>
      <c r="E119" s="3" t="s">
        <v>4582</v>
      </c>
      <c r="F119" s="2" t="s">
        <v>15</v>
      </c>
      <c r="G119" s="6" t="s">
        <v>234</v>
      </c>
      <c r="H119" s="2" t="s">
        <v>17</v>
      </c>
      <c r="I119" s="2" t="s">
        <v>145</v>
      </c>
      <c r="J119" s="2" t="s">
        <v>19</v>
      </c>
      <c r="K119" s="2" t="s">
        <v>442</v>
      </c>
      <c r="L119" s="7" t="str">
        <f>HYPERLINK("http://slimages.macys.com/is/image/MCY/11690489 ")</f>
        <v xml:space="preserve">http://slimages.macys.com/is/image/MCY/11690489 </v>
      </c>
    </row>
    <row r="120" spans="1:12" ht="24.75" x14ac:dyDescent="0.25">
      <c r="A120" s="4" t="s">
        <v>3450</v>
      </c>
      <c r="B120" s="2" t="s">
        <v>527</v>
      </c>
      <c r="C120" s="3">
        <v>1</v>
      </c>
      <c r="D120" s="5">
        <v>48.38</v>
      </c>
      <c r="E120" s="3" t="s">
        <v>528</v>
      </c>
      <c r="F120" s="2" t="s">
        <v>417</v>
      </c>
      <c r="G120" s="6" t="s">
        <v>348</v>
      </c>
      <c r="H120" s="2" t="s">
        <v>349</v>
      </c>
      <c r="I120" s="2" t="s">
        <v>285</v>
      </c>
      <c r="J120" s="2" t="s">
        <v>19</v>
      </c>
      <c r="K120" s="2" t="s">
        <v>160</v>
      </c>
      <c r="L120" s="7" t="str">
        <f>HYPERLINK("http://slimages.macys.com/is/image/MCY/12715708 ")</f>
        <v xml:space="preserve">http://slimages.macys.com/is/image/MCY/12715708 </v>
      </c>
    </row>
    <row r="121" spans="1:12" x14ac:dyDescent="0.25">
      <c r="A121" s="4" t="s">
        <v>7912</v>
      </c>
      <c r="B121" s="2" t="s">
        <v>4585</v>
      </c>
      <c r="C121" s="3">
        <v>1</v>
      </c>
      <c r="D121" s="5">
        <v>48.38</v>
      </c>
      <c r="E121" s="3" t="s">
        <v>4586</v>
      </c>
      <c r="F121" s="2" t="s">
        <v>15</v>
      </c>
      <c r="G121" s="6" t="s">
        <v>746</v>
      </c>
      <c r="H121" s="2" t="s">
        <v>349</v>
      </c>
      <c r="I121" s="2" t="s">
        <v>285</v>
      </c>
      <c r="J121" s="2" t="s">
        <v>19</v>
      </c>
      <c r="K121" s="2" t="s">
        <v>201</v>
      </c>
      <c r="L121" s="7" t="str">
        <f>HYPERLINK("http://slimages.macys.com/is/image/MCY/9639881 ")</f>
        <v xml:space="preserve">http://slimages.macys.com/is/image/MCY/9639881 </v>
      </c>
    </row>
    <row r="122" spans="1:12" x14ac:dyDescent="0.25">
      <c r="A122" s="4" t="s">
        <v>7913</v>
      </c>
      <c r="B122" s="2" t="s">
        <v>4585</v>
      </c>
      <c r="C122" s="3">
        <v>2</v>
      </c>
      <c r="D122" s="5">
        <v>48.38</v>
      </c>
      <c r="E122" s="3" t="s">
        <v>4586</v>
      </c>
      <c r="F122" s="2" t="s">
        <v>15</v>
      </c>
      <c r="G122" s="6" t="s">
        <v>348</v>
      </c>
      <c r="H122" s="2" t="s">
        <v>349</v>
      </c>
      <c r="I122" s="2" t="s">
        <v>285</v>
      </c>
      <c r="J122" s="2" t="s">
        <v>19</v>
      </c>
      <c r="K122" s="2" t="s">
        <v>201</v>
      </c>
      <c r="L122" s="7" t="str">
        <f>HYPERLINK("http://slimages.macys.com/is/image/MCY/9639881 ")</f>
        <v xml:space="preserve">http://slimages.macys.com/is/image/MCY/9639881 </v>
      </c>
    </row>
    <row r="123" spans="1:12" ht="24.75" x14ac:dyDescent="0.25">
      <c r="A123" s="4" t="s">
        <v>3452</v>
      </c>
      <c r="B123" s="2" t="s">
        <v>530</v>
      </c>
      <c r="C123" s="3">
        <v>2</v>
      </c>
      <c r="D123" s="5">
        <v>44.63</v>
      </c>
      <c r="E123" s="3" t="s">
        <v>531</v>
      </c>
      <c r="F123" s="2" t="s">
        <v>532</v>
      </c>
      <c r="G123" s="6" t="s">
        <v>156</v>
      </c>
      <c r="H123" s="2" t="s">
        <v>194</v>
      </c>
      <c r="I123" s="2" t="s">
        <v>195</v>
      </c>
      <c r="J123" s="2" t="s">
        <v>19</v>
      </c>
      <c r="K123" s="2" t="s">
        <v>533</v>
      </c>
      <c r="L123" s="7" t="str">
        <f>HYPERLINK("http://slimages.macys.com/is/image/MCY/12316730 ")</f>
        <v xml:space="preserve">http://slimages.macys.com/is/image/MCY/12316730 </v>
      </c>
    </row>
    <row r="124" spans="1:12" ht="24.75" x14ac:dyDescent="0.25">
      <c r="A124" s="4" t="s">
        <v>529</v>
      </c>
      <c r="B124" s="2" t="s">
        <v>530</v>
      </c>
      <c r="C124" s="3">
        <v>4</v>
      </c>
      <c r="D124" s="5">
        <v>44.63</v>
      </c>
      <c r="E124" s="3" t="s">
        <v>531</v>
      </c>
      <c r="F124" s="2" t="s">
        <v>532</v>
      </c>
      <c r="G124" s="6" t="s">
        <v>181</v>
      </c>
      <c r="H124" s="2" t="s">
        <v>194</v>
      </c>
      <c r="I124" s="2" t="s">
        <v>195</v>
      </c>
      <c r="J124" s="2" t="s">
        <v>19</v>
      </c>
      <c r="K124" s="2" t="s">
        <v>533</v>
      </c>
      <c r="L124" s="7" t="str">
        <f>HYPERLINK("http://slimages.macys.com/is/image/MCY/12316730 ")</f>
        <v xml:space="preserve">http://slimages.macys.com/is/image/MCY/12316730 </v>
      </c>
    </row>
    <row r="125" spans="1:12" ht="24.75" x14ac:dyDescent="0.25">
      <c r="A125" s="4" t="s">
        <v>2315</v>
      </c>
      <c r="B125" s="2" t="s">
        <v>530</v>
      </c>
      <c r="C125" s="3">
        <v>1</v>
      </c>
      <c r="D125" s="5">
        <v>44.63</v>
      </c>
      <c r="E125" s="3" t="s">
        <v>531</v>
      </c>
      <c r="F125" s="2" t="s">
        <v>532</v>
      </c>
      <c r="G125" s="6" t="s">
        <v>234</v>
      </c>
      <c r="H125" s="2" t="s">
        <v>194</v>
      </c>
      <c r="I125" s="2" t="s">
        <v>195</v>
      </c>
      <c r="J125" s="2" t="s">
        <v>19</v>
      </c>
      <c r="K125" s="2" t="s">
        <v>533</v>
      </c>
      <c r="L125" s="7" t="str">
        <f>HYPERLINK("http://slimages.macys.com/is/image/MCY/12316730 ")</f>
        <v xml:space="preserve">http://slimages.macys.com/is/image/MCY/12316730 </v>
      </c>
    </row>
    <row r="126" spans="1:12" ht="24.75" x14ac:dyDescent="0.25">
      <c r="A126" s="4" t="s">
        <v>2324</v>
      </c>
      <c r="B126" s="2" t="s">
        <v>548</v>
      </c>
      <c r="C126" s="3">
        <v>2</v>
      </c>
      <c r="D126" s="5">
        <v>44.5</v>
      </c>
      <c r="E126" s="3" t="s">
        <v>549</v>
      </c>
      <c r="F126" s="2" t="s">
        <v>252</v>
      </c>
      <c r="G126" s="6" t="s">
        <v>154</v>
      </c>
      <c r="H126" s="2" t="s">
        <v>194</v>
      </c>
      <c r="I126" s="2" t="s">
        <v>195</v>
      </c>
      <c r="J126" s="2" t="s">
        <v>19</v>
      </c>
      <c r="K126" s="2" t="s">
        <v>34</v>
      </c>
      <c r="L126" s="7" t="str">
        <f>HYPERLINK("http://slimages.macys.com/is/image/MCY/11527016 ")</f>
        <v xml:space="preserve">http://slimages.macys.com/is/image/MCY/11527016 </v>
      </c>
    </row>
    <row r="127" spans="1:12" ht="24.75" x14ac:dyDescent="0.25">
      <c r="A127" s="4" t="s">
        <v>7914</v>
      </c>
      <c r="B127" s="2" t="s">
        <v>7915</v>
      </c>
      <c r="C127" s="3">
        <v>1</v>
      </c>
      <c r="D127" s="5">
        <v>48</v>
      </c>
      <c r="E127" s="3">
        <v>100055661</v>
      </c>
      <c r="F127" s="2" t="s">
        <v>89</v>
      </c>
      <c r="G127" s="6" t="s">
        <v>22</v>
      </c>
      <c r="H127" s="2" t="s">
        <v>228</v>
      </c>
      <c r="I127" s="2" t="s">
        <v>229</v>
      </c>
      <c r="J127" s="2" t="s">
        <v>19</v>
      </c>
      <c r="K127" s="2" t="s">
        <v>230</v>
      </c>
      <c r="L127" s="7" t="str">
        <f>HYPERLINK("http://slimages.macys.com/is/image/MCY/12849874 ")</f>
        <v xml:space="preserve">http://slimages.macys.com/is/image/MCY/12849874 </v>
      </c>
    </row>
    <row r="128" spans="1:12" ht="48.75" x14ac:dyDescent="0.25">
      <c r="A128" s="4" t="s">
        <v>550</v>
      </c>
      <c r="B128" s="2" t="s">
        <v>551</v>
      </c>
      <c r="C128" s="3">
        <v>1</v>
      </c>
      <c r="D128" s="5">
        <v>48</v>
      </c>
      <c r="E128" s="3">
        <v>100053418</v>
      </c>
      <c r="F128" s="2" t="s">
        <v>26</v>
      </c>
      <c r="G128" s="6" t="s">
        <v>154</v>
      </c>
      <c r="H128" s="2" t="s">
        <v>228</v>
      </c>
      <c r="I128" s="2" t="s">
        <v>229</v>
      </c>
      <c r="J128" s="2" t="s">
        <v>19</v>
      </c>
      <c r="K128" s="2" t="s">
        <v>552</v>
      </c>
      <c r="L128" s="7" t="str">
        <f>HYPERLINK("http://slimages.macys.com/is/image/MCY/12158587 ")</f>
        <v xml:space="preserve">http://slimages.macys.com/is/image/MCY/12158587 </v>
      </c>
    </row>
    <row r="129" spans="1:12" ht="48.75" x14ac:dyDescent="0.25">
      <c r="A129" s="4" t="s">
        <v>6380</v>
      </c>
      <c r="B129" s="2" t="s">
        <v>551</v>
      </c>
      <c r="C129" s="3">
        <v>1</v>
      </c>
      <c r="D129" s="5">
        <v>48</v>
      </c>
      <c r="E129" s="3">
        <v>100053418</v>
      </c>
      <c r="F129" s="2" t="s">
        <v>26</v>
      </c>
      <c r="G129" s="6" t="s">
        <v>181</v>
      </c>
      <c r="H129" s="2" t="s">
        <v>228</v>
      </c>
      <c r="I129" s="2" t="s">
        <v>229</v>
      </c>
      <c r="J129" s="2" t="s">
        <v>19</v>
      </c>
      <c r="K129" s="2" t="s">
        <v>552</v>
      </c>
      <c r="L129" s="7" t="str">
        <f>HYPERLINK("http://slimages.macys.com/is/image/MCY/12158587 ")</f>
        <v xml:space="preserve">http://slimages.macys.com/is/image/MCY/12158587 </v>
      </c>
    </row>
    <row r="130" spans="1:12" ht="48.75" x14ac:dyDescent="0.25">
      <c r="A130" s="4" t="s">
        <v>5501</v>
      </c>
      <c r="B130" s="2" t="s">
        <v>551</v>
      </c>
      <c r="C130" s="3">
        <v>1</v>
      </c>
      <c r="D130" s="5">
        <v>48</v>
      </c>
      <c r="E130" s="3">
        <v>100053418</v>
      </c>
      <c r="F130" s="2" t="s">
        <v>26</v>
      </c>
      <c r="G130" s="6" t="s">
        <v>234</v>
      </c>
      <c r="H130" s="2" t="s">
        <v>228</v>
      </c>
      <c r="I130" s="2" t="s">
        <v>229</v>
      </c>
      <c r="J130" s="2" t="s">
        <v>19</v>
      </c>
      <c r="K130" s="2" t="s">
        <v>552</v>
      </c>
      <c r="L130" s="7" t="str">
        <f>HYPERLINK("http://slimages.macys.com/is/image/MCY/12158587 ")</f>
        <v xml:space="preserve">http://slimages.macys.com/is/image/MCY/12158587 </v>
      </c>
    </row>
    <row r="131" spans="1:12" ht="48.75" x14ac:dyDescent="0.25">
      <c r="A131" s="4" t="s">
        <v>7916</v>
      </c>
      <c r="B131" s="2" t="s">
        <v>551</v>
      </c>
      <c r="C131" s="3">
        <v>1</v>
      </c>
      <c r="D131" s="5">
        <v>48</v>
      </c>
      <c r="E131" s="3">
        <v>100053418</v>
      </c>
      <c r="F131" s="2" t="s">
        <v>26</v>
      </c>
      <c r="G131" s="6" t="s">
        <v>200</v>
      </c>
      <c r="H131" s="2" t="s">
        <v>228</v>
      </c>
      <c r="I131" s="2" t="s">
        <v>229</v>
      </c>
      <c r="J131" s="2" t="s">
        <v>19</v>
      </c>
      <c r="K131" s="2" t="s">
        <v>552</v>
      </c>
      <c r="L131" s="7" t="str">
        <f>HYPERLINK("http://slimages.macys.com/is/image/MCY/12158587 ")</f>
        <v xml:space="preserve">http://slimages.macys.com/is/image/MCY/12158587 </v>
      </c>
    </row>
    <row r="132" spans="1:12" ht="24.75" x14ac:dyDescent="0.25">
      <c r="A132" s="4" t="s">
        <v>556</v>
      </c>
      <c r="B132" s="2" t="s">
        <v>557</v>
      </c>
      <c r="C132" s="3">
        <v>1</v>
      </c>
      <c r="D132" s="5">
        <v>79.5</v>
      </c>
      <c r="E132" s="3" t="s">
        <v>558</v>
      </c>
      <c r="F132" s="2" t="s">
        <v>464</v>
      </c>
      <c r="G132" s="6"/>
      <c r="H132" s="2" t="s">
        <v>206</v>
      </c>
      <c r="I132" s="2" t="s">
        <v>207</v>
      </c>
      <c r="J132" s="2" t="s">
        <v>19</v>
      </c>
      <c r="K132" s="2" t="s">
        <v>75</v>
      </c>
      <c r="L132" s="7" t="str">
        <f>HYPERLINK("http://slimages.macys.com/is/image/MCY/12953737 ")</f>
        <v xml:space="preserve">http://slimages.macys.com/is/image/MCY/12953737 </v>
      </c>
    </row>
    <row r="133" spans="1:12" ht="24.75" x14ac:dyDescent="0.25">
      <c r="A133" s="4" t="s">
        <v>7917</v>
      </c>
      <c r="B133" s="2" t="s">
        <v>7918</v>
      </c>
      <c r="C133" s="3">
        <v>1</v>
      </c>
      <c r="D133" s="5">
        <v>42.38</v>
      </c>
      <c r="E133" s="3" t="s">
        <v>7919</v>
      </c>
      <c r="F133" s="2" t="s">
        <v>33</v>
      </c>
      <c r="G133" s="6"/>
      <c r="H133" s="2" t="s">
        <v>312</v>
      </c>
      <c r="I133" s="2" t="s">
        <v>195</v>
      </c>
      <c r="J133" s="2" t="s">
        <v>19</v>
      </c>
      <c r="K133" s="2" t="s">
        <v>7920</v>
      </c>
      <c r="L133" s="7" t="str">
        <f>HYPERLINK("http://slimages.macys.com/is/image/MCY/12950227 ")</f>
        <v xml:space="preserve">http://slimages.macys.com/is/image/MCY/12950227 </v>
      </c>
    </row>
    <row r="134" spans="1:12" ht="24.75" x14ac:dyDescent="0.25">
      <c r="A134" s="4" t="s">
        <v>7921</v>
      </c>
      <c r="B134" s="2" t="s">
        <v>7918</v>
      </c>
      <c r="C134" s="3">
        <v>1</v>
      </c>
      <c r="D134" s="5">
        <v>42.38</v>
      </c>
      <c r="E134" s="3" t="s">
        <v>7919</v>
      </c>
      <c r="F134" s="2" t="s">
        <v>33</v>
      </c>
      <c r="G134" s="6"/>
      <c r="H134" s="2" t="s">
        <v>312</v>
      </c>
      <c r="I134" s="2" t="s">
        <v>195</v>
      </c>
      <c r="J134" s="2" t="s">
        <v>19</v>
      </c>
      <c r="K134" s="2" t="s">
        <v>7920</v>
      </c>
      <c r="L134" s="7" t="str">
        <f>HYPERLINK("http://slimages.macys.com/is/image/MCY/12950227 ")</f>
        <v xml:space="preserve">http://slimages.macys.com/is/image/MCY/12950227 </v>
      </c>
    </row>
    <row r="135" spans="1:12" ht="24.75" x14ac:dyDescent="0.25">
      <c r="A135" s="4" t="s">
        <v>2333</v>
      </c>
      <c r="B135" s="2" t="s">
        <v>2334</v>
      </c>
      <c r="C135" s="3">
        <v>1</v>
      </c>
      <c r="D135" s="5">
        <v>59.5</v>
      </c>
      <c r="E135" s="3" t="s">
        <v>2335</v>
      </c>
      <c r="F135" s="2" t="s">
        <v>74</v>
      </c>
      <c r="G135" s="6" t="s">
        <v>187</v>
      </c>
      <c r="H135" s="2" t="s">
        <v>127</v>
      </c>
      <c r="I135" s="2" t="s">
        <v>128</v>
      </c>
      <c r="J135" s="2" t="s">
        <v>19</v>
      </c>
      <c r="K135" s="2" t="s">
        <v>160</v>
      </c>
      <c r="L135" s="7" t="str">
        <f>HYPERLINK("http://slimages.macys.com/is/image/MCY/9599934 ")</f>
        <v xml:space="preserve">http://slimages.macys.com/is/image/MCY/9599934 </v>
      </c>
    </row>
    <row r="136" spans="1:12" ht="24.75" x14ac:dyDescent="0.25">
      <c r="A136" s="4" t="s">
        <v>4594</v>
      </c>
      <c r="B136" s="2" t="s">
        <v>2334</v>
      </c>
      <c r="C136" s="3">
        <v>1</v>
      </c>
      <c r="D136" s="5">
        <v>59.5</v>
      </c>
      <c r="E136" s="3" t="s">
        <v>2335</v>
      </c>
      <c r="F136" s="2" t="s">
        <v>74</v>
      </c>
      <c r="G136" s="6" t="s">
        <v>219</v>
      </c>
      <c r="H136" s="2" t="s">
        <v>127</v>
      </c>
      <c r="I136" s="2" t="s">
        <v>128</v>
      </c>
      <c r="J136" s="2" t="s">
        <v>19</v>
      </c>
      <c r="K136" s="2" t="s">
        <v>160</v>
      </c>
      <c r="L136" s="7" t="str">
        <f>HYPERLINK("http://slimages.macys.com/is/image/MCY/9599934 ")</f>
        <v xml:space="preserve">http://slimages.macys.com/is/image/MCY/9599934 </v>
      </c>
    </row>
    <row r="137" spans="1:12" ht="24.75" x14ac:dyDescent="0.25">
      <c r="A137" s="4" t="s">
        <v>568</v>
      </c>
      <c r="B137" s="2" t="s">
        <v>564</v>
      </c>
      <c r="C137" s="3">
        <v>2</v>
      </c>
      <c r="D137" s="5">
        <v>40.880000000000003</v>
      </c>
      <c r="E137" s="3" t="s">
        <v>565</v>
      </c>
      <c r="F137" s="2" t="s">
        <v>413</v>
      </c>
      <c r="G137" s="6" t="s">
        <v>154</v>
      </c>
      <c r="H137" s="2" t="s">
        <v>194</v>
      </c>
      <c r="I137" s="2" t="s">
        <v>195</v>
      </c>
      <c r="J137" s="2" t="s">
        <v>19</v>
      </c>
      <c r="K137" s="2" t="s">
        <v>567</v>
      </c>
      <c r="L137" s="7" t="str">
        <f>HYPERLINK("http://slimages.macys.com/is/image/MCY/12064036 ")</f>
        <v xml:space="preserve">http://slimages.macys.com/is/image/MCY/12064036 </v>
      </c>
    </row>
    <row r="138" spans="1:12" ht="24.75" x14ac:dyDescent="0.25">
      <c r="A138" s="4" t="s">
        <v>7922</v>
      </c>
      <c r="B138" s="2" t="s">
        <v>564</v>
      </c>
      <c r="C138" s="3">
        <v>1</v>
      </c>
      <c r="D138" s="5">
        <v>40.880000000000003</v>
      </c>
      <c r="E138" s="3" t="s">
        <v>565</v>
      </c>
      <c r="F138" s="2" t="s">
        <v>413</v>
      </c>
      <c r="G138" s="6" t="s">
        <v>181</v>
      </c>
      <c r="H138" s="2" t="s">
        <v>194</v>
      </c>
      <c r="I138" s="2" t="s">
        <v>195</v>
      </c>
      <c r="J138" s="2" t="s">
        <v>19</v>
      </c>
      <c r="K138" s="2" t="s">
        <v>567</v>
      </c>
      <c r="L138" s="7" t="str">
        <f>HYPERLINK("http://slimages.macys.com/is/image/MCY/12064036 ")</f>
        <v xml:space="preserve">http://slimages.macys.com/is/image/MCY/12064036 </v>
      </c>
    </row>
    <row r="139" spans="1:12" ht="24.75" x14ac:dyDescent="0.25">
      <c r="A139" s="4" t="s">
        <v>7923</v>
      </c>
      <c r="B139" s="2" t="s">
        <v>7165</v>
      </c>
      <c r="C139" s="3">
        <v>1</v>
      </c>
      <c r="D139" s="5">
        <v>69.5</v>
      </c>
      <c r="E139" s="3" t="s">
        <v>7166</v>
      </c>
      <c r="F139" s="2" t="s">
        <v>252</v>
      </c>
      <c r="G139" s="6"/>
      <c r="H139" s="2" t="s">
        <v>206</v>
      </c>
      <c r="I139" s="2" t="s">
        <v>207</v>
      </c>
      <c r="J139" s="2" t="s">
        <v>19</v>
      </c>
      <c r="K139" s="2" t="s">
        <v>7167</v>
      </c>
      <c r="L139" s="7" t="str">
        <f>HYPERLINK("http://slimages.macys.com/is/image/MCY/13404422 ")</f>
        <v xml:space="preserve">http://slimages.macys.com/is/image/MCY/13404422 </v>
      </c>
    </row>
    <row r="140" spans="1:12" ht="36.75" x14ac:dyDescent="0.25">
      <c r="A140" s="4" t="s">
        <v>3464</v>
      </c>
      <c r="B140" s="2" t="s">
        <v>614</v>
      </c>
      <c r="C140" s="3">
        <v>1</v>
      </c>
      <c r="D140" s="5">
        <v>40.880000000000003</v>
      </c>
      <c r="E140" s="3" t="s">
        <v>615</v>
      </c>
      <c r="F140" s="2" t="s">
        <v>26</v>
      </c>
      <c r="G140" s="6" t="s">
        <v>181</v>
      </c>
      <c r="H140" s="2" t="s">
        <v>284</v>
      </c>
      <c r="I140" s="2" t="s">
        <v>408</v>
      </c>
      <c r="J140" s="2" t="s">
        <v>19</v>
      </c>
      <c r="K140" s="2" t="s">
        <v>500</v>
      </c>
      <c r="L140" s="7" t="str">
        <f>HYPERLINK("http://slimages.macys.com/is/image/MCY/12672193 ")</f>
        <v xml:space="preserve">http://slimages.macys.com/is/image/MCY/12672193 </v>
      </c>
    </row>
    <row r="141" spans="1:12" ht="36.75" x14ac:dyDescent="0.25">
      <c r="A141" s="4" t="s">
        <v>2337</v>
      </c>
      <c r="B141" s="2" t="s">
        <v>614</v>
      </c>
      <c r="C141" s="3">
        <v>1</v>
      </c>
      <c r="D141" s="5">
        <v>40.880000000000003</v>
      </c>
      <c r="E141" s="3" t="s">
        <v>615</v>
      </c>
      <c r="F141" s="2" t="s">
        <v>26</v>
      </c>
      <c r="G141" s="6" t="s">
        <v>200</v>
      </c>
      <c r="H141" s="2" t="s">
        <v>284</v>
      </c>
      <c r="I141" s="2" t="s">
        <v>408</v>
      </c>
      <c r="J141" s="2" t="s">
        <v>19</v>
      </c>
      <c r="K141" s="2" t="s">
        <v>500</v>
      </c>
      <c r="L141" s="7" t="str">
        <f>HYPERLINK("http://slimages.macys.com/is/image/MCY/12672193 ")</f>
        <v xml:space="preserve">http://slimages.macys.com/is/image/MCY/12672193 </v>
      </c>
    </row>
    <row r="142" spans="1:12" ht="24.75" x14ac:dyDescent="0.25">
      <c r="A142" s="4" t="s">
        <v>7924</v>
      </c>
      <c r="B142" s="2" t="s">
        <v>606</v>
      </c>
      <c r="C142" s="3">
        <v>1</v>
      </c>
      <c r="D142" s="5">
        <v>37.130000000000003</v>
      </c>
      <c r="E142" s="3">
        <v>100054430</v>
      </c>
      <c r="F142" s="2" t="s">
        <v>579</v>
      </c>
      <c r="G142" s="6" t="s">
        <v>112</v>
      </c>
      <c r="H142" s="2" t="s">
        <v>194</v>
      </c>
      <c r="I142" s="2" t="s">
        <v>503</v>
      </c>
      <c r="J142" s="2" t="s">
        <v>19</v>
      </c>
      <c r="K142" s="2" t="s">
        <v>607</v>
      </c>
      <c r="L142" s="7" t="str">
        <f>HYPERLINK("http://slimages.macys.com/is/image/MCY/12063680 ")</f>
        <v xml:space="preserve">http://slimages.macys.com/is/image/MCY/12063680 </v>
      </c>
    </row>
    <row r="143" spans="1:12" ht="48.75" x14ac:dyDescent="0.25">
      <c r="A143" s="4" t="s">
        <v>603</v>
      </c>
      <c r="B143" s="2" t="s">
        <v>599</v>
      </c>
      <c r="C143" s="3">
        <v>3</v>
      </c>
      <c r="D143" s="5">
        <v>37.130000000000003</v>
      </c>
      <c r="E143" s="3" t="s">
        <v>600</v>
      </c>
      <c r="F143" s="2" t="s">
        <v>125</v>
      </c>
      <c r="G143" s="6" t="s">
        <v>154</v>
      </c>
      <c r="H143" s="2" t="s">
        <v>194</v>
      </c>
      <c r="I143" s="2" t="s">
        <v>195</v>
      </c>
      <c r="J143" s="2" t="s">
        <v>19</v>
      </c>
      <c r="K143" s="2" t="s">
        <v>601</v>
      </c>
      <c r="L143" s="7" t="str">
        <f>HYPERLINK("http://slimages.macys.com/is/image/MCY/12734338 ")</f>
        <v xml:space="preserve">http://slimages.macys.com/is/image/MCY/12734338 </v>
      </c>
    </row>
    <row r="144" spans="1:12" ht="48.75" x14ac:dyDescent="0.25">
      <c r="A144" s="4" t="s">
        <v>7925</v>
      </c>
      <c r="B144" s="2" t="s">
        <v>599</v>
      </c>
      <c r="C144" s="3">
        <v>1</v>
      </c>
      <c r="D144" s="5">
        <v>37.130000000000003</v>
      </c>
      <c r="E144" s="3" t="s">
        <v>600</v>
      </c>
      <c r="F144" s="2" t="s">
        <v>15</v>
      </c>
      <c r="G144" s="6" t="s">
        <v>156</v>
      </c>
      <c r="H144" s="2" t="s">
        <v>194</v>
      </c>
      <c r="I144" s="2" t="s">
        <v>195</v>
      </c>
      <c r="J144" s="2" t="s">
        <v>19</v>
      </c>
      <c r="K144" s="2" t="s">
        <v>601</v>
      </c>
      <c r="L144" s="7" t="str">
        <f>HYPERLINK("http://slimages.macys.com/is/image/MCY/12734338 ")</f>
        <v xml:space="preserve">http://slimages.macys.com/is/image/MCY/12734338 </v>
      </c>
    </row>
    <row r="145" spans="1:12" ht="48.75" x14ac:dyDescent="0.25">
      <c r="A145" s="4" t="s">
        <v>5515</v>
      </c>
      <c r="B145" s="2" t="s">
        <v>599</v>
      </c>
      <c r="C145" s="3">
        <v>1</v>
      </c>
      <c r="D145" s="5">
        <v>37.130000000000003</v>
      </c>
      <c r="E145" s="3" t="s">
        <v>600</v>
      </c>
      <c r="F145" s="2" t="s">
        <v>125</v>
      </c>
      <c r="G145" s="6" t="s">
        <v>156</v>
      </c>
      <c r="H145" s="2" t="s">
        <v>194</v>
      </c>
      <c r="I145" s="2" t="s">
        <v>195</v>
      </c>
      <c r="J145" s="2" t="s">
        <v>19</v>
      </c>
      <c r="K145" s="2" t="s">
        <v>601</v>
      </c>
      <c r="L145" s="7" t="str">
        <f>HYPERLINK("http://slimages.macys.com/is/image/MCY/12734338 ")</f>
        <v xml:space="preserve">http://slimages.macys.com/is/image/MCY/12734338 </v>
      </c>
    </row>
    <row r="146" spans="1:12" ht="24.75" x14ac:dyDescent="0.25">
      <c r="A146" s="4" t="s">
        <v>7926</v>
      </c>
      <c r="B146" s="2" t="s">
        <v>606</v>
      </c>
      <c r="C146" s="3">
        <v>1</v>
      </c>
      <c r="D146" s="5">
        <v>37.130000000000003</v>
      </c>
      <c r="E146" s="3">
        <v>100054430</v>
      </c>
      <c r="F146" s="2" t="s">
        <v>26</v>
      </c>
      <c r="G146" s="6" t="s">
        <v>27</v>
      </c>
      <c r="H146" s="2" t="s">
        <v>194</v>
      </c>
      <c r="I146" s="2" t="s">
        <v>503</v>
      </c>
      <c r="J146" s="2" t="s">
        <v>19</v>
      </c>
      <c r="K146" s="2" t="s">
        <v>607</v>
      </c>
      <c r="L146" s="7" t="str">
        <f>HYPERLINK("http://slimages.macys.com/is/image/MCY/12063684 ")</f>
        <v xml:space="preserve">http://slimages.macys.com/is/image/MCY/12063684 </v>
      </c>
    </row>
    <row r="147" spans="1:12" ht="48.75" x14ac:dyDescent="0.25">
      <c r="A147" s="4" t="s">
        <v>598</v>
      </c>
      <c r="B147" s="2" t="s">
        <v>599</v>
      </c>
      <c r="C147" s="3">
        <v>1</v>
      </c>
      <c r="D147" s="5">
        <v>37.130000000000003</v>
      </c>
      <c r="E147" s="3" t="s">
        <v>600</v>
      </c>
      <c r="F147" s="2" t="s">
        <v>15</v>
      </c>
      <c r="G147" s="6" t="s">
        <v>154</v>
      </c>
      <c r="H147" s="2" t="s">
        <v>194</v>
      </c>
      <c r="I147" s="2" t="s">
        <v>195</v>
      </c>
      <c r="J147" s="2" t="s">
        <v>19</v>
      </c>
      <c r="K147" s="2" t="s">
        <v>601</v>
      </c>
      <c r="L147" s="7" t="str">
        <f>HYPERLINK("http://slimages.macys.com/is/image/MCY/12734338 ")</f>
        <v xml:space="preserve">http://slimages.macys.com/is/image/MCY/12734338 </v>
      </c>
    </row>
    <row r="148" spans="1:12" ht="48.75" x14ac:dyDescent="0.25">
      <c r="A148" s="4" t="s">
        <v>604</v>
      </c>
      <c r="B148" s="2" t="s">
        <v>599</v>
      </c>
      <c r="C148" s="3">
        <v>2</v>
      </c>
      <c r="D148" s="5">
        <v>37.130000000000003</v>
      </c>
      <c r="E148" s="3" t="s">
        <v>600</v>
      </c>
      <c r="F148" s="2" t="s">
        <v>125</v>
      </c>
      <c r="G148" s="6" t="s">
        <v>234</v>
      </c>
      <c r="H148" s="2" t="s">
        <v>194</v>
      </c>
      <c r="I148" s="2" t="s">
        <v>195</v>
      </c>
      <c r="J148" s="2" t="s">
        <v>19</v>
      </c>
      <c r="K148" s="2" t="s">
        <v>601</v>
      </c>
      <c r="L148" s="7" t="str">
        <f>HYPERLINK("http://slimages.macys.com/is/image/MCY/12734338 ")</f>
        <v xml:space="preserve">http://slimages.macys.com/is/image/MCY/12734338 </v>
      </c>
    </row>
    <row r="149" spans="1:12" ht="48.75" x14ac:dyDescent="0.25">
      <c r="A149" s="4" t="s">
        <v>4599</v>
      </c>
      <c r="B149" s="2" t="s">
        <v>599</v>
      </c>
      <c r="C149" s="3">
        <v>1</v>
      </c>
      <c r="D149" s="5">
        <v>37.130000000000003</v>
      </c>
      <c r="E149" s="3" t="s">
        <v>600</v>
      </c>
      <c r="F149" s="2" t="s">
        <v>15</v>
      </c>
      <c r="G149" s="6" t="s">
        <v>200</v>
      </c>
      <c r="H149" s="2" t="s">
        <v>194</v>
      </c>
      <c r="I149" s="2" t="s">
        <v>195</v>
      </c>
      <c r="J149" s="2" t="s">
        <v>19</v>
      </c>
      <c r="K149" s="2" t="s">
        <v>601</v>
      </c>
      <c r="L149" s="7" t="str">
        <f>HYPERLINK("http://slimages.macys.com/is/image/MCY/12734338 ")</f>
        <v xml:space="preserve">http://slimages.macys.com/is/image/MCY/12734338 </v>
      </c>
    </row>
    <row r="150" spans="1:12" ht="48.75" x14ac:dyDescent="0.25">
      <c r="A150" s="4" t="s">
        <v>4598</v>
      </c>
      <c r="B150" s="2" t="s">
        <v>599</v>
      </c>
      <c r="C150" s="3">
        <v>1</v>
      </c>
      <c r="D150" s="5">
        <v>37.130000000000003</v>
      </c>
      <c r="E150" s="3" t="s">
        <v>600</v>
      </c>
      <c r="F150" s="2" t="s">
        <v>125</v>
      </c>
      <c r="G150" s="6" t="s">
        <v>200</v>
      </c>
      <c r="H150" s="2" t="s">
        <v>194</v>
      </c>
      <c r="I150" s="2" t="s">
        <v>195</v>
      </c>
      <c r="J150" s="2" t="s">
        <v>19</v>
      </c>
      <c r="K150" s="2" t="s">
        <v>601</v>
      </c>
      <c r="L150" s="7" t="str">
        <f>HYPERLINK("http://slimages.macys.com/is/image/MCY/12734338 ")</f>
        <v xml:space="preserve">http://slimages.macys.com/is/image/MCY/12734338 </v>
      </c>
    </row>
    <row r="151" spans="1:12" ht="24.75" x14ac:dyDescent="0.25">
      <c r="A151" s="4" t="s">
        <v>2343</v>
      </c>
      <c r="B151" s="2" t="s">
        <v>606</v>
      </c>
      <c r="C151" s="3">
        <v>1</v>
      </c>
      <c r="D151" s="5">
        <v>37.130000000000003</v>
      </c>
      <c r="E151" s="3">
        <v>100054430</v>
      </c>
      <c r="F151" s="2" t="s">
        <v>15</v>
      </c>
      <c r="G151" s="6" t="s">
        <v>58</v>
      </c>
      <c r="H151" s="2" t="s">
        <v>194</v>
      </c>
      <c r="I151" s="2" t="s">
        <v>503</v>
      </c>
      <c r="J151" s="2" t="s">
        <v>19</v>
      </c>
      <c r="K151" s="2" t="s">
        <v>607</v>
      </c>
      <c r="L151" s="7" t="str">
        <f>HYPERLINK("http://slimages.macys.com/is/image/MCY/12063680 ")</f>
        <v xml:space="preserve">http://slimages.macys.com/is/image/MCY/12063680 </v>
      </c>
    </row>
    <row r="152" spans="1:12" ht="24.75" x14ac:dyDescent="0.25">
      <c r="A152" s="4" t="s">
        <v>2345</v>
      </c>
      <c r="B152" s="2" t="s">
        <v>606</v>
      </c>
      <c r="C152" s="3">
        <v>2</v>
      </c>
      <c r="D152" s="5">
        <v>37.130000000000003</v>
      </c>
      <c r="E152" s="3">
        <v>100054430</v>
      </c>
      <c r="F152" s="2" t="s">
        <v>15</v>
      </c>
      <c r="G152" s="6" t="s">
        <v>65</v>
      </c>
      <c r="H152" s="2" t="s">
        <v>194</v>
      </c>
      <c r="I152" s="2" t="s">
        <v>503</v>
      </c>
      <c r="J152" s="2" t="s">
        <v>19</v>
      </c>
      <c r="K152" s="2" t="s">
        <v>607</v>
      </c>
      <c r="L152" s="7" t="str">
        <f>HYPERLINK("http://slimages.macys.com/is/image/MCY/12063680 ")</f>
        <v xml:space="preserve">http://slimages.macys.com/is/image/MCY/12063680 </v>
      </c>
    </row>
    <row r="153" spans="1:12" ht="24.75" x14ac:dyDescent="0.25">
      <c r="A153" s="4" t="s">
        <v>7181</v>
      </c>
      <c r="B153" s="2" t="s">
        <v>606</v>
      </c>
      <c r="C153" s="3">
        <v>1</v>
      </c>
      <c r="D153" s="5">
        <v>37.130000000000003</v>
      </c>
      <c r="E153" s="3">
        <v>100054430</v>
      </c>
      <c r="F153" s="2" t="s">
        <v>15</v>
      </c>
      <c r="G153" s="6" t="s">
        <v>141</v>
      </c>
      <c r="H153" s="2" t="s">
        <v>194</v>
      </c>
      <c r="I153" s="2" t="s">
        <v>503</v>
      </c>
      <c r="J153" s="2" t="s">
        <v>19</v>
      </c>
      <c r="K153" s="2" t="s">
        <v>607</v>
      </c>
      <c r="L153" s="7" t="str">
        <f>HYPERLINK("http://slimages.macys.com/is/image/MCY/12063680 ")</f>
        <v xml:space="preserve">http://slimages.macys.com/is/image/MCY/12063680 </v>
      </c>
    </row>
    <row r="154" spans="1:12" ht="24.75" x14ac:dyDescent="0.25">
      <c r="A154" s="4" t="s">
        <v>2344</v>
      </c>
      <c r="B154" s="2" t="s">
        <v>606</v>
      </c>
      <c r="C154" s="3">
        <v>1</v>
      </c>
      <c r="D154" s="5">
        <v>37.130000000000003</v>
      </c>
      <c r="E154" s="3">
        <v>100054430</v>
      </c>
      <c r="F154" s="2" t="s">
        <v>15</v>
      </c>
      <c r="G154" s="6" t="s">
        <v>27</v>
      </c>
      <c r="H154" s="2" t="s">
        <v>194</v>
      </c>
      <c r="I154" s="2" t="s">
        <v>503</v>
      </c>
      <c r="J154" s="2" t="s">
        <v>19</v>
      </c>
      <c r="K154" s="2" t="s">
        <v>607</v>
      </c>
      <c r="L154" s="7" t="str">
        <f>HYPERLINK("http://slimages.macys.com/is/image/MCY/12063680 ")</f>
        <v xml:space="preserve">http://slimages.macys.com/is/image/MCY/12063680 </v>
      </c>
    </row>
    <row r="155" spans="1:12" ht="24.75" x14ac:dyDescent="0.25">
      <c r="A155" s="4" t="s">
        <v>7927</v>
      </c>
      <c r="B155" s="2" t="s">
        <v>7928</v>
      </c>
      <c r="C155" s="3">
        <v>1</v>
      </c>
      <c r="D155" s="5">
        <v>45.15</v>
      </c>
      <c r="E155" s="3" t="s">
        <v>7929</v>
      </c>
      <c r="F155" s="2" t="s">
        <v>257</v>
      </c>
      <c r="G155" s="6" t="s">
        <v>234</v>
      </c>
      <c r="H155" s="2" t="s">
        <v>182</v>
      </c>
      <c r="I155" s="2" t="s">
        <v>183</v>
      </c>
      <c r="J155" s="2" t="s">
        <v>19</v>
      </c>
      <c r="K155" s="2" t="s">
        <v>258</v>
      </c>
      <c r="L155" s="7" t="str">
        <f>HYPERLINK("http://slimages.macys.com/is/image/MCY/12851606 ")</f>
        <v xml:space="preserve">http://slimages.macys.com/is/image/MCY/12851606 </v>
      </c>
    </row>
    <row r="156" spans="1:12" ht="24.75" x14ac:dyDescent="0.25">
      <c r="A156" s="4" t="s">
        <v>616</v>
      </c>
      <c r="B156" s="2" t="s">
        <v>617</v>
      </c>
      <c r="C156" s="3">
        <v>1</v>
      </c>
      <c r="D156" s="5">
        <v>44.63</v>
      </c>
      <c r="E156" s="3">
        <v>100054444</v>
      </c>
      <c r="F156" s="2" t="s">
        <v>111</v>
      </c>
      <c r="G156" s="6" t="s">
        <v>154</v>
      </c>
      <c r="H156" s="2" t="s">
        <v>194</v>
      </c>
      <c r="I156" s="2" t="s">
        <v>195</v>
      </c>
      <c r="J156" s="2" t="s">
        <v>19</v>
      </c>
      <c r="K156" s="2" t="s">
        <v>546</v>
      </c>
      <c r="L156" s="7" t="str">
        <f>HYPERLINK("http://slimages.macys.com/is/image/MCY/12279794 ")</f>
        <v xml:space="preserve">http://slimages.macys.com/is/image/MCY/12279794 </v>
      </c>
    </row>
    <row r="157" spans="1:12" ht="24.75" x14ac:dyDescent="0.25">
      <c r="A157" s="4" t="s">
        <v>7930</v>
      </c>
      <c r="B157" s="2" t="s">
        <v>7931</v>
      </c>
      <c r="C157" s="3">
        <v>1</v>
      </c>
      <c r="D157" s="5">
        <v>48.38</v>
      </c>
      <c r="E157" s="3" t="s">
        <v>7932</v>
      </c>
      <c r="F157" s="2" t="s">
        <v>170</v>
      </c>
      <c r="G157" s="6" t="s">
        <v>2276</v>
      </c>
      <c r="H157" s="2" t="s">
        <v>349</v>
      </c>
      <c r="I157" s="2" t="s">
        <v>285</v>
      </c>
      <c r="J157" s="2" t="s">
        <v>19</v>
      </c>
      <c r="K157" s="2" t="s">
        <v>160</v>
      </c>
      <c r="L157" s="7" t="str">
        <f>HYPERLINK("http://slimages.macys.com/is/image/MCY/11487637 ")</f>
        <v xml:space="preserve">http://slimages.macys.com/is/image/MCY/11487637 </v>
      </c>
    </row>
    <row r="158" spans="1:12" ht="24.75" x14ac:dyDescent="0.25">
      <c r="A158" s="4" t="s">
        <v>4611</v>
      </c>
      <c r="B158" s="2" t="s">
        <v>626</v>
      </c>
      <c r="C158" s="3">
        <v>1</v>
      </c>
      <c r="D158" s="5">
        <v>40.880000000000003</v>
      </c>
      <c r="E158" s="3" t="s">
        <v>627</v>
      </c>
      <c r="F158" s="2" t="s">
        <v>74</v>
      </c>
      <c r="G158" s="6" t="s">
        <v>141</v>
      </c>
      <c r="H158" s="2" t="s">
        <v>246</v>
      </c>
      <c r="I158" s="2" t="s">
        <v>525</v>
      </c>
      <c r="J158" s="2" t="s">
        <v>19</v>
      </c>
      <c r="K158" s="2" t="s">
        <v>628</v>
      </c>
      <c r="L158" s="7" t="str">
        <f>HYPERLINK("http://slimages.macys.com/is/image/MCY/11620905 ")</f>
        <v xml:space="preserve">http://slimages.macys.com/is/image/MCY/11620905 </v>
      </c>
    </row>
    <row r="159" spans="1:12" ht="24.75" x14ac:dyDescent="0.25">
      <c r="A159" s="4" t="s">
        <v>7933</v>
      </c>
      <c r="B159" s="2" t="s">
        <v>2351</v>
      </c>
      <c r="C159" s="3">
        <v>1</v>
      </c>
      <c r="D159" s="5">
        <v>37.130000000000003</v>
      </c>
      <c r="E159" s="3" t="s">
        <v>2352</v>
      </c>
      <c r="F159" s="2" t="s">
        <v>417</v>
      </c>
      <c r="G159" s="6" t="s">
        <v>156</v>
      </c>
      <c r="H159" s="2" t="s">
        <v>194</v>
      </c>
      <c r="I159" s="2" t="s">
        <v>195</v>
      </c>
      <c r="J159" s="2" t="s">
        <v>19</v>
      </c>
      <c r="K159" s="2" t="s">
        <v>438</v>
      </c>
      <c r="L159" s="7" t="str">
        <f>HYPERLINK("http://slimages.macys.com/is/image/MCY/12667948 ")</f>
        <v xml:space="preserve">http://slimages.macys.com/is/image/MCY/12667948 </v>
      </c>
    </row>
    <row r="160" spans="1:12" ht="24.75" x14ac:dyDescent="0.25">
      <c r="A160" s="4" t="s">
        <v>7934</v>
      </c>
      <c r="B160" s="2" t="s">
        <v>2357</v>
      </c>
      <c r="C160" s="3">
        <v>1</v>
      </c>
      <c r="D160" s="5">
        <v>40.880000000000003</v>
      </c>
      <c r="E160" s="3" t="s">
        <v>2358</v>
      </c>
      <c r="F160" s="2" t="s">
        <v>15</v>
      </c>
      <c r="G160" s="6" t="s">
        <v>154</v>
      </c>
      <c r="H160" s="2" t="s">
        <v>284</v>
      </c>
      <c r="I160" s="2" t="s">
        <v>285</v>
      </c>
      <c r="J160" s="2" t="s">
        <v>19</v>
      </c>
      <c r="K160" s="2" t="s">
        <v>160</v>
      </c>
      <c r="L160" s="7" t="str">
        <f>HYPERLINK("http://slimages.macys.com/is/image/MCY/12671658 ")</f>
        <v xml:space="preserve">http://slimages.macys.com/is/image/MCY/12671658 </v>
      </c>
    </row>
    <row r="161" spans="1:12" ht="24.75" x14ac:dyDescent="0.25">
      <c r="A161" s="4" t="s">
        <v>7935</v>
      </c>
      <c r="B161" s="2" t="s">
        <v>7936</v>
      </c>
      <c r="C161" s="3">
        <v>1</v>
      </c>
      <c r="D161" s="5">
        <v>69.5</v>
      </c>
      <c r="E161" s="3" t="s">
        <v>7937</v>
      </c>
      <c r="F161" s="2" t="s">
        <v>74</v>
      </c>
      <c r="G161" s="6" t="s">
        <v>187</v>
      </c>
      <c r="H161" s="2" t="s">
        <v>206</v>
      </c>
      <c r="I161" s="2" t="s">
        <v>207</v>
      </c>
      <c r="J161" s="2" t="s">
        <v>19</v>
      </c>
      <c r="K161" s="2" t="s">
        <v>7938</v>
      </c>
      <c r="L161" s="7" t="str">
        <f>HYPERLINK("http://slimages.macys.com/is/image/MCY/12319273 ")</f>
        <v xml:space="preserve">http://slimages.macys.com/is/image/MCY/12319273 </v>
      </c>
    </row>
    <row r="162" spans="1:12" ht="24.75" x14ac:dyDescent="0.25">
      <c r="A162" s="4" t="s">
        <v>7939</v>
      </c>
      <c r="B162" s="2" t="s">
        <v>2351</v>
      </c>
      <c r="C162" s="3">
        <v>1</v>
      </c>
      <c r="D162" s="5">
        <v>37.130000000000003</v>
      </c>
      <c r="E162" s="3" t="s">
        <v>3497</v>
      </c>
      <c r="F162" s="2" t="s">
        <v>417</v>
      </c>
      <c r="G162" s="6"/>
      <c r="H162" s="2" t="s">
        <v>312</v>
      </c>
      <c r="I162" s="2" t="s">
        <v>195</v>
      </c>
      <c r="J162" s="2" t="s">
        <v>19</v>
      </c>
      <c r="K162" s="2" t="s">
        <v>3508</v>
      </c>
      <c r="L162" s="7" t="str">
        <f>HYPERLINK("http://slimages.macys.com/is/image/MCY/12667948 ")</f>
        <v xml:space="preserve">http://slimages.macys.com/is/image/MCY/12667948 </v>
      </c>
    </row>
    <row r="163" spans="1:12" ht="24.75" x14ac:dyDescent="0.25">
      <c r="A163" s="4" t="s">
        <v>7940</v>
      </c>
      <c r="B163" s="2" t="s">
        <v>2351</v>
      </c>
      <c r="C163" s="3">
        <v>1</v>
      </c>
      <c r="D163" s="5">
        <v>37.130000000000003</v>
      </c>
      <c r="E163" s="3" t="s">
        <v>3497</v>
      </c>
      <c r="F163" s="2" t="s">
        <v>417</v>
      </c>
      <c r="G163" s="6"/>
      <c r="H163" s="2" t="s">
        <v>312</v>
      </c>
      <c r="I163" s="2" t="s">
        <v>195</v>
      </c>
      <c r="J163" s="2" t="s">
        <v>19</v>
      </c>
      <c r="K163" s="2" t="s">
        <v>3508</v>
      </c>
      <c r="L163" s="7" t="str">
        <f>HYPERLINK("http://slimages.macys.com/is/image/MCY/12667948 ")</f>
        <v xml:space="preserve">http://slimages.macys.com/is/image/MCY/12667948 </v>
      </c>
    </row>
    <row r="164" spans="1:12" ht="24.75" x14ac:dyDescent="0.25">
      <c r="A164" s="4" t="s">
        <v>643</v>
      </c>
      <c r="B164" s="2" t="s">
        <v>641</v>
      </c>
      <c r="C164" s="3">
        <v>1</v>
      </c>
      <c r="D164" s="5">
        <v>34.99</v>
      </c>
      <c r="E164" s="3" t="s">
        <v>644</v>
      </c>
      <c r="F164" s="2" t="s">
        <v>26</v>
      </c>
      <c r="G164" s="6" t="s">
        <v>348</v>
      </c>
      <c r="H164" s="2" t="s">
        <v>349</v>
      </c>
      <c r="I164" s="2" t="s">
        <v>408</v>
      </c>
      <c r="J164" s="2" t="s">
        <v>19</v>
      </c>
      <c r="K164" s="2" t="s">
        <v>409</v>
      </c>
      <c r="L164" s="7" t="str">
        <f>HYPERLINK("http://slimages.macys.com/is/image/MCY/9420343 ")</f>
        <v xml:space="preserve">http://slimages.macys.com/is/image/MCY/9420343 </v>
      </c>
    </row>
    <row r="165" spans="1:12" ht="24.75" x14ac:dyDescent="0.25">
      <c r="A165" s="4" t="s">
        <v>7941</v>
      </c>
      <c r="B165" s="2" t="s">
        <v>7942</v>
      </c>
      <c r="C165" s="3">
        <v>1</v>
      </c>
      <c r="D165" s="5">
        <v>69.5</v>
      </c>
      <c r="E165" s="3" t="s">
        <v>7943</v>
      </c>
      <c r="F165" s="2" t="s">
        <v>74</v>
      </c>
      <c r="G165" s="6" t="s">
        <v>934</v>
      </c>
      <c r="H165" s="2" t="s">
        <v>206</v>
      </c>
      <c r="I165" s="2" t="s">
        <v>207</v>
      </c>
      <c r="J165" s="2" t="s">
        <v>19</v>
      </c>
      <c r="K165" s="2" t="s">
        <v>338</v>
      </c>
      <c r="L165" s="7" t="str">
        <f>HYPERLINK("http://slimages.macys.com/is/image/MCY/11859005 ")</f>
        <v xml:space="preserve">http://slimages.macys.com/is/image/MCY/11859005 </v>
      </c>
    </row>
    <row r="166" spans="1:12" ht="24.75" x14ac:dyDescent="0.25">
      <c r="A166" s="4" t="s">
        <v>7944</v>
      </c>
      <c r="B166" s="2" t="s">
        <v>7945</v>
      </c>
      <c r="C166" s="3">
        <v>1</v>
      </c>
      <c r="D166" s="5">
        <v>44.5</v>
      </c>
      <c r="E166" s="3" t="s">
        <v>7946</v>
      </c>
      <c r="F166" s="2" t="s">
        <v>417</v>
      </c>
      <c r="G166" s="6" t="s">
        <v>27</v>
      </c>
      <c r="H166" s="2" t="s">
        <v>213</v>
      </c>
      <c r="I166" s="2" t="s">
        <v>214</v>
      </c>
      <c r="J166" s="2" t="s">
        <v>19</v>
      </c>
      <c r="K166" s="2" t="s">
        <v>253</v>
      </c>
      <c r="L166" s="7" t="str">
        <f>HYPERLINK("http://slimages.macys.com/is/image/MCY/9886548 ")</f>
        <v xml:space="preserve">http://slimages.macys.com/is/image/MCY/9886548 </v>
      </c>
    </row>
    <row r="167" spans="1:12" ht="24.75" x14ac:dyDescent="0.25">
      <c r="A167" s="4" t="s">
        <v>7947</v>
      </c>
      <c r="B167" s="2" t="s">
        <v>2542</v>
      </c>
      <c r="C167" s="3">
        <v>2</v>
      </c>
      <c r="D167" s="5">
        <v>59.5</v>
      </c>
      <c r="E167" s="3">
        <v>100061927</v>
      </c>
      <c r="F167" s="2" t="s">
        <v>252</v>
      </c>
      <c r="G167" s="6" t="s">
        <v>141</v>
      </c>
      <c r="H167" s="2" t="s">
        <v>386</v>
      </c>
      <c r="I167" s="2" t="s">
        <v>207</v>
      </c>
      <c r="J167" s="2" t="s">
        <v>19</v>
      </c>
      <c r="K167" s="2" t="s">
        <v>1251</v>
      </c>
      <c r="L167" s="7" t="str">
        <f>HYPERLINK("http://slimages.macys.com/is/image/MCY/11963036 ")</f>
        <v xml:space="preserve">http://slimages.macys.com/is/image/MCY/11963036 </v>
      </c>
    </row>
    <row r="168" spans="1:12" ht="24.75" x14ac:dyDescent="0.25">
      <c r="A168" s="4" t="s">
        <v>7948</v>
      </c>
      <c r="B168" s="2" t="s">
        <v>4631</v>
      </c>
      <c r="C168" s="3">
        <v>1</v>
      </c>
      <c r="D168" s="5">
        <v>40.880000000000003</v>
      </c>
      <c r="E168" s="3" t="s">
        <v>4632</v>
      </c>
      <c r="F168" s="2" t="s">
        <v>125</v>
      </c>
      <c r="G168" s="6" t="s">
        <v>156</v>
      </c>
      <c r="H168" s="2" t="s">
        <v>194</v>
      </c>
      <c r="I168" s="2" t="s">
        <v>195</v>
      </c>
      <c r="J168" s="2" t="s">
        <v>19</v>
      </c>
      <c r="K168" s="2" t="s">
        <v>107</v>
      </c>
      <c r="L168" s="7" t="str">
        <f>HYPERLINK("http://slimages.macys.com/is/image/MCY/12279952 ")</f>
        <v xml:space="preserve">http://slimages.macys.com/is/image/MCY/12279952 </v>
      </c>
    </row>
    <row r="169" spans="1:12" ht="24.75" x14ac:dyDescent="0.25">
      <c r="A169" s="4" t="s">
        <v>7949</v>
      </c>
      <c r="B169" s="2" t="s">
        <v>7950</v>
      </c>
      <c r="C169" s="3">
        <v>1</v>
      </c>
      <c r="D169" s="5">
        <v>24.98</v>
      </c>
      <c r="E169" s="3">
        <v>9101</v>
      </c>
      <c r="F169" s="2" t="s">
        <v>1296</v>
      </c>
      <c r="G169" s="6" t="s">
        <v>4401</v>
      </c>
      <c r="H169" s="2" t="s">
        <v>3402</v>
      </c>
      <c r="I169" s="2" t="s">
        <v>3409</v>
      </c>
      <c r="J169" s="2" t="s">
        <v>19</v>
      </c>
      <c r="K169" s="2" t="s">
        <v>34</v>
      </c>
      <c r="L169" s="7" t="str">
        <f>HYPERLINK("http://slimages.macys.com/is/image/MCY/3542180 ")</f>
        <v xml:space="preserve">http://slimages.macys.com/is/image/MCY/3542180 </v>
      </c>
    </row>
    <row r="170" spans="1:12" ht="24.75" x14ac:dyDescent="0.25">
      <c r="A170" s="4" t="s">
        <v>7951</v>
      </c>
      <c r="B170" s="2" t="s">
        <v>669</v>
      </c>
      <c r="C170" s="3">
        <v>1</v>
      </c>
      <c r="D170" s="5">
        <v>59.5</v>
      </c>
      <c r="E170" s="3" t="s">
        <v>670</v>
      </c>
      <c r="F170" s="2" t="s">
        <v>671</v>
      </c>
      <c r="G170" s="6"/>
      <c r="H170" s="2" t="s">
        <v>206</v>
      </c>
      <c r="I170" s="2" t="s">
        <v>207</v>
      </c>
      <c r="J170" s="2" t="s">
        <v>19</v>
      </c>
      <c r="K170" s="2" t="s">
        <v>672</v>
      </c>
      <c r="L170" s="7" t="str">
        <f>HYPERLINK("http://slimages.macys.com/is/image/MCY/9792603 ")</f>
        <v xml:space="preserve">http://slimages.macys.com/is/image/MCY/9792603 </v>
      </c>
    </row>
    <row r="171" spans="1:12" ht="24.75" x14ac:dyDescent="0.25">
      <c r="A171" s="4" t="s">
        <v>5552</v>
      </c>
      <c r="B171" s="2" t="s">
        <v>2376</v>
      </c>
      <c r="C171" s="3">
        <v>3</v>
      </c>
      <c r="D171" s="5">
        <v>40.880000000000003</v>
      </c>
      <c r="E171" s="3" t="s">
        <v>2377</v>
      </c>
      <c r="F171" s="2" t="s">
        <v>26</v>
      </c>
      <c r="G171" s="6" t="s">
        <v>234</v>
      </c>
      <c r="H171" s="2" t="s">
        <v>284</v>
      </c>
      <c r="I171" s="2" t="s">
        <v>285</v>
      </c>
      <c r="J171" s="2" t="s">
        <v>19</v>
      </c>
      <c r="K171" s="2" t="s">
        <v>34</v>
      </c>
      <c r="L171" s="7" t="str">
        <f>HYPERLINK("http://slimages.macys.com/is/image/MCY/12671730 ")</f>
        <v xml:space="preserve">http://slimages.macys.com/is/image/MCY/12671730 </v>
      </c>
    </row>
    <row r="172" spans="1:12" ht="24.75" x14ac:dyDescent="0.25">
      <c r="A172" s="4" t="s">
        <v>6408</v>
      </c>
      <c r="B172" s="2" t="s">
        <v>2376</v>
      </c>
      <c r="C172" s="3">
        <v>1</v>
      </c>
      <c r="D172" s="5">
        <v>40.880000000000003</v>
      </c>
      <c r="E172" s="3" t="s">
        <v>2377</v>
      </c>
      <c r="F172" s="2" t="s">
        <v>26</v>
      </c>
      <c r="G172" s="6" t="s">
        <v>181</v>
      </c>
      <c r="H172" s="2" t="s">
        <v>284</v>
      </c>
      <c r="I172" s="2" t="s">
        <v>285</v>
      </c>
      <c r="J172" s="2" t="s">
        <v>19</v>
      </c>
      <c r="K172" s="2" t="s">
        <v>34</v>
      </c>
      <c r="L172" s="7" t="str">
        <f>HYPERLINK("http://slimages.macys.com/is/image/MCY/12671730 ")</f>
        <v xml:space="preserve">http://slimages.macys.com/is/image/MCY/12671730 </v>
      </c>
    </row>
    <row r="173" spans="1:12" ht="24.75" x14ac:dyDescent="0.25">
      <c r="A173" s="4" t="s">
        <v>2371</v>
      </c>
      <c r="B173" s="2" t="s">
        <v>2372</v>
      </c>
      <c r="C173" s="3">
        <v>1</v>
      </c>
      <c r="D173" s="5">
        <v>44.5</v>
      </c>
      <c r="E173" s="3" t="s">
        <v>2373</v>
      </c>
      <c r="F173" s="2" t="s">
        <v>26</v>
      </c>
      <c r="G173" s="6"/>
      <c r="H173" s="2" t="s">
        <v>194</v>
      </c>
      <c r="I173" s="2" t="s">
        <v>195</v>
      </c>
      <c r="J173" s="2" t="s">
        <v>19</v>
      </c>
      <c r="K173" s="2" t="s">
        <v>648</v>
      </c>
      <c r="L173" s="7" t="str">
        <f>HYPERLINK("http://slimages.macys.com/is/image/MCY/12667980 ")</f>
        <v xml:space="preserve">http://slimages.macys.com/is/image/MCY/12667980 </v>
      </c>
    </row>
    <row r="174" spans="1:12" ht="24.75" x14ac:dyDescent="0.25">
      <c r="A174" s="4" t="s">
        <v>2374</v>
      </c>
      <c r="B174" s="2" t="s">
        <v>2372</v>
      </c>
      <c r="C174" s="3">
        <v>3</v>
      </c>
      <c r="D174" s="5">
        <v>44.5</v>
      </c>
      <c r="E174" s="3" t="s">
        <v>2373</v>
      </c>
      <c r="F174" s="2" t="s">
        <v>26</v>
      </c>
      <c r="G174" s="6"/>
      <c r="H174" s="2" t="s">
        <v>194</v>
      </c>
      <c r="I174" s="2" t="s">
        <v>195</v>
      </c>
      <c r="J174" s="2" t="s">
        <v>19</v>
      </c>
      <c r="K174" s="2" t="s">
        <v>648</v>
      </c>
      <c r="L174" s="7" t="str">
        <f>HYPERLINK("http://slimages.macys.com/is/image/MCY/12667980 ")</f>
        <v xml:space="preserve">http://slimages.macys.com/is/image/MCY/12667980 </v>
      </c>
    </row>
    <row r="175" spans="1:12" ht="36.75" x14ac:dyDescent="0.25">
      <c r="A175" s="4" t="s">
        <v>7952</v>
      </c>
      <c r="B175" s="2" t="s">
        <v>685</v>
      </c>
      <c r="C175" s="3">
        <v>1</v>
      </c>
      <c r="D175" s="5">
        <v>49.99</v>
      </c>
      <c r="E175" s="3" t="s">
        <v>686</v>
      </c>
      <c r="F175" s="2" t="s">
        <v>676</v>
      </c>
      <c r="G175" s="6" t="s">
        <v>165</v>
      </c>
      <c r="H175" s="2" t="s">
        <v>127</v>
      </c>
      <c r="I175" s="2" t="s">
        <v>541</v>
      </c>
      <c r="J175" s="2" t="s">
        <v>19</v>
      </c>
      <c r="K175" s="2" t="s">
        <v>687</v>
      </c>
      <c r="L175" s="7" t="str">
        <f>HYPERLINK("http://slimages.macys.com/is/image/MCY/10315366 ")</f>
        <v xml:space="preserve">http://slimages.macys.com/is/image/MCY/10315366 </v>
      </c>
    </row>
    <row r="176" spans="1:12" ht="24.75" x14ac:dyDescent="0.25">
      <c r="A176" s="4" t="s">
        <v>7953</v>
      </c>
      <c r="B176" s="2" t="s">
        <v>689</v>
      </c>
      <c r="C176" s="3">
        <v>1</v>
      </c>
      <c r="D176" s="5">
        <v>40.880000000000003</v>
      </c>
      <c r="E176" s="3" t="s">
        <v>690</v>
      </c>
      <c r="F176" s="2" t="s">
        <v>15</v>
      </c>
      <c r="G176" s="6" t="s">
        <v>245</v>
      </c>
      <c r="H176" s="2" t="s">
        <v>194</v>
      </c>
      <c r="I176" s="2" t="s">
        <v>195</v>
      </c>
      <c r="J176" s="2" t="s">
        <v>19</v>
      </c>
      <c r="K176" s="2" t="s">
        <v>691</v>
      </c>
      <c r="L176" s="7" t="str">
        <f>HYPERLINK("http://slimages.macys.com/is/image/MCY/12279956 ")</f>
        <v xml:space="preserve">http://slimages.macys.com/is/image/MCY/12279956 </v>
      </c>
    </row>
    <row r="177" spans="1:12" ht="48.75" x14ac:dyDescent="0.25">
      <c r="A177" s="4" t="s">
        <v>4645</v>
      </c>
      <c r="B177" s="2" t="s">
        <v>432</v>
      </c>
      <c r="C177" s="3">
        <v>1</v>
      </c>
      <c r="D177" s="5">
        <v>37.130000000000003</v>
      </c>
      <c r="E177" s="3" t="s">
        <v>4646</v>
      </c>
      <c r="F177" s="2" t="s">
        <v>26</v>
      </c>
      <c r="G177" s="6" t="s">
        <v>200</v>
      </c>
      <c r="H177" s="2" t="s">
        <v>284</v>
      </c>
      <c r="I177" s="2" t="s">
        <v>408</v>
      </c>
      <c r="J177" s="2" t="s">
        <v>19</v>
      </c>
      <c r="K177" s="2" t="s">
        <v>775</v>
      </c>
      <c r="L177" s="7" t="str">
        <f>HYPERLINK("http://slimages.macys.com/is/image/MCY/12672509 ")</f>
        <v xml:space="preserve">http://slimages.macys.com/is/image/MCY/12672509 </v>
      </c>
    </row>
    <row r="178" spans="1:12" ht="24.75" x14ac:dyDescent="0.25">
      <c r="A178" s="4" t="s">
        <v>7954</v>
      </c>
      <c r="B178" s="2" t="s">
        <v>693</v>
      </c>
      <c r="C178" s="3">
        <v>1</v>
      </c>
      <c r="D178" s="5">
        <v>29.99</v>
      </c>
      <c r="E178" s="3" t="s">
        <v>7955</v>
      </c>
      <c r="F178" s="2" t="s">
        <v>331</v>
      </c>
      <c r="G178" s="6" t="s">
        <v>200</v>
      </c>
      <c r="H178" s="2" t="s">
        <v>284</v>
      </c>
      <c r="I178" s="2" t="s">
        <v>408</v>
      </c>
      <c r="J178" s="2" t="s">
        <v>19</v>
      </c>
      <c r="K178" s="2" t="s">
        <v>409</v>
      </c>
      <c r="L178" s="7" t="str">
        <f>HYPERLINK("http://slimages.macys.com/is/image/MCY/9387631 ")</f>
        <v xml:space="preserve">http://slimages.macys.com/is/image/MCY/9387631 </v>
      </c>
    </row>
    <row r="179" spans="1:12" ht="24.75" x14ac:dyDescent="0.25">
      <c r="A179" s="4" t="s">
        <v>7956</v>
      </c>
      <c r="B179" s="2" t="s">
        <v>7957</v>
      </c>
      <c r="C179" s="3">
        <v>1</v>
      </c>
      <c r="D179" s="5">
        <v>69.5</v>
      </c>
      <c r="E179" s="3" t="s">
        <v>7958</v>
      </c>
      <c r="F179" s="2" t="s">
        <v>74</v>
      </c>
      <c r="G179" s="6" t="s">
        <v>65</v>
      </c>
      <c r="H179" s="2" t="s">
        <v>386</v>
      </c>
      <c r="I179" s="2" t="s">
        <v>207</v>
      </c>
      <c r="J179" s="2" t="s">
        <v>19</v>
      </c>
      <c r="K179" s="2" t="s">
        <v>338</v>
      </c>
      <c r="L179" s="7" t="str">
        <f>HYPERLINK("http://slimages.macys.com/is/image/MCY/8385053 ")</f>
        <v xml:space="preserve">http://slimages.macys.com/is/image/MCY/8385053 </v>
      </c>
    </row>
    <row r="180" spans="1:12" ht="24.75" x14ac:dyDescent="0.25">
      <c r="A180" s="4" t="s">
        <v>7959</v>
      </c>
      <c r="B180" s="2" t="s">
        <v>1028</v>
      </c>
      <c r="C180" s="3">
        <v>1</v>
      </c>
      <c r="D180" s="5">
        <v>37.130000000000003</v>
      </c>
      <c r="E180" s="3" t="s">
        <v>7960</v>
      </c>
      <c r="F180" s="2" t="s">
        <v>331</v>
      </c>
      <c r="G180" s="6"/>
      <c r="H180" s="2" t="s">
        <v>632</v>
      </c>
      <c r="I180" s="2" t="s">
        <v>408</v>
      </c>
      <c r="J180" s="2" t="s">
        <v>19</v>
      </c>
      <c r="K180" s="2" t="s">
        <v>409</v>
      </c>
      <c r="L180" s="7" t="str">
        <f>HYPERLINK("http://slimages.macys.com/is/image/MCY/8191312 ")</f>
        <v xml:space="preserve">http://slimages.macys.com/is/image/MCY/8191312 </v>
      </c>
    </row>
    <row r="181" spans="1:12" ht="24.75" x14ac:dyDescent="0.25">
      <c r="A181" s="4" t="s">
        <v>2392</v>
      </c>
      <c r="B181" s="2" t="s">
        <v>2385</v>
      </c>
      <c r="C181" s="3">
        <v>1</v>
      </c>
      <c r="D181" s="5">
        <v>39.5</v>
      </c>
      <c r="E181" s="3" t="s">
        <v>2386</v>
      </c>
      <c r="F181" s="2" t="s">
        <v>26</v>
      </c>
      <c r="G181" s="6" t="s">
        <v>181</v>
      </c>
      <c r="H181" s="2" t="s">
        <v>194</v>
      </c>
      <c r="I181" s="2" t="s">
        <v>195</v>
      </c>
      <c r="J181" s="2" t="s">
        <v>19</v>
      </c>
      <c r="K181" s="2" t="s">
        <v>201</v>
      </c>
      <c r="L181" s="7" t="str">
        <f>HYPERLINK("http://slimages.macys.com/is/image/MCY/12034726 ")</f>
        <v xml:space="preserve">http://slimages.macys.com/is/image/MCY/12034726 </v>
      </c>
    </row>
    <row r="182" spans="1:12" ht="24.75" x14ac:dyDescent="0.25">
      <c r="A182" s="4" t="s">
        <v>7961</v>
      </c>
      <c r="B182" s="2" t="s">
        <v>707</v>
      </c>
      <c r="C182" s="3">
        <v>1</v>
      </c>
      <c r="D182" s="5">
        <v>40.880000000000003</v>
      </c>
      <c r="E182" s="3">
        <v>100047657</v>
      </c>
      <c r="F182" s="2" t="s">
        <v>376</v>
      </c>
      <c r="G182" s="6" t="s">
        <v>27</v>
      </c>
      <c r="H182" s="2" t="s">
        <v>194</v>
      </c>
      <c r="I182" s="2" t="s">
        <v>195</v>
      </c>
      <c r="J182" s="2" t="s">
        <v>19</v>
      </c>
      <c r="K182" s="2" t="s">
        <v>546</v>
      </c>
      <c r="L182" s="7" t="str">
        <f>HYPERLINK("http://slimages.macys.com/is/image/MCY/12143636 ")</f>
        <v xml:space="preserve">http://slimages.macys.com/is/image/MCY/12143636 </v>
      </c>
    </row>
    <row r="183" spans="1:12" ht="24.75" x14ac:dyDescent="0.25">
      <c r="A183" s="4" t="s">
        <v>6411</v>
      </c>
      <c r="B183" s="2" t="s">
        <v>2385</v>
      </c>
      <c r="C183" s="3">
        <v>1</v>
      </c>
      <c r="D183" s="5">
        <v>39.5</v>
      </c>
      <c r="E183" s="3" t="s">
        <v>2386</v>
      </c>
      <c r="F183" s="2" t="s">
        <v>417</v>
      </c>
      <c r="G183" s="6" t="s">
        <v>154</v>
      </c>
      <c r="H183" s="2" t="s">
        <v>194</v>
      </c>
      <c r="I183" s="2" t="s">
        <v>195</v>
      </c>
      <c r="J183" s="2" t="s">
        <v>19</v>
      </c>
      <c r="K183" s="2" t="s">
        <v>201</v>
      </c>
      <c r="L183" s="7" t="str">
        <f>HYPERLINK("http://slimages.macys.com/is/image/MCY/12034726 ")</f>
        <v xml:space="preserve">http://slimages.macys.com/is/image/MCY/12034726 </v>
      </c>
    </row>
    <row r="184" spans="1:12" ht="24.75" x14ac:dyDescent="0.25">
      <c r="A184" s="4" t="s">
        <v>2393</v>
      </c>
      <c r="B184" s="2" t="s">
        <v>2394</v>
      </c>
      <c r="C184" s="3">
        <v>1</v>
      </c>
      <c r="D184" s="5">
        <v>40.880000000000003</v>
      </c>
      <c r="E184" s="3" t="s">
        <v>2395</v>
      </c>
      <c r="F184" s="2" t="s">
        <v>33</v>
      </c>
      <c r="G184" s="6" t="s">
        <v>181</v>
      </c>
      <c r="H184" s="2" t="s">
        <v>194</v>
      </c>
      <c r="I184" s="2" t="s">
        <v>195</v>
      </c>
      <c r="J184" s="2" t="s">
        <v>19</v>
      </c>
      <c r="K184" s="2" t="s">
        <v>34</v>
      </c>
      <c r="L184" s="7" t="str">
        <f>HYPERLINK("http://slimages.macys.com/is/image/MCY/12950238 ")</f>
        <v xml:space="preserve">http://slimages.macys.com/is/image/MCY/12950238 </v>
      </c>
    </row>
    <row r="185" spans="1:12" ht="24.75" x14ac:dyDescent="0.25">
      <c r="A185" s="4" t="s">
        <v>7962</v>
      </c>
      <c r="B185" s="2" t="s">
        <v>2394</v>
      </c>
      <c r="C185" s="3">
        <v>1</v>
      </c>
      <c r="D185" s="5">
        <v>40.880000000000003</v>
      </c>
      <c r="E185" s="3" t="s">
        <v>2395</v>
      </c>
      <c r="F185" s="2" t="s">
        <v>33</v>
      </c>
      <c r="G185" s="6" t="s">
        <v>156</v>
      </c>
      <c r="H185" s="2" t="s">
        <v>194</v>
      </c>
      <c r="I185" s="2" t="s">
        <v>195</v>
      </c>
      <c r="J185" s="2" t="s">
        <v>19</v>
      </c>
      <c r="K185" s="2" t="s">
        <v>34</v>
      </c>
      <c r="L185" s="7" t="str">
        <f>HYPERLINK("http://slimages.macys.com/is/image/MCY/12950238 ")</f>
        <v xml:space="preserve">http://slimages.macys.com/is/image/MCY/12950238 </v>
      </c>
    </row>
    <row r="186" spans="1:12" ht="24.75" x14ac:dyDescent="0.25">
      <c r="A186" s="4" t="s">
        <v>7963</v>
      </c>
      <c r="B186" s="2" t="s">
        <v>7964</v>
      </c>
      <c r="C186" s="3">
        <v>1</v>
      </c>
      <c r="D186" s="5">
        <v>44.63</v>
      </c>
      <c r="E186" s="3" t="s">
        <v>7965</v>
      </c>
      <c r="F186" s="2" t="s">
        <v>331</v>
      </c>
      <c r="G186" s="6" t="s">
        <v>200</v>
      </c>
      <c r="H186" s="2" t="s">
        <v>246</v>
      </c>
      <c r="I186" s="2" t="s">
        <v>189</v>
      </c>
      <c r="J186" s="2" t="s">
        <v>19</v>
      </c>
      <c r="K186" s="2" t="s">
        <v>160</v>
      </c>
      <c r="L186" s="7" t="str">
        <f>HYPERLINK("http://slimages.macys.com/is/image/MCY/13761167 ")</f>
        <v xml:space="preserve">http://slimages.macys.com/is/image/MCY/13761167 </v>
      </c>
    </row>
    <row r="187" spans="1:12" ht="24.75" x14ac:dyDescent="0.25">
      <c r="A187" s="4" t="s">
        <v>7966</v>
      </c>
      <c r="B187" s="2" t="s">
        <v>2268</v>
      </c>
      <c r="C187" s="3">
        <v>1</v>
      </c>
      <c r="D187" s="5">
        <v>37.130000000000003</v>
      </c>
      <c r="E187" s="3" t="s">
        <v>7967</v>
      </c>
      <c r="F187" s="2" t="s">
        <v>94</v>
      </c>
      <c r="G187" s="6"/>
      <c r="H187" s="2" t="s">
        <v>632</v>
      </c>
      <c r="I187" s="2" t="s">
        <v>285</v>
      </c>
      <c r="J187" s="2" t="s">
        <v>19</v>
      </c>
      <c r="K187" s="2" t="s">
        <v>160</v>
      </c>
      <c r="L187" s="7" t="str">
        <f>HYPERLINK("http://slimages.macys.com/is/image/MCY/13041359 ")</f>
        <v xml:space="preserve">http://slimages.macys.com/is/image/MCY/13041359 </v>
      </c>
    </row>
    <row r="188" spans="1:12" ht="24.75" x14ac:dyDescent="0.25">
      <c r="A188" s="4" t="s">
        <v>723</v>
      </c>
      <c r="B188" s="2" t="s">
        <v>453</v>
      </c>
      <c r="C188" s="3">
        <v>1</v>
      </c>
      <c r="D188" s="5">
        <v>37.130000000000003</v>
      </c>
      <c r="E188" s="3" t="s">
        <v>721</v>
      </c>
      <c r="F188" s="2" t="s">
        <v>417</v>
      </c>
      <c r="G188" s="6" t="s">
        <v>200</v>
      </c>
      <c r="H188" s="2" t="s">
        <v>284</v>
      </c>
      <c r="I188" s="2" t="s">
        <v>285</v>
      </c>
      <c r="J188" s="2" t="s">
        <v>19</v>
      </c>
      <c r="K188" s="2" t="s">
        <v>323</v>
      </c>
      <c r="L188" s="7" t="str">
        <f>HYPERLINK("http://slimages.macys.com/is/image/MCY/9678668 ")</f>
        <v xml:space="preserve">http://slimages.macys.com/is/image/MCY/9678668 </v>
      </c>
    </row>
    <row r="189" spans="1:12" ht="24.75" x14ac:dyDescent="0.25">
      <c r="A189" s="4" t="s">
        <v>7968</v>
      </c>
      <c r="B189" s="2" t="s">
        <v>2268</v>
      </c>
      <c r="C189" s="3">
        <v>2</v>
      </c>
      <c r="D189" s="5">
        <v>37.130000000000003</v>
      </c>
      <c r="E189" s="3" t="s">
        <v>7967</v>
      </c>
      <c r="F189" s="2" t="s">
        <v>94</v>
      </c>
      <c r="G189" s="6" t="s">
        <v>187</v>
      </c>
      <c r="H189" s="2" t="s">
        <v>632</v>
      </c>
      <c r="I189" s="2" t="s">
        <v>285</v>
      </c>
      <c r="J189" s="2" t="s">
        <v>19</v>
      </c>
      <c r="K189" s="2" t="s">
        <v>160</v>
      </c>
      <c r="L189" s="7" t="str">
        <f>HYPERLINK("http://slimages.macys.com/is/image/MCY/13041359 ")</f>
        <v xml:space="preserve">http://slimages.macys.com/is/image/MCY/13041359 </v>
      </c>
    </row>
    <row r="190" spans="1:12" ht="24.75" x14ac:dyDescent="0.25">
      <c r="A190" s="4" t="s">
        <v>7969</v>
      </c>
      <c r="B190" s="2" t="s">
        <v>739</v>
      </c>
      <c r="C190" s="3">
        <v>1</v>
      </c>
      <c r="D190" s="5">
        <v>59.5</v>
      </c>
      <c r="E190" s="3" t="s">
        <v>740</v>
      </c>
      <c r="F190" s="2" t="s">
        <v>111</v>
      </c>
      <c r="G190" s="6" t="s">
        <v>219</v>
      </c>
      <c r="H190" s="2" t="s">
        <v>127</v>
      </c>
      <c r="I190" s="2" t="s">
        <v>128</v>
      </c>
      <c r="J190" s="2" t="s">
        <v>19</v>
      </c>
      <c r="K190" s="2" t="s">
        <v>160</v>
      </c>
      <c r="L190" s="7" t="str">
        <f>HYPERLINK("http://slimages.macys.com/is/image/MCY/13290072 ")</f>
        <v xml:space="preserve">http://slimages.macys.com/is/image/MCY/13290072 </v>
      </c>
    </row>
    <row r="191" spans="1:12" ht="48.75" x14ac:dyDescent="0.25">
      <c r="A191" s="4" t="s">
        <v>749</v>
      </c>
      <c r="B191" s="2" t="s">
        <v>750</v>
      </c>
      <c r="C191" s="3">
        <v>1</v>
      </c>
      <c r="D191" s="5">
        <v>44.63</v>
      </c>
      <c r="E191" s="3" t="s">
        <v>751</v>
      </c>
      <c r="F191" s="2" t="s">
        <v>752</v>
      </c>
      <c r="G191" s="6" t="s">
        <v>154</v>
      </c>
      <c r="H191" s="2" t="s">
        <v>194</v>
      </c>
      <c r="I191" s="2" t="s">
        <v>195</v>
      </c>
      <c r="J191" s="2" t="s">
        <v>19</v>
      </c>
      <c r="K191" s="2" t="s">
        <v>753</v>
      </c>
      <c r="L191" s="7" t="str">
        <f>HYPERLINK("http://slimages.macys.com/is/image/MCY/12734332 ")</f>
        <v xml:space="preserve">http://slimages.macys.com/is/image/MCY/12734332 </v>
      </c>
    </row>
    <row r="192" spans="1:12" ht="24.75" x14ac:dyDescent="0.25">
      <c r="A192" s="4" t="s">
        <v>7970</v>
      </c>
      <c r="B192" s="2" t="s">
        <v>5587</v>
      </c>
      <c r="C192" s="3">
        <v>1</v>
      </c>
      <c r="D192" s="5">
        <v>44.63</v>
      </c>
      <c r="E192" s="3" t="s">
        <v>7971</v>
      </c>
      <c r="F192" s="2" t="s">
        <v>1584</v>
      </c>
      <c r="G192" s="6"/>
      <c r="H192" s="2" t="s">
        <v>188</v>
      </c>
      <c r="I192" s="2" t="s">
        <v>189</v>
      </c>
      <c r="J192" s="2" t="s">
        <v>19</v>
      </c>
      <c r="K192" s="2" t="s">
        <v>705</v>
      </c>
      <c r="L192" s="7" t="str">
        <f>HYPERLINK("http://slimages.macys.com/is/image/MCY/9597132 ")</f>
        <v xml:space="preserve">http://slimages.macys.com/is/image/MCY/9597132 </v>
      </c>
    </row>
    <row r="193" spans="1:12" ht="24.75" x14ac:dyDescent="0.25">
      <c r="A193" s="4" t="s">
        <v>7972</v>
      </c>
      <c r="B193" s="2" t="s">
        <v>7973</v>
      </c>
      <c r="C193" s="3">
        <v>1</v>
      </c>
      <c r="D193" s="5">
        <v>69.5</v>
      </c>
      <c r="E193" s="3" t="s">
        <v>7974</v>
      </c>
      <c r="F193" s="2" t="s">
        <v>64</v>
      </c>
      <c r="G193" s="6" t="s">
        <v>2208</v>
      </c>
      <c r="H193" s="2" t="s">
        <v>386</v>
      </c>
      <c r="I193" s="2" t="s">
        <v>207</v>
      </c>
      <c r="J193" s="2" t="s">
        <v>19</v>
      </c>
      <c r="K193" s="2" t="s">
        <v>338</v>
      </c>
      <c r="L193" s="7" t="str">
        <f>HYPERLINK("http://slimages.macys.com/is/image/MCY/2818350 ")</f>
        <v xml:space="preserve">http://slimages.macys.com/is/image/MCY/2818350 </v>
      </c>
    </row>
    <row r="194" spans="1:12" ht="24.75" x14ac:dyDescent="0.25">
      <c r="A194" s="4" t="s">
        <v>767</v>
      </c>
      <c r="B194" s="2" t="s">
        <v>768</v>
      </c>
      <c r="C194" s="3">
        <v>1</v>
      </c>
      <c r="D194" s="5">
        <v>34.880000000000003</v>
      </c>
      <c r="E194" s="3">
        <v>100054400</v>
      </c>
      <c r="F194" s="2" t="s">
        <v>64</v>
      </c>
      <c r="G194" s="6" t="s">
        <v>22</v>
      </c>
      <c r="H194" s="2" t="s">
        <v>194</v>
      </c>
      <c r="I194" s="2" t="s">
        <v>195</v>
      </c>
      <c r="J194" s="2" t="s">
        <v>19</v>
      </c>
      <c r="K194" s="2" t="s">
        <v>546</v>
      </c>
      <c r="L194" s="7" t="str">
        <f>HYPERLINK("http://slimages.macys.com/is/image/MCY/12850455 ")</f>
        <v xml:space="preserve">http://slimages.macys.com/is/image/MCY/12850455 </v>
      </c>
    </row>
    <row r="195" spans="1:12" ht="24.75" x14ac:dyDescent="0.25">
      <c r="A195" s="4" t="s">
        <v>2409</v>
      </c>
      <c r="B195" s="2" t="s">
        <v>768</v>
      </c>
      <c r="C195" s="3">
        <v>3</v>
      </c>
      <c r="D195" s="5">
        <v>34.880000000000003</v>
      </c>
      <c r="E195" s="3">
        <v>100054400</v>
      </c>
      <c r="F195" s="2" t="s">
        <v>64</v>
      </c>
      <c r="G195" s="6" t="s">
        <v>16</v>
      </c>
      <c r="H195" s="2" t="s">
        <v>194</v>
      </c>
      <c r="I195" s="2" t="s">
        <v>195</v>
      </c>
      <c r="J195" s="2" t="s">
        <v>19</v>
      </c>
      <c r="K195" s="2" t="s">
        <v>546</v>
      </c>
      <c r="L195" s="7" t="str">
        <f>HYPERLINK("http://slimages.macys.com/is/image/MCY/12850455 ")</f>
        <v xml:space="preserve">http://slimages.macys.com/is/image/MCY/12850455 </v>
      </c>
    </row>
    <row r="196" spans="1:12" ht="36.75" x14ac:dyDescent="0.25">
      <c r="A196" s="4" t="s">
        <v>766</v>
      </c>
      <c r="B196" s="2" t="s">
        <v>764</v>
      </c>
      <c r="C196" s="3">
        <v>1</v>
      </c>
      <c r="D196" s="5">
        <v>37.130000000000003</v>
      </c>
      <c r="E196" s="3" t="s">
        <v>765</v>
      </c>
      <c r="F196" s="2" t="s">
        <v>566</v>
      </c>
      <c r="G196" s="6" t="s">
        <v>200</v>
      </c>
      <c r="H196" s="2" t="s">
        <v>284</v>
      </c>
      <c r="I196" s="2" t="s">
        <v>458</v>
      </c>
      <c r="J196" s="2" t="s">
        <v>19</v>
      </c>
      <c r="K196" s="2" t="s">
        <v>514</v>
      </c>
      <c r="L196" s="7" t="str">
        <f>HYPERLINK("http://slimages.macys.com/is/image/MCY/13804604 ")</f>
        <v xml:space="preserve">http://slimages.macys.com/is/image/MCY/13804604 </v>
      </c>
    </row>
    <row r="197" spans="1:12" ht="36.75" x14ac:dyDescent="0.25">
      <c r="A197" s="4" t="s">
        <v>763</v>
      </c>
      <c r="B197" s="2" t="s">
        <v>764</v>
      </c>
      <c r="C197" s="3">
        <v>1</v>
      </c>
      <c r="D197" s="5">
        <v>37.130000000000003</v>
      </c>
      <c r="E197" s="3" t="s">
        <v>765</v>
      </c>
      <c r="F197" s="2" t="s">
        <v>566</v>
      </c>
      <c r="G197" s="6" t="s">
        <v>181</v>
      </c>
      <c r="H197" s="2" t="s">
        <v>284</v>
      </c>
      <c r="I197" s="2" t="s">
        <v>458</v>
      </c>
      <c r="J197" s="2" t="s">
        <v>19</v>
      </c>
      <c r="K197" s="2" t="s">
        <v>514</v>
      </c>
      <c r="L197" s="7" t="str">
        <f>HYPERLINK("http://slimages.macys.com/is/image/MCY/13804604 ")</f>
        <v xml:space="preserve">http://slimages.macys.com/is/image/MCY/13804604 </v>
      </c>
    </row>
    <row r="198" spans="1:12" ht="36.75" x14ac:dyDescent="0.25">
      <c r="A198" s="4" t="s">
        <v>2408</v>
      </c>
      <c r="B198" s="2" t="s">
        <v>764</v>
      </c>
      <c r="C198" s="3">
        <v>1</v>
      </c>
      <c r="D198" s="5">
        <v>37.130000000000003</v>
      </c>
      <c r="E198" s="3" t="s">
        <v>765</v>
      </c>
      <c r="F198" s="2" t="s">
        <v>566</v>
      </c>
      <c r="G198" s="6" t="s">
        <v>154</v>
      </c>
      <c r="H198" s="2" t="s">
        <v>284</v>
      </c>
      <c r="I198" s="2" t="s">
        <v>458</v>
      </c>
      <c r="J198" s="2" t="s">
        <v>19</v>
      </c>
      <c r="K198" s="2" t="s">
        <v>514</v>
      </c>
      <c r="L198" s="7" t="str">
        <f>HYPERLINK("http://slimages.macys.com/is/image/MCY/13804604 ")</f>
        <v xml:space="preserve">http://slimages.macys.com/is/image/MCY/13804604 </v>
      </c>
    </row>
    <row r="199" spans="1:12" ht="24.75" x14ac:dyDescent="0.25">
      <c r="A199" s="4" t="s">
        <v>2407</v>
      </c>
      <c r="B199" s="2" t="s">
        <v>768</v>
      </c>
      <c r="C199" s="3">
        <v>2</v>
      </c>
      <c r="D199" s="5">
        <v>34.880000000000003</v>
      </c>
      <c r="E199" s="3">
        <v>100054400</v>
      </c>
      <c r="F199" s="2" t="s">
        <v>64</v>
      </c>
      <c r="G199" s="6" t="s">
        <v>58</v>
      </c>
      <c r="H199" s="2" t="s">
        <v>194</v>
      </c>
      <c r="I199" s="2" t="s">
        <v>195</v>
      </c>
      <c r="J199" s="2" t="s">
        <v>19</v>
      </c>
      <c r="K199" s="2" t="s">
        <v>546</v>
      </c>
      <c r="L199" s="7" t="str">
        <f>HYPERLINK("http://slimages.macys.com/is/image/MCY/12850455 ")</f>
        <v xml:space="preserve">http://slimages.macys.com/is/image/MCY/12850455 </v>
      </c>
    </row>
    <row r="200" spans="1:12" ht="24.75" x14ac:dyDescent="0.25">
      <c r="A200" s="4" t="s">
        <v>2404</v>
      </c>
      <c r="B200" s="2" t="s">
        <v>768</v>
      </c>
      <c r="C200" s="3">
        <v>1</v>
      </c>
      <c r="D200" s="5">
        <v>34.880000000000003</v>
      </c>
      <c r="E200" s="3">
        <v>100054400</v>
      </c>
      <c r="F200" s="2" t="s">
        <v>64</v>
      </c>
      <c r="G200" s="6" t="s">
        <v>141</v>
      </c>
      <c r="H200" s="2" t="s">
        <v>194</v>
      </c>
      <c r="I200" s="2" t="s">
        <v>195</v>
      </c>
      <c r="J200" s="2" t="s">
        <v>19</v>
      </c>
      <c r="K200" s="2" t="s">
        <v>546</v>
      </c>
      <c r="L200" s="7" t="str">
        <f>HYPERLINK("http://slimages.macys.com/is/image/MCY/12850455 ")</f>
        <v xml:space="preserve">http://slimages.macys.com/is/image/MCY/12850455 </v>
      </c>
    </row>
    <row r="201" spans="1:12" ht="24.75" x14ac:dyDescent="0.25">
      <c r="A201" s="4" t="s">
        <v>7975</v>
      </c>
      <c r="B201" s="2" t="s">
        <v>768</v>
      </c>
      <c r="C201" s="3">
        <v>1</v>
      </c>
      <c r="D201" s="5">
        <v>34.880000000000003</v>
      </c>
      <c r="E201" s="3">
        <v>100054400</v>
      </c>
      <c r="F201" s="2" t="s">
        <v>64</v>
      </c>
      <c r="G201" s="6" t="s">
        <v>27</v>
      </c>
      <c r="H201" s="2" t="s">
        <v>194</v>
      </c>
      <c r="I201" s="2" t="s">
        <v>195</v>
      </c>
      <c r="J201" s="2" t="s">
        <v>19</v>
      </c>
      <c r="K201" s="2" t="s">
        <v>546</v>
      </c>
      <c r="L201" s="7" t="str">
        <f>HYPERLINK("http://slimages.macys.com/is/image/MCY/12850455 ")</f>
        <v xml:space="preserve">http://slimages.macys.com/is/image/MCY/12850455 </v>
      </c>
    </row>
    <row r="202" spans="1:12" ht="36.75" x14ac:dyDescent="0.25">
      <c r="A202" s="4" t="s">
        <v>7976</v>
      </c>
      <c r="B202" s="2" t="s">
        <v>895</v>
      </c>
      <c r="C202" s="3">
        <v>1</v>
      </c>
      <c r="D202" s="5">
        <v>44.99</v>
      </c>
      <c r="E202" s="3" t="s">
        <v>4682</v>
      </c>
      <c r="F202" s="2" t="s">
        <v>164</v>
      </c>
      <c r="G202" s="6" t="s">
        <v>363</v>
      </c>
      <c r="H202" s="2" t="s">
        <v>127</v>
      </c>
      <c r="I202" s="2" t="s">
        <v>541</v>
      </c>
      <c r="J202" s="2" t="s">
        <v>19</v>
      </c>
      <c r="K202" s="2" t="s">
        <v>500</v>
      </c>
      <c r="L202" s="7" t="str">
        <f>HYPERLINK("http://slimages.macys.com/is/image/MCY/16583426 ")</f>
        <v xml:space="preserve">http://slimages.macys.com/is/image/MCY/16583426 </v>
      </c>
    </row>
    <row r="203" spans="1:12" ht="24.75" x14ac:dyDescent="0.25">
      <c r="A203" s="4" t="s">
        <v>3562</v>
      </c>
      <c r="B203" s="2" t="s">
        <v>2411</v>
      </c>
      <c r="C203" s="3">
        <v>3</v>
      </c>
      <c r="D203" s="5">
        <v>48.38</v>
      </c>
      <c r="E203" s="3" t="s">
        <v>2412</v>
      </c>
      <c r="F203" s="2" t="s">
        <v>26</v>
      </c>
      <c r="G203" s="6" t="s">
        <v>746</v>
      </c>
      <c r="H203" s="2" t="s">
        <v>349</v>
      </c>
      <c r="I203" s="2" t="s">
        <v>285</v>
      </c>
      <c r="J203" s="2" t="s">
        <v>19</v>
      </c>
      <c r="K203" s="2" t="s">
        <v>160</v>
      </c>
      <c r="L203" s="7" t="str">
        <f>HYPERLINK("http://slimages.macys.com/is/image/MCY/12877169 ")</f>
        <v xml:space="preserve">http://slimages.macys.com/is/image/MCY/12877169 </v>
      </c>
    </row>
    <row r="204" spans="1:12" ht="24.75" x14ac:dyDescent="0.25">
      <c r="A204" s="4" t="s">
        <v>3569</v>
      </c>
      <c r="B204" s="2" t="s">
        <v>777</v>
      </c>
      <c r="C204" s="3">
        <v>1</v>
      </c>
      <c r="D204" s="5">
        <v>34.880000000000003</v>
      </c>
      <c r="E204" s="3">
        <v>100042380</v>
      </c>
      <c r="F204" s="2" t="s">
        <v>1788</v>
      </c>
      <c r="G204" s="6" t="s">
        <v>200</v>
      </c>
      <c r="H204" s="2" t="s">
        <v>194</v>
      </c>
      <c r="I204" s="2" t="s">
        <v>503</v>
      </c>
      <c r="J204" s="2" t="s">
        <v>19</v>
      </c>
      <c r="K204" s="2" t="s">
        <v>353</v>
      </c>
      <c r="L204" s="7" t="str">
        <f>HYPERLINK("http://slimages.macys.com/is/image/MCY/11145974 ")</f>
        <v xml:space="preserve">http://slimages.macys.com/is/image/MCY/11145974 </v>
      </c>
    </row>
    <row r="205" spans="1:12" ht="24.75" x14ac:dyDescent="0.25">
      <c r="A205" s="4" t="s">
        <v>7977</v>
      </c>
      <c r="B205" s="2" t="s">
        <v>777</v>
      </c>
      <c r="C205" s="3">
        <v>1</v>
      </c>
      <c r="D205" s="5">
        <v>34.880000000000003</v>
      </c>
      <c r="E205" s="3" t="s">
        <v>778</v>
      </c>
      <c r="F205" s="2" t="s">
        <v>376</v>
      </c>
      <c r="G205" s="6"/>
      <c r="H205" s="2" t="s">
        <v>312</v>
      </c>
      <c r="I205" s="2" t="s">
        <v>503</v>
      </c>
      <c r="J205" s="2" t="s">
        <v>19</v>
      </c>
      <c r="K205" s="2" t="s">
        <v>353</v>
      </c>
      <c r="L205" s="7" t="str">
        <f>HYPERLINK("http://slimages.macys.com/is/image/MCY/11146051 ")</f>
        <v xml:space="preserve">http://slimages.macys.com/is/image/MCY/11146051 </v>
      </c>
    </row>
    <row r="206" spans="1:12" ht="24.75" x14ac:dyDescent="0.25">
      <c r="A206" s="4" t="s">
        <v>7232</v>
      </c>
      <c r="B206" s="2" t="s">
        <v>777</v>
      </c>
      <c r="C206" s="3">
        <v>1</v>
      </c>
      <c r="D206" s="5">
        <v>34.880000000000003</v>
      </c>
      <c r="E206" s="3">
        <v>100042380</v>
      </c>
      <c r="F206" s="2" t="s">
        <v>74</v>
      </c>
      <c r="G206" s="6" t="s">
        <v>245</v>
      </c>
      <c r="H206" s="2" t="s">
        <v>194</v>
      </c>
      <c r="I206" s="2" t="s">
        <v>503</v>
      </c>
      <c r="J206" s="2" t="s">
        <v>19</v>
      </c>
      <c r="K206" s="2" t="s">
        <v>353</v>
      </c>
      <c r="L206" s="7" t="str">
        <f>HYPERLINK("http://slimages.macys.com/is/image/MCY/11145974 ")</f>
        <v xml:space="preserve">http://slimages.macys.com/is/image/MCY/11145974 </v>
      </c>
    </row>
    <row r="207" spans="1:12" ht="24.75" x14ac:dyDescent="0.25">
      <c r="A207" s="4" t="s">
        <v>7978</v>
      </c>
      <c r="B207" s="2" t="s">
        <v>777</v>
      </c>
      <c r="C207" s="3">
        <v>1</v>
      </c>
      <c r="D207" s="5">
        <v>34.880000000000003</v>
      </c>
      <c r="E207" s="3">
        <v>100042380</v>
      </c>
      <c r="F207" s="2" t="s">
        <v>74</v>
      </c>
      <c r="G207" s="6" t="s">
        <v>154</v>
      </c>
      <c r="H207" s="2" t="s">
        <v>194</v>
      </c>
      <c r="I207" s="2" t="s">
        <v>503</v>
      </c>
      <c r="J207" s="2" t="s">
        <v>19</v>
      </c>
      <c r="K207" s="2" t="s">
        <v>353</v>
      </c>
      <c r="L207" s="7" t="str">
        <f>HYPERLINK("http://slimages.macys.com/is/image/MCY/11145974 ")</f>
        <v xml:space="preserve">http://slimages.macys.com/is/image/MCY/11145974 </v>
      </c>
    </row>
    <row r="208" spans="1:12" ht="36.75" x14ac:dyDescent="0.25">
      <c r="A208" s="4" t="s">
        <v>7979</v>
      </c>
      <c r="B208" s="2" t="s">
        <v>3577</v>
      </c>
      <c r="C208" s="3">
        <v>1</v>
      </c>
      <c r="D208" s="5">
        <v>44.63</v>
      </c>
      <c r="E208" s="3" t="s">
        <v>7980</v>
      </c>
      <c r="F208" s="2" t="s">
        <v>413</v>
      </c>
      <c r="G208" s="6" t="s">
        <v>219</v>
      </c>
      <c r="H208" s="2" t="s">
        <v>188</v>
      </c>
      <c r="I208" s="2" t="s">
        <v>189</v>
      </c>
      <c r="J208" s="2" t="s">
        <v>19</v>
      </c>
      <c r="K208" s="2" t="s">
        <v>3585</v>
      </c>
      <c r="L208" s="7" t="str">
        <f>HYPERLINK("http://slimages.macys.com/is/image/MCY/9485198 ")</f>
        <v xml:space="preserve">http://slimages.macys.com/is/image/MCY/9485198 </v>
      </c>
    </row>
    <row r="209" spans="1:12" ht="36.75" x14ac:dyDescent="0.25">
      <c r="A209" s="4" t="s">
        <v>779</v>
      </c>
      <c r="B209" s="2" t="s">
        <v>780</v>
      </c>
      <c r="C209" s="3">
        <v>1</v>
      </c>
      <c r="D209" s="5">
        <v>59.5</v>
      </c>
      <c r="E209" s="3" t="s">
        <v>781</v>
      </c>
      <c r="F209" s="2" t="s">
        <v>53</v>
      </c>
      <c r="G209" s="6"/>
      <c r="H209" s="2" t="s">
        <v>127</v>
      </c>
      <c r="I209" s="2" t="s">
        <v>128</v>
      </c>
      <c r="J209" s="2" t="s">
        <v>19</v>
      </c>
      <c r="K209" s="2" t="s">
        <v>782</v>
      </c>
      <c r="L209" s="7" t="str">
        <f>HYPERLINK("http://slimages.macys.com/is/image/MCY/13039364 ")</f>
        <v xml:space="preserve">http://slimages.macys.com/is/image/MCY/13039364 </v>
      </c>
    </row>
    <row r="210" spans="1:12" ht="24.75" x14ac:dyDescent="0.25">
      <c r="A210" s="4" t="s">
        <v>7981</v>
      </c>
      <c r="B210" s="2" t="s">
        <v>7982</v>
      </c>
      <c r="C210" s="3">
        <v>3</v>
      </c>
      <c r="D210" s="5">
        <v>69.5</v>
      </c>
      <c r="E210" s="3">
        <v>100052014</v>
      </c>
      <c r="F210" s="2" t="s">
        <v>252</v>
      </c>
      <c r="G210" s="6" t="s">
        <v>22</v>
      </c>
      <c r="H210" s="2" t="s">
        <v>386</v>
      </c>
      <c r="I210" s="2" t="s">
        <v>337</v>
      </c>
      <c r="J210" s="2" t="s">
        <v>19</v>
      </c>
      <c r="K210" s="2" t="s">
        <v>338</v>
      </c>
      <c r="L210" s="7" t="str">
        <f>HYPERLINK("http://slimages.macys.com/is/image/MCY/10625187 ")</f>
        <v xml:space="preserve">http://slimages.macys.com/is/image/MCY/10625187 </v>
      </c>
    </row>
    <row r="211" spans="1:12" ht="24.75" x14ac:dyDescent="0.25">
      <c r="A211" s="4" t="s">
        <v>7983</v>
      </c>
      <c r="B211" s="2" t="s">
        <v>7982</v>
      </c>
      <c r="C211" s="3">
        <v>1</v>
      </c>
      <c r="D211" s="5">
        <v>69.5</v>
      </c>
      <c r="E211" s="3">
        <v>100052014</v>
      </c>
      <c r="F211" s="2" t="s">
        <v>252</v>
      </c>
      <c r="G211" s="6" t="s">
        <v>16</v>
      </c>
      <c r="H211" s="2" t="s">
        <v>386</v>
      </c>
      <c r="I211" s="2" t="s">
        <v>337</v>
      </c>
      <c r="J211" s="2" t="s">
        <v>19</v>
      </c>
      <c r="K211" s="2" t="s">
        <v>338</v>
      </c>
      <c r="L211" s="7" t="str">
        <f>HYPERLINK("http://slimages.macys.com/is/image/MCY/10625187 ")</f>
        <v xml:space="preserve">http://slimages.macys.com/is/image/MCY/10625187 </v>
      </c>
    </row>
    <row r="212" spans="1:12" ht="24.75" x14ac:dyDescent="0.25">
      <c r="A212" s="4" t="s">
        <v>7984</v>
      </c>
      <c r="B212" s="2" t="s">
        <v>7985</v>
      </c>
      <c r="C212" s="3">
        <v>1</v>
      </c>
      <c r="D212" s="5">
        <v>45</v>
      </c>
      <c r="E212" s="3" t="s">
        <v>7986</v>
      </c>
      <c r="F212" s="2" t="s">
        <v>74</v>
      </c>
      <c r="G212" s="6"/>
      <c r="H212" s="2" t="s">
        <v>447</v>
      </c>
      <c r="I212" s="2" t="s">
        <v>792</v>
      </c>
      <c r="J212" s="2" t="s">
        <v>19</v>
      </c>
      <c r="K212" s="2" t="s">
        <v>160</v>
      </c>
      <c r="L212" s="7" t="str">
        <f>HYPERLINK("http://slimages.macys.com/is/image/MCY/8252064 ")</f>
        <v xml:space="preserve">http://slimages.macys.com/is/image/MCY/8252064 </v>
      </c>
    </row>
    <row r="213" spans="1:12" ht="24.75" x14ac:dyDescent="0.25">
      <c r="A213" s="4" t="s">
        <v>7987</v>
      </c>
      <c r="B213" s="2" t="s">
        <v>7985</v>
      </c>
      <c r="C213" s="3">
        <v>1</v>
      </c>
      <c r="D213" s="5">
        <v>45</v>
      </c>
      <c r="E213" s="3" t="s">
        <v>7986</v>
      </c>
      <c r="F213" s="2" t="s">
        <v>74</v>
      </c>
      <c r="G213" s="6" t="s">
        <v>791</v>
      </c>
      <c r="H213" s="2" t="s">
        <v>447</v>
      </c>
      <c r="I213" s="2" t="s">
        <v>792</v>
      </c>
      <c r="J213" s="2" t="s">
        <v>19</v>
      </c>
      <c r="K213" s="2" t="s">
        <v>160</v>
      </c>
      <c r="L213" s="7" t="str">
        <f>HYPERLINK("http://slimages.macys.com/is/image/MCY/8252064 ")</f>
        <v xml:space="preserve">http://slimages.macys.com/is/image/MCY/8252064 </v>
      </c>
    </row>
    <row r="214" spans="1:12" ht="24.75" x14ac:dyDescent="0.25">
      <c r="A214" s="4" t="s">
        <v>7988</v>
      </c>
      <c r="B214" s="2" t="s">
        <v>4691</v>
      </c>
      <c r="C214" s="3">
        <v>1</v>
      </c>
      <c r="D214" s="5">
        <v>36.75</v>
      </c>
      <c r="E214" s="3">
        <v>100060496</v>
      </c>
      <c r="F214" s="2" t="s">
        <v>89</v>
      </c>
      <c r="G214" s="6" t="s">
        <v>141</v>
      </c>
      <c r="H214" s="2" t="s">
        <v>228</v>
      </c>
      <c r="I214" s="2" t="s">
        <v>229</v>
      </c>
      <c r="J214" s="2" t="s">
        <v>19</v>
      </c>
      <c r="K214" s="2" t="s">
        <v>230</v>
      </c>
      <c r="L214" s="7" t="str">
        <f>HYPERLINK("http://slimages.macys.com/is/image/MCY/12316599 ")</f>
        <v xml:space="preserve">http://slimages.macys.com/is/image/MCY/12316599 </v>
      </c>
    </row>
    <row r="215" spans="1:12" ht="24.75" x14ac:dyDescent="0.25">
      <c r="A215" s="4" t="s">
        <v>7989</v>
      </c>
      <c r="B215" s="2" t="s">
        <v>4691</v>
      </c>
      <c r="C215" s="3">
        <v>1</v>
      </c>
      <c r="D215" s="5">
        <v>36.75</v>
      </c>
      <c r="E215" s="3">
        <v>100060495</v>
      </c>
      <c r="F215" s="2" t="s">
        <v>89</v>
      </c>
      <c r="G215" s="6" t="s">
        <v>65</v>
      </c>
      <c r="H215" s="2" t="s">
        <v>228</v>
      </c>
      <c r="I215" s="2" t="s">
        <v>229</v>
      </c>
      <c r="J215" s="2" t="s">
        <v>19</v>
      </c>
      <c r="K215" s="2" t="s">
        <v>230</v>
      </c>
      <c r="L215" s="7" t="str">
        <f>HYPERLINK("http://slimages.macys.com/is/image/MCY/12316599 ")</f>
        <v xml:space="preserve">http://slimages.macys.com/is/image/MCY/12316599 </v>
      </c>
    </row>
    <row r="216" spans="1:12" ht="24.75" x14ac:dyDescent="0.25">
      <c r="A216" s="4" t="s">
        <v>7990</v>
      </c>
      <c r="B216" s="2" t="s">
        <v>4691</v>
      </c>
      <c r="C216" s="3">
        <v>1</v>
      </c>
      <c r="D216" s="5">
        <v>36.75</v>
      </c>
      <c r="E216" s="3">
        <v>100060495</v>
      </c>
      <c r="F216" s="2" t="s">
        <v>89</v>
      </c>
      <c r="G216" s="6" t="s">
        <v>106</v>
      </c>
      <c r="H216" s="2" t="s">
        <v>228</v>
      </c>
      <c r="I216" s="2" t="s">
        <v>229</v>
      </c>
      <c r="J216" s="2" t="s">
        <v>19</v>
      </c>
      <c r="K216" s="2" t="s">
        <v>230</v>
      </c>
      <c r="L216" s="7" t="str">
        <f>HYPERLINK("http://slimages.macys.com/is/image/MCY/12316599 ")</f>
        <v xml:space="preserve">http://slimages.macys.com/is/image/MCY/12316599 </v>
      </c>
    </row>
    <row r="217" spans="1:12" ht="24.75" x14ac:dyDescent="0.25">
      <c r="A217" s="4" t="s">
        <v>804</v>
      </c>
      <c r="B217" s="2" t="s">
        <v>800</v>
      </c>
      <c r="C217" s="3">
        <v>1</v>
      </c>
      <c r="D217" s="5">
        <v>37.130000000000003</v>
      </c>
      <c r="E217" s="3" t="s">
        <v>801</v>
      </c>
      <c r="F217" s="2" t="s">
        <v>64</v>
      </c>
      <c r="G217" s="6" t="s">
        <v>238</v>
      </c>
      <c r="H217" s="2" t="s">
        <v>188</v>
      </c>
      <c r="I217" s="2" t="s">
        <v>189</v>
      </c>
      <c r="J217" s="2" t="s">
        <v>19</v>
      </c>
      <c r="K217" s="2" t="s">
        <v>803</v>
      </c>
      <c r="L217" s="7" t="str">
        <f>HYPERLINK("http://slimages.macys.com/is/image/MCY/9484269 ")</f>
        <v xml:space="preserve">http://slimages.macys.com/is/image/MCY/9484269 </v>
      </c>
    </row>
    <row r="218" spans="1:12" ht="24.75" x14ac:dyDescent="0.25">
      <c r="A218" s="4" t="s">
        <v>807</v>
      </c>
      <c r="B218" s="2" t="s">
        <v>808</v>
      </c>
      <c r="C218" s="3">
        <v>1</v>
      </c>
      <c r="D218" s="5">
        <v>37.130000000000003</v>
      </c>
      <c r="E218" s="3">
        <v>100013676</v>
      </c>
      <c r="F218" s="2" t="s">
        <v>53</v>
      </c>
      <c r="G218" s="6" t="s">
        <v>156</v>
      </c>
      <c r="H218" s="2" t="s">
        <v>194</v>
      </c>
      <c r="I218" s="2" t="s">
        <v>503</v>
      </c>
      <c r="J218" s="2" t="s">
        <v>19</v>
      </c>
      <c r="K218" s="2" t="s">
        <v>546</v>
      </c>
      <c r="L218" s="7" t="str">
        <f>HYPERLINK("http://slimages.macys.com/is/image/MCY/9340718 ")</f>
        <v xml:space="preserve">http://slimages.macys.com/is/image/MCY/9340718 </v>
      </c>
    </row>
    <row r="219" spans="1:12" ht="24.75" x14ac:dyDescent="0.25">
      <c r="A219" s="4" t="s">
        <v>7991</v>
      </c>
      <c r="B219" s="2" t="s">
        <v>811</v>
      </c>
      <c r="C219" s="3">
        <v>1</v>
      </c>
      <c r="D219" s="5">
        <v>37.130000000000003</v>
      </c>
      <c r="E219" s="3" t="s">
        <v>812</v>
      </c>
      <c r="F219" s="2" t="s">
        <v>170</v>
      </c>
      <c r="G219" s="6" t="s">
        <v>245</v>
      </c>
      <c r="H219" s="2" t="s">
        <v>194</v>
      </c>
      <c r="I219" s="2" t="s">
        <v>195</v>
      </c>
      <c r="J219" s="2" t="s">
        <v>19</v>
      </c>
      <c r="K219" s="2" t="s">
        <v>160</v>
      </c>
      <c r="L219" s="7" t="str">
        <f>HYPERLINK("http://slimages.macys.com/is/image/MCY/11804348 ")</f>
        <v xml:space="preserve">http://slimages.macys.com/is/image/MCY/11804348 </v>
      </c>
    </row>
    <row r="220" spans="1:12" ht="24.75" x14ac:dyDescent="0.25">
      <c r="A220" s="4" t="s">
        <v>7992</v>
      </c>
      <c r="B220" s="2" t="s">
        <v>811</v>
      </c>
      <c r="C220" s="3">
        <v>1</v>
      </c>
      <c r="D220" s="5">
        <v>37.130000000000003</v>
      </c>
      <c r="E220" s="3" t="s">
        <v>812</v>
      </c>
      <c r="F220" s="2" t="s">
        <v>170</v>
      </c>
      <c r="G220" s="6" t="s">
        <v>200</v>
      </c>
      <c r="H220" s="2" t="s">
        <v>194</v>
      </c>
      <c r="I220" s="2" t="s">
        <v>195</v>
      </c>
      <c r="J220" s="2" t="s">
        <v>19</v>
      </c>
      <c r="K220" s="2" t="s">
        <v>160</v>
      </c>
      <c r="L220" s="7" t="str">
        <f>HYPERLINK("http://slimages.macys.com/is/image/MCY/11804348 ")</f>
        <v xml:space="preserve">http://slimages.macys.com/is/image/MCY/11804348 </v>
      </c>
    </row>
    <row r="221" spans="1:12" ht="24.75" x14ac:dyDescent="0.25">
      <c r="A221" s="4" t="s">
        <v>7993</v>
      </c>
      <c r="B221" s="2" t="s">
        <v>811</v>
      </c>
      <c r="C221" s="3">
        <v>1</v>
      </c>
      <c r="D221" s="5">
        <v>37.130000000000003</v>
      </c>
      <c r="E221" s="3" t="s">
        <v>812</v>
      </c>
      <c r="F221" s="2" t="s">
        <v>170</v>
      </c>
      <c r="G221" s="6" t="s">
        <v>156</v>
      </c>
      <c r="H221" s="2" t="s">
        <v>194</v>
      </c>
      <c r="I221" s="2" t="s">
        <v>195</v>
      </c>
      <c r="J221" s="2" t="s">
        <v>19</v>
      </c>
      <c r="K221" s="2" t="s">
        <v>160</v>
      </c>
      <c r="L221" s="7" t="str">
        <f>HYPERLINK("http://slimages.macys.com/is/image/MCY/11804348 ")</f>
        <v xml:space="preserve">http://slimages.macys.com/is/image/MCY/11804348 </v>
      </c>
    </row>
    <row r="222" spans="1:12" ht="24.75" x14ac:dyDescent="0.25">
      <c r="A222" s="4" t="s">
        <v>810</v>
      </c>
      <c r="B222" s="2" t="s">
        <v>811</v>
      </c>
      <c r="C222" s="3">
        <v>1</v>
      </c>
      <c r="D222" s="5">
        <v>37.130000000000003</v>
      </c>
      <c r="E222" s="3" t="s">
        <v>812</v>
      </c>
      <c r="F222" s="2" t="s">
        <v>170</v>
      </c>
      <c r="G222" s="6" t="s">
        <v>181</v>
      </c>
      <c r="H222" s="2" t="s">
        <v>194</v>
      </c>
      <c r="I222" s="2" t="s">
        <v>195</v>
      </c>
      <c r="J222" s="2" t="s">
        <v>19</v>
      </c>
      <c r="K222" s="2" t="s">
        <v>160</v>
      </c>
      <c r="L222" s="7" t="str">
        <f>HYPERLINK("http://slimages.macys.com/is/image/MCY/11804348 ")</f>
        <v xml:space="preserve">http://slimages.macys.com/is/image/MCY/11804348 </v>
      </c>
    </row>
    <row r="223" spans="1:12" ht="24.75" x14ac:dyDescent="0.25">
      <c r="A223" s="4" t="s">
        <v>7994</v>
      </c>
      <c r="B223" s="2" t="s">
        <v>2430</v>
      </c>
      <c r="C223" s="3">
        <v>1</v>
      </c>
      <c r="D223" s="5">
        <v>59.5</v>
      </c>
      <c r="E223" s="3" t="s">
        <v>2431</v>
      </c>
      <c r="F223" s="2" t="s">
        <v>64</v>
      </c>
      <c r="G223" s="6" t="s">
        <v>141</v>
      </c>
      <c r="H223" s="2" t="s">
        <v>386</v>
      </c>
      <c r="I223" s="2" t="s">
        <v>337</v>
      </c>
      <c r="J223" s="2" t="s">
        <v>19</v>
      </c>
      <c r="K223" s="2" t="s">
        <v>387</v>
      </c>
      <c r="L223" s="7" t="str">
        <f>HYPERLINK("http://slimages.macys.com/is/image/MCY/9477891 ")</f>
        <v xml:space="preserve">http://slimages.macys.com/is/image/MCY/9477891 </v>
      </c>
    </row>
    <row r="224" spans="1:12" ht="24.75" x14ac:dyDescent="0.25">
      <c r="A224" s="4" t="s">
        <v>2432</v>
      </c>
      <c r="B224" s="2" t="s">
        <v>818</v>
      </c>
      <c r="C224" s="3">
        <v>3</v>
      </c>
      <c r="D224" s="5">
        <v>36.5</v>
      </c>
      <c r="E224" s="3" t="s">
        <v>819</v>
      </c>
      <c r="F224" s="2" t="s">
        <v>820</v>
      </c>
      <c r="G224" s="6" t="s">
        <v>181</v>
      </c>
      <c r="H224" s="2" t="s">
        <v>194</v>
      </c>
      <c r="I224" s="2" t="s">
        <v>195</v>
      </c>
      <c r="J224" s="2" t="s">
        <v>19</v>
      </c>
      <c r="K224" s="2" t="s">
        <v>201</v>
      </c>
      <c r="L224" s="7" t="str">
        <f>HYPERLINK("http://slimages.macys.com/is/image/MCY/11935616 ")</f>
        <v xml:space="preserve">http://slimages.macys.com/is/image/MCY/11935616 </v>
      </c>
    </row>
    <row r="225" spans="1:12" ht="24.75" x14ac:dyDescent="0.25">
      <c r="A225" s="4" t="s">
        <v>7995</v>
      </c>
      <c r="B225" s="2" t="s">
        <v>7996</v>
      </c>
      <c r="C225" s="3">
        <v>1</v>
      </c>
      <c r="D225" s="5">
        <v>36.5</v>
      </c>
      <c r="E225" s="3" t="s">
        <v>7997</v>
      </c>
      <c r="F225" s="2" t="s">
        <v>1322</v>
      </c>
      <c r="G225" s="6" t="s">
        <v>234</v>
      </c>
      <c r="H225" s="2" t="s">
        <v>194</v>
      </c>
      <c r="I225" s="2" t="s">
        <v>195</v>
      </c>
      <c r="J225" s="2" t="s">
        <v>19</v>
      </c>
      <c r="K225" s="2" t="s">
        <v>137</v>
      </c>
      <c r="L225" s="7" t="str">
        <f>HYPERLINK("http://slimages.macys.com/is/image/MCY/11415298 ")</f>
        <v xml:space="preserve">http://slimages.macys.com/is/image/MCY/11415298 </v>
      </c>
    </row>
    <row r="226" spans="1:12" ht="24.75" x14ac:dyDescent="0.25">
      <c r="A226" s="4" t="s">
        <v>7998</v>
      </c>
      <c r="B226" s="2" t="s">
        <v>7999</v>
      </c>
      <c r="C226" s="3">
        <v>1</v>
      </c>
      <c r="D226" s="5">
        <v>36.5</v>
      </c>
      <c r="E226" s="3" t="s">
        <v>8000</v>
      </c>
      <c r="F226" s="2" t="s">
        <v>15</v>
      </c>
      <c r="G226" s="6" t="s">
        <v>156</v>
      </c>
      <c r="H226" s="2" t="s">
        <v>194</v>
      </c>
      <c r="I226" s="2" t="s">
        <v>195</v>
      </c>
      <c r="J226" s="2" t="s">
        <v>19</v>
      </c>
      <c r="K226" s="2" t="s">
        <v>361</v>
      </c>
      <c r="L226" s="7" t="str">
        <f>HYPERLINK("http://slimages.macys.com/is/image/MCY/11937990 ")</f>
        <v xml:space="preserve">http://slimages.macys.com/is/image/MCY/11937990 </v>
      </c>
    </row>
    <row r="227" spans="1:12" ht="24.75" x14ac:dyDescent="0.25">
      <c r="A227" s="4" t="s">
        <v>8001</v>
      </c>
      <c r="B227" s="2" t="s">
        <v>7999</v>
      </c>
      <c r="C227" s="3">
        <v>1</v>
      </c>
      <c r="D227" s="5">
        <v>36.5</v>
      </c>
      <c r="E227" s="3" t="s">
        <v>8000</v>
      </c>
      <c r="F227" s="2" t="s">
        <v>15</v>
      </c>
      <c r="G227" s="6" t="s">
        <v>181</v>
      </c>
      <c r="H227" s="2" t="s">
        <v>194</v>
      </c>
      <c r="I227" s="2" t="s">
        <v>195</v>
      </c>
      <c r="J227" s="2" t="s">
        <v>19</v>
      </c>
      <c r="K227" s="2" t="s">
        <v>361</v>
      </c>
      <c r="L227" s="7" t="str">
        <f>HYPERLINK("http://slimages.macys.com/is/image/MCY/11937990 ")</f>
        <v xml:space="preserve">http://slimages.macys.com/is/image/MCY/11937990 </v>
      </c>
    </row>
    <row r="228" spans="1:12" ht="48.75" x14ac:dyDescent="0.25">
      <c r="A228" s="4" t="s">
        <v>8002</v>
      </c>
      <c r="B228" s="2" t="s">
        <v>8003</v>
      </c>
      <c r="C228" s="3">
        <v>1</v>
      </c>
      <c r="D228" s="5">
        <v>40.880000000000003</v>
      </c>
      <c r="E228" s="3" t="s">
        <v>8004</v>
      </c>
      <c r="F228" s="2" t="s">
        <v>413</v>
      </c>
      <c r="G228" s="6" t="s">
        <v>234</v>
      </c>
      <c r="H228" s="2" t="s">
        <v>284</v>
      </c>
      <c r="I228" s="2" t="s">
        <v>458</v>
      </c>
      <c r="J228" s="2" t="s">
        <v>19</v>
      </c>
      <c r="K228" s="2" t="s">
        <v>8005</v>
      </c>
      <c r="L228" s="7" t="str">
        <f>HYPERLINK("http://slimages.macys.com/is/image/MCY/12283188 ")</f>
        <v xml:space="preserve">http://slimages.macys.com/is/image/MCY/12283188 </v>
      </c>
    </row>
    <row r="229" spans="1:12" ht="24.75" x14ac:dyDescent="0.25">
      <c r="A229" s="4" t="s">
        <v>3592</v>
      </c>
      <c r="B229" s="2" t="s">
        <v>3593</v>
      </c>
      <c r="C229" s="3">
        <v>1</v>
      </c>
      <c r="D229" s="5">
        <v>36.5</v>
      </c>
      <c r="E229" s="3" t="s">
        <v>3594</v>
      </c>
      <c r="F229" s="2" t="s">
        <v>15</v>
      </c>
      <c r="G229" s="6" t="s">
        <v>154</v>
      </c>
      <c r="H229" s="2" t="s">
        <v>194</v>
      </c>
      <c r="I229" s="2" t="s">
        <v>195</v>
      </c>
      <c r="J229" s="2" t="s">
        <v>19</v>
      </c>
      <c r="K229" s="2" t="s">
        <v>3598</v>
      </c>
      <c r="L229" s="7" t="str">
        <f>HYPERLINK("http://slimages.macys.com/is/image/MCY/11764603 ")</f>
        <v xml:space="preserve">http://slimages.macys.com/is/image/MCY/11764603 </v>
      </c>
    </row>
    <row r="230" spans="1:12" ht="24.75" x14ac:dyDescent="0.25">
      <c r="A230" s="4" t="s">
        <v>8006</v>
      </c>
      <c r="B230" s="2" t="s">
        <v>3593</v>
      </c>
      <c r="C230" s="3">
        <v>1</v>
      </c>
      <c r="D230" s="5">
        <v>36.5</v>
      </c>
      <c r="E230" s="3" t="s">
        <v>3594</v>
      </c>
      <c r="F230" s="2" t="s">
        <v>15</v>
      </c>
      <c r="G230" s="6" t="s">
        <v>181</v>
      </c>
      <c r="H230" s="2" t="s">
        <v>194</v>
      </c>
      <c r="I230" s="2" t="s">
        <v>195</v>
      </c>
      <c r="J230" s="2" t="s">
        <v>19</v>
      </c>
      <c r="K230" s="2" t="s">
        <v>3598</v>
      </c>
      <c r="L230" s="7" t="str">
        <f>HYPERLINK("http://slimages.macys.com/is/image/MCY/11764603 ")</f>
        <v xml:space="preserve">http://slimages.macys.com/is/image/MCY/11764603 </v>
      </c>
    </row>
    <row r="231" spans="1:12" ht="24.75" x14ac:dyDescent="0.25">
      <c r="A231" s="4" t="s">
        <v>2445</v>
      </c>
      <c r="B231" s="2" t="s">
        <v>2439</v>
      </c>
      <c r="C231" s="3">
        <v>1</v>
      </c>
      <c r="D231" s="5">
        <v>44.63</v>
      </c>
      <c r="E231" s="3" t="s">
        <v>2440</v>
      </c>
      <c r="F231" s="2" t="s">
        <v>956</v>
      </c>
      <c r="G231" s="6" t="s">
        <v>154</v>
      </c>
      <c r="H231" s="2" t="s">
        <v>194</v>
      </c>
      <c r="I231" s="2" t="s">
        <v>195</v>
      </c>
      <c r="J231" s="2" t="s">
        <v>19</v>
      </c>
      <c r="K231" s="2" t="s">
        <v>34</v>
      </c>
      <c r="L231" s="7" t="str">
        <f>HYPERLINK("http://slimages.macys.com/is/image/MCY/11527019 ")</f>
        <v xml:space="preserve">http://slimages.macys.com/is/image/MCY/11527019 </v>
      </c>
    </row>
    <row r="232" spans="1:12" ht="24.75" x14ac:dyDescent="0.25">
      <c r="A232" s="4" t="s">
        <v>4711</v>
      </c>
      <c r="B232" s="2" t="s">
        <v>827</v>
      </c>
      <c r="C232" s="3">
        <v>1</v>
      </c>
      <c r="D232" s="5">
        <v>37.130000000000003</v>
      </c>
      <c r="E232" s="3">
        <v>100009535</v>
      </c>
      <c r="F232" s="2" t="s">
        <v>15</v>
      </c>
      <c r="G232" s="6" t="s">
        <v>16</v>
      </c>
      <c r="H232" s="2" t="s">
        <v>194</v>
      </c>
      <c r="I232" s="2" t="s">
        <v>503</v>
      </c>
      <c r="J232" s="2" t="s">
        <v>19</v>
      </c>
      <c r="K232" s="2" t="s">
        <v>353</v>
      </c>
      <c r="L232" s="7" t="str">
        <f>HYPERLINK("http://slimages.macys.com/is/image/MCY/9340634 ")</f>
        <v xml:space="preserve">http://slimages.macys.com/is/image/MCY/9340634 </v>
      </c>
    </row>
    <row r="233" spans="1:12" ht="24.75" x14ac:dyDescent="0.25">
      <c r="A233" s="4" t="s">
        <v>8007</v>
      </c>
      <c r="B233" s="2" t="s">
        <v>827</v>
      </c>
      <c r="C233" s="3">
        <v>1</v>
      </c>
      <c r="D233" s="5">
        <v>37.130000000000003</v>
      </c>
      <c r="E233" s="3">
        <v>100009535</v>
      </c>
      <c r="F233" s="2" t="s">
        <v>64</v>
      </c>
      <c r="G233" s="6" t="s">
        <v>22</v>
      </c>
      <c r="H233" s="2" t="s">
        <v>194</v>
      </c>
      <c r="I233" s="2" t="s">
        <v>503</v>
      </c>
      <c r="J233" s="2" t="s">
        <v>19</v>
      </c>
      <c r="K233" s="2" t="s">
        <v>353</v>
      </c>
      <c r="L233" s="7" t="str">
        <f>HYPERLINK("http://slimages.macys.com/is/image/MCY/9340634 ")</f>
        <v xml:space="preserve">http://slimages.macys.com/is/image/MCY/9340634 </v>
      </c>
    </row>
    <row r="234" spans="1:12" ht="24.75" x14ac:dyDescent="0.25">
      <c r="A234" s="4" t="s">
        <v>2442</v>
      </c>
      <c r="B234" s="2" t="s">
        <v>827</v>
      </c>
      <c r="C234" s="3">
        <v>1</v>
      </c>
      <c r="D234" s="5">
        <v>37.130000000000003</v>
      </c>
      <c r="E234" s="3">
        <v>100009535</v>
      </c>
      <c r="F234" s="2" t="s">
        <v>566</v>
      </c>
      <c r="G234" s="6" t="s">
        <v>16</v>
      </c>
      <c r="H234" s="2" t="s">
        <v>194</v>
      </c>
      <c r="I234" s="2" t="s">
        <v>503</v>
      </c>
      <c r="J234" s="2" t="s">
        <v>19</v>
      </c>
      <c r="K234" s="2" t="s">
        <v>353</v>
      </c>
      <c r="L234" s="7" t="str">
        <f>HYPERLINK("http://slimages.macys.com/is/image/MCY/9340634 ")</f>
        <v xml:space="preserve">http://slimages.macys.com/is/image/MCY/9340634 </v>
      </c>
    </row>
    <row r="235" spans="1:12" ht="24.75" x14ac:dyDescent="0.25">
      <c r="A235" s="4" t="s">
        <v>8008</v>
      </c>
      <c r="B235" s="2" t="s">
        <v>2439</v>
      </c>
      <c r="C235" s="3">
        <v>1</v>
      </c>
      <c r="D235" s="5">
        <v>44.63</v>
      </c>
      <c r="E235" s="3" t="s">
        <v>2440</v>
      </c>
      <c r="F235" s="2" t="s">
        <v>956</v>
      </c>
      <c r="G235" s="6" t="s">
        <v>200</v>
      </c>
      <c r="H235" s="2" t="s">
        <v>194</v>
      </c>
      <c r="I235" s="2" t="s">
        <v>195</v>
      </c>
      <c r="J235" s="2" t="s">
        <v>19</v>
      </c>
      <c r="K235" s="2" t="s">
        <v>34</v>
      </c>
      <c r="L235" s="7" t="str">
        <f>HYPERLINK("http://slimages.macys.com/is/image/MCY/11527019 ")</f>
        <v xml:space="preserve">http://slimages.macys.com/is/image/MCY/11527019 </v>
      </c>
    </row>
    <row r="236" spans="1:12" ht="24.75" x14ac:dyDescent="0.25">
      <c r="A236" s="4" t="s">
        <v>6442</v>
      </c>
      <c r="B236" s="2" t="s">
        <v>827</v>
      </c>
      <c r="C236" s="3">
        <v>1</v>
      </c>
      <c r="D236" s="5">
        <v>37.130000000000003</v>
      </c>
      <c r="E236" s="3">
        <v>100009535</v>
      </c>
      <c r="F236" s="2" t="s">
        <v>26</v>
      </c>
      <c r="G236" s="6" t="s">
        <v>141</v>
      </c>
      <c r="H236" s="2" t="s">
        <v>194</v>
      </c>
      <c r="I236" s="2" t="s">
        <v>503</v>
      </c>
      <c r="J236" s="2" t="s">
        <v>19</v>
      </c>
      <c r="K236" s="2" t="s">
        <v>353</v>
      </c>
      <c r="L236" s="7" t="str">
        <f>HYPERLINK("http://slimages.macys.com/is/image/MCY/9450411 ")</f>
        <v xml:space="preserve">http://slimages.macys.com/is/image/MCY/9450411 </v>
      </c>
    </row>
    <row r="237" spans="1:12" ht="24.75" x14ac:dyDescent="0.25">
      <c r="A237" s="4" t="s">
        <v>8009</v>
      </c>
      <c r="B237" s="2" t="s">
        <v>827</v>
      </c>
      <c r="C237" s="3">
        <v>1</v>
      </c>
      <c r="D237" s="5">
        <v>37.130000000000003</v>
      </c>
      <c r="E237" s="3">
        <v>100009535</v>
      </c>
      <c r="F237" s="2" t="s">
        <v>566</v>
      </c>
      <c r="G237" s="6" t="s">
        <v>112</v>
      </c>
      <c r="H237" s="2" t="s">
        <v>194</v>
      </c>
      <c r="I237" s="2" t="s">
        <v>503</v>
      </c>
      <c r="J237" s="2" t="s">
        <v>19</v>
      </c>
      <c r="K237" s="2" t="s">
        <v>353</v>
      </c>
      <c r="L237" s="7" t="str">
        <f>HYPERLINK("http://slimages.macys.com/is/image/MCY/9340634 ")</f>
        <v xml:space="preserve">http://slimages.macys.com/is/image/MCY/9340634 </v>
      </c>
    </row>
    <row r="238" spans="1:12" ht="24.75" x14ac:dyDescent="0.25">
      <c r="A238" s="4" t="s">
        <v>8010</v>
      </c>
      <c r="B238" s="2" t="s">
        <v>827</v>
      </c>
      <c r="C238" s="3">
        <v>2</v>
      </c>
      <c r="D238" s="5">
        <v>37.130000000000003</v>
      </c>
      <c r="E238" s="3">
        <v>100009535</v>
      </c>
      <c r="F238" s="2" t="s">
        <v>15</v>
      </c>
      <c r="G238" s="6" t="s">
        <v>141</v>
      </c>
      <c r="H238" s="2" t="s">
        <v>194</v>
      </c>
      <c r="I238" s="2" t="s">
        <v>503</v>
      </c>
      <c r="J238" s="2" t="s">
        <v>19</v>
      </c>
      <c r="K238" s="2" t="s">
        <v>353</v>
      </c>
      <c r="L238" s="7" t="str">
        <f>HYPERLINK("http://slimages.macys.com/is/image/MCY/9340634 ")</f>
        <v xml:space="preserve">http://slimages.macys.com/is/image/MCY/9340634 </v>
      </c>
    </row>
    <row r="239" spans="1:12" ht="24.75" x14ac:dyDescent="0.25">
      <c r="A239" s="4" t="s">
        <v>8011</v>
      </c>
      <c r="B239" s="2" t="s">
        <v>827</v>
      </c>
      <c r="C239" s="3">
        <v>2</v>
      </c>
      <c r="D239" s="5">
        <v>37.130000000000003</v>
      </c>
      <c r="E239" s="3">
        <v>100009535</v>
      </c>
      <c r="F239" s="2" t="s">
        <v>15</v>
      </c>
      <c r="G239" s="6" t="s">
        <v>65</v>
      </c>
      <c r="H239" s="2" t="s">
        <v>194</v>
      </c>
      <c r="I239" s="2" t="s">
        <v>503</v>
      </c>
      <c r="J239" s="2" t="s">
        <v>19</v>
      </c>
      <c r="K239" s="2" t="s">
        <v>353</v>
      </c>
      <c r="L239" s="7" t="str">
        <f>HYPERLINK("http://slimages.macys.com/is/image/MCY/9340634 ")</f>
        <v xml:space="preserve">http://slimages.macys.com/is/image/MCY/9340634 </v>
      </c>
    </row>
    <row r="240" spans="1:12" ht="24.75" x14ac:dyDescent="0.25">
      <c r="A240" s="4" t="s">
        <v>5624</v>
      </c>
      <c r="B240" s="2" t="s">
        <v>827</v>
      </c>
      <c r="C240" s="3">
        <v>1</v>
      </c>
      <c r="D240" s="5">
        <v>37.130000000000003</v>
      </c>
      <c r="E240" s="3">
        <v>100009535</v>
      </c>
      <c r="F240" s="2" t="s">
        <v>15</v>
      </c>
      <c r="G240" s="6" t="s">
        <v>27</v>
      </c>
      <c r="H240" s="2" t="s">
        <v>194</v>
      </c>
      <c r="I240" s="2" t="s">
        <v>503</v>
      </c>
      <c r="J240" s="2" t="s">
        <v>19</v>
      </c>
      <c r="K240" s="2" t="s">
        <v>353</v>
      </c>
      <c r="L240" s="7" t="str">
        <f>HYPERLINK("http://slimages.macys.com/is/image/MCY/9340634 ")</f>
        <v xml:space="preserve">http://slimages.macys.com/is/image/MCY/9340634 </v>
      </c>
    </row>
    <row r="241" spans="1:12" ht="24.75" x14ac:dyDescent="0.25">
      <c r="A241" s="4" t="s">
        <v>2438</v>
      </c>
      <c r="B241" s="2" t="s">
        <v>2439</v>
      </c>
      <c r="C241" s="3">
        <v>2</v>
      </c>
      <c r="D241" s="5">
        <v>44.63</v>
      </c>
      <c r="E241" s="3" t="s">
        <v>2440</v>
      </c>
      <c r="F241" s="2" t="s">
        <v>956</v>
      </c>
      <c r="G241" s="6" t="s">
        <v>156</v>
      </c>
      <c r="H241" s="2" t="s">
        <v>194</v>
      </c>
      <c r="I241" s="2" t="s">
        <v>195</v>
      </c>
      <c r="J241" s="2" t="s">
        <v>19</v>
      </c>
      <c r="K241" s="2" t="s">
        <v>34</v>
      </c>
      <c r="L241" s="7" t="str">
        <f>HYPERLINK("http://slimages.macys.com/is/image/MCY/11527019 ")</f>
        <v xml:space="preserve">http://slimages.macys.com/is/image/MCY/11527019 </v>
      </c>
    </row>
    <row r="242" spans="1:12" ht="24.75" x14ac:dyDescent="0.25">
      <c r="A242" s="4" t="s">
        <v>8012</v>
      </c>
      <c r="B242" s="2" t="s">
        <v>890</v>
      </c>
      <c r="C242" s="3">
        <v>1</v>
      </c>
      <c r="D242" s="5">
        <v>34.5</v>
      </c>
      <c r="E242" s="3" t="s">
        <v>8013</v>
      </c>
      <c r="F242" s="2" t="s">
        <v>2680</v>
      </c>
      <c r="G242" s="6" t="s">
        <v>22</v>
      </c>
      <c r="H242" s="2" t="s">
        <v>228</v>
      </c>
      <c r="I242" s="2" t="s">
        <v>863</v>
      </c>
      <c r="J242" s="2" t="s">
        <v>19</v>
      </c>
      <c r="K242" s="2" t="s">
        <v>253</v>
      </c>
      <c r="L242" s="7" t="str">
        <f>HYPERLINK("http://slimages.macys.com/is/image/MCY/2879497 ")</f>
        <v xml:space="preserve">http://slimages.macys.com/is/image/MCY/2879497 </v>
      </c>
    </row>
    <row r="243" spans="1:12" ht="24.75" x14ac:dyDescent="0.25">
      <c r="A243" s="4" t="s">
        <v>8014</v>
      </c>
      <c r="B243" s="2" t="s">
        <v>890</v>
      </c>
      <c r="C243" s="3">
        <v>2</v>
      </c>
      <c r="D243" s="5">
        <v>34.5</v>
      </c>
      <c r="E243" s="3" t="s">
        <v>8013</v>
      </c>
      <c r="F243" s="2" t="s">
        <v>2680</v>
      </c>
      <c r="G243" s="6" t="s">
        <v>16</v>
      </c>
      <c r="H243" s="2" t="s">
        <v>228</v>
      </c>
      <c r="I243" s="2" t="s">
        <v>863</v>
      </c>
      <c r="J243" s="2" t="s">
        <v>19</v>
      </c>
      <c r="K243" s="2" t="s">
        <v>253</v>
      </c>
      <c r="L243" s="7" t="str">
        <f>HYPERLINK("http://slimages.macys.com/is/image/MCY/2879497 ")</f>
        <v xml:space="preserve">http://slimages.macys.com/is/image/MCY/2879497 </v>
      </c>
    </row>
    <row r="244" spans="1:12" ht="24.75" x14ac:dyDescent="0.25">
      <c r="A244" s="4" t="s">
        <v>8015</v>
      </c>
      <c r="B244" s="2" t="s">
        <v>5626</v>
      </c>
      <c r="C244" s="3">
        <v>1</v>
      </c>
      <c r="D244" s="5">
        <v>40.880000000000003</v>
      </c>
      <c r="E244" s="3" t="s">
        <v>5627</v>
      </c>
      <c r="F244" s="2" t="s">
        <v>26</v>
      </c>
      <c r="G244" s="6" t="s">
        <v>22</v>
      </c>
      <c r="H244" s="2" t="s">
        <v>246</v>
      </c>
      <c r="I244" s="2" t="s">
        <v>189</v>
      </c>
      <c r="J244" s="2" t="s">
        <v>19</v>
      </c>
      <c r="K244" s="2" t="s">
        <v>839</v>
      </c>
      <c r="L244" s="7" t="str">
        <f>HYPERLINK("http://slimages.macys.com/is/image/MCY/12268105 ")</f>
        <v xml:space="preserve">http://slimages.macys.com/is/image/MCY/12268105 </v>
      </c>
    </row>
    <row r="245" spans="1:12" ht="24.75" x14ac:dyDescent="0.25">
      <c r="A245" s="4" t="s">
        <v>8016</v>
      </c>
      <c r="B245" s="2" t="s">
        <v>2460</v>
      </c>
      <c r="C245" s="3">
        <v>1</v>
      </c>
      <c r="D245" s="5">
        <v>34.880000000000003</v>
      </c>
      <c r="E245" s="3" t="s">
        <v>2461</v>
      </c>
      <c r="F245" s="2" t="s">
        <v>26</v>
      </c>
      <c r="G245" s="6" t="s">
        <v>802</v>
      </c>
      <c r="H245" s="2" t="s">
        <v>312</v>
      </c>
      <c r="I245" s="2" t="s">
        <v>503</v>
      </c>
      <c r="J245" s="2" t="s">
        <v>19</v>
      </c>
      <c r="K245" s="2" t="s">
        <v>353</v>
      </c>
      <c r="L245" s="7" t="str">
        <f>HYPERLINK("http://slimages.macys.com/is/image/MCY/9325305 ")</f>
        <v xml:space="preserve">http://slimages.macys.com/is/image/MCY/9325305 </v>
      </c>
    </row>
    <row r="246" spans="1:12" ht="24.75" x14ac:dyDescent="0.25">
      <c r="A246" s="4" t="s">
        <v>6457</v>
      </c>
      <c r="B246" s="2" t="s">
        <v>6453</v>
      </c>
      <c r="C246" s="3">
        <v>2</v>
      </c>
      <c r="D246" s="5">
        <v>37.130000000000003</v>
      </c>
      <c r="E246" s="3" t="s">
        <v>6454</v>
      </c>
      <c r="F246" s="2" t="s">
        <v>74</v>
      </c>
      <c r="G246" s="6" t="s">
        <v>6458</v>
      </c>
      <c r="H246" s="2" t="s">
        <v>284</v>
      </c>
      <c r="I246" s="2" t="s">
        <v>285</v>
      </c>
      <c r="J246" s="2" t="s">
        <v>19</v>
      </c>
      <c r="K246" s="2" t="s">
        <v>6456</v>
      </c>
      <c r="L246" s="7" t="str">
        <f>HYPERLINK("http://slimages.macys.com/is/image/MCY/11434064 ")</f>
        <v xml:space="preserve">http://slimages.macys.com/is/image/MCY/11434064 </v>
      </c>
    </row>
    <row r="247" spans="1:12" ht="24.75" x14ac:dyDescent="0.25">
      <c r="A247" s="4" t="s">
        <v>8017</v>
      </c>
      <c r="B247" s="2" t="s">
        <v>6453</v>
      </c>
      <c r="C247" s="3">
        <v>1</v>
      </c>
      <c r="D247" s="5">
        <v>37.130000000000003</v>
      </c>
      <c r="E247" s="3" t="s">
        <v>6454</v>
      </c>
      <c r="F247" s="2" t="s">
        <v>74</v>
      </c>
      <c r="G247" s="6"/>
      <c r="H247" s="2" t="s">
        <v>284</v>
      </c>
      <c r="I247" s="2" t="s">
        <v>285</v>
      </c>
      <c r="J247" s="2" t="s">
        <v>19</v>
      </c>
      <c r="K247" s="2" t="s">
        <v>6456</v>
      </c>
      <c r="L247" s="7" t="str">
        <f>HYPERLINK("http://slimages.macys.com/is/image/MCY/11434064 ")</f>
        <v xml:space="preserve">http://slimages.macys.com/is/image/MCY/11434064 </v>
      </c>
    </row>
    <row r="248" spans="1:12" ht="24.75" x14ac:dyDescent="0.25">
      <c r="A248" s="4" t="s">
        <v>7271</v>
      </c>
      <c r="B248" s="2" t="s">
        <v>6453</v>
      </c>
      <c r="C248" s="3">
        <v>4</v>
      </c>
      <c r="D248" s="5">
        <v>37.130000000000003</v>
      </c>
      <c r="E248" s="3" t="s">
        <v>6454</v>
      </c>
      <c r="F248" s="2" t="s">
        <v>74</v>
      </c>
      <c r="G248" s="6" t="s">
        <v>729</v>
      </c>
      <c r="H248" s="2" t="s">
        <v>284</v>
      </c>
      <c r="I248" s="2" t="s">
        <v>285</v>
      </c>
      <c r="J248" s="2" t="s">
        <v>19</v>
      </c>
      <c r="K248" s="2" t="s">
        <v>6456</v>
      </c>
      <c r="L248" s="7" t="str">
        <f>HYPERLINK("http://slimages.macys.com/is/image/MCY/11434064 ")</f>
        <v xml:space="preserve">http://slimages.macys.com/is/image/MCY/11434064 </v>
      </c>
    </row>
    <row r="249" spans="1:12" ht="24.75" x14ac:dyDescent="0.25">
      <c r="A249" s="4" t="s">
        <v>6452</v>
      </c>
      <c r="B249" s="2" t="s">
        <v>6453</v>
      </c>
      <c r="C249" s="3">
        <v>1</v>
      </c>
      <c r="D249" s="5">
        <v>37.130000000000003</v>
      </c>
      <c r="E249" s="3" t="s">
        <v>6454</v>
      </c>
      <c r="F249" s="2" t="s">
        <v>74</v>
      </c>
      <c r="G249" s="6" t="s">
        <v>6455</v>
      </c>
      <c r="H249" s="2" t="s">
        <v>284</v>
      </c>
      <c r="I249" s="2" t="s">
        <v>285</v>
      </c>
      <c r="J249" s="2" t="s">
        <v>19</v>
      </c>
      <c r="K249" s="2" t="s">
        <v>6456</v>
      </c>
      <c r="L249" s="7" t="str">
        <f>HYPERLINK("http://slimages.macys.com/is/image/MCY/11434064 ")</f>
        <v xml:space="preserve">http://slimages.macys.com/is/image/MCY/11434064 </v>
      </c>
    </row>
    <row r="250" spans="1:12" ht="24.75" x14ac:dyDescent="0.25">
      <c r="A250" s="4" t="s">
        <v>5629</v>
      </c>
      <c r="B250" s="2" t="s">
        <v>849</v>
      </c>
      <c r="C250" s="3">
        <v>1</v>
      </c>
      <c r="D250" s="5">
        <v>40.65</v>
      </c>
      <c r="E250" s="3" t="s">
        <v>850</v>
      </c>
      <c r="F250" s="2" t="s">
        <v>15</v>
      </c>
      <c r="G250" s="6" t="s">
        <v>200</v>
      </c>
      <c r="H250" s="2" t="s">
        <v>182</v>
      </c>
      <c r="I250" s="2" t="s">
        <v>183</v>
      </c>
      <c r="J250" s="2" t="s">
        <v>19</v>
      </c>
      <c r="K250" s="2" t="s">
        <v>851</v>
      </c>
      <c r="L250" s="7" t="str">
        <f>HYPERLINK("http://slimages.macys.com/is/image/MCY/12851655 ")</f>
        <v xml:space="preserve">http://slimages.macys.com/is/image/MCY/12851655 </v>
      </c>
    </row>
    <row r="251" spans="1:12" ht="24.75" x14ac:dyDescent="0.25">
      <c r="A251" s="4" t="s">
        <v>8018</v>
      </c>
      <c r="B251" s="2" t="s">
        <v>8019</v>
      </c>
      <c r="C251" s="3">
        <v>1</v>
      </c>
      <c r="D251" s="5">
        <v>37.130000000000003</v>
      </c>
      <c r="E251" s="3" t="s">
        <v>8020</v>
      </c>
      <c r="F251" s="2" t="s">
        <v>74</v>
      </c>
      <c r="G251" s="6" t="s">
        <v>154</v>
      </c>
      <c r="H251" s="2" t="s">
        <v>194</v>
      </c>
      <c r="I251" s="2" t="s">
        <v>195</v>
      </c>
      <c r="J251" s="2" t="s">
        <v>19</v>
      </c>
      <c r="K251" s="2" t="s">
        <v>438</v>
      </c>
      <c r="L251" s="7" t="str">
        <f>HYPERLINK("http://slimages.macys.com/is/image/MCY/12404922 ")</f>
        <v xml:space="preserve">http://slimages.macys.com/is/image/MCY/12404922 </v>
      </c>
    </row>
    <row r="252" spans="1:12" ht="24.75" x14ac:dyDescent="0.25">
      <c r="A252" s="4" t="s">
        <v>8021</v>
      </c>
      <c r="B252" s="2" t="s">
        <v>8022</v>
      </c>
      <c r="C252" s="3">
        <v>1</v>
      </c>
      <c r="D252" s="5">
        <v>39</v>
      </c>
      <c r="E252" s="3" t="s">
        <v>8023</v>
      </c>
      <c r="F252" s="2" t="s">
        <v>64</v>
      </c>
      <c r="G252" s="6" t="s">
        <v>234</v>
      </c>
      <c r="H252" s="2" t="s">
        <v>95</v>
      </c>
      <c r="I252" s="2" t="s">
        <v>96</v>
      </c>
      <c r="J252" s="2" t="s">
        <v>19</v>
      </c>
      <c r="K252" s="2" t="s">
        <v>160</v>
      </c>
      <c r="L252" s="7" t="str">
        <f>HYPERLINK("http://slimages.macys.com/is/image/MCY/12879486 ")</f>
        <v xml:space="preserve">http://slimages.macys.com/is/image/MCY/12879486 </v>
      </c>
    </row>
    <row r="253" spans="1:12" ht="24.75" x14ac:dyDescent="0.25">
      <c r="A253" s="4" t="s">
        <v>7272</v>
      </c>
      <c r="B253" s="2" t="s">
        <v>856</v>
      </c>
      <c r="C253" s="3">
        <v>1</v>
      </c>
      <c r="D253" s="5">
        <v>48</v>
      </c>
      <c r="E253" s="3">
        <v>100013497</v>
      </c>
      <c r="F253" s="2" t="s">
        <v>252</v>
      </c>
      <c r="G253" s="6" t="s">
        <v>141</v>
      </c>
      <c r="H253" s="2" t="s">
        <v>228</v>
      </c>
      <c r="I253" s="2" t="s">
        <v>857</v>
      </c>
      <c r="J253" s="2" t="s">
        <v>19</v>
      </c>
      <c r="K253" s="2" t="s">
        <v>387</v>
      </c>
      <c r="L253" s="7" t="str">
        <f>HYPERLINK("http://slimages.macys.com/is/image/MCY/9478981 ")</f>
        <v xml:space="preserve">http://slimages.macys.com/is/image/MCY/9478981 </v>
      </c>
    </row>
    <row r="254" spans="1:12" ht="24.75" x14ac:dyDescent="0.25">
      <c r="A254" s="4" t="s">
        <v>2463</v>
      </c>
      <c r="B254" s="2" t="s">
        <v>856</v>
      </c>
      <c r="C254" s="3">
        <v>2</v>
      </c>
      <c r="D254" s="5">
        <v>48</v>
      </c>
      <c r="E254" s="3">
        <v>100013497</v>
      </c>
      <c r="F254" s="2" t="s">
        <v>252</v>
      </c>
      <c r="G254" s="6" t="s">
        <v>22</v>
      </c>
      <c r="H254" s="2" t="s">
        <v>228</v>
      </c>
      <c r="I254" s="2" t="s">
        <v>857</v>
      </c>
      <c r="J254" s="2" t="s">
        <v>19</v>
      </c>
      <c r="K254" s="2" t="s">
        <v>387</v>
      </c>
      <c r="L254" s="7" t="str">
        <f>HYPERLINK("http://slimages.macys.com/is/image/MCY/9478981 ")</f>
        <v xml:space="preserve">http://slimages.macys.com/is/image/MCY/9478981 </v>
      </c>
    </row>
    <row r="255" spans="1:12" ht="24.75" x14ac:dyDescent="0.25">
      <c r="A255" s="4" t="s">
        <v>855</v>
      </c>
      <c r="B255" s="2" t="s">
        <v>856</v>
      </c>
      <c r="C255" s="3">
        <v>2</v>
      </c>
      <c r="D255" s="5">
        <v>48</v>
      </c>
      <c r="E255" s="3">
        <v>100013497</v>
      </c>
      <c r="F255" s="2" t="s">
        <v>252</v>
      </c>
      <c r="G255" s="6" t="s">
        <v>16</v>
      </c>
      <c r="H255" s="2" t="s">
        <v>228</v>
      </c>
      <c r="I255" s="2" t="s">
        <v>857</v>
      </c>
      <c r="J255" s="2" t="s">
        <v>19</v>
      </c>
      <c r="K255" s="2" t="s">
        <v>387</v>
      </c>
      <c r="L255" s="7" t="str">
        <f>HYPERLINK("http://slimages.macys.com/is/image/MCY/9478981 ")</f>
        <v xml:space="preserve">http://slimages.macys.com/is/image/MCY/9478981 </v>
      </c>
    </row>
    <row r="256" spans="1:12" ht="24.75" x14ac:dyDescent="0.25">
      <c r="A256" s="4" t="s">
        <v>3605</v>
      </c>
      <c r="B256" s="2" t="s">
        <v>818</v>
      </c>
      <c r="C256" s="3">
        <v>1</v>
      </c>
      <c r="D256" s="5">
        <v>36.5</v>
      </c>
      <c r="E256" s="3" t="s">
        <v>2465</v>
      </c>
      <c r="F256" s="2" t="s">
        <v>26</v>
      </c>
      <c r="G256" s="6" t="s">
        <v>154</v>
      </c>
      <c r="H256" s="2" t="s">
        <v>194</v>
      </c>
      <c r="I256" s="2" t="s">
        <v>195</v>
      </c>
      <c r="J256" s="2" t="s">
        <v>19</v>
      </c>
      <c r="K256" s="2" t="s">
        <v>247</v>
      </c>
      <c r="L256" s="7" t="str">
        <f>HYPERLINK("http://slimages.macys.com/is/image/MCY/11764566 ")</f>
        <v xml:space="preserve">http://slimages.macys.com/is/image/MCY/11764566 </v>
      </c>
    </row>
    <row r="257" spans="1:12" ht="24.75" x14ac:dyDescent="0.25">
      <c r="A257" s="4" t="s">
        <v>8024</v>
      </c>
      <c r="B257" s="2" t="s">
        <v>374</v>
      </c>
      <c r="C257" s="3">
        <v>1</v>
      </c>
      <c r="D257" s="5">
        <v>52.13</v>
      </c>
      <c r="E257" s="3" t="s">
        <v>375</v>
      </c>
      <c r="F257" s="2" t="s">
        <v>376</v>
      </c>
      <c r="G257" s="6" t="s">
        <v>141</v>
      </c>
      <c r="H257" s="2" t="s">
        <v>246</v>
      </c>
      <c r="I257" s="2" t="s">
        <v>189</v>
      </c>
      <c r="J257" s="2" t="s">
        <v>19</v>
      </c>
      <c r="K257" s="2" t="s">
        <v>361</v>
      </c>
      <c r="L257" s="7" t="str">
        <f>HYPERLINK("http://slimages.macys.com/is/image/MCY/10676355 ")</f>
        <v xml:space="preserve">http://slimages.macys.com/is/image/MCY/10676355 </v>
      </c>
    </row>
    <row r="258" spans="1:12" ht="24.75" x14ac:dyDescent="0.25">
      <c r="A258" s="4" t="s">
        <v>8025</v>
      </c>
      <c r="B258" s="2" t="s">
        <v>374</v>
      </c>
      <c r="C258" s="3">
        <v>1</v>
      </c>
      <c r="D258" s="5">
        <v>52.13</v>
      </c>
      <c r="E258" s="3" t="s">
        <v>375</v>
      </c>
      <c r="F258" s="2" t="s">
        <v>331</v>
      </c>
      <c r="G258" s="6" t="s">
        <v>65</v>
      </c>
      <c r="H258" s="2" t="s">
        <v>246</v>
      </c>
      <c r="I258" s="2" t="s">
        <v>189</v>
      </c>
      <c r="J258" s="2" t="s">
        <v>19</v>
      </c>
      <c r="K258" s="2" t="s">
        <v>361</v>
      </c>
      <c r="L258" s="7" t="str">
        <f>HYPERLINK("http://slimages.macys.com/is/image/MCY/10676355 ")</f>
        <v xml:space="preserve">http://slimages.macys.com/is/image/MCY/10676355 </v>
      </c>
    </row>
    <row r="259" spans="1:12" ht="24.75" x14ac:dyDescent="0.25">
      <c r="A259" s="4" t="s">
        <v>399</v>
      </c>
      <c r="B259" s="2" t="s">
        <v>374</v>
      </c>
      <c r="C259" s="3">
        <v>1</v>
      </c>
      <c r="D259" s="5">
        <v>52.13</v>
      </c>
      <c r="E259" s="3" t="s">
        <v>375</v>
      </c>
      <c r="F259" s="2" t="s">
        <v>74</v>
      </c>
      <c r="G259" s="6" t="s">
        <v>141</v>
      </c>
      <c r="H259" s="2" t="s">
        <v>246</v>
      </c>
      <c r="I259" s="2" t="s">
        <v>189</v>
      </c>
      <c r="J259" s="2" t="s">
        <v>19</v>
      </c>
      <c r="K259" s="2" t="s">
        <v>361</v>
      </c>
      <c r="L259" s="7" t="str">
        <f>HYPERLINK("http://slimages.macys.com/is/image/MCY/10676355 ")</f>
        <v xml:space="preserve">http://slimages.macys.com/is/image/MCY/10676355 </v>
      </c>
    </row>
    <row r="260" spans="1:12" ht="36.75" x14ac:dyDescent="0.25">
      <c r="A260" s="4" t="s">
        <v>8026</v>
      </c>
      <c r="B260" s="2" t="s">
        <v>5632</v>
      </c>
      <c r="C260" s="3">
        <v>1</v>
      </c>
      <c r="D260" s="5">
        <v>37.130000000000003</v>
      </c>
      <c r="E260" s="3">
        <v>100022657</v>
      </c>
      <c r="F260" s="2" t="s">
        <v>74</v>
      </c>
      <c r="G260" s="6" t="s">
        <v>156</v>
      </c>
      <c r="H260" s="2" t="s">
        <v>284</v>
      </c>
      <c r="I260" s="2" t="s">
        <v>408</v>
      </c>
      <c r="J260" s="2" t="s">
        <v>19</v>
      </c>
      <c r="K260" s="2" t="s">
        <v>500</v>
      </c>
      <c r="L260" s="7" t="str">
        <f>HYPERLINK("http://slimages.macys.com/is/image/MCY/9449861 ")</f>
        <v xml:space="preserve">http://slimages.macys.com/is/image/MCY/9449861 </v>
      </c>
    </row>
    <row r="261" spans="1:12" ht="24.75" x14ac:dyDescent="0.25">
      <c r="A261" s="4" t="s">
        <v>8027</v>
      </c>
      <c r="B261" s="2" t="s">
        <v>861</v>
      </c>
      <c r="C261" s="3">
        <v>2</v>
      </c>
      <c r="D261" s="5">
        <v>34.5</v>
      </c>
      <c r="E261" s="3" t="s">
        <v>862</v>
      </c>
      <c r="F261" s="2" t="s">
        <v>64</v>
      </c>
      <c r="G261" s="6" t="s">
        <v>473</v>
      </c>
      <c r="H261" s="2" t="s">
        <v>228</v>
      </c>
      <c r="I261" s="2" t="s">
        <v>863</v>
      </c>
      <c r="J261" s="2" t="s">
        <v>19</v>
      </c>
      <c r="K261" s="2" t="s">
        <v>253</v>
      </c>
      <c r="L261" s="7" t="str">
        <f>HYPERLINK("http://slimages.macys.com/is/image/MCY/3650197 ")</f>
        <v xml:space="preserve">http://slimages.macys.com/is/image/MCY/3650197 </v>
      </c>
    </row>
    <row r="262" spans="1:12" ht="24.75" x14ac:dyDescent="0.25">
      <c r="A262" s="4" t="s">
        <v>8028</v>
      </c>
      <c r="B262" s="2" t="s">
        <v>2476</v>
      </c>
      <c r="C262" s="3">
        <v>1</v>
      </c>
      <c r="D262" s="5">
        <v>40.880000000000003</v>
      </c>
      <c r="E262" s="3" t="s">
        <v>8029</v>
      </c>
      <c r="F262" s="2" t="s">
        <v>15</v>
      </c>
      <c r="G262" s="6" t="s">
        <v>234</v>
      </c>
      <c r="H262" s="2" t="s">
        <v>194</v>
      </c>
      <c r="I262" s="2" t="s">
        <v>195</v>
      </c>
      <c r="J262" s="2" t="s">
        <v>19</v>
      </c>
      <c r="K262" s="2" t="s">
        <v>34</v>
      </c>
      <c r="L262" s="7" t="str">
        <f>HYPERLINK("http://slimages.macys.com/is/image/MCY/11526932 ")</f>
        <v xml:space="preserve">http://slimages.macys.com/is/image/MCY/11526932 </v>
      </c>
    </row>
    <row r="263" spans="1:12" ht="24.75" x14ac:dyDescent="0.25">
      <c r="A263" s="4" t="s">
        <v>3612</v>
      </c>
      <c r="B263" s="2" t="s">
        <v>2476</v>
      </c>
      <c r="C263" s="3">
        <v>4</v>
      </c>
      <c r="D263" s="5">
        <v>40.880000000000003</v>
      </c>
      <c r="E263" s="3" t="s">
        <v>2479</v>
      </c>
      <c r="F263" s="2" t="s">
        <v>1614</v>
      </c>
      <c r="G263" s="6" t="s">
        <v>156</v>
      </c>
      <c r="H263" s="2" t="s">
        <v>194</v>
      </c>
      <c r="I263" s="2" t="s">
        <v>195</v>
      </c>
      <c r="J263" s="2" t="s">
        <v>19</v>
      </c>
      <c r="K263" s="2" t="s">
        <v>34</v>
      </c>
      <c r="L263" s="7" t="str">
        <f>HYPERLINK("http://slimages.macys.com/is/image/MCY/11526932 ")</f>
        <v xml:space="preserve">http://slimages.macys.com/is/image/MCY/11526932 </v>
      </c>
    </row>
    <row r="264" spans="1:12" ht="24.75" x14ac:dyDescent="0.25">
      <c r="A264" s="4" t="s">
        <v>8030</v>
      </c>
      <c r="B264" s="2" t="s">
        <v>2476</v>
      </c>
      <c r="C264" s="3">
        <v>1</v>
      </c>
      <c r="D264" s="5">
        <v>40.880000000000003</v>
      </c>
      <c r="E264" s="3" t="s">
        <v>2477</v>
      </c>
      <c r="F264" s="2" t="s">
        <v>752</v>
      </c>
      <c r="G264" s="6" t="s">
        <v>181</v>
      </c>
      <c r="H264" s="2" t="s">
        <v>194</v>
      </c>
      <c r="I264" s="2" t="s">
        <v>195</v>
      </c>
      <c r="J264" s="2" t="s">
        <v>19</v>
      </c>
      <c r="K264" s="2" t="s">
        <v>34</v>
      </c>
      <c r="L264" s="7" t="str">
        <f>HYPERLINK("http://slimages.macys.com/is/image/MCY/12279885 ")</f>
        <v xml:space="preserve">http://slimages.macys.com/is/image/MCY/12279885 </v>
      </c>
    </row>
    <row r="265" spans="1:12" ht="24.75" x14ac:dyDescent="0.25">
      <c r="A265" s="4" t="s">
        <v>3614</v>
      </c>
      <c r="B265" s="2" t="s">
        <v>2476</v>
      </c>
      <c r="C265" s="3">
        <v>1</v>
      </c>
      <c r="D265" s="5">
        <v>40.880000000000003</v>
      </c>
      <c r="E265" s="3" t="s">
        <v>2479</v>
      </c>
      <c r="F265" s="2" t="s">
        <v>1614</v>
      </c>
      <c r="G265" s="6" t="s">
        <v>234</v>
      </c>
      <c r="H265" s="2" t="s">
        <v>194</v>
      </c>
      <c r="I265" s="2" t="s">
        <v>195</v>
      </c>
      <c r="J265" s="2" t="s">
        <v>19</v>
      </c>
      <c r="K265" s="2" t="s">
        <v>34</v>
      </c>
      <c r="L265" s="7" t="str">
        <f>HYPERLINK("http://slimages.macys.com/is/image/MCY/11526932 ")</f>
        <v xml:space="preserve">http://slimages.macys.com/is/image/MCY/11526932 </v>
      </c>
    </row>
    <row r="266" spans="1:12" ht="24.75" x14ac:dyDescent="0.25">
      <c r="A266" s="4" t="s">
        <v>2475</v>
      </c>
      <c r="B266" s="2" t="s">
        <v>2476</v>
      </c>
      <c r="C266" s="3">
        <v>1</v>
      </c>
      <c r="D266" s="5">
        <v>40.880000000000003</v>
      </c>
      <c r="E266" s="3" t="s">
        <v>2477</v>
      </c>
      <c r="F266" s="2" t="s">
        <v>752</v>
      </c>
      <c r="G266" s="6" t="s">
        <v>154</v>
      </c>
      <c r="H266" s="2" t="s">
        <v>194</v>
      </c>
      <c r="I266" s="2" t="s">
        <v>195</v>
      </c>
      <c r="J266" s="2" t="s">
        <v>19</v>
      </c>
      <c r="K266" s="2" t="s">
        <v>34</v>
      </c>
      <c r="L266" s="7" t="str">
        <f>HYPERLINK("http://slimages.macys.com/is/image/MCY/12279885 ")</f>
        <v xml:space="preserve">http://slimages.macys.com/is/image/MCY/12279885 </v>
      </c>
    </row>
    <row r="267" spans="1:12" ht="24.75" x14ac:dyDescent="0.25">
      <c r="A267" s="4" t="s">
        <v>8031</v>
      </c>
      <c r="B267" s="2" t="s">
        <v>880</v>
      </c>
      <c r="C267" s="3">
        <v>1</v>
      </c>
      <c r="D267" s="5">
        <v>34.5</v>
      </c>
      <c r="E267" s="3">
        <v>100040729</v>
      </c>
      <c r="F267" s="2" t="s">
        <v>252</v>
      </c>
      <c r="G267" s="6" t="s">
        <v>16</v>
      </c>
      <c r="H267" s="2" t="s">
        <v>228</v>
      </c>
      <c r="I267" s="2" t="s">
        <v>229</v>
      </c>
      <c r="J267" s="2" t="s">
        <v>19</v>
      </c>
      <c r="K267" s="2" t="s">
        <v>230</v>
      </c>
      <c r="L267" s="7" t="str">
        <f>HYPERLINK("http://slimages.macys.com/is/image/MCY/3650189 ")</f>
        <v xml:space="preserve">http://slimages.macys.com/is/image/MCY/3650189 </v>
      </c>
    </row>
    <row r="268" spans="1:12" ht="24.75" x14ac:dyDescent="0.25">
      <c r="A268" s="4" t="s">
        <v>8032</v>
      </c>
      <c r="B268" s="2" t="s">
        <v>880</v>
      </c>
      <c r="C268" s="3">
        <v>1</v>
      </c>
      <c r="D268" s="5">
        <v>34.5</v>
      </c>
      <c r="E268" s="3">
        <v>100040729</v>
      </c>
      <c r="F268" s="2" t="s">
        <v>252</v>
      </c>
      <c r="G268" s="6" t="s">
        <v>22</v>
      </c>
      <c r="H268" s="2" t="s">
        <v>228</v>
      </c>
      <c r="I268" s="2" t="s">
        <v>229</v>
      </c>
      <c r="J268" s="2" t="s">
        <v>19</v>
      </c>
      <c r="K268" s="2" t="s">
        <v>230</v>
      </c>
      <c r="L268" s="7" t="str">
        <f>HYPERLINK("http://slimages.macys.com/is/image/MCY/3650189 ")</f>
        <v xml:space="preserve">http://slimages.macys.com/is/image/MCY/3650189 </v>
      </c>
    </row>
    <row r="269" spans="1:12" ht="24.75" x14ac:dyDescent="0.25">
      <c r="A269" s="4" t="s">
        <v>2481</v>
      </c>
      <c r="B269" s="2" t="s">
        <v>876</v>
      </c>
      <c r="C269" s="3">
        <v>1</v>
      </c>
      <c r="D269" s="5">
        <v>34.5</v>
      </c>
      <c r="E269" s="3" t="s">
        <v>877</v>
      </c>
      <c r="F269" s="2" t="s">
        <v>878</v>
      </c>
      <c r="G269" s="6" t="s">
        <v>934</v>
      </c>
      <c r="H269" s="2" t="s">
        <v>426</v>
      </c>
      <c r="I269" s="2" t="s">
        <v>229</v>
      </c>
      <c r="J269" s="2" t="s">
        <v>19</v>
      </c>
      <c r="K269" s="2" t="s">
        <v>253</v>
      </c>
      <c r="L269" s="7" t="str">
        <f>HYPERLINK("http://slimages.macys.com/is/image/MCY/1290325 ")</f>
        <v xml:space="preserve">http://slimages.macys.com/is/image/MCY/1290325 </v>
      </c>
    </row>
    <row r="270" spans="1:12" ht="24.75" x14ac:dyDescent="0.25">
      <c r="A270" s="4" t="s">
        <v>8033</v>
      </c>
      <c r="B270" s="2" t="s">
        <v>811</v>
      </c>
      <c r="C270" s="3">
        <v>1</v>
      </c>
      <c r="D270" s="5">
        <v>36.5</v>
      </c>
      <c r="E270" s="3" t="s">
        <v>3628</v>
      </c>
      <c r="F270" s="2" t="s">
        <v>15</v>
      </c>
      <c r="G270" s="6" t="s">
        <v>234</v>
      </c>
      <c r="H270" s="2" t="s">
        <v>194</v>
      </c>
      <c r="I270" s="2" t="s">
        <v>195</v>
      </c>
      <c r="J270" s="2" t="s">
        <v>19</v>
      </c>
      <c r="K270" s="2" t="s">
        <v>160</v>
      </c>
      <c r="L270" s="7" t="str">
        <f>HYPERLINK("http://slimages.macys.com/is/image/MCY/11764562 ")</f>
        <v xml:space="preserve">http://slimages.macys.com/is/image/MCY/11764562 </v>
      </c>
    </row>
    <row r="271" spans="1:12" ht="24.75" x14ac:dyDescent="0.25">
      <c r="A271" s="4" t="s">
        <v>3627</v>
      </c>
      <c r="B271" s="2" t="s">
        <v>811</v>
      </c>
      <c r="C271" s="3">
        <v>1</v>
      </c>
      <c r="D271" s="5">
        <v>36.5</v>
      </c>
      <c r="E271" s="3" t="s">
        <v>3628</v>
      </c>
      <c r="F271" s="2" t="s">
        <v>15</v>
      </c>
      <c r="G271" s="6" t="s">
        <v>154</v>
      </c>
      <c r="H271" s="2" t="s">
        <v>194</v>
      </c>
      <c r="I271" s="2" t="s">
        <v>195</v>
      </c>
      <c r="J271" s="2" t="s">
        <v>19</v>
      </c>
      <c r="K271" s="2" t="s">
        <v>160</v>
      </c>
      <c r="L271" s="7" t="str">
        <f>HYPERLINK("http://slimages.macys.com/is/image/MCY/11764562 ")</f>
        <v xml:space="preserve">http://slimages.macys.com/is/image/MCY/11764562 </v>
      </c>
    </row>
    <row r="272" spans="1:12" ht="24.75" x14ac:dyDescent="0.25">
      <c r="A272" s="4" t="s">
        <v>8034</v>
      </c>
      <c r="B272" s="2" t="s">
        <v>2483</v>
      </c>
      <c r="C272" s="3">
        <v>1</v>
      </c>
      <c r="D272" s="5">
        <v>34.880000000000003</v>
      </c>
      <c r="E272" s="3">
        <v>100058189</v>
      </c>
      <c r="F272" s="2" t="s">
        <v>15</v>
      </c>
      <c r="G272" s="6" t="s">
        <v>106</v>
      </c>
      <c r="H272" s="2" t="s">
        <v>194</v>
      </c>
      <c r="I272" s="2" t="s">
        <v>195</v>
      </c>
      <c r="J272" s="2" t="s">
        <v>19</v>
      </c>
      <c r="K272" s="2" t="s">
        <v>648</v>
      </c>
      <c r="L272" s="7" t="str">
        <f>HYPERLINK("http://slimages.macys.com/is/image/MCY/12802459 ")</f>
        <v xml:space="preserve">http://slimages.macys.com/is/image/MCY/12802459 </v>
      </c>
    </row>
    <row r="273" spans="1:12" ht="24.75" x14ac:dyDescent="0.25">
      <c r="A273" s="4" t="s">
        <v>6466</v>
      </c>
      <c r="B273" s="2" t="s">
        <v>2483</v>
      </c>
      <c r="C273" s="3">
        <v>1</v>
      </c>
      <c r="D273" s="5">
        <v>34.880000000000003</v>
      </c>
      <c r="E273" s="3">
        <v>100058189</v>
      </c>
      <c r="F273" s="2" t="s">
        <v>15</v>
      </c>
      <c r="G273" s="6" t="s">
        <v>16</v>
      </c>
      <c r="H273" s="2" t="s">
        <v>194</v>
      </c>
      <c r="I273" s="2" t="s">
        <v>195</v>
      </c>
      <c r="J273" s="2" t="s">
        <v>19</v>
      </c>
      <c r="K273" s="2" t="s">
        <v>648</v>
      </c>
      <c r="L273" s="7" t="str">
        <f>HYPERLINK("http://slimages.macys.com/is/image/MCY/12802459 ")</f>
        <v xml:space="preserve">http://slimages.macys.com/is/image/MCY/12802459 </v>
      </c>
    </row>
    <row r="274" spans="1:12" ht="24.75" x14ac:dyDescent="0.25">
      <c r="A274" s="4" t="s">
        <v>8035</v>
      </c>
      <c r="B274" s="2" t="s">
        <v>926</v>
      </c>
      <c r="C274" s="3">
        <v>1</v>
      </c>
      <c r="D274" s="5">
        <v>37.130000000000003</v>
      </c>
      <c r="E274" s="3">
        <v>100009311</v>
      </c>
      <c r="F274" s="2" t="s">
        <v>26</v>
      </c>
      <c r="G274" s="6" t="s">
        <v>27</v>
      </c>
      <c r="H274" s="2" t="s">
        <v>194</v>
      </c>
      <c r="I274" s="2" t="s">
        <v>928</v>
      </c>
      <c r="J274" s="2" t="s">
        <v>19</v>
      </c>
      <c r="K274" s="2" t="s">
        <v>929</v>
      </c>
      <c r="L274" s="7" t="str">
        <f>HYPERLINK("http://slimages.macys.com/is/image/MCY/10249270 ")</f>
        <v xml:space="preserve">http://slimages.macys.com/is/image/MCY/10249270 </v>
      </c>
    </row>
    <row r="275" spans="1:12" ht="24.75" x14ac:dyDescent="0.25">
      <c r="A275" s="4" t="s">
        <v>889</v>
      </c>
      <c r="B275" s="2" t="s">
        <v>890</v>
      </c>
      <c r="C275" s="3">
        <v>1</v>
      </c>
      <c r="D275" s="5">
        <v>34.5</v>
      </c>
      <c r="E275" s="3" t="s">
        <v>891</v>
      </c>
      <c r="F275" s="2" t="s">
        <v>64</v>
      </c>
      <c r="G275" s="6" t="s">
        <v>22</v>
      </c>
      <c r="H275" s="2" t="s">
        <v>228</v>
      </c>
      <c r="I275" s="2" t="s">
        <v>229</v>
      </c>
      <c r="J275" s="2" t="s">
        <v>19</v>
      </c>
      <c r="K275" s="2" t="s">
        <v>253</v>
      </c>
      <c r="L275" s="7" t="str">
        <f>HYPERLINK("http://slimages.macys.com/is/image/MCY/3623510 ")</f>
        <v xml:space="preserve">http://slimages.macys.com/is/image/MCY/3623510 </v>
      </c>
    </row>
    <row r="276" spans="1:12" ht="24.75" x14ac:dyDescent="0.25">
      <c r="A276" s="4" t="s">
        <v>5641</v>
      </c>
      <c r="B276" s="2" t="s">
        <v>890</v>
      </c>
      <c r="C276" s="3">
        <v>2</v>
      </c>
      <c r="D276" s="5">
        <v>34.5</v>
      </c>
      <c r="E276" s="3" t="s">
        <v>891</v>
      </c>
      <c r="F276" s="2" t="s">
        <v>64</v>
      </c>
      <c r="G276" s="6" t="s">
        <v>27</v>
      </c>
      <c r="H276" s="2" t="s">
        <v>228</v>
      </c>
      <c r="I276" s="2" t="s">
        <v>229</v>
      </c>
      <c r="J276" s="2" t="s">
        <v>19</v>
      </c>
      <c r="K276" s="2" t="s">
        <v>253</v>
      </c>
      <c r="L276" s="7" t="str">
        <f>HYPERLINK("http://slimages.macys.com/is/image/MCY/3623510 ")</f>
        <v xml:space="preserve">http://slimages.macys.com/is/image/MCY/3623510 </v>
      </c>
    </row>
    <row r="277" spans="1:12" ht="24.75" x14ac:dyDescent="0.25">
      <c r="A277" s="4" t="s">
        <v>8036</v>
      </c>
      <c r="B277" s="2" t="s">
        <v>3640</v>
      </c>
      <c r="C277" s="3">
        <v>1</v>
      </c>
      <c r="D277" s="5">
        <v>44.63</v>
      </c>
      <c r="E277" s="3" t="s">
        <v>3641</v>
      </c>
      <c r="F277" s="2" t="s">
        <v>572</v>
      </c>
      <c r="G277" s="6" t="s">
        <v>3861</v>
      </c>
      <c r="H277" s="2" t="s">
        <v>246</v>
      </c>
      <c r="I277" s="2" t="s">
        <v>487</v>
      </c>
      <c r="J277" s="2" t="s">
        <v>19</v>
      </c>
      <c r="K277" s="2" t="s">
        <v>409</v>
      </c>
      <c r="L277" s="7" t="str">
        <f>HYPERLINK("http://slimages.macys.com/is/image/MCY/10297488 ")</f>
        <v xml:space="preserve">http://slimages.macys.com/is/image/MCY/10297488 </v>
      </c>
    </row>
    <row r="278" spans="1:12" ht="36.75" x14ac:dyDescent="0.25">
      <c r="A278" s="4" t="s">
        <v>8037</v>
      </c>
      <c r="B278" s="2" t="s">
        <v>895</v>
      </c>
      <c r="C278" s="3">
        <v>1</v>
      </c>
      <c r="D278" s="5">
        <v>44.99</v>
      </c>
      <c r="E278" s="3" t="s">
        <v>896</v>
      </c>
      <c r="F278" s="2" t="s">
        <v>53</v>
      </c>
      <c r="G278" s="6" t="s">
        <v>165</v>
      </c>
      <c r="H278" s="2" t="s">
        <v>127</v>
      </c>
      <c r="I278" s="2" t="s">
        <v>541</v>
      </c>
      <c r="J278" s="2" t="s">
        <v>19</v>
      </c>
      <c r="K278" s="2" t="s">
        <v>500</v>
      </c>
      <c r="L278" s="7" t="str">
        <f t="shared" ref="L278:L287" si="0">HYPERLINK("http://slimages.macys.com/is/image/MCY/16583426 ")</f>
        <v xml:space="preserve">http://slimages.macys.com/is/image/MCY/16583426 </v>
      </c>
    </row>
    <row r="279" spans="1:12" ht="36.75" x14ac:dyDescent="0.25">
      <c r="A279" s="4" t="s">
        <v>8038</v>
      </c>
      <c r="B279" s="2" t="s">
        <v>895</v>
      </c>
      <c r="C279" s="3">
        <v>1</v>
      </c>
      <c r="D279" s="5">
        <v>44.99</v>
      </c>
      <c r="E279" s="3" t="s">
        <v>896</v>
      </c>
      <c r="F279" s="2" t="s">
        <v>53</v>
      </c>
      <c r="G279" s="6" t="s">
        <v>205</v>
      </c>
      <c r="H279" s="2" t="s">
        <v>127</v>
      </c>
      <c r="I279" s="2" t="s">
        <v>541</v>
      </c>
      <c r="J279" s="2" t="s">
        <v>19</v>
      </c>
      <c r="K279" s="2" t="s">
        <v>500</v>
      </c>
      <c r="L279" s="7" t="str">
        <f t="shared" si="0"/>
        <v xml:space="preserve">http://slimages.macys.com/is/image/MCY/16583426 </v>
      </c>
    </row>
    <row r="280" spans="1:12" ht="36.75" x14ac:dyDescent="0.25">
      <c r="A280" s="4" t="s">
        <v>8039</v>
      </c>
      <c r="B280" s="2" t="s">
        <v>895</v>
      </c>
      <c r="C280" s="3">
        <v>2</v>
      </c>
      <c r="D280" s="5">
        <v>44.99</v>
      </c>
      <c r="E280" s="3" t="s">
        <v>8040</v>
      </c>
      <c r="F280" s="2" t="s">
        <v>417</v>
      </c>
      <c r="G280" s="6" t="s">
        <v>165</v>
      </c>
      <c r="H280" s="2" t="s">
        <v>127</v>
      </c>
      <c r="I280" s="2" t="s">
        <v>541</v>
      </c>
      <c r="J280" s="2" t="s">
        <v>19</v>
      </c>
      <c r="K280" s="2" t="s">
        <v>500</v>
      </c>
      <c r="L280" s="7" t="str">
        <f t="shared" si="0"/>
        <v xml:space="preserve">http://slimages.macys.com/is/image/MCY/16583426 </v>
      </c>
    </row>
    <row r="281" spans="1:12" ht="36.75" x14ac:dyDescent="0.25">
      <c r="A281" s="4" t="s">
        <v>8041</v>
      </c>
      <c r="B281" s="2" t="s">
        <v>895</v>
      </c>
      <c r="C281" s="3">
        <v>1</v>
      </c>
      <c r="D281" s="5">
        <v>44.99</v>
      </c>
      <c r="E281" s="3" t="s">
        <v>8040</v>
      </c>
      <c r="F281" s="2" t="s">
        <v>417</v>
      </c>
      <c r="G281" s="6" t="s">
        <v>802</v>
      </c>
      <c r="H281" s="2" t="s">
        <v>127</v>
      </c>
      <c r="I281" s="2" t="s">
        <v>541</v>
      </c>
      <c r="J281" s="2" t="s">
        <v>19</v>
      </c>
      <c r="K281" s="2" t="s">
        <v>500</v>
      </c>
      <c r="L281" s="7" t="str">
        <f t="shared" si="0"/>
        <v xml:space="preserve">http://slimages.macys.com/is/image/MCY/16583426 </v>
      </c>
    </row>
    <row r="282" spans="1:12" ht="36.75" x14ac:dyDescent="0.25">
      <c r="A282" s="4" t="s">
        <v>8042</v>
      </c>
      <c r="B282" s="2" t="s">
        <v>895</v>
      </c>
      <c r="C282" s="3">
        <v>1</v>
      </c>
      <c r="D282" s="5">
        <v>44.99</v>
      </c>
      <c r="E282" s="3" t="s">
        <v>8040</v>
      </c>
      <c r="F282" s="2" t="s">
        <v>417</v>
      </c>
      <c r="G282" s="6" t="s">
        <v>934</v>
      </c>
      <c r="H282" s="2" t="s">
        <v>127</v>
      </c>
      <c r="I282" s="2" t="s">
        <v>541</v>
      </c>
      <c r="J282" s="2" t="s">
        <v>19</v>
      </c>
      <c r="K282" s="2" t="s">
        <v>500</v>
      </c>
      <c r="L282" s="7" t="str">
        <f t="shared" si="0"/>
        <v xml:space="preserve">http://slimages.macys.com/is/image/MCY/16583426 </v>
      </c>
    </row>
    <row r="283" spans="1:12" ht="36.75" x14ac:dyDescent="0.25">
      <c r="A283" s="4" t="s">
        <v>8043</v>
      </c>
      <c r="B283" s="2" t="s">
        <v>895</v>
      </c>
      <c r="C283" s="3">
        <v>1</v>
      </c>
      <c r="D283" s="5">
        <v>44.99</v>
      </c>
      <c r="E283" s="3" t="s">
        <v>8040</v>
      </c>
      <c r="F283" s="2" t="s">
        <v>417</v>
      </c>
      <c r="G283" s="6" t="s">
        <v>363</v>
      </c>
      <c r="H283" s="2" t="s">
        <v>127</v>
      </c>
      <c r="I283" s="2" t="s">
        <v>541</v>
      </c>
      <c r="J283" s="2" t="s">
        <v>19</v>
      </c>
      <c r="K283" s="2" t="s">
        <v>500</v>
      </c>
      <c r="L283" s="7" t="str">
        <f t="shared" si="0"/>
        <v xml:space="preserve">http://slimages.macys.com/is/image/MCY/16583426 </v>
      </c>
    </row>
    <row r="284" spans="1:12" ht="36.75" x14ac:dyDescent="0.25">
      <c r="A284" s="4" t="s">
        <v>894</v>
      </c>
      <c r="B284" s="2" t="s">
        <v>895</v>
      </c>
      <c r="C284" s="3">
        <v>1</v>
      </c>
      <c r="D284" s="5">
        <v>44.99</v>
      </c>
      <c r="E284" s="3" t="s">
        <v>896</v>
      </c>
      <c r="F284" s="2" t="s">
        <v>53</v>
      </c>
      <c r="G284" s="6" t="s">
        <v>126</v>
      </c>
      <c r="H284" s="2" t="s">
        <v>127</v>
      </c>
      <c r="I284" s="2" t="s">
        <v>541</v>
      </c>
      <c r="J284" s="2" t="s">
        <v>19</v>
      </c>
      <c r="K284" s="2" t="s">
        <v>500</v>
      </c>
      <c r="L284" s="7" t="str">
        <f t="shared" si="0"/>
        <v xml:space="preserve">http://slimages.macys.com/is/image/MCY/16583426 </v>
      </c>
    </row>
    <row r="285" spans="1:12" ht="36.75" x14ac:dyDescent="0.25">
      <c r="A285" s="4" t="s">
        <v>8044</v>
      </c>
      <c r="B285" s="2" t="s">
        <v>895</v>
      </c>
      <c r="C285" s="3">
        <v>2</v>
      </c>
      <c r="D285" s="5">
        <v>44.99</v>
      </c>
      <c r="E285" s="3" t="s">
        <v>896</v>
      </c>
      <c r="F285" s="2" t="s">
        <v>53</v>
      </c>
      <c r="G285" s="6" t="s">
        <v>363</v>
      </c>
      <c r="H285" s="2" t="s">
        <v>127</v>
      </c>
      <c r="I285" s="2" t="s">
        <v>541</v>
      </c>
      <c r="J285" s="2" t="s">
        <v>19</v>
      </c>
      <c r="K285" s="2" t="s">
        <v>500</v>
      </c>
      <c r="L285" s="7" t="str">
        <f t="shared" si="0"/>
        <v xml:space="preserve">http://slimages.macys.com/is/image/MCY/16583426 </v>
      </c>
    </row>
    <row r="286" spans="1:12" ht="36.75" x14ac:dyDescent="0.25">
      <c r="A286" s="4" t="s">
        <v>8045</v>
      </c>
      <c r="B286" s="2" t="s">
        <v>895</v>
      </c>
      <c r="C286" s="3">
        <v>1</v>
      </c>
      <c r="D286" s="5">
        <v>44.99</v>
      </c>
      <c r="E286" s="3" t="s">
        <v>8040</v>
      </c>
      <c r="F286" s="2" t="s">
        <v>417</v>
      </c>
      <c r="G286" s="6" t="s">
        <v>205</v>
      </c>
      <c r="H286" s="2" t="s">
        <v>127</v>
      </c>
      <c r="I286" s="2" t="s">
        <v>541</v>
      </c>
      <c r="J286" s="2" t="s">
        <v>19</v>
      </c>
      <c r="K286" s="2" t="s">
        <v>500</v>
      </c>
      <c r="L286" s="7" t="str">
        <f t="shared" si="0"/>
        <v xml:space="preserve">http://slimages.macys.com/is/image/MCY/16583426 </v>
      </c>
    </row>
    <row r="287" spans="1:12" ht="36.75" x14ac:dyDescent="0.25">
      <c r="A287" s="4" t="s">
        <v>8046</v>
      </c>
      <c r="B287" s="2" t="s">
        <v>895</v>
      </c>
      <c r="C287" s="3">
        <v>2</v>
      </c>
      <c r="D287" s="5">
        <v>44.99</v>
      </c>
      <c r="E287" s="3" t="s">
        <v>896</v>
      </c>
      <c r="F287" s="2" t="s">
        <v>53</v>
      </c>
      <c r="G287" s="6" t="s">
        <v>934</v>
      </c>
      <c r="H287" s="2" t="s">
        <v>127</v>
      </c>
      <c r="I287" s="2" t="s">
        <v>541</v>
      </c>
      <c r="J287" s="2" t="s">
        <v>19</v>
      </c>
      <c r="K287" s="2" t="s">
        <v>500</v>
      </c>
      <c r="L287" s="7" t="str">
        <f t="shared" si="0"/>
        <v xml:space="preserve">http://slimages.macys.com/is/image/MCY/16583426 </v>
      </c>
    </row>
    <row r="288" spans="1:12" x14ac:dyDescent="0.25">
      <c r="A288" s="4" t="s">
        <v>8047</v>
      </c>
      <c r="B288" s="2" t="s">
        <v>8048</v>
      </c>
      <c r="C288" s="3">
        <v>1</v>
      </c>
      <c r="D288" s="5">
        <v>54.5</v>
      </c>
      <c r="E288" s="3" t="s">
        <v>8049</v>
      </c>
      <c r="F288" s="2" t="s">
        <v>111</v>
      </c>
      <c r="G288" s="6" t="s">
        <v>219</v>
      </c>
      <c r="H288" s="2" t="s">
        <v>206</v>
      </c>
      <c r="I288" s="2" t="s">
        <v>207</v>
      </c>
      <c r="J288" s="2" t="s">
        <v>19</v>
      </c>
      <c r="K288" s="2" t="s">
        <v>160</v>
      </c>
      <c r="L288" s="7" t="str">
        <f>HYPERLINK("http://slimages.macys.com/is/image/MCY/12952536 ")</f>
        <v xml:space="preserve">http://slimages.macys.com/is/image/MCY/12952536 </v>
      </c>
    </row>
    <row r="289" spans="1:12" ht="36.75" x14ac:dyDescent="0.25">
      <c r="A289" s="4" t="s">
        <v>8050</v>
      </c>
      <c r="B289" s="2" t="s">
        <v>895</v>
      </c>
      <c r="C289" s="3">
        <v>1</v>
      </c>
      <c r="D289" s="5">
        <v>44.99</v>
      </c>
      <c r="E289" s="3" t="s">
        <v>896</v>
      </c>
      <c r="F289" s="2" t="s">
        <v>53</v>
      </c>
      <c r="G289" s="6" t="s">
        <v>802</v>
      </c>
      <c r="H289" s="2" t="s">
        <v>127</v>
      </c>
      <c r="I289" s="2" t="s">
        <v>541</v>
      </c>
      <c r="J289" s="2" t="s">
        <v>19</v>
      </c>
      <c r="K289" s="2" t="s">
        <v>500</v>
      </c>
      <c r="L289" s="7" t="str">
        <f>HYPERLINK("http://slimages.macys.com/is/image/MCY/16583426 ")</f>
        <v xml:space="preserve">http://slimages.macys.com/is/image/MCY/16583426 </v>
      </c>
    </row>
    <row r="290" spans="1:12" ht="36.75" x14ac:dyDescent="0.25">
      <c r="A290" s="4" t="s">
        <v>8051</v>
      </c>
      <c r="B290" s="2" t="s">
        <v>895</v>
      </c>
      <c r="C290" s="3">
        <v>2</v>
      </c>
      <c r="D290" s="5">
        <v>44.99</v>
      </c>
      <c r="E290" s="3" t="s">
        <v>8040</v>
      </c>
      <c r="F290" s="2" t="s">
        <v>417</v>
      </c>
      <c r="G290" s="6" t="s">
        <v>336</v>
      </c>
      <c r="H290" s="2" t="s">
        <v>127</v>
      </c>
      <c r="I290" s="2" t="s">
        <v>541</v>
      </c>
      <c r="J290" s="2" t="s">
        <v>19</v>
      </c>
      <c r="K290" s="2" t="s">
        <v>500</v>
      </c>
      <c r="L290" s="7" t="str">
        <f>HYPERLINK("http://slimages.macys.com/is/image/MCY/16583426 ")</f>
        <v xml:space="preserve">http://slimages.macys.com/is/image/MCY/16583426 </v>
      </c>
    </row>
    <row r="291" spans="1:12" ht="36.75" x14ac:dyDescent="0.25">
      <c r="A291" s="4" t="s">
        <v>8052</v>
      </c>
      <c r="B291" s="2" t="s">
        <v>895</v>
      </c>
      <c r="C291" s="3">
        <v>1</v>
      </c>
      <c r="D291" s="5">
        <v>44.99</v>
      </c>
      <c r="E291" s="3" t="s">
        <v>8040</v>
      </c>
      <c r="F291" s="2" t="s">
        <v>417</v>
      </c>
      <c r="G291" s="6" t="s">
        <v>126</v>
      </c>
      <c r="H291" s="2" t="s">
        <v>127</v>
      </c>
      <c r="I291" s="2" t="s">
        <v>541</v>
      </c>
      <c r="J291" s="2" t="s">
        <v>19</v>
      </c>
      <c r="K291" s="2" t="s">
        <v>500</v>
      </c>
      <c r="L291" s="7" t="str">
        <f>HYPERLINK("http://slimages.macys.com/is/image/MCY/16583426 ")</f>
        <v xml:space="preserve">http://slimages.macys.com/is/image/MCY/16583426 </v>
      </c>
    </row>
    <row r="292" spans="1:12" ht="36.75" x14ac:dyDescent="0.25">
      <c r="A292" s="4" t="s">
        <v>8053</v>
      </c>
      <c r="B292" s="2" t="s">
        <v>895</v>
      </c>
      <c r="C292" s="3">
        <v>2</v>
      </c>
      <c r="D292" s="5">
        <v>44.99</v>
      </c>
      <c r="E292" s="3" t="s">
        <v>896</v>
      </c>
      <c r="F292" s="2" t="s">
        <v>53</v>
      </c>
      <c r="G292" s="6" t="s">
        <v>336</v>
      </c>
      <c r="H292" s="2" t="s">
        <v>127</v>
      </c>
      <c r="I292" s="2" t="s">
        <v>541</v>
      </c>
      <c r="J292" s="2" t="s">
        <v>19</v>
      </c>
      <c r="K292" s="2" t="s">
        <v>500</v>
      </c>
      <c r="L292" s="7" t="str">
        <f>HYPERLINK("http://slimages.macys.com/is/image/MCY/16583426 ")</f>
        <v xml:space="preserve">http://slimages.macys.com/is/image/MCY/16583426 </v>
      </c>
    </row>
    <row r="293" spans="1:12" ht="24.75" x14ac:dyDescent="0.25">
      <c r="A293" s="4" t="s">
        <v>899</v>
      </c>
      <c r="B293" s="2" t="s">
        <v>898</v>
      </c>
      <c r="C293" s="3">
        <v>3</v>
      </c>
      <c r="D293" s="5">
        <v>37.130000000000003</v>
      </c>
      <c r="E293" s="3">
        <v>100009193</v>
      </c>
      <c r="F293" s="2" t="s">
        <v>170</v>
      </c>
      <c r="G293" s="6" t="s">
        <v>16</v>
      </c>
      <c r="H293" s="2" t="s">
        <v>194</v>
      </c>
      <c r="I293" s="2" t="s">
        <v>503</v>
      </c>
      <c r="J293" s="2" t="s">
        <v>19</v>
      </c>
      <c r="K293" s="2" t="s">
        <v>353</v>
      </c>
      <c r="L293" s="7" t="str">
        <f>HYPERLINK("http://slimages.macys.com/is/image/MCY/11804644 ")</f>
        <v xml:space="preserve">http://slimages.macys.com/is/image/MCY/11804644 </v>
      </c>
    </row>
    <row r="294" spans="1:12" ht="24.75" x14ac:dyDescent="0.25">
      <c r="A294" s="4" t="s">
        <v>8054</v>
      </c>
      <c r="B294" s="2" t="s">
        <v>909</v>
      </c>
      <c r="C294" s="3">
        <v>1</v>
      </c>
      <c r="D294" s="5">
        <v>40.880000000000003</v>
      </c>
      <c r="E294" s="3" t="s">
        <v>910</v>
      </c>
      <c r="F294" s="2" t="s">
        <v>1584</v>
      </c>
      <c r="G294" s="6" t="s">
        <v>27</v>
      </c>
      <c r="H294" s="2" t="s">
        <v>246</v>
      </c>
      <c r="I294" s="2" t="s">
        <v>189</v>
      </c>
      <c r="J294" s="2" t="s">
        <v>19</v>
      </c>
      <c r="K294" s="2" t="s">
        <v>648</v>
      </c>
      <c r="L294" s="7" t="str">
        <f>HYPERLINK("http://slimages.macys.com/is/image/MCY/11940216 ")</f>
        <v xml:space="preserve">http://slimages.macys.com/is/image/MCY/11940216 </v>
      </c>
    </row>
    <row r="295" spans="1:12" ht="24.75" x14ac:dyDescent="0.25">
      <c r="A295" s="4" t="s">
        <v>7294</v>
      </c>
      <c r="B295" s="2" t="s">
        <v>909</v>
      </c>
      <c r="C295" s="3">
        <v>1</v>
      </c>
      <c r="D295" s="5">
        <v>40.880000000000003</v>
      </c>
      <c r="E295" s="3" t="s">
        <v>7295</v>
      </c>
      <c r="F295" s="2" t="s">
        <v>1584</v>
      </c>
      <c r="G295" s="6" t="s">
        <v>238</v>
      </c>
      <c r="H295" s="2" t="s">
        <v>188</v>
      </c>
      <c r="I295" s="2" t="s">
        <v>189</v>
      </c>
      <c r="J295" s="2" t="s">
        <v>19</v>
      </c>
      <c r="K295" s="2" t="s">
        <v>648</v>
      </c>
      <c r="L295" s="7" t="str">
        <f>HYPERLINK("http://slimages.macys.com/is/image/MCY/12268099 ")</f>
        <v xml:space="preserve">http://slimages.macys.com/is/image/MCY/12268099 </v>
      </c>
    </row>
    <row r="296" spans="1:12" ht="24.75" x14ac:dyDescent="0.25">
      <c r="A296" s="4" t="s">
        <v>8055</v>
      </c>
      <c r="B296" s="2" t="s">
        <v>909</v>
      </c>
      <c r="C296" s="3">
        <v>1</v>
      </c>
      <c r="D296" s="5">
        <v>40.880000000000003</v>
      </c>
      <c r="E296" s="3" t="s">
        <v>910</v>
      </c>
      <c r="F296" s="2" t="s">
        <v>911</v>
      </c>
      <c r="G296" s="6" t="s">
        <v>58</v>
      </c>
      <c r="H296" s="2" t="s">
        <v>246</v>
      </c>
      <c r="I296" s="2" t="s">
        <v>189</v>
      </c>
      <c r="J296" s="2" t="s">
        <v>19</v>
      </c>
      <c r="K296" s="2" t="s">
        <v>648</v>
      </c>
      <c r="L296" s="7" t="str">
        <f>HYPERLINK("http://slimages.macys.com/is/image/MCY/11940216 ")</f>
        <v xml:space="preserve">http://slimages.macys.com/is/image/MCY/11940216 </v>
      </c>
    </row>
    <row r="297" spans="1:12" ht="24.75" x14ac:dyDescent="0.25">
      <c r="A297" s="4" t="s">
        <v>8056</v>
      </c>
      <c r="B297" s="2" t="s">
        <v>909</v>
      </c>
      <c r="C297" s="3">
        <v>2</v>
      </c>
      <c r="D297" s="5">
        <v>40.880000000000003</v>
      </c>
      <c r="E297" s="3" t="s">
        <v>7295</v>
      </c>
      <c r="F297" s="2" t="s">
        <v>1584</v>
      </c>
      <c r="G297" s="6" t="s">
        <v>165</v>
      </c>
      <c r="H297" s="2" t="s">
        <v>188</v>
      </c>
      <c r="I297" s="2" t="s">
        <v>189</v>
      </c>
      <c r="J297" s="2" t="s">
        <v>19</v>
      </c>
      <c r="K297" s="2" t="s">
        <v>648</v>
      </c>
      <c r="L297" s="7" t="str">
        <f>HYPERLINK("http://slimages.macys.com/is/image/MCY/12268099 ")</f>
        <v xml:space="preserve">http://slimages.macys.com/is/image/MCY/12268099 </v>
      </c>
    </row>
    <row r="298" spans="1:12" ht="24.75" x14ac:dyDescent="0.25">
      <c r="A298" s="4" t="s">
        <v>7298</v>
      </c>
      <c r="B298" s="2" t="s">
        <v>909</v>
      </c>
      <c r="C298" s="3">
        <v>1</v>
      </c>
      <c r="D298" s="5">
        <v>40.880000000000003</v>
      </c>
      <c r="E298" s="3" t="s">
        <v>7295</v>
      </c>
      <c r="F298" s="2" t="s">
        <v>1584</v>
      </c>
      <c r="G298" s="6" t="s">
        <v>205</v>
      </c>
      <c r="H298" s="2" t="s">
        <v>188</v>
      </c>
      <c r="I298" s="2" t="s">
        <v>189</v>
      </c>
      <c r="J298" s="2" t="s">
        <v>19</v>
      </c>
      <c r="K298" s="2" t="s">
        <v>648</v>
      </c>
      <c r="L298" s="7" t="str">
        <f>HYPERLINK("http://slimages.macys.com/is/image/MCY/12268099 ")</f>
        <v xml:space="preserve">http://slimages.macys.com/is/image/MCY/12268099 </v>
      </c>
    </row>
    <row r="299" spans="1:12" ht="24.75" x14ac:dyDescent="0.25">
      <c r="A299" s="4" t="s">
        <v>8057</v>
      </c>
      <c r="B299" s="2" t="s">
        <v>909</v>
      </c>
      <c r="C299" s="3">
        <v>2</v>
      </c>
      <c r="D299" s="5">
        <v>40.880000000000003</v>
      </c>
      <c r="E299" s="3" t="s">
        <v>7295</v>
      </c>
      <c r="F299" s="2" t="s">
        <v>1584</v>
      </c>
      <c r="G299" s="6" t="s">
        <v>802</v>
      </c>
      <c r="H299" s="2" t="s">
        <v>188</v>
      </c>
      <c r="I299" s="2" t="s">
        <v>189</v>
      </c>
      <c r="J299" s="2" t="s">
        <v>19</v>
      </c>
      <c r="K299" s="2" t="s">
        <v>648</v>
      </c>
      <c r="L299" s="7" t="str">
        <f>HYPERLINK("http://slimages.macys.com/is/image/MCY/12268099 ")</f>
        <v xml:space="preserve">http://slimages.macys.com/is/image/MCY/12268099 </v>
      </c>
    </row>
    <row r="300" spans="1:12" ht="24.75" x14ac:dyDescent="0.25">
      <c r="A300" s="4" t="s">
        <v>8058</v>
      </c>
      <c r="B300" s="2" t="s">
        <v>909</v>
      </c>
      <c r="C300" s="3">
        <v>1</v>
      </c>
      <c r="D300" s="5">
        <v>40.880000000000003</v>
      </c>
      <c r="E300" s="3" t="s">
        <v>910</v>
      </c>
      <c r="F300" s="2" t="s">
        <v>911</v>
      </c>
      <c r="G300" s="6" t="s">
        <v>112</v>
      </c>
      <c r="H300" s="2" t="s">
        <v>246</v>
      </c>
      <c r="I300" s="2" t="s">
        <v>189</v>
      </c>
      <c r="J300" s="2" t="s">
        <v>19</v>
      </c>
      <c r="K300" s="2" t="s">
        <v>648</v>
      </c>
      <c r="L300" s="7" t="str">
        <f>HYPERLINK("http://slimages.macys.com/is/image/MCY/11940216 ")</f>
        <v xml:space="preserve">http://slimages.macys.com/is/image/MCY/11940216 </v>
      </c>
    </row>
    <row r="301" spans="1:12" ht="24.75" x14ac:dyDescent="0.25">
      <c r="A301" s="4" t="s">
        <v>8059</v>
      </c>
      <c r="B301" s="2" t="s">
        <v>2476</v>
      </c>
      <c r="C301" s="3">
        <v>1</v>
      </c>
      <c r="D301" s="5">
        <v>40.880000000000003</v>
      </c>
      <c r="E301" s="3" t="s">
        <v>3649</v>
      </c>
      <c r="F301" s="2" t="s">
        <v>1614</v>
      </c>
      <c r="G301" s="6"/>
      <c r="H301" s="2" t="s">
        <v>312</v>
      </c>
      <c r="I301" s="2" t="s">
        <v>195</v>
      </c>
      <c r="J301" s="2" t="s">
        <v>19</v>
      </c>
      <c r="K301" s="2" t="s">
        <v>34</v>
      </c>
      <c r="L301" s="7" t="str">
        <f>HYPERLINK("http://slimages.macys.com/is/image/MCY/11526932 ")</f>
        <v xml:space="preserve">http://slimages.macys.com/is/image/MCY/11526932 </v>
      </c>
    </row>
    <row r="302" spans="1:12" ht="24.75" x14ac:dyDescent="0.25">
      <c r="A302" s="4" t="s">
        <v>8060</v>
      </c>
      <c r="B302" s="2" t="s">
        <v>4735</v>
      </c>
      <c r="C302" s="3">
        <v>1</v>
      </c>
      <c r="D302" s="5">
        <v>59.5</v>
      </c>
      <c r="E302" s="3" t="s">
        <v>4736</v>
      </c>
      <c r="F302" s="2" t="s">
        <v>15</v>
      </c>
      <c r="G302" s="6" t="s">
        <v>27</v>
      </c>
      <c r="H302" s="2" t="s">
        <v>386</v>
      </c>
      <c r="I302" s="2" t="s">
        <v>207</v>
      </c>
      <c r="J302" s="2" t="s">
        <v>19</v>
      </c>
      <c r="K302" s="2" t="s">
        <v>338</v>
      </c>
      <c r="L302" s="7" t="str">
        <f>HYPERLINK("http://slimages.macys.com/is/image/MCY/9477976 ")</f>
        <v xml:space="preserve">http://slimages.macys.com/is/image/MCY/9477976 </v>
      </c>
    </row>
    <row r="303" spans="1:12" ht="24.75" x14ac:dyDescent="0.25">
      <c r="A303" s="4" t="s">
        <v>8061</v>
      </c>
      <c r="B303" s="2" t="s">
        <v>926</v>
      </c>
      <c r="C303" s="3">
        <v>1</v>
      </c>
      <c r="D303" s="5">
        <v>37.130000000000003</v>
      </c>
      <c r="E303" s="3" t="s">
        <v>927</v>
      </c>
      <c r="F303" s="2" t="s">
        <v>170</v>
      </c>
      <c r="G303" s="6" t="s">
        <v>336</v>
      </c>
      <c r="H303" s="2" t="s">
        <v>312</v>
      </c>
      <c r="I303" s="2" t="s">
        <v>928</v>
      </c>
      <c r="J303" s="2" t="s">
        <v>19</v>
      </c>
      <c r="K303" s="2" t="s">
        <v>929</v>
      </c>
      <c r="L303" s="7" t="str">
        <f>HYPERLINK("http://slimages.macys.com/is/image/MCY/9300257 ")</f>
        <v xml:space="preserve">http://slimages.macys.com/is/image/MCY/9300257 </v>
      </c>
    </row>
    <row r="304" spans="1:12" ht="24.75" x14ac:dyDescent="0.25">
      <c r="A304" s="4" t="s">
        <v>8062</v>
      </c>
      <c r="B304" s="2" t="s">
        <v>8063</v>
      </c>
      <c r="C304" s="3">
        <v>1</v>
      </c>
      <c r="D304" s="5">
        <v>59.5</v>
      </c>
      <c r="E304" s="3" t="s">
        <v>7129</v>
      </c>
      <c r="F304" s="2" t="s">
        <v>1322</v>
      </c>
      <c r="G304" s="6" t="s">
        <v>3715</v>
      </c>
      <c r="H304" s="2" t="s">
        <v>206</v>
      </c>
      <c r="I304" s="2" t="s">
        <v>1010</v>
      </c>
      <c r="J304" s="2" t="s">
        <v>19</v>
      </c>
      <c r="K304" s="2" t="s">
        <v>160</v>
      </c>
      <c r="L304" s="7" t="str">
        <f>HYPERLINK("http://slimages.macys.com/is/image/MCY/9504083 ")</f>
        <v xml:space="preserve">http://slimages.macys.com/is/image/MCY/9504083 </v>
      </c>
    </row>
    <row r="305" spans="1:12" ht="24.75" x14ac:dyDescent="0.25">
      <c r="A305" s="4" t="s">
        <v>8064</v>
      </c>
      <c r="B305" s="2" t="s">
        <v>945</v>
      </c>
      <c r="C305" s="3">
        <v>2</v>
      </c>
      <c r="D305" s="5">
        <v>44.5</v>
      </c>
      <c r="E305" s="3">
        <v>72068</v>
      </c>
      <c r="F305" s="2" t="s">
        <v>111</v>
      </c>
      <c r="G305" s="6" t="s">
        <v>245</v>
      </c>
      <c r="H305" s="2" t="s">
        <v>194</v>
      </c>
      <c r="I305" s="2" t="s">
        <v>195</v>
      </c>
      <c r="J305" s="2" t="s">
        <v>19</v>
      </c>
      <c r="K305" s="2" t="s">
        <v>247</v>
      </c>
      <c r="L305" s="7" t="str">
        <f>HYPERLINK("http://slimages.macys.com/is/image/MCY/3937000 ")</f>
        <v xml:space="preserve">http://slimages.macys.com/is/image/MCY/3937000 </v>
      </c>
    </row>
    <row r="306" spans="1:12" ht="24.75" x14ac:dyDescent="0.25">
      <c r="A306" s="4" t="s">
        <v>7299</v>
      </c>
      <c r="B306" s="2" t="s">
        <v>2496</v>
      </c>
      <c r="C306" s="3">
        <v>1</v>
      </c>
      <c r="D306" s="5">
        <v>37.130000000000003</v>
      </c>
      <c r="E306" s="3" t="s">
        <v>2497</v>
      </c>
      <c r="F306" s="2" t="s">
        <v>252</v>
      </c>
      <c r="G306" s="6" t="s">
        <v>154</v>
      </c>
      <c r="H306" s="2" t="s">
        <v>194</v>
      </c>
      <c r="I306" s="2" t="s">
        <v>307</v>
      </c>
      <c r="J306" s="2" t="s">
        <v>19</v>
      </c>
      <c r="K306" s="2" t="s">
        <v>160</v>
      </c>
      <c r="L306" s="7" t="str">
        <f>HYPERLINK("http://slimages.macys.com/is/image/MCY/12316773 ")</f>
        <v xml:space="preserve">http://slimages.macys.com/is/image/MCY/12316773 </v>
      </c>
    </row>
    <row r="307" spans="1:12" ht="24.75" x14ac:dyDescent="0.25">
      <c r="A307" s="4" t="s">
        <v>8065</v>
      </c>
      <c r="B307" s="2" t="s">
        <v>3655</v>
      </c>
      <c r="C307" s="3">
        <v>1</v>
      </c>
      <c r="D307" s="5">
        <v>37.130000000000003</v>
      </c>
      <c r="E307" s="3" t="s">
        <v>8066</v>
      </c>
      <c r="F307" s="2" t="s">
        <v>64</v>
      </c>
      <c r="G307" s="6" t="s">
        <v>234</v>
      </c>
      <c r="H307" s="2" t="s">
        <v>246</v>
      </c>
      <c r="I307" s="2" t="s">
        <v>189</v>
      </c>
      <c r="J307" s="2" t="s">
        <v>19</v>
      </c>
      <c r="K307" s="2" t="s">
        <v>648</v>
      </c>
      <c r="L307" s="7" t="str">
        <f>HYPERLINK("http://slimages.macys.com/is/image/MCY/12649415 ")</f>
        <v xml:space="preserve">http://slimages.macys.com/is/image/MCY/12649415 </v>
      </c>
    </row>
    <row r="308" spans="1:12" ht="36.75" x14ac:dyDescent="0.25">
      <c r="A308" s="4" t="s">
        <v>8067</v>
      </c>
      <c r="B308" s="2" t="s">
        <v>901</v>
      </c>
      <c r="C308" s="3">
        <v>1</v>
      </c>
      <c r="D308" s="5">
        <v>40.880000000000003</v>
      </c>
      <c r="E308" s="3" t="s">
        <v>8068</v>
      </c>
      <c r="F308" s="2" t="s">
        <v>170</v>
      </c>
      <c r="G308" s="6"/>
      <c r="H308" s="2" t="s">
        <v>312</v>
      </c>
      <c r="I308" s="2" t="s">
        <v>195</v>
      </c>
      <c r="J308" s="2" t="s">
        <v>19</v>
      </c>
      <c r="K308" s="2" t="s">
        <v>8069</v>
      </c>
      <c r="L308" s="7" t="str">
        <f>HYPERLINK("http://slimages.macys.com/is/image/MCY/12143757 ")</f>
        <v xml:space="preserve">http://slimages.macys.com/is/image/MCY/12143757 </v>
      </c>
    </row>
    <row r="309" spans="1:12" ht="24.75" x14ac:dyDescent="0.25">
      <c r="A309" s="4" t="s">
        <v>8070</v>
      </c>
      <c r="B309" s="2" t="s">
        <v>941</v>
      </c>
      <c r="C309" s="3">
        <v>1</v>
      </c>
      <c r="D309" s="5">
        <v>40.880000000000003</v>
      </c>
      <c r="E309" s="3" t="s">
        <v>942</v>
      </c>
      <c r="F309" s="2" t="s">
        <v>74</v>
      </c>
      <c r="G309" s="6" t="s">
        <v>934</v>
      </c>
      <c r="H309" s="2" t="s">
        <v>188</v>
      </c>
      <c r="I309" s="2" t="s">
        <v>214</v>
      </c>
      <c r="J309" s="2" t="s">
        <v>19</v>
      </c>
      <c r="K309" s="2" t="s">
        <v>387</v>
      </c>
      <c r="L309" s="7" t="str">
        <f>HYPERLINK("http://slimages.macys.com/is/image/MCY/11699651 ")</f>
        <v xml:space="preserve">http://slimages.macys.com/is/image/MCY/11699651 </v>
      </c>
    </row>
    <row r="310" spans="1:12" ht="24.75" x14ac:dyDescent="0.25">
      <c r="A310" s="4" t="s">
        <v>8071</v>
      </c>
      <c r="B310" s="2" t="s">
        <v>8072</v>
      </c>
      <c r="C310" s="3">
        <v>1</v>
      </c>
      <c r="D310" s="5">
        <v>36.5</v>
      </c>
      <c r="E310" s="3" t="s">
        <v>8073</v>
      </c>
      <c r="F310" s="2" t="s">
        <v>417</v>
      </c>
      <c r="G310" s="6" t="s">
        <v>234</v>
      </c>
      <c r="H310" s="2" t="s">
        <v>194</v>
      </c>
      <c r="I310" s="2" t="s">
        <v>195</v>
      </c>
      <c r="J310" s="2" t="s">
        <v>19</v>
      </c>
      <c r="K310" s="2" t="s">
        <v>495</v>
      </c>
      <c r="L310" s="7" t="str">
        <f>HYPERLINK("http://slimages.macys.com/is/image/MCY/11414871 ")</f>
        <v xml:space="preserve">http://slimages.macys.com/is/image/MCY/11414871 </v>
      </c>
    </row>
    <row r="311" spans="1:12" ht="24.75" x14ac:dyDescent="0.25">
      <c r="A311" s="4" t="s">
        <v>8074</v>
      </c>
      <c r="B311" s="2" t="s">
        <v>8072</v>
      </c>
      <c r="C311" s="3">
        <v>2</v>
      </c>
      <c r="D311" s="5">
        <v>36.5</v>
      </c>
      <c r="E311" s="3" t="s">
        <v>8073</v>
      </c>
      <c r="F311" s="2" t="s">
        <v>417</v>
      </c>
      <c r="G311" s="6" t="s">
        <v>156</v>
      </c>
      <c r="H311" s="2" t="s">
        <v>194</v>
      </c>
      <c r="I311" s="2" t="s">
        <v>195</v>
      </c>
      <c r="J311" s="2" t="s">
        <v>19</v>
      </c>
      <c r="K311" s="2" t="s">
        <v>495</v>
      </c>
      <c r="L311" s="7" t="str">
        <f>HYPERLINK("http://slimages.macys.com/is/image/MCY/11414871 ")</f>
        <v xml:space="preserve">http://slimages.macys.com/is/image/MCY/11414871 </v>
      </c>
    </row>
    <row r="312" spans="1:12" ht="24.75" x14ac:dyDescent="0.25">
      <c r="A312" s="4" t="s">
        <v>8075</v>
      </c>
      <c r="B312" s="2" t="s">
        <v>8072</v>
      </c>
      <c r="C312" s="3">
        <v>1</v>
      </c>
      <c r="D312" s="5">
        <v>36.5</v>
      </c>
      <c r="E312" s="3" t="s">
        <v>8073</v>
      </c>
      <c r="F312" s="2" t="s">
        <v>417</v>
      </c>
      <c r="G312" s="6" t="s">
        <v>154</v>
      </c>
      <c r="H312" s="2" t="s">
        <v>194</v>
      </c>
      <c r="I312" s="2" t="s">
        <v>195</v>
      </c>
      <c r="J312" s="2" t="s">
        <v>19</v>
      </c>
      <c r="K312" s="2" t="s">
        <v>495</v>
      </c>
      <c r="L312" s="7" t="str">
        <f>HYPERLINK("http://slimages.macys.com/is/image/MCY/11414871 ")</f>
        <v xml:space="preserve">http://slimages.macys.com/is/image/MCY/11414871 </v>
      </c>
    </row>
    <row r="313" spans="1:12" ht="24.75" x14ac:dyDescent="0.25">
      <c r="A313" s="4" t="s">
        <v>5671</v>
      </c>
      <c r="B313" s="2" t="s">
        <v>948</v>
      </c>
      <c r="C313" s="3">
        <v>1</v>
      </c>
      <c r="D313" s="5">
        <v>34.880000000000003</v>
      </c>
      <c r="E313" s="3">
        <v>100038962</v>
      </c>
      <c r="F313" s="2" t="s">
        <v>64</v>
      </c>
      <c r="G313" s="6" t="s">
        <v>58</v>
      </c>
      <c r="H313" s="2" t="s">
        <v>194</v>
      </c>
      <c r="I313" s="2" t="s">
        <v>195</v>
      </c>
      <c r="J313" s="2" t="s">
        <v>19</v>
      </c>
      <c r="K313" s="2" t="s">
        <v>353</v>
      </c>
      <c r="L313" s="7" t="str">
        <f>HYPERLINK("http://slimages.macys.com/is/image/MCY/11145019 ")</f>
        <v xml:space="preserve">http://slimages.macys.com/is/image/MCY/11145019 </v>
      </c>
    </row>
    <row r="314" spans="1:12" ht="24.75" x14ac:dyDescent="0.25">
      <c r="A314" s="4" t="s">
        <v>5677</v>
      </c>
      <c r="B314" s="2" t="s">
        <v>948</v>
      </c>
      <c r="C314" s="3">
        <v>1</v>
      </c>
      <c r="D314" s="5">
        <v>34.880000000000003</v>
      </c>
      <c r="E314" s="3">
        <v>100038962</v>
      </c>
      <c r="F314" s="2" t="s">
        <v>64</v>
      </c>
      <c r="G314" s="6" t="s">
        <v>27</v>
      </c>
      <c r="H314" s="2" t="s">
        <v>194</v>
      </c>
      <c r="I314" s="2" t="s">
        <v>195</v>
      </c>
      <c r="J314" s="2" t="s">
        <v>19</v>
      </c>
      <c r="K314" s="2" t="s">
        <v>353</v>
      </c>
      <c r="L314" s="7" t="str">
        <f>HYPERLINK("http://slimages.macys.com/is/image/MCY/11145019 ")</f>
        <v xml:space="preserve">http://slimages.macys.com/is/image/MCY/11145019 </v>
      </c>
    </row>
    <row r="315" spans="1:12" ht="24.75" x14ac:dyDescent="0.25">
      <c r="A315" s="4" t="s">
        <v>5673</v>
      </c>
      <c r="B315" s="2" t="s">
        <v>948</v>
      </c>
      <c r="C315" s="3">
        <v>1</v>
      </c>
      <c r="D315" s="5">
        <v>34.880000000000003</v>
      </c>
      <c r="E315" s="3">
        <v>100038962</v>
      </c>
      <c r="F315" s="2" t="s">
        <v>64</v>
      </c>
      <c r="G315" s="6" t="s">
        <v>22</v>
      </c>
      <c r="H315" s="2" t="s">
        <v>194</v>
      </c>
      <c r="I315" s="2" t="s">
        <v>195</v>
      </c>
      <c r="J315" s="2" t="s">
        <v>19</v>
      </c>
      <c r="K315" s="2" t="s">
        <v>353</v>
      </c>
      <c r="L315" s="7" t="str">
        <f>HYPERLINK("http://slimages.macys.com/is/image/MCY/11145019 ")</f>
        <v xml:space="preserve">http://slimages.macys.com/is/image/MCY/11145019 </v>
      </c>
    </row>
    <row r="316" spans="1:12" ht="24.75" x14ac:dyDescent="0.25">
      <c r="A316" s="4" t="s">
        <v>2499</v>
      </c>
      <c r="B316" s="2" t="s">
        <v>948</v>
      </c>
      <c r="C316" s="3">
        <v>2</v>
      </c>
      <c r="D316" s="5">
        <v>34.880000000000003</v>
      </c>
      <c r="E316" s="3">
        <v>100038962</v>
      </c>
      <c r="F316" s="2" t="s">
        <v>376</v>
      </c>
      <c r="G316" s="6" t="s">
        <v>16</v>
      </c>
      <c r="H316" s="2" t="s">
        <v>194</v>
      </c>
      <c r="I316" s="2" t="s">
        <v>195</v>
      </c>
      <c r="J316" s="2" t="s">
        <v>19</v>
      </c>
      <c r="K316" s="2" t="s">
        <v>353</v>
      </c>
      <c r="L316" s="7" t="str">
        <f>HYPERLINK("http://slimages.macys.com/is/image/MCY/11145019 ")</f>
        <v xml:space="preserve">http://slimages.macys.com/is/image/MCY/11145019 </v>
      </c>
    </row>
    <row r="317" spans="1:12" ht="24.75" x14ac:dyDescent="0.25">
      <c r="A317" s="4" t="s">
        <v>8076</v>
      </c>
      <c r="B317" s="2" t="s">
        <v>890</v>
      </c>
      <c r="C317" s="3">
        <v>1</v>
      </c>
      <c r="D317" s="5">
        <v>34.5</v>
      </c>
      <c r="E317" s="3" t="s">
        <v>3670</v>
      </c>
      <c r="F317" s="2" t="s">
        <v>15</v>
      </c>
      <c r="G317" s="6" t="s">
        <v>4723</v>
      </c>
      <c r="H317" s="2" t="s">
        <v>228</v>
      </c>
      <c r="I317" s="2" t="s">
        <v>863</v>
      </c>
      <c r="J317" s="2" t="s">
        <v>19</v>
      </c>
      <c r="K317" s="2" t="s">
        <v>253</v>
      </c>
      <c r="L317" s="7" t="str">
        <f>HYPERLINK("http://slimages.macys.com/is/image/MCY/9864908 ")</f>
        <v xml:space="preserve">http://slimages.macys.com/is/image/MCY/9864908 </v>
      </c>
    </row>
    <row r="318" spans="1:12" ht="36.75" x14ac:dyDescent="0.25">
      <c r="A318" s="4" t="s">
        <v>7310</v>
      </c>
      <c r="B318" s="2" t="s">
        <v>964</v>
      </c>
      <c r="C318" s="3">
        <v>1</v>
      </c>
      <c r="D318" s="5">
        <v>37.130000000000003</v>
      </c>
      <c r="E318" s="3">
        <v>100026210</v>
      </c>
      <c r="F318" s="2" t="s">
        <v>956</v>
      </c>
      <c r="G318" s="6" t="s">
        <v>154</v>
      </c>
      <c r="H318" s="2" t="s">
        <v>194</v>
      </c>
      <c r="I318" s="2" t="s">
        <v>195</v>
      </c>
      <c r="J318" s="2" t="s">
        <v>19</v>
      </c>
      <c r="K318" s="2" t="s">
        <v>965</v>
      </c>
      <c r="L318" s="7" t="str">
        <f>HYPERLINK("http://slimages.macys.com/is/image/MCY/9714233 ")</f>
        <v xml:space="preserve">http://slimages.macys.com/is/image/MCY/9714233 </v>
      </c>
    </row>
    <row r="319" spans="1:12" ht="24.75" x14ac:dyDescent="0.25">
      <c r="A319" s="4" t="s">
        <v>4750</v>
      </c>
      <c r="B319" s="2" t="s">
        <v>641</v>
      </c>
      <c r="C319" s="3">
        <v>1</v>
      </c>
      <c r="D319" s="5">
        <v>29.99</v>
      </c>
      <c r="E319" s="3" t="s">
        <v>2506</v>
      </c>
      <c r="F319" s="2" t="s">
        <v>26</v>
      </c>
      <c r="G319" s="6" t="s">
        <v>200</v>
      </c>
      <c r="H319" s="2" t="s">
        <v>284</v>
      </c>
      <c r="I319" s="2" t="s">
        <v>408</v>
      </c>
      <c r="J319" s="2" t="s">
        <v>19</v>
      </c>
      <c r="K319" s="2" t="s">
        <v>409</v>
      </c>
      <c r="L319" s="7" t="str">
        <f>HYPERLINK("http://slimages.macys.com/is/image/MCY/9387631 ")</f>
        <v xml:space="preserve">http://slimages.macys.com/is/image/MCY/9387631 </v>
      </c>
    </row>
    <row r="320" spans="1:12" ht="24.75" x14ac:dyDescent="0.25">
      <c r="A320" s="4" t="s">
        <v>8077</v>
      </c>
      <c r="B320" s="2" t="s">
        <v>4756</v>
      </c>
      <c r="C320" s="3">
        <v>1</v>
      </c>
      <c r="D320" s="5">
        <v>44</v>
      </c>
      <c r="E320" s="3" t="s">
        <v>4757</v>
      </c>
      <c r="F320" s="2" t="s">
        <v>331</v>
      </c>
      <c r="G320" s="6" t="s">
        <v>794</v>
      </c>
      <c r="H320" s="2" t="s">
        <v>447</v>
      </c>
      <c r="I320" s="2" t="s">
        <v>792</v>
      </c>
      <c r="J320" s="2" t="s">
        <v>19</v>
      </c>
      <c r="K320" s="2" t="s">
        <v>160</v>
      </c>
      <c r="L320" s="7" t="str">
        <f>HYPERLINK("http://slimages.macys.com/is/image/MCY/14875672 ")</f>
        <v xml:space="preserve">http://slimages.macys.com/is/image/MCY/14875672 </v>
      </c>
    </row>
    <row r="321" spans="1:12" ht="24.75" x14ac:dyDescent="0.25">
      <c r="A321" s="4" t="s">
        <v>8078</v>
      </c>
      <c r="B321" s="2" t="s">
        <v>2509</v>
      </c>
      <c r="C321" s="3">
        <v>1</v>
      </c>
      <c r="D321" s="5">
        <v>40.5</v>
      </c>
      <c r="E321" s="3">
        <v>100063117</v>
      </c>
      <c r="F321" s="2" t="s">
        <v>64</v>
      </c>
      <c r="G321" s="6" t="s">
        <v>16</v>
      </c>
      <c r="H321" s="2" t="s">
        <v>228</v>
      </c>
      <c r="I321" s="2" t="s">
        <v>229</v>
      </c>
      <c r="J321" s="2" t="s">
        <v>19</v>
      </c>
      <c r="K321" s="2" t="s">
        <v>338</v>
      </c>
      <c r="L321" s="7" t="str">
        <f>HYPERLINK("http://slimages.macys.com/is/image/MCY/12849918 ")</f>
        <v xml:space="preserve">http://slimages.macys.com/is/image/MCY/12849918 </v>
      </c>
    </row>
    <row r="322" spans="1:12" ht="24.75" x14ac:dyDescent="0.25">
      <c r="A322" s="4" t="s">
        <v>8079</v>
      </c>
      <c r="B322" s="2" t="s">
        <v>2509</v>
      </c>
      <c r="C322" s="3">
        <v>1</v>
      </c>
      <c r="D322" s="5">
        <v>40.5</v>
      </c>
      <c r="E322" s="3">
        <v>100063117</v>
      </c>
      <c r="F322" s="2" t="s">
        <v>64</v>
      </c>
      <c r="G322" s="6" t="s">
        <v>22</v>
      </c>
      <c r="H322" s="2" t="s">
        <v>228</v>
      </c>
      <c r="I322" s="2" t="s">
        <v>229</v>
      </c>
      <c r="J322" s="2" t="s">
        <v>19</v>
      </c>
      <c r="K322" s="2" t="s">
        <v>338</v>
      </c>
      <c r="L322" s="7" t="str">
        <f>HYPERLINK("http://slimages.macys.com/is/image/MCY/12849918 ")</f>
        <v xml:space="preserve">http://slimages.macys.com/is/image/MCY/12849918 </v>
      </c>
    </row>
    <row r="323" spans="1:12" ht="24.75" x14ac:dyDescent="0.25">
      <c r="A323" s="4" t="s">
        <v>8080</v>
      </c>
      <c r="B323" s="2" t="s">
        <v>2509</v>
      </c>
      <c r="C323" s="3">
        <v>1</v>
      </c>
      <c r="D323" s="5">
        <v>40.5</v>
      </c>
      <c r="E323" s="3">
        <v>100063117</v>
      </c>
      <c r="F323" s="2" t="s">
        <v>64</v>
      </c>
      <c r="G323" s="6" t="s">
        <v>106</v>
      </c>
      <c r="H323" s="2" t="s">
        <v>228</v>
      </c>
      <c r="I323" s="2" t="s">
        <v>229</v>
      </c>
      <c r="J323" s="2" t="s">
        <v>19</v>
      </c>
      <c r="K323" s="2" t="s">
        <v>338</v>
      </c>
      <c r="L323" s="7" t="str">
        <f>HYPERLINK("http://slimages.macys.com/is/image/MCY/12849918 ")</f>
        <v xml:space="preserve">http://slimages.macys.com/is/image/MCY/12849918 </v>
      </c>
    </row>
    <row r="324" spans="1:12" ht="24.75" x14ac:dyDescent="0.25">
      <c r="A324" s="4" t="s">
        <v>8081</v>
      </c>
      <c r="B324" s="2" t="s">
        <v>6494</v>
      </c>
      <c r="C324" s="3">
        <v>1</v>
      </c>
      <c r="D324" s="5">
        <v>34.99</v>
      </c>
      <c r="E324" s="3" t="s">
        <v>8082</v>
      </c>
      <c r="F324" s="2" t="s">
        <v>26</v>
      </c>
      <c r="G324" s="6" t="s">
        <v>154</v>
      </c>
      <c r="H324" s="2" t="s">
        <v>284</v>
      </c>
      <c r="I324" s="2" t="s">
        <v>285</v>
      </c>
      <c r="J324" s="2" t="s">
        <v>19</v>
      </c>
      <c r="K324" s="2" t="s">
        <v>34</v>
      </c>
      <c r="L324" s="7" t="str">
        <f>HYPERLINK("http://slimages.macys.com/is/image/MCY/9974378 ")</f>
        <v xml:space="preserve">http://slimages.macys.com/is/image/MCY/9974378 </v>
      </c>
    </row>
    <row r="325" spans="1:12" ht="24.75" x14ac:dyDescent="0.25">
      <c r="A325" s="4" t="s">
        <v>8083</v>
      </c>
      <c r="B325" s="2" t="s">
        <v>7325</v>
      </c>
      <c r="C325" s="3">
        <v>1</v>
      </c>
      <c r="D325" s="5">
        <v>35.65</v>
      </c>
      <c r="E325" s="3" t="s">
        <v>4804</v>
      </c>
      <c r="F325" s="2" t="s">
        <v>180</v>
      </c>
      <c r="G325" s="6" t="s">
        <v>154</v>
      </c>
      <c r="H325" s="2" t="s">
        <v>182</v>
      </c>
      <c r="I325" s="2" t="s">
        <v>183</v>
      </c>
      <c r="J325" s="2" t="s">
        <v>19</v>
      </c>
      <c r="K325" s="2" t="s">
        <v>34</v>
      </c>
      <c r="L325" s="7" t="str">
        <f>HYPERLINK("http://slimages.macys.com/is/image/MCY/12801985 ")</f>
        <v xml:space="preserve">http://slimages.macys.com/is/image/MCY/12801985 </v>
      </c>
    </row>
    <row r="326" spans="1:12" ht="24.75" x14ac:dyDescent="0.25">
      <c r="A326" s="4" t="s">
        <v>8084</v>
      </c>
      <c r="B326" s="2" t="s">
        <v>8085</v>
      </c>
      <c r="C326" s="3">
        <v>1</v>
      </c>
      <c r="D326" s="5">
        <v>37.130000000000003</v>
      </c>
      <c r="E326" s="3" t="s">
        <v>8086</v>
      </c>
      <c r="F326" s="2" t="s">
        <v>74</v>
      </c>
      <c r="G326" s="6" t="s">
        <v>8087</v>
      </c>
      <c r="H326" s="2" t="s">
        <v>246</v>
      </c>
      <c r="I326" s="2" t="s">
        <v>189</v>
      </c>
      <c r="J326" s="2" t="s">
        <v>19</v>
      </c>
      <c r="K326" s="2" t="s">
        <v>1108</v>
      </c>
      <c r="L326" s="7" t="str">
        <f>HYPERLINK("http://slimages.macys.com/is/image/MCY/11808051 ")</f>
        <v xml:space="preserve">http://slimages.macys.com/is/image/MCY/11808051 </v>
      </c>
    </row>
    <row r="327" spans="1:12" ht="24.75" x14ac:dyDescent="0.25">
      <c r="A327" s="4" t="s">
        <v>8088</v>
      </c>
      <c r="B327" s="2" t="s">
        <v>936</v>
      </c>
      <c r="C327" s="3">
        <v>1</v>
      </c>
      <c r="D327" s="5">
        <v>34.5</v>
      </c>
      <c r="E327" s="3">
        <v>100040726</v>
      </c>
      <c r="F327" s="2" t="s">
        <v>417</v>
      </c>
      <c r="G327" s="6" t="s">
        <v>16</v>
      </c>
      <c r="H327" s="2" t="s">
        <v>228</v>
      </c>
      <c r="I327" s="2" t="s">
        <v>229</v>
      </c>
      <c r="J327" s="2" t="s">
        <v>19</v>
      </c>
      <c r="K327" s="2" t="s">
        <v>230</v>
      </c>
      <c r="L327" s="7" t="str">
        <f>HYPERLINK("http://slimages.macys.com/is/image/MCY/10985237 ")</f>
        <v xml:space="preserve">http://slimages.macys.com/is/image/MCY/10985237 </v>
      </c>
    </row>
    <row r="328" spans="1:12" ht="24.75" x14ac:dyDescent="0.25">
      <c r="A328" s="4" t="s">
        <v>8089</v>
      </c>
      <c r="B328" s="2" t="s">
        <v>936</v>
      </c>
      <c r="C328" s="3">
        <v>1</v>
      </c>
      <c r="D328" s="5">
        <v>34.5</v>
      </c>
      <c r="E328" s="3">
        <v>100040726</v>
      </c>
      <c r="F328" s="2" t="s">
        <v>417</v>
      </c>
      <c r="G328" s="6" t="s">
        <v>112</v>
      </c>
      <c r="H328" s="2" t="s">
        <v>228</v>
      </c>
      <c r="I328" s="2" t="s">
        <v>229</v>
      </c>
      <c r="J328" s="2" t="s">
        <v>19</v>
      </c>
      <c r="K328" s="2" t="s">
        <v>230</v>
      </c>
      <c r="L328" s="7" t="str">
        <f>HYPERLINK("http://slimages.macys.com/is/image/MCY/10985237 ")</f>
        <v xml:space="preserve">http://slimages.macys.com/is/image/MCY/10985237 </v>
      </c>
    </row>
    <row r="329" spans="1:12" ht="24.75" x14ac:dyDescent="0.25">
      <c r="A329" s="4" t="s">
        <v>8090</v>
      </c>
      <c r="B329" s="2" t="s">
        <v>926</v>
      </c>
      <c r="C329" s="3">
        <v>1</v>
      </c>
      <c r="D329" s="5">
        <v>37.130000000000003</v>
      </c>
      <c r="E329" s="3">
        <v>100009311</v>
      </c>
      <c r="F329" s="2" t="s">
        <v>70</v>
      </c>
      <c r="G329" s="6" t="s">
        <v>58</v>
      </c>
      <c r="H329" s="2" t="s">
        <v>194</v>
      </c>
      <c r="I329" s="2" t="s">
        <v>928</v>
      </c>
      <c r="J329" s="2" t="s">
        <v>19</v>
      </c>
      <c r="K329" s="2" t="s">
        <v>929</v>
      </c>
      <c r="L329" s="7" t="str">
        <f>HYPERLINK("http://slimages.macys.com/is/image/MCY/10249272 ")</f>
        <v xml:space="preserve">http://slimages.macys.com/is/image/MCY/10249272 </v>
      </c>
    </row>
    <row r="330" spans="1:12" ht="24.75" x14ac:dyDescent="0.25">
      <c r="A330" s="4" t="s">
        <v>3694</v>
      </c>
      <c r="B330" s="2" t="s">
        <v>964</v>
      </c>
      <c r="C330" s="3">
        <v>1</v>
      </c>
      <c r="D330" s="5">
        <v>36.5</v>
      </c>
      <c r="E330" s="3" t="s">
        <v>3695</v>
      </c>
      <c r="F330" s="2" t="s">
        <v>956</v>
      </c>
      <c r="G330" s="6"/>
      <c r="H330" s="2" t="s">
        <v>312</v>
      </c>
      <c r="I330" s="2" t="s">
        <v>195</v>
      </c>
      <c r="J330" s="2" t="s">
        <v>19</v>
      </c>
      <c r="K330" s="2" t="s">
        <v>3699</v>
      </c>
      <c r="L330" s="7" t="str">
        <f>HYPERLINK("http://slimages.macys.com/is/image/MCY/9711318 ")</f>
        <v xml:space="preserve">http://slimages.macys.com/is/image/MCY/9711318 </v>
      </c>
    </row>
    <row r="331" spans="1:12" ht="24.75" x14ac:dyDescent="0.25">
      <c r="A331" s="4" t="s">
        <v>8091</v>
      </c>
      <c r="B331" s="2" t="s">
        <v>904</v>
      </c>
      <c r="C331" s="3">
        <v>1</v>
      </c>
      <c r="D331" s="5">
        <v>34.5</v>
      </c>
      <c r="E331" s="3" t="s">
        <v>5707</v>
      </c>
      <c r="F331" s="2" t="s">
        <v>33</v>
      </c>
      <c r="G331" s="6"/>
      <c r="H331" s="2" t="s">
        <v>426</v>
      </c>
      <c r="I331" s="2" t="s">
        <v>229</v>
      </c>
      <c r="J331" s="2" t="s">
        <v>19</v>
      </c>
      <c r="K331" s="2" t="s">
        <v>353</v>
      </c>
      <c r="L331" s="7" t="str">
        <f>HYPERLINK("http://slimages.macys.com/is/image/MCY/11934830 ")</f>
        <v xml:space="preserve">http://slimages.macys.com/is/image/MCY/11934830 </v>
      </c>
    </row>
    <row r="332" spans="1:12" ht="24.75" x14ac:dyDescent="0.25">
      <c r="A332" s="4" t="s">
        <v>1001</v>
      </c>
      <c r="B332" s="2" t="s">
        <v>1002</v>
      </c>
      <c r="C332" s="3">
        <v>1</v>
      </c>
      <c r="D332" s="5">
        <v>44.63</v>
      </c>
      <c r="E332" s="3" t="s">
        <v>1003</v>
      </c>
      <c r="F332" s="2" t="s">
        <v>15</v>
      </c>
      <c r="G332" s="6"/>
      <c r="H332" s="2" t="s">
        <v>312</v>
      </c>
      <c r="I332" s="2" t="s">
        <v>195</v>
      </c>
      <c r="J332" s="2" t="s">
        <v>19</v>
      </c>
      <c r="K332" s="2" t="s">
        <v>247</v>
      </c>
      <c r="L332" s="7" t="str">
        <f>HYPERLINK("http://slimages.macys.com/is/image/MCY/9653304 ")</f>
        <v xml:space="preserve">http://slimages.macys.com/is/image/MCY/9653304 </v>
      </c>
    </row>
    <row r="333" spans="1:12" ht="24.75" x14ac:dyDescent="0.25">
      <c r="A333" s="4" t="s">
        <v>8092</v>
      </c>
      <c r="B333" s="2" t="s">
        <v>1002</v>
      </c>
      <c r="C333" s="3">
        <v>1</v>
      </c>
      <c r="D333" s="5">
        <v>44.63</v>
      </c>
      <c r="E333" s="3" t="s">
        <v>1003</v>
      </c>
      <c r="F333" s="2" t="s">
        <v>74</v>
      </c>
      <c r="G333" s="6"/>
      <c r="H333" s="2" t="s">
        <v>312</v>
      </c>
      <c r="I333" s="2" t="s">
        <v>195</v>
      </c>
      <c r="J333" s="2" t="s">
        <v>19</v>
      </c>
      <c r="K333" s="2" t="s">
        <v>247</v>
      </c>
      <c r="L333" s="7" t="str">
        <f>HYPERLINK("http://slimages.macys.com/is/image/MCY/9653304 ")</f>
        <v xml:space="preserve">http://slimages.macys.com/is/image/MCY/9653304 </v>
      </c>
    </row>
    <row r="334" spans="1:12" ht="24.75" x14ac:dyDescent="0.25">
      <c r="A334" s="4" t="s">
        <v>4772</v>
      </c>
      <c r="B334" s="2" t="s">
        <v>1002</v>
      </c>
      <c r="C334" s="3">
        <v>1</v>
      </c>
      <c r="D334" s="5">
        <v>44.63</v>
      </c>
      <c r="E334" s="3" t="s">
        <v>1003</v>
      </c>
      <c r="F334" s="2" t="s">
        <v>15</v>
      </c>
      <c r="G334" s="6"/>
      <c r="H334" s="2" t="s">
        <v>312</v>
      </c>
      <c r="I334" s="2" t="s">
        <v>195</v>
      </c>
      <c r="J334" s="2" t="s">
        <v>19</v>
      </c>
      <c r="K334" s="2" t="s">
        <v>247</v>
      </c>
      <c r="L334" s="7" t="str">
        <f>HYPERLINK("http://slimages.macys.com/is/image/MCY/9653304 ")</f>
        <v xml:space="preserve">http://slimages.macys.com/is/image/MCY/9653304 </v>
      </c>
    </row>
    <row r="335" spans="1:12" x14ac:dyDescent="0.25">
      <c r="A335" s="4" t="s">
        <v>8093</v>
      </c>
      <c r="B335" s="2" t="s">
        <v>8094</v>
      </c>
      <c r="C335" s="3">
        <v>2</v>
      </c>
      <c r="D335" s="5">
        <v>37.15</v>
      </c>
      <c r="E335" s="3" t="s">
        <v>8095</v>
      </c>
      <c r="F335" s="2" t="s">
        <v>111</v>
      </c>
      <c r="G335" s="6" t="s">
        <v>156</v>
      </c>
      <c r="H335" s="2" t="s">
        <v>182</v>
      </c>
      <c r="I335" s="2" t="s">
        <v>183</v>
      </c>
      <c r="J335" s="2" t="s">
        <v>19</v>
      </c>
      <c r="K335" s="2" t="s">
        <v>34</v>
      </c>
      <c r="L335" s="7" t="str">
        <f>HYPERLINK("http://slimages.macys.com/is/image/MCY/12671400 ")</f>
        <v xml:space="preserve">http://slimages.macys.com/is/image/MCY/12671400 </v>
      </c>
    </row>
    <row r="336" spans="1:12" ht="24.75" x14ac:dyDescent="0.25">
      <c r="A336" s="4" t="s">
        <v>1007</v>
      </c>
      <c r="B336" s="2" t="s">
        <v>1008</v>
      </c>
      <c r="C336" s="3">
        <v>1</v>
      </c>
      <c r="D336" s="5">
        <v>49.5</v>
      </c>
      <c r="E336" s="3" t="s">
        <v>1009</v>
      </c>
      <c r="F336" s="2" t="s">
        <v>74</v>
      </c>
      <c r="G336" s="6" t="s">
        <v>238</v>
      </c>
      <c r="H336" s="2" t="s">
        <v>206</v>
      </c>
      <c r="I336" s="2" t="s">
        <v>1010</v>
      </c>
      <c r="J336" s="2" t="s">
        <v>19</v>
      </c>
      <c r="K336" s="2" t="s">
        <v>409</v>
      </c>
      <c r="L336" s="7" t="str">
        <f>HYPERLINK("http://slimages.macys.com/is/image/MCY/9044823 ")</f>
        <v xml:space="preserve">http://slimages.macys.com/is/image/MCY/9044823 </v>
      </c>
    </row>
    <row r="337" spans="1:12" ht="24.75" x14ac:dyDescent="0.25">
      <c r="A337" s="4" t="s">
        <v>8096</v>
      </c>
      <c r="B337" s="2" t="s">
        <v>8097</v>
      </c>
      <c r="C337" s="3">
        <v>1</v>
      </c>
      <c r="D337" s="5">
        <v>37.119999999999997</v>
      </c>
      <c r="E337" s="3" t="s">
        <v>8098</v>
      </c>
      <c r="F337" s="2" t="s">
        <v>26</v>
      </c>
      <c r="G337" s="6" t="s">
        <v>16</v>
      </c>
      <c r="H337" s="2" t="s">
        <v>213</v>
      </c>
      <c r="I337" s="2" t="s">
        <v>214</v>
      </c>
      <c r="J337" s="2" t="s">
        <v>19</v>
      </c>
      <c r="K337" s="2" t="s">
        <v>952</v>
      </c>
      <c r="L337" s="7" t="str">
        <f>HYPERLINK("http://slimages.macys.com/is/image/MCY/12722592 ")</f>
        <v xml:space="preserve">http://slimages.macys.com/is/image/MCY/12722592 </v>
      </c>
    </row>
    <row r="338" spans="1:12" ht="24.75" x14ac:dyDescent="0.25">
      <c r="A338" s="4" t="s">
        <v>8099</v>
      </c>
      <c r="B338" s="2" t="s">
        <v>1012</v>
      </c>
      <c r="C338" s="3">
        <v>1</v>
      </c>
      <c r="D338" s="5">
        <v>37.130000000000003</v>
      </c>
      <c r="E338" s="3" t="s">
        <v>1013</v>
      </c>
      <c r="F338" s="2" t="s">
        <v>26</v>
      </c>
      <c r="G338" s="6" t="s">
        <v>27</v>
      </c>
      <c r="H338" s="2" t="s">
        <v>246</v>
      </c>
      <c r="I338" s="2" t="s">
        <v>214</v>
      </c>
      <c r="J338" s="2" t="s">
        <v>19</v>
      </c>
      <c r="K338" s="2" t="s">
        <v>253</v>
      </c>
      <c r="L338" s="7" t="str">
        <f>HYPERLINK("http://slimages.macys.com/is/image/MCY/10679372 ")</f>
        <v xml:space="preserve">http://slimages.macys.com/is/image/MCY/10679372 </v>
      </c>
    </row>
    <row r="339" spans="1:12" ht="24.75" x14ac:dyDescent="0.25">
      <c r="A339" s="4" t="s">
        <v>2526</v>
      </c>
      <c r="B339" s="2" t="s">
        <v>1012</v>
      </c>
      <c r="C339" s="3">
        <v>1</v>
      </c>
      <c r="D339" s="5">
        <v>37.130000000000003</v>
      </c>
      <c r="E339" s="3" t="s">
        <v>1013</v>
      </c>
      <c r="F339" s="2" t="s">
        <v>64</v>
      </c>
      <c r="G339" s="6" t="s">
        <v>65</v>
      </c>
      <c r="H339" s="2" t="s">
        <v>246</v>
      </c>
      <c r="I339" s="2" t="s">
        <v>214</v>
      </c>
      <c r="J339" s="2" t="s">
        <v>19</v>
      </c>
      <c r="K339" s="2" t="s">
        <v>253</v>
      </c>
      <c r="L339" s="7" t="str">
        <f>HYPERLINK("http://slimages.macys.com/is/image/MCY/10679372 ")</f>
        <v xml:space="preserve">http://slimages.macys.com/is/image/MCY/10679372 </v>
      </c>
    </row>
    <row r="340" spans="1:12" ht="24.75" x14ac:dyDescent="0.25">
      <c r="A340" s="4" t="s">
        <v>6525</v>
      </c>
      <c r="B340" s="2" t="s">
        <v>2530</v>
      </c>
      <c r="C340" s="3">
        <v>1</v>
      </c>
      <c r="D340" s="5">
        <v>34.5</v>
      </c>
      <c r="E340" s="3">
        <v>100054339</v>
      </c>
      <c r="F340" s="2" t="s">
        <v>26</v>
      </c>
      <c r="G340" s="6" t="s">
        <v>234</v>
      </c>
      <c r="H340" s="2" t="s">
        <v>228</v>
      </c>
      <c r="I340" s="2" t="s">
        <v>857</v>
      </c>
      <c r="J340" s="2" t="s">
        <v>19</v>
      </c>
      <c r="K340" s="2" t="s">
        <v>338</v>
      </c>
      <c r="L340" s="7" t="str">
        <f>HYPERLINK("http://slimages.macys.com/is/image/MCY/12144139 ")</f>
        <v xml:space="preserve">http://slimages.macys.com/is/image/MCY/12144139 </v>
      </c>
    </row>
    <row r="341" spans="1:12" ht="24.75" x14ac:dyDescent="0.25">
      <c r="A341" s="4" t="s">
        <v>8100</v>
      </c>
      <c r="B341" s="2" t="s">
        <v>8101</v>
      </c>
      <c r="C341" s="3">
        <v>1</v>
      </c>
      <c r="D341" s="5">
        <v>38.15</v>
      </c>
      <c r="E341" s="3" t="s">
        <v>8102</v>
      </c>
      <c r="F341" s="2" t="s">
        <v>257</v>
      </c>
      <c r="G341" s="6" t="s">
        <v>181</v>
      </c>
      <c r="H341" s="2" t="s">
        <v>182</v>
      </c>
      <c r="I341" s="2" t="s">
        <v>183</v>
      </c>
      <c r="J341" s="2" t="s">
        <v>19</v>
      </c>
      <c r="K341" s="2" t="s">
        <v>8103</v>
      </c>
      <c r="L341" s="7" t="str">
        <f>HYPERLINK("http://slimages.macys.com/is/image/MCY/12851651 ")</f>
        <v xml:space="preserve">http://slimages.macys.com/is/image/MCY/12851651 </v>
      </c>
    </row>
    <row r="342" spans="1:12" ht="24.75" x14ac:dyDescent="0.25">
      <c r="A342" s="4" t="s">
        <v>8104</v>
      </c>
      <c r="B342" s="2" t="s">
        <v>8101</v>
      </c>
      <c r="C342" s="3">
        <v>1</v>
      </c>
      <c r="D342" s="5">
        <v>38.15</v>
      </c>
      <c r="E342" s="3" t="s">
        <v>8102</v>
      </c>
      <c r="F342" s="2" t="s">
        <v>193</v>
      </c>
      <c r="G342" s="6" t="s">
        <v>156</v>
      </c>
      <c r="H342" s="2" t="s">
        <v>182</v>
      </c>
      <c r="I342" s="2" t="s">
        <v>183</v>
      </c>
      <c r="J342" s="2" t="s">
        <v>19</v>
      </c>
      <c r="K342" s="2" t="s">
        <v>8103</v>
      </c>
      <c r="L342" s="7" t="str">
        <f>HYPERLINK("http://slimages.macys.com/is/image/MCY/12851651 ")</f>
        <v xml:space="preserve">http://slimages.macys.com/is/image/MCY/12851651 </v>
      </c>
    </row>
    <row r="343" spans="1:12" ht="24.75" x14ac:dyDescent="0.25">
      <c r="A343" s="4" t="s">
        <v>8105</v>
      </c>
      <c r="B343" s="2" t="s">
        <v>4787</v>
      </c>
      <c r="C343" s="3">
        <v>1</v>
      </c>
      <c r="D343" s="5">
        <v>40.880000000000003</v>
      </c>
      <c r="E343" s="3" t="s">
        <v>4788</v>
      </c>
      <c r="F343" s="2" t="s">
        <v>74</v>
      </c>
      <c r="G343" s="6" t="s">
        <v>200</v>
      </c>
      <c r="H343" s="2" t="s">
        <v>284</v>
      </c>
      <c r="I343" s="2" t="s">
        <v>285</v>
      </c>
      <c r="J343" s="2" t="s">
        <v>19</v>
      </c>
      <c r="K343" s="2" t="s">
        <v>160</v>
      </c>
      <c r="L343" s="7" t="str">
        <f>HYPERLINK("http://slimages.macys.com/is/image/MCY/12285062 ")</f>
        <v xml:space="preserve">http://slimages.macys.com/is/image/MCY/12285062 </v>
      </c>
    </row>
    <row r="344" spans="1:12" ht="24.75" x14ac:dyDescent="0.25">
      <c r="A344" s="4" t="s">
        <v>2533</v>
      </c>
      <c r="B344" s="2" t="s">
        <v>1028</v>
      </c>
      <c r="C344" s="3">
        <v>1</v>
      </c>
      <c r="D344" s="5">
        <v>37.130000000000003</v>
      </c>
      <c r="E344" s="3" t="s">
        <v>2532</v>
      </c>
      <c r="F344" s="2" t="s">
        <v>26</v>
      </c>
      <c r="G344" s="6"/>
      <c r="H344" s="2" t="s">
        <v>632</v>
      </c>
      <c r="I344" s="2" t="s">
        <v>408</v>
      </c>
      <c r="J344" s="2" t="s">
        <v>19</v>
      </c>
      <c r="K344" s="2" t="s">
        <v>409</v>
      </c>
      <c r="L344" s="7" t="str">
        <f>HYPERLINK("http://slimages.macys.com/is/image/MCY/8191312 ")</f>
        <v xml:space="preserve">http://slimages.macys.com/is/image/MCY/8191312 </v>
      </c>
    </row>
    <row r="345" spans="1:12" ht="24.75" x14ac:dyDescent="0.25">
      <c r="A345" s="4" t="s">
        <v>8106</v>
      </c>
      <c r="B345" s="2" t="s">
        <v>1033</v>
      </c>
      <c r="C345" s="3">
        <v>2</v>
      </c>
      <c r="D345" s="5">
        <v>37.130000000000003</v>
      </c>
      <c r="E345" s="3" t="s">
        <v>1034</v>
      </c>
      <c r="F345" s="2" t="s">
        <v>331</v>
      </c>
      <c r="G345" s="6" t="s">
        <v>934</v>
      </c>
      <c r="H345" s="2" t="s">
        <v>188</v>
      </c>
      <c r="I345" s="2" t="s">
        <v>189</v>
      </c>
      <c r="J345" s="2" t="s">
        <v>19</v>
      </c>
      <c r="K345" s="2" t="s">
        <v>107</v>
      </c>
      <c r="L345" s="7" t="str">
        <f>HYPERLINK("http://slimages.macys.com/is/image/MCY/12649654 ")</f>
        <v xml:space="preserve">http://slimages.macys.com/is/image/MCY/12649654 </v>
      </c>
    </row>
    <row r="346" spans="1:12" ht="24.75" x14ac:dyDescent="0.25">
      <c r="A346" s="4" t="s">
        <v>1038</v>
      </c>
      <c r="B346" s="2" t="s">
        <v>1036</v>
      </c>
      <c r="C346" s="3">
        <v>1</v>
      </c>
      <c r="D346" s="5">
        <v>36.5</v>
      </c>
      <c r="E346" s="3" t="s">
        <v>1037</v>
      </c>
      <c r="F346" s="2" t="s">
        <v>998</v>
      </c>
      <c r="G346" s="6" t="s">
        <v>154</v>
      </c>
      <c r="H346" s="2" t="s">
        <v>194</v>
      </c>
      <c r="I346" s="2" t="s">
        <v>195</v>
      </c>
      <c r="J346" s="2" t="s">
        <v>19</v>
      </c>
      <c r="K346" s="2" t="s">
        <v>137</v>
      </c>
      <c r="L346" s="7" t="str">
        <f>HYPERLINK("http://slimages.macys.com/is/image/MCY/11526970 ")</f>
        <v xml:space="preserve">http://slimages.macys.com/is/image/MCY/11526970 </v>
      </c>
    </row>
    <row r="347" spans="1:12" ht="24.75" x14ac:dyDescent="0.25">
      <c r="A347" s="4" t="s">
        <v>8107</v>
      </c>
      <c r="B347" s="2" t="s">
        <v>1043</v>
      </c>
      <c r="C347" s="3">
        <v>2</v>
      </c>
      <c r="D347" s="5">
        <v>44.63</v>
      </c>
      <c r="E347" s="3" t="s">
        <v>1044</v>
      </c>
      <c r="F347" s="2" t="s">
        <v>566</v>
      </c>
      <c r="G347" s="6" t="s">
        <v>746</v>
      </c>
      <c r="H347" s="2" t="s">
        <v>349</v>
      </c>
      <c r="I347" s="2" t="s">
        <v>285</v>
      </c>
      <c r="J347" s="2" t="s">
        <v>19</v>
      </c>
      <c r="K347" s="2" t="s">
        <v>1045</v>
      </c>
      <c r="L347" s="7" t="str">
        <f>HYPERLINK("http://slimages.macys.com/is/image/MCY/12700824 ")</f>
        <v xml:space="preserve">http://slimages.macys.com/is/image/MCY/12700824 </v>
      </c>
    </row>
    <row r="348" spans="1:12" ht="48.75" x14ac:dyDescent="0.25">
      <c r="A348" s="4" t="s">
        <v>1051</v>
      </c>
      <c r="B348" s="2" t="s">
        <v>1052</v>
      </c>
      <c r="C348" s="3">
        <v>1</v>
      </c>
      <c r="D348" s="5">
        <v>37.130000000000003</v>
      </c>
      <c r="E348" s="3">
        <v>100010668</v>
      </c>
      <c r="F348" s="2" t="s">
        <v>64</v>
      </c>
      <c r="G348" s="6" t="s">
        <v>234</v>
      </c>
      <c r="H348" s="2" t="s">
        <v>284</v>
      </c>
      <c r="I348" s="2" t="s">
        <v>408</v>
      </c>
      <c r="J348" s="2" t="s">
        <v>19</v>
      </c>
      <c r="K348" s="2" t="s">
        <v>787</v>
      </c>
      <c r="L348" s="7" t="str">
        <f>HYPERLINK("http://slimages.macys.com/is/image/MCY/9198224 ")</f>
        <v xml:space="preserve">http://slimages.macys.com/is/image/MCY/9198224 </v>
      </c>
    </row>
    <row r="349" spans="1:12" ht="24.75" x14ac:dyDescent="0.25">
      <c r="A349" s="4" t="s">
        <v>1057</v>
      </c>
      <c r="B349" s="2" t="s">
        <v>1058</v>
      </c>
      <c r="C349" s="3">
        <v>1</v>
      </c>
      <c r="D349" s="5">
        <v>39.5</v>
      </c>
      <c r="E349" s="3" t="s">
        <v>1059</v>
      </c>
      <c r="F349" s="2" t="s">
        <v>15</v>
      </c>
      <c r="G349" s="6"/>
      <c r="H349" s="2" t="s">
        <v>312</v>
      </c>
      <c r="I349" s="2" t="s">
        <v>195</v>
      </c>
      <c r="J349" s="2" t="s">
        <v>19</v>
      </c>
      <c r="K349" s="2" t="s">
        <v>438</v>
      </c>
      <c r="L349" s="7" t="str">
        <f>HYPERLINK("http://slimages.macys.com/is/image/MCY/11935984 ")</f>
        <v xml:space="preserve">http://slimages.macys.com/is/image/MCY/11935984 </v>
      </c>
    </row>
    <row r="350" spans="1:12" ht="24.75" x14ac:dyDescent="0.25">
      <c r="A350" s="4" t="s">
        <v>1060</v>
      </c>
      <c r="B350" s="2" t="s">
        <v>1058</v>
      </c>
      <c r="C350" s="3">
        <v>1</v>
      </c>
      <c r="D350" s="5">
        <v>39.5</v>
      </c>
      <c r="E350" s="3" t="s">
        <v>1059</v>
      </c>
      <c r="F350" s="2" t="s">
        <v>15</v>
      </c>
      <c r="G350" s="6"/>
      <c r="H350" s="2" t="s">
        <v>312</v>
      </c>
      <c r="I350" s="2" t="s">
        <v>195</v>
      </c>
      <c r="J350" s="2" t="s">
        <v>19</v>
      </c>
      <c r="K350" s="2" t="s">
        <v>438</v>
      </c>
      <c r="L350" s="7" t="str">
        <f>HYPERLINK("http://slimages.macys.com/is/image/MCY/11935984 ")</f>
        <v xml:space="preserve">http://slimages.macys.com/is/image/MCY/11935984 </v>
      </c>
    </row>
    <row r="351" spans="1:12" ht="24.75" x14ac:dyDescent="0.25">
      <c r="A351" s="4" t="s">
        <v>2550</v>
      </c>
      <c r="B351" s="2" t="s">
        <v>1062</v>
      </c>
      <c r="C351" s="3">
        <v>3</v>
      </c>
      <c r="D351" s="5">
        <v>36.5</v>
      </c>
      <c r="E351" s="3" t="s">
        <v>1063</v>
      </c>
      <c r="F351" s="2" t="s">
        <v>26</v>
      </c>
      <c r="G351" s="6" t="s">
        <v>156</v>
      </c>
      <c r="H351" s="2" t="s">
        <v>194</v>
      </c>
      <c r="I351" s="2" t="s">
        <v>195</v>
      </c>
      <c r="J351" s="2" t="s">
        <v>19</v>
      </c>
      <c r="K351" s="2" t="s">
        <v>247</v>
      </c>
      <c r="L351" s="7" t="str">
        <f>HYPERLINK("http://slimages.macys.com/is/image/MCY/11515386 ")</f>
        <v xml:space="preserve">http://slimages.macys.com/is/image/MCY/11515386 </v>
      </c>
    </row>
    <row r="352" spans="1:12" ht="24.75" x14ac:dyDescent="0.25">
      <c r="A352" s="4" t="s">
        <v>2551</v>
      </c>
      <c r="B352" s="2" t="s">
        <v>1062</v>
      </c>
      <c r="C352" s="3">
        <v>3</v>
      </c>
      <c r="D352" s="5">
        <v>36.5</v>
      </c>
      <c r="E352" s="3" t="s">
        <v>1063</v>
      </c>
      <c r="F352" s="2" t="s">
        <v>26</v>
      </c>
      <c r="G352" s="6" t="s">
        <v>181</v>
      </c>
      <c r="H352" s="2" t="s">
        <v>194</v>
      </c>
      <c r="I352" s="2" t="s">
        <v>195</v>
      </c>
      <c r="J352" s="2" t="s">
        <v>19</v>
      </c>
      <c r="K352" s="2" t="s">
        <v>247</v>
      </c>
      <c r="L352" s="7" t="str">
        <f>HYPERLINK("http://slimages.macys.com/is/image/MCY/11515386 ")</f>
        <v xml:space="preserve">http://slimages.macys.com/is/image/MCY/11515386 </v>
      </c>
    </row>
    <row r="353" spans="1:12" ht="24.75" x14ac:dyDescent="0.25">
      <c r="A353" s="4" t="s">
        <v>1061</v>
      </c>
      <c r="B353" s="2" t="s">
        <v>1062</v>
      </c>
      <c r="C353" s="3">
        <v>2</v>
      </c>
      <c r="D353" s="5">
        <v>36.5</v>
      </c>
      <c r="E353" s="3" t="s">
        <v>1063</v>
      </c>
      <c r="F353" s="2" t="s">
        <v>26</v>
      </c>
      <c r="G353" s="6" t="s">
        <v>154</v>
      </c>
      <c r="H353" s="2" t="s">
        <v>194</v>
      </c>
      <c r="I353" s="2" t="s">
        <v>195</v>
      </c>
      <c r="J353" s="2" t="s">
        <v>19</v>
      </c>
      <c r="K353" s="2" t="s">
        <v>247</v>
      </c>
      <c r="L353" s="7" t="str">
        <f>HYPERLINK("http://slimages.macys.com/is/image/MCY/11515386 ")</f>
        <v xml:space="preserve">http://slimages.macys.com/is/image/MCY/11515386 </v>
      </c>
    </row>
    <row r="354" spans="1:12" ht="24.75" x14ac:dyDescent="0.25">
      <c r="A354" s="4" t="s">
        <v>8108</v>
      </c>
      <c r="B354" s="2" t="s">
        <v>1069</v>
      </c>
      <c r="C354" s="3">
        <v>4</v>
      </c>
      <c r="D354" s="5">
        <v>34.5</v>
      </c>
      <c r="E354" s="3">
        <v>100050028</v>
      </c>
      <c r="F354" s="2" t="s">
        <v>180</v>
      </c>
      <c r="G354" s="6" t="s">
        <v>112</v>
      </c>
      <c r="H354" s="2" t="s">
        <v>228</v>
      </c>
      <c r="I354" s="2" t="s">
        <v>229</v>
      </c>
      <c r="J354" s="2" t="s">
        <v>19</v>
      </c>
      <c r="K354" s="2" t="s">
        <v>353</v>
      </c>
      <c r="L354" s="7" t="str">
        <f>HYPERLINK("http://slimages.macys.com/is/image/MCY/11527150 ")</f>
        <v xml:space="preserve">http://slimages.macys.com/is/image/MCY/11527150 </v>
      </c>
    </row>
    <row r="355" spans="1:12" ht="24.75" x14ac:dyDescent="0.25">
      <c r="A355" s="4" t="s">
        <v>3738</v>
      </c>
      <c r="B355" s="2" t="s">
        <v>1069</v>
      </c>
      <c r="C355" s="3">
        <v>3</v>
      </c>
      <c r="D355" s="5">
        <v>34.5</v>
      </c>
      <c r="E355" s="3">
        <v>100050028</v>
      </c>
      <c r="F355" s="2" t="s">
        <v>180</v>
      </c>
      <c r="G355" s="6" t="s">
        <v>58</v>
      </c>
      <c r="H355" s="2" t="s">
        <v>228</v>
      </c>
      <c r="I355" s="2" t="s">
        <v>229</v>
      </c>
      <c r="J355" s="2" t="s">
        <v>19</v>
      </c>
      <c r="K355" s="2" t="s">
        <v>353</v>
      </c>
      <c r="L355" s="7" t="str">
        <f>HYPERLINK("http://slimages.macys.com/is/image/MCY/11527150 ")</f>
        <v xml:space="preserve">http://slimages.macys.com/is/image/MCY/11527150 </v>
      </c>
    </row>
    <row r="356" spans="1:12" ht="24.75" x14ac:dyDescent="0.25">
      <c r="A356" s="4" t="s">
        <v>2555</v>
      </c>
      <c r="B356" s="2" t="s">
        <v>1069</v>
      </c>
      <c r="C356" s="3">
        <v>1</v>
      </c>
      <c r="D356" s="5">
        <v>34.5</v>
      </c>
      <c r="E356" s="3">
        <v>100050028</v>
      </c>
      <c r="F356" s="2" t="s">
        <v>180</v>
      </c>
      <c r="G356" s="6" t="s">
        <v>106</v>
      </c>
      <c r="H356" s="2" t="s">
        <v>228</v>
      </c>
      <c r="I356" s="2" t="s">
        <v>229</v>
      </c>
      <c r="J356" s="2" t="s">
        <v>19</v>
      </c>
      <c r="K356" s="2" t="s">
        <v>353</v>
      </c>
      <c r="L356" s="7" t="str">
        <f>HYPERLINK("http://slimages.macys.com/is/image/MCY/11527150 ")</f>
        <v xml:space="preserve">http://slimages.macys.com/is/image/MCY/11527150 </v>
      </c>
    </row>
    <row r="357" spans="1:12" ht="24.75" x14ac:dyDescent="0.25">
      <c r="A357" s="4" t="s">
        <v>4813</v>
      </c>
      <c r="B357" s="2" t="s">
        <v>1069</v>
      </c>
      <c r="C357" s="3">
        <v>2</v>
      </c>
      <c r="D357" s="5">
        <v>34.5</v>
      </c>
      <c r="E357" s="3">
        <v>100050028</v>
      </c>
      <c r="F357" s="2" t="s">
        <v>180</v>
      </c>
      <c r="G357" s="6" t="s">
        <v>16</v>
      </c>
      <c r="H357" s="2" t="s">
        <v>228</v>
      </c>
      <c r="I357" s="2" t="s">
        <v>229</v>
      </c>
      <c r="J357" s="2" t="s">
        <v>19</v>
      </c>
      <c r="K357" s="2" t="s">
        <v>353</v>
      </c>
      <c r="L357" s="7" t="str">
        <f>HYPERLINK("http://slimages.macys.com/is/image/MCY/11527150 ")</f>
        <v xml:space="preserve">http://slimages.macys.com/is/image/MCY/11527150 </v>
      </c>
    </row>
    <row r="358" spans="1:12" ht="24.75" x14ac:dyDescent="0.25">
      <c r="A358" s="4" t="s">
        <v>2554</v>
      </c>
      <c r="B358" s="2" t="s">
        <v>1069</v>
      </c>
      <c r="C358" s="3">
        <v>2</v>
      </c>
      <c r="D358" s="5">
        <v>34.5</v>
      </c>
      <c r="E358" s="3">
        <v>100050028</v>
      </c>
      <c r="F358" s="2" t="s">
        <v>180</v>
      </c>
      <c r="G358" s="6" t="s">
        <v>22</v>
      </c>
      <c r="H358" s="2" t="s">
        <v>228</v>
      </c>
      <c r="I358" s="2" t="s">
        <v>229</v>
      </c>
      <c r="J358" s="2" t="s">
        <v>19</v>
      </c>
      <c r="K358" s="2" t="s">
        <v>353</v>
      </c>
      <c r="L358" s="7" t="str">
        <f>HYPERLINK("http://slimages.macys.com/is/image/MCY/11527150 ")</f>
        <v xml:space="preserve">http://slimages.macys.com/is/image/MCY/11527150 </v>
      </c>
    </row>
    <row r="359" spans="1:12" ht="24.75" x14ac:dyDescent="0.25">
      <c r="A359" s="4" t="s">
        <v>2558</v>
      </c>
      <c r="B359" s="2" t="s">
        <v>898</v>
      </c>
      <c r="C359" s="3">
        <v>1</v>
      </c>
      <c r="D359" s="5">
        <v>37.130000000000003</v>
      </c>
      <c r="E359" s="3">
        <v>100009193</v>
      </c>
      <c r="F359" s="2" t="s">
        <v>15</v>
      </c>
      <c r="G359" s="6" t="s">
        <v>27</v>
      </c>
      <c r="H359" s="2" t="s">
        <v>194</v>
      </c>
      <c r="I359" s="2" t="s">
        <v>503</v>
      </c>
      <c r="J359" s="2" t="s">
        <v>19</v>
      </c>
      <c r="K359" s="2" t="s">
        <v>353</v>
      </c>
      <c r="L359" s="7" t="str">
        <f>HYPERLINK("http://slimages.macys.com/is/image/MCY/11804644 ")</f>
        <v xml:space="preserve">http://slimages.macys.com/is/image/MCY/11804644 </v>
      </c>
    </row>
    <row r="360" spans="1:12" ht="24.75" x14ac:dyDescent="0.25">
      <c r="A360" s="4" t="s">
        <v>8109</v>
      </c>
      <c r="B360" s="2" t="s">
        <v>5746</v>
      </c>
      <c r="C360" s="3">
        <v>1</v>
      </c>
      <c r="D360" s="5">
        <v>59.5</v>
      </c>
      <c r="E360" s="3" t="s">
        <v>5747</v>
      </c>
      <c r="F360" s="2" t="s">
        <v>74</v>
      </c>
      <c r="G360" s="6" t="s">
        <v>336</v>
      </c>
      <c r="H360" s="2" t="s">
        <v>206</v>
      </c>
      <c r="I360" s="2" t="s">
        <v>207</v>
      </c>
      <c r="J360" s="2" t="s">
        <v>19</v>
      </c>
      <c r="K360" s="2" t="s">
        <v>409</v>
      </c>
      <c r="L360" s="7" t="str">
        <f>HYPERLINK("http://slimages.macys.com/is/image/MCY/9796578 ")</f>
        <v xml:space="preserve">http://slimages.macys.com/is/image/MCY/9796578 </v>
      </c>
    </row>
    <row r="361" spans="1:12" x14ac:dyDescent="0.25">
      <c r="A361" s="4" t="s">
        <v>1075</v>
      </c>
      <c r="B361" s="2" t="s">
        <v>1076</v>
      </c>
      <c r="C361" s="3">
        <v>1</v>
      </c>
      <c r="D361" s="5">
        <v>59.5</v>
      </c>
      <c r="E361" s="3">
        <v>100064580</v>
      </c>
      <c r="F361" s="2" t="s">
        <v>252</v>
      </c>
      <c r="G361" s="6" t="s">
        <v>27</v>
      </c>
      <c r="H361" s="2" t="s">
        <v>386</v>
      </c>
      <c r="I361" s="2" t="s">
        <v>207</v>
      </c>
      <c r="J361" s="2" t="s">
        <v>19</v>
      </c>
      <c r="K361" s="2" t="s">
        <v>353</v>
      </c>
      <c r="L361" s="7" t="str">
        <f>HYPERLINK("http://slimages.macys.com/is/image/MCY/13080473 ")</f>
        <v xml:space="preserve">http://slimages.macys.com/is/image/MCY/13080473 </v>
      </c>
    </row>
    <row r="362" spans="1:12" ht="24.75" x14ac:dyDescent="0.25">
      <c r="A362" s="4" t="s">
        <v>6556</v>
      </c>
      <c r="B362" s="2" t="s">
        <v>2566</v>
      </c>
      <c r="C362" s="3">
        <v>1</v>
      </c>
      <c r="D362" s="5">
        <v>34.880000000000003</v>
      </c>
      <c r="E362" s="3" t="s">
        <v>2567</v>
      </c>
      <c r="F362" s="2" t="s">
        <v>15</v>
      </c>
      <c r="G362" s="6" t="s">
        <v>187</v>
      </c>
      <c r="H362" s="2" t="s">
        <v>632</v>
      </c>
      <c r="I362" s="2" t="s">
        <v>2548</v>
      </c>
      <c r="J362" s="2" t="s">
        <v>19</v>
      </c>
      <c r="K362" s="2" t="s">
        <v>34</v>
      </c>
      <c r="L362" s="7" t="str">
        <f>HYPERLINK("http://slimages.macys.com/is/image/MCY/12716939 ")</f>
        <v xml:space="preserve">http://slimages.macys.com/is/image/MCY/12716939 </v>
      </c>
    </row>
    <row r="363" spans="1:12" ht="24.75" x14ac:dyDescent="0.25">
      <c r="A363" s="4" t="s">
        <v>8110</v>
      </c>
      <c r="B363" s="2" t="s">
        <v>8111</v>
      </c>
      <c r="C363" s="3">
        <v>1</v>
      </c>
      <c r="D363" s="5">
        <v>37.15</v>
      </c>
      <c r="E363" s="3" t="s">
        <v>8112</v>
      </c>
      <c r="F363" s="2" t="s">
        <v>1914</v>
      </c>
      <c r="G363" s="6" t="s">
        <v>156</v>
      </c>
      <c r="H363" s="2" t="s">
        <v>182</v>
      </c>
      <c r="I363" s="2" t="s">
        <v>183</v>
      </c>
      <c r="J363" s="2" t="s">
        <v>19</v>
      </c>
      <c r="K363" s="2" t="s">
        <v>1045</v>
      </c>
      <c r="L363" s="7" t="str">
        <f>HYPERLINK("http://slimages.macys.com/is/image/MCY/12851816 ")</f>
        <v xml:space="preserve">http://slimages.macys.com/is/image/MCY/12851816 </v>
      </c>
    </row>
    <row r="364" spans="1:12" ht="24.75" x14ac:dyDescent="0.25">
      <c r="A364" s="4" t="s">
        <v>5749</v>
      </c>
      <c r="B364" s="2" t="s">
        <v>890</v>
      </c>
      <c r="C364" s="3">
        <v>1</v>
      </c>
      <c r="D364" s="5">
        <v>34.5</v>
      </c>
      <c r="E364" s="3" t="s">
        <v>4818</v>
      </c>
      <c r="F364" s="2" t="s">
        <v>193</v>
      </c>
      <c r="G364" s="6" t="s">
        <v>112</v>
      </c>
      <c r="H364" s="2" t="s">
        <v>228</v>
      </c>
      <c r="I364" s="2" t="s">
        <v>863</v>
      </c>
      <c r="J364" s="2" t="s">
        <v>19</v>
      </c>
      <c r="K364" s="2" t="s">
        <v>253</v>
      </c>
      <c r="L364" s="7" t="str">
        <f>HYPERLINK("http://slimages.macys.com/is/image/MCY/11804239 ")</f>
        <v xml:space="preserve">http://slimages.macys.com/is/image/MCY/11804239 </v>
      </c>
    </row>
    <row r="365" spans="1:12" ht="24.75" x14ac:dyDescent="0.25">
      <c r="A365" s="4" t="s">
        <v>8113</v>
      </c>
      <c r="B365" s="2" t="s">
        <v>7371</v>
      </c>
      <c r="C365" s="3">
        <v>2</v>
      </c>
      <c r="D365" s="5">
        <v>33.380000000000003</v>
      </c>
      <c r="E365" s="3" t="s">
        <v>7372</v>
      </c>
      <c r="F365" s="2" t="s">
        <v>417</v>
      </c>
      <c r="G365" s="6" t="s">
        <v>234</v>
      </c>
      <c r="H365" s="2" t="s">
        <v>194</v>
      </c>
      <c r="I365" s="2" t="s">
        <v>195</v>
      </c>
      <c r="J365" s="2" t="s">
        <v>19</v>
      </c>
      <c r="K365" s="2" t="s">
        <v>323</v>
      </c>
      <c r="L365" s="7" t="str">
        <f>HYPERLINK("http://slimages.macys.com/is/image/MCY/12734325 ")</f>
        <v xml:space="preserve">http://slimages.macys.com/is/image/MCY/12734325 </v>
      </c>
    </row>
    <row r="366" spans="1:12" ht="24.75" x14ac:dyDescent="0.25">
      <c r="A366" s="4" t="s">
        <v>8114</v>
      </c>
      <c r="B366" s="2" t="s">
        <v>1080</v>
      </c>
      <c r="C366" s="3">
        <v>1</v>
      </c>
      <c r="D366" s="5">
        <v>33.380000000000003</v>
      </c>
      <c r="E366" s="3" t="s">
        <v>1081</v>
      </c>
      <c r="F366" s="2" t="s">
        <v>252</v>
      </c>
      <c r="G366" s="6" t="s">
        <v>154</v>
      </c>
      <c r="H366" s="2" t="s">
        <v>194</v>
      </c>
      <c r="I366" s="2" t="s">
        <v>195</v>
      </c>
      <c r="J366" s="2" t="s">
        <v>19</v>
      </c>
      <c r="K366" s="2" t="s">
        <v>1082</v>
      </c>
      <c r="L366" s="7" t="str">
        <f>HYPERLINK("http://slimages.macys.com/is/image/MCY/13120798 ")</f>
        <v xml:space="preserve">http://slimages.macys.com/is/image/MCY/13120798 </v>
      </c>
    </row>
    <row r="367" spans="1:12" ht="24.75" x14ac:dyDescent="0.25">
      <c r="A367" s="4" t="s">
        <v>8115</v>
      </c>
      <c r="B367" s="2" t="s">
        <v>4823</v>
      </c>
      <c r="C367" s="3">
        <v>1</v>
      </c>
      <c r="D367" s="5">
        <v>27.99</v>
      </c>
      <c r="E367" s="3" t="s">
        <v>5754</v>
      </c>
      <c r="F367" s="2" t="s">
        <v>94</v>
      </c>
      <c r="G367" s="6" t="s">
        <v>200</v>
      </c>
      <c r="H367" s="2" t="s">
        <v>194</v>
      </c>
      <c r="I367" s="2" t="s">
        <v>919</v>
      </c>
      <c r="J367" s="2" t="s">
        <v>19</v>
      </c>
      <c r="K367" s="2" t="s">
        <v>409</v>
      </c>
      <c r="L367" s="7" t="str">
        <f>HYPERLINK("http://slimages.macys.com/is/image/MCY/3244804 ")</f>
        <v xml:space="preserve">http://slimages.macys.com/is/image/MCY/3244804 </v>
      </c>
    </row>
    <row r="368" spans="1:12" x14ac:dyDescent="0.25">
      <c r="A368" s="4" t="s">
        <v>8116</v>
      </c>
      <c r="B368" s="2" t="s">
        <v>1101</v>
      </c>
      <c r="C368" s="3">
        <v>1</v>
      </c>
      <c r="D368" s="5">
        <v>39.5</v>
      </c>
      <c r="E368" s="3" t="s">
        <v>1102</v>
      </c>
      <c r="F368" s="2" t="s">
        <v>506</v>
      </c>
      <c r="G368" s="6"/>
      <c r="H368" s="2" t="s">
        <v>206</v>
      </c>
      <c r="I368" s="2" t="s">
        <v>207</v>
      </c>
      <c r="J368" s="2" t="s">
        <v>19</v>
      </c>
      <c r="K368" s="2" t="s">
        <v>160</v>
      </c>
      <c r="L368" s="7" t="str">
        <f>HYPERLINK("http://slimages.macys.com/is/image/MCY/10453045 ")</f>
        <v xml:space="preserve">http://slimages.macys.com/is/image/MCY/10453045 </v>
      </c>
    </row>
    <row r="369" spans="1:12" x14ac:dyDescent="0.25">
      <c r="A369" s="4" t="s">
        <v>8117</v>
      </c>
      <c r="B369" s="2" t="s">
        <v>1101</v>
      </c>
      <c r="C369" s="3">
        <v>1</v>
      </c>
      <c r="D369" s="5">
        <v>39.5</v>
      </c>
      <c r="E369" s="3" t="s">
        <v>1102</v>
      </c>
      <c r="F369" s="2" t="s">
        <v>506</v>
      </c>
      <c r="G369" s="6" t="s">
        <v>219</v>
      </c>
      <c r="H369" s="2" t="s">
        <v>206</v>
      </c>
      <c r="I369" s="2" t="s">
        <v>207</v>
      </c>
      <c r="J369" s="2" t="s">
        <v>19</v>
      </c>
      <c r="K369" s="2" t="s">
        <v>160</v>
      </c>
      <c r="L369" s="7" t="str">
        <f>HYPERLINK("http://slimages.macys.com/is/image/MCY/10453045 ")</f>
        <v xml:space="preserve">http://slimages.macys.com/is/image/MCY/10453045 </v>
      </c>
    </row>
    <row r="370" spans="1:12" ht="24.75" x14ac:dyDescent="0.25">
      <c r="A370" s="4" t="s">
        <v>5756</v>
      </c>
      <c r="B370" s="2" t="s">
        <v>1394</v>
      </c>
      <c r="C370" s="3">
        <v>1</v>
      </c>
      <c r="D370" s="5">
        <v>37.130000000000003</v>
      </c>
      <c r="E370" s="3" t="s">
        <v>5757</v>
      </c>
      <c r="F370" s="2" t="s">
        <v>53</v>
      </c>
      <c r="G370" s="6" t="s">
        <v>156</v>
      </c>
      <c r="H370" s="2" t="s">
        <v>194</v>
      </c>
      <c r="I370" s="2" t="s">
        <v>195</v>
      </c>
      <c r="J370" s="2" t="s">
        <v>19</v>
      </c>
      <c r="K370" s="2" t="s">
        <v>34</v>
      </c>
      <c r="L370" s="7" t="str">
        <f>HYPERLINK("http://slimages.macys.com/is/image/MCY/13367997 ")</f>
        <v xml:space="preserve">http://slimages.macys.com/is/image/MCY/13367997 </v>
      </c>
    </row>
    <row r="371" spans="1:12" ht="24.75" x14ac:dyDescent="0.25">
      <c r="A371" s="4" t="s">
        <v>8118</v>
      </c>
      <c r="B371" s="2" t="s">
        <v>1394</v>
      </c>
      <c r="C371" s="3">
        <v>1</v>
      </c>
      <c r="D371" s="5">
        <v>37.130000000000003</v>
      </c>
      <c r="E371" s="3" t="s">
        <v>5757</v>
      </c>
      <c r="F371" s="2" t="s">
        <v>53</v>
      </c>
      <c r="G371" s="6" t="s">
        <v>200</v>
      </c>
      <c r="H371" s="2" t="s">
        <v>194</v>
      </c>
      <c r="I371" s="2" t="s">
        <v>195</v>
      </c>
      <c r="J371" s="2" t="s">
        <v>19</v>
      </c>
      <c r="K371" s="2" t="s">
        <v>34</v>
      </c>
      <c r="L371" s="7" t="str">
        <f>HYPERLINK("http://slimages.macys.com/is/image/MCY/13367997 ")</f>
        <v xml:space="preserve">http://slimages.macys.com/is/image/MCY/13367997 </v>
      </c>
    </row>
    <row r="372" spans="1:12" ht="24.75" x14ac:dyDescent="0.25">
      <c r="A372" s="4" t="s">
        <v>1105</v>
      </c>
      <c r="B372" s="2" t="s">
        <v>1106</v>
      </c>
      <c r="C372" s="3">
        <v>2</v>
      </c>
      <c r="D372" s="5">
        <v>32.5</v>
      </c>
      <c r="E372" s="3" t="s">
        <v>1107</v>
      </c>
      <c r="F372" s="2" t="s">
        <v>15</v>
      </c>
      <c r="G372" s="6" t="s">
        <v>181</v>
      </c>
      <c r="H372" s="2" t="s">
        <v>194</v>
      </c>
      <c r="I372" s="2" t="s">
        <v>195</v>
      </c>
      <c r="J372" s="2" t="s">
        <v>19</v>
      </c>
      <c r="K372" s="2" t="s">
        <v>1108</v>
      </c>
      <c r="L372" s="7" t="str">
        <f>HYPERLINK("http://slimages.macys.com/is/image/MCY/11764459 ")</f>
        <v xml:space="preserve">http://slimages.macys.com/is/image/MCY/11764459 </v>
      </c>
    </row>
    <row r="373" spans="1:12" ht="24.75" x14ac:dyDescent="0.25">
      <c r="A373" s="4" t="s">
        <v>4832</v>
      </c>
      <c r="B373" s="2" t="s">
        <v>1106</v>
      </c>
      <c r="C373" s="3">
        <v>1</v>
      </c>
      <c r="D373" s="5">
        <v>32.5</v>
      </c>
      <c r="E373" s="3" t="s">
        <v>1107</v>
      </c>
      <c r="F373" s="2" t="s">
        <v>15</v>
      </c>
      <c r="G373" s="6" t="s">
        <v>156</v>
      </c>
      <c r="H373" s="2" t="s">
        <v>194</v>
      </c>
      <c r="I373" s="2" t="s">
        <v>195</v>
      </c>
      <c r="J373" s="2" t="s">
        <v>19</v>
      </c>
      <c r="K373" s="2" t="s">
        <v>1108</v>
      </c>
      <c r="L373" s="7" t="str">
        <f>HYPERLINK("http://slimages.macys.com/is/image/MCY/11764459 ")</f>
        <v xml:space="preserve">http://slimages.macys.com/is/image/MCY/11764459 </v>
      </c>
    </row>
    <row r="374" spans="1:12" ht="24.75" x14ac:dyDescent="0.25">
      <c r="A374" s="4" t="s">
        <v>8119</v>
      </c>
      <c r="B374" s="2" t="s">
        <v>4836</v>
      </c>
      <c r="C374" s="3">
        <v>1</v>
      </c>
      <c r="D374" s="5">
        <v>37.130000000000003</v>
      </c>
      <c r="E374" s="3" t="s">
        <v>4837</v>
      </c>
      <c r="F374" s="2" t="s">
        <v>26</v>
      </c>
      <c r="G374" s="6" t="s">
        <v>154</v>
      </c>
      <c r="H374" s="2" t="s">
        <v>194</v>
      </c>
      <c r="I374" s="2" t="s">
        <v>195</v>
      </c>
      <c r="J374" s="2" t="s">
        <v>19</v>
      </c>
      <c r="K374" s="2" t="s">
        <v>648</v>
      </c>
      <c r="L374" s="7" t="str">
        <f>HYPERLINK("http://slimages.macys.com/is/image/MCY/12734350 ")</f>
        <v xml:space="preserve">http://slimages.macys.com/is/image/MCY/12734350 </v>
      </c>
    </row>
    <row r="375" spans="1:12" ht="24.75" x14ac:dyDescent="0.25">
      <c r="A375" s="4" t="s">
        <v>8120</v>
      </c>
      <c r="B375" s="2" t="s">
        <v>8121</v>
      </c>
      <c r="C375" s="3">
        <v>1</v>
      </c>
      <c r="D375" s="5">
        <v>34.65</v>
      </c>
      <c r="E375" s="3" t="s">
        <v>8122</v>
      </c>
      <c r="F375" s="2" t="s">
        <v>101</v>
      </c>
      <c r="G375" s="6" t="s">
        <v>156</v>
      </c>
      <c r="H375" s="2" t="s">
        <v>182</v>
      </c>
      <c r="I375" s="2" t="s">
        <v>183</v>
      </c>
      <c r="J375" s="2" t="s">
        <v>19</v>
      </c>
      <c r="K375" s="2" t="s">
        <v>160</v>
      </c>
      <c r="L375" s="7" t="str">
        <f>HYPERLINK("http://slimages.macys.com/is/image/MCY/12144904 ")</f>
        <v xml:space="preserve">http://slimages.macys.com/is/image/MCY/12144904 </v>
      </c>
    </row>
    <row r="376" spans="1:12" ht="24.75" x14ac:dyDescent="0.25">
      <c r="A376" s="4" t="s">
        <v>1116</v>
      </c>
      <c r="B376" s="2" t="s">
        <v>1114</v>
      </c>
      <c r="C376" s="3">
        <v>1</v>
      </c>
      <c r="D376" s="5">
        <v>37.130000000000003</v>
      </c>
      <c r="E376" s="3">
        <v>100042369</v>
      </c>
      <c r="F376" s="2" t="s">
        <v>64</v>
      </c>
      <c r="G376" s="6" t="s">
        <v>22</v>
      </c>
      <c r="H376" s="2" t="s">
        <v>194</v>
      </c>
      <c r="I376" s="2" t="s">
        <v>195</v>
      </c>
      <c r="J376" s="2"/>
      <c r="K376" s="2"/>
      <c r="L376" s="7" t="str">
        <f>HYPERLINK("http://slimages.macys.com/is/image/MCY/11934939 ")</f>
        <v xml:space="preserve">http://slimages.macys.com/is/image/MCY/11934939 </v>
      </c>
    </row>
    <row r="377" spans="1:12" ht="24.75" x14ac:dyDescent="0.25">
      <c r="A377" s="4" t="s">
        <v>1120</v>
      </c>
      <c r="B377" s="2" t="s">
        <v>1118</v>
      </c>
      <c r="C377" s="3">
        <v>1</v>
      </c>
      <c r="D377" s="5">
        <v>37.130000000000003</v>
      </c>
      <c r="E377" s="3">
        <v>100070736</v>
      </c>
      <c r="F377" s="2" t="s">
        <v>376</v>
      </c>
      <c r="G377" s="6" t="s">
        <v>154</v>
      </c>
      <c r="H377" s="2" t="s">
        <v>194</v>
      </c>
      <c r="I377" s="2" t="s">
        <v>195</v>
      </c>
      <c r="J377" s="2" t="s">
        <v>19</v>
      </c>
      <c r="K377" s="2" t="s">
        <v>353</v>
      </c>
      <c r="L377" s="7" t="str">
        <f>HYPERLINK("http://slimages.macys.com/is/image/MCY/13120823 ")</f>
        <v xml:space="preserve">http://slimages.macys.com/is/image/MCY/13120823 </v>
      </c>
    </row>
    <row r="378" spans="1:12" ht="24.75" x14ac:dyDescent="0.25">
      <c r="A378" s="4" t="s">
        <v>1126</v>
      </c>
      <c r="B378" s="2" t="s">
        <v>1118</v>
      </c>
      <c r="C378" s="3">
        <v>1</v>
      </c>
      <c r="D378" s="5">
        <v>37.130000000000003</v>
      </c>
      <c r="E378" s="3">
        <v>100070736</v>
      </c>
      <c r="F378" s="2" t="s">
        <v>74</v>
      </c>
      <c r="G378" s="6" t="s">
        <v>154</v>
      </c>
      <c r="H378" s="2" t="s">
        <v>194</v>
      </c>
      <c r="I378" s="2" t="s">
        <v>195</v>
      </c>
      <c r="J378" s="2" t="s">
        <v>19</v>
      </c>
      <c r="K378" s="2" t="s">
        <v>353</v>
      </c>
      <c r="L378" s="7" t="str">
        <f>HYPERLINK("http://slimages.macys.com/is/image/MCY/13120823 ")</f>
        <v xml:space="preserve">http://slimages.macys.com/is/image/MCY/13120823 </v>
      </c>
    </row>
    <row r="379" spans="1:12" ht="24.75" x14ac:dyDescent="0.25">
      <c r="A379" s="4" t="s">
        <v>2581</v>
      </c>
      <c r="B379" s="2" t="s">
        <v>1118</v>
      </c>
      <c r="C379" s="3">
        <v>1</v>
      </c>
      <c r="D379" s="5">
        <v>37.130000000000003</v>
      </c>
      <c r="E379" s="3">
        <v>100070736</v>
      </c>
      <c r="F379" s="2" t="s">
        <v>376</v>
      </c>
      <c r="G379" s="6" t="s">
        <v>245</v>
      </c>
      <c r="H379" s="2" t="s">
        <v>194</v>
      </c>
      <c r="I379" s="2" t="s">
        <v>195</v>
      </c>
      <c r="J379" s="2" t="s">
        <v>19</v>
      </c>
      <c r="K379" s="2" t="s">
        <v>353</v>
      </c>
      <c r="L379" s="7" t="str">
        <f>HYPERLINK("http://slimages.macys.com/is/image/MCY/13120823 ")</f>
        <v xml:space="preserve">http://slimages.macys.com/is/image/MCY/13120823 </v>
      </c>
    </row>
    <row r="380" spans="1:12" ht="24.75" x14ac:dyDescent="0.25">
      <c r="A380" s="4" t="s">
        <v>1117</v>
      </c>
      <c r="B380" s="2" t="s">
        <v>1118</v>
      </c>
      <c r="C380" s="3">
        <v>2</v>
      </c>
      <c r="D380" s="5">
        <v>37.130000000000003</v>
      </c>
      <c r="E380" s="3">
        <v>100070736</v>
      </c>
      <c r="F380" s="2" t="s">
        <v>376</v>
      </c>
      <c r="G380" s="6" t="s">
        <v>156</v>
      </c>
      <c r="H380" s="2" t="s">
        <v>194</v>
      </c>
      <c r="I380" s="2" t="s">
        <v>195</v>
      </c>
      <c r="J380" s="2" t="s">
        <v>19</v>
      </c>
      <c r="K380" s="2" t="s">
        <v>353</v>
      </c>
      <c r="L380" s="7" t="str">
        <f>HYPERLINK("http://slimages.macys.com/is/image/MCY/13120823 ")</f>
        <v xml:space="preserve">http://slimages.macys.com/is/image/MCY/13120823 </v>
      </c>
    </row>
    <row r="381" spans="1:12" ht="24.75" x14ac:dyDescent="0.25">
      <c r="A381" s="4" t="s">
        <v>3751</v>
      </c>
      <c r="B381" s="2" t="s">
        <v>1118</v>
      </c>
      <c r="C381" s="3">
        <v>1</v>
      </c>
      <c r="D381" s="5">
        <v>37.130000000000003</v>
      </c>
      <c r="E381" s="3">
        <v>100070736</v>
      </c>
      <c r="F381" s="2" t="s">
        <v>74</v>
      </c>
      <c r="G381" s="6" t="s">
        <v>200</v>
      </c>
      <c r="H381" s="2" t="s">
        <v>194</v>
      </c>
      <c r="I381" s="2" t="s">
        <v>195</v>
      </c>
      <c r="J381" s="2" t="s">
        <v>19</v>
      </c>
      <c r="K381" s="2" t="s">
        <v>353</v>
      </c>
      <c r="L381" s="7" t="str">
        <f>HYPERLINK("http://slimages.macys.com/is/image/MCY/13120823 ")</f>
        <v xml:space="preserve">http://slimages.macys.com/is/image/MCY/13120823 </v>
      </c>
    </row>
    <row r="382" spans="1:12" ht="24.75" x14ac:dyDescent="0.25">
      <c r="A382" s="4" t="s">
        <v>2582</v>
      </c>
      <c r="B382" s="2" t="s">
        <v>1128</v>
      </c>
      <c r="C382" s="3">
        <v>1</v>
      </c>
      <c r="D382" s="5">
        <v>32.5</v>
      </c>
      <c r="E382" s="3" t="s">
        <v>1129</v>
      </c>
      <c r="F382" s="2" t="s">
        <v>252</v>
      </c>
      <c r="G382" s="6" t="s">
        <v>156</v>
      </c>
      <c r="H382" s="2" t="s">
        <v>194</v>
      </c>
      <c r="I382" s="2" t="s">
        <v>195</v>
      </c>
      <c r="J382" s="2" t="s">
        <v>19</v>
      </c>
      <c r="K382" s="2" t="s">
        <v>1108</v>
      </c>
      <c r="L382" s="7" t="str">
        <f>HYPERLINK("http://slimages.macys.com/is/image/MCY/12850781 ")</f>
        <v xml:space="preserve">http://slimages.macys.com/is/image/MCY/12850781 </v>
      </c>
    </row>
    <row r="383" spans="1:12" ht="24.75" x14ac:dyDescent="0.25">
      <c r="A383" s="4" t="s">
        <v>1130</v>
      </c>
      <c r="B383" s="2" t="s">
        <v>1128</v>
      </c>
      <c r="C383" s="3">
        <v>2</v>
      </c>
      <c r="D383" s="5">
        <v>32.5</v>
      </c>
      <c r="E383" s="3" t="s">
        <v>1129</v>
      </c>
      <c r="F383" s="2" t="s">
        <v>252</v>
      </c>
      <c r="G383" s="6" t="s">
        <v>181</v>
      </c>
      <c r="H383" s="2" t="s">
        <v>194</v>
      </c>
      <c r="I383" s="2" t="s">
        <v>195</v>
      </c>
      <c r="J383" s="2" t="s">
        <v>19</v>
      </c>
      <c r="K383" s="2" t="s">
        <v>1108</v>
      </c>
      <c r="L383" s="7" t="str">
        <f>HYPERLINK("http://slimages.macys.com/is/image/MCY/12850781 ")</f>
        <v xml:space="preserve">http://slimages.macys.com/is/image/MCY/12850781 </v>
      </c>
    </row>
    <row r="384" spans="1:12" ht="24.75" x14ac:dyDescent="0.25">
      <c r="A384" s="4" t="s">
        <v>3758</v>
      </c>
      <c r="B384" s="2" t="s">
        <v>890</v>
      </c>
      <c r="C384" s="3">
        <v>1</v>
      </c>
      <c r="D384" s="5">
        <v>34.5</v>
      </c>
      <c r="E384" s="3" t="s">
        <v>1136</v>
      </c>
      <c r="F384" s="2" t="s">
        <v>252</v>
      </c>
      <c r="G384" s="6" t="s">
        <v>112</v>
      </c>
      <c r="H384" s="2" t="s">
        <v>228</v>
      </c>
      <c r="I384" s="2" t="s">
        <v>863</v>
      </c>
      <c r="J384" s="2" t="s">
        <v>19</v>
      </c>
      <c r="K384" s="2" t="s">
        <v>253</v>
      </c>
      <c r="L384" s="7" t="str">
        <f>HYPERLINK("http://slimages.macys.com/is/image/MCY/11804239 ")</f>
        <v xml:space="preserve">http://slimages.macys.com/is/image/MCY/11804239 </v>
      </c>
    </row>
    <row r="385" spans="1:12" ht="24.75" x14ac:dyDescent="0.25">
      <c r="A385" s="4" t="s">
        <v>3759</v>
      </c>
      <c r="B385" s="2" t="s">
        <v>890</v>
      </c>
      <c r="C385" s="3">
        <v>1</v>
      </c>
      <c r="D385" s="5">
        <v>34.5</v>
      </c>
      <c r="E385" s="3" t="s">
        <v>1136</v>
      </c>
      <c r="F385" s="2" t="s">
        <v>252</v>
      </c>
      <c r="G385" s="6" t="s">
        <v>16</v>
      </c>
      <c r="H385" s="2" t="s">
        <v>228</v>
      </c>
      <c r="I385" s="2" t="s">
        <v>863</v>
      </c>
      <c r="J385" s="2" t="s">
        <v>19</v>
      </c>
      <c r="K385" s="2" t="s">
        <v>253</v>
      </c>
      <c r="L385" s="7" t="str">
        <f>HYPERLINK("http://slimages.macys.com/is/image/MCY/11804239 ")</f>
        <v xml:space="preserve">http://slimages.macys.com/is/image/MCY/11804239 </v>
      </c>
    </row>
    <row r="386" spans="1:12" ht="24.75" x14ac:dyDescent="0.25">
      <c r="A386" s="4" t="s">
        <v>2583</v>
      </c>
      <c r="B386" s="2" t="s">
        <v>890</v>
      </c>
      <c r="C386" s="3">
        <v>2</v>
      </c>
      <c r="D386" s="5">
        <v>34.5</v>
      </c>
      <c r="E386" s="3" t="s">
        <v>1136</v>
      </c>
      <c r="F386" s="2" t="s">
        <v>252</v>
      </c>
      <c r="G386" s="6" t="s">
        <v>27</v>
      </c>
      <c r="H386" s="2" t="s">
        <v>228</v>
      </c>
      <c r="I386" s="2" t="s">
        <v>863</v>
      </c>
      <c r="J386" s="2" t="s">
        <v>19</v>
      </c>
      <c r="K386" s="2" t="s">
        <v>253</v>
      </c>
      <c r="L386" s="7" t="str">
        <f>HYPERLINK("http://slimages.macys.com/is/image/MCY/11804239 ")</f>
        <v xml:space="preserve">http://slimages.macys.com/is/image/MCY/11804239 </v>
      </c>
    </row>
    <row r="387" spans="1:12" ht="24.75" x14ac:dyDescent="0.25">
      <c r="A387" s="4" t="s">
        <v>1135</v>
      </c>
      <c r="B387" s="2" t="s">
        <v>890</v>
      </c>
      <c r="C387" s="3">
        <v>1</v>
      </c>
      <c r="D387" s="5">
        <v>34.5</v>
      </c>
      <c r="E387" s="3" t="s">
        <v>1136</v>
      </c>
      <c r="F387" s="2" t="s">
        <v>252</v>
      </c>
      <c r="G387" s="6" t="s">
        <v>22</v>
      </c>
      <c r="H387" s="2" t="s">
        <v>228</v>
      </c>
      <c r="I387" s="2" t="s">
        <v>863</v>
      </c>
      <c r="J387" s="2" t="s">
        <v>19</v>
      </c>
      <c r="K387" s="2" t="s">
        <v>253</v>
      </c>
      <c r="L387" s="7" t="str">
        <f>HYPERLINK("http://slimages.macys.com/is/image/MCY/11804239 ")</f>
        <v xml:space="preserve">http://slimages.macys.com/is/image/MCY/11804239 </v>
      </c>
    </row>
    <row r="388" spans="1:12" ht="24.75" x14ac:dyDescent="0.25">
      <c r="A388" s="4" t="s">
        <v>8123</v>
      </c>
      <c r="B388" s="2" t="s">
        <v>890</v>
      </c>
      <c r="C388" s="3">
        <v>1</v>
      </c>
      <c r="D388" s="5">
        <v>34.5</v>
      </c>
      <c r="E388" s="3" t="s">
        <v>1136</v>
      </c>
      <c r="F388" s="2" t="s">
        <v>252</v>
      </c>
      <c r="G388" s="6" t="s">
        <v>65</v>
      </c>
      <c r="H388" s="2" t="s">
        <v>228</v>
      </c>
      <c r="I388" s="2" t="s">
        <v>863</v>
      </c>
      <c r="J388" s="2" t="s">
        <v>19</v>
      </c>
      <c r="K388" s="2" t="s">
        <v>253</v>
      </c>
      <c r="L388" s="7" t="str">
        <f>HYPERLINK("http://slimages.macys.com/is/image/MCY/11804239 ")</f>
        <v xml:space="preserve">http://slimages.macys.com/is/image/MCY/11804239 </v>
      </c>
    </row>
    <row r="389" spans="1:12" ht="24.75" x14ac:dyDescent="0.25">
      <c r="A389" s="4" t="s">
        <v>1144</v>
      </c>
      <c r="B389" s="2" t="s">
        <v>1132</v>
      </c>
      <c r="C389" s="3">
        <v>1</v>
      </c>
      <c r="D389" s="5">
        <v>34.5</v>
      </c>
      <c r="E389" s="3" t="s">
        <v>1143</v>
      </c>
      <c r="F389" s="2" t="s">
        <v>506</v>
      </c>
      <c r="G389" s="6" t="s">
        <v>22</v>
      </c>
      <c r="H389" s="2" t="s">
        <v>228</v>
      </c>
      <c r="I389" s="2" t="s">
        <v>863</v>
      </c>
      <c r="J389" s="2" t="s">
        <v>19</v>
      </c>
      <c r="K389" s="2" t="s">
        <v>253</v>
      </c>
      <c r="L389" s="7" t="str">
        <f>HYPERLINK("http://slimages.macys.com/is/image/MCY/11804272 ")</f>
        <v xml:space="preserve">http://slimages.macys.com/is/image/MCY/11804272 </v>
      </c>
    </row>
    <row r="390" spans="1:12" ht="24.75" x14ac:dyDescent="0.25">
      <c r="A390" s="4" t="s">
        <v>3763</v>
      </c>
      <c r="B390" s="2" t="s">
        <v>1147</v>
      </c>
      <c r="C390" s="3">
        <v>1</v>
      </c>
      <c r="D390" s="5">
        <v>34.880000000000003</v>
      </c>
      <c r="E390" s="3">
        <v>100055540</v>
      </c>
      <c r="F390" s="2" t="s">
        <v>70</v>
      </c>
      <c r="G390" s="6" t="s">
        <v>58</v>
      </c>
      <c r="H390" s="2" t="s">
        <v>194</v>
      </c>
      <c r="I390" s="2" t="s">
        <v>195</v>
      </c>
      <c r="J390" s="2" t="s">
        <v>19</v>
      </c>
      <c r="K390" s="2" t="s">
        <v>353</v>
      </c>
      <c r="L390" s="7" t="str">
        <f>HYPERLINK("http://slimages.macys.com/is/image/MCY/12035336 ")</f>
        <v xml:space="preserve">http://slimages.macys.com/is/image/MCY/12035336 </v>
      </c>
    </row>
    <row r="391" spans="1:12" ht="24.75" x14ac:dyDescent="0.25">
      <c r="A391" s="4" t="s">
        <v>1148</v>
      </c>
      <c r="B391" s="2" t="s">
        <v>1106</v>
      </c>
      <c r="C391" s="3">
        <v>1</v>
      </c>
      <c r="D391" s="5">
        <v>32.5</v>
      </c>
      <c r="E391" s="3" t="s">
        <v>1149</v>
      </c>
      <c r="F391" s="2" t="s">
        <v>26</v>
      </c>
      <c r="G391" s="6"/>
      <c r="H391" s="2" t="s">
        <v>312</v>
      </c>
      <c r="I391" s="2" t="s">
        <v>195</v>
      </c>
      <c r="J391" s="2" t="s">
        <v>19</v>
      </c>
      <c r="K391" s="2" t="s">
        <v>1150</v>
      </c>
      <c r="L391" s="7" t="str">
        <f>HYPERLINK("http://slimages.macys.com/is/image/MCY/11764459 ")</f>
        <v xml:space="preserve">http://slimages.macys.com/is/image/MCY/11764459 </v>
      </c>
    </row>
    <row r="392" spans="1:12" ht="24.75" x14ac:dyDescent="0.25">
      <c r="A392" s="4" t="s">
        <v>2593</v>
      </c>
      <c r="B392" s="2" t="s">
        <v>1155</v>
      </c>
      <c r="C392" s="3">
        <v>1</v>
      </c>
      <c r="D392" s="5">
        <v>37.130000000000003</v>
      </c>
      <c r="E392" s="3" t="s">
        <v>1156</v>
      </c>
      <c r="F392" s="2" t="s">
        <v>417</v>
      </c>
      <c r="G392" s="6" t="s">
        <v>156</v>
      </c>
      <c r="H392" s="2" t="s">
        <v>194</v>
      </c>
      <c r="I392" s="2" t="s">
        <v>195</v>
      </c>
      <c r="J392" s="2" t="s">
        <v>19</v>
      </c>
      <c r="K392" s="2" t="s">
        <v>648</v>
      </c>
      <c r="L392" s="7" t="str">
        <f>HYPERLINK("http://slimages.macys.com/is/image/MCY/13120794 ")</f>
        <v xml:space="preserve">http://slimages.macys.com/is/image/MCY/13120794 </v>
      </c>
    </row>
    <row r="393" spans="1:12" ht="24.75" x14ac:dyDescent="0.25">
      <c r="A393" s="4" t="s">
        <v>1154</v>
      </c>
      <c r="B393" s="2" t="s">
        <v>1155</v>
      </c>
      <c r="C393" s="3">
        <v>3</v>
      </c>
      <c r="D393" s="5">
        <v>37.130000000000003</v>
      </c>
      <c r="E393" s="3" t="s">
        <v>1156</v>
      </c>
      <c r="F393" s="2" t="s">
        <v>417</v>
      </c>
      <c r="G393" s="6" t="s">
        <v>181</v>
      </c>
      <c r="H393" s="2" t="s">
        <v>194</v>
      </c>
      <c r="I393" s="2" t="s">
        <v>195</v>
      </c>
      <c r="J393" s="2" t="s">
        <v>19</v>
      </c>
      <c r="K393" s="2" t="s">
        <v>648</v>
      </c>
      <c r="L393" s="7" t="str">
        <f>HYPERLINK("http://slimages.macys.com/is/image/MCY/13120794 ")</f>
        <v xml:space="preserve">http://slimages.macys.com/is/image/MCY/13120794 </v>
      </c>
    </row>
    <row r="394" spans="1:12" ht="24.75" x14ac:dyDescent="0.25">
      <c r="A394" s="4" t="s">
        <v>3770</v>
      </c>
      <c r="B394" s="2" t="s">
        <v>1160</v>
      </c>
      <c r="C394" s="3">
        <v>1</v>
      </c>
      <c r="D394" s="5">
        <v>69.5</v>
      </c>
      <c r="E394" s="3">
        <v>100055239</v>
      </c>
      <c r="F394" s="2" t="s">
        <v>74</v>
      </c>
      <c r="G394" s="6" t="s">
        <v>106</v>
      </c>
      <c r="H394" s="2" t="s">
        <v>386</v>
      </c>
      <c r="I394" s="2" t="s">
        <v>207</v>
      </c>
      <c r="J394" s="2" t="s">
        <v>19</v>
      </c>
      <c r="K394" s="2" t="s">
        <v>387</v>
      </c>
      <c r="L394" s="7" t="str">
        <f>HYPERLINK("http://slimages.macys.com/is/image/MCY/11535562 ")</f>
        <v xml:space="preserve">http://slimages.macys.com/is/image/MCY/11535562 </v>
      </c>
    </row>
    <row r="395" spans="1:12" ht="24.75" x14ac:dyDescent="0.25">
      <c r="A395" s="4" t="s">
        <v>2595</v>
      </c>
      <c r="B395" s="2" t="s">
        <v>1160</v>
      </c>
      <c r="C395" s="3">
        <v>1</v>
      </c>
      <c r="D395" s="5">
        <v>69.5</v>
      </c>
      <c r="E395" s="3">
        <v>100055239</v>
      </c>
      <c r="F395" s="2" t="s">
        <v>74</v>
      </c>
      <c r="G395" s="6" t="s">
        <v>2208</v>
      </c>
      <c r="H395" s="2" t="s">
        <v>386</v>
      </c>
      <c r="I395" s="2" t="s">
        <v>207</v>
      </c>
      <c r="J395" s="2" t="s">
        <v>19</v>
      </c>
      <c r="K395" s="2" t="s">
        <v>387</v>
      </c>
      <c r="L395" s="7" t="str">
        <f>HYPERLINK("http://slimages.macys.com/is/image/MCY/11535562 ")</f>
        <v xml:space="preserve">http://slimages.macys.com/is/image/MCY/11535562 </v>
      </c>
    </row>
    <row r="396" spans="1:12" ht="24.75" x14ac:dyDescent="0.25">
      <c r="A396" s="4" t="s">
        <v>8124</v>
      </c>
      <c r="B396" s="2" t="s">
        <v>1199</v>
      </c>
      <c r="C396" s="3">
        <v>1</v>
      </c>
      <c r="D396" s="5">
        <v>37.130000000000003</v>
      </c>
      <c r="E396" s="3">
        <v>100009324</v>
      </c>
      <c r="F396" s="2" t="s">
        <v>70</v>
      </c>
      <c r="G396" s="6" t="s">
        <v>58</v>
      </c>
      <c r="H396" s="2" t="s">
        <v>194</v>
      </c>
      <c r="I396" s="2" t="s">
        <v>195</v>
      </c>
      <c r="J396" s="2" t="s">
        <v>19</v>
      </c>
      <c r="K396" s="2" t="s">
        <v>353</v>
      </c>
      <c r="L396" s="7" t="str">
        <f>HYPERLINK("http://slimages.macys.com/is/image/MCY/9404224 ")</f>
        <v xml:space="preserve">http://slimages.macys.com/is/image/MCY/9404224 </v>
      </c>
    </row>
    <row r="397" spans="1:12" ht="24.75" x14ac:dyDescent="0.25">
      <c r="A397" s="4" t="s">
        <v>8125</v>
      </c>
      <c r="B397" s="2" t="s">
        <v>1106</v>
      </c>
      <c r="C397" s="3">
        <v>1</v>
      </c>
      <c r="D397" s="5">
        <v>32.5</v>
      </c>
      <c r="E397" s="3" t="s">
        <v>2600</v>
      </c>
      <c r="F397" s="2" t="s">
        <v>15</v>
      </c>
      <c r="G397" s="6" t="s">
        <v>200</v>
      </c>
      <c r="H397" s="2" t="s">
        <v>194</v>
      </c>
      <c r="I397" s="2" t="s">
        <v>195</v>
      </c>
      <c r="J397" s="2" t="s">
        <v>19</v>
      </c>
      <c r="K397" s="2" t="s">
        <v>1108</v>
      </c>
      <c r="L397" s="7" t="str">
        <f>HYPERLINK("http://slimages.macys.com/is/image/MCY/11776301 ")</f>
        <v xml:space="preserve">http://slimages.macys.com/is/image/MCY/11776301 </v>
      </c>
    </row>
    <row r="398" spans="1:12" ht="24.75" x14ac:dyDescent="0.25">
      <c r="A398" s="4" t="s">
        <v>1180</v>
      </c>
      <c r="B398" s="2" t="s">
        <v>1181</v>
      </c>
      <c r="C398" s="3">
        <v>1</v>
      </c>
      <c r="D398" s="5">
        <v>37.130000000000003</v>
      </c>
      <c r="E398" s="3">
        <v>100064797</v>
      </c>
      <c r="F398" s="2" t="s">
        <v>15</v>
      </c>
      <c r="G398" s="6" t="s">
        <v>154</v>
      </c>
      <c r="H398" s="2" t="s">
        <v>194</v>
      </c>
      <c r="I398" s="2" t="s">
        <v>195</v>
      </c>
      <c r="J398" s="2" t="s">
        <v>19</v>
      </c>
      <c r="K398" s="2" t="s">
        <v>247</v>
      </c>
      <c r="L398" s="7" t="str">
        <f>HYPERLINK("http://slimages.macys.com/is/image/MCY/12950007 ")</f>
        <v xml:space="preserve">http://slimages.macys.com/is/image/MCY/12950007 </v>
      </c>
    </row>
    <row r="399" spans="1:12" ht="24.75" x14ac:dyDescent="0.25">
      <c r="A399" s="4" t="s">
        <v>2599</v>
      </c>
      <c r="B399" s="2" t="s">
        <v>1106</v>
      </c>
      <c r="C399" s="3">
        <v>1</v>
      </c>
      <c r="D399" s="5">
        <v>32.5</v>
      </c>
      <c r="E399" s="3" t="s">
        <v>2600</v>
      </c>
      <c r="F399" s="2" t="s">
        <v>15</v>
      </c>
      <c r="G399" s="6" t="s">
        <v>181</v>
      </c>
      <c r="H399" s="2" t="s">
        <v>194</v>
      </c>
      <c r="I399" s="2" t="s">
        <v>195</v>
      </c>
      <c r="J399" s="2" t="s">
        <v>19</v>
      </c>
      <c r="K399" s="2" t="s">
        <v>1108</v>
      </c>
      <c r="L399" s="7" t="str">
        <f>HYPERLINK("http://slimages.macys.com/is/image/MCY/11776301 ")</f>
        <v xml:space="preserve">http://slimages.macys.com/is/image/MCY/11776301 </v>
      </c>
    </row>
    <row r="400" spans="1:12" ht="24.75" x14ac:dyDescent="0.25">
      <c r="A400" s="4" t="s">
        <v>6574</v>
      </c>
      <c r="B400" s="2" t="s">
        <v>1106</v>
      </c>
      <c r="C400" s="3">
        <v>2</v>
      </c>
      <c r="D400" s="5">
        <v>32.5</v>
      </c>
      <c r="E400" s="3" t="s">
        <v>2600</v>
      </c>
      <c r="F400" s="2" t="s">
        <v>15</v>
      </c>
      <c r="G400" s="6" t="s">
        <v>156</v>
      </c>
      <c r="H400" s="2" t="s">
        <v>194</v>
      </c>
      <c r="I400" s="2" t="s">
        <v>195</v>
      </c>
      <c r="J400" s="2" t="s">
        <v>19</v>
      </c>
      <c r="K400" s="2" t="s">
        <v>1108</v>
      </c>
      <c r="L400" s="7" t="str">
        <f>HYPERLINK("http://slimages.macys.com/is/image/MCY/11776301 ")</f>
        <v xml:space="preserve">http://slimages.macys.com/is/image/MCY/11776301 </v>
      </c>
    </row>
    <row r="401" spans="1:12" ht="24.75" x14ac:dyDescent="0.25">
      <c r="A401" s="4" t="s">
        <v>8126</v>
      </c>
      <c r="B401" s="2" t="s">
        <v>1183</v>
      </c>
      <c r="C401" s="3">
        <v>1</v>
      </c>
      <c r="D401" s="5">
        <v>34.5</v>
      </c>
      <c r="E401" s="3">
        <v>100010006</v>
      </c>
      <c r="F401" s="2" t="s">
        <v>417</v>
      </c>
      <c r="G401" s="6" t="s">
        <v>154</v>
      </c>
      <c r="H401" s="2" t="s">
        <v>228</v>
      </c>
      <c r="I401" s="2" t="s">
        <v>229</v>
      </c>
      <c r="J401" s="2" t="s">
        <v>19</v>
      </c>
      <c r="K401" s="2" t="s">
        <v>253</v>
      </c>
      <c r="L401" s="7" t="str">
        <f>HYPERLINK("http://slimages.macys.com/is/image/MCY/11269044 ")</f>
        <v xml:space="preserve">http://slimages.macys.com/is/image/MCY/11269044 </v>
      </c>
    </row>
    <row r="402" spans="1:12" ht="24.75" x14ac:dyDescent="0.25">
      <c r="A402" s="4" t="s">
        <v>5794</v>
      </c>
      <c r="B402" s="2" t="s">
        <v>1183</v>
      </c>
      <c r="C402" s="3">
        <v>1</v>
      </c>
      <c r="D402" s="5">
        <v>34.5</v>
      </c>
      <c r="E402" s="3" t="s">
        <v>2602</v>
      </c>
      <c r="F402" s="2" t="s">
        <v>26</v>
      </c>
      <c r="G402" s="6" t="s">
        <v>234</v>
      </c>
      <c r="H402" s="2" t="s">
        <v>228</v>
      </c>
      <c r="I402" s="2" t="s">
        <v>229</v>
      </c>
      <c r="J402" s="2" t="s">
        <v>19</v>
      </c>
      <c r="K402" s="2" t="s">
        <v>253</v>
      </c>
      <c r="L402" s="7" t="str">
        <f>HYPERLINK("http://slimages.macys.com/is/image/MCY/11269044 ")</f>
        <v xml:space="preserve">http://slimages.macys.com/is/image/MCY/11269044 </v>
      </c>
    </row>
    <row r="403" spans="1:12" ht="24.75" x14ac:dyDescent="0.25">
      <c r="A403" s="4" t="s">
        <v>5796</v>
      </c>
      <c r="B403" s="2" t="s">
        <v>1185</v>
      </c>
      <c r="C403" s="3">
        <v>1</v>
      </c>
      <c r="D403" s="5">
        <v>34.5</v>
      </c>
      <c r="E403" s="3" t="s">
        <v>1186</v>
      </c>
      <c r="F403" s="2" t="s">
        <v>376</v>
      </c>
      <c r="G403" s="6" t="s">
        <v>154</v>
      </c>
      <c r="H403" s="2" t="s">
        <v>228</v>
      </c>
      <c r="I403" s="2" t="s">
        <v>229</v>
      </c>
      <c r="J403" s="2" t="s">
        <v>19</v>
      </c>
      <c r="K403" s="2" t="s">
        <v>253</v>
      </c>
      <c r="L403" s="7" t="str">
        <f>HYPERLINK("http://slimages.macys.com/is/image/MCY/11269044 ")</f>
        <v xml:space="preserve">http://slimages.macys.com/is/image/MCY/11269044 </v>
      </c>
    </row>
    <row r="404" spans="1:12" ht="24.75" x14ac:dyDescent="0.25">
      <c r="A404" s="4" t="s">
        <v>3776</v>
      </c>
      <c r="B404" s="2" t="s">
        <v>1183</v>
      </c>
      <c r="C404" s="3">
        <v>2</v>
      </c>
      <c r="D404" s="5">
        <v>34.5</v>
      </c>
      <c r="E404" s="3" t="s">
        <v>3777</v>
      </c>
      <c r="F404" s="2" t="s">
        <v>74</v>
      </c>
      <c r="G404" s="6" t="s">
        <v>156</v>
      </c>
      <c r="H404" s="2" t="s">
        <v>228</v>
      </c>
      <c r="I404" s="2" t="s">
        <v>229</v>
      </c>
      <c r="J404" s="2" t="s">
        <v>19</v>
      </c>
      <c r="K404" s="2" t="s">
        <v>253</v>
      </c>
      <c r="L404" s="7" t="str">
        <f>HYPERLINK("http://slimages.macys.com/is/image/MCY/11269044 ")</f>
        <v xml:space="preserve">http://slimages.macys.com/is/image/MCY/11269044 </v>
      </c>
    </row>
    <row r="405" spans="1:12" ht="24.75" x14ac:dyDescent="0.25">
      <c r="A405" s="4" t="s">
        <v>8127</v>
      </c>
      <c r="B405" s="2" t="s">
        <v>1183</v>
      </c>
      <c r="C405" s="3">
        <v>1</v>
      </c>
      <c r="D405" s="5">
        <v>34.5</v>
      </c>
      <c r="E405" s="3" t="s">
        <v>2602</v>
      </c>
      <c r="F405" s="2" t="s">
        <v>26</v>
      </c>
      <c r="G405" s="6" t="s">
        <v>156</v>
      </c>
      <c r="H405" s="2" t="s">
        <v>228</v>
      </c>
      <c r="I405" s="2" t="s">
        <v>229</v>
      </c>
      <c r="J405" s="2" t="s">
        <v>19</v>
      </c>
      <c r="K405" s="2" t="s">
        <v>253</v>
      </c>
      <c r="L405" s="7" t="str">
        <f>HYPERLINK("http://slimages.macys.com/is/image/MCY/11269044 ")</f>
        <v xml:space="preserve">http://slimages.macys.com/is/image/MCY/11269044 </v>
      </c>
    </row>
    <row r="406" spans="1:12" ht="24.75" x14ac:dyDescent="0.25">
      <c r="A406" s="4" t="s">
        <v>8128</v>
      </c>
      <c r="B406" s="2" t="s">
        <v>7406</v>
      </c>
      <c r="C406" s="3">
        <v>1</v>
      </c>
      <c r="D406" s="5">
        <v>49.99</v>
      </c>
      <c r="E406" s="3" t="s">
        <v>7407</v>
      </c>
      <c r="F406" s="2" t="s">
        <v>417</v>
      </c>
      <c r="G406" s="6" t="s">
        <v>8129</v>
      </c>
      <c r="H406" s="2" t="s">
        <v>127</v>
      </c>
      <c r="I406" s="2" t="s">
        <v>541</v>
      </c>
      <c r="J406" s="2" t="s">
        <v>19</v>
      </c>
      <c r="K406" s="2" t="s">
        <v>137</v>
      </c>
      <c r="L406" s="7" t="str">
        <f>HYPERLINK("http://slimages.macys.com/is/image/MCY/10438351 ")</f>
        <v xml:space="preserve">http://slimages.macys.com/is/image/MCY/10438351 </v>
      </c>
    </row>
    <row r="407" spans="1:12" ht="24.75" x14ac:dyDescent="0.25">
      <c r="A407" s="4" t="s">
        <v>1201</v>
      </c>
      <c r="B407" s="2" t="s">
        <v>1196</v>
      </c>
      <c r="C407" s="3">
        <v>1</v>
      </c>
      <c r="D407" s="5">
        <v>37.130000000000003</v>
      </c>
      <c r="E407" s="3">
        <v>100020406</v>
      </c>
      <c r="F407" s="2" t="s">
        <v>887</v>
      </c>
      <c r="G407" s="6" t="s">
        <v>156</v>
      </c>
      <c r="H407" s="2" t="s">
        <v>194</v>
      </c>
      <c r="I407" s="2" t="s">
        <v>195</v>
      </c>
      <c r="J407" s="2" t="s">
        <v>19</v>
      </c>
      <c r="K407" s="2" t="s">
        <v>648</v>
      </c>
      <c r="L407" s="7" t="str">
        <f>HYPERLINK("http://slimages.macys.com/is/image/MCY/9577038 ")</f>
        <v xml:space="preserve">http://slimages.macys.com/is/image/MCY/9577038 </v>
      </c>
    </row>
    <row r="408" spans="1:12" ht="24.75" x14ac:dyDescent="0.25">
      <c r="A408" s="4" t="s">
        <v>6581</v>
      </c>
      <c r="B408" s="2" t="s">
        <v>1196</v>
      </c>
      <c r="C408" s="3">
        <v>1</v>
      </c>
      <c r="D408" s="5">
        <v>37.130000000000003</v>
      </c>
      <c r="E408" s="3">
        <v>100020406</v>
      </c>
      <c r="F408" s="2" t="s">
        <v>887</v>
      </c>
      <c r="G408" s="6" t="s">
        <v>181</v>
      </c>
      <c r="H408" s="2" t="s">
        <v>194</v>
      </c>
      <c r="I408" s="2" t="s">
        <v>195</v>
      </c>
      <c r="J408" s="2" t="s">
        <v>19</v>
      </c>
      <c r="K408" s="2" t="s">
        <v>648</v>
      </c>
      <c r="L408" s="7" t="str">
        <f>HYPERLINK("http://slimages.macys.com/is/image/MCY/9577038 ")</f>
        <v xml:space="preserve">http://slimages.macys.com/is/image/MCY/9577038 </v>
      </c>
    </row>
    <row r="409" spans="1:12" ht="24.75" x14ac:dyDescent="0.25">
      <c r="A409" s="4" t="s">
        <v>8130</v>
      </c>
      <c r="B409" s="2" t="s">
        <v>1203</v>
      </c>
      <c r="C409" s="3">
        <v>3</v>
      </c>
      <c r="D409" s="5">
        <v>34.5</v>
      </c>
      <c r="E409" s="3" t="s">
        <v>1204</v>
      </c>
      <c r="F409" s="2" t="s">
        <v>506</v>
      </c>
      <c r="G409" s="6" t="s">
        <v>205</v>
      </c>
      <c r="H409" s="2" t="s">
        <v>426</v>
      </c>
      <c r="I409" s="2" t="s">
        <v>229</v>
      </c>
      <c r="J409" s="2" t="s">
        <v>19</v>
      </c>
      <c r="K409" s="2" t="s">
        <v>253</v>
      </c>
      <c r="L409" s="7" t="str">
        <f>HYPERLINK("http://slimages.macys.com/is/image/MCY/13535247 ")</f>
        <v xml:space="preserve">http://slimages.macys.com/is/image/MCY/13535247 </v>
      </c>
    </row>
    <row r="410" spans="1:12" ht="24.75" x14ac:dyDescent="0.25">
      <c r="A410" s="4" t="s">
        <v>8131</v>
      </c>
      <c r="B410" s="2" t="s">
        <v>1199</v>
      </c>
      <c r="C410" s="3">
        <v>1</v>
      </c>
      <c r="D410" s="5">
        <v>37.130000000000003</v>
      </c>
      <c r="E410" s="3">
        <v>100009324</v>
      </c>
      <c r="F410" s="2" t="s">
        <v>506</v>
      </c>
      <c r="G410" s="6" t="s">
        <v>65</v>
      </c>
      <c r="H410" s="2" t="s">
        <v>194</v>
      </c>
      <c r="I410" s="2" t="s">
        <v>195</v>
      </c>
      <c r="J410" s="2" t="s">
        <v>19</v>
      </c>
      <c r="K410" s="2" t="s">
        <v>353</v>
      </c>
      <c r="L410" s="7" t="str">
        <f>HYPERLINK("http://slimages.macys.com/is/image/MCY/9404224 ")</f>
        <v xml:space="preserve">http://slimages.macys.com/is/image/MCY/9404224 </v>
      </c>
    </row>
    <row r="411" spans="1:12" ht="24.75" x14ac:dyDescent="0.25">
      <c r="A411" s="4" t="s">
        <v>8132</v>
      </c>
      <c r="B411" s="2" t="s">
        <v>5935</v>
      </c>
      <c r="C411" s="3">
        <v>1</v>
      </c>
      <c r="D411" s="5">
        <v>33.380000000000003</v>
      </c>
      <c r="E411" s="3" t="s">
        <v>8133</v>
      </c>
      <c r="F411" s="2" t="s">
        <v>26</v>
      </c>
      <c r="G411" s="6" t="s">
        <v>746</v>
      </c>
      <c r="H411" s="2" t="s">
        <v>349</v>
      </c>
      <c r="I411" s="2" t="s">
        <v>285</v>
      </c>
      <c r="J411" s="2" t="s">
        <v>19</v>
      </c>
      <c r="K411" s="2" t="s">
        <v>247</v>
      </c>
      <c r="L411" s="7" t="str">
        <f>HYPERLINK("http://slimages.macys.com/is/image/MCY/12794352 ")</f>
        <v xml:space="preserve">http://slimages.macys.com/is/image/MCY/12794352 </v>
      </c>
    </row>
    <row r="412" spans="1:12" ht="24.75" x14ac:dyDescent="0.25">
      <c r="A412" s="4" t="s">
        <v>1217</v>
      </c>
      <c r="B412" s="2" t="s">
        <v>1215</v>
      </c>
      <c r="C412" s="3">
        <v>1</v>
      </c>
      <c r="D412" s="5">
        <v>37.130000000000003</v>
      </c>
      <c r="E412" s="3" t="s">
        <v>1216</v>
      </c>
      <c r="F412" s="2" t="s">
        <v>579</v>
      </c>
      <c r="G412" s="6" t="s">
        <v>234</v>
      </c>
      <c r="H412" s="2" t="s">
        <v>194</v>
      </c>
      <c r="I412" s="2" t="s">
        <v>580</v>
      </c>
      <c r="J412" s="2" t="s">
        <v>19</v>
      </c>
      <c r="K412" s="2" t="s">
        <v>247</v>
      </c>
      <c r="L412" s="7" t="str">
        <f>HYPERLINK("http://slimages.macys.com/is/image/MCY/12950186 ")</f>
        <v xml:space="preserve">http://slimages.macys.com/is/image/MCY/12950186 </v>
      </c>
    </row>
    <row r="413" spans="1:12" ht="24.75" x14ac:dyDescent="0.25">
      <c r="A413" s="4" t="s">
        <v>1221</v>
      </c>
      <c r="B413" s="2" t="s">
        <v>1222</v>
      </c>
      <c r="C413" s="3">
        <v>1</v>
      </c>
      <c r="D413" s="5">
        <v>37.130000000000003</v>
      </c>
      <c r="E413" s="3" t="s">
        <v>1223</v>
      </c>
      <c r="F413" s="2" t="s">
        <v>26</v>
      </c>
      <c r="G413" s="6" t="s">
        <v>154</v>
      </c>
      <c r="H413" s="2" t="s">
        <v>194</v>
      </c>
      <c r="I413" s="2" t="s">
        <v>580</v>
      </c>
      <c r="J413" s="2" t="s">
        <v>19</v>
      </c>
      <c r="K413" s="2" t="s">
        <v>247</v>
      </c>
      <c r="L413" s="7" t="str">
        <f>HYPERLINK("http://slimages.macys.com/is/image/MCY/12950179 ")</f>
        <v xml:space="preserve">http://slimages.macys.com/is/image/MCY/12950179 </v>
      </c>
    </row>
    <row r="414" spans="1:12" ht="24.75" x14ac:dyDescent="0.25">
      <c r="A414" s="4" t="s">
        <v>3799</v>
      </c>
      <c r="B414" s="2" t="s">
        <v>1222</v>
      </c>
      <c r="C414" s="3">
        <v>1</v>
      </c>
      <c r="D414" s="5">
        <v>37.130000000000003</v>
      </c>
      <c r="E414" s="3" t="s">
        <v>1223</v>
      </c>
      <c r="F414" s="2" t="s">
        <v>26</v>
      </c>
      <c r="G414" s="6" t="s">
        <v>156</v>
      </c>
      <c r="H414" s="2" t="s">
        <v>194</v>
      </c>
      <c r="I414" s="2" t="s">
        <v>580</v>
      </c>
      <c r="J414" s="2" t="s">
        <v>19</v>
      </c>
      <c r="K414" s="2" t="s">
        <v>247</v>
      </c>
      <c r="L414" s="7" t="str">
        <f>HYPERLINK("http://slimages.macys.com/is/image/MCY/12950179 ")</f>
        <v xml:space="preserve">http://slimages.macys.com/is/image/MCY/12950179 </v>
      </c>
    </row>
    <row r="415" spans="1:12" ht="24.75" x14ac:dyDescent="0.25">
      <c r="A415" s="4" t="s">
        <v>1225</v>
      </c>
      <c r="B415" s="2" t="s">
        <v>1222</v>
      </c>
      <c r="C415" s="3">
        <v>1</v>
      </c>
      <c r="D415" s="5">
        <v>37.130000000000003</v>
      </c>
      <c r="E415" s="3" t="s">
        <v>1223</v>
      </c>
      <c r="F415" s="2" t="s">
        <v>26</v>
      </c>
      <c r="G415" s="6" t="s">
        <v>234</v>
      </c>
      <c r="H415" s="2" t="s">
        <v>194</v>
      </c>
      <c r="I415" s="2" t="s">
        <v>580</v>
      </c>
      <c r="J415" s="2" t="s">
        <v>19</v>
      </c>
      <c r="K415" s="2" t="s">
        <v>247</v>
      </c>
      <c r="L415" s="7" t="str">
        <f>HYPERLINK("http://slimages.macys.com/is/image/MCY/12950179 ")</f>
        <v xml:space="preserve">http://slimages.macys.com/is/image/MCY/12950179 </v>
      </c>
    </row>
    <row r="416" spans="1:12" ht="24.75" x14ac:dyDescent="0.25">
      <c r="A416" s="4" t="s">
        <v>2632</v>
      </c>
      <c r="B416" s="2" t="s">
        <v>1222</v>
      </c>
      <c r="C416" s="3">
        <v>2</v>
      </c>
      <c r="D416" s="5">
        <v>37.130000000000003</v>
      </c>
      <c r="E416" s="3" t="s">
        <v>1223</v>
      </c>
      <c r="F416" s="2" t="s">
        <v>26</v>
      </c>
      <c r="G416" s="6" t="s">
        <v>181</v>
      </c>
      <c r="H416" s="2" t="s">
        <v>194</v>
      </c>
      <c r="I416" s="2" t="s">
        <v>580</v>
      </c>
      <c r="J416" s="2" t="s">
        <v>19</v>
      </c>
      <c r="K416" s="2" t="s">
        <v>247</v>
      </c>
      <c r="L416" s="7" t="str">
        <f>HYPERLINK("http://slimages.macys.com/is/image/MCY/12950179 ")</f>
        <v xml:space="preserve">http://slimages.macys.com/is/image/MCY/12950179 </v>
      </c>
    </row>
    <row r="417" spans="1:12" ht="24.75" x14ac:dyDescent="0.25">
      <c r="A417" s="4" t="s">
        <v>8134</v>
      </c>
      <c r="B417" s="2" t="s">
        <v>8135</v>
      </c>
      <c r="C417" s="3">
        <v>1</v>
      </c>
      <c r="D417" s="5">
        <v>34.65</v>
      </c>
      <c r="E417" s="3" t="s">
        <v>8136</v>
      </c>
      <c r="F417" s="2" t="s">
        <v>180</v>
      </c>
      <c r="G417" s="6" t="s">
        <v>156</v>
      </c>
      <c r="H417" s="2" t="s">
        <v>182</v>
      </c>
      <c r="I417" s="2" t="s">
        <v>183</v>
      </c>
      <c r="J417" s="2" t="s">
        <v>19</v>
      </c>
      <c r="K417" s="2" t="s">
        <v>160</v>
      </c>
      <c r="L417" s="7" t="str">
        <f>HYPERLINK("http://slimages.macys.com/is/image/MCY/15900306 ")</f>
        <v xml:space="preserve">http://slimages.macys.com/is/image/MCY/15900306 </v>
      </c>
    </row>
    <row r="418" spans="1:12" ht="24.75" x14ac:dyDescent="0.25">
      <c r="A418" s="4" t="s">
        <v>8137</v>
      </c>
      <c r="B418" s="2" t="s">
        <v>1232</v>
      </c>
      <c r="C418" s="3">
        <v>1</v>
      </c>
      <c r="D418" s="5">
        <v>34.880000000000003</v>
      </c>
      <c r="E418" s="3" t="s">
        <v>1238</v>
      </c>
      <c r="F418" s="2" t="s">
        <v>26</v>
      </c>
      <c r="G418" s="6" t="s">
        <v>112</v>
      </c>
      <c r="H418" s="2" t="s">
        <v>194</v>
      </c>
      <c r="I418" s="2" t="s">
        <v>195</v>
      </c>
      <c r="J418" s="2" t="s">
        <v>19</v>
      </c>
      <c r="K418" s="2" t="s">
        <v>353</v>
      </c>
      <c r="L418" s="7" t="str">
        <f>HYPERLINK("http://slimages.macys.com/is/image/MCY/8312314 ")</f>
        <v xml:space="preserve">http://slimages.macys.com/is/image/MCY/8312314 </v>
      </c>
    </row>
    <row r="419" spans="1:12" ht="24.75" x14ac:dyDescent="0.25">
      <c r="A419" s="4" t="s">
        <v>5822</v>
      </c>
      <c r="B419" s="2" t="s">
        <v>1232</v>
      </c>
      <c r="C419" s="3">
        <v>1</v>
      </c>
      <c r="D419" s="5">
        <v>34.880000000000003</v>
      </c>
      <c r="E419" s="3" t="s">
        <v>1238</v>
      </c>
      <c r="F419" s="2" t="s">
        <v>26</v>
      </c>
      <c r="G419" s="6" t="s">
        <v>16</v>
      </c>
      <c r="H419" s="2" t="s">
        <v>194</v>
      </c>
      <c r="I419" s="2" t="s">
        <v>195</v>
      </c>
      <c r="J419" s="2" t="s">
        <v>19</v>
      </c>
      <c r="K419" s="2" t="s">
        <v>353</v>
      </c>
      <c r="L419" s="7" t="str">
        <f>HYPERLINK("http://slimages.macys.com/is/image/MCY/8312314 ")</f>
        <v xml:space="preserve">http://slimages.macys.com/is/image/MCY/8312314 </v>
      </c>
    </row>
    <row r="420" spans="1:12" ht="24.75" x14ac:dyDescent="0.25">
      <c r="A420" s="4" t="s">
        <v>8138</v>
      </c>
      <c r="B420" s="2" t="s">
        <v>7429</v>
      </c>
      <c r="C420" s="3">
        <v>2</v>
      </c>
      <c r="D420" s="5">
        <v>24.99</v>
      </c>
      <c r="E420" s="3">
        <v>100037991</v>
      </c>
      <c r="F420" s="2" t="s">
        <v>417</v>
      </c>
      <c r="G420" s="6" t="s">
        <v>112</v>
      </c>
      <c r="H420" s="2" t="s">
        <v>228</v>
      </c>
      <c r="I420" s="2" t="s">
        <v>857</v>
      </c>
      <c r="J420" s="2" t="s">
        <v>19</v>
      </c>
      <c r="K420" s="2" t="s">
        <v>338</v>
      </c>
      <c r="L420" s="7" t="str">
        <f>HYPERLINK("http://slimages.macys.com/is/image/MCY/10339525 ")</f>
        <v xml:space="preserve">http://slimages.macys.com/is/image/MCY/10339525 </v>
      </c>
    </row>
    <row r="421" spans="1:12" ht="24.75" x14ac:dyDescent="0.25">
      <c r="A421" s="4" t="s">
        <v>8139</v>
      </c>
      <c r="B421" s="2" t="s">
        <v>8140</v>
      </c>
      <c r="C421" s="3">
        <v>1</v>
      </c>
      <c r="D421" s="5">
        <v>36.5</v>
      </c>
      <c r="E421" s="3" t="s">
        <v>8141</v>
      </c>
      <c r="F421" s="2" t="s">
        <v>74</v>
      </c>
      <c r="G421" s="6" t="s">
        <v>181</v>
      </c>
      <c r="H421" s="2" t="s">
        <v>194</v>
      </c>
      <c r="I421" s="2" t="s">
        <v>195</v>
      </c>
      <c r="J421" s="2" t="s">
        <v>19</v>
      </c>
      <c r="K421" s="2" t="s">
        <v>495</v>
      </c>
      <c r="L421" s="7" t="str">
        <f>HYPERLINK("http://slimages.macys.com/is/image/MCY/11701001 ")</f>
        <v xml:space="preserve">http://slimages.macys.com/is/image/MCY/11701001 </v>
      </c>
    </row>
    <row r="422" spans="1:12" ht="24.75" x14ac:dyDescent="0.25">
      <c r="A422" s="4" t="s">
        <v>8142</v>
      </c>
      <c r="B422" s="2" t="s">
        <v>5824</v>
      </c>
      <c r="C422" s="3">
        <v>2</v>
      </c>
      <c r="D422" s="5">
        <v>21.99</v>
      </c>
      <c r="E422" s="3">
        <v>100052271</v>
      </c>
      <c r="F422" s="2" t="s">
        <v>79</v>
      </c>
      <c r="G422" s="6" t="s">
        <v>16</v>
      </c>
      <c r="H422" s="2" t="s">
        <v>194</v>
      </c>
      <c r="I422" s="2" t="s">
        <v>195</v>
      </c>
      <c r="J422" s="2" t="s">
        <v>19</v>
      </c>
      <c r="K422" s="2" t="s">
        <v>353</v>
      </c>
      <c r="L422" s="7" t="str">
        <f>HYPERLINK("http://slimages.macys.com/is/image/MCY/12280090 ")</f>
        <v xml:space="preserve">http://slimages.macys.com/is/image/MCY/12280090 </v>
      </c>
    </row>
    <row r="423" spans="1:12" ht="24.75" x14ac:dyDescent="0.25">
      <c r="A423" s="4" t="s">
        <v>8143</v>
      </c>
      <c r="B423" s="2" t="s">
        <v>1244</v>
      </c>
      <c r="C423" s="3">
        <v>1</v>
      </c>
      <c r="D423" s="5">
        <v>37.130000000000003</v>
      </c>
      <c r="E423" s="3">
        <v>100058183</v>
      </c>
      <c r="F423" s="2" t="s">
        <v>15</v>
      </c>
      <c r="G423" s="6" t="s">
        <v>39</v>
      </c>
      <c r="H423" s="2" t="s">
        <v>194</v>
      </c>
      <c r="I423" s="2" t="s">
        <v>195</v>
      </c>
      <c r="J423" s="2" t="s">
        <v>19</v>
      </c>
      <c r="K423" s="2" t="s">
        <v>353</v>
      </c>
      <c r="L423" s="7" t="str">
        <f t="shared" ref="L423:L430" si="1">HYPERLINK("http://slimages.macys.com/is/image/MCY/12793647 ")</f>
        <v xml:space="preserve">http://slimages.macys.com/is/image/MCY/12793647 </v>
      </c>
    </row>
    <row r="424" spans="1:12" ht="24.75" x14ac:dyDescent="0.25">
      <c r="A424" s="4" t="s">
        <v>5825</v>
      </c>
      <c r="B424" s="2" t="s">
        <v>1244</v>
      </c>
      <c r="C424" s="3">
        <v>1</v>
      </c>
      <c r="D424" s="5">
        <v>37.130000000000003</v>
      </c>
      <c r="E424" s="3">
        <v>100058183</v>
      </c>
      <c r="F424" s="2" t="s">
        <v>26</v>
      </c>
      <c r="G424" s="6" t="s">
        <v>141</v>
      </c>
      <c r="H424" s="2" t="s">
        <v>194</v>
      </c>
      <c r="I424" s="2" t="s">
        <v>195</v>
      </c>
      <c r="J424" s="2" t="s">
        <v>19</v>
      </c>
      <c r="K424" s="2" t="s">
        <v>353</v>
      </c>
      <c r="L424" s="7" t="str">
        <f t="shared" si="1"/>
        <v xml:space="preserve">http://slimages.macys.com/is/image/MCY/12793647 </v>
      </c>
    </row>
    <row r="425" spans="1:12" ht="24.75" x14ac:dyDescent="0.25">
      <c r="A425" s="4" t="s">
        <v>7431</v>
      </c>
      <c r="B425" s="2" t="s">
        <v>1244</v>
      </c>
      <c r="C425" s="3">
        <v>2</v>
      </c>
      <c r="D425" s="5">
        <v>37.130000000000003</v>
      </c>
      <c r="E425" s="3">
        <v>100058183</v>
      </c>
      <c r="F425" s="2" t="s">
        <v>15</v>
      </c>
      <c r="G425" s="6" t="s">
        <v>106</v>
      </c>
      <c r="H425" s="2" t="s">
        <v>194</v>
      </c>
      <c r="I425" s="2" t="s">
        <v>195</v>
      </c>
      <c r="J425" s="2" t="s">
        <v>19</v>
      </c>
      <c r="K425" s="2" t="s">
        <v>353</v>
      </c>
      <c r="L425" s="7" t="str">
        <f t="shared" si="1"/>
        <v xml:space="preserve">http://slimages.macys.com/is/image/MCY/12793647 </v>
      </c>
    </row>
    <row r="426" spans="1:12" ht="24.75" x14ac:dyDescent="0.25">
      <c r="A426" s="4" t="s">
        <v>2641</v>
      </c>
      <c r="B426" s="2" t="s">
        <v>1244</v>
      </c>
      <c r="C426" s="3">
        <v>1</v>
      </c>
      <c r="D426" s="5">
        <v>37.130000000000003</v>
      </c>
      <c r="E426" s="3">
        <v>100058183</v>
      </c>
      <c r="F426" s="2" t="s">
        <v>15</v>
      </c>
      <c r="G426" s="6" t="s">
        <v>58</v>
      </c>
      <c r="H426" s="2" t="s">
        <v>194</v>
      </c>
      <c r="I426" s="2" t="s">
        <v>195</v>
      </c>
      <c r="J426" s="2" t="s">
        <v>19</v>
      </c>
      <c r="K426" s="2" t="s">
        <v>353</v>
      </c>
      <c r="L426" s="7" t="str">
        <f t="shared" si="1"/>
        <v xml:space="preserve">http://slimages.macys.com/is/image/MCY/12793647 </v>
      </c>
    </row>
    <row r="427" spans="1:12" ht="24.75" x14ac:dyDescent="0.25">
      <c r="A427" s="4" t="s">
        <v>3805</v>
      </c>
      <c r="B427" s="2" t="s">
        <v>1244</v>
      </c>
      <c r="C427" s="3">
        <v>1</v>
      </c>
      <c r="D427" s="5">
        <v>37.130000000000003</v>
      </c>
      <c r="E427" s="3">
        <v>100058183</v>
      </c>
      <c r="F427" s="2" t="s">
        <v>26</v>
      </c>
      <c r="G427" s="6" t="s">
        <v>65</v>
      </c>
      <c r="H427" s="2" t="s">
        <v>194</v>
      </c>
      <c r="I427" s="2" t="s">
        <v>195</v>
      </c>
      <c r="J427" s="2" t="s">
        <v>19</v>
      </c>
      <c r="K427" s="2" t="s">
        <v>353</v>
      </c>
      <c r="L427" s="7" t="str">
        <f t="shared" si="1"/>
        <v xml:space="preserve">http://slimages.macys.com/is/image/MCY/12793647 </v>
      </c>
    </row>
    <row r="428" spans="1:12" ht="24.75" x14ac:dyDescent="0.25">
      <c r="A428" s="4" t="s">
        <v>8144</v>
      </c>
      <c r="B428" s="2" t="s">
        <v>1244</v>
      </c>
      <c r="C428" s="3">
        <v>2</v>
      </c>
      <c r="D428" s="5">
        <v>37.130000000000003</v>
      </c>
      <c r="E428" s="3">
        <v>100058183</v>
      </c>
      <c r="F428" s="2" t="s">
        <v>26</v>
      </c>
      <c r="G428" s="6" t="s">
        <v>27</v>
      </c>
      <c r="H428" s="2" t="s">
        <v>194</v>
      </c>
      <c r="I428" s="2" t="s">
        <v>195</v>
      </c>
      <c r="J428" s="2" t="s">
        <v>19</v>
      </c>
      <c r="K428" s="2" t="s">
        <v>353</v>
      </c>
      <c r="L428" s="7" t="str">
        <f t="shared" si="1"/>
        <v xml:space="preserve">http://slimages.macys.com/is/image/MCY/12793647 </v>
      </c>
    </row>
    <row r="429" spans="1:12" ht="24.75" x14ac:dyDescent="0.25">
      <c r="A429" s="4" t="s">
        <v>2642</v>
      </c>
      <c r="B429" s="2" t="s">
        <v>1244</v>
      </c>
      <c r="C429" s="3">
        <v>1</v>
      </c>
      <c r="D429" s="5">
        <v>37.130000000000003</v>
      </c>
      <c r="E429" s="3">
        <v>100058183</v>
      </c>
      <c r="F429" s="2" t="s">
        <v>26</v>
      </c>
      <c r="G429" s="6" t="s">
        <v>112</v>
      </c>
      <c r="H429" s="2" t="s">
        <v>194</v>
      </c>
      <c r="I429" s="2" t="s">
        <v>195</v>
      </c>
      <c r="J429" s="2" t="s">
        <v>19</v>
      </c>
      <c r="K429" s="2" t="s">
        <v>353</v>
      </c>
      <c r="L429" s="7" t="str">
        <f t="shared" si="1"/>
        <v xml:space="preserve">http://slimages.macys.com/is/image/MCY/12793647 </v>
      </c>
    </row>
    <row r="430" spans="1:12" ht="24.75" x14ac:dyDescent="0.25">
      <c r="A430" s="4" t="s">
        <v>3811</v>
      </c>
      <c r="B430" s="2" t="s">
        <v>1244</v>
      </c>
      <c r="C430" s="3">
        <v>2</v>
      </c>
      <c r="D430" s="5">
        <v>37.130000000000003</v>
      </c>
      <c r="E430" s="3">
        <v>100058183</v>
      </c>
      <c r="F430" s="2" t="s">
        <v>26</v>
      </c>
      <c r="G430" s="6" t="s">
        <v>22</v>
      </c>
      <c r="H430" s="2" t="s">
        <v>194</v>
      </c>
      <c r="I430" s="2" t="s">
        <v>195</v>
      </c>
      <c r="J430" s="2" t="s">
        <v>19</v>
      </c>
      <c r="K430" s="2" t="s">
        <v>353</v>
      </c>
      <c r="L430" s="7" t="str">
        <f t="shared" si="1"/>
        <v xml:space="preserve">http://slimages.macys.com/is/image/MCY/12793647 </v>
      </c>
    </row>
    <row r="431" spans="1:12" ht="24.75" x14ac:dyDescent="0.25">
      <c r="A431" s="4" t="s">
        <v>3807</v>
      </c>
      <c r="B431" s="2" t="s">
        <v>1327</v>
      </c>
      <c r="C431" s="3">
        <v>1</v>
      </c>
      <c r="D431" s="5">
        <v>34.880000000000003</v>
      </c>
      <c r="E431" s="3" t="s">
        <v>3808</v>
      </c>
      <c r="F431" s="2" t="s">
        <v>506</v>
      </c>
      <c r="G431" s="6" t="s">
        <v>112</v>
      </c>
      <c r="H431" s="2" t="s">
        <v>194</v>
      </c>
      <c r="I431" s="2" t="s">
        <v>195</v>
      </c>
      <c r="J431" s="2" t="s">
        <v>19</v>
      </c>
      <c r="K431" s="2" t="s">
        <v>353</v>
      </c>
      <c r="L431" s="7" t="str">
        <f>HYPERLINK("http://slimages.macys.com/is/image/MCY/12033298 ")</f>
        <v xml:space="preserve">http://slimages.macys.com/is/image/MCY/12033298 </v>
      </c>
    </row>
    <row r="432" spans="1:12" ht="24.75" x14ac:dyDescent="0.25">
      <c r="A432" s="4" t="s">
        <v>8145</v>
      </c>
      <c r="B432" s="2" t="s">
        <v>8146</v>
      </c>
      <c r="C432" s="3">
        <v>1</v>
      </c>
      <c r="D432" s="5">
        <v>34.880000000000003</v>
      </c>
      <c r="E432" s="3">
        <v>100052298</v>
      </c>
      <c r="F432" s="2" t="s">
        <v>566</v>
      </c>
      <c r="G432" s="6" t="s">
        <v>16</v>
      </c>
      <c r="H432" s="2" t="s">
        <v>194</v>
      </c>
      <c r="I432" s="2" t="s">
        <v>195</v>
      </c>
      <c r="J432" s="2" t="s">
        <v>19</v>
      </c>
      <c r="K432" s="2" t="s">
        <v>8147</v>
      </c>
      <c r="L432" s="7" t="str">
        <f>HYPERLINK("http://slimages.macys.com/is/image/MCY/8278768 ")</f>
        <v xml:space="preserve">http://slimages.macys.com/is/image/MCY/8278768 </v>
      </c>
    </row>
    <row r="433" spans="1:12" ht="24.75" x14ac:dyDescent="0.25">
      <c r="A433" s="4" t="s">
        <v>2643</v>
      </c>
      <c r="B433" s="2" t="s">
        <v>1244</v>
      </c>
      <c r="C433" s="3">
        <v>1</v>
      </c>
      <c r="D433" s="5">
        <v>37.130000000000003</v>
      </c>
      <c r="E433" s="3">
        <v>100058183</v>
      </c>
      <c r="F433" s="2" t="s">
        <v>26</v>
      </c>
      <c r="G433" s="6" t="s">
        <v>16</v>
      </c>
      <c r="H433" s="2" t="s">
        <v>194</v>
      </c>
      <c r="I433" s="2" t="s">
        <v>195</v>
      </c>
      <c r="J433" s="2" t="s">
        <v>19</v>
      </c>
      <c r="K433" s="2" t="s">
        <v>353</v>
      </c>
      <c r="L433" s="7" t="str">
        <f>HYPERLINK("http://slimages.macys.com/is/image/MCY/12793647 ")</f>
        <v xml:space="preserve">http://slimages.macys.com/is/image/MCY/12793647 </v>
      </c>
    </row>
    <row r="434" spans="1:12" ht="24.75" x14ac:dyDescent="0.25">
      <c r="A434" s="4" t="s">
        <v>8148</v>
      </c>
      <c r="B434" s="2" t="s">
        <v>8146</v>
      </c>
      <c r="C434" s="3">
        <v>1</v>
      </c>
      <c r="D434" s="5">
        <v>34.880000000000003</v>
      </c>
      <c r="E434" s="3">
        <v>100052298</v>
      </c>
      <c r="F434" s="2" t="s">
        <v>26</v>
      </c>
      <c r="G434" s="6" t="s">
        <v>65</v>
      </c>
      <c r="H434" s="2" t="s">
        <v>194</v>
      </c>
      <c r="I434" s="2" t="s">
        <v>195</v>
      </c>
      <c r="J434" s="2" t="s">
        <v>19</v>
      </c>
      <c r="K434" s="2" t="s">
        <v>8147</v>
      </c>
      <c r="L434" s="7" t="str">
        <f>HYPERLINK("http://slimages.macys.com/is/image/MCY/8278768 ")</f>
        <v xml:space="preserve">http://slimages.macys.com/is/image/MCY/8278768 </v>
      </c>
    </row>
    <row r="435" spans="1:12" ht="24.75" x14ac:dyDescent="0.25">
      <c r="A435" s="4" t="s">
        <v>8149</v>
      </c>
      <c r="B435" s="2" t="s">
        <v>1232</v>
      </c>
      <c r="C435" s="3">
        <v>1</v>
      </c>
      <c r="D435" s="5">
        <v>34.880000000000003</v>
      </c>
      <c r="E435" s="3" t="s">
        <v>2649</v>
      </c>
      <c r="F435" s="2" t="s">
        <v>26</v>
      </c>
      <c r="G435" s="6" t="s">
        <v>165</v>
      </c>
      <c r="H435" s="2" t="s">
        <v>312</v>
      </c>
      <c r="I435" s="2" t="s">
        <v>195</v>
      </c>
      <c r="J435" s="2" t="s">
        <v>19</v>
      </c>
      <c r="K435" s="2" t="s">
        <v>353</v>
      </c>
      <c r="L435" s="7" t="str">
        <f>HYPERLINK("http://slimages.macys.com/is/image/MCY/8256708 ")</f>
        <v xml:space="preserve">http://slimages.macys.com/is/image/MCY/8256708 </v>
      </c>
    </row>
    <row r="436" spans="1:12" ht="24.75" x14ac:dyDescent="0.25">
      <c r="A436" s="4" t="s">
        <v>8150</v>
      </c>
      <c r="B436" s="2" t="s">
        <v>1232</v>
      </c>
      <c r="C436" s="3">
        <v>1</v>
      </c>
      <c r="D436" s="5">
        <v>34.880000000000003</v>
      </c>
      <c r="E436" s="3" t="s">
        <v>2649</v>
      </c>
      <c r="F436" s="2" t="s">
        <v>26</v>
      </c>
      <c r="G436" s="6" t="s">
        <v>934</v>
      </c>
      <c r="H436" s="2" t="s">
        <v>312</v>
      </c>
      <c r="I436" s="2" t="s">
        <v>195</v>
      </c>
      <c r="J436" s="2" t="s">
        <v>19</v>
      </c>
      <c r="K436" s="2" t="s">
        <v>353</v>
      </c>
      <c r="L436" s="7" t="str">
        <f>HYPERLINK("http://slimages.macys.com/is/image/MCY/8256708 ")</f>
        <v xml:space="preserve">http://slimages.macys.com/is/image/MCY/8256708 </v>
      </c>
    </row>
    <row r="437" spans="1:12" ht="24.75" x14ac:dyDescent="0.25">
      <c r="A437" s="4" t="s">
        <v>8151</v>
      </c>
      <c r="B437" s="2" t="s">
        <v>4898</v>
      </c>
      <c r="C437" s="3">
        <v>1</v>
      </c>
      <c r="D437" s="5">
        <v>34.880000000000003</v>
      </c>
      <c r="E437" s="3">
        <v>100052334</v>
      </c>
      <c r="F437" s="2" t="s">
        <v>74</v>
      </c>
      <c r="G437" s="6" t="s">
        <v>200</v>
      </c>
      <c r="H437" s="2" t="s">
        <v>194</v>
      </c>
      <c r="I437" s="2" t="s">
        <v>195</v>
      </c>
      <c r="J437" s="2" t="s">
        <v>19</v>
      </c>
      <c r="K437" s="2" t="s">
        <v>353</v>
      </c>
      <c r="L437" s="7" t="str">
        <f>HYPERLINK("http://slimages.macys.com/is/image/MCY/12279970 ")</f>
        <v xml:space="preserve">http://slimages.macys.com/is/image/MCY/12279970 </v>
      </c>
    </row>
    <row r="438" spans="1:12" ht="24.75" x14ac:dyDescent="0.25">
      <c r="A438" s="4" t="s">
        <v>3819</v>
      </c>
      <c r="B438" s="2" t="s">
        <v>3820</v>
      </c>
      <c r="C438" s="3">
        <v>1</v>
      </c>
      <c r="D438" s="5">
        <v>27.99</v>
      </c>
      <c r="E438" s="3" t="s">
        <v>3821</v>
      </c>
      <c r="F438" s="2" t="s">
        <v>94</v>
      </c>
      <c r="G438" s="6" t="s">
        <v>746</v>
      </c>
      <c r="H438" s="2" t="s">
        <v>349</v>
      </c>
      <c r="I438" s="2" t="s">
        <v>285</v>
      </c>
      <c r="J438" s="2" t="s">
        <v>19</v>
      </c>
      <c r="K438" s="2" t="s">
        <v>3828</v>
      </c>
      <c r="L438" s="7" t="str">
        <f>HYPERLINK("http://slimages.macys.com/is/image/MCY/12659245 ")</f>
        <v xml:space="preserve">http://slimages.macys.com/is/image/MCY/12659245 </v>
      </c>
    </row>
    <row r="439" spans="1:12" ht="24.75" x14ac:dyDescent="0.25">
      <c r="A439" s="4" t="s">
        <v>5833</v>
      </c>
      <c r="B439" s="2" t="s">
        <v>904</v>
      </c>
      <c r="C439" s="3">
        <v>1</v>
      </c>
      <c r="D439" s="5">
        <v>34.5</v>
      </c>
      <c r="E439" s="3" t="s">
        <v>5832</v>
      </c>
      <c r="F439" s="2" t="s">
        <v>89</v>
      </c>
      <c r="G439" s="6" t="s">
        <v>154</v>
      </c>
      <c r="H439" s="2" t="s">
        <v>228</v>
      </c>
      <c r="I439" s="2" t="s">
        <v>229</v>
      </c>
      <c r="J439" s="2" t="s">
        <v>19</v>
      </c>
      <c r="K439" s="2" t="s">
        <v>253</v>
      </c>
      <c r="L439" s="7" t="str">
        <f>HYPERLINK("http://slimages.macys.com/is/image/MCY/12794164 ")</f>
        <v xml:space="preserve">http://slimages.macys.com/is/image/MCY/12794164 </v>
      </c>
    </row>
    <row r="440" spans="1:12" ht="24.75" x14ac:dyDescent="0.25">
      <c r="A440" s="4" t="s">
        <v>8152</v>
      </c>
      <c r="B440" s="2" t="s">
        <v>8153</v>
      </c>
      <c r="C440" s="3">
        <v>1</v>
      </c>
      <c r="D440" s="5">
        <v>44.63</v>
      </c>
      <c r="E440" s="3" t="s">
        <v>8154</v>
      </c>
      <c r="F440" s="2" t="s">
        <v>74</v>
      </c>
      <c r="G440" s="6"/>
      <c r="H440" s="2" t="s">
        <v>312</v>
      </c>
      <c r="I440" s="2" t="s">
        <v>195</v>
      </c>
      <c r="J440" s="2" t="s">
        <v>19</v>
      </c>
      <c r="K440" s="2" t="s">
        <v>247</v>
      </c>
      <c r="L440" s="7" t="str">
        <f>HYPERLINK("http://slimages.macys.com/is/image/MCY/10335892 ")</f>
        <v xml:space="preserve">http://slimages.macys.com/is/image/MCY/10335892 </v>
      </c>
    </row>
    <row r="441" spans="1:12" ht="24.75" x14ac:dyDescent="0.25">
      <c r="A441" s="4" t="s">
        <v>2663</v>
      </c>
      <c r="B441" s="2" t="s">
        <v>1250</v>
      </c>
      <c r="C441" s="3">
        <v>1</v>
      </c>
      <c r="D441" s="5">
        <v>34.5</v>
      </c>
      <c r="E441" s="3">
        <v>100060489</v>
      </c>
      <c r="F441" s="2" t="s">
        <v>331</v>
      </c>
      <c r="G441" s="6" t="s">
        <v>16</v>
      </c>
      <c r="H441" s="2" t="s">
        <v>228</v>
      </c>
      <c r="I441" s="2" t="s">
        <v>229</v>
      </c>
      <c r="J441" s="2" t="s">
        <v>19</v>
      </c>
      <c r="K441" s="2" t="s">
        <v>1251</v>
      </c>
      <c r="L441" s="7" t="str">
        <f>HYPERLINK("http://slimages.macys.com/is/image/MCY/9100235 ")</f>
        <v xml:space="preserve">http://slimages.macys.com/is/image/MCY/9100235 </v>
      </c>
    </row>
    <row r="442" spans="1:12" ht="24.75" x14ac:dyDescent="0.25">
      <c r="A442" s="4" t="s">
        <v>7438</v>
      </c>
      <c r="B442" s="2" t="s">
        <v>1250</v>
      </c>
      <c r="C442" s="3">
        <v>1</v>
      </c>
      <c r="D442" s="5">
        <v>34.5</v>
      </c>
      <c r="E442" s="3">
        <v>100003654</v>
      </c>
      <c r="F442" s="2" t="s">
        <v>417</v>
      </c>
      <c r="G442" s="6" t="s">
        <v>58</v>
      </c>
      <c r="H442" s="2" t="s">
        <v>228</v>
      </c>
      <c r="I442" s="2" t="s">
        <v>229</v>
      </c>
      <c r="J442" s="2" t="s">
        <v>19</v>
      </c>
      <c r="K442" s="2" t="s">
        <v>1251</v>
      </c>
      <c r="L442" s="7" t="str">
        <f>HYPERLINK("http://slimages.macys.com/is/image/MCY/9100235 ")</f>
        <v xml:space="preserve">http://slimages.macys.com/is/image/MCY/9100235 </v>
      </c>
    </row>
    <row r="443" spans="1:12" ht="24.75" x14ac:dyDescent="0.25">
      <c r="A443" s="4" t="s">
        <v>7434</v>
      </c>
      <c r="B443" s="2" t="s">
        <v>1250</v>
      </c>
      <c r="C443" s="3">
        <v>1</v>
      </c>
      <c r="D443" s="5">
        <v>34.5</v>
      </c>
      <c r="E443" s="3">
        <v>100003654</v>
      </c>
      <c r="F443" s="2" t="s">
        <v>417</v>
      </c>
      <c r="G443" s="6" t="s">
        <v>141</v>
      </c>
      <c r="H443" s="2" t="s">
        <v>228</v>
      </c>
      <c r="I443" s="2" t="s">
        <v>229</v>
      </c>
      <c r="J443" s="2" t="s">
        <v>19</v>
      </c>
      <c r="K443" s="2" t="s">
        <v>1251</v>
      </c>
      <c r="L443" s="7" t="str">
        <f>HYPERLINK("http://slimages.macys.com/is/image/MCY/9100235 ")</f>
        <v xml:space="preserve">http://slimages.macys.com/is/image/MCY/9100235 </v>
      </c>
    </row>
    <row r="444" spans="1:12" ht="24.75" x14ac:dyDescent="0.25">
      <c r="A444" s="4" t="s">
        <v>3832</v>
      </c>
      <c r="B444" s="2" t="s">
        <v>3830</v>
      </c>
      <c r="C444" s="3">
        <v>1</v>
      </c>
      <c r="D444" s="5">
        <v>36.5</v>
      </c>
      <c r="E444" s="3" t="s">
        <v>3831</v>
      </c>
      <c r="F444" s="2" t="s">
        <v>579</v>
      </c>
      <c r="G444" s="6" t="s">
        <v>181</v>
      </c>
      <c r="H444" s="2" t="s">
        <v>194</v>
      </c>
      <c r="I444" s="2" t="s">
        <v>195</v>
      </c>
      <c r="J444" s="2" t="s">
        <v>19</v>
      </c>
      <c r="K444" s="2" t="s">
        <v>361</v>
      </c>
      <c r="L444" s="7" t="str">
        <f>HYPERLINK("http://slimages.macys.com/is/image/MCY/11937993 ")</f>
        <v xml:space="preserve">http://slimages.macys.com/is/image/MCY/11937993 </v>
      </c>
    </row>
    <row r="445" spans="1:12" ht="24.75" x14ac:dyDescent="0.25">
      <c r="A445" s="4" t="s">
        <v>8155</v>
      </c>
      <c r="B445" s="2" t="s">
        <v>3830</v>
      </c>
      <c r="C445" s="3">
        <v>1</v>
      </c>
      <c r="D445" s="5">
        <v>36.5</v>
      </c>
      <c r="E445" s="3" t="s">
        <v>3831</v>
      </c>
      <c r="F445" s="2" t="s">
        <v>26</v>
      </c>
      <c r="G445" s="6" t="s">
        <v>234</v>
      </c>
      <c r="H445" s="2" t="s">
        <v>194</v>
      </c>
      <c r="I445" s="2" t="s">
        <v>195</v>
      </c>
      <c r="J445" s="2" t="s">
        <v>19</v>
      </c>
      <c r="K445" s="2" t="s">
        <v>361</v>
      </c>
      <c r="L445" s="7" t="str">
        <f>HYPERLINK("http://slimages.macys.com/is/image/MCY/11937993 ")</f>
        <v xml:space="preserve">http://slimages.macys.com/is/image/MCY/11937993 </v>
      </c>
    </row>
    <row r="446" spans="1:12" ht="24.75" x14ac:dyDescent="0.25">
      <c r="A446" s="4" t="s">
        <v>8156</v>
      </c>
      <c r="B446" s="2" t="s">
        <v>3830</v>
      </c>
      <c r="C446" s="3">
        <v>1</v>
      </c>
      <c r="D446" s="5">
        <v>36.5</v>
      </c>
      <c r="E446" s="3" t="s">
        <v>3831</v>
      </c>
      <c r="F446" s="2" t="s">
        <v>26</v>
      </c>
      <c r="G446" s="6" t="s">
        <v>154</v>
      </c>
      <c r="H446" s="2" t="s">
        <v>194</v>
      </c>
      <c r="I446" s="2" t="s">
        <v>195</v>
      </c>
      <c r="J446" s="2" t="s">
        <v>19</v>
      </c>
      <c r="K446" s="2" t="s">
        <v>361</v>
      </c>
      <c r="L446" s="7" t="str">
        <f>HYPERLINK("http://slimages.macys.com/is/image/MCY/11937993 ")</f>
        <v xml:space="preserve">http://slimages.macys.com/is/image/MCY/11937993 </v>
      </c>
    </row>
    <row r="447" spans="1:12" ht="24.75" x14ac:dyDescent="0.25">
      <c r="A447" s="4" t="s">
        <v>8157</v>
      </c>
      <c r="B447" s="2" t="s">
        <v>8158</v>
      </c>
      <c r="C447" s="3">
        <v>1</v>
      </c>
      <c r="D447" s="5">
        <v>34.5</v>
      </c>
      <c r="E447" s="3">
        <v>100055664</v>
      </c>
      <c r="F447" s="2" t="s">
        <v>64</v>
      </c>
      <c r="G447" s="6" t="s">
        <v>65</v>
      </c>
      <c r="H447" s="2" t="s">
        <v>228</v>
      </c>
      <c r="I447" s="2" t="s">
        <v>857</v>
      </c>
      <c r="J447" s="2" t="s">
        <v>19</v>
      </c>
      <c r="K447" s="2" t="s">
        <v>353</v>
      </c>
      <c r="L447" s="7" t="str">
        <f>HYPERLINK("http://slimages.macys.com/is/image/MCY/12318401 ")</f>
        <v xml:space="preserve">http://slimages.macys.com/is/image/MCY/12318401 </v>
      </c>
    </row>
    <row r="448" spans="1:12" ht="24.75" x14ac:dyDescent="0.25">
      <c r="A448" s="4" t="s">
        <v>1267</v>
      </c>
      <c r="B448" s="2" t="s">
        <v>1268</v>
      </c>
      <c r="C448" s="3">
        <v>1</v>
      </c>
      <c r="D448" s="5">
        <v>36.5</v>
      </c>
      <c r="E448" s="3" t="s">
        <v>1269</v>
      </c>
      <c r="F448" s="2" t="s">
        <v>111</v>
      </c>
      <c r="G448" s="6" t="s">
        <v>154</v>
      </c>
      <c r="H448" s="2" t="s">
        <v>194</v>
      </c>
      <c r="I448" s="2" t="s">
        <v>195</v>
      </c>
      <c r="J448" s="2" t="s">
        <v>19</v>
      </c>
      <c r="K448" s="2" t="s">
        <v>1108</v>
      </c>
      <c r="L448" s="7" t="str">
        <f>HYPERLINK("http://slimages.macys.com/is/image/MCY/11764670 ")</f>
        <v xml:space="preserve">http://slimages.macys.com/is/image/MCY/11764670 </v>
      </c>
    </row>
    <row r="449" spans="1:12" ht="24.75" x14ac:dyDescent="0.25">
      <c r="A449" s="4" t="s">
        <v>4924</v>
      </c>
      <c r="B449" s="2" t="s">
        <v>4925</v>
      </c>
      <c r="C449" s="3">
        <v>1</v>
      </c>
      <c r="D449" s="5">
        <v>37.130000000000003</v>
      </c>
      <c r="E449" s="3" t="s">
        <v>4926</v>
      </c>
      <c r="F449" s="2" t="s">
        <v>74</v>
      </c>
      <c r="G449" s="6" t="s">
        <v>154</v>
      </c>
      <c r="H449" s="2" t="s">
        <v>194</v>
      </c>
      <c r="I449" s="2" t="s">
        <v>195</v>
      </c>
      <c r="J449" s="2" t="s">
        <v>19</v>
      </c>
      <c r="K449" s="2" t="s">
        <v>247</v>
      </c>
      <c r="L449" s="7" t="str">
        <f>HYPERLINK("http://slimages.macys.com/is/image/MCY/3467426 ")</f>
        <v xml:space="preserve">http://slimages.macys.com/is/image/MCY/3467426 </v>
      </c>
    </row>
    <row r="450" spans="1:12" ht="24.75" x14ac:dyDescent="0.25">
      <c r="A450" s="4" t="s">
        <v>1298</v>
      </c>
      <c r="B450" s="2" t="s">
        <v>1279</v>
      </c>
      <c r="C450" s="3">
        <v>5</v>
      </c>
      <c r="D450" s="5">
        <v>27.99</v>
      </c>
      <c r="E450" s="3" t="s">
        <v>1286</v>
      </c>
      <c r="F450" s="2" t="s">
        <v>506</v>
      </c>
      <c r="G450" s="6" t="s">
        <v>200</v>
      </c>
      <c r="H450" s="2" t="s">
        <v>194</v>
      </c>
      <c r="I450" s="2" t="s">
        <v>919</v>
      </c>
      <c r="J450" s="2" t="s">
        <v>19</v>
      </c>
      <c r="K450" s="2" t="s">
        <v>409</v>
      </c>
      <c r="L450" s="7" t="str">
        <f>HYPERLINK("http://slimages.macys.com/is/image/MCY/8185331 ")</f>
        <v xml:space="preserve">http://slimages.macys.com/is/image/MCY/8185331 </v>
      </c>
    </row>
    <row r="451" spans="1:12" ht="24.75" x14ac:dyDescent="0.25">
      <c r="A451" s="4" t="s">
        <v>1289</v>
      </c>
      <c r="B451" s="2" t="s">
        <v>1279</v>
      </c>
      <c r="C451" s="3">
        <v>1</v>
      </c>
      <c r="D451" s="5">
        <v>27.99</v>
      </c>
      <c r="E451" s="3" t="s">
        <v>1280</v>
      </c>
      <c r="F451" s="2" t="s">
        <v>566</v>
      </c>
      <c r="G451" s="6"/>
      <c r="H451" s="2" t="s">
        <v>312</v>
      </c>
      <c r="I451" s="2" t="s">
        <v>1112</v>
      </c>
      <c r="J451" s="2" t="s">
        <v>19</v>
      </c>
      <c r="K451" s="2" t="s">
        <v>409</v>
      </c>
      <c r="L451" s="7" t="str">
        <f>HYPERLINK("http://slimages.macys.com/is/image/MCY/3832970 ")</f>
        <v xml:space="preserve">http://slimages.macys.com/is/image/MCY/3832970 </v>
      </c>
    </row>
    <row r="452" spans="1:12" ht="24.75" x14ac:dyDescent="0.25">
      <c r="A452" s="4" t="s">
        <v>8159</v>
      </c>
      <c r="B452" s="2" t="s">
        <v>8160</v>
      </c>
      <c r="C452" s="3">
        <v>1</v>
      </c>
      <c r="D452" s="5">
        <v>34.99</v>
      </c>
      <c r="E452" s="3" t="s">
        <v>8161</v>
      </c>
      <c r="F452" s="2" t="s">
        <v>111</v>
      </c>
      <c r="G452" s="6"/>
      <c r="H452" s="2" t="s">
        <v>312</v>
      </c>
      <c r="I452" s="2" t="s">
        <v>195</v>
      </c>
      <c r="J452" s="2" t="s">
        <v>19</v>
      </c>
      <c r="K452" s="2" t="s">
        <v>247</v>
      </c>
      <c r="L452" s="7" t="str">
        <f>HYPERLINK("http://slimages.macys.com/is/image/MCY/9108604 ")</f>
        <v xml:space="preserve">http://slimages.macys.com/is/image/MCY/9108604 </v>
      </c>
    </row>
    <row r="453" spans="1:12" ht="24.75" x14ac:dyDescent="0.25">
      <c r="A453" s="4" t="s">
        <v>1285</v>
      </c>
      <c r="B453" s="2" t="s">
        <v>1279</v>
      </c>
      <c r="C453" s="3">
        <v>5</v>
      </c>
      <c r="D453" s="5">
        <v>27.99</v>
      </c>
      <c r="E453" s="3" t="s">
        <v>1286</v>
      </c>
      <c r="F453" s="2" t="s">
        <v>506</v>
      </c>
      <c r="G453" s="6" t="s">
        <v>154</v>
      </c>
      <c r="H453" s="2" t="s">
        <v>194</v>
      </c>
      <c r="I453" s="2" t="s">
        <v>919</v>
      </c>
      <c r="J453" s="2" t="s">
        <v>19</v>
      </c>
      <c r="K453" s="2" t="s">
        <v>409</v>
      </c>
      <c r="L453" s="7" t="str">
        <f>HYPERLINK("http://slimages.macys.com/is/image/MCY/8185331 ")</f>
        <v xml:space="preserve">http://slimages.macys.com/is/image/MCY/8185331 </v>
      </c>
    </row>
    <row r="454" spans="1:12" ht="24.75" x14ac:dyDescent="0.25">
      <c r="A454" s="4" t="s">
        <v>1300</v>
      </c>
      <c r="B454" s="2" t="s">
        <v>1279</v>
      </c>
      <c r="C454" s="3">
        <v>1</v>
      </c>
      <c r="D454" s="5">
        <v>27.99</v>
      </c>
      <c r="E454" s="3" t="s">
        <v>1286</v>
      </c>
      <c r="F454" s="2" t="s">
        <v>506</v>
      </c>
      <c r="G454" s="6" t="s">
        <v>181</v>
      </c>
      <c r="H454" s="2" t="s">
        <v>194</v>
      </c>
      <c r="I454" s="2" t="s">
        <v>919</v>
      </c>
      <c r="J454" s="2" t="s">
        <v>19</v>
      </c>
      <c r="K454" s="2" t="s">
        <v>409</v>
      </c>
      <c r="L454" s="7" t="str">
        <f>HYPERLINK("http://slimages.macys.com/is/image/MCY/8185331 ")</f>
        <v xml:space="preserve">http://slimages.macys.com/is/image/MCY/8185331 </v>
      </c>
    </row>
    <row r="455" spans="1:12" ht="24.75" x14ac:dyDescent="0.25">
      <c r="A455" s="4" t="s">
        <v>5857</v>
      </c>
      <c r="B455" s="2" t="s">
        <v>1294</v>
      </c>
      <c r="C455" s="3">
        <v>1</v>
      </c>
      <c r="D455" s="5">
        <v>37.130000000000003</v>
      </c>
      <c r="E455" s="3">
        <v>100002345</v>
      </c>
      <c r="F455" s="2" t="s">
        <v>64</v>
      </c>
      <c r="G455" s="6" t="s">
        <v>181</v>
      </c>
      <c r="H455" s="2" t="s">
        <v>284</v>
      </c>
      <c r="I455" s="2" t="s">
        <v>285</v>
      </c>
      <c r="J455" s="2" t="s">
        <v>19</v>
      </c>
      <c r="K455" s="2" t="s">
        <v>2669</v>
      </c>
      <c r="L455" s="7" t="str">
        <f>HYPERLINK("http://slimages.macys.com/is/image/MCY/8660800 ")</f>
        <v xml:space="preserve">http://slimages.macys.com/is/image/MCY/8660800 </v>
      </c>
    </row>
    <row r="456" spans="1:12" ht="24.75" x14ac:dyDescent="0.25">
      <c r="A456" s="4" t="s">
        <v>4931</v>
      </c>
      <c r="B456" s="2" t="s">
        <v>1196</v>
      </c>
      <c r="C456" s="3">
        <v>2</v>
      </c>
      <c r="D456" s="5">
        <v>37.130000000000003</v>
      </c>
      <c r="E456" s="3" t="s">
        <v>1305</v>
      </c>
      <c r="F456" s="2" t="s">
        <v>887</v>
      </c>
      <c r="G456" s="6"/>
      <c r="H456" s="2" t="s">
        <v>312</v>
      </c>
      <c r="I456" s="2" t="s">
        <v>195</v>
      </c>
      <c r="J456" s="2" t="s">
        <v>19</v>
      </c>
      <c r="K456" s="2" t="s">
        <v>990</v>
      </c>
      <c r="L456" s="7" t="str">
        <f>HYPERLINK("http://slimages.macys.com/is/image/MCY/12280097 ")</f>
        <v xml:space="preserve">http://slimages.macys.com/is/image/MCY/12280097 </v>
      </c>
    </row>
    <row r="457" spans="1:12" ht="24.75" x14ac:dyDescent="0.25">
      <c r="A457" s="4" t="s">
        <v>4930</v>
      </c>
      <c r="B457" s="2" t="s">
        <v>1196</v>
      </c>
      <c r="C457" s="3">
        <v>2</v>
      </c>
      <c r="D457" s="5">
        <v>37.130000000000003</v>
      </c>
      <c r="E457" s="3" t="s">
        <v>1305</v>
      </c>
      <c r="F457" s="2" t="s">
        <v>887</v>
      </c>
      <c r="G457" s="6"/>
      <c r="H457" s="2" t="s">
        <v>312</v>
      </c>
      <c r="I457" s="2" t="s">
        <v>195</v>
      </c>
      <c r="J457" s="2" t="s">
        <v>19</v>
      </c>
      <c r="K457" s="2" t="s">
        <v>990</v>
      </c>
      <c r="L457" s="7" t="str">
        <f>HYPERLINK("http://slimages.macys.com/is/image/MCY/12280097 ")</f>
        <v xml:space="preserve">http://slimages.macys.com/is/image/MCY/12280097 </v>
      </c>
    </row>
    <row r="458" spans="1:12" ht="24.75" x14ac:dyDescent="0.25">
      <c r="A458" s="4" t="s">
        <v>1304</v>
      </c>
      <c r="B458" s="2" t="s">
        <v>1196</v>
      </c>
      <c r="C458" s="3">
        <v>1</v>
      </c>
      <c r="D458" s="5">
        <v>37.130000000000003</v>
      </c>
      <c r="E458" s="3" t="s">
        <v>1305</v>
      </c>
      <c r="F458" s="2" t="s">
        <v>887</v>
      </c>
      <c r="G458" s="6"/>
      <c r="H458" s="2" t="s">
        <v>312</v>
      </c>
      <c r="I458" s="2" t="s">
        <v>195</v>
      </c>
      <c r="J458" s="2" t="s">
        <v>19</v>
      </c>
      <c r="K458" s="2" t="s">
        <v>990</v>
      </c>
      <c r="L458" s="7" t="str">
        <f>HYPERLINK("http://slimages.macys.com/is/image/MCY/12280097 ")</f>
        <v xml:space="preserve">http://slimages.macys.com/is/image/MCY/12280097 </v>
      </c>
    </row>
    <row r="459" spans="1:12" ht="24.75" x14ac:dyDescent="0.25">
      <c r="A459" s="4" t="s">
        <v>8162</v>
      </c>
      <c r="B459" s="2" t="s">
        <v>1196</v>
      </c>
      <c r="C459" s="3">
        <v>4</v>
      </c>
      <c r="D459" s="5">
        <v>37.130000000000003</v>
      </c>
      <c r="E459" s="3" t="s">
        <v>1305</v>
      </c>
      <c r="F459" s="2" t="s">
        <v>887</v>
      </c>
      <c r="G459" s="6"/>
      <c r="H459" s="2" t="s">
        <v>312</v>
      </c>
      <c r="I459" s="2" t="s">
        <v>195</v>
      </c>
      <c r="J459" s="2" t="s">
        <v>19</v>
      </c>
      <c r="K459" s="2" t="s">
        <v>990</v>
      </c>
      <c r="L459" s="7" t="str">
        <f>HYPERLINK("http://slimages.macys.com/is/image/MCY/12280097 ")</f>
        <v xml:space="preserve">http://slimages.macys.com/is/image/MCY/12280097 </v>
      </c>
    </row>
    <row r="460" spans="1:12" ht="24.75" x14ac:dyDescent="0.25">
      <c r="A460" s="4" t="s">
        <v>2671</v>
      </c>
      <c r="B460" s="2" t="s">
        <v>1307</v>
      </c>
      <c r="C460" s="3">
        <v>1</v>
      </c>
      <c r="D460" s="5">
        <v>32.5</v>
      </c>
      <c r="E460" s="3" t="s">
        <v>1308</v>
      </c>
      <c r="F460" s="2" t="s">
        <v>193</v>
      </c>
      <c r="G460" s="6" t="s">
        <v>181</v>
      </c>
      <c r="H460" s="2" t="s">
        <v>194</v>
      </c>
      <c r="I460" s="2" t="s">
        <v>195</v>
      </c>
      <c r="J460" s="2" t="s">
        <v>19</v>
      </c>
      <c r="K460" s="2" t="s">
        <v>1108</v>
      </c>
      <c r="L460" s="7" t="str">
        <f>HYPERLINK("http://slimages.macys.com/is/image/MCY/12950211 ")</f>
        <v xml:space="preserve">http://slimages.macys.com/is/image/MCY/12950211 </v>
      </c>
    </row>
    <row r="461" spans="1:12" ht="24.75" x14ac:dyDescent="0.25">
      <c r="A461" s="4" t="s">
        <v>4933</v>
      </c>
      <c r="B461" s="2" t="s">
        <v>1307</v>
      </c>
      <c r="C461" s="3">
        <v>1</v>
      </c>
      <c r="D461" s="5">
        <v>32.5</v>
      </c>
      <c r="E461" s="3" t="s">
        <v>1308</v>
      </c>
      <c r="F461" s="2" t="s">
        <v>193</v>
      </c>
      <c r="G461" s="6" t="s">
        <v>154</v>
      </c>
      <c r="H461" s="2" t="s">
        <v>194</v>
      </c>
      <c r="I461" s="2" t="s">
        <v>195</v>
      </c>
      <c r="J461" s="2" t="s">
        <v>19</v>
      </c>
      <c r="K461" s="2" t="s">
        <v>1108</v>
      </c>
      <c r="L461" s="7" t="str">
        <f>HYPERLINK("http://slimages.macys.com/is/image/MCY/12950211 ")</f>
        <v xml:space="preserve">http://slimages.macys.com/is/image/MCY/12950211 </v>
      </c>
    </row>
    <row r="462" spans="1:12" ht="24.75" x14ac:dyDescent="0.25">
      <c r="A462" s="4" t="s">
        <v>6613</v>
      </c>
      <c r="B462" s="2" t="s">
        <v>1307</v>
      </c>
      <c r="C462" s="3">
        <v>3</v>
      </c>
      <c r="D462" s="5">
        <v>32.5</v>
      </c>
      <c r="E462" s="3" t="s">
        <v>1308</v>
      </c>
      <c r="F462" s="2" t="s">
        <v>193</v>
      </c>
      <c r="G462" s="6" t="s">
        <v>156</v>
      </c>
      <c r="H462" s="2" t="s">
        <v>194</v>
      </c>
      <c r="I462" s="2" t="s">
        <v>195</v>
      </c>
      <c r="J462" s="2" t="s">
        <v>19</v>
      </c>
      <c r="K462" s="2" t="s">
        <v>1108</v>
      </c>
      <c r="L462" s="7" t="str">
        <f>HYPERLINK("http://slimages.macys.com/is/image/MCY/12950211 ")</f>
        <v xml:space="preserve">http://slimages.macys.com/is/image/MCY/12950211 </v>
      </c>
    </row>
    <row r="463" spans="1:12" ht="24.75" x14ac:dyDescent="0.25">
      <c r="A463" s="4" t="s">
        <v>4938</v>
      </c>
      <c r="B463" s="2" t="s">
        <v>1307</v>
      </c>
      <c r="C463" s="3">
        <v>3</v>
      </c>
      <c r="D463" s="5">
        <v>32.5</v>
      </c>
      <c r="E463" s="3" t="s">
        <v>1308</v>
      </c>
      <c r="F463" s="2" t="s">
        <v>193</v>
      </c>
      <c r="G463" s="6" t="s">
        <v>234</v>
      </c>
      <c r="H463" s="2" t="s">
        <v>194</v>
      </c>
      <c r="I463" s="2" t="s">
        <v>195</v>
      </c>
      <c r="J463" s="2" t="s">
        <v>19</v>
      </c>
      <c r="K463" s="2" t="s">
        <v>1108</v>
      </c>
      <c r="L463" s="7" t="str">
        <f>HYPERLINK("http://slimages.macys.com/is/image/MCY/12950211 ")</f>
        <v xml:space="preserve">http://slimages.macys.com/is/image/MCY/12950211 </v>
      </c>
    </row>
    <row r="464" spans="1:12" ht="24.75" x14ac:dyDescent="0.25">
      <c r="A464" s="4" t="s">
        <v>8163</v>
      </c>
      <c r="B464" s="2" t="s">
        <v>1307</v>
      </c>
      <c r="C464" s="3">
        <v>1</v>
      </c>
      <c r="D464" s="5">
        <v>33.380000000000003</v>
      </c>
      <c r="E464" s="3" t="s">
        <v>1308</v>
      </c>
      <c r="F464" s="2" t="s">
        <v>752</v>
      </c>
      <c r="G464" s="6" t="s">
        <v>181</v>
      </c>
      <c r="H464" s="2" t="s">
        <v>194</v>
      </c>
      <c r="I464" s="2" t="s">
        <v>195</v>
      </c>
      <c r="J464" s="2" t="s">
        <v>19</v>
      </c>
      <c r="K464" s="2" t="s">
        <v>1108</v>
      </c>
      <c r="L464" s="7" t="str">
        <f>HYPERLINK("http://slimages.macys.com/is/image/MCY/12950211 ")</f>
        <v xml:space="preserve">http://slimages.macys.com/is/image/MCY/12950211 </v>
      </c>
    </row>
    <row r="465" spans="1:12" ht="24.75" x14ac:dyDescent="0.25">
      <c r="A465" s="4" t="s">
        <v>8164</v>
      </c>
      <c r="B465" s="2" t="s">
        <v>1318</v>
      </c>
      <c r="C465" s="3">
        <v>1</v>
      </c>
      <c r="D465" s="5">
        <v>24.99</v>
      </c>
      <c r="E465" s="3">
        <v>100006766</v>
      </c>
      <c r="F465" s="2" t="s">
        <v>417</v>
      </c>
      <c r="G465" s="6" t="s">
        <v>65</v>
      </c>
      <c r="H465" s="2" t="s">
        <v>228</v>
      </c>
      <c r="I465" s="2" t="s">
        <v>229</v>
      </c>
      <c r="J465" s="2" t="s">
        <v>19</v>
      </c>
      <c r="K465" s="2" t="s">
        <v>253</v>
      </c>
      <c r="L465" s="7" t="str">
        <f>HYPERLINK("http://slimages.macys.com/is/image/MCY/9029356 ")</f>
        <v xml:space="preserve">http://slimages.macys.com/is/image/MCY/9029356 </v>
      </c>
    </row>
    <row r="466" spans="1:12" ht="24.75" x14ac:dyDescent="0.25">
      <c r="A466" s="4" t="s">
        <v>2674</v>
      </c>
      <c r="B466" s="2" t="s">
        <v>1318</v>
      </c>
      <c r="C466" s="3">
        <v>1</v>
      </c>
      <c r="D466" s="5">
        <v>24.99</v>
      </c>
      <c r="E466" s="3">
        <v>100006766</v>
      </c>
      <c r="F466" s="2" t="s">
        <v>417</v>
      </c>
      <c r="G466" s="6" t="s">
        <v>16</v>
      </c>
      <c r="H466" s="2" t="s">
        <v>228</v>
      </c>
      <c r="I466" s="2" t="s">
        <v>229</v>
      </c>
      <c r="J466" s="2" t="s">
        <v>19</v>
      </c>
      <c r="K466" s="2" t="s">
        <v>253</v>
      </c>
      <c r="L466" s="7" t="str">
        <f>HYPERLINK("http://slimages.macys.com/is/image/MCY/9029356 ")</f>
        <v xml:space="preserve">http://slimages.macys.com/is/image/MCY/9029356 </v>
      </c>
    </row>
    <row r="467" spans="1:12" ht="24.75" x14ac:dyDescent="0.25">
      <c r="A467" s="4" t="s">
        <v>1317</v>
      </c>
      <c r="B467" s="2" t="s">
        <v>1318</v>
      </c>
      <c r="C467" s="3">
        <v>2</v>
      </c>
      <c r="D467" s="5">
        <v>24.99</v>
      </c>
      <c r="E467" s="3">
        <v>100006766</v>
      </c>
      <c r="F467" s="2" t="s">
        <v>417</v>
      </c>
      <c r="G467" s="6" t="s">
        <v>58</v>
      </c>
      <c r="H467" s="2" t="s">
        <v>228</v>
      </c>
      <c r="I467" s="2" t="s">
        <v>229</v>
      </c>
      <c r="J467" s="2" t="s">
        <v>19</v>
      </c>
      <c r="K467" s="2" t="s">
        <v>253</v>
      </c>
      <c r="L467" s="7" t="str">
        <f>HYPERLINK("http://slimages.macys.com/is/image/MCY/9029356 ")</f>
        <v xml:space="preserve">http://slimages.macys.com/is/image/MCY/9029356 </v>
      </c>
    </row>
    <row r="468" spans="1:12" ht="24.75" x14ac:dyDescent="0.25">
      <c r="A468" s="4" t="s">
        <v>2675</v>
      </c>
      <c r="B468" s="2" t="s">
        <v>1318</v>
      </c>
      <c r="C468" s="3">
        <v>2</v>
      </c>
      <c r="D468" s="5">
        <v>24.99</v>
      </c>
      <c r="E468" s="3">
        <v>100006766</v>
      </c>
      <c r="F468" s="2" t="s">
        <v>417</v>
      </c>
      <c r="G468" s="6" t="s">
        <v>27</v>
      </c>
      <c r="H468" s="2" t="s">
        <v>228</v>
      </c>
      <c r="I468" s="2" t="s">
        <v>229</v>
      </c>
      <c r="J468" s="2" t="s">
        <v>19</v>
      </c>
      <c r="K468" s="2" t="s">
        <v>253</v>
      </c>
      <c r="L468" s="7" t="str">
        <f>HYPERLINK("http://slimages.macys.com/is/image/MCY/9029356 ")</f>
        <v xml:space="preserve">http://slimages.macys.com/is/image/MCY/9029356 </v>
      </c>
    </row>
    <row r="469" spans="1:12" ht="24.75" x14ac:dyDescent="0.25">
      <c r="A469" s="4" t="s">
        <v>8165</v>
      </c>
      <c r="B469" s="2" t="s">
        <v>1339</v>
      </c>
      <c r="C469" s="3">
        <v>2</v>
      </c>
      <c r="D469" s="5">
        <v>29.63</v>
      </c>
      <c r="E469" s="3" t="s">
        <v>5864</v>
      </c>
      <c r="F469" s="2" t="s">
        <v>170</v>
      </c>
      <c r="G469" s="6" t="s">
        <v>234</v>
      </c>
      <c r="H469" s="2" t="s">
        <v>194</v>
      </c>
      <c r="I469" s="2" t="s">
        <v>195</v>
      </c>
      <c r="J469" s="2" t="s">
        <v>19</v>
      </c>
      <c r="K469" s="2" t="s">
        <v>1108</v>
      </c>
      <c r="L469" s="7" t="str">
        <f>HYPERLINK("http://slimages.macys.com/is/image/MCY/14826216 ")</f>
        <v xml:space="preserve">http://slimages.macys.com/is/image/MCY/14826216 </v>
      </c>
    </row>
    <row r="470" spans="1:12" ht="24.75" x14ac:dyDescent="0.25">
      <c r="A470" s="4" t="s">
        <v>5872</v>
      </c>
      <c r="B470" s="2" t="s">
        <v>1330</v>
      </c>
      <c r="C470" s="3">
        <v>1</v>
      </c>
      <c r="D470" s="5">
        <v>37.130000000000003</v>
      </c>
      <c r="E470" s="3" t="s">
        <v>1331</v>
      </c>
      <c r="F470" s="2" t="s">
        <v>417</v>
      </c>
      <c r="G470" s="6" t="s">
        <v>156</v>
      </c>
      <c r="H470" s="2" t="s">
        <v>194</v>
      </c>
      <c r="I470" s="2" t="s">
        <v>195</v>
      </c>
      <c r="J470" s="2" t="s">
        <v>19</v>
      </c>
      <c r="K470" s="2" t="s">
        <v>247</v>
      </c>
      <c r="L470" s="7" t="str">
        <f>HYPERLINK("http://slimages.macys.com/is/image/MCY/10889638 ")</f>
        <v xml:space="preserve">http://slimages.macys.com/is/image/MCY/10889638 </v>
      </c>
    </row>
    <row r="471" spans="1:12" ht="24.75" x14ac:dyDescent="0.25">
      <c r="A471" s="4" t="s">
        <v>7474</v>
      </c>
      <c r="B471" s="2" t="s">
        <v>2678</v>
      </c>
      <c r="C471" s="3">
        <v>2</v>
      </c>
      <c r="D471" s="5">
        <v>24.99</v>
      </c>
      <c r="E471" s="3" t="s">
        <v>2679</v>
      </c>
      <c r="F471" s="2" t="s">
        <v>2680</v>
      </c>
      <c r="G471" s="6" t="s">
        <v>58</v>
      </c>
      <c r="H471" s="2" t="s">
        <v>228</v>
      </c>
      <c r="I471" s="2" t="s">
        <v>863</v>
      </c>
      <c r="J471" s="2"/>
      <c r="K471" s="2"/>
      <c r="L471" s="7" t="str">
        <f>HYPERLINK("http://slimages.macys.com/is/image/MCY/9257806 ")</f>
        <v xml:space="preserve">http://slimages.macys.com/is/image/MCY/9257806 </v>
      </c>
    </row>
    <row r="472" spans="1:12" ht="24.75" x14ac:dyDescent="0.25">
      <c r="A472" s="4" t="s">
        <v>6623</v>
      </c>
      <c r="B472" s="2" t="s">
        <v>1330</v>
      </c>
      <c r="C472" s="3">
        <v>1</v>
      </c>
      <c r="D472" s="5">
        <v>37.130000000000003</v>
      </c>
      <c r="E472" s="3" t="s">
        <v>1331</v>
      </c>
      <c r="F472" s="2" t="s">
        <v>74</v>
      </c>
      <c r="G472" s="6" t="s">
        <v>156</v>
      </c>
      <c r="H472" s="2" t="s">
        <v>194</v>
      </c>
      <c r="I472" s="2" t="s">
        <v>195</v>
      </c>
      <c r="J472" s="2" t="s">
        <v>19</v>
      </c>
      <c r="K472" s="2" t="s">
        <v>247</v>
      </c>
      <c r="L472" s="7" t="str">
        <f>HYPERLINK("http://slimages.macys.com/is/image/MCY/10889638 ")</f>
        <v xml:space="preserve">http://slimages.macys.com/is/image/MCY/10889638 </v>
      </c>
    </row>
    <row r="473" spans="1:12" ht="24.75" x14ac:dyDescent="0.25">
      <c r="A473" s="4" t="s">
        <v>8166</v>
      </c>
      <c r="B473" s="2" t="s">
        <v>1343</v>
      </c>
      <c r="C473" s="3">
        <v>1</v>
      </c>
      <c r="D473" s="5">
        <v>24.99</v>
      </c>
      <c r="E473" s="3" t="s">
        <v>1344</v>
      </c>
      <c r="F473" s="2" t="s">
        <v>33</v>
      </c>
      <c r="G473" s="6" t="s">
        <v>65</v>
      </c>
      <c r="H473" s="2" t="s">
        <v>228</v>
      </c>
      <c r="I473" s="2" t="s">
        <v>863</v>
      </c>
      <c r="J473" s="2" t="s">
        <v>19</v>
      </c>
      <c r="K473" s="2" t="s">
        <v>253</v>
      </c>
      <c r="L473" s="7" t="str">
        <f>HYPERLINK("http://slimages.macys.com/is/image/MCY/11804521 ")</f>
        <v xml:space="preserve">http://slimages.macys.com/is/image/MCY/11804521 </v>
      </c>
    </row>
    <row r="474" spans="1:12" ht="24.75" x14ac:dyDescent="0.25">
      <c r="A474" s="4" t="s">
        <v>8167</v>
      </c>
      <c r="B474" s="2" t="s">
        <v>2678</v>
      </c>
      <c r="C474" s="3">
        <v>2</v>
      </c>
      <c r="D474" s="5">
        <v>24.99</v>
      </c>
      <c r="E474" s="3" t="s">
        <v>2679</v>
      </c>
      <c r="F474" s="2" t="s">
        <v>2680</v>
      </c>
      <c r="G474" s="6"/>
      <c r="H474" s="2" t="s">
        <v>228</v>
      </c>
      <c r="I474" s="2" t="s">
        <v>863</v>
      </c>
      <c r="J474" s="2"/>
      <c r="K474" s="2"/>
      <c r="L474" s="7" t="str">
        <f>HYPERLINK("http://slimages.macys.com/is/image/MCY/9257806 ")</f>
        <v xml:space="preserve">http://slimages.macys.com/is/image/MCY/9257806 </v>
      </c>
    </row>
    <row r="475" spans="1:12" ht="24.75" x14ac:dyDescent="0.25">
      <c r="A475" s="4" t="s">
        <v>8168</v>
      </c>
      <c r="B475" s="2" t="s">
        <v>1343</v>
      </c>
      <c r="C475" s="3">
        <v>1</v>
      </c>
      <c r="D475" s="5">
        <v>24.99</v>
      </c>
      <c r="E475" s="3" t="s">
        <v>1344</v>
      </c>
      <c r="F475" s="2" t="s">
        <v>33</v>
      </c>
      <c r="G475" s="6" t="s">
        <v>141</v>
      </c>
      <c r="H475" s="2" t="s">
        <v>228</v>
      </c>
      <c r="I475" s="2" t="s">
        <v>863</v>
      </c>
      <c r="J475" s="2" t="s">
        <v>19</v>
      </c>
      <c r="K475" s="2" t="s">
        <v>253</v>
      </c>
      <c r="L475" s="7" t="str">
        <f>HYPERLINK("http://slimages.macys.com/is/image/MCY/11804521 ")</f>
        <v xml:space="preserve">http://slimages.macys.com/is/image/MCY/11804521 </v>
      </c>
    </row>
    <row r="476" spans="1:12" ht="24.75" x14ac:dyDescent="0.25">
      <c r="A476" s="4" t="s">
        <v>1337</v>
      </c>
      <c r="B476" s="2" t="s">
        <v>1330</v>
      </c>
      <c r="C476" s="3">
        <v>1</v>
      </c>
      <c r="D476" s="5">
        <v>37.130000000000003</v>
      </c>
      <c r="E476" s="3" t="s">
        <v>1331</v>
      </c>
      <c r="F476" s="2" t="s">
        <v>74</v>
      </c>
      <c r="G476" s="6" t="s">
        <v>181</v>
      </c>
      <c r="H476" s="2" t="s">
        <v>194</v>
      </c>
      <c r="I476" s="2" t="s">
        <v>195</v>
      </c>
      <c r="J476" s="2" t="s">
        <v>19</v>
      </c>
      <c r="K476" s="2" t="s">
        <v>247</v>
      </c>
      <c r="L476" s="7" t="str">
        <f>HYPERLINK("http://slimages.macys.com/is/image/MCY/10889638 ")</f>
        <v xml:space="preserve">http://slimages.macys.com/is/image/MCY/10889638 </v>
      </c>
    </row>
    <row r="477" spans="1:12" ht="24.75" x14ac:dyDescent="0.25">
      <c r="A477" s="4" t="s">
        <v>1341</v>
      </c>
      <c r="B477" s="2" t="s">
        <v>1330</v>
      </c>
      <c r="C477" s="3">
        <v>1</v>
      </c>
      <c r="D477" s="5">
        <v>37.130000000000003</v>
      </c>
      <c r="E477" s="3" t="s">
        <v>1331</v>
      </c>
      <c r="F477" s="2" t="s">
        <v>417</v>
      </c>
      <c r="G477" s="6" t="s">
        <v>181</v>
      </c>
      <c r="H477" s="2" t="s">
        <v>194</v>
      </c>
      <c r="I477" s="2" t="s">
        <v>195</v>
      </c>
      <c r="J477" s="2" t="s">
        <v>19</v>
      </c>
      <c r="K477" s="2" t="s">
        <v>247</v>
      </c>
      <c r="L477" s="7" t="str">
        <f>HYPERLINK("http://slimages.macys.com/is/image/MCY/10889638 ")</f>
        <v xml:space="preserve">http://slimages.macys.com/is/image/MCY/10889638 </v>
      </c>
    </row>
    <row r="478" spans="1:12" ht="24.75" x14ac:dyDescent="0.25">
      <c r="A478" s="4" t="s">
        <v>1336</v>
      </c>
      <c r="B478" s="2" t="s">
        <v>1330</v>
      </c>
      <c r="C478" s="3">
        <v>1</v>
      </c>
      <c r="D478" s="5">
        <v>37.130000000000003</v>
      </c>
      <c r="E478" s="3" t="s">
        <v>1331</v>
      </c>
      <c r="F478" s="2" t="s">
        <v>74</v>
      </c>
      <c r="G478" s="6" t="s">
        <v>234</v>
      </c>
      <c r="H478" s="2" t="s">
        <v>194</v>
      </c>
      <c r="I478" s="2" t="s">
        <v>195</v>
      </c>
      <c r="J478" s="2" t="s">
        <v>19</v>
      </c>
      <c r="K478" s="2" t="s">
        <v>247</v>
      </c>
      <c r="L478" s="7" t="str">
        <f>HYPERLINK("http://slimages.macys.com/is/image/MCY/10889638 ")</f>
        <v xml:space="preserve">http://slimages.macys.com/is/image/MCY/10889638 </v>
      </c>
    </row>
    <row r="479" spans="1:12" ht="24.75" x14ac:dyDescent="0.25">
      <c r="A479" s="4" t="s">
        <v>8169</v>
      </c>
      <c r="B479" s="2" t="s">
        <v>2678</v>
      </c>
      <c r="C479" s="3">
        <v>1</v>
      </c>
      <c r="D479" s="5">
        <v>24.99</v>
      </c>
      <c r="E479" s="3" t="s">
        <v>2679</v>
      </c>
      <c r="F479" s="2" t="s">
        <v>2680</v>
      </c>
      <c r="G479" s="6"/>
      <c r="H479" s="2" t="s">
        <v>228</v>
      </c>
      <c r="I479" s="2" t="s">
        <v>863</v>
      </c>
      <c r="J479" s="2"/>
      <c r="K479" s="2"/>
      <c r="L479" s="7" t="str">
        <f>HYPERLINK("http://slimages.macys.com/is/image/MCY/9257806 ")</f>
        <v xml:space="preserve">http://slimages.macys.com/is/image/MCY/9257806 </v>
      </c>
    </row>
    <row r="480" spans="1:12" ht="24.75" x14ac:dyDescent="0.25">
      <c r="A480" s="4" t="s">
        <v>7471</v>
      </c>
      <c r="B480" s="2" t="s">
        <v>2678</v>
      </c>
      <c r="C480" s="3">
        <v>1</v>
      </c>
      <c r="D480" s="5">
        <v>24.99</v>
      </c>
      <c r="E480" s="3" t="s">
        <v>2679</v>
      </c>
      <c r="F480" s="2" t="s">
        <v>2680</v>
      </c>
      <c r="G480" s="6" t="s">
        <v>7472</v>
      </c>
      <c r="H480" s="2" t="s">
        <v>228</v>
      </c>
      <c r="I480" s="2" t="s">
        <v>863</v>
      </c>
      <c r="J480" s="2"/>
      <c r="K480" s="2"/>
      <c r="L480" s="7" t="str">
        <f>HYPERLINK("http://slimages.macys.com/is/image/MCY/9257806 ")</f>
        <v xml:space="preserve">http://slimages.macys.com/is/image/MCY/9257806 </v>
      </c>
    </row>
    <row r="481" spans="1:12" ht="24.75" x14ac:dyDescent="0.25">
      <c r="A481" s="4" t="s">
        <v>8170</v>
      </c>
      <c r="B481" s="2" t="s">
        <v>2678</v>
      </c>
      <c r="C481" s="3">
        <v>1</v>
      </c>
      <c r="D481" s="5">
        <v>24.99</v>
      </c>
      <c r="E481" s="3" t="s">
        <v>6619</v>
      </c>
      <c r="F481" s="2" t="s">
        <v>878</v>
      </c>
      <c r="G481" s="6" t="s">
        <v>7472</v>
      </c>
      <c r="H481" s="2" t="s">
        <v>228</v>
      </c>
      <c r="I481" s="2" t="s">
        <v>863</v>
      </c>
      <c r="J481" s="2" t="s">
        <v>19</v>
      </c>
      <c r="K481" s="2" t="s">
        <v>253</v>
      </c>
      <c r="L481" s="7" t="str">
        <f>HYPERLINK("http://slimages.macys.com/is/image/MCY/11804521 ")</f>
        <v xml:space="preserve">http://slimages.macys.com/is/image/MCY/11804521 </v>
      </c>
    </row>
    <row r="482" spans="1:12" ht="24.75" x14ac:dyDescent="0.25">
      <c r="A482" s="4" t="s">
        <v>2681</v>
      </c>
      <c r="B482" s="2" t="s">
        <v>1330</v>
      </c>
      <c r="C482" s="3">
        <v>2</v>
      </c>
      <c r="D482" s="5">
        <v>37.130000000000003</v>
      </c>
      <c r="E482" s="3" t="s">
        <v>1331</v>
      </c>
      <c r="F482" s="2" t="s">
        <v>417</v>
      </c>
      <c r="G482" s="6" t="s">
        <v>154</v>
      </c>
      <c r="H482" s="2" t="s">
        <v>194</v>
      </c>
      <c r="I482" s="2" t="s">
        <v>195</v>
      </c>
      <c r="J482" s="2" t="s">
        <v>19</v>
      </c>
      <c r="K482" s="2" t="s">
        <v>247</v>
      </c>
      <c r="L482" s="7" t="str">
        <f>HYPERLINK("http://slimages.macys.com/is/image/MCY/10889638 ")</f>
        <v xml:space="preserve">http://slimages.macys.com/is/image/MCY/10889638 </v>
      </c>
    </row>
    <row r="483" spans="1:12" ht="24.75" x14ac:dyDescent="0.25">
      <c r="A483" s="4" t="s">
        <v>5870</v>
      </c>
      <c r="B483" s="2" t="s">
        <v>2678</v>
      </c>
      <c r="C483" s="3">
        <v>1</v>
      </c>
      <c r="D483" s="5">
        <v>24.99</v>
      </c>
      <c r="E483" s="3" t="s">
        <v>2679</v>
      </c>
      <c r="F483" s="2" t="s">
        <v>2680</v>
      </c>
      <c r="G483" s="6" t="s">
        <v>4873</v>
      </c>
      <c r="H483" s="2" t="s">
        <v>228</v>
      </c>
      <c r="I483" s="2" t="s">
        <v>863</v>
      </c>
      <c r="J483" s="2"/>
      <c r="K483" s="2"/>
      <c r="L483" s="7" t="str">
        <f t="shared" ref="L483:L490" si="2">HYPERLINK("http://slimages.macys.com/is/image/MCY/9257806 ")</f>
        <v xml:space="preserve">http://slimages.macys.com/is/image/MCY/9257806 </v>
      </c>
    </row>
    <row r="484" spans="1:12" ht="24.75" x14ac:dyDescent="0.25">
      <c r="A484" s="4" t="s">
        <v>7473</v>
      </c>
      <c r="B484" s="2" t="s">
        <v>2678</v>
      </c>
      <c r="C484" s="3">
        <v>1</v>
      </c>
      <c r="D484" s="5">
        <v>24.99</v>
      </c>
      <c r="E484" s="3" t="s">
        <v>2679</v>
      </c>
      <c r="F484" s="2" t="s">
        <v>2680</v>
      </c>
      <c r="G484" s="6" t="s">
        <v>1172</v>
      </c>
      <c r="H484" s="2" t="s">
        <v>228</v>
      </c>
      <c r="I484" s="2" t="s">
        <v>863</v>
      </c>
      <c r="J484" s="2"/>
      <c r="K484" s="2"/>
      <c r="L484" s="7" t="str">
        <f t="shared" si="2"/>
        <v xml:space="preserve">http://slimages.macys.com/is/image/MCY/9257806 </v>
      </c>
    </row>
    <row r="485" spans="1:12" ht="24.75" x14ac:dyDescent="0.25">
      <c r="A485" s="4" t="s">
        <v>6620</v>
      </c>
      <c r="B485" s="2" t="s">
        <v>2678</v>
      </c>
      <c r="C485" s="3">
        <v>1</v>
      </c>
      <c r="D485" s="5">
        <v>24.99</v>
      </c>
      <c r="E485" s="3" t="s">
        <v>2679</v>
      </c>
      <c r="F485" s="2" t="s">
        <v>2680</v>
      </c>
      <c r="G485" s="6" t="s">
        <v>16</v>
      </c>
      <c r="H485" s="2" t="s">
        <v>228</v>
      </c>
      <c r="I485" s="2" t="s">
        <v>863</v>
      </c>
      <c r="J485" s="2"/>
      <c r="K485" s="2"/>
      <c r="L485" s="7" t="str">
        <f t="shared" si="2"/>
        <v xml:space="preserve">http://slimages.macys.com/is/image/MCY/9257806 </v>
      </c>
    </row>
    <row r="486" spans="1:12" ht="24.75" x14ac:dyDescent="0.25">
      <c r="A486" s="4" t="s">
        <v>2677</v>
      </c>
      <c r="B486" s="2" t="s">
        <v>2678</v>
      </c>
      <c r="C486" s="3">
        <v>3</v>
      </c>
      <c r="D486" s="5">
        <v>24.99</v>
      </c>
      <c r="E486" s="3" t="s">
        <v>2679</v>
      </c>
      <c r="F486" s="2" t="s">
        <v>2680</v>
      </c>
      <c r="G486" s="6" t="s">
        <v>27</v>
      </c>
      <c r="H486" s="2" t="s">
        <v>228</v>
      </c>
      <c r="I486" s="2" t="s">
        <v>863</v>
      </c>
      <c r="J486" s="2"/>
      <c r="K486" s="2"/>
      <c r="L486" s="7" t="str">
        <f t="shared" si="2"/>
        <v xml:space="preserve">http://slimages.macys.com/is/image/MCY/9257806 </v>
      </c>
    </row>
    <row r="487" spans="1:12" ht="24.75" x14ac:dyDescent="0.25">
      <c r="A487" s="4" t="s">
        <v>8171</v>
      </c>
      <c r="B487" s="2" t="s">
        <v>2678</v>
      </c>
      <c r="C487" s="3">
        <v>1</v>
      </c>
      <c r="D487" s="5">
        <v>24.99</v>
      </c>
      <c r="E487" s="3" t="s">
        <v>2679</v>
      </c>
      <c r="F487" s="2" t="s">
        <v>2680</v>
      </c>
      <c r="G487" s="6" t="s">
        <v>112</v>
      </c>
      <c r="H487" s="2" t="s">
        <v>228</v>
      </c>
      <c r="I487" s="2" t="s">
        <v>863</v>
      </c>
      <c r="J487" s="2"/>
      <c r="K487" s="2"/>
      <c r="L487" s="7" t="str">
        <f t="shared" si="2"/>
        <v xml:space="preserve">http://slimages.macys.com/is/image/MCY/9257806 </v>
      </c>
    </row>
    <row r="488" spans="1:12" ht="24.75" x14ac:dyDescent="0.25">
      <c r="A488" s="4" t="s">
        <v>3860</v>
      </c>
      <c r="B488" s="2" t="s">
        <v>2678</v>
      </c>
      <c r="C488" s="3">
        <v>1</v>
      </c>
      <c r="D488" s="5">
        <v>24.99</v>
      </c>
      <c r="E488" s="3" t="s">
        <v>2679</v>
      </c>
      <c r="F488" s="2" t="s">
        <v>2680</v>
      </c>
      <c r="G488" s="6" t="s">
        <v>3861</v>
      </c>
      <c r="H488" s="2" t="s">
        <v>228</v>
      </c>
      <c r="I488" s="2" t="s">
        <v>863</v>
      </c>
      <c r="J488" s="2"/>
      <c r="K488" s="2"/>
      <c r="L488" s="7" t="str">
        <f t="shared" si="2"/>
        <v xml:space="preserve">http://slimages.macys.com/is/image/MCY/9257806 </v>
      </c>
    </row>
    <row r="489" spans="1:12" ht="24.75" x14ac:dyDescent="0.25">
      <c r="A489" s="4" t="s">
        <v>3862</v>
      </c>
      <c r="B489" s="2" t="s">
        <v>2678</v>
      </c>
      <c r="C489" s="3">
        <v>1</v>
      </c>
      <c r="D489" s="5">
        <v>24.99</v>
      </c>
      <c r="E489" s="3" t="s">
        <v>2679</v>
      </c>
      <c r="F489" s="2" t="s">
        <v>2680</v>
      </c>
      <c r="G489" s="6" t="s">
        <v>473</v>
      </c>
      <c r="H489" s="2" t="s">
        <v>228</v>
      </c>
      <c r="I489" s="2" t="s">
        <v>863</v>
      </c>
      <c r="J489" s="2"/>
      <c r="K489" s="2"/>
      <c r="L489" s="7" t="str">
        <f t="shared" si="2"/>
        <v xml:space="preserve">http://slimages.macys.com/is/image/MCY/9257806 </v>
      </c>
    </row>
    <row r="490" spans="1:12" ht="24.75" x14ac:dyDescent="0.25">
      <c r="A490" s="4" t="s">
        <v>5871</v>
      </c>
      <c r="B490" s="2" t="s">
        <v>2678</v>
      </c>
      <c r="C490" s="3">
        <v>2</v>
      </c>
      <c r="D490" s="5">
        <v>24.99</v>
      </c>
      <c r="E490" s="3" t="s">
        <v>2679</v>
      </c>
      <c r="F490" s="2" t="s">
        <v>2680</v>
      </c>
      <c r="G490" s="6" t="s">
        <v>22</v>
      </c>
      <c r="H490" s="2" t="s">
        <v>228</v>
      </c>
      <c r="I490" s="2" t="s">
        <v>863</v>
      </c>
      <c r="J490" s="2"/>
      <c r="K490" s="2"/>
      <c r="L490" s="7" t="str">
        <f t="shared" si="2"/>
        <v xml:space="preserve">http://slimages.macys.com/is/image/MCY/9257806 </v>
      </c>
    </row>
    <row r="491" spans="1:12" ht="48.75" x14ac:dyDescent="0.25">
      <c r="A491" s="4" t="s">
        <v>8172</v>
      </c>
      <c r="B491" s="2" t="s">
        <v>984</v>
      </c>
      <c r="C491" s="3">
        <v>1</v>
      </c>
      <c r="D491" s="5">
        <v>44.63</v>
      </c>
      <c r="E491" s="3" t="s">
        <v>985</v>
      </c>
      <c r="F491" s="2" t="s">
        <v>331</v>
      </c>
      <c r="G491" s="6" t="s">
        <v>65</v>
      </c>
      <c r="H491" s="2" t="s">
        <v>246</v>
      </c>
      <c r="I491" s="2" t="s">
        <v>487</v>
      </c>
      <c r="J491" s="2" t="s">
        <v>19</v>
      </c>
      <c r="K491" s="2" t="s">
        <v>787</v>
      </c>
      <c r="L491" s="7" t="str">
        <f>HYPERLINK("http://slimages.macys.com/is/image/MCY/11808679 ")</f>
        <v xml:space="preserve">http://slimages.macys.com/is/image/MCY/11808679 </v>
      </c>
    </row>
    <row r="492" spans="1:12" ht="24.75" x14ac:dyDescent="0.25">
      <c r="A492" s="4" t="s">
        <v>4948</v>
      </c>
      <c r="B492" s="2" t="s">
        <v>2683</v>
      </c>
      <c r="C492" s="3">
        <v>1</v>
      </c>
      <c r="D492" s="5">
        <v>33.380000000000003</v>
      </c>
      <c r="E492" s="3" t="s">
        <v>2684</v>
      </c>
      <c r="F492" s="2" t="s">
        <v>752</v>
      </c>
      <c r="G492" s="6" t="s">
        <v>234</v>
      </c>
      <c r="H492" s="2" t="s">
        <v>194</v>
      </c>
      <c r="I492" s="2" t="s">
        <v>195</v>
      </c>
      <c r="J492" s="2" t="s">
        <v>19</v>
      </c>
      <c r="K492" s="2" t="s">
        <v>247</v>
      </c>
      <c r="L492" s="7" t="str">
        <f>HYPERLINK("http://slimages.macys.com/is/image/MCY/12404928 ")</f>
        <v xml:space="preserve">http://slimages.macys.com/is/image/MCY/12404928 </v>
      </c>
    </row>
    <row r="493" spans="1:12" ht="24.75" x14ac:dyDescent="0.25">
      <c r="A493" s="4" t="s">
        <v>2682</v>
      </c>
      <c r="B493" s="2" t="s">
        <v>2683</v>
      </c>
      <c r="C493" s="3">
        <v>1</v>
      </c>
      <c r="D493" s="5">
        <v>33.380000000000003</v>
      </c>
      <c r="E493" s="3" t="s">
        <v>2684</v>
      </c>
      <c r="F493" s="2" t="s">
        <v>752</v>
      </c>
      <c r="G493" s="6" t="s">
        <v>154</v>
      </c>
      <c r="H493" s="2" t="s">
        <v>194</v>
      </c>
      <c r="I493" s="2" t="s">
        <v>195</v>
      </c>
      <c r="J493" s="2" t="s">
        <v>19</v>
      </c>
      <c r="K493" s="2" t="s">
        <v>247</v>
      </c>
      <c r="L493" s="7" t="str">
        <f>HYPERLINK("http://slimages.macys.com/is/image/MCY/12404928 ")</f>
        <v xml:space="preserve">http://slimages.macys.com/is/image/MCY/12404928 </v>
      </c>
    </row>
    <row r="494" spans="1:12" ht="24.75" x14ac:dyDescent="0.25">
      <c r="A494" s="4" t="s">
        <v>3867</v>
      </c>
      <c r="B494" s="2" t="s">
        <v>2683</v>
      </c>
      <c r="C494" s="3">
        <v>2</v>
      </c>
      <c r="D494" s="5">
        <v>33.380000000000003</v>
      </c>
      <c r="E494" s="3" t="s">
        <v>2684</v>
      </c>
      <c r="F494" s="2" t="s">
        <v>752</v>
      </c>
      <c r="G494" s="6" t="s">
        <v>181</v>
      </c>
      <c r="H494" s="2" t="s">
        <v>194</v>
      </c>
      <c r="I494" s="2" t="s">
        <v>195</v>
      </c>
      <c r="J494" s="2" t="s">
        <v>19</v>
      </c>
      <c r="K494" s="2" t="s">
        <v>247</v>
      </c>
      <c r="L494" s="7" t="str">
        <f>HYPERLINK("http://slimages.macys.com/is/image/MCY/12404928 ")</f>
        <v xml:space="preserve">http://slimages.macys.com/is/image/MCY/12404928 </v>
      </c>
    </row>
    <row r="495" spans="1:12" ht="48.75" x14ac:dyDescent="0.25">
      <c r="A495" s="4" t="s">
        <v>3874</v>
      </c>
      <c r="B495" s="2" t="s">
        <v>1155</v>
      </c>
      <c r="C495" s="3">
        <v>2</v>
      </c>
      <c r="D495" s="5">
        <v>37.130000000000003</v>
      </c>
      <c r="E495" s="3" t="s">
        <v>3875</v>
      </c>
      <c r="F495" s="2" t="s">
        <v>15</v>
      </c>
      <c r="G495" s="6" t="s">
        <v>181</v>
      </c>
      <c r="H495" s="2" t="s">
        <v>194</v>
      </c>
      <c r="I495" s="2" t="s">
        <v>195</v>
      </c>
      <c r="J495" s="2" t="s">
        <v>19</v>
      </c>
      <c r="K495" s="2" t="s">
        <v>3879</v>
      </c>
      <c r="L495" s="7" t="str">
        <f>HYPERLINK("http://slimages.macys.com/is/image/MCY/12404881 ")</f>
        <v xml:space="preserve">http://slimages.macys.com/is/image/MCY/12404881 </v>
      </c>
    </row>
    <row r="496" spans="1:12" ht="48.75" x14ac:dyDescent="0.25">
      <c r="A496" s="4" t="s">
        <v>8173</v>
      </c>
      <c r="B496" s="2" t="s">
        <v>1155</v>
      </c>
      <c r="C496" s="3">
        <v>1</v>
      </c>
      <c r="D496" s="5">
        <v>37.130000000000003</v>
      </c>
      <c r="E496" s="3" t="s">
        <v>3875</v>
      </c>
      <c r="F496" s="2" t="s">
        <v>26</v>
      </c>
      <c r="G496" s="6" t="s">
        <v>156</v>
      </c>
      <c r="H496" s="2" t="s">
        <v>194</v>
      </c>
      <c r="I496" s="2" t="s">
        <v>195</v>
      </c>
      <c r="J496" s="2" t="s">
        <v>19</v>
      </c>
      <c r="K496" s="2" t="s">
        <v>3879</v>
      </c>
      <c r="L496" s="7" t="str">
        <f>HYPERLINK("http://slimages.macys.com/is/image/MCY/12404881 ")</f>
        <v xml:space="preserve">http://slimages.macys.com/is/image/MCY/12404881 </v>
      </c>
    </row>
    <row r="497" spans="1:12" ht="48.75" x14ac:dyDescent="0.25">
      <c r="A497" s="4" t="s">
        <v>4950</v>
      </c>
      <c r="B497" s="2" t="s">
        <v>1155</v>
      </c>
      <c r="C497" s="3">
        <v>1</v>
      </c>
      <c r="D497" s="5">
        <v>37.130000000000003</v>
      </c>
      <c r="E497" s="3" t="s">
        <v>3875</v>
      </c>
      <c r="F497" s="2" t="s">
        <v>15</v>
      </c>
      <c r="G497" s="6" t="s">
        <v>234</v>
      </c>
      <c r="H497" s="2" t="s">
        <v>194</v>
      </c>
      <c r="I497" s="2" t="s">
        <v>195</v>
      </c>
      <c r="J497" s="2" t="s">
        <v>19</v>
      </c>
      <c r="K497" s="2" t="s">
        <v>3879</v>
      </c>
      <c r="L497" s="7" t="str">
        <f>HYPERLINK("http://slimages.macys.com/is/image/MCY/12404881 ")</f>
        <v xml:space="preserve">http://slimages.macys.com/is/image/MCY/12404881 </v>
      </c>
    </row>
    <row r="498" spans="1:12" ht="48.75" x14ac:dyDescent="0.25">
      <c r="A498" s="4" t="s">
        <v>6628</v>
      </c>
      <c r="B498" s="2" t="s">
        <v>1155</v>
      </c>
      <c r="C498" s="3">
        <v>1</v>
      </c>
      <c r="D498" s="5">
        <v>37.130000000000003</v>
      </c>
      <c r="E498" s="3" t="s">
        <v>3875</v>
      </c>
      <c r="F498" s="2" t="s">
        <v>15</v>
      </c>
      <c r="G498" s="6" t="s">
        <v>156</v>
      </c>
      <c r="H498" s="2" t="s">
        <v>194</v>
      </c>
      <c r="I498" s="2" t="s">
        <v>195</v>
      </c>
      <c r="J498" s="2" t="s">
        <v>19</v>
      </c>
      <c r="K498" s="2" t="s">
        <v>3879</v>
      </c>
      <c r="L498" s="7" t="str">
        <f>HYPERLINK("http://slimages.macys.com/is/image/MCY/12404881 ")</f>
        <v xml:space="preserve">http://slimages.macys.com/is/image/MCY/12404881 </v>
      </c>
    </row>
    <row r="499" spans="1:12" ht="24.75" x14ac:dyDescent="0.25">
      <c r="A499" s="4" t="s">
        <v>8174</v>
      </c>
      <c r="B499" s="2" t="s">
        <v>5894</v>
      </c>
      <c r="C499" s="3">
        <v>1</v>
      </c>
      <c r="D499" s="5">
        <v>29.63</v>
      </c>
      <c r="E499" s="3" t="s">
        <v>8175</v>
      </c>
      <c r="F499" s="2" t="s">
        <v>566</v>
      </c>
      <c r="G499" s="6" t="s">
        <v>154</v>
      </c>
      <c r="H499" s="2" t="s">
        <v>284</v>
      </c>
      <c r="I499" s="2" t="s">
        <v>285</v>
      </c>
      <c r="J499" s="2" t="s">
        <v>19</v>
      </c>
      <c r="K499" s="2" t="s">
        <v>160</v>
      </c>
      <c r="L499" s="7" t="str">
        <f>HYPERLINK("http://slimages.macys.com/is/image/MCY/13081238 ")</f>
        <v xml:space="preserve">http://slimages.macys.com/is/image/MCY/13081238 </v>
      </c>
    </row>
    <row r="500" spans="1:12" ht="24.75" x14ac:dyDescent="0.25">
      <c r="A500" s="4" t="s">
        <v>2685</v>
      </c>
      <c r="B500" s="2" t="s">
        <v>2686</v>
      </c>
      <c r="C500" s="3">
        <v>1</v>
      </c>
      <c r="D500" s="5">
        <v>34.5</v>
      </c>
      <c r="E500" s="3">
        <v>100062504</v>
      </c>
      <c r="F500" s="2" t="s">
        <v>26</v>
      </c>
      <c r="G500" s="6" t="s">
        <v>112</v>
      </c>
      <c r="H500" s="2" t="s">
        <v>228</v>
      </c>
      <c r="I500" s="2" t="s">
        <v>229</v>
      </c>
      <c r="J500" s="2" t="s">
        <v>19</v>
      </c>
      <c r="K500" s="2" t="s">
        <v>253</v>
      </c>
      <c r="L500" s="7" t="str">
        <f>HYPERLINK("http://slimages.macys.com/is/image/MCY/12849901 ")</f>
        <v xml:space="preserve">http://slimages.macys.com/is/image/MCY/12849901 </v>
      </c>
    </row>
    <row r="501" spans="1:12" ht="24.75" x14ac:dyDescent="0.25">
      <c r="A501" s="4" t="s">
        <v>4958</v>
      </c>
      <c r="B501" s="2" t="s">
        <v>1318</v>
      </c>
      <c r="C501" s="3">
        <v>1</v>
      </c>
      <c r="D501" s="5">
        <v>24.99</v>
      </c>
      <c r="E501" s="3" t="s">
        <v>1321</v>
      </c>
      <c r="F501" s="2" t="s">
        <v>506</v>
      </c>
      <c r="G501" s="6" t="s">
        <v>65</v>
      </c>
      <c r="H501" s="2" t="s">
        <v>228</v>
      </c>
      <c r="I501" s="2" t="s">
        <v>229</v>
      </c>
      <c r="J501" s="2" t="s">
        <v>19</v>
      </c>
      <c r="K501" s="2" t="s">
        <v>253</v>
      </c>
      <c r="L501" s="7" t="str">
        <f>HYPERLINK("http://slimages.macys.com/is/image/MCY/8296032 ")</f>
        <v xml:space="preserve">http://slimages.macys.com/is/image/MCY/8296032 </v>
      </c>
    </row>
    <row r="502" spans="1:12" ht="24.75" x14ac:dyDescent="0.25">
      <c r="A502" s="4" t="s">
        <v>2695</v>
      </c>
      <c r="B502" s="2" t="s">
        <v>1356</v>
      </c>
      <c r="C502" s="3">
        <v>1</v>
      </c>
      <c r="D502" s="5">
        <v>29.99</v>
      </c>
      <c r="E502" s="3">
        <v>100045815</v>
      </c>
      <c r="F502" s="2" t="s">
        <v>26</v>
      </c>
      <c r="G502" s="6" t="s">
        <v>16</v>
      </c>
      <c r="H502" s="2" t="s">
        <v>228</v>
      </c>
      <c r="I502" s="2" t="s">
        <v>229</v>
      </c>
      <c r="J502" s="2" t="s">
        <v>19</v>
      </c>
      <c r="K502" s="2" t="s">
        <v>353</v>
      </c>
      <c r="L502" s="7" t="str">
        <f>HYPERLINK("http://slimages.macys.com/is/image/MCY/11936020 ")</f>
        <v xml:space="preserve">http://slimages.macys.com/is/image/MCY/11936020 </v>
      </c>
    </row>
    <row r="503" spans="1:12" ht="24.75" x14ac:dyDescent="0.25">
      <c r="A503" s="4" t="s">
        <v>1352</v>
      </c>
      <c r="B503" s="2" t="s">
        <v>1318</v>
      </c>
      <c r="C503" s="3">
        <v>1</v>
      </c>
      <c r="D503" s="5">
        <v>24.99</v>
      </c>
      <c r="E503" s="3" t="s">
        <v>1321</v>
      </c>
      <c r="F503" s="2" t="s">
        <v>506</v>
      </c>
      <c r="G503" s="6" t="s">
        <v>141</v>
      </c>
      <c r="H503" s="2" t="s">
        <v>228</v>
      </c>
      <c r="I503" s="2" t="s">
        <v>229</v>
      </c>
      <c r="J503" s="2" t="s">
        <v>19</v>
      </c>
      <c r="K503" s="2" t="s">
        <v>253</v>
      </c>
      <c r="L503" s="7" t="str">
        <f>HYPERLINK("http://slimages.macys.com/is/image/MCY/8296032 ")</f>
        <v xml:space="preserve">http://slimages.macys.com/is/image/MCY/8296032 </v>
      </c>
    </row>
    <row r="504" spans="1:12" ht="24.75" x14ac:dyDescent="0.25">
      <c r="A504" s="4" t="s">
        <v>3880</v>
      </c>
      <c r="B504" s="2" t="s">
        <v>1318</v>
      </c>
      <c r="C504" s="3">
        <v>1</v>
      </c>
      <c r="D504" s="5">
        <v>24.99</v>
      </c>
      <c r="E504" s="3" t="s">
        <v>1321</v>
      </c>
      <c r="F504" s="2" t="s">
        <v>506</v>
      </c>
      <c r="G504" s="6" t="s">
        <v>27</v>
      </c>
      <c r="H504" s="2" t="s">
        <v>228</v>
      </c>
      <c r="I504" s="2" t="s">
        <v>229</v>
      </c>
      <c r="J504" s="2" t="s">
        <v>19</v>
      </c>
      <c r="K504" s="2" t="s">
        <v>253</v>
      </c>
      <c r="L504" s="7" t="str">
        <f>HYPERLINK("http://slimages.macys.com/is/image/MCY/8296032 ")</f>
        <v xml:space="preserve">http://slimages.macys.com/is/image/MCY/8296032 </v>
      </c>
    </row>
    <row r="505" spans="1:12" ht="24.75" x14ac:dyDescent="0.25">
      <c r="A505" s="4" t="s">
        <v>8176</v>
      </c>
      <c r="B505" s="2" t="s">
        <v>1318</v>
      </c>
      <c r="C505" s="3">
        <v>1</v>
      </c>
      <c r="D505" s="5">
        <v>24.99</v>
      </c>
      <c r="E505" s="3" t="s">
        <v>1321</v>
      </c>
      <c r="F505" s="2" t="s">
        <v>70</v>
      </c>
      <c r="G505" s="6" t="s">
        <v>58</v>
      </c>
      <c r="H505" s="2" t="s">
        <v>228</v>
      </c>
      <c r="I505" s="2" t="s">
        <v>229</v>
      </c>
      <c r="J505" s="2" t="s">
        <v>19</v>
      </c>
      <c r="K505" s="2" t="s">
        <v>253</v>
      </c>
      <c r="L505" s="7" t="str">
        <f>HYPERLINK("http://slimages.macys.com/is/image/MCY/9029356 ")</f>
        <v xml:space="preserve">http://slimages.macys.com/is/image/MCY/9029356 </v>
      </c>
    </row>
    <row r="506" spans="1:12" ht="24.75" x14ac:dyDescent="0.25">
      <c r="A506" s="4" t="s">
        <v>6646</v>
      </c>
      <c r="B506" s="2" t="s">
        <v>1253</v>
      </c>
      <c r="C506" s="3">
        <v>1</v>
      </c>
      <c r="D506" s="5">
        <v>24.99</v>
      </c>
      <c r="E506" s="3" t="s">
        <v>2688</v>
      </c>
      <c r="F506" s="2" t="s">
        <v>506</v>
      </c>
      <c r="G506" s="6" t="s">
        <v>802</v>
      </c>
      <c r="H506" s="2" t="s">
        <v>426</v>
      </c>
      <c r="I506" s="2" t="s">
        <v>863</v>
      </c>
      <c r="J506" s="2" t="s">
        <v>19</v>
      </c>
      <c r="K506" s="2" t="s">
        <v>253</v>
      </c>
      <c r="L506" s="7" t="str">
        <f>HYPERLINK("http://slimages.macys.com/is/image/MCY/9029356 ")</f>
        <v xml:space="preserve">http://slimages.macys.com/is/image/MCY/9029356 </v>
      </c>
    </row>
    <row r="507" spans="1:12" ht="24.75" x14ac:dyDescent="0.25">
      <c r="A507" s="4" t="s">
        <v>8177</v>
      </c>
      <c r="B507" s="2" t="s">
        <v>1253</v>
      </c>
      <c r="C507" s="3">
        <v>2</v>
      </c>
      <c r="D507" s="5">
        <v>24.99</v>
      </c>
      <c r="E507" s="3" t="s">
        <v>2688</v>
      </c>
      <c r="F507" s="2" t="s">
        <v>506</v>
      </c>
      <c r="G507" s="6" t="s">
        <v>336</v>
      </c>
      <c r="H507" s="2" t="s">
        <v>426</v>
      </c>
      <c r="I507" s="2" t="s">
        <v>863</v>
      </c>
      <c r="J507" s="2" t="s">
        <v>19</v>
      </c>
      <c r="K507" s="2" t="s">
        <v>253</v>
      </c>
      <c r="L507" s="7" t="str">
        <f>HYPERLINK("http://slimages.macys.com/is/image/MCY/9029356 ")</f>
        <v xml:space="preserve">http://slimages.macys.com/is/image/MCY/9029356 </v>
      </c>
    </row>
    <row r="508" spans="1:12" ht="24.75" x14ac:dyDescent="0.25">
      <c r="A508" s="4" t="s">
        <v>7475</v>
      </c>
      <c r="B508" s="2" t="s">
        <v>1253</v>
      </c>
      <c r="C508" s="3">
        <v>1</v>
      </c>
      <c r="D508" s="5">
        <v>24.99</v>
      </c>
      <c r="E508" s="3" t="s">
        <v>2688</v>
      </c>
      <c r="F508" s="2" t="s">
        <v>506</v>
      </c>
      <c r="G508" s="6" t="s">
        <v>238</v>
      </c>
      <c r="H508" s="2" t="s">
        <v>426</v>
      </c>
      <c r="I508" s="2" t="s">
        <v>863</v>
      </c>
      <c r="J508" s="2" t="s">
        <v>19</v>
      </c>
      <c r="K508" s="2" t="s">
        <v>253</v>
      </c>
      <c r="L508" s="7" t="str">
        <f>HYPERLINK("http://slimages.macys.com/is/image/MCY/9029356 ")</f>
        <v xml:space="preserve">http://slimages.macys.com/is/image/MCY/9029356 </v>
      </c>
    </row>
    <row r="509" spans="1:12" ht="24.75" x14ac:dyDescent="0.25">
      <c r="A509" s="4" t="s">
        <v>8178</v>
      </c>
      <c r="B509" s="2" t="s">
        <v>1318</v>
      </c>
      <c r="C509" s="3">
        <v>1</v>
      </c>
      <c r="D509" s="5">
        <v>24.99</v>
      </c>
      <c r="E509" s="3">
        <v>100039649</v>
      </c>
      <c r="F509" s="2" t="s">
        <v>417</v>
      </c>
      <c r="G509" s="6" t="s">
        <v>141</v>
      </c>
      <c r="H509" s="2" t="s">
        <v>228</v>
      </c>
      <c r="I509" s="2" t="s">
        <v>863</v>
      </c>
      <c r="J509" s="2" t="s">
        <v>19</v>
      </c>
      <c r="K509" s="2" t="s">
        <v>2703</v>
      </c>
      <c r="L509" s="7" t="str">
        <f>HYPERLINK("http://slimages.macys.com/is/image/MCY/12667245 ")</f>
        <v xml:space="preserve">http://slimages.macys.com/is/image/MCY/12667245 </v>
      </c>
    </row>
    <row r="510" spans="1:12" ht="24.75" x14ac:dyDescent="0.25">
      <c r="A510" s="4" t="s">
        <v>5878</v>
      </c>
      <c r="B510" s="2" t="s">
        <v>1356</v>
      </c>
      <c r="C510" s="3">
        <v>2</v>
      </c>
      <c r="D510" s="5">
        <v>29.99</v>
      </c>
      <c r="E510" s="3">
        <v>100045815</v>
      </c>
      <c r="F510" s="2" t="s">
        <v>26</v>
      </c>
      <c r="G510" s="6" t="s">
        <v>27</v>
      </c>
      <c r="H510" s="2" t="s">
        <v>228</v>
      </c>
      <c r="I510" s="2" t="s">
        <v>229</v>
      </c>
      <c r="J510" s="2" t="s">
        <v>19</v>
      </c>
      <c r="K510" s="2" t="s">
        <v>353</v>
      </c>
      <c r="L510" s="7" t="str">
        <f>HYPERLINK("http://slimages.macys.com/is/image/MCY/11936020 ")</f>
        <v xml:space="preserve">http://slimages.macys.com/is/image/MCY/11936020 </v>
      </c>
    </row>
    <row r="511" spans="1:12" ht="24.75" x14ac:dyDescent="0.25">
      <c r="A511" s="4" t="s">
        <v>6633</v>
      </c>
      <c r="B511" s="2" t="s">
        <v>1356</v>
      </c>
      <c r="C511" s="3">
        <v>1</v>
      </c>
      <c r="D511" s="5">
        <v>34.5</v>
      </c>
      <c r="E511" s="3">
        <v>100045813</v>
      </c>
      <c r="F511" s="2" t="s">
        <v>111</v>
      </c>
      <c r="G511" s="6" t="s">
        <v>141</v>
      </c>
      <c r="H511" s="2" t="s">
        <v>228</v>
      </c>
      <c r="I511" s="2" t="s">
        <v>229</v>
      </c>
      <c r="J511" s="2" t="s">
        <v>19</v>
      </c>
      <c r="K511" s="2" t="s">
        <v>353</v>
      </c>
      <c r="L511" s="7" t="str">
        <f>HYPERLINK("http://slimages.macys.com/is/image/MCY/11936020 ")</f>
        <v xml:space="preserve">http://slimages.macys.com/is/image/MCY/11936020 </v>
      </c>
    </row>
    <row r="512" spans="1:12" ht="24.75" x14ac:dyDescent="0.25">
      <c r="A512" s="4" t="s">
        <v>8179</v>
      </c>
      <c r="B512" s="2" t="s">
        <v>1318</v>
      </c>
      <c r="C512" s="3">
        <v>1</v>
      </c>
      <c r="D512" s="5">
        <v>24.99</v>
      </c>
      <c r="E512" s="3" t="s">
        <v>1321</v>
      </c>
      <c r="F512" s="2" t="s">
        <v>376</v>
      </c>
      <c r="G512" s="6" t="s">
        <v>58</v>
      </c>
      <c r="H512" s="2" t="s">
        <v>228</v>
      </c>
      <c r="I512" s="2" t="s">
        <v>229</v>
      </c>
      <c r="J512" s="2" t="s">
        <v>19</v>
      </c>
      <c r="K512" s="2" t="s">
        <v>253</v>
      </c>
      <c r="L512" s="7" t="str">
        <f>HYPERLINK("http://slimages.macys.com/is/image/MCY/9029356 ")</f>
        <v xml:space="preserve">http://slimages.macys.com/is/image/MCY/9029356 </v>
      </c>
    </row>
    <row r="513" spans="1:12" ht="24.75" x14ac:dyDescent="0.25">
      <c r="A513" s="4" t="s">
        <v>5885</v>
      </c>
      <c r="B513" s="2" t="s">
        <v>1318</v>
      </c>
      <c r="C513" s="3">
        <v>1</v>
      </c>
      <c r="D513" s="5">
        <v>24.99</v>
      </c>
      <c r="E513" s="3" t="s">
        <v>1321</v>
      </c>
      <c r="F513" s="2" t="s">
        <v>70</v>
      </c>
      <c r="G513" s="6" t="s">
        <v>112</v>
      </c>
      <c r="H513" s="2" t="s">
        <v>228</v>
      </c>
      <c r="I513" s="2" t="s">
        <v>229</v>
      </c>
      <c r="J513" s="2" t="s">
        <v>19</v>
      </c>
      <c r="K513" s="2" t="s">
        <v>253</v>
      </c>
      <c r="L513" s="7" t="str">
        <f>HYPERLINK("http://slimages.macys.com/is/image/MCY/9029356 ")</f>
        <v xml:space="preserve">http://slimages.macys.com/is/image/MCY/9029356 </v>
      </c>
    </row>
    <row r="514" spans="1:12" ht="24.75" x14ac:dyDescent="0.25">
      <c r="A514" s="4" t="s">
        <v>8180</v>
      </c>
      <c r="B514" s="2" t="s">
        <v>1373</v>
      </c>
      <c r="C514" s="3">
        <v>1</v>
      </c>
      <c r="D514" s="5">
        <v>37.130000000000003</v>
      </c>
      <c r="E514" s="3" t="s">
        <v>1374</v>
      </c>
      <c r="F514" s="2" t="s">
        <v>1322</v>
      </c>
      <c r="G514" s="6" t="s">
        <v>245</v>
      </c>
      <c r="H514" s="2" t="s">
        <v>194</v>
      </c>
      <c r="I514" s="2" t="s">
        <v>195</v>
      </c>
      <c r="J514" s="2" t="s">
        <v>19</v>
      </c>
      <c r="K514" s="2" t="s">
        <v>247</v>
      </c>
      <c r="L514" s="7" t="str">
        <f>HYPERLINK("http://slimages.macys.com/is/image/MCY/12034795 ")</f>
        <v xml:space="preserve">http://slimages.macys.com/is/image/MCY/12034795 </v>
      </c>
    </row>
    <row r="515" spans="1:12" ht="24.75" x14ac:dyDescent="0.25">
      <c r="A515" s="4" t="s">
        <v>8181</v>
      </c>
      <c r="B515" s="2" t="s">
        <v>1330</v>
      </c>
      <c r="C515" s="3">
        <v>1</v>
      </c>
      <c r="D515" s="5">
        <v>37.130000000000003</v>
      </c>
      <c r="E515" s="3" t="s">
        <v>1331</v>
      </c>
      <c r="F515" s="2" t="s">
        <v>170</v>
      </c>
      <c r="G515" s="6" t="s">
        <v>245</v>
      </c>
      <c r="H515" s="2" t="s">
        <v>194</v>
      </c>
      <c r="I515" s="2" t="s">
        <v>195</v>
      </c>
      <c r="J515" s="2" t="s">
        <v>19</v>
      </c>
      <c r="K515" s="2" t="s">
        <v>247</v>
      </c>
      <c r="L515" s="7" t="str">
        <f>HYPERLINK("http://slimages.macys.com/is/image/MCY/10889638 ")</f>
        <v xml:space="preserve">http://slimages.macys.com/is/image/MCY/10889638 </v>
      </c>
    </row>
    <row r="516" spans="1:12" ht="24.75" x14ac:dyDescent="0.25">
      <c r="A516" s="4" t="s">
        <v>2710</v>
      </c>
      <c r="B516" s="2" t="s">
        <v>1330</v>
      </c>
      <c r="C516" s="3">
        <v>1</v>
      </c>
      <c r="D516" s="5">
        <v>37.130000000000003</v>
      </c>
      <c r="E516" s="3" t="s">
        <v>1331</v>
      </c>
      <c r="F516" s="2" t="s">
        <v>125</v>
      </c>
      <c r="G516" s="6" t="s">
        <v>234</v>
      </c>
      <c r="H516" s="2" t="s">
        <v>194</v>
      </c>
      <c r="I516" s="2" t="s">
        <v>195</v>
      </c>
      <c r="J516" s="2" t="s">
        <v>19</v>
      </c>
      <c r="K516" s="2" t="s">
        <v>247</v>
      </c>
      <c r="L516" s="7" t="str">
        <f>HYPERLINK("http://slimages.macys.com/is/image/MCY/10889638 ")</f>
        <v xml:space="preserve">http://slimages.macys.com/is/image/MCY/10889638 </v>
      </c>
    </row>
    <row r="517" spans="1:12" ht="24.75" x14ac:dyDescent="0.25">
      <c r="A517" s="4" t="s">
        <v>1376</v>
      </c>
      <c r="B517" s="2" t="s">
        <v>1330</v>
      </c>
      <c r="C517" s="3">
        <v>2</v>
      </c>
      <c r="D517" s="5">
        <v>37.130000000000003</v>
      </c>
      <c r="E517" s="3" t="s">
        <v>1331</v>
      </c>
      <c r="F517" s="2" t="s">
        <v>125</v>
      </c>
      <c r="G517" s="6" t="s">
        <v>181</v>
      </c>
      <c r="H517" s="2" t="s">
        <v>194</v>
      </c>
      <c r="I517" s="2" t="s">
        <v>195</v>
      </c>
      <c r="J517" s="2" t="s">
        <v>19</v>
      </c>
      <c r="K517" s="2" t="s">
        <v>247</v>
      </c>
      <c r="L517" s="7" t="str">
        <f>HYPERLINK("http://slimages.macys.com/is/image/MCY/10889638 ")</f>
        <v xml:space="preserve">http://slimages.macys.com/is/image/MCY/10889638 </v>
      </c>
    </row>
    <row r="518" spans="1:12" ht="24.75" x14ac:dyDescent="0.25">
      <c r="A518" s="4" t="s">
        <v>1380</v>
      </c>
      <c r="B518" s="2" t="s">
        <v>1381</v>
      </c>
      <c r="C518" s="3">
        <v>3</v>
      </c>
      <c r="D518" s="5">
        <v>37.130000000000003</v>
      </c>
      <c r="E518" s="3" t="s">
        <v>1382</v>
      </c>
      <c r="F518" s="2" t="s">
        <v>170</v>
      </c>
      <c r="G518" s="6" t="s">
        <v>181</v>
      </c>
      <c r="H518" s="2" t="s">
        <v>194</v>
      </c>
      <c r="I518" s="2" t="s">
        <v>195</v>
      </c>
      <c r="J518" s="2" t="s">
        <v>19</v>
      </c>
      <c r="K518" s="2" t="s">
        <v>247</v>
      </c>
      <c r="L518" s="7" t="str">
        <f>HYPERLINK("http://slimages.macys.com/is/image/MCY/12668006 ")</f>
        <v xml:space="preserve">http://slimages.macys.com/is/image/MCY/12668006 </v>
      </c>
    </row>
    <row r="519" spans="1:12" ht="24.75" x14ac:dyDescent="0.25">
      <c r="A519" s="4" t="s">
        <v>8182</v>
      </c>
      <c r="B519" s="2" t="s">
        <v>1385</v>
      </c>
      <c r="C519" s="3">
        <v>1</v>
      </c>
      <c r="D519" s="5">
        <v>37.130000000000003</v>
      </c>
      <c r="E519" s="3">
        <v>100022370</v>
      </c>
      <c r="F519" s="2" t="s">
        <v>38</v>
      </c>
      <c r="G519" s="6" t="s">
        <v>156</v>
      </c>
      <c r="H519" s="2" t="s">
        <v>194</v>
      </c>
      <c r="I519" s="2" t="s">
        <v>195</v>
      </c>
      <c r="J519" s="2" t="s">
        <v>19</v>
      </c>
      <c r="K519" s="2" t="s">
        <v>247</v>
      </c>
      <c r="L519" s="7" t="str">
        <f>HYPERLINK("http://slimages.macys.com/is/image/MCY/12280159 ")</f>
        <v xml:space="preserve">http://slimages.macys.com/is/image/MCY/12280159 </v>
      </c>
    </row>
    <row r="520" spans="1:12" ht="24.75" x14ac:dyDescent="0.25">
      <c r="A520" s="4" t="s">
        <v>2712</v>
      </c>
      <c r="B520" s="2" t="s">
        <v>1381</v>
      </c>
      <c r="C520" s="3">
        <v>1</v>
      </c>
      <c r="D520" s="5">
        <v>37.130000000000003</v>
      </c>
      <c r="E520" s="3" t="s">
        <v>1382</v>
      </c>
      <c r="F520" s="2" t="s">
        <v>170</v>
      </c>
      <c r="G520" s="6" t="s">
        <v>245</v>
      </c>
      <c r="H520" s="2" t="s">
        <v>194</v>
      </c>
      <c r="I520" s="2" t="s">
        <v>195</v>
      </c>
      <c r="J520" s="2" t="s">
        <v>19</v>
      </c>
      <c r="K520" s="2" t="s">
        <v>247</v>
      </c>
      <c r="L520" s="7" t="str">
        <f>HYPERLINK("http://slimages.macys.com/is/image/MCY/12668006 ")</f>
        <v xml:space="preserve">http://slimages.macys.com/is/image/MCY/12668006 </v>
      </c>
    </row>
    <row r="521" spans="1:12" ht="24.75" x14ac:dyDescent="0.25">
      <c r="A521" s="4" t="s">
        <v>8183</v>
      </c>
      <c r="B521" s="2" t="s">
        <v>8184</v>
      </c>
      <c r="C521" s="3">
        <v>1</v>
      </c>
      <c r="D521" s="5">
        <v>37.130000000000003</v>
      </c>
      <c r="E521" s="3">
        <v>78064</v>
      </c>
      <c r="F521" s="2" t="s">
        <v>125</v>
      </c>
      <c r="G521" s="6" t="s">
        <v>154</v>
      </c>
      <c r="H521" s="2" t="s">
        <v>194</v>
      </c>
      <c r="I521" s="2" t="s">
        <v>195</v>
      </c>
      <c r="J521" s="2" t="s">
        <v>19</v>
      </c>
      <c r="K521" s="2" t="s">
        <v>247</v>
      </c>
      <c r="L521" s="7" t="str">
        <f>HYPERLINK("http://slimages.macys.com/is/image/MCY/3467426 ")</f>
        <v xml:space="preserve">http://slimages.macys.com/is/image/MCY/3467426 </v>
      </c>
    </row>
    <row r="522" spans="1:12" ht="24.75" x14ac:dyDescent="0.25">
      <c r="A522" s="4" t="s">
        <v>1383</v>
      </c>
      <c r="B522" s="2" t="s">
        <v>1381</v>
      </c>
      <c r="C522" s="3">
        <v>1</v>
      </c>
      <c r="D522" s="5">
        <v>37.130000000000003</v>
      </c>
      <c r="E522" s="3" t="s">
        <v>1382</v>
      </c>
      <c r="F522" s="2" t="s">
        <v>170</v>
      </c>
      <c r="G522" s="6" t="s">
        <v>156</v>
      </c>
      <c r="H522" s="2" t="s">
        <v>194</v>
      </c>
      <c r="I522" s="2" t="s">
        <v>195</v>
      </c>
      <c r="J522" s="2" t="s">
        <v>19</v>
      </c>
      <c r="K522" s="2" t="s">
        <v>247</v>
      </c>
      <c r="L522" s="7" t="str">
        <f>HYPERLINK("http://slimages.macys.com/is/image/MCY/12668006 ")</f>
        <v xml:space="preserve">http://slimages.macys.com/is/image/MCY/12668006 </v>
      </c>
    </row>
    <row r="523" spans="1:12" ht="24.75" x14ac:dyDescent="0.25">
      <c r="A523" s="4" t="s">
        <v>2707</v>
      </c>
      <c r="B523" s="2" t="s">
        <v>1381</v>
      </c>
      <c r="C523" s="3">
        <v>1</v>
      </c>
      <c r="D523" s="5">
        <v>37.130000000000003</v>
      </c>
      <c r="E523" s="3" t="s">
        <v>1382</v>
      </c>
      <c r="F523" s="2" t="s">
        <v>170</v>
      </c>
      <c r="G523" s="6" t="s">
        <v>234</v>
      </c>
      <c r="H523" s="2" t="s">
        <v>194</v>
      </c>
      <c r="I523" s="2" t="s">
        <v>195</v>
      </c>
      <c r="J523" s="2" t="s">
        <v>19</v>
      </c>
      <c r="K523" s="2" t="s">
        <v>247</v>
      </c>
      <c r="L523" s="7" t="str">
        <f>HYPERLINK("http://slimages.macys.com/is/image/MCY/12668006 ")</f>
        <v xml:space="preserve">http://slimages.macys.com/is/image/MCY/12668006 </v>
      </c>
    </row>
    <row r="524" spans="1:12" ht="24.75" x14ac:dyDescent="0.25">
      <c r="A524" s="4" t="s">
        <v>8185</v>
      </c>
      <c r="B524" s="2" t="s">
        <v>8186</v>
      </c>
      <c r="C524" s="3">
        <v>1</v>
      </c>
      <c r="D524" s="5">
        <v>27.99</v>
      </c>
      <c r="E524" s="3" t="s">
        <v>8187</v>
      </c>
      <c r="F524" s="2" t="s">
        <v>74</v>
      </c>
      <c r="G524" s="6" t="s">
        <v>234</v>
      </c>
      <c r="H524" s="2" t="s">
        <v>1522</v>
      </c>
      <c r="I524" s="2" t="s">
        <v>1469</v>
      </c>
      <c r="J524" s="2" t="s">
        <v>19</v>
      </c>
      <c r="K524" s="2" t="s">
        <v>353</v>
      </c>
      <c r="L524" s="7" t="str">
        <f>HYPERLINK("http://slimages.macys.com/is/image/MCY/12144601 ")</f>
        <v xml:space="preserve">http://slimages.macys.com/is/image/MCY/12144601 </v>
      </c>
    </row>
    <row r="525" spans="1:12" ht="36.75" x14ac:dyDescent="0.25">
      <c r="A525" s="4" t="s">
        <v>4962</v>
      </c>
      <c r="B525" s="2" t="s">
        <v>2351</v>
      </c>
      <c r="C525" s="3">
        <v>1</v>
      </c>
      <c r="D525" s="5">
        <v>29.63</v>
      </c>
      <c r="E525" s="3" t="s">
        <v>4963</v>
      </c>
      <c r="F525" s="2" t="s">
        <v>752</v>
      </c>
      <c r="G525" s="6" t="s">
        <v>234</v>
      </c>
      <c r="H525" s="2" t="s">
        <v>194</v>
      </c>
      <c r="I525" s="2" t="s">
        <v>195</v>
      </c>
      <c r="J525" s="2" t="s">
        <v>19</v>
      </c>
      <c r="K525" s="2" t="s">
        <v>1390</v>
      </c>
      <c r="L525" s="7" t="str">
        <f>HYPERLINK("http://slimages.macys.com/is/image/MCY/12950203 ")</f>
        <v xml:space="preserve">http://slimages.macys.com/is/image/MCY/12950203 </v>
      </c>
    </row>
    <row r="526" spans="1:12" ht="36.75" x14ac:dyDescent="0.25">
      <c r="A526" s="4" t="s">
        <v>1387</v>
      </c>
      <c r="B526" s="2" t="s">
        <v>1388</v>
      </c>
      <c r="C526" s="3">
        <v>2</v>
      </c>
      <c r="D526" s="5">
        <v>29.63</v>
      </c>
      <c r="E526" s="3" t="s">
        <v>1389</v>
      </c>
      <c r="F526" s="2" t="s">
        <v>111</v>
      </c>
      <c r="G526" s="6" t="s">
        <v>154</v>
      </c>
      <c r="H526" s="2" t="s">
        <v>194</v>
      </c>
      <c r="I526" s="2" t="s">
        <v>195</v>
      </c>
      <c r="J526" s="2" t="s">
        <v>19</v>
      </c>
      <c r="K526" s="2" t="s">
        <v>1390</v>
      </c>
      <c r="L526" s="7" t="str">
        <f>HYPERLINK("http://slimages.macys.com/is/image/MCY/12734335 ")</f>
        <v xml:space="preserve">http://slimages.macys.com/is/image/MCY/12734335 </v>
      </c>
    </row>
    <row r="527" spans="1:12" ht="36.75" x14ac:dyDescent="0.25">
      <c r="A527" s="4" t="s">
        <v>1391</v>
      </c>
      <c r="B527" s="2" t="s">
        <v>1388</v>
      </c>
      <c r="C527" s="3">
        <v>3</v>
      </c>
      <c r="D527" s="5">
        <v>29.63</v>
      </c>
      <c r="E527" s="3" t="s">
        <v>1389</v>
      </c>
      <c r="F527" s="2" t="s">
        <v>111</v>
      </c>
      <c r="G527" s="6" t="s">
        <v>181</v>
      </c>
      <c r="H527" s="2" t="s">
        <v>194</v>
      </c>
      <c r="I527" s="2" t="s">
        <v>195</v>
      </c>
      <c r="J527" s="2" t="s">
        <v>19</v>
      </c>
      <c r="K527" s="2" t="s">
        <v>1390</v>
      </c>
      <c r="L527" s="7" t="str">
        <f>HYPERLINK("http://slimages.macys.com/is/image/MCY/12734335 ")</f>
        <v xml:space="preserve">http://slimages.macys.com/is/image/MCY/12734335 </v>
      </c>
    </row>
    <row r="528" spans="1:12" ht="24.75" x14ac:dyDescent="0.25">
      <c r="A528" s="4" t="s">
        <v>8188</v>
      </c>
      <c r="B528" s="2" t="s">
        <v>1394</v>
      </c>
      <c r="C528" s="3">
        <v>2</v>
      </c>
      <c r="D528" s="5">
        <v>37.130000000000003</v>
      </c>
      <c r="E528" s="3" t="s">
        <v>1395</v>
      </c>
      <c r="F528" s="2" t="s">
        <v>33</v>
      </c>
      <c r="G528" s="6" t="s">
        <v>200</v>
      </c>
      <c r="H528" s="2" t="s">
        <v>194</v>
      </c>
      <c r="I528" s="2" t="s">
        <v>195</v>
      </c>
      <c r="J528" s="2" t="s">
        <v>19</v>
      </c>
      <c r="K528" s="2" t="s">
        <v>34</v>
      </c>
      <c r="L528" s="7" t="str">
        <f>HYPERLINK("http://slimages.macys.com/is/image/MCY/13367997 ")</f>
        <v xml:space="preserve">http://slimages.macys.com/is/image/MCY/13367997 </v>
      </c>
    </row>
    <row r="529" spans="1:12" ht="36.75" x14ac:dyDescent="0.25">
      <c r="A529" s="4" t="s">
        <v>8189</v>
      </c>
      <c r="B529" s="2" t="s">
        <v>8190</v>
      </c>
      <c r="C529" s="3">
        <v>1</v>
      </c>
      <c r="D529" s="5">
        <v>40.880000000000003</v>
      </c>
      <c r="E529" s="3" t="s">
        <v>8191</v>
      </c>
      <c r="F529" s="2" t="s">
        <v>417</v>
      </c>
      <c r="G529" s="6" t="s">
        <v>106</v>
      </c>
      <c r="H529" s="2" t="s">
        <v>246</v>
      </c>
      <c r="I529" s="2" t="s">
        <v>487</v>
      </c>
      <c r="J529" s="2" t="s">
        <v>19</v>
      </c>
      <c r="K529" s="2" t="s">
        <v>8192</v>
      </c>
      <c r="L529" s="7" t="str">
        <f>HYPERLINK("http://slimages.macys.com/is/image/MCY/11517817 ")</f>
        <v xml:space="preserve">http://slimages.macys.com/is/image/MCY/11517817 </v>
      </c>
    </row>
    <row r="530" spans="1:12" ht="24.75" x14ac:dyDescent="0.25">
      <c r="A530" s="4" t="s">
        <v>6656</v>
      </c>
      <c r="B530" s="2" t="s">
        <v>1394</v>
      </c>
      <c r="C530" s="3">
        <v>3</v>
      </c>
      <c r="D530" s="5">
        <v>37.130000000000003</v>
      </c>
      <c r="E530" s="3" t="s">
        <v>1395</v>
      </c>
      <c r="F530" s="2" t="s">
        <v>33</v>
      </c>
      <c r="G530" s="6" t="s">
        <v>156</v>
      </c>
      <c r="H530" s="2" t="s">
        <v>194</v>
      </c>
      <c r="I530" s="2" t="s">
        <v>195</v>
      </c>
      <c r="J530" s="2" t="s">
        <v>19</v>
      </c>
      <c r="K530" s="2" t="s">
        <v>34</v>
      </c>
      <c r="L530" s="7" t="str">
        <f>HYPERLINK("http://slimages.macys.com/is/image/MCY/13367997 ")</f>
        <v xml:space="preserve">http://slimages.macys.com/is/image/MCY/13367997 </v>
      </c>
    </row>
    <row r="531" spans="1:12" ht="24.75" x14ac:dyDescent="0.25">
      <c r="A531" s="4" t="s">
        <v>8193</v>
      </c>
      <c r="B531" s="2" t="s">
        <v>1271</v>
      </c>
      <c r="C531" s="3">
        <v>1</v>
      </c>
      <c r="D531" s="5">
        <v>33.380000000000003</v>
      </c>
      <c r="E531" s="3" t="s">
        <v>1272</v>
      </c>
      <c r="F531" s="2" t="s">
        <v>74</v>
      </c>
      <c r="G531" s="6" t="s">
        <v>234</v>
      </c>
      <c r="H531" s="2" t="s">
        <v>246</v>
      </c>
      <c r="I531" s="2" t="s">
        <v>189</v>
      </c>
      <c r="J531" s="2" t="s">
        <v>19</v>
      </c>
      <c r="K531" s="2" t="s">
        <v>803</v>
      </c>
      <c r="L531" s="7" t="str">
        <f>HYPERLINK("http://slimages.macys.com/is/image/MCY/11940179 ")</f>
        <v xml:space="preserve">http://slimages.macys.com/is/image/MCY/11940179 </v>
      </c>
    </row>
    <row r="532" spans="1:12" ht="60.75" x14ac:dyDescent="0.25">
      <c r="A532" s="4" t="s">
        <v>1400</v>
      </c>
      <c r="B532" s="2" t="s">
        <v>1397</v>
      </c>
      <c r="C532" s="3">
        <v>1</v>
      </c>
      <c r="D532" s="5">
        <v>29.63</v>
      </c>
      <c r="E532" s="3">
        <v>100022669</v>
      </c>
      <c r="F532" s="2" t="s">
        <v>48</v>
      </c>
      <c r="G532" s="6" t="s">
        <v>234</v>
      </c>
      <c r="H532" s="2" t="s">
        <v>194</v>
      </c>
      <c r="I532" s="2" t="s">
        <v>1398</v>
      </c>
      <c r="J532" s="2" t="s">
        <v>19</v>
      </c>
      <c r="K532" s="2" t="s">
        <v>1399</v>
      </c>
      <c r="L532" s="7" t="str">
        <f>HYPERLINK("http://slimages.macys.com/is/image/MCY/13368177 ")</f>
        <v xml:space="preserve">http://slimages.macys.com/is/image/MCY/13368177 </v>
      </c>
    </row>
    <row r="533" spans="1:12" ht="24.75" x14ac:dyDescent="0.25">
      <c r="A533" s="4" t="s">
        <v>8194</v>
      </c>
      <c r="B533" s="2" t="s">
        <v>7489</v>
      </c>
      <c r="C533" s="3">
        <v>2</v>
      </c>
      <c r="D533" s="5">
        <v>37.130000000000003</v>
      </c>
      <c r="E533" s="3" t="s">
        <v>7490</v>
      </c>
      <c r="F533" s="2" t="s">
        <v>170</v>
      </c>
      <c r="G533" s="6"/>
      <c r="H533" s="2" t="s">
        <v>312</v>
      </c>
      <c r="I533" s="2" t="s">
        <v>195</v>
      </c>
      <c r="J533" s="2" t="s">
        <v>19</v>
      </c>
      <c r="K533" s="2" t="s">
        <v>247</v>
      </c>
      <c r="L533" s="7" t="str">
        <f>HYPERLINK("http://slimages.macys.com/is/image/MCY/12668006 ")</f>
        <v xml:space="preserve">http://slimages.macys.com/is/image/MCY/12668006 </v>
      </c>
    </row>
    <row r="534" spans="1:12" ht="24.75" x14ac:dyDescent="0.25">
      <c r="A534" s="4" t="s">
        <v>8195</v>
      </c>
      <c r="B534" s="2" t="s">
        <v>8196</v>
      </c>
      <c r="C534" s="3">
        <v>1</v>
      </c>
      <c r="D534" s="5">
        <v>37.130000000000003</v>
      </c>
      <c r="E534" s="3" t="s">
        <v>8197</v>
      </c>
      <c r="F534" s="2" t="s">
        <v>74</v>
      </c>
      <c r="G534" s="6"/>
      <c r="H534" s="2" t="s">
        <v>312</v>
      </c>
      <c r="I534" s="2" t="s">
        <v>195</v>
      </c>
      <c r="J534" s="2" t="s">
        <v>19</v>
      </c>
      <c r="K534" s="2" t="s">
        <v>247</v>
      </c>
      <c r="L534" s="7" t="str">
        <f>HYPERLINK("http://slimages.macys.com/is/image/MCY/12668586 ")</f>
        <v xml:space="preserve">http://slimages.macys.com/is/image/MCY/12668586 </v>
      </c>
    </row>
    <row r="535" spans="1:12" ht="24.75" x14ac:dyDescent="0.25">
      <c r="A535" s="4" t="s">
        <v>8198</v>
      </c>
      <c r="B535" s="2" t="s">
        <v>1373</v>
      </c>
      <c r="C535" s="3">
        <v>1</v>
      </c>
      <c r="D535" s="5">
        <v>37.130000000000003</v>
      </c>
      <c r="E535" s="3" t="s">
        <v>7492</v>
      </c>
      <c r="F535" s="2" t="s">
        <v>1322</v>
      </c>
      <c r="G535" s="6"/>
      <c r="H535" s="2" t="s">
        <v>312</v>
      </c>
      <c r="I535" s="2" t="s">
        <v>195</v>
      </c>
      <c r="J535" s="2" t="s">
        <v>19</v>
      </c>
      <c r="K535" s="2" t="s">
        <v>247</v>
      </c>
      <c r="L535" s="7" t="str">
        <f>HYPERLINK("http://slimages.macys.com/is/image/MCY/12034773 ")</f>
        <v xml:space="preserve">http://slimages.macys.com/is/image/MCY/12034773 </v>
      </c>
    </row>
    <row r="536" spans="1:12" ht="24.75" x14ac:dyDescent="0.25">
      <c r="A536" s="4" t="s">
        <v>8199</v>
      </c>
      <c r="B536" s="2" t="s">
        <v>8200</v>
      </c>
      <c r="C536" s="3">
        <v>1</v>
      </c>
      <c r="D536" s="5">
        <v>37.130000000000003</v>
      </c>
      <c r="E536" s="3" t="s">
        <v>8201</v>
      </c>
      <c r="F536" s="2" t="s">
        <v>566</v>
      </c>
      <c r="G536" s="6"/>
      <c r="H536" s="2" t="s">
        <v>312</v>
      </c>
      <c r="I536" s="2" t="s">
        <v>195</v>
      </c>
      <c r="J536" s="2" t="s">
        <v>19</v>
      </c>
      <c r="K536" s="2" t="s">
        <v>247</v>
      </c>
      <c r="L536" s="7" t="str">
        <f>HYPERLINK("http://slimages.macys.com/is/image/MCY/13120693 ")</f>
        <v xml:space="preserve">http://slimages.macys.com/is/image/MCY/13120693 </v>
      </c>
    </row>
    <row r="537" spans="1:12" ht="24.75" x14ac:dyDescent="0.25">
      <c r="A537" s="4" t="s">
        <v>8202</v>
      </c>
      <c r="B537" s="2" t="s">
        <v>6666</v>
      </c>
      <c r="C537" s="3">
        <v>1</v>
      </c>
      <c r="D537" s="5">
        <v>24.99</v>
      </c>
      <c r="E537" s="3">
        <v>100060498</v>
      </c>
      <c r="F537" s="2" t="s">
        <v>33</v>
      </c>
      <c r="G537" s="6" t="s">
        <v>112</v>
      </c>
      <c r="H537" s="2" t="s">
        <v>228</v>
      </c>
      <c r="I537" s="2" t="s">
        <v>857</v>
      </c>
      <c r="J537" s="2" t="s">
        <v>19</v>
      </c>
      <c r="K537" s="2" t="s">
        <v>230</v>
      </c>
      <c r="L537" s="7" t="str">
        <f>HYPERLINK("http://slimages.macys.com/is/image/MCY/12850401 ")</f>
        <v xml:space="preserve">http://slimages.macys.com/is/image/MCY/12850401 </v>
      </c>
    </row>
    <row r="538" spans="1:12" ht="24.75" x14ac:dyDescent="0.25">
      <c r="A538" s="4" t="s">
        <v>1401</v>
      </c>
      <c r="B538" s="2" t="s">
        <v>1402</v>
      </c>
      <c r="C538" s="3">
        <v>1</v>
      </c>
      <c r="D538" s="5">
        <v>37.130000000000003</v>
      </c>
      <c r="E538" s="3" t="s">
        <v>1403</v>
      </c>
      <c r="F538" s="2" t="s">
        <v>376</v>
      </c>
      <c r="G538" s="6" t="s">
        <v>205</v>
      </c>
      <c r="H538" s="2" t="s">
        <v>312</v>
      </c>
      <c r="I538" s="2" t="s">
        <v>195</v>
      </c>
      <c r="J538" s="2" t="s">
        <v>19</v>
      </c>
      <c r="K538" s="2" t="s">
        <v>353</v>
      </c>
      <c r="L538" s="7" t="str">
        <f>HYPERLINK("http://slimages.macys.com/is/image/MCY/11934909 ")</f>
        <v xml:space="preserve">http://slimages.macys.com/is/image/MCY/11934909 </v>
      </c>
    </row>
    <row r="539" spans="1:12" ht="24.75" x14ac:dyDescent="0.25">
      <c r="A539" s="4" t="s">
        <v>1407</v>
      </c>
      <c r="B539" s="2" t="s">
        <v>1405</v>
      </c>
      <c r="C539" s="3">
        <v>2</v>
      </c>
      <c r="D539" s="5">
        <v>34.880000000000003</v>
      </c>
      <c r="E539" s="3">
        <v>100042372</v>
      </c>
      <c r="F539" s="2" t="s">
        <v>94</v>
      </c>
      <c r="G539" s="6" t="s">
        <v>65</v>
      </c>
      <c r="H539" s="2" t="s">
        <v>194</v>
      </c>
      <c r="I539" s="2" t="s">
        <v>195</v>
      </c>
      <c r="J539" s="2" t="s">
        <v>19</v>
      </c>
      <c r="K539" s="2" t="s">
        <v>353</v>
      </c>
      <c r="L539" s="7" t="str">
        <f t="shared" ref="L539:L548" si="3">HYPERLINK("http://slimages.macys.com/is/image/MCY/11935225 ")</f>
        <v xml:space="preserve">http://slimages.macys.com/is/image/MCY/11935225 </v>
      </c>
    </row>
    <row r="540" spans="1:12" ht="24.75" x14ac:dyDescent="0.25">
      <c r="A540" s="4" t="s">
        <v>4977</v>
      </c>
      <c r="B540" s="2" t="s">
        <v>1405</v>
      </c>
      <c r="C540" s="3">
        <v>1</v>
      </c>
      <c r="D540" s="5">
        <v>34.880000000000003</v>
      </c>
      <c r="E540" s="3">
        <v>100042372</v>
      </c>
      <c r="F540" s="2" t="s">
        <v>94</v>
      </c>
      <c r="G540" s="6" t="s">
        <v>112</v>
      </c>
      <c r="H540" s="2" t="s">
        <v>194</v>
      </c>
      <c r="I540" s="2" t="s">
        <v>195</v>
      </c>
      <c r="J540" s="2" t="s">
        <v>19</v>
      </c>
      <c r="K540" s="2" t="s">
        <v>353</v>
      </c>
      <c r="L540" s="7" t="str">
        <f t="shared" si="3"/>
        <v xml:space="preserve">http://slimages.macys.com/is/image/MCY/11935225 </v>
      </c>
    </row>
    <row r="541" spans="1:12" ht="24.75" x14ac:dyDescent="0.25">
      <c r="A541" s="4" t="s">
        <v>4978</v>
      </c>
      <c r="B541" s="2" t="s">
        <v>1405</v>
      </c>
      <c r="C541" s="3">
        <v>1</v>
      </c>
      <c r="D541" s="5">
        <v>34.880000000000003</v>
      </c>
      <c r="E541" s="3">
        <v>100042372</v>
      </c>
      <c r="F541" s="2" t="s">
        <v>94</v>
      </c>
      <c r="G541" s="6" t="s">
        <v>27</v>
      </c>
      <c r="H541" s="2" t="s">
        <v>194</v>
      </c>
      <c r="I541" s="2" t="s">
        <v>195</v>
      </c>
      <c r="J541" s="2" t="s">
        <v>19</v>
      </c>
      <c r="K541" s="2" t="s">
        <v>353</v>
      </c>
      <c r="L541" s="7" t="str">
        <f t="shared" si="3"/>
        <v xml:space="preserve">http://slimages.macys.com/is/image/MCY/11935225 </v>
      </c>
    </row>
    <row r="542" spans="1:12" ht="24.75" x14ac:dyDescent="0.25">
      <c r="A542" s="4" t="s">
        <v>4979</v>
      </c>
      <c r="B542" s="2" t="s">
        <v>1405</v>
      </c>
      <c r="C542" s="3">
        <v>1</v>
      </c>
      <c r="D542" s="5">
        <v>34.880000000000003</v>
      </c>
      <c r="E542" s="3">
        <v>100042372</v>
      </c>
      <c r="F542" s="2" t="s">
        <v>94</v>
      </c>
      <c r="G542" s="6" t="s">
        <v>106</v>
      </c>
      <c r="H542" s="2" t="s">
        <v>194</v>
      </c>
      <c r="I542" s="2" t="s">
        <v>195</v>
      </c>
      <c r="J542" s="2" t="s">
        <v>19</v>
      </c>
      <c r="K542" s="2" t="s">
        <v>353</v>
      </c>
      <c r="L542" s="7" t="str">
        <f t="shared" si="3"/>
        <v xml:space="preserve">http://slimages.macys.com/is/image/MCY/11935225 </v>
      </c>
    </row>
    <row r="543" spans="1:12" ht="24.75" x14ac:dyDescent="0.25">
      <c r="A543" s="4" t="s">
        <v>1404</v>
      </c>
      <c r="B543" s="2" t="s">
        <v>1405</v>
      </c>
      <c r="C543" s="3">
        <v>1</v>
      </c>
      <c r="D543" s="5">
        <v>34.880000000000003</v>
      </c>
      <c r="E543" s="3">
        <v>100042372</v>
      </c>
      <c r="F543" s="2" t="s">
        <v>676</v>
      </c>
      <c r="G543" s="6" t="s">
        <v>27</v>
      </c>
      <c r="H543" s="2" t="s">
        <v>194</v>
      </c>
      <c r="I543" s="2" t="s">
        <v>195</v>
      </c>
      <c r="J543" s="2" t="s">
        <v>19</v>
      </c>
      <c r="K543" s="2" t="s">
        <v>353</v>
      </c>
      <c r="L543" s="7" t="str">
        <f t="shared" si="3"/>
        <v xml:space="preserve">http://slimages.macys.com/is/image/MCY/11935225 </v>
      </c>
    </row>
    <row r="544" spans="1:12" ht="24.75" x14ac:dyDescent="0.25">
      <c r="A544" s="4" t="s">
        <v>8203</v>
      </c>
      <c r="B544" s="2" t="s">
        <v>1405</v>
      </c>
      <c r="C544" s="3">
        <v>2</v>
      </c>
      <c r="D544" s="5">
        <v>34.880000000000003</v>
      </c>
      <c r="E544" s="3">
        <v>100042372</v>
      </c>
      <c r="F544" s="2" t="s">
        <v>676</v>
      </c>
      <c r="G544" s="6" t="s">
        <v>65</v>
      </c>
      <c r="H544" s="2" t="s">
        <v>194</v>
      </c>
      <c r="I544" s="2" t="s">
        <v>195</v>
      </c>
      <c r="J544" s="2" t="s">
        <v>19</v>
      </c>
      <c r="K544" s="2" t="s">
        <v>353</v>
      </c>
      <c r="L544" s="7" t="str">
        <f t="shared" si="3"/>
        <v xml:space="preserve">http://slimages.macys.com/is/image/MCY/11935225 </v>
      </c>
    </row>
    <row r="545" spans="1:12" ht="24.75" x14ac:dyDescent="0.25">
      <c r="A545" s="4" t="s">
        <v>2722</v>
      </c>
      <c r="B545" s="2" t="s">
        <v>1405</v>
      </c>
      <c r="C545" s="3">
        <v>1</v>
      </c>
      <c r="D545" s="5">
        <v>34.880000000000003</v>
      </c>
      <c r="E545" s="3">
        <v>100042372</v>
      </c>
      <c r="F545" s="2" t="s">
        <v>676</v>
      </c>
      <c r="G545" s="6" t="s">
        <v>58</v>
      </c>
      <c r="H545" s="2" t="s">
        <v>194</v>
      </c>
      <c r="I545" s="2" t="s">
        <v>195</v>
      </c>
      <c r="J545" s="2" t="s">
        <v>19</v>
      </c>
      <c r="K545" s="2" t="s">
        <v>353</v>
      </c>
      <c r="L545" s="7" t="str">
        <f t="shared" si="3"/>
        <v xml:space="preserve">http://slimages.macys.com/is/image/MCY/11935225 </v>
      </c>
    </row>
    <row r="546" spans="1:12" ht="24.75" x14ac:dyDescent="0.25">
      <c r="A546" s="4" t="s">
        <v>2724</v>
      </c>
      <c r="B546" s="2" t="s">
        <v>1405</v>
      </c>
      <c r="C546" s="3">
        <v>1</v>
      </c>
      <c r="D546" s="5">
        <v>34.880000000000003</v>
      </c>
      <c r="E546" s="3">
        <v>100042372</v>
      </c>
      <c r="F546" s="2" t="s">
        <v>94</v>
      </c>
      <c r="G546" s="6" t="s">
        <v>22</v>
      </c>
      <c r="H546" s="2" t="s">
        <v>194</v>
      </c>
      <c r="I546" s="2" t="s">
        <v>195</v>
      </c>
      <c r="J546" s="2" t="s">
        <v>19</v>
      </c>
      <c r="K546" s="2" t="s">
        <v>353</v>
      </c>
      <c r="L546" s="7" t="str">
        <f t="shared" si="3"/>
        <v xml:space="preserve">http://slimages.macys.com/is/image/MCY/11935225 </v>
      </c>
    </row>
    <row r="547" spans="1:12" ht="24.75" x14ac:dyDescent="0.25">
      <c r="A547" s="4" t="s">
        <v>2723</v>
      </c>
      <c r="B547" s="2" t="s">
        <v>1405</v>
      </c>
      <c r="C547" s="3">
        <v>1</v>
      </c>
      <c r="D547" s="5">
        <v>34.880000000000003</v>
      </c>
      <c r="E547" s="3">
        <v>100042372</v>
      </c>
      <c r="F547" s="2" t="s">
        <v>676</v>
      </c>
      <c r="G547" s="6" t="s">
        <v>22</v>
      </c>
      <c r="H547" s="2" t="s">
        <v>194</v>
      </c>
      <c r="I547" s="2" t="s">
        <v>195</v>
      </c>
      <c r="J547" s="2" t="s">
        <v>19</v>
      </c>
      <c r="K547" s="2" t="s">
        <v>353</v>
      </c>
      <c r="L547" s="7" t="str">
        <f t="shared" si="3"/>
        <v xml:space="preserve">http://slimages.macys.com/is/image/MCY/11935225 </v>
      </c>
    </row>
    <row r="548" spans="1:12" ht="24.75" x14ac:dyDescent="0.25">
      <c r="A548" s="4" t="s">
        <v>2725</v>
      </c>
      <c r="B548" s="2" t="s">
        <v>1405</v>
      </c>
      <c r="C548" s="3">
        <v>1</v>
      </c>
      <c r="D548" s="5">
        <v>34.880000000000003</v>
      </c>
      <c r="E548" s="3">
        <v>100042372</v>
      </c>
      <c r="F548" s="2" t="s">
        <v>676</v>
      </c>
      <c r="G548" s="6" t="s">
        <v>16</v>
      </c>
      <c r="H548" s="2" t="s">
        <v>194</v>
      </c>
      <c r="I548" s="2" t="s">
        <v>195</v>
      </c>
      <c r="J548" s="2" t="s">
        <v>19</v>
      </c>
      <c r="K548" s="2" t="s">
        <v>353</v>
      </c>
      <c r="L548" s="7" t="str">
        <f t="shared" si="3"/>
        <v xml:space="preserve">http://slimages.macys.com/is/image/MCY/11935225 </v>
      </c>
    </row>
    <row r="549" spans="1:12" ht="36.75" x14ac:dyDescent="0.25">
      <c r="A549" s="4" t="s">
        <v>2727</v>
      </c>
      <c r="B549" s="2" t="s">
        <v>1409</v>
      </c>
      <c r="C549" s="3">
        <v>1</v>
      </c>
      <c r="D549" s="5">
        <v>36.5</v>
      </c>
      <c r="E549" s="3" t="s">
        <v>1410</v>
      </c>
      <c r="F549" s="2" t="s">
        <v>170</v>
      </c>
      <c r="G549" s="6" t="s">
        <v>181</v>
      </c>
      <c r="H549" s="2" t="s">
        <v>194</v>
      </c>
      <c r="I549" s="2" t="s">
        <v>195</v>
      </c>
      <c r="J549" s="2" t="s">
        <v>19</v>
      </c>
      <c r="K549" s="2" t="s">
        <v>1411</v>
      </c>
      <c r="L549" s="7" t="str">
        <f>HYPERLINK("http://slimages.macys.com/is/image/MCY/11702017 ")</f>
        <v xml:space="preserve">http://slimages.macys.com/is/image/MCY/11702017 </v>
      </c>
    </row>
    <row r="550" spans="1:12" ht="36.75" x14ac:dyDescent="0.25">
      <c r="A550" s="4" t="s">
        <v>8204</v>
      </c>
      <c r="B550" s="2" t="s">
        <v>1409</v>
      </c>
      <c r="C550" s="3">
        <v>1</v>
      </c>
      <c r="D550" s="5">
        <v>36.5</v>
      </c>
      <c r="E550" s="3" t="s">
        <v>1410</v>
      </c>
      <c r="F550" s="2" t="s">
        <v>170</v>
      </c>
      <c r="G550" s="6" t="s">
        <v>245</v>
      </c>
      <c r="H550" s="2" t="s">
        <v>194</v>
      </c>
      <c r="I550" s="2" t="s">
        <v>195</v>
      </c>
      <c r="J550" s="2" t="s">
        <v>19</v>
      </c>
      <c r="K550" s="2" t="s">
        <v>1411</v>
      </c>
      <c r="L550" s="7" t="str">
        <f>HYPERLINK("http://slimages.macys.com/is/image/MCY/11702017 ")</f>
        <v xml:space="preserve">http://slimages.macys.com/is/image/MCY/11702017 </v>
      </c>
    </row>
    <row r="551" spans="1:12" ht="36.75" x14ac:dyDescent="0.25">
      <c r="A551" s="4" t="s">
        <v>8205</v>
      </c>
      <c r="B551" s="2" t="s">
        <v>1040</v>
      </c>
      <c r="C551" s="3">
        <v>1</v>
      </c>
      <c r="D551" s="5">
        <v>44.63</v>
      </c>
      <c r="E551" s="3" t="s">
        <v>1041</v>
      </c>
      <c r="F551" s="2" t="s">
        <v>89</v>
      </c>
      <c r="G551" s="6" t="s">
        <v>65</v>
      </c>
      <c r="H551" s="2" t="s">
        <v>246</v>
      </c>
      <c r="I551" s="2" t="s">
        <v>487</v>
      </c>
      <c r="J551" s="2" t="s">
        <v>19</v>
      </c>
      <c r="K551" s="2" t="s">
        <v>500</v>
      </c>
      <c r="L551" s="7" t="str">
        <f>HYPERLINK("http://slimages.macys.com/is/image/MCY/11231757 ")</f>
        <v xml:space="preserve">http://slimages.macys.com/is/image/MCY/11231757 </v>
      </c>
    </row>
    <row r="552" spans="1:12" ht="24.75" x14ac:dyDescent="0.25">
      <c r="A552" s="4" t="s">
        <v>6675</v>
      </c>
      <c r="B552" s="2" t="s">
        <v>1444</v>
      </c>
      <c r="C552" s="3">
        <v>1</v>
      </c>
      <c r="D552" s="5">
        <v>34.880000000000003</v>
      </c>
      <c r="E552" s="3">
        <v>100042376</v>
      </c>
      <c r="F552" s="2" t="s">
        <v>136</v>
      </c>
      <c r="G552" s="6" t="s">
        <v>112</v>
      </c>
      <c r="H552" s="2" t="s">
        <v>194</v>
      </c>
      <c r="I552" s="2" t="s">
        <v>195</v>
      </c>
      <c r="J552" s="2" t="s">
        <v>19</v>
      </c>
      <c r="K552" s="2" t="s">
        <v>353</v>
      </c>
      <c r="L552" s="7" t="str">
        <f>HYPERLINK("http://slimages.macys.com/is/image/MCY/11764758 ")</f>
        <v xml:space="preserve">http://slimages.macys.com/is/image/MCY/11764758 </v>
      </c>
    </row>
    <row r="553" spans="1:12" ht="24.75" x14ac:dyDescent="0.25">
      <c r="A553" s="4" t="s">
        <v>8206</v>
      </c>
      <c r="B553" s="2" t="s">
        <v>1416</v>
      </c>
      <c r="C553" s="3">
        <v>1</v>
      </c>
      <c r="D553" s="5">
        <v>21.99</v>
      </c>
      <c r="E553" s="3" t="s">
        <v>8207</v>
      </c>
      <c r="F553" s="2" t="s">
        <v>752</v>
      </c>
      <c r="G553" s="6" t="s">
        <v>16</v>
      </c>
      <c r="H553" s="2" t="s">
        <v>194</v>
      </c>
      <c r="I553" s="2" t="s">
        <v>195</v>
      </c>
      <c r="J553" s="2" t="s">
        <v>19</v>
      </c>
      <c r="K553" s="2" t="s">
        <v>353</v>
      </c>
      <c r="L553" s="7" t="str">
        <f>HYPERLINK("http://slimages.macys.com/is/image/MCY/8141463 ")</f>
        <v xml:space="preserve">http://slimages.macys.com/is/image/MCY/8141463 </v>
      </c>
    </row>
    <row r="554" spans="1:12" ht="24.75" x14ac:dyDescent="0.25">
      <c r="A554" s="4" t="s">
        <v>2731</v>
      </c>
      <c r="B554" s="2" t="s">
        <v>1444</v>
      </c>
      <c r="C554" s="3">
        <v>1</v>
      </c>
      <c r="D554" s="5">
        <v>34.880000000000003</v>
      </c>
      <c r="E554" s="3">
        <v>100042376</v>
      </c>
      <c r="F554" s="2" t="s">
        <v>136</v>
      </c>
      <c r="G554" s="6" t="s">
        <v>16</v>
      </c>
      <c r="H554" s="2" t="s">
        <v>194</v>
      </c>
      <c r="I554" s="2" t="s">
        <v>195</v>
      </c>
      <c r="J554" s="2" t="s">
        <v>19</v>
      </c>
      <c r="K554" s="2" t="s">
        <v>353</v>
      </c>
      <c r="L554" s="7" t="str">
        <f>HYPERLINK("http://slimages.macys.com/is/image/MCY/11764758 ")</f>
        <v xml:space="preserve">http://slimages.macys.com/is/image/MCY/11764758 </v>
      </c>
    </row>
    <row r="555" spans="1:12" ht="24.75" x14ac:dyDescent="0.25">
      <c r="A555" s="4" t="s">
        <v>8208</v>
      </c>
      <c r="B555" s="2" t="s">
        <v>1444</v>
      </c>
      <c r="C555" s="3">
        <v>1</v>
      </c>
      <c r="D555" s="5">
        <v>34.880000000000003</v>
      </c>
      <c r="E555" s="3">
        <v>100042376</v>
      </c>
      <c r="F555" s="2" t="s">
        <v>64</v>
      </c>
      <c r="G555" s="6" t="s">
        <v>112</v>
      </c>
      <c r="H555" s="2" t="s">
        <v>194</v>
      </c>
      <c r="I555" s="2" t="s">
        <v>195</v>
      </c>
      <c r="J555" s="2" t="s">
        <v>19</v>
      </c>
      <c r="K555" s="2" t="s">
        <v>353</v>
      </c>
      <c r="L555" s="7" t="str">
        <f>HYPERLINK("http://slimages.macys.com/is/image/MCY/11764758 ")</f>
        <v xml:space="preserve">http://slimages.macys.com/is/image/MCY/11764758 </v>
      </c>
    </row>
    <row r="556" spans="1:12" ht="24.75" x14ac:dyDescent="0.25">
      <c r="A556" s="4" t="s">
        <v>1412</v>
      </c>
      <c r="B556" s="2" t="s">
        <v>1413</v>
      </c>
      <c r="C556" s="3">
        <v>1</v>
      </c>
      <c r="D556" s="5">
        <v>29.5</v>
      </c>
      <c r="E556" s="3" t="s">
        <v>1414</v>
      </c>
      <c r="F556" s="2" t="s">
        <v>79</v>
      </c>
      <c r="G556" s="6" t="s">
        <v>154</v>
      </c>
      <c r="H556" s="2" t="s">
        <v>194</v>
      </c>
      <c r="I556" s="2" t="s">
        <v>195</v>
      </c>
      <c r="J556" s="2" t="s">
        <v>19</v>
      </c>
      <c r="K556" s="2" t="s">
        <v>247</v>
      </c>
      <c r="L556" s="7" t="str">
        <f>HYPERLINK("http://slimages.macys.com/is/image/MCY/12063860 ")</f>
        <v xml:space="preserve">http://slimages.macys.com/is/image/MCY/12063860 </v>
      </c>
    </row>
    <row r="557" spans="1:12" ht="24.75" x14ac:dyDescent="0.25">
      <c r="A557" s="4" t="s">
        <v>8209</v>
      </c>
      <c r="B557" s="2" t="s">
        <v>1413</v>
      </c>
      <c r="C557" s="3">
        <v>1</v>
      </c>
      <c r="D557" s="5">
        <v>29.5</v>
      </c>
      <c r="E557" s="3" t="s">
        <v>1414</v>
      </c>
      <c r="F557" s="2" t="s">
        <v>79</v>
      </c>
      <c r="G557" s="6" t="s">
        <v>181</v>
      </c>
      <c r="H557" s="2" t="s">
        <v>194</v>
      </c>
      <c r="I557" s="2" t="s">
        <v>195</v>
      </c>
      <c r="J557" s="2" t="s">
        <v>19</v>
      </c>
      <c r="K557" s="2" t="s">
        <v>247</v>
      </c>
      <c r="L557" s="7" t="str">
        <f>HYPERLINK("http://slimages.macys.com/is/image/MCY/12063860 ")</f>
        <v xml:space="preserve">http://slimages.macys.com/is/image/MCY/12063860 </v>
      </c>
    </row>
    <row r="558" spans="1:12" ht="24.75" x14ac:dyDescent="0.25">
      <c r="A558" s="4" t="s">
        <v>4991</v>
      </c>
      <c r="B558" s="2" t="s">
        <v>2734</v>
      </c>
      <c r="C558" s="3">
        <v>1</v>
      </c>
      <c r="D558" s="5">
        <v>29.63</v>
      </c>
      <c r="E558" s="3" t="s">
        <v>2735</v>
      </c>
      <c r="F558" s="2" t="s">
        <v>125</v>
      </c>
      <c r="G558" s="6" t="s">
        <v>181</v>
      </c>
      <c r="H558" s="2" t="s">
        <v>194</v>
      </c>
      <c r="I558" s="2" t="s">
        <v>195</v>
      </c>
      <c r="J558" s="2" t="s">
        <v>19</v>
      </c>
      <c r="K558" s="2" t="s">
        <v>137</v>
      </c>
      <c r="L558" s="7" t="str">
        <f>HYPERLINK("http://slimages.macys.com/is/image/MCY/12279918 ")</f>
        <v xml:space="preserve">http://slimages.macys.com/is/image/MCY/12279918 </v>
      </c>
    </row>
    <row r="559" spans="1:12" ht="24.75" x14ac:dyDescent="0.25">
      <c r="A559" s="4" t="s">
        <v>8210</v>
      </c>
      <c r="B559" s="2" t="s">
        <v>8211</v>
      </c>
      <c r="C559" s="3">
        <v>1</v>
      </c>
      <c r="D559" s="5">
        <v>24.99</v>
      </c>
      <c r="E559" s="3" t="s">
        <v>8212</v>
      </c>
      <c r="F559" s="2" t="s">
        <v>15</v>
      </c>
      <c r="G559" s="6" t="s">
        <v>156</v>
      </c>
      <c r="H559" s="2" t="s">
        <v>1522</v>
      </c>
      <c r="I559" s="2" t="s">
        <v>1469</v>
      </c>
      <c r="J559" s="2" t="s">
        <v>19</v>
      </c>
      <c r="K559" s="2" t="s">
        <v>353</v>
      </c>
      <c r="L559" s="7" t="str">
        <f>HYPERLINK("http://slimages.macys.com/is/image/MCY/11134772 ")</f>
        <v xml:space="preserve">http://slimages.macys.com/is/image/MCY/11134772 </v>
      </c>
    </row>
    <row r="560" spans="1:12" ht="24.75" x14ac:dyDescent="0.25">
      <c r="A560" s="4" t="s">
        <v>8213</v>
      </c>
      <c r="B560" s="2" t="s">
        <v>1429</v>
      </c>
      <c r="C560" s="3">
        <v>1</v>
      </c>
      <c r="D560" s="5">
        <v>24.99</v>
      </c>
      <c r="E560" s="3" t="s">
        <v>1430</v>
      </c>
      <c r="F560" s="2" t="s">
        <v>26</v>
      </c>
      <c r="G560" s="6"/>
      <c r="H560" s="2" t="s">
        <v>1425</v>
      </c>
      <c r="I560" s="2" t="s">
        <v>1426</v>
      </c>
      <c r="J560" s="2" t="s">
        <v>19</v>
      </c>
      <c r="K560" s="2" t="s">
        <v>1431</v>
      </c>
      <c r="L560" s="7" t="str">
        <f>HYPERLINK("http://slimages.macys.com/is/image/MCY/10746131 ")</f>
        <v xml:space="preserve">http://slimages.macys.com/is/image/MCY/10746131 </v>
      </c>
    </row>
    <row r="561" spans="1:12" ht="24.75" x14ac:dyDescent="0.25">
      <c r="A561" s="4" t="s">
        <v>8214</v>
      </c>
      <c r="B561" s="2" t="s">
        <v>1444</v>
      </c>
      <c r="C561" s="3">
        <v>1</v>
      </c>
      <c r="D561" s="5">
        <v>34.880000000000003</v>
      </c>
      <c r="E561" s="3">
        <v>100042376</v>
      </c>
      <c r="F561" s="2" t="s">
        <v>506</v>
      </c>
      <c r="G561" s="6" t="s">
        <v>58</v>
      </c>
      <c r="H561" s="2" t="s">
        <v>194</v>
      </c>
      <c r="I561" s="2" t="s">
        <v>195</v>
      </c>
      <c r="J561" s="2" t="s">
        <v>19</v>
      </c>
      <c r="K561" s="2" t="s">
        <v>353</v>
      </c>
      <c r="L561" s="7" t="str">
        <f>HYPERLINK("http://slimages.macys.com/is/image/MCY/11764758 ")</f>
        <v xml:space="preserve">http://slimages.macys.com/is/image/MCY/11764758 </v>
      </c>
    </row>
    <row r="562" spans="1:12" ht="24.75" x14ac:dyDescent="0.25">
      <c r="A562" s="4" t="s">
        <v>8215</v>
      </c>
      <c r="B562" s="2" t="s">
        <v>1444</v>
      </c>
      <c r="C562" s="3">
        <v>1</v>
      </c>
      <c r="D562" s="5">
        <v>34.880000000000003</v>
      </c>
      <c r="E562" s="3">
        <v>100042376</v>
      </c>
      <c r="F562" s="2" t="s">
        <v>257</v>
      </c>
      <c r="G562" s="6" t="s">
        <v>16</v>
      </c>
      <c r="H562" s="2" t="s">
        <v>194</v>
      </c>
      <c r="I562" s="2" t="s">
        <v>195</v>
      </c>
      <c r="J562" s="2" t="s">
        <v>19</v>
      </c>
      <c r="K562" s="2" t="s">
        <v>353</v>
      </c>
      <c r="L562" s="7" t="str">
        <f>HYPERLINK("http://slimages.macys.com/is/image/MCY/11764758 ")</f>
        <v xml:space="preserve">http://slimages.macys.com/is/image/MCY/11764758 </v>
      </c>
    </row>
    <row r="563" spans="1:12" ht="24.75" x14ac:dyDescent="0.25">
      <c r="A563" s="4" t="s">
        <v>7509</v>
      </c>
      <c r="B563" s="2" t="s">
        <v>1444</v>
      </c>
      <c r="C563" s="3">
        <v>1</v>
      </c>
      <c r="D563" s="5">
        <v>34.880000000000003</v>
      </c>
      <c r="E563" s="3">
        <v>100042376</v>
      </c>
      <c r="F563" s="2" t="s">
        <v>566</v>
      </c>
      <c r="G563" s="6" t="s">
        <v>16</v>
      </c>
      <c r="H563" s="2" t="s">
        <v>194</v>
      </c>
      <c r="I563" s="2" t="s">
        <v>195</v>
      </c>
      <c r="J563" s="2" t="s">
        <v>19</v>
      </c>
      <c r="K563" s="2" t="s">
        <v>353</v>
      </c>
      <c r="L563" s="7" t="str">
        <f>HYPERLINK("http://slimages.macys.com/is/image/MCY/11764758 ")</f>
        <v xml:space="preserve">http://slimages.macys.com/is/image/MCY/11764758 </v>
      </c>
    </row>
    <row r="564" spans="1:12" ht="24.75" x14ac:dyDescent="0.25">
      <c r="A564" s="4" t="s">
        <v>8216</v>
      </c>
      <c r="B564" s="2" t="s">
        <v>1444</v>
      </c>
      <c r="C564" s="3">
        <v>1</v>
      </c>
      <c r="D564" s="5">
        <v>34.880000000000003</v>
      </c>
      <c r="E564" s="3">
        <v>100042376</v>
      </c>
      <c r="F564" s="2" t="s">
        <v>506</v>
      </c>
      <c r="G564" s="6" t="s">
        <v>65</v>
      </c>
      <c r="H564" s="2" t="s">
        <v>194</v>
      </c>
      <c r="I564" s="2" t="s">
        <v>195</v>
      </c>
      <c r="J564" s="2" t="s">
        <v>19</v>
      </c>
      <c r="K564" s="2" t="s">
        <v>353</v>
      </c>
      <c r="L564" s="7" t="str">
        <f>HYPERLINK("http://slimages.macys.com/is/image/MCY/11764758 ")</f>
        <v xml:space="preserve">http://slimages.macys.com/is/image/MCY/11764758 </v>
      </c>
    </row>
    <row r="565" spans="1:12" ht="24.75" x14ac:dyDescent="0.25">
      <c r="A565" s="4" t="s">
        <v>5923</v>
      </c>
      <c r="B565" s="2" t="s">
        <v>1444</v>
      </c>
      <c r="C565" s="3">
        <v>1</v>
      </c>
      <c r="D565" s="5">
        <v>34.880000000000003</v>
      </c>
      <c r="E565" s="3">
        <v>100042376</v>
      </c>
      <c r="F565" s="2" t="s">
        <v>506</v>
      </c>
      <c r="G565" s="6" t="s">
        <v>22</v>
      </c>
      <c r="H565" s="2" t="s">
        <v>194</v>
      </c>
      <c r="I565" s="2" t="s">
        <v>195</v>
      </c>
      <c r="J565" s="2" t="s">
        <v>19</v>
      </c>
      <c r="K565" s="2" t="s">
        <v>353</v>
      </c>
      <c r="L565" s="7" t="str">
        <f>HYPERLINK("http://slimages.macys.com/is/image/MCY/11764758 ")</f>
        <v xml:space="preserve">http://slimages.macys.com/is/image/MCY/11764758 </v>
      </c>
    </row>
    <row r="566" spans="1:12" ht="24.75" x14ac:dyDescent="0.25">
      <c r="A566" s="4" t="s">
        <v>8217</v>
      </c>
      <c r="B566" s="2" t="s">
        <v>1416</v>
      </c>
      <c r="C566" s="3">
        <v>1</v>
      </c>
      <c r="D566" s="5">
        <v>21.99</v>
      </c>
      <c r="E566" s="3" t="s">
        <v>1454</v>
      </c>
      <c r="F566" s="2" t="s">
        <v>1234</v>
      </c>
      <c r="G566" s="6" t="s">
        <v>16</v>
      </c>
      <c r="H566" s="2" t="s">
        <v>194</v>
      </c>
      <c r="I566" s="2" t="s">
        <v>195</v>
      </c>
      <c r="J566" s="2" t="s">
        <v>19</v>
      </c>
      <c r="K566" s="2" t="s">
        <v>353</v>
      </c>
      <c r="L566" s="7" t="str">
        <f>HYPERLINK("http://slimages.macys.com/is/image/MCY/8141463 ")</f>
        <v xml:space="preserve">http://slimages.macys.com/is/image/MCY/8141463 </v>
      </c>
    </row>
    <row r="567" spans="1:12" ht="24.75" x14ac:dyDescent="0.25">
      <c r="A567" s="4" t="s">
        <v>6679</v>
      </c>
      <c r="B567" s="2" t="s">
        <v>1416</v>
      </c>
      <c r="C567" s="3">
        <v>1</v>
      </c>
      <c r="D567" s="5">
        <v>21.99</v>
      </c>
      <c r="E567" s="3" t="s">
        <v>1451</v>
      </c>
      <c r="F567" s="2" t="s">
        <v>79</v>
      </c>
      <c r="G567" s="6" t="s">
        <v>22</v>
      </c>
      <c r="H567" s="2" t="s">
        <v>194</v>
      </c>
      <c r="I567" s="2" t="s">
        <v>195</v>
      </c>
      <c r="J567" s="2" t="s">
        <v>19</v>
      </c>
      <c r="K567" s="2" t="s">
        <v>353</v>
      </c>
      <c r="L567" s="7" t="str">
        <f>HYPERLINK("http://slimages.macys.com/is/image/MCY/12033149 ")</f>
        <v xml:space="preserve">http://slimages.macys.com/is/image/MCY/12033149 </v>
      </c>
    </row>
    <row r="568" spans="1:12" ht="24.75" x14ac:dyDescent="0.25">
      <c r="A568" s="4" t="s">
        <v>6680</v>
      </c>
      <c r="B568" s="2" t="s">
        <v>1416</v>
      </c>
      <c r="C568" s="3">
        <v>1</v>
      </c>
      <c r="D568" s="5">
        <v>21.99</v>
      </c>
      <c r="E568" s="3" t="s">
        <v>1451</v>
      </c>
      <c r="F568" s="2" t="s">
        <v>79</v>
      </c>
      <c r="G568" s="6" t="s">
        <v>65</v>
      </c>
      <c r="H568" s="2" t="s">
        <v>194</v>
      </c>
      <c r="I568" s="2" t="s">
        <v>195</v>
      </c>
      <c r="J568" s="2" t="s">
        <v>19</v>
      </c>
      <c r="K568" s="2" t="s">
        <v>353</v>
      </c>
      <c r="L568" s="7" t="str">
        <f>HYPERLINK("http://slimages.macys.com/is/image/MCY/12033149 ")</f>
        <v xml:space="preserve">http://slimages.macys.com/is/image/MCY/12033149 </v>
      </c>
    </row>
    <row r="569" spans="1:12" ht="24.75" x14ac:dyDescent="0.25">
      <c r="A569" s="4" t="s">
        <v>3920</v>
      </c>
      <c r="B569" s="2" t="s">
        <v>1416</v>
      </c>
      <c r="C569" s="3">
        <v>1</v>
      </c>
      <c r="D569" s="5">
        <v>21.99</v>
      </c>
      <c r="E569" s="3" t="s">
        <v>1451</v>
      </c>
      <c r="F569" s="2" t="s">
        <v>79</v>
      </c>
      <c r="G569" s="6" t="s">
        <v>16</v>
      </c>
      <c r="H569" s="2" t="s">
        <v>194</v>
      </c>
      <c r="I569" s="2" t="s">
        <v>195</v>
      </c>
      <c r="J569" s="2" t="s">
        <v>19</v>
      </c>
      <c r="K569" s="2" t="s">
        <v>353</v>
      </c>
      <c r="L569" s="7" t="str">
        <f>HYPERLINK("http://slimages.macys.com/is/image/MCY/12033149 ")</f>
        <v xml:space="preserve">http://slimages.macys.com/is/image/MCY/12033149 </v>
      </c>
    </row>
    <row r="570" spans="1:12" ht="24.75" x14ac:dyDescent="0.25">
      <c r="A570" s="4" t="s">
        <v>8218</v>
      </c>
      <c r="B570" s="2" t="s">
        <v>8219</v>
      </c>
      <c r="C570" s="3">
        <v>1</v>
      </c>
      <c r="D570" s="5">
        <v>24.99</v>
      </c>
      <c r="E570" s="3" t="s">
        <v>8220</v>
      </c>
      <c r="F570" s="2" t="s">
        <v>26</v>
      </c>
      <c r="G570" s="6" t="s">
        <v>156</v>
      </c>
      <c r="H570" s="2" t="s">
        <v>1522</v>
      </c>
      <c r="I570" s="2" t="s">
        <v>1469</v>
      </c>
      <c r="J570" s="2" t="s">
        <v>19</v>
      </c>
      <c r="K570" s="2" t="s">
        <v>648</v>
      </c>
      <c r="L570" s="7" t="str">
        <f>HYPERLINK("http://slimages.macys.com/is/image/MCY/12072288 ")</f>
        <v xml:space="preserve">http://slimages.macys.com/is/image/MCY/12072288 </v>
      </c>
    </row>
    <row r="571" spans="1:12" ht="24.75" x14ac:dyDescent="0.25">
      <c r="A571" s="4" t="s">
        <v>8221</v>
      </c>
      <c r="B571" s="2" t="s">
        <v>8219</v>
      </c>
      <c r="C571" s="3">
        <v>1</v>
      </c>
      <c r="D571" s="5">
        <v>24.99</v>
      </c>
      <c r="E571" s="3" t="s">
        <v>8220</v>
      </c>
      <c r="F571" s="2" t="s">
        <v>1322</v>
      </c>
      <c r="G571" s="6" t="s">
        <v>181</v>
      </c>
      <c r="H571" s="2" t="s">
        <v>1522</v>
      </c>
      <c r="I571" s="2" t="s">
        <v>1469</v>
      </c>
      <c r="J571" s="2" t="s">
        <v>19</v>
      </c>
      <c r="K571" s="2" t="s">
        <v>648</v>
      </c>
      <c r="L571" s="7" t="str">
        <f>HYPERLINK("http://slimages.macys.com/is/image/MCY/12072288 ")</f>
        <v xml:space="preserve">http://slimages.macys.com/is/image/MCY/12072288 </v>
      </c>
    </row>
    <row r="572" spans="1:12" ht="24.75" x14ac:dyDescent="0.25">
      <c r="A572" s="4" t="s">
        <v>8222</v>
      </c>
      <c r="B572" s="2" t="s">
        <v>1482</v>
      </c>
      <c r="C572" s="3">
        <v>1</v>
      </c>
      <c r="D572" s="5">
        <v>33.380000000000003</v>
      </c>
      <c r="E572" s="3" t="s">
        <v>8223</v>
      </c>
      <c r="F572" s="2" t="s">
        <v>820</v>
      </c>
      <c r="G572" s="6" t="s">
        <v>154</v>
      </c>
      <c r="H572" s="2" t="s">
        <v>194</v>
      </c>
      <c r="I572" s="2" t="s">
        <v>195</v>
      </c>
      <c r="J572" s="2" t="s">
        <v>19</v>
      </c>
      <c r="K572" s="2" t="s">
        <v>1082</v>
      </c>
      <c r="L572" s="7" t="str">
        <f>HYPERLINK("http://slimages.macys.com/is/image/MCY/11935426 ")</f>
        <v xml:space="preserve">http://slimages.macys.com/is/image/MCY/11935426 </v>
      </c>
    </row>
    <row r="573" spans="1:12" ht="24.75" x14ac:dyDescent="0.25">
      <c r="A573" s="4" t="s">
        <v>8224</v>
      </c>
      <c r="B573" s="2" t="s">
        <v>8225</v>
      </c>
      <c r="C573" s="3">
        <v>1</v>
      </c>
      <c r="D573" s="5">
        <v>29.5</v>
      </c>
      <c r="E573" s="3" t="s">
        <v>8226</v>
      </c>
      <c r="F573" s="2" t="s">
        <v>74</v>
      </c>
      <c r="G573" s="6"/>
      <c r="H573" s="2" t="s">
        <v>312</v>
      </c>
      <c r="I573" s="2" t="s">
        <v>195</v>
      </c>
      <c r="J573" s="2" t="s">
        <v>19</v>
      </c>
      <c r="K573" s="2" t="s">
        <v>247</v>
      </c>
      <c r="L573" s="7" t="str">
        <f>HYPERLINK("http://slimages.macys.com/is/image/MCY/11935288 ")</f>
        <v xml:space="preserve">http://slimages.macys.com/is/image/MCY/11935288 </v>
      </c>
    </row>
    <row r="574" spans="1:12" ht="24.75" x14ac:dyDescent="0.25">
      <c r="A574" s="4" t="s">
        <v>8227</v>
      </c>
      <c r="B574" s="2" t="s">
        <v>1465</v>
      </c>
      <c r="C574" s="3">
        <v>1</v>
      </c>
      <c r="D574" s="5">
        <v>34.880000000000003</v>
      </c>
      <c r="E574" s="3">
        <v>100054394</v>
      </c>
      <c r="F574" s="2" t="s">
        <v>26</v>
      </c>
      <c r="G574" s="6" t="s">
        <v>65</v>
      </c>
      <c r="H574" s="2" t="s">
        <v>194</v>
      </c>
      <c r="I574" s="2" t="s">
        <v>195</v>
      </c>
      <c r="J574" s="2" t="s">
        <v>19</v>
      </c>
      <c r="K574" s="2" t="s">
        <v>353</v>
      </c>
      <c r="L574" s="7" t="str">
        <f>HYPERLINK("http://slimages.macys.com/is/image/MCY/12404668 ")</f>
        <v xml:space="preserve">http://slimages.macys.com/is/image/MCY/12404668 </v>
      </c>
    </row>
    <row r="575" spans="1:12" ht="24.75" x14ac:dyDescent="0.25">
      <c r="A575" s="4" t="s">
        <v>8228</v>
      </c>
      <c r="B575" s="2" t="s">
        <v>1465</v>
      </c>
      <c r="C575" s="3">
        <v>1</v>
      </c>
      <c r="D575" s="5">
        <v>34.880000000000003</v>
      </c>
      <c r="E575" s="3">
        <v>100054394</v>
      </c>
      <c r="F575" s="2" t="s">
        <v>566</v>
      </c>
      <c r="G575" s="6" t="s">
        <v>16</v>
      </c>
      <c r="H575" s="2" t="s">
        <v>194</v>
      </c>
      <c r="I575" s="2" t="s">
        <v>195</v>
      </c>
      <c r="J575" s="2" t="s">
        <v>19</v>
      </c>
      <c r="K575" s="2" t="s">
        <v>353</v>
      </c>
      <c r="L575" s="7" t="str">
        <f>HYPERLINK("http://slimages.macys.com/is/image/MCY/12404668 ")</f>
        <v xml:space="preserve">http://slimages.macys.com/is/image/MCY/12404668 </v>
      </c>
    </row>
    <row r="576" spans="1:12" ht="24.75" x14ac:dyDescent="0.25">
      <c r="A576" s="4" t="s">
        <v>8229</v>
      </c>
      <c r="B576" s="2" t="s">
        <v>1465</v>
      </c>
      <c r="C576" s="3">
        <v>1</v>
      </c>
      <c r="D576" s="5">
        <v>34.880000000000003</v>
      </c>
      <c r="E576" s="3">
        <v>100054394</v>
      </c>
      <c r="F576" s="2" t="s">
        <v>506</v>
      </c>
      <c r="G576" s="6" t="s">
        <v>16</v>
      </c>
      <c r="H576" s="2" t="s">
        <v>194</v>
      </c>
      <c r="I576" s="2" t="s">
        <v>195</v>
      </c>
      <c r="J576" s="2" t="s">
        <v>19</v>
      </c>
      <c r="K576" s="2" t="s">
        <v>353</v>
      </c>
      <c r="L576" s="7" t="str">
        <f>HYPERLINK("http://slimages.macys.com/is/image/MCY/12404668 ")</f>
        <v xml:space="preserve">http://slimages.macys.com/is/image/MCY/12404668 </v>
      </c>
    </row>
    <row r="577" spans="1:12" ht="24.75" x14ac:dyDescent="0.25">
      <c r="A577" s="4" t="s">
        <v>8230</v>
      </c>
      <c r="B577" s="2" t="s">
        <v>1465</v>
      </c>
      <c r="C577" s="3">
        <v>1</v>
      </c>
      <c r="D577" s="5">
        <v>34.880000000000003</v>
      </c>
      <c r="E577" s="3">
        <v>100054394</v>
      </c>
      <c r="F577" s="2" t="s">
        <v>506</v>
      </c>
      <c r="G577" s="6" t="s">
        <v>22</v>
      </c>
      <c r="H577" s="2" t="s">
        <v>194</v>
      </c>
      <c r="I577" s="2" t="s">
        <v>195</v>
      </c>
      <c r="J577" s="2" t="s">
        <v>19</v>
      </c>
      <c r="K577" s="2" t="s">
        <v>353</v>
      </c>
      <c r="L577" s="7" t="str">
        <f>HYPERLINK("http://slimages.macys.com/is/image/MCY/12404668 ")</f>
        <v xml:space="preserve">http://slimages.macys.com/is/image/MCY/12404668 </v>
      </c>
    </row>
    <row r="578" spans="1:12" ht="24.75" x14ac:dyDescent="0.25">
      <c r="A578" s="4" t="s">
        <v>8231</v>
      </c>
      <c r="B578" s="2" t="s">
        <v>5006</v>
      </c>
      <c r="C578" s="3">
        <v>1</v>
      </c>
      <c r="D578" s="5">
        <v>26.99</v>
      </c>
      <c r="E578" s="3" t="s">
        <v>5007</v>
      </c>
      <c r="F578" s="2" t="s">
        <v>15</v>
      </c>
      <c r="G578" s="6" t="s">
        <v>112</v>
      </c>
      <c r="H578" s="2" t="s">
        <v>1473</v>
      </c>
      <c r="I578" s="2" t="s">
        <v>1426</v>
      </c>
      <c r="J578" s="2" t="s">
        <v>19</v>
      </c>
      <c r="K578" s="2" t="s">
        <v>353</v>
      </c>
      <c r="L578" s="7" t="str">
        <f>HYPERLINK("http://slimages.macys.com/is/image/MCY/11027855 ")</f>
        <v xml:space="preserve">http://slimages.macys.com/is/image/MCY/11027855 </v>
      </c>
    </row>
    <row r="579" spans="1:12" ht="24.75" x14ac:dyDescent="0.25">
      <c r="A579" s="4" t="s">
        <v>5004</v>
      </c>
      <c r="B579" s="2" t="s">
        <v>1471</v>
      </c>
      <c r="C579" s="3">
        <v>1</v>
      </c>
      <c r="D579" s="5">
        <v>26.99</v>
      </c>
      <c r="E579" s="3" t="s">
        <v>1472</v>
      </c>
      <c r="F579" s="2" t="s">
        <v>15</v>
      </c>
      <c r="G579" s="6" t="s">
        <v>27</v>
      </c>
      <c r="H579" s="2" t="s">
        <v>1473</v>
      </c>
      <c r="I579" s="2" t="s">
        <v>1426</v>
      </c>
      <c r="J579" s="2" t="s">
        <v>19</v>
      </c>
      <c r="K579" s="2" t="s">
        <v>353</v>
      </c>
      <c r="L579" s="7" t="str">
        <f>HYPERLINK("http://slimages.macys.com/is/image/MCY/11989623 ")</f>
        <v xml:space="preserve">http://slimages.macys.com/is/image/MCY/11989623 </v>
      </c>
    </row>
    <row r="580" spans="1:12" ht="24.75" x14ac:dyDescent="0.25">
      <c r="A580" s="4" t="s">
        <v>5009</v>
      </c>
      <c r="B580" s="2" t="s">
        <v>1467</v>
      </c>
      <c r="C580" s="3">
        <v>1</v>
      </c>
      <c r="D580" s="5">
        <v>24.99</v>
      </c>
      <c r="E580" s="3" t="s">
        <v>1468</v>
      </c>
      <c r="F580" s="2" t="s">
        <v>33</v>
      </c>
      <c r="G580" s="6" t="s">
        <v>187</v>
      </c>
      <c r="H580" s="2" t="s">
        <v>1425</v>
      </c>
      <c r="I580" s="2" t="s">
        <v>1469</v>
      </c>
      <c r="J580" s="2" t="s">
        <v>19</v>
      </c>
      <c r="K580" s="2" t="s">
        <v>495</v>
      </c>
      <c r="L580" s="7" t="str">
        <f>HYPERLINK("http://slimages.macys.com/is/image/MCY/11989539 ")</f>
        <v xml:space="preserve">http://slimages.macys.com/is/image/MCY/11989539 </v>
      </c>
    </row>
    <row r="581" spans="1:12" ht="36.75" x14ac:dyDescent="0.25">
      <c r="A581" s="4" t="s">
        <v>8232</v>
      </c>
      <c r="B581" s="2" t="s">
        <v>1482</v>
      </c>
      <c r="C581" s="3">
        <v>1</v>
      </c>
      <c r="D581" s="5">
        <v>32.5</v>
      </c>
      <c r="E581" s="3" t="s">
        <v>1483</v>
      </c>
      <c r="F581" s="2" t="s">
        <v>48</v>
      </c>
      <c r="G581" s="6"/>
      <c r="H581" s="2" t="s">
        <v>312</v>
      </c>
      <c r="I581" s="2" t="s">
        <v>195</v>
      </c>
      <c r="J581" s="2" t="s">
        <v>19</v>
      </c>
      <c r="K581" s="2" t="s">
        <v>1484</v>
      </c>
      <c r="L581" s="7" t="str">
        <f>HYPERLINK("http://slimages.macys.com/is/image/MCY/12064112 ")</f>
        <v xml:space="preserve">http://slimages.macys.com/is/image/MCY/12064112 </v>
      </c>
    </row>
    <row r="582" spans="1:12" ht="36.75" x14ac:dyDescent="0.25">
      <c r="A582" s="4" t="s">
        <v>8233</v>
      </c>
      <c r="B582" s="2" t="s">
        <v>1482</v>
      </c>
      <c r="C582" s="3">
        <v>1</v>
      </c>
      <c r="D582" s="5">
        <v>29.63</v>
      </c>
      <c r="E582" s="3" t="s">
        <v>2766</v>
      </c>
      <c r="F582" s="2" t="s">
        <v>252</v>
      </c>
      <c r="G582" s="6"/>
      <c r="H582" s="2" t="s">
        <v>312</v>
      </c>
      <c r="I582" s="2" t="s">
        <v>195</v>
      </c>
      <c r="J582" s="2" t="s">
        <v>19</v>
      </c>
      <c r="K582" s="2" t="s">
        <v>2767</v>
      </c>
      <c r="L582" s="7" t="str">
        <f>HYPERLINK("http://slimages.macys.com/is/image/MCY/12734370 ")</f>
        <v xml:space="preserve">http://slimages.macys.com/is/image/MCY/12734370 </v>
      </c>
    </row>
    <row r="583" spans="1:12" ht="24.75" x14ac:dyDescent="0.25">
      <c r="A583" s="4" t="s">
        <v>8234</v>
      </c>
      <c r="B583" s="2" t="s">
        <v>4037</v>
      </c>
      <c r="C583" s="3">
        <v>1</v>
      </c>
      <c r="D583" s="5">
        <v>29.7</v>
      </c>
      <c r="E583" s="3" t="s">
        <v>6697</v>
      </c>
      <c r="F583" s="2" t="s">
        <v>170</v>
      </c>
      <c r="G583" s="6" t="s">
        <v>2276</v>
      </c>
      <c r="H583" s="2" t="s">
        <v>349</v>
      </c>
      <c r="I583" s="2" t="s">
        <v>285</v>
      </c>
      <c r="J583" s="2" t="s">
        <v>19</v>
      </c>
      <c r="K583" s="2" t="s">
        <v>160</v>
      </c>
      <c r="L583" s="7" t="str">
        <f>HYPERLINK("http://slimages.macys.com/is/image/MCY/12280519 ")</f>
        <v xml:space="preserve">http://slimages.macys.com/is/image/MCY/12280519 </v>
      </c>
    </row>
    <row r="584" spans="1:12" ht="24.75" x14ac:dyDescent="0.25">
      <c r="A584" s="4" t="s">
        <v>8235</v>
      </c>
      <c r="B584" s="2" t="s">
        <v>8236</v>
      </c>
      <c r="C584" s="3">
        <v>1</v>
      </c>
      <c r="D584" s="5">
        <v>29.63</v>
      </c>
      <c r="E584" s="3" t="s">
        <v>8237</v>
      </c>
      <c r="F584" s="2" t="s">
        <v>74</v>
      </c>
      <c r="G584" s="6" t="s">
        <v>181</v>
      </c>
      <c r="H584" s="2" t="s">
        <v>194</v>
      </c>
      <c r="I584" s="2" t="s">
        <v>195</v>
      </c>
      <c r="J584" s="2" t="s">
        <v>19</v>
      </c>
      <c r="K584" s="2" t="s">
        <v>247</v>
      </c>
      <c r="L584" s="7" t="str">
        <f>HYPERLINK("http://slimages.macys.com/is/image/MCY/11515346 ")</f>
        <v xml:space="preserve">http://slimages.macys.com/is/image/MCY/11515346 </v>
      </c>
    </row>
    <row r="585" spans="1:12" ht="24.75" x14ac:dyDescent="0.25">
      <c r="A585" s="4" t="s">
        <v>3934</v>
      </c>
      <c r="B585" s="2" t="s">
        <v>2779</v>
      </c>
      <c r="C585" s="3">
        <v>1</v>
      </c>
      <c r="D585" s="5">
        <v>29.63</v>
      </c>
      <c r="E585" s="3" t="s">
        <v>2780</v>
      </c>
      <c r="F585" s="2" t="s">
        <v>125</v>
      </c>
      <c r="G585" s="6" t="s">
        <v>154</v>
      </c>
      <c r="H585" s="2" t="s">
        <v>194</v>
      </c>
      <c r="I585" s="2" t="s">
        <v>195</v>
      </c>
      <c r="J585" s="2" t="s">
        <v>19</v>
      </c>
      <c r="K585" s="2" t="s">
        <v>247</v>
      </c>
      <c r="L585" s="7" t="str">
        <f>HYPERLINK("http://slimages.macys.com/is/image/MCY/12279859 ")</f>
        <v xml:space="preserve">http://slimages.macys.com/is/image/MCY/12279859 </v>
      </c>
    </row>
    <row r="586" spans="1:12" ht="24.75" x14ac:dyDescent="0.25">
      <c r="A586" s="4" t="s">
        <v>8238</v>
      </c>
      <c r="B586" s="2" t="s">
        <v>1356</v>
      </c>
      <c r="C586" s="3">
        <v>1</v>
      </c>
      <c r="D586" s="5">
        <v>29.99</v>
      </c>
      <c r="E586" s="3">
        <v>100045814</v>
      </c>
      <c r="F586" s="2" t="s">
        <v>33</v>
      </c>
      <c r="G586" s="6" t="s">
        <v>65</v>
      </c>
      <c r="H586" s="2" t="s">
        <v>228</v>
      </c>
      <c r="I586" s="2" t="s">
        <v>229</v>
      </c>
      <c r="J586" s="2" t="s">
        <v>19</v>
      </c>
      <c r="K586" s="2" t="s">
        <v>353</v>
      </c>
      <c r="L586" s="7" t="str">
        <f>HYPERLINK("http://slimages.macys.com/is/image/MCY/11936020 ")</f>
        <v xml:space="preserve">http://slimages.macys.com/is/image/MCY/11936020 </v>
      </c>
    </row>
    <row r="587" spans="1:12" ht="24.75" x14ac:dyDescent="0.25">
      <c r="A587" s="4" t="s">
        <v>8239</v>
      </c>
      <c r="B587" s="2" t="s">
        <v>1494</v>
      </c>
      <c r="C587" s="3">
        <v>1</v>
      </c>
      <c r="D587" s="5">
        <v>24.99</v>
      </c>
      <c r="E587" s="3">
        <v>100011892</v>
      </c>
      <c r="F587" s="2" t="s">
        <v>417</v>
      </c>
      <c r="G587" s="6" t="s">
        <v>22</v>
      </c>
      <c r="H587" s="2" t="s">
        <v>228</v>
      </c>
      <c r="I587" s="2" t="s">
        <v>857</v>
      </c>
      <c r="J587" s="2" t="s">
        <v>19</v>
      </c>
      <c r="K587" s="2" t="s">
        <v>1495</v>
      </c>
      <c r="L587" s="7" t="str">
        <f>HYPERLINK("http://slimages.macys.com/is/image/MCY/12143827 ")</f>
        <v xml:space="preserve">http://slimages.macys.com/is/image/MCY/12143827 </v>
      </c>
    </row>
    <row r="588" spans="1:12" ht="24.75" x14ac:dyDescent="0.25">
      <c r="A588" s="4" t="s">
        <v>8240</v>
      </c>
      <c r="B588" s="2" t="s">
        <v>1494</v>
      </c>
      <c r="C588" s="3">
        <v>1</v>
      </c>
      <c r="D588" s="5">
        <v>24.99</v>
      </c>
      <c r="E588" s="3">
        <v>100011892</v>
      </c>
      <c r="F588" s="2" t="s">
        <v>417</v>
      </c>
      <c r="G588" s="6" t="s">
        <v>58</v>
      </c>
      <c r="H588" s="2" t="s">
        <v>228</v>
      </c>
      <c r="I588" s="2" t="s">
        <v>857</v>
      </c>
      <c r="J588" s="2" t="s">
        <v>19</v>
      </c>
      <c r="K588" s="2" t="s">
        <v>1495</v>
      </c>
      <c r="L588" s="7" t="str">
        <f>HYPERLINK("http://slimages.macys.com/is/image/MCY/12143827 ")</f>
        <v xml:space="preserve">http://slimages.macys.com/is/image/MCY/12143827 </v>
      </c>
    </row>
    <row r="589" spans="1:12" ht="24.75" x14ac:dyDescent="0.25">
      <c r="A589" s="4" t="s">
        <v>8241</v>
      </c>
      <c r="B589" s="2" t="s">
        <v>8242</v>
      </c>
      <c r="C589" s="3">
        <v>2</v>
      </c>
      <c r="D589" s="5">
        <v>36.5</v>
      </c>
      <c r="E589" s="3" t="s">
        <v>8243</v>
      </c>
      <c r="F589" s="2" t="s">
        <v>26</v>
      </c>
      <c r="G589" s="6" t="s">
        <v>234</v>
      </c>
      <c r="H589" s="2" t="s">
        <v>194</v>
      </c>
      <c r="I589" s="2" t="s">
        <v>195</v>
      </c>
      <c r="J589" s="2" t="s">
        <v>19</v>
      </c>
      <c r="K589" s="2" t="s">
        <v>34</v>
      </c>
      <c r="L589" s="7" t="str">
        <f>HYPERLINK("http://slimages.macys.com/is/image/MCY/12034934 ")</f>
        <v xml:space="preserve">http://slimages.macys.com/is/image/MCY/12034934 </v>
      </c>
    </row>
    <row r="590" spans="1:12" ht="24.75" x14ac:dyDescent="0.25">
      <c r="A590" s="4" t="s">
        <v>8244</v>
      </c>
      <c r="B590" s="2" t="s">
        <v>8242</v>
      </c>
      <c r="C590" s="3">
        <v>1</v>
      </c>
      <c r="D590" s="5">
        <v>36.5</v>
      </c>
      <c r="E590" s="3" t="s">
        <v>8243</v>
      </c>
      <c r="F590" s="2" t="s">
        <v>26</v>
      </c>
      <c r="G590" s="6" t="s">
        <v>181</v>
      </c>
      <c r="H590" s="2" t="s">
        <v>194</v>
      </c>
      <c r="I590" s="2" t="s">
        <v>195</v>
      </c>
      <c r="J590" s="2" t="s">
        <v>19</v>
      </c>
      <c r="K590" s="2" t="s">
        <v>34</v>
      </c>
      <c r="L590" s="7" t="str">
        <f>HYPERLINK("http://slimages.macys.com/is/image/MCY/12034934 ")</f>
        <v xml:space="preserve">http://slimages.macys.com/is/image/MCY/12034934 </v>
      </c>
    </row>
    <row r="591" spans="1:12" ht="24.75" x14ac:dyDescent="0.25">
      <c r="A591" s="4" t="s">
        <v>8245</v>
      </c>
      <c r="B591" s="2" t="s">
        <v>8242</v>
      </c>
      <c r="C591" s="3">
        <v>1</v>
      </c>
      <c r="D591" s="5">
        <v>36.5</v>
      </c>
      <c r="E591" s="3" t="s">
        <v>8243</v>
      </c>
      <c r="F591" s="2" t="s">
        <v>26</v>
      </c>
      <c r="G591" s="6" t="s">
        <v>245</v>
      </c>
      <c r="H591" s="2" t="s">
        <v>194</v>
      </c>
      <c r="I591" s="2" t="s">
        <v>195</v>
      </c>
      <c r="J591" s="2" t="s">
        <v>19</v>
      </c>
      <c r="K591" s="2" t="s">
        <v>34</v>
      </c>
      <c r="L591" s="7" t="str">
        <f>HYPERLINK("http://slimages.macys.com/is/image/MCY/12034934 ")</f>
        <v xml:space="preserve">http://slimages.macys.com/is/image/MCY/12034934 </v>
      </c>
    </row>
    <row r="592" spans="1:12" ht="24.75" x14ac:dyDescent="0.25">
      <c r="A592" s="4" t="s">
        <v>8246</v>
      </c>
      <c r="B592" s="2" t="s">
        <v>8242</v>
      </c>
      <c r="C592" s="3">
        <v>1</v>
      </c>
      <c r="D592" s="5">
        <v>36.5</v>
      </c>
      <c r="E592" s="3" t="s">
        <v>8243</v>
      </c>
      <c r="F592" s="2" t="s">
        <v>26</v>
      </c>
      <c r="G592" s="6" t="s">
        <v>154</v>
      </c>
      <c r="H592" s="2" t="s">
        <v>194</v>
      </c>
      <c r="I592" s="2" t="s">
        <v>195</v>
      </c>
      <c r="J592" s="2" t="s">
        <v>19</v>
      </c>
      <c r="K592" s="2" t="s">
        <v>34</v>
      </c>
      <c r="L592" s="7" t="str">
        <f>HYPERLINK("http://slimages.macys.com/is/image/MCY/12034934 ")</f>
        <v xml:space="preserve">http://slimages.macys.com/is/image/MCY/12034934 </v>
      </c>
    </row>
    <row r="593" spans="1:12" ht="24.75" x14ac:dyDescent="0.25">
      <c r="A593" s="4" t="s">
        <v>8247</v>
      </c>
      <c r="B593" s="2" t="s">
        <v>1505</v>
      </c>
      <c r="C593" s="3">
        <v>1</v>
      </c>
      <c r="D593" s="5">
        <v>21.99</v>
      </c>
      <c r="E593" s="3" t="s">
        <v>8248</v>
      </c>
      <c r="F593" s="2" t="s">
        <v>15</v>
      </c>
      <c r="G593" s="6" t="s">
        <v>154</v>
      </c>
      <c r="H593" s="2" t="s">
        <v>1473</v>
      </c>
      <c r="I593" s="2" t="s">
        <v>1426</v>
      </c>
      <c r="J593" s="2" t="s">
        <v>19</v>
      </c>
      <c r="K593" s="2" t="s">
        <v>338</v>
      </c>
      <c r="L593" s="7" t="str">
        <f>HYPERLINK("http://slimages.macys.com/is/image/MCY/11456807 ")</f>
        <v xml:space="preserve">http://slimages.macys.com/is/image/MCY/11456807 </v>
      </c>
    </row>
    <row r="594" spans="1:12" ht="24.75" x14ac:dyDescent="0.25">
      <c r="A594" s="4" t="s">
        <v>2797</v>
      </c>
      <c r="B594" s="2" t="s">
        <v>1516</v>
      </c>
      <c r="C594" s="3">
        <v>1</v>
      </c>
      <c r="D594" s="5">
        <v>24.99</v>
      </c>
      <c r="E594" s="3" t="s">
        <v>1517</v>
      </c>
      <c r="F594" s="2" t="s">
        <v>74</v>
      </c>
      <c r="G594" s="6" t="s">
        <v>22</v>
      </c>
      <c r="H594" s="2" t="s">
        <v>1473</v>
      </c>
      <c r="I594" s="2" t="s">
        <v>1426</v>
      </c>
      <c r="J594" s="2" t="s">
        <v>19</v>
      </c>
      <c r="K594" s="2" t="s">
        <v>353</v>
      </c>
      <c r="L594" s="7" t="str">
        <f>HYPERLINK("http://slimages.macys.com/is/image/MCY/11029826 ")</f>
        <v xml:space="preserve">http://slimages.macys.com/is/image/MCY/11029826 </v>
      </c>
    </row>
    <row r="595" spans="1:12" ht="24.75" x14ac:dyDescent="0.25">
      <c r="A595" s="4" t="s">
        <v>8249</v>
      </c>
      <c r="B595" s="2" t="s">
        <v>1516</v>
      </c>
      <c r="C595" s="3">
        <v>1</v>
      </c>
      <c r="D595" s="5">
        <v>24.99</v>
      </c>
      <c r="E595" s="3" t="s">
        <v>1517</v>
      </c>
      <c r="F595" s="2" t="s">
        <v>252</v>
      </c>
      <c r="G595" s="6" t="s">
        <v>22</v>
      </c>
      <c r="H595" s="2" t="s">
        <v>1473</v>
      </c>
      <c r="I595" s="2" t="s">
        <v>1426</v>
      </c>
      <c r="J595" s="2" t="s">
        <v>19</v>
      </c>
      <c r="K595" s="2" t="s">
        <v>353</v>
      </c>
      <c r="L595" s="7" t="str">
        <f>HYPERLINK("http://slimages.macys.com/is/image/MCY/11029826 ")</f>
        <v xml:space="preserve">http://slimages.macys.com/is/image/MCY/11029826 </v>
      </c>
    </row>
    <row r="596" spans="1:12" ht="24.75" x14ac:dyDescent="0.25">
      <c r="A596" s="4" t="s">
        <v>1501</v>
      </c>
      <c r="B596" s="2" t="s">
        <v>1502</v>
      </c>
      <c r="C596" s="3">
        <v>1</v>
      </c>
      <c r="D596" s="5">
        <v>24.99</v>
      </c>
      <c r="E596" s="3" t="s">
        <v>1503</v>
      </c>
      <c r="F596" s="2" t="s">
        <v>15</v>
      </c>
      <c r="G596" s="6" t="s">
        <v>219</v>
      </c>
      <c r="H596" s="2" t="s">
        <v>1425</v>
      </c>
      <c r="I596" s="2" t="s">
        <v>1469</v>
      </c>
      <c r="J596" s="2" t="s">
        <v>19</v>
      </c>
      <c r="K596" s="2" t="s">
        <v>990</v>
      </c>
      <c r="L596" s="7" t="str">
        <f>HYPERLINK("http://slimages.macys.com/is/image/MCY/13048287 ")</f>
        <v xml:space="preserve">http://slimages.macys.com/is/image/MCY/13048287 </v>
      </c>
    </row>
    <row r="597" spans="1:12" ht="24.75" x14ac:dyDescent="0.25">
      <c r="A597" s="4" t="s">
        <v>8250</v>
      </c>
      <c r="B597" s="2" t="s">
        <v>1512</v>
      </c>
      <c r="C597" s="3">
        <v>1</v>
      </c>
      <c r="D597" s="5">
        <v>24.99</v>
      </c>
      <c r="E597" s="3" t="s">
        <v>1513</v>
      </c>
      <c r="F597" s="2" t="s">
        <v>74</v>
      </c>
      <c r="G597" s="6" t="s">
        <v>126</v>
      </c>
      <c r="H597" s="2" t="s">
        <v>1425</v>
      </c>
      <c r="I597" s="2" t="s">
        <v>1426</v>
      </c>
      <c r="J597" s="2" t="s">
        <v>19</v>
      </c>
      <c r="K597" s="2" t="s">
        <v>353</v>
      </c>
      <c r="L597" s="7" t="str">
        <f>HYPERLINK("http://slimages.macys.com/is/image/MCY/11029820 ")</f>
        <v xml:space="preserve">http://slimages.macys.com/is/image/MCY/11029820 </v>
      </c>
    </row>
    <row r="598" spans="1:12" ht="24.75" x14ac:dyDescent="0.25">
      <c r="A598" s="4" t="s">
        <v>8251</v>
      </c>
      <c r="B598" s="2" t="s">
        <v>5032</v>
      </c>
      <c r="C598" s="3">
        <v>1</v>
      </c>
      <c r="D598" s="5">
        <v>24.99</v>
      </c>
      <c r="E598" s="3" t="s">
        <v>8252</v>
      </c>
      <c r="F598" s="2" t="s">
        <v>26</v>
      </c>
      <c r="G598" s="6" t="s">
        <v>156</v>
      </c>
      <c r="H598" s="2" t="s">
        <v>1522</v>
      </c>
      <c r="I598" s="2" t="s">
        <v>1469</v>
      </c>
      <c r="J598" s="2" t="s">
        <v>19</v>
      </c>
      <c r="K598" s="2" t="s">
        <v>648</v>
      </c>
      <c r="L598" s="7" t="str">
        <f>HYPERLINK("http://slimages.macys.com/is/image/MCY/12645250 ")</f>
        <v xml:space="preserve">http://slimages.macys.com/is/image/MCY/12645250 </v>
      </c>
    </row>
    <row r="599" spans="1:12" ht="24.75" x14ac:dyDescent="0.25">
      <c r="A599" s="4" t="s">
        <v>8253</v>
      </c>
      <c r="B599" s="2" t="s">
        <v>1627</v>
      </c>
      <c r="C599" s="3">
        <v>1</v>
      </c>
      <c r="D599" s="5">
        <v>25.88</v>
      </c>
      <c r="E599" s="3" t="s">
        <v>2807</v>
      </c>
      <c r="F599" s="2" t="s">
        <v>506</v>
      </c>
      <c r="G599" s="6" t="s">
        <v>156</v>
      </c>
      <c r="H599" s="2" t="s">
        <v>194</v>
      </c>
      <c r="I599" s="2" t="s">
        <v>195</v>
      </c>
      <c r="J599" s="2" t="s">
        <v>19</v>
      </c>
      <c r="K599" s="2" t="s">
        <v>1629</v>
      </c>
      <c r="L599" s="7" t="str">
        <f>HYPERLINK("http://slimages.macys.com/is/image/MCY/3276758 ")</f>
        <v xml:space="preserve">http://slimages.macys.com/is/image/MCY/3276758 </v>
      </c>
    </row>
    <row r="600" spans="1:12" ht="24.75" x14ac:dyDescent="0.25">
      <c r="A600" s="4" t="s">
        <v>2806</v>
      </c>
      <c r="B600" s="2" t="s">
        <v>1627</v>
      </c>
      <c r="C600" s="3">
        <v>1</v>
      </c>
      <c r="D600" s="5">
        <v>25.88</v>
      </c>
      <c r="E600" s="3" t="s">
        <v>2807</v>
      </c>
      <c r="F600" s="2" t="s">
        <v>506</v>
      </c>
      <c r="G600" s="6" t="s">
        <v>181</v>
      </c>
      <c r="H600" s="2" t="s">
        <v>194</v>
      </c>
      <c r="I600" s="2" t="s">
        <v>195</v>
      </c>
      <c r="J600" s="2" t="s">
        <v>19</v>
      </c>
      <c r="K600" s="2" t="s">
        <v>1629</v>
      </c>
      <c r="L600" s="7" t="str">
        <f>HYPERLINK("http://slimages.macys.com/is/image/MCY/3276758 ")</f>
        <v xml:space="preserve">http://slimages.macys.com/is/image/MCY/3276758 </v>
      </c>
    </row>
    <row r="601" spans="1:12" ht="24.75" x14ac:dyDescent="0.25">
      <c r="A601" s="4" t="s">
        <v>8254</v>
      </c>
      <c r="B601" s="2" t="s">
        <v>5040</v>
      </c>
      <c r="C601" s="3">
        <v>1</v>
      </c>
      <c r="D601" s="5">
        <v>29.63</v>
      </c>
      <c r="E601" s="3">
        <v>100018082</v>
      </c>
      <c r="F601" s="2" t="s">
        <v>15</v>
      </c>
      <c r="G601" s="6" t="s">
        <v>245</v>
      </c>
      <c r="H601" s="2" t="s">
        <v>194</v>
      </c>
      <c r="I601" s="2" t="s">
        <v>195</v>
      </c>
      <c r="J601" s="2" t="s">
        <v>19</v>
      </c>
      <c r="K601" s="2" t="s">
        <v>1082</v>
      </c>
      <c r="L601" s="7" t="str">
        <f>HYPERLINK("http://slimages.macys.com/is/image/MCY/13367475 ")</f>
        <v xml:space="preserve">http://slimages.macys.com/is/image/MCY/13367475 </v>
      </c>
    </row>
    <row r="602" spans="1:12" ht="24.75" x14ac:dyDescent="0.25">
      <c r="A602" s="4" t="s">
        <v>5039</v>
      </c>
      <c r="B602" s="2" t="s">
        <v>5040</v>
      </c>
      <c r="C602" s="3">
        <v>2</v>
      </c>
      <c r="D602" s="5">
        <v>29.63</v>
      </c>
      <c r="E602" s="3">
        <v>100018082</v>
      </c>
      <c r="F602" s="2" t="s">
        <v>15</v>
      </c>
      <c r="G602" s="6" t="s">
        <v>154</v>
      </c>
      <c r="H602" s="2" t="s">
        <v>194</v>
      </c>
      <c r="I602" s="2" t="s">
        <v>195</v>
      </c>
      <c r="J602" s="2" t="s">
        <v>19</v>
      </c>
      <c r="K602" s="2" t="s">
        <v>1082</v>
      </c>
      <c r="L602" s="7" t="str">
        <f>HYPERLINK("http://slimages.macys.com/is/image/MCY/13367475 ")</f>
        <v xml:space="preserve">http://slimages.macys.com/is/image/MCY/13367475 </v>
      </c>
    </row>
    <row r="603" spans="1:12" ht="24.75" x14ac:dyDescent="0.25">
      <c r="A603" s="4" t="s">
        <v>3952</v>
      </c>
      <c r="B603" s="2" t="s">
        <v>3953</v>
      </c>
      <c r="C603" s="3">
        <v>1</v>
      </c>
      <c r="D603" s="5">
        <v>24.99</v>
      </c>
      <c r="E603" s="3" t="s">
        <v>3954</v>
      </c>
      <c r="F603" s="2" t="s">
        <v>15</v>
      </c>
      <c r="G603" s="6" t="s">
        <v>181</v>
      </c>
      <c r="H603" s="2" t="s">
        <v>1522</v>
      </c>
      <c r="I603" s="2" t="s">
        <v>1469</v>
      </c>
      <c r="J603" s="2" t="s">
        <v>19</v>
      </c>
      <c r="K603" s="2" t="s">
        <v>353</v>
      </c>
      <c r="L603" s="7" t="str">
        <f>HYPERLINK("http://slimages.macys.com/is/image/MCY/11774245 ")</f>
        <v xml:space="preserve">http://slimages.macys.com/is/image/MCY/11774245 </v>
      </c>
    </row>
    <row r="604" spans="1:12" ht="24.75" x14ac:dyDescent="0.25">
      <c r="A604" s="4" t="s">
        <v>1552</v>
      </c>
      <c r="B604" s="2" t="s">
        <v>1539</v>
      </c>
      <c r="C604" s="3">
        <v>5</v>
      </c>
      <c r="D604" s="5">
        <v>26.99</v>
      </c>
      <c r="E604" s="3" t="s">
        <v>1540</v>
      </c>
      <c r="F604" s="2" t="s">
        <v>998</v>
      </c>
      <c r="G604" s="6" t="s">
        <v>22</v>
      </c>
      <c r="H604" s="2" t="s">
        <v>1473</v>
      </c>
      <c r="I604" s="2" t="s">
        <v>1426</v>
      </c>
      <c r="J604" s="2" t="s">
        <v>19</v>
      </c>
      <c r="K604" s="2" t="s">
        <v>353</v>
      </c>
      <c r="L604" s="7" t="str">
        <f t="shared" ref="L604:L621" si="4">HYPERLINK("http://slimages.macys.com/is/image/MCY/10786732 ")</f>
        <v xml:space="preserve">http://slimages.macys.com/is/image/MCY/10786732 </v>
      </c>
    </row>
    <row r="605" spans="1:12" ht="24.75" x14ac:dyDescent="0.25">
      <c r="A605" s="4" t="s">
        <v>2815</v>
      </c>
      <c r="B605" s="2" t="s">
        <v>1539</v>
      </c>
      <c r="C605" s="3">
        <v>2</v>
      </c>
      <c r="D605" s="5">
        <v>26.99</v>
      </c>
      <c r="E605" s="3" t="s">
        <v>1540</v>
      </c>
      <c r="F605" s="2" t="s">
        <v>1234</v>
      </c>
      <c r="G605" s="6" t="s">
        <v>58</v>
      </c>
      <c r="H605" s="2" t="s">
        <v>1473</v>
      </c>
      <c r="I605" s="2" t="s">
        <v>1426</v>
      </c>
      <c r="J605" s="2" t="s">
        <v>19</v>
      </c>
      <c r="K605" s="2" t="s">
        <v>353</v>
      </c>
      <c r="L605" s="7" t="str">
        <f t="shared" si="4"/>
        <v xml:space="preserve">http://slimages.macys.com/is/image/MCY/10786732 </v>
      </c>
    </row>
    <row r="606" spans="1:12" ht="24.75" x14ac:dyDescent="0.25">
      <c r="A606" s="4" t="s">
        <v>2818</v>
      </c>
      <c r="B606" s="2" t="s">
        <v>1539</v>
      </c>
      <c r="C606" s="3">
        <v>2</v>
      </c>
      <c r="D606" s="5">
        <v>26.99</v>
      </c>
      <c r="E606" s="3" t="s">
        <v>1540</v>
      </c>
      <c r="F606" s="2" t="s">
        <v>70</v>
      </c>
      <c r="G606" s="6" t="s">
        <v>22</v>
      </c>
      <c r="H606" s="2" t="s">
        <v>1473</v>
      </c>
      <c r="I606" s="2" t="s">
        <v>1426</v>
      </c>
      <c r="J606" s="2" t="s">
        <v>19</v>
      </c>
      <c r="K606" s="2" t="s">
        <v>353</v>
      </c>
      <c r="L606" s="7" t="str">
        <f t="shared" si="4"/>
        <v xml:space="preserve">http://slimages.macys.com/is/image/MCY/10786732 </v>
      </c>
    </row>
    <row r="607" spans="1:12" ht="24.75" x14ac:dyDescent="0.25">
      <c r="A607" s="4" t="s">
        <v>2821</v>
      </c>
      <c r="B607" s="2" t="s">
        <v>1539</v>
      </c>
      <c r="C607" s="3">
        <v>6</v>
      </c>
      <c r="D607" s="5">
        <v>26.99</v>
      </c>
      <c r="E607" s="3" t="s">
        <v>1540</v>
      </c>
      <c r="F607" s="2" t="s">
        <v>998</v>
      </c>
      <c r="G607" s="6" t="s">
        <v>112</v>
      </c>
      <c r="H607" s="2" t="s">
        <v>1473</v>
      </c>
      <c r="I607" s="2" t="s">
        <v>1426</v>
      </c>
      <c r="J607" s="2" t="s">
        <v>19</v>
      </c>
      <c r="K607" s="2" t="s">
        <v>353</v>
      </c>
      <c r="L607" s="7" t="str">
        <f t="shared" si="4"/>
        <v xml:space="preserve">http://slimages.macys.com/is/image/MCY/10786732 </v>
      </c>
    </row>
    <row r="608" spans="1:12" ht="24.75" x14ac:dyDescent="0.25">
      <c r="A608" s="4" t="s">
        <v>2820</v>
      </c>
      <c r="B608" s="2" t="s">
        <v>1539</v>
      </c>
      <c r="C608" s="3">
        <v>5</v>
      </c>
      <c r="D608" s="5">
        <v>26.99</v>
      </c>
      <c r="E608" s="3" t="s">
        <v>1540</v>
      </c>
      <c r="F608" s="2" t="s">
        <v>998</v>
      </c>
      <c r="G608" s="6" t="s">
        <v>16</v>
      </c>
      <c r="H608" s="2" t="s">
        <v>1473</v>
      </c>
      <c r="I608" s="2" t="s">
        <v>1426</v>
      </c>
      <c r="J608" s="2" t="s">
        <v>19</v>
      </c>
      <c r="K608" s="2" t="s">
        <v>353</v>
      </c>
      <c r="L608" s="7" t="str">
        <f t="shared" si="4"/>
        <v xml:space="preserve">http://slimages.macys.com/is/image/MCY/10786732 </v>
      </c>
    </row>
    <row r="609" spans="1:12" ht="24.75" x14ac:dyDescent="0.25">
      <c r="A609" s="4" t="s">
        <v>2825</v>
      </c>
      <c r="B609" s="2" t="s">
        <v>1539</v>
      </c>
      <c r="C609" s="3">
        <v>1</v>
      </c>
      <c r="D609" s="5">
        <v>26.99</v>
      </c>
      <c r="E609" s="3" t="s">
        <v>1540</v>
      </c>
      <c r="F609" s="2" t="s">
        <v>252</v>
      </c>
      <c r="G609" s="6" t="s">
        <v>22</v>
      </c>
      <c r="H609" s="2" t="s">
        <v>1473</v>
      </c>
      <c r="I609" s="2" t="s">
        <v>1426</v>
      </c>
      <c r="J609" s="2" t="s">
        <v>19</v>
      </c>
      <c r="K609" s="2" t="s">
        <v>353</v>
      </c>
      <c r="L609" s="7" t="str">
        <f t="shared" si="4"/>
        <v xml:space="preserve">http://slimages.macys.com/is/image/MCY/10786732 </v>
      </c>
    </row>
    <row r="610" spans="1:12" ht="24.75" x14ac:dyDescent="0.25">
      <c r="A610" s="4" t="s">
        <v>1553</v>
      </c>
      <c r="B610" s="2" t="s">
        <v>1539</v>
      </c>
      <c r="C610" s="3">
        <v>3</v>
      </c>
      <c r="D610" s="5">
        <v>26.99</v>
      </c>
      <c r="E610" s="3" t="s">
        <v>1540</v>
      </c>
      <c r="F610" s="2" t="s">
        <v>15</v>
      </c>
      <c r="G610" s="6" t="s">
        <v>16</v>
      </c>
      <c r="H610" s="2" t="s">
        <v>1473</v>
      </c>
      <c r="I610" s="2" t="s">
        <v>1426</v>
      </c>
      <c r="J610" s="2" t="s">
        <v>19</v>
      </c>
      <c r="K610" s="2" t="s">
        <v>353</v>
      </c>
      <c r="L610" s="7" t="str">
        <f t="shared" si="4"/>
        <v xml:space="preserve">http://slimages.macys.com/is/image/MCY/10786732 </v>
      </c>
    </row>
    <row r="611" spans="1:12" ht="24.75" x14ac:dyDescent="0.25">
      <c r="A611" s="4" t="s">
        <v>1545</v>
      </c>
      <c r="B611" s="2" t="s">
        <v>1539</v>
      </c>
      <c r="C611" s="3">
        <v>2</v>
      </c>
      <c r="D611" s="5">
        <v>26.99</v>
      </c>
      <c r="E611" s="3" t="s">
        <v>1540</v>
      </c>
      <c r="F611" s="2" t="s">
        <v>998</v>
      </c>
      <c r="G611" s="6" t="s">
        <v>58</v>
      </c>
      <c r="H611" s="2" t="s">
        <v>1473</v>
      </c>
      <c r="I611" s="2" t="s">
        <v>1426</v>
      </c>
      <c r="J611" s="2" t="s">
        <v>19</v>
      </c>
      <c r="K611" s="2" t="s">
        <v>353</v>
      </c>
      <c r="L611" s="7" t="str">
        <f t="shared" si="4"/>
        <v xml:space="preserve">http://slimages.macys.com/is/image/MCY/10786732 </v>
      </c>
    </row>
    <row r="612" spans="1:12" ht="24.75" x14ac:dyDescent="0.25">
      <c r="A612" s="4" t="s">
        <v>2827</v>
      </c>
      <c r="B612" s="2" t="s">
        <v>1539</v>
      </c>
      <c r="C612" s="3">
        <v>1</v>
      </c>
      <c r="D612" s="5">
        <v>26.99</v>
      </c>
      <c r="E612" s="3" t="s">
        <v>1540</v>
      </c>
      <c r="F612" s="2" t="s">
        <v>74</v>
      </c>
      <c r="G612" s="6" t="s">
        <v>112</v>
      </c>
      <c r="H612" s="2" t="s">
        <v>1473</v>
      </c>
      <c r="I612" s="2" t="s">
        <v>1426</v>
      </c>
      <c r="J612" s="2" t="s">
        <v>19</v>
      </c>
      <c r="K612" s="2" t="s">
        <v>353</v>
      </c>
      <c r="L612" s="7" t="str">
        <f t="shared" si="4"/>
        <v xml:space="preserve">http://slimages.macys.com/is/image/MCY/10786732 </v>
      </c>
    </row>
    <row r="613" spans="1:12" ht="24.75" x14ac:dyDescent="0.25">
      <c r="A613" s="4" t="s">
        <v>2819</v>
      </c>
      <c r="B613" s="2" t="s">
        <v>1539</v>
      </c>
      <c r="C613" s="3">
        <v>4</v>
      </c>
      <c r="D613" s="5">
        <v>26.99</v>
      </c>
      <c r="E613" s="3" t="s">
        <v>1540</v>
      </c>
      <c r="F613" s="2" t="s">
        <v>74</v>
      </c>
      <c r="G613" s="6" t="s">
        <v>22</v>
      </c>
      <c r="H613" s="2" t="s">
        <v>1473</v>
      </c>
      <c r="I613" s="2" t="s">
        <v>1426</v>
      </c>
      <c r="J613" s="2" t="s">
        <v>19</v>
      </c>
      <c r="K613" s="2" t="s">
        <v>353</v>
      </c>
      <c r="L613" s="7" t="str">
        <f t="shared" si="4"/>
        <v xml:space="preserve">http://slimages.macys.com/is/image/MCY/10786732 </v>
      </c>
    </row>
    <row r="614" spans="1:12" ht="24.75" x14ac:dyDescent="0.25">
      <c r="A614" s="4" t="s">
        <v>7551</v>
      </c>
      <c r="B614" s="2" t="s">
        <v>1539</v>
      </c>
      <c r="C614" s="3">
        <v>1</v>
      </c>
      <c r="D614" s="5">
        <v>26.99</v>
      </c>
      <c r="E614" s="3" t="s">
        <v>1540</v>
      </c>
      <c r="F614" s="2" t="s">
        <v>15</v>
      </c>
      <c r="G614" s="6" t="s">
        <v>58</v>
      </c>
      <c r="H614" s="2" t="s">
        <v>1473</v>
      </c>
      <c r="I614" s="2" t="s">
        <v>1426</v>
      </c>
      <c r="J614" s="2" t="s">
        <v>19</v>
      </c>
      <c r="K614" s="2" t="s">
        <v>353</v>
      </c>
      <c r="L614" s="7" t="str">
        <f t="shared" si="4"/>
        <v xml:space="preserve">http://slimages.macys.com/is/image/MCY/10786732 </v>
      </c>
    </row>
    <row r="615" spans="1:12" ht="24.75" x14ac:dyDescent="0.25">
      <c r="A615" s="4" t="s">
        <v>8255</v>
      </c>
      <c r="B615" s="2" t="s">
        <v>1539</v>
      </c>
      <c r="C615" s="3">
        <v>1</v>
      </c>
      <c r="D615" s="5">
        <v>26.99</v>
      </c>
      <c r="E615" s="3" t="s">
        <v>1540</v>
      </c>
      <c r="F615" s="2" t="s">
        <v>1234</v>
      </c>
      <c r="G615" s="6" t="s">
        <v>16</v>
      </c>
      <c r="H615" s="2" t="s">
        <v>1473</v>
      </c>
      <c r="I615" s="2" t="s">
        <v>1426</v>
      </c>
      <c r="J615" s="2" t="s">
        <v>19</v>
      </c>
      <c r="K615" s="2" t="s">
        <v>353</v>
      </c>
      <c r="L615" s="7" t="str">
        <f t="shared" si="4"/>
        <v xml:space="preserve">http://slimages.macys.com/is/image/MCY/10786732 </v>
      </c>
    </row>
    <row r="616" spans="1:12" ht="24.75" x14ac:dyDescent="0.25">
      <c r="A616" s="4" t="s">
        <v>2828</v>
      </c>
      <c r="B616" s="2" t="s">
        <v>1539</v>
      </c>
      <c r="C616" s="3">
        <v>3</v>
      </c>
      <c r="D616" s="5">
        <v>26.99</v>
      </c>
      <c r="E616" s="3" t="s">
        <v>1540</v>
      </c>
      <c r="F616" s="2" t="s">
        <v>74</v>
      </c>
      <c r="G616" s="6" t="s">
        <v>58</v>
      </c>
      <c r="H616" s="2" t="s">
        <v>1473</v>
      </c>
      <c r="I616" s="2" t="s">
        <v>1426</v>
      </c>
      <c r="J616" s="2" t="s">
        <v>19</v>
      </c>
      <c r="K616" s="2" t="s">
        <v>353</v>
      </c>
      <c r="L616" s="7" t="str">
        <f t="shared" si="4"/>
        <v xml:space="preserve">http://slimages.macys.com/is/image/MCY/10786732 </v>
      </c>
    </row>
    <row r="617" spans="1:12" ht="24.75" x14ac:dyDescent="0.25">
      <c r="A617" s="4" t="s">
        <v>5979</v>
      </c>
      <c r="B617" s="2" t="s">
        <v>1539</v>
      </c>
      <c r="C617" s="3">
        <v>5</v>
      </c>
      <c r="D617" s="5">
        <v>26.99</v>
      </c>
      <c r="E617" s="3" t="s">
        <v>1540</v>
      </c>
      <c r="F617" s="2" t="s">
        <v>74</v>
      </c>
      <c r="G617" s="6" t="s">
        <v>27</v>
      </c>
      <c r="H617" s="2" t="s">
        <v>1473</v>
      </c>
      <c r="I617" s="2" t="s">
        <v>1426</v>
      </c>
      <c r="J617" s="2" t="s">
        <v>19</v>
      </c>
      <c r="K617" s="2" t="s">
        <v>353</v>
      </c>
      <c r="L617" s="7" t="str">
        <f t="shared" si="4"/>
        <v xml:space="preserve">http://slimages.macys.com/is/image/MCY/10786732 </v>
      </c>
    </row>
    <row r="618" spans="1:12" ht="24.75" x14ac:dyDescent="0.25">
      <c r="A618" s="4" t="s">
        <v>5043</v>
      </c>
      <c r="B618" s="2" t="s">
        <v>1539</v>
      </c>
      <c r="C618" s="3">
        <v>3</v>
      </c>
      <c r="D618" s="5">
        <v>26.99</v>
      </c>
      <c r="E618" s="3" t="s">
        <v>1540</v>
      </c>
      <c r="F618" s="2" t="s">
        <v>74</v>
      </c>
      <c r="G618" s="6" t="s">
        <v>106</v>
      </c>
      <c r="H618" s="2" t="s">
        <v>1473</v>
      </c>
      <c r="I618" s="2" t="s">
        <v>1426</v>
      </c>
      <c r="J618" s="2" t="s">
        <v>19</v>
      </c>
      <c r="K618" s="2" t="s">
        <v>353</v>
      </c>
      <c r="L618" s="7" t="str">
        <f t="shared" si="4"/>
        <v xml:space="preserve">http://slimages.macys.com/is/image/MCY/10786732 </v>
      </c>
    </row>
    <row r="619" spans="1:12" ht="24.75" x14ac:dyDescent="0.25">
      <c r="A619" s="4" t="s">
        <v>1551</v>
      </c>
      <c r="B619" s="2" t="s">
        <v>1539</v>
      </c>
      <c r="C619" s="3">
        <v>2</v>
      </c>
      <c r="D619" s="5">
        <v>26.99</v>
      </c>
      <c r="E619" s="3" t="s">
        <v>1540</v>
      </c>
      <c r="F619" s="2" t="s">
        <v>74</v>
      </c>
      <c r="G619" s="6" t="s">
        <v>141</v>
      </c>
      <c r="H619" s="2" t="s">
        <v>1473</v>
      </c>
      <c r="I619" s="2" t="s">
        <v>1426</v>
      </c>
      <c r="J619" s="2" t="s">
        <v>19</v>
      </c>
      <c r="K619" s="2" t="s">
        <v>353</v>
      </c>
      <c r="L619" s="7" t="str">
        <f t="shared" si="4"/>
        <v xml:space="preserve">http://slimages.macys.com/is/image/MCY/10786732 </v>
      </c>
    </row>
    <row r="620" spans="1:12" ht="24.75" x14ac:dyDescent="0.25">
      <c r="A620" s="4" t="s">
        <v>8256</v>
      </c>
      <c r="B620" s="2" t="s">
        <v>1539</v>
      </c>
      <c r="C620" s="3">
        <v>5</v>
      </c>
      <c r="D620" s="5">
        <v>26.99</v>
      </c>
      <c r="E620" s="3" t="s">
        <v>1540</v>
      </c>
      <c r="F620" s="2" t="s">
        <v>74</v>
      </c>
      <c r="G620" s="6" t="s">
        <v>16</v>
      </c>
      <c r="H620" s="2" t="s">
        <v>1473</v>
      </c>
      <c r="I620" s="2" t="s">
        <v>1426</v>
      </c>
      <c r="J620" s="2" t="s">
        <v>19</v>
      </c>
      <c r="K620" s="2" t="s">
        <v>353</v>
      </c>
      <c r="L620" s="7" t="str">
        <f t="shared" si="4"/>
        <v xml:space="preserve">http://slimages.macys.com/is/image/MCY/10786732 </v>
      </c>
    </row>
    <row r="621" spans="1:12" ht="24.75" x14ac:dyDescent="0.25">
      <c r="A621" s="4" t="s">
        <v>2826</v>
      </c>
      <c r="B621" s="2" t="s">
        <v>1539</v>
      </c>
      <c r="C621" s="3">
        <v>1</v>
      </c>
      <c r="D621" s="5">
        <v>26.99</v>
      </c>
      <c r="E621" s="3" t="s">
        <v>1540</v>
      </c>
      <c r="F621" s="2" t="s">
        <v>998</v>
      </c>
      <c r="G621" s="6" t="s">
        <v>27</v>
      </c>
      <c r="H621" s="2" t="s">
        <v>1473</v>
      </c>
      <c r="I621" s="2" t="s">
        <v>1426</v>
      </c>
      <c r="J621" s="2" t="s">
        <v>19</v>
      </c>
      <c r="K621" s="2" t="s">
        <v>353</v>
      </c>
      <c r="L621" s="7" t="str">
        <f t="shared" si="4"/>
        <v xml:space="preserve">http://slimages.macys.com/is/image/MCY/10786732 </v>
      </c>
    </row>
    <row r="622" spans="1:12" ht="24.75" x14ac:dyDescent="0.25">
      <c r="A622" s="4" t="s">
        <v>8257</v>
      </c>
      <c r="B622" s="2" t="s">
        <v>1649</v>
      </c>
      <c r="C622" s="3">
        <v>1</v>
      </c>
      <c r="D622" s="5">
        <v>19.989999999999998</v>
      </c>
      <c r="E622" s="3" t="s">
        <v>1650</v>
      </c>
      <c r="F622" s="2" t="s">
        <v>413</v>
      </c>
      <c r="G622" s="6" t="s">
        <v>156</v>
      </c>
      <c r="H622" s="2" t="s">
        <v>194</v>
      </c>
      <c r="I622" s="2" t="s">
        <v>195</v>
      </c>
      <c r="J622" s="2" t="s">
        <v>19</v>
      </c>
      <c r="K622" s="2" t="s">
        <v>247</v>
      </c>
      <c r="L622" s="7" t="str">
        <f>HYPERLINK("http://slimages.macys.com/is/image/MCY/11466486 ")</f>
        <v xml:space="preserve">http://slimages.macys.com/is/image/MCY/11466486 </v>
      </c>
    </row>
    <row r="623" spans="1:12" ht="24.75" x14ac:dyDescent="0.25">
      <c r="A623" s="4" t="s">
        <v>8258</v>
      </c>
      <c r="B623" s="2" t="s">
        <v>1556</v>
      </c>
      <c r="C623" s="3">
        <v>1</v>
      </c>
      <c r="D623" s="5">
        <v>25.88</v>
      </c>
      <c r="E623" s="3">
        <v>100018059</v>
      </c>
      <c r="F623" s="2" t="s">
        <v>15</v>
      </c>
      <c r="G623" s="6" t="s">
        <v>234</v>
      </c>
      <c r="H623" s="2" t="s">
        <v>194</v>
      </c>
      <c r="I623" s="2" t="s">
        <v>195</v>
      </c>
      <c r="J623" s="2" t="s">
        <v>19</v>
      </c>
      <c r="K623" s="2" t="s">
        <v>648</v>
      </c>
      <c r="L623" s="7" t="str">
        <f>HYPERLINK("http://slimages.macys.com/is/image/MCY/9795496 ")</f>
        <v xml:space="preserve">http://slimages.macys.com/is/image/MCY/9795496 </v>
      </c>
    </row>
    <row r="624" spans="1:12" ht="24.75" x14ac:dyDescent="0.25">
      <c r="A624" s="4" t="s">
        <v>5983</v>
      </c>
      <c r="B624" s="2" t="s">
        <v>1556</v>
      </c>
      <c r="C624" s="3">
        <v>1</v>
      </c>
      <c r="D624" s="5">
        <v>25.88</v>
      </c>
      <c r="E624" s="3">
        <v>100018059</v>
      </c>
      <c r="F624" s="2" t="s">
        <v>64</v>
      </c>
      <c r="G624" s="6" t="s">
        <v>156</v>
      </c>
      <c r="H624" s="2" t="s">
        <v>194</v>
      </c>
      <c r="I624" s="2" t="s">
        <v>195</v>
      </c>
      <c r="J624" s="2" t="s">
        <v>19</v>
      </c>
      <c r="K624" s="2" t="s">
        <v>648</v>
      </c>
      <c r="L624" s="7" t="str">
        <f>HYPERLINK("http://slimages.macys.com/is/image/MCY/9795496 ")</f>
        <v xml:space="preserve">http://slimages.macys.com/is/image/MCY/9795496 </v>
      </c>
    </row>
    <row r="625" spans="1:12" ht="24.75" x14ac:dyDescent="0.25">
      <c r="A625" s="4" t="s">
        <v>1555</v>
      </c>
      <c r="B625" s="2" t="s">
        <v>1556</v>
      </c>
      <c r="C625" s="3">
        <v>2</v>
      </c>
      <c r="D625" s="5">
        <v>25.88</v>
      </c>
      <c r="E625" s="3">
        <v>100018059</v>
      </c>
      <c r="F625" s="2" t="s">
        <v>64</v>
      </c>
      <c r="G625" s="6" t="s">
        <v>181</v>
      </c>
      <c r="H625" s="2" t="s">
        <v>194</v>
      </c>
      <c r="I625" s="2" t="s">
        <v>195</v>
      </c>
      <c r="J625" s="2" t="s">
        <v>19</v>
      </c>
      <c r="K625" s="2" t="s">
        <v>648</v>
      </c>
      <c r="L625" s="7" t="str">
        <f>HYPERLINK("http://slimages.macys.com/is/image/MCY/9795496 ")</f>
        <v xml:space="preserve">http://slimages.macys.com/is/image/MCY/9795496 </v>
      </c>
    </row>
    <row r="626" spans="1:12" ht="24.75" x14ac:dyDescent="0.25">
      <c r="A626" s="4" t="s">
        <v>8259</v>
      </c>
      <c r="B626" s="2" t="s">
        <v>1572</v>
      </c>
      <c r="C626" s="3">
        <v>1</v>
      </c>
      <c r="D626" s="5">
        <v>36.5</v>
      </c>
      <c r="E626" s="3" t="s">
        <v>8260</v>
      </c>
      <c r="F626" s="2" t="s">
        <v>1914</v>
      </c>
      <c r="G626" s="6" t="s">
        <v>156</v>
      </c>
      <c r="H626" s="2" t="s">
        <v>194</v>
      </c>
      <c r="I626" s="2" t="s">
        <v>195</v>
      </c>
      <c r="J626" s="2" t="s">
        <v>19</v>
      </c>
      <c r="K626" s="2" t="s">
        <v>247</v>
      </c>
      <c r="L626" s="7" t="str">
        <f>HYPERLINK("http://slimages.macys.com/is/image/MCY/12063852 ")</f>
        <v xml:space="preserve">http://slimages.macys.com/is/image/MCY/12063852 </v>
      </c>
    </row>
    <row r="627" spans="1:12" ht="24.75" x14ac:dyDescent="0.25">
      <c r="A627" s="4" t="s">
        <v>8261</v>
      </c>
      <c r="B627" s="2" t="s">
        <v>1572</v>
      </c>
      <c r="C627" s="3">
        <v>1</v>
      </c>
      <c r="D627" s="5">
        <v>36.5</v>
      </c>
      <c r="E627" s="3" t="s">
        <v>8260</v>
      </c>
      <c r="F627" s="2" t="s">
        <v>1914</v>
      </c>
      <c r="G627" s="6" t="s">
        <v>181</v>
      </c>
      <c r="H627" s="2" t="s">
        <v>194</v>
      </c>
      <c r="I627" s="2" t="s">
        <v>195</v>
      </c>
      <c r="J627" s="2" t="s">
        <v>19</v>
      </c>
      <c r="K627" s="2" t="s">
        <v>247</v>
      </c>
      <c r="L627" s="7" t="str">
        <f>HYPERLINK("http://slimages.macys.com/is/image/MCY/12063852 ")</f>
        <v xml:space="preserve">http://slimages.macys.com/is/image/MCY/12063852 </v>
      </c>
    </row>
    <row r="628" spans="1:12" ht="24.75" x14ac:dyDescent="0.25">
      <c r="A628" s="4" t="s">
        <v>1590</v>
      </c>
      <c r="B628" s="2" t="s">
        <v>1586</v>
      </c>
      <c r="C628" s="3">
        <v>1</v>
      </c>
      <c r="D628" s="5">
        <v>21.99</v>
      </c>
      <c r="E628" s="3" t="s">
        <v>1591</v>
      </c>
      <c r="F628" s="2" t="s">
        <v>1234</v>
      </c>
      <c r="G628" s="6" t="s">
        <v>154</v>
      </c>
      <c r="H628" s="2" t="s">
        <v>1473</v>
      </c>
      <c r="I628" s="2" t="s">
        <v>1426</v>
      </c>
      <c r="J628" s="2" t="s">
        <v>19</v>
      </c>
      <c r="K628" s="2" t="s">
        <v>34</v>
      </c>
      <c r="L628" s="7" t="str">
        <f>HYPERLINK("http://slimages.macys.com/is/image/MCY/10205114 ")</f>
        <v xml:space="preserve">http://slimages.macys.com/is/image/MCY/10205114 </v>
      </c>
    </row>
    <row r="629" spans="1:12" ht="24.75" x14ac:dyDescent="0.25">
      <c r="A629" s="4" t="s">
        <v>1604</v>
      </c>
      <c r="B629" s="2" t="s">
        <v>1600</v>
      </c>
      <c r="C629" s="3">
        <v>1</v>
      </c>
      <c r="D629" s="5">
        <v>21.99</v>
      </c>
      <c r="E629" s="3" t="s">
        <v>1601</v>
      </c>
      <c r="F629" s="2" t="s">
        <v>136</v>
      </c>
      <c r="G629" s="6" t="s">
        <v>219</v>
      </c>
      <c r="H629" s="2" t="s">
        <v>1425</v>
      </c>
      <c r="I629" s="2" t="s">
        <v>1426</v>
      </c>
      <c r="J629" s="2"/>
      <c r="K629" s="2"/>
      <c r="L629" s="7" t="str">
        <f>HYPERLINK("http://slimages.macys.com/is/image/MCY/10205122 ")</f>
        <v xml:space="preserve">http://slimages.macys.com/is/image/MCY/10205122 </v>
      </c>
    </row>
    <row r="630" spans="1:12" ht="24.75" x14ac:dyDescent="0.25">
      <c r="A630" s="4" t="s">
        <v>3976</v>
      </c>
      <c r="B630" s="2" t="s">
        <v>1586</v>
      </c>
      <c r="C630" s="3">
        <v>1</v>
      </c>
      <c r="D630" s="5">
        <v>21.99</v>
      </c>
      <c r="E630" s="3" t="s">
        <v>1587</v>
      </c>
      <c r="F630" s="2" t="s">
        <v>15</v>
      </c>
      <c r="G630" s="6"/>
      <c r="H630" s="2" t="s">
        <v>1425</v>
      </c>
      <c r="I630" s="2" t="s">
        <v>1426</v>
      </c>
      <c r="J630" s="2" t="s">
        <v>19</v>
      </c>
      <c r="K630" s="2" t="s">
        <v>34</v>
      </c>
      <c r="L630" s="7" t="str">
        <f>HYPERLINK("http://slimages.macys.com/is/image/MCY/11174709 ")</f>
        <v xml:space="preserve">http://slimages.macys.com/is/image/MCY/11174709 </v>
      </c>
    </row>
    <row r="631" spans="1:12" ht="24.75" x14ac:dyDescent="0.25">
      <c r="A631" s="4" t="s">
        <v>3977</v>
      </c>
      <c r="B631" s="2" t="s">
        <v>1600</v>
      </c>
      <c r="C631" s="3">
        <v>1</v>
      </c>
      <c r="D631" s="5">
        <v>21.99</v>
      </c>
      <c r="E631" s="3" t="s">
        <v>1601</v>
      </c>
      <c r="F631" s="2" t="s">
        <v>136</v>
      </c>
      <c r="G631" s="6"/>
      <c r="H631" s="2" t="s">
        <v>1425</v>
      </c>
      <c r="I631" s="2" t="s">
        <v>1426</v>
      </c>
      <c r="J631" s="2"/>
      <c r="K631" s="2"/>
      <c r="L631" s="7" t="str">
        <f>HYPERLINK("http://slimages.macys.com/is/image/MCY/10205122 ")</f>
        <v xml:space="preserve">http://slimages.macys.com/is/image/MCY/10205122 </v>
      </c>
    </row>
    <row r="632" spans="1:12" ht="24.75" x14ac:dyDescent="0.25">
      <c r="A632" s="4" t="s">
        <v>3981</v>
      </c>
      <c r="B632" s="2" t="s">
        <v>1600</v>
      </c>
      <c r="C632" s="3">
        <v>2</v>
      </c>
      <c r="D632" s="5">
        <v>21.99</v>
      </c>
      <c r="E632" s="3" t="s">
        <v>1601</v>
      </c>
      <c r="F632" s="2" t="s">
        <v>252</v>
      </c>
      <c r="G632" s="6"/>
      <c r="H632" s="2" t="s">
        <v>1425</v>
      </c>
      <c r="I632" s="2" t="s">
        <v>1426</v>
      </c>
      <c r="J632" s="2" t="s">
        <v>19</v>
      </c>
      <c r="K632" s="2" t="s">
        <v>34</v>
      </c>
      <c r="L632" s="7" t="str">
        <f>HYPERLINK("http://slimages.macys.com/is/image/MCY/11174709 ")</f>
        <v xml:space="preserve">http://slimages.macys.com/is/image/MCY/11174709 </v>
      </c>
    </row>
    <row r="633" spans="1:12" ht="24.75" x14ac:dyDescent="0.25">
      <c r="A633" s="4" t="s">
        <v>1603</v>
      </c>
      <c r="B633" s="2" t="s">
        <v>1586</v>
      </c>
      <c r="C633" s="3">
        <v>5</v>
      </c>
      <c r="D633" s="5">
        <v>21.99</v>
      </c>
      <c r="E633" s="3" t="s">
        <v>1587</v>
      </c>
      <c r="F633" s="2" t="s">
        <v>74</v>
      </c>
      <c r="G633" s="6"/>
      <c r="H633" s="2" t="s">
        <v>1425</v>
      </c>
      <c r="I633" s="2" t="s">
        <v>1426</v>
      </c>
      <c r="J633" s="2" t="s">
        <v>19</v>
      </c>
      <c r="K633" s="2" t="s">
        <v>34</v>
      </c>
      <c r="L633" s="7" t="str">
        <f>HYPERLINK("http://slimages.macys.com/is/image/MCY/11174709 ")</f>
        <v xml:space="preserve">http://slimages.macys.com/is/image/MCY/11174709 </v>
      </c>
    </row>
    <row r="634" spans="1:12" ht="24.75" x14ac:dyDescent="0.25">
      <c r="A634" s="4" t="s">
        <v>3987</v>
      </c>
      <c r="B634" s="2" t="s">
        <v>1529</v>
      </c>
      <c r="C634" s="3">
        <v>1</v>
      </c>
      <c r="D634" s="5">
        <v>37.130000000000003</v>
      </c>
      <c r="E634" s="3" t="s">
        <v>1530</v>
      </c>
      <c r="F634" s="2" t="s">
        <v>74</v>
      </c>
      <c r="G634" s="6" t="s">
        <v>934</v>
      </c>
      <c r="H634" s="2" t="s">
        <v>312</v>
      </c>
      <c r="I634" s="2" t="s">
        <v>195</v>
      </c>
      <c r="J634" s="2" t="s">
        <v>19</v>
      </c>
      <c r="K634" s="2" t="s">
        <v>353</v>
      </c>
      <c r="L634" s="7" t="str">
        <f>HYPERLINK("http://slimages.macys.com/is/image/MCY/11938040 ")</f>
        <v xml:space="preserve">http://slimages.macys.com/is/image/MCY/11938040 </v>
      </c>
    </row>
    <row r="635" spans="1:12" ht="24.75" x14ac:dyDescent="0.25">
      <c r="A635" s="4" t="s">
        <v>1621</v>
      </c>
      <c r="B635" s="2" t="s">
        <v>1529</v>
      </c>
      <c r="C635" s="3">
        <v>1</v>
      </c>
      <c r="D635" s="5">
        <v>37.130000000000003</v>
      </c>
      <c r="E635" s="3" t="s">
        <v>1530</v>
      </c>
      <c r="F635" s="2" t="s">
        <v>998</v>
      </c>
      <c r="G635" s="6" t="s">
        <v>205</v>
      </c>
      <c r="H635" s="2" t="s">
        <v>312</v>
      </c>
      <c r="I635" s="2" t="s">
        <v>195</v>
      </c>
      <c r="J635" s="2" t="s">
        <v>19</v>
      </c>
      <c r="K635" s="2" t="s">
        <v>353</v>
      </c>
      <c r="L635" s="7" t="str">
        <f>HYPERLINK("http://slimages.macys.com/is/image/MCY/11938040 ")</f>
        <v xml:space="preserve">http://slimages.macys.com/is/image/MCY/11938040 </v>
      </c>
    </row>
    <row r="636" spans="1:12" ht="24.75" x14ac:dyDescent="0.25">
      <c r="A636" s="4" t="s">
        <v>8262</v>
      </c>
      <c r="B636" s="2" t="s">
        <v>1529</v>
      </c>
      <c r="C636" s="3">
        <v>1</v>
      </c>
      <c r="D636" s="5">
        <v>37.130000000000003</v>
      </c>
      <c r="E636" s="3" t="s">
        <v>1530</v>
      </c>
      <c r="F636" s="2" t="s">
        <v>74</v>
      </c>
      <c r="G636" s="6" t="s">
        <v>165</v>
      </c>
      <c r="H636" s="2" t="s">
        <v>312</v>
      </c>
      <c r="I636" s="2" t="s">
        <v>195</v>
      </c>
      <c r="J636" s="2" t="s">
        <v>19</v>
      </c>
      <c r="K636" s="2" t="s">
        <v>353</v>
      </c>
      <c r="L636" s="7" t="str">
        <f>HYPERLINK("http://slimages.macys.com/is/image/MCY/11938040 ")</f>
        <v xml:space="preserve">http://slimages.macys.com/is/image/MCY/11938040 </v>
      </c>
    </row>
    <row r="637" spans="1:12" ht="24.75" x14ac:dyDescent="0.25">
      <c r="A637" s="4" t="s">
        <v>5059</v>
      </c>
      <c r="B637" s="2" t="s">
        <v>2856</v>
      </c>
      <c r="C637" s="3">
        <v>2</v>
      </c>
      <c r="D637" s="5">
        <v>24.99</v>
      </c>
      <c r="E637" s="3" t="s">
        <v>2857</v>
      </c>
      <c r="F637" s="2" t="s">
        <v>15</v>
      </c>
      <c r="G637" s="6"/>
      <c r="H637" s="2" t="s">
        <v>1425</v>
      </c>
      <c r="I637" s="2" t="s">
        <v>1426</v>
      </c>
      <c r="J637" s="2" t="s">
        <v>19</v>
      </c>
      <c r="K637" s="2" t="s">
        <v>495</v>
      </c>
      <c r="L637" s="7" t="str">
        <f>HYPERLINK("http://slimages.macys.com/is/image/MCY/11831271 ")</f>
        <v xml:space="preserve">http://slimages.macys.com/is/image/MCY/11831271 </v>
      </c>
    </row>
    <row r="638" spans="1:12" ht="24.75" x14ac:dyDescent="0.25">
      <c r="A638" s="4" t="s">
        <v>5056</v>
      </c>
      <c r="B638" s="2" t="s">
        <v>2859</v>
      </c>
      <c r="C638" s="3">
        <v>1</v>
      </c>
      <c r="D638" s="5">
        <v>24.99</v>
      </c>
      <c r="E638" s="3" t="s">
        <v>2860</v>
      </c>
      <c r="F638" s="2" t="s">
        <v>252</v>
      </c>
      <c r="G638" s="6"/>
      <c r="H638" s="2" t="s">
        <v>1425</v>
      </c>
      <c r="I638" s="2" t="s">
        <v>1426</v>
      </c>
      <c r="J638" s="2" t="s">
        <v>19</v>
      </c>
      <c r="K638" s="2" t="s">
        <v>648</v>
      </c>
      <c r="L638" s="7" t="str">
        <f>HYPERLINK("http://slimages.macys.com/is/image/MCY/11915841 ")</f>
        <v xml:space="preserve">http://slimages.macys.com/is/image/MCY/11915841 </v>
      </c>
    </row>
    <row r="639" spans="1:12" ht="24.75" x14ac:dyDescent="0.25">
      <c r="A639" s="4" t="s">
        <v>8263</v>
      </c>
      <c r="B639" s="2" t="s">
        <v>8264</v>
      </c>
      <c r="C639" s="3">
        <v>1</v>
      </c>
      <c r="D639" s="5">
        <v>24.99</v>
      </c>
      <c r="E639" s="3" t="s">
        <v>8265</v>
      </c>
      <c r="F639" s="2" t="s">
        <v>252</v>
      </c>
      <c r="G639" s="6" t="s">
        <v>234</v>
      </c>
      <c r="H639" s="2" t="s">
        <v>1473</v>
      </c>
      <c r="I639" s="2" t="s">
        <v>1426</v>
      </c>
      <c r="J639" s="2" t="s">
        <v>19</v>
      </c>
      <c r="K639" s="2" t="s">
        <v>648</v>
      </c>
      <c r="L639" s="7" t="str">
        <f>HYPERLINK("http://slimages.macys.com/is/image/MCY/9484387 ")</f>
        <v xml:space="preserve">http://slimages.macys.com/is/image/MCY/9484387 </v>
      </c>
    </row>
    <row r="640" spans="1:12" ht="24.75" x14ac:dyDescent="0.25">
      <c r="A640" s="4" t="s">
        <v>2864</v>
      </c>
      <c r="B640" s="2" t="s">
        <v>2859</v>
      </c>
      <c r="C640" s="3">
        <v>1</v>
      </c>
      <c r="D640" s="5">
        <v>24.99</v>
      </c>
      <c r="E640" s="3" t="s">
        <v>2865</v>
      </c>
      <c r="F640" s="2" t="s">
        <v>252</v>
      </c>
      <c r="G640" s="6" t="s">
        <v>156</v>
      </c>
      <c r="H640" s="2" t="s">
        <v>1473</v>
      </c>
      <c r="I640" s="2" t="s">
        <v>1426</v>
      </c>
      <c r="J640" s="2" t="s">
        <v>19</v>
      </c>
      <c r="K640" s="2" t="s">
        <v>648</v>
      </c>
      <c r="L640" s="7" t="str">
        <f>HYPERLINK("http://slimages.macys.com/is/image/MCY/11915841 ")</f>
        <v xml:space="preserve">http://slimages.macys.com/is/image/MCY/11915841 </v>
      </c>
    </row>
    <row r="641" spans="1:12" ht="24.75" x14ac:dyDescent="0.25">
      <c r="A641" s="4" t="s">
        <v>2867</v>
      </c>
      <c r="B641" s="2" t="s">
        <v>1627</v>
      </c>
      <c r="C641" s="3">
        <v>1</v>
      </c>
      <c r="D641" s="5">
        <v>25.88</v>
      </c>
      <c r="E641" s="3" t="s">
        <v>1628</v>
      </c>
      <c r="F641" s="2" t="s">
        <v>70</v>
      </c>
      <c r="G641" s="6" t="s">
        <v>234</v>
      </c>
      <c r="H641" s="2" t="s">
        <v>194</v>
      </c>
      <c r="I641" s="2" t="s">
        <v>195</v>
      </c>
      <c r="J641" s="2" t="s">
        <v>19</v>
      </c>
      <c r="K641" s="2" t="s">
        <v>1629</v>
      </c>
      <c r="L641" s="7" t="str">
        <f>HYPERLINK("http://slimages.macys.com/is/image/MCY/11531058 ")</f>
        <v xml:space="preserve">http://slimages.macys.com/is/image/MCY/11531058 </v>
      </c>
    </row>
    <row r="642" spans="1:12" ht="24.75" x14ac:dyDescent="0.25">
      <c r="A642" s="4" t="s">
        <v>2868</v>
      </c>
      <c r="B642" s="2" t="s">
        <v>1627</v>
      </c>
      <c r="C642" s="3">
        <v>1</v>
      </c>
      <c r="D642" s="5">
        <v>25.88</v>
      </c>
      <c r="E642" s="3" t="s">
        <v>1628</v>
      </c>
      <c r="F642" s="2" t="s">
        <v>70</v>
      </c>
      <c r="G642" s="6" t="s">
        <v>181</v>
      </c>
      <c r="H642" s="2" t="s">
        <v>194</v>
      </c>
      <c r="I642" s="2" t="s">
        <v>195</v>
      </c>
      <c r="J642" s="2" t="s">
        <v>19</v>
      </c>
      <c r="K642" s="2" t="s">
        <v>1629</v>
      </c>
      <c r="L642" s="7" t="str">
        <f>HYPERLINK("http://slimages.macys.com/is/image/MCY/11531058 ")</f>
        <v xml:space="preserve">http://slimages.macys.com/is/image/MCY/11531058 </v>
      </c>
    </row>
    <row r="643" spans="1:12" ht="24.75" x14ac:dyDescent="0.25">
      <c r="A643" s="4" t="s">
        <v>8266</v>
      </c>
      <c r="B643" s="2" t="s">
        <v>2878</v>
      </c>
      <c r="C643" s="3">
        <v>1</v>
      </c>
      <c r="D643" s="5">
        <v>29.5</v>
      </c>
      <c r="E643" s="3" t="s">
        <v>2879</v>
      </c>
      <c r="F643" s="2" t="s">
        <v>26</v>
      </c>
      <c r="G643" s="6" t="s">
        <v>234</v>
      </c>
      <c r="H643" s="2" t="s">
        <v>194</v>
      </c>
      <c r="I643" s="2" t="s">
        <v>195</v>
      </c>
      <c r="J643" s="2" t="s">
        <v>19</v>
      </c>
      <c r="K643" s="2" t="s">
        <v>1108</v>
      </c>
      <c r="L643" s="7" t="str">
        <f>HYPERLINK("http://slimages.macys.com/is/image/MCY/12144113 ")</f>
        <v xml:space="preserve">http://slimages.macys.com/is/image/MCY/12144113 </v>
      </c>
    </row>
    <row r="644" spans="1:12" ht="24.75" x14ac:dyDescent="0.25">
      <c r="A644" s="4" t="s">
        <v>1634</v>
      </c>
      <c r="B644" s="2" t="s">
        <v>1635</v>
      </c>
      <c r="C644" s="3">
        <v>1</v>
      </c>
      <c r="D644" s="5">
        <v>25.88</v>
      </c>
      <c r="E644" s="3">
        <v>100011992</v>
      </c>
      <c r="F644" s="2" t="s">
        <v>64</v>
      </c>
      <c r="G644" s="6" t="s">
        <v>156</v>
      </c>
      <c r="H644" s="2" t="s">
        <v>194</v>
      </c>
      <c r="I644" s="2" t="s">
        <v>195</v>
      </c>
      <c r="J644" s="2" t="s">
        <v>19</v>
      </c>
      <c r="K644" s="2" t="s">
        <v>1617</v>
      </c>
      <c r="L644" s="7" t="str">
        <f t="shared" ref="L644:L652" si="5">HYPERLINK("http://slimages.macys.com/is/image/MCY/13314771 ")</f>
        <v xml:space="preserve">http://slimages.macys.com/is/image/MCY/13314771 </v>
      </c>
    </row>
    <row r="645" spans="1:12" ht="24.75" x14ac:dyDescent="0.25">
      <c r="A645" s="4" t="s">
        <v>3989</v>
      </c>
      <c r="B645" s="2" t="s">
        <v>1635</v>
      </c>
      <c r="C645" s="3">
        <v>1</v>
      </c>
      <c r="D645" s="5">
        <v>25.88</v>
      </c>
      <c r="E645" s="3">
        <v>100011992</v>
      </c>
      <c r="F645" s="2" t="s">
        <v>53</v>
      </c>
      <c r="G645" s="6" t="s">
        <v>156</v>
      </c>
      <c r="H645" s="2" t="s">
        <v>194</v>
      </c>
      <c r="I645" s="2" t="s">
        <v>195</v>
      </c>
      <c r="J645" s="2" t="s">
        <v>19</v>
      </c>
      <c r="K645" s="2" t="s">
        <v>1617</v>
      </c>
      <c r="L645" s="7" t="str">
        <f t="shared" si="5"/>
        <v xml:space="preserve">http://slimages.macys.com/is/image/MCY/13314771 </v>
      </c>
    </row>
    <row r="646" spans="1:12" ht="24.75" x14ac:dyDescent="0.25">
      <c r="A646" s="4" t="s">
        <v>8267</v>
      </c>
      <c r="B646" s="2" t="s">
        <v>1635</v>
      </c>
      <c r="C646" s="3">
        <v>1</v>
      </c>
      <c r="D646" s="5">
        <v>25.88</v>
      </c>
      <c r="E646" s="3">
        <v>100011992</v>
      </c>
      <c r="F646" s="2" t="s">
        <v>33</v>
      </c>
      <c r="G646" s="6" t="s">
        <v>234</v>
      </c>
      <c r="H646" s="2" t="s">
        <v>194</v>
      </c>
      <c r="I646" s="2" t="s">
        <v>195</v>
      </c>
      <c r="J646" s="2" t="s">
        <v>19</v>
      </c>
      <c r="K646" s="2" t="s">
        <v>1617</v>
      </c>
      <c r="L646" s="7" t="str">
        <f t="shared" si="5"/>
        <v xml:space="preserve">http://slimages.macys.com/is/image/MCY/13314771 </v>
      </c>
    </row>
    <row r="647" spans="1:12" ht="24.75" x14ac:dyDescent="0.25">
      <c r="A647" s="4" t="s">
        <v>1640</v>
      </c>
      <c r="B647" s="2" t="s">
        <v>1635</v>
      </c>
      <c r="C647" s="3">
        <v>1</v>
      </c>
      <c r="D647" s="5">
        <v>25.88</v>
      </c>
      <c r="E647" s="3">
        <v>100011992</v>
      </c>
      <c r="F647" s="2" t="s">
        <v>53</v>
      </c>
      <c r="G647" s="6" t="s">
        <v>234</v>
      </c>
      <c r="H647" s="2" t="s">
        <v>194</v>
      </c>
      <c r="I647" s="2" t="s">
        <v>195</v>
      </c>
      <c r="J647" s="2" t="s">
        <v>19</v>
      </c>
      <c r="K647" s="2" t="s">
        <v>1617</v>
      </c>
      <c r="L647" s="7" t="str">
        <f t="shared" si="5"/>
        <v xml:space="preserve">http://slimages.macys.com/is/image/MCY/13314771 </v>
      </c>
    </row>
    <row r="648" spans="1:12" ht="24.75" x14ac:dyDescent="0.25">
      <c r="A648" s="4" t="s">
        <v>2870</v>
      </c>
      <c r="B648" s="2" t="s">
        <v>1635</v>
      </c>
      <c r="C648" s="3">
        <v>1</v>
      </c>
      <c r="D648" s="5">
        <v>25.88</v>
      </c>
      <c r="E648" s="3">
        <v>100011992</v>
      </c>
      <c r="F648" s="2" t="s">
        <v>64</v>
      </c>
      <c r="G648" s="6" t="s">
        <v>181</v>
      </c>
      <c r="H648" s="2" t="s">
        <v>194</v>
      </c>
      <c r="I648" s="2" t="s">
        <v>195</v>
      </c>
      <c r="J648" s="2" t="s">
        <v>19</v>
      </c>
      <c r="K648" s="2" t="s">
        <v>1617</v>
      </c>
      <c r="L648" s="7" t="str">
        <f t="shared" si="5"/>
        <v xml:space="preserve">http://slimages.macys.com/is/image/MCY/13314771 </v>
      </c>
    </row>
    <row r="649" spans="1:12" ht="24.75" x14ac:dyDescent="0.25">
      <c r="A649" s="4" t="s">
        <v>2876</v>
      </c>
      <c r="B649" s="2" t="s">
        <v>1635</v>
      </c>
      <c r="C649" s="3">
        <v>2</v>
      </c>
      <c r="D649" s="5">
        <v>25.88</v>
      </c>
      <c r="E649" s="3">
        <v>100011992</v>
      </c>
      <c r="F649" s="2" t="s">
        <v>53</v>
      </c>
      <c r="G649" s="6" t="s">
        <v>154</v>
      </c>
      <c r="H649" s="2" t="s">
        <v>194</v>
      </c>
      <c r="I649" s="2" t="s">
        <v>195</v>
      </c>
      <c r="J649" s="2" t="s">
        <v>19</v>
      </c>
      <c r="K649" s="2" t="s">
        <v>1617</v>
      </c>
      <c r="L649" s="7" t="str">
        <f t="shared" si="5"/>
        <v xml:space="preserve">http://slimages.macys.com/is/image/MCY/13314771 </v>
      </c>
    </row>
    <row r="650" spans="1:12" ht="24.75" x14ac:dyDescent="0.25">
      <c r="A650" s="4" t="s">
        <v>1637</v>
      </c>
      <c r="B650" s="2" t="s">
        <v>1635</v>
      </c>
      <c r="C650" s="3">
        <v>1</v>
      </c>
      <c r="D650" s="5">
        <v>25.88</v>
      </c>
      <c r="E650" s="3">
        <v>100011992</v>
      </c>
      <c r="F650" s="2" t="s">
        <v>53</v>
      </c>
      <c r="G650" s="6" t="s">
        <v>245</v>
      </c>
      <c r="H650" s="2" t="s">
        <v>194</v>
      </c>
      <c r="I650" s="2" t="s">
        <v>195</v>
      </c>
      <c r="J650" s="2" t="s">
        <v>19</v>
      </c>
      <c r="K650" s="2" t="s">
        <v>1617</v>
      </c>
      <c r="L650" s="7" t="str">
        <f t="shared" si="5"/>
        <v xml:space="preserve">http://slimages.macys.com/is/image/MCY/13314771 </v>
      </c>
    </row>
    <row r="651" spans="1:12" ht="24.75" x14ac:dyDescent="0.25">
      <c r="A651" s="4" t="s">
        <v>1639</v>
      </c>
      <c r="B651" s="2" t="s">
        <v>1635</v>
      </c>
      <c r="C651" s="3">
        <v>1</v>
      </c>
      <c r="D651" s="5">
        <v>25.88</v>
      </c>
      <c r="E651" s="3">
        <v>100011992</v>
      </c>
      <c r="F651" s="2" t="s">
        <v>64</v>
      </c>
      <c r="G651" s="6" t="s">
        <v>234</v>
      </c>
      <c r="H651" s="2" t="s">
        <v>194</v>
      </c>
      <c r="I651" s="2" t="s">
        <v>195</v>
      </c>
      <c r="J651" s="2" t="s">
        <v>19</v>
      </c>
      <c r="K651" s="2" t="s">
        <v>1617</v>
      </c>
      <c r="L651" s="7" t="str">
        <f t="shared" si="5"/>
        <v xml:space="preserve">http://slimages.macys.com/is/image/MCY/13314771 </v>
      </c>
    </row>
    <row r="652" spans="1:12" ht="24.75" x14ac:dyDescent="0.25">
      <c r="A652" s="4" t="s">
        <v>1638</v>
      </c>
      <c r="B652" s="2" t="s">
        <v>1635</v>
      </c>
      <c r="C652" s="3">
        <v>1</v>
      </c>
      <c r="D652" s="5">
        <v>25.88</v>
      </c>
      <c r="E652" s="3">
        <v>100011992</v>
      </c>
      <c r="F652" s="2" t="s">
        <v>53</v>
      </c>
      <c r="G652" s="6" t="s">
        <v>181</v>
      </c>
      <c r="H652" s="2" t="s">
        <v>194</v>
      </c>
      <c r="I652" s="2" t="s">
        <v>195</v>
      </c>
      <c r="J652" s="2" t="s">
        <v>19</v>
      </c>
      <c r="K652" s="2" t="s">
        <v>1617</v>
      </c>
      <c r="L652" s="7" t="str">
        <f t="shared" si="5"/>
        <v xml:space="preserve">http://slimages.macys.com/is/image/MCY/13314771 </v>
      </c>
    </row>
    <row r="653" spans="1:12" ht="24.75" x14ac:dyDescent="0.25">
      <c r="A653" s="4" t="s">
        <v>8268</v>
      </c>
      <c r="B653" s="2" t="s">
        <v>2874</v>
      </c>
      <c r="C653" s="3">
        <v>1</v>
      </c>
      <c r="D653" s="5">
        <v>24.99</v>
      </c>
      <c r="E653" s="3" t="s">
        <v>2875</v>
      </c>
      <c r="F653" s="2" t="s">
        <v>26</v>
      </c>
      <c r="G653" s="6"/>
      <c r="H653" s="2" t="s">
        <v>1425</v>
      </c>
      <c r="I653" s="2" t="s">
        <v>1469</v>
      </c>
      <c r="J653" s="2" t="s">
        <v>19</v>
      </c>
      <c r="K653" s="2" t="s">
        <v>648</v>
      </c>
      <c r="L653" s="7" t="str">
        <f>HYPERLINK("http://slimages.macys.com/is/image/MCY/11417681 ")</f>
        <v xml:space="preserve">http://slimages.macys.com/is/image/MCY/11417681 </v>
      </c>
    </row>
    <row r="654" spans="1:12" ht="24.75" x14ac:dyDescent="0.25">
      <c r="A654" s="4" t="s">
        <v>2869</v>
      </c>
      <c r="B654" s="2" t="s">
        <v>1635</v>
      </c>
      <c r="C654" s="3">
        <v>2</v>
      </c>
      <c r="D654" s="5">
        <v>25.88</v>
      </c>
      <c r="E654" s="3">
        <v>100011992</v>
      </c>
      <c r="F654" s="2" t="s">
        <v>57</v>
      </c>
      <c r="G654" s="6" t="s">
        <v>154</v>
      </c>
      <c r="H654" s="2" t="s">
        <v>194</v>
      </c>
      <c r="I654" s="2" t="s">
        <v>195</v>
      </c>
      <c r="J654" s="2" t="s">
        <v>19</v>
      </c>
      <c r="K654" s="2" t="s">
        <v>1617</v>
      </c>
      <c r="L654" s="7" t="str">
        <f>HYPERLINK("http://slimages.macys.com/is/image/MCY/13314771 ")</f>
        <v xml:space="preserve">http://slimages.macys.com/is/image/MCY/13314771 </v>
      </c>
    </row>
    <row r="655" spans="1:12" ht="24.75" x14ac:dyDescent="0.25">
      <c r="A655" s="4" t="s">
        <v>1644</v>
      </c>
      <c r="B655" s="2" t="s">
        <v>1645</v>
      </c>
      <c r="C655" s="3">
        <v>1</v>
      </c>
      <c r="D655" s="5">
        <v>19.989999999999998</v>
      </c>
      <c r="E655" s="3" t="s">
        <v>1646</v>
      </c>
      <c r="F655" s="2" t="s">
        <v>70</v>
      </c>
      <c r="G655" s="6" t="s">
        <v>181</v>
      </c>
      <c r="H655" s="2" t="s">
        <v>194</v>
      </c>
      <c r="I655" s="2" t="s">
        <v>195</v>
      </c>
      <c r="J655" s="2" t="s">
        <v>19</v>
      </c>
      <c r="K655" s="2" t="s">
        <v>1647</v>
      </c>
      <c r="L655" s="7" t="str">
        <f>HYPERLINK("http://slimages.macys.com/is/image/MCY/11701460 ")</f>
        <v xml:space="preserve">http://slimages.macys.com/is/image/MCY/11701460 </v>
      </c>
    </row>
    <row r="656" spans="1:12" ht="24.75" x14ac:dyDescent="0.25">
      <c r="A656" s="4" t="s">
        <v>1665</v>
      </c>
      <c r="B656" s="2" t="s">
        <v>1645</v>
      </c>
      <c r="C656" s="3">
        <v>1</v>
      </c>
      <c r="D656" s="5">
        <v>19.989999999999998</v>
      </c>
      <c r="E656" s="3" t="s">
        <v>1646</v>
      </c>
      <c r="F656" s="2" t="s">
        <v>820</v>
      </c>
      <c r="G656" s="6" t="s">
        <v>154</v>
      </c>
      <c r="H656" s="2" t="s">
        <v>194</v>
      </c>
      <c r="I656" s="2" t="s">
        <v>195</v>
      </c>
      <c r="J656" s="2" t="s">
        <v>19</v>
      </c>
      <c r="K656" s="2" t="s">
        <v>1647</v>
      </c>
      <c r="L656" s="7" t="str">
        <f>HYPERLINK("http://slimages.macys.com/is/image/MCY/12405276 ")</f>
        <v xml:space="preserve">http://slimages.macys.com/is/image/MCY/12405276 </v>
      </c>
    </row>
    <row r="657" spans="1:12" ht="48.75" x14ac:dyDescent="0.25">
      <c r="A657" s="4" t="s">
        <v>8269</v>
      </c>
      <c r="B657" s="2" t="s">
        <v>1579</v>
      </c>
      <c r="C657" s="3">
        <v>1</v>
      </c>
      <c r="D657" s="5">
        <v>29.63</v>
      </c>
      <c r="E657" s="3" t="s">
        <v>8270</v>
      </c>
      <c r="F657" s="2" t="s">
        <v>15</v>
      </c>
      <c r="G657" s="6"/>
      <c r="H657" s="2" t="s">
        <v>312</v>
      </c>
      <c r="I657" s="2" t="s">
        <v>195</v>
      </c>
      <c r="J657" s="2" t="s">
        <v>19</v>
      </c>
      <c r="K657" s="2" t="s">
        <v>8271</v>
      </c>
      <c r="L657" s="7" t="str">
        <f>HYPERLINK("http://slimages.macys.com/is/image/MCY/12850954 ")</f>
        <v xml:space="preserve">http://slimages.macys.com/is/image/MCY/12850954 </v>
      </c>
    </row>
    <row r="658" spans="1:12" ht="24.75" x14ac:dyDescent="0.25">
      <c r="A658" s="4" t="s">
        <v>1669</v>
      </c>
      <c r="B658" s="2" t="s">
        <v>1667</v>
      </c>
      <c r="C658" s="3">
        <v>1</v>
      </c>
      <c r="D658" s="5">
        <v>19.989999999999998</v>
      </c>
      <c r="E658" s="3" t="s">
        <v>1668</v>
      </c>
      <c r="F658" s="2" t="s">
        <v>15</v>
      </c>
      <c r="G658" s="6" t="s">
        <v>154</v>
      </c>
      <c r="H658" s="2" t="s">
        <v>194</v>
      </c>
      <c r="I658" s="2" t="s">
        <v>195</v>
      </c>
      <c r="J658" s="2" t="s">
        <v>19</v>
      </c>
      <c r="K658" s="2" t="s">
        <v>247</v>
      </c>
      <c r="L658" s="7" t="str">
        <f>HYPERLINK("http://slimages.macys.com/is/image/MCY/12667994 ")</f>
        <v xml:space="preserve">http://slimages.macys.com/is/image/MCY/12667994 </v>
      </c>
    </row>
    <row r="659" spans="1:12" ht="24.75" x14ac:dyDescent="0.25">
      <c r="A659" s="4" t="s">
        <v>1661</v>
      </c>
      <c r="B659" s="2" t="s">
        <v>1645</v>
      </c>
      <c r="C659" s="3">
        <v>2</v>
      </c>
      <c r="D659" s="5">
        <v>19.989999999999998</v>
      </c>
      <c r="E659" s="3" t="s">
        <v>1646</v>
      </c>
      <c r="F659" s="2" t="s">
        <v>170</v>
      </c>
      <c r="G659" s="6" t="s">
        <v>154</v>
      </c>
      <c r="H659" s="2" t="s">
        <v>194</v>
      </c>
      <c r="I659" s="2" t="s">
        <v>195</v>
      </c>
      <c r="J659" s="2" t="s">
        <v>19</v>
      </c>
      <c r="K659" s="2" t="s">
        <v>1647</v>
      </c>
      <c r="L659" s="7" t="str">
        <f>HYPERLINK("http://slimages.macys.com/is/image/MCY/12405276 ")</f>
        <v xml:space="preserve">http://slimages.macys.com/is/image/MCY/12405276 </v>
      </c>
    </row>
    <row r="660" spans="1:12" ht="24.75" x14ac:dyDescent="0.25">
      <c r="A660" s="4" t="s">
        <v>1660</v>
      </c>
      <c r="B660" s="2" t="s">
        <v>1645</v>
      </c>
      <c r="C660" s="3">
        <v>1</v>
      </c>
      <c r="D660" s="5">
        <v>19.989999999999998</v>
      </c>
      <c r="E660" s="3" t="s">
        <v>1646</v>
      </c>
      <c r="F660" s="2" t="s">
        <v>70</v>
      </c>
      <c r="G660" s="6" t="s">
        <v>154</v>
      </c>
      <c r="H660" s="2" t="s">
        <v>194</v>
      </c>
      <c r="I660" s="2" t="s">
        <v>195</v>
      </c>
      <c r="J660" s="2" t="s">
        <v>19</v>
      </c>
      <c r="K660" s="2" t="s">
        <v>1647</v>
      </c>
      <c r="L660" s="7" t="str">
        <f>HYPERLINK("http://slimages.macys.com/is/image/MCY/11701460 ")</f>
        <v xml:space="preserve">http://slimages.macys.com/is/image/MCY/11701460 </v>
      </c>
    </row>
    <row r="661" spans="1:12" x14ac:dyDescent="0.25">
      <c r="A661" s="4" t="s">
        <v>2883</v>
      </c>
      <c r="B661" s="2" t="s">
        <v>2884</v>
      </c>
      <c r="C661" s="3">
        <v>1</v>
      </c>
      <c r="D661" s="5">
        <v>27.65</v>
      </c>
      <c r="E661" s="3" t="s">
        <v>2885</v>
      </c>
      <c r="F661" s="2" t="s">
        <v>26</v>
      </c>
      <c r="G661" s="6" t="s">
        <v>181</v>
      </c>
      <c r="H661" s="2" t="s">
        <v>182</v>
      </c>
      <c r="I661" s="2" t="s">
        <v>183</v>
      </c>
      <c r="J661" s="2" t="s">
        <v>19</v>
      </c>
      <c r="K661" s="2" t="s">
        <v>247</v>
      </c>
      <c r="L661" s="7" t="str">
        <f>HYPERLINK("http://slimages.macys.com/is/image/MCY/12851695 ")</f>
        <v xml:space="preserve">http://slimages.macys.com/is/image/MCY/12851695 </v>
      </c>
    </row>
    <row r="662" spans="1:12" x14ac:dyDescent="0.25">
      <c r="A662" s="4" t="s">
        <v>8272</v>
      </c>
      <c r="B662" s="2" t="s">
        <v>2884</v>
      </c>
      <c r="C662" s="3">
        <v>1</v>
      </c>
      <c r="D662" s="5">
        <v>27.65</v>
      </c>
      <c r="E662" s="3" t="s">
        <v>2885</v>
      </c>
      <c r="F662" s="2" t="s">
        <v>413</v>
      </c>
      <c r="G662" s="6" t="s">
        <v>154</v>
      </c>
      <c r="H662" s="2" t="s">
        <v>182</v>
      </c>
      <c r="I662" s="2" t="s">
        <v>183</v>
      </c>
      <c r="J662" s="2" t="s">
        <v>19</v>
      </c>
      <c r="K662" s="2" t="s">
        <v>247</v>
      </c>
      <c r="L662" s="7" t="str">
        <f>HYPERLINK("http://slimages.macys.com/is/image/MCY/12851695 ")</f>
        <v xml:space="preserve">http://slimages.macys.com/is/image/MCY/12851695 </v>
      </c>
    </row>
    <row r="663" spans="1:12" ht="24.75" x14ac:dyDescent="0.25">
      <c r="A663" s="4" t="s">
        <v>5999</v>
      </c>
      <c r="B663" s="2" t="s">
        <v>1572</v>
      </c>
      <c r="C663" s="3">
        <v>1</v>
      </c>
      <c r="D663" s="5">
        <v>36.5</v>
      </c>
      <c r="E663" s="3" t="s">
        <v>5074</v>
      </c>
      <c r="F663" s="2" t="s">
        <v>1322</v>
      </c>
      <c r="G663" s="6" t="s">
        <v>181</v>
      </c>
      <c r="H663" s="2" t="s">
        <v>194</v>
      </c>
      <c r="I663" s="2" t="s">
        <v>195</v>
      </c>
      <c r="J663" s="2" t="s">
        <v>19</v>
      </c>
      <c r="K663" s="2" t="s">
        <v>247</v>
      </c>
      <c r="L663" s="7" t="str">
        <f>HYPERLINK("http://slimages.macys.com/is/image/MCY/12063852 ")</f>
        <v xml:space="preserve">http://slimages.macys.com/is/image/MCY/12063852 </v>
      </c>
    </row>
    <row r="664" spans="1:12" ht="24.75" x14ac:dyDescent="0.25">
      <c r="A664" s="4" t="s">
        <v>8273</v>
      </c>
      <c r="B664" s="2" t="s">
        <v>8274</v>
      </c>
      <c r="C664" s="3">
        <v>1</v>
      </c>
      <c r="D664" s="5">
        <v>19.989999999999998</v>
      </c>
      <c r="E664" s="3" t="s">
        <v>8275</v>
      </c>
      <c r="F664" s="2" t="s">
        <v>1584</v>
      </c>
      <c r="G664" s="6"/>
      <c r="H664" s="2" t="s">
        <v>188</v>
      </c>
      <c r="I664" s="2" t="s">
        <v>189</v>
      </c>
      <c r="J664" s="2" t="s">
        <v>19</v>
      </c>
      <c r="K664" s="2" t="s">
        <v>648</v>
      </c>
      <c r="L664" s="7" t="str">
        <f>HYPERLINK("http://slimages.macys.com/is/image/MCY/11807788 ")</f>
        <v xml:space="preserve">http://slimages.macys.com/is/image/MCY/11807788 </v>
      </c>
    </row>
    <row r="665" spans="1:12" ht="24.75" x14ac:dyDescent="0.25">
      <c r="A665" s="4" t="s">
        <v>8276</v>
      </c>
      <c r="B665" s="2" t="s">
        <v>8274</v>
      </c>
      <c r="C665" s="3">
        <v>1</v>
      </c>
      <c r="D665" s="5">
        <v>19.989999999999998</v>
      </c>
      <c r="E665" s="3" t="s">
        <v>8275</v>
      </c>
      <c r="F665" s="2" t="s">
        <v>1584</v>
      </c>
      <c r="G665" s="6" t="s">
        <v>219</v>
      </c>
      <c r="H665" s="2" t="s">
        <v>188</v>
      </c>
      <c r="I665" s="2" t="s">
        <v>189</v>
      </c>
      <c r="J665" s="2" t="s">
        <v>19</v>
      </c>
      <c r="K665" s="2" t="s">
        <v>648</v>
      </c>
      <c r="L665" s="7" t="str">
        <f>HYPERLINK("http://slimages.macys.com/is/image/MCY/11807788 ")</f>
        <v xml:space="preserve">http://slimages.macys.com/is/image/MCY/11807788 </v>
      </c>
    </row>
    <row r="666" spans="1:12" ht="24.75" x14ac:dyDescent="0.25">
      <c r="A666" s="4" t="s">
        <v>8277</v>
      </c>
      <c r="B666" s="2" t="s">
        <v>1627</v>
      </c>
      <c r="C666" s="3">
        <v>1</v>
      </c>
      <c r="D666" s="5">
        <v>25.88</v>
      </c>
      <c r="E666" s="3" t="s">
        <v>4010</v>
      </c>
      <c r="F666" s="2" t="s">
        <v>70</v>
      </c>
      <c r="G666" s="6"/>
      <c r="H666" s="2" t="s">
        <v>312</v>
      </c>
      <c r="I666" s="2" t="s">
        <v>195</v>
      </c>
      <c r="J666" s="2" t="s">
        <v>19</v>
      </c>
      <c r="K666" s="2" t="s">
        <v>1629</v>
      </c>
      <c r="L666" s="7" t="str">
        <f>HYPERLINK("http://slimages.macys.com/is/image/MCY/3314148 ")</f>
        <v xml:space="preserve">http://slimages.macys.com/is/image/MCY/3314148 </v>
      </c>
    </row>
    <row r="667" spans="1:12" x14ac:dyDescent="0.25">
      <c r="A667" s="4" t="s">
        <v>8278</v>
      </c>
      <c r="B667" s="2" t="s">
        <v>8279</v>
      </c>
      <c r="C667" s="3">
        <v>1</v>
      </c>
      <c r="D667" s="5">
        <v>27.15</v>
      </c>
      <c r="E667" s="3" t="s">
        <v>8280</v>
      </c>
      <c r="F667" s="2" t="s">
        <v>26</v>
      </c>
      <c r="G667" s="6" t="s">
        <v>154</v>
      </c>
      <c r="H667" s="2" t="s">
        <v>182</v>
      </c>
      <c r="I667" s="2" t="s">
        <v>183</v>
      </c>
      <c r="J667" s="2" t="s">
        <v>19</v>
      </c>
      <c r="K667" s="2" t="s">
        <v>247</v>
      </c>
      <c r="L667" s="7" t="str">
        <f>HYPERLINK("http://slimages.macys.com/is/image/MCY/12851683 ")</f>
        <v xml:space="preserve">http://slimages.macys.com/is/image/MCY/12851683 </v>
      </c>
    </row>
    <row r="668" spans="1:12" ht="24.75" x14ac:dyDescent="0.25">
      <c r="A668" s="4" t="s">
        <v>8281</v>
      </c>
      <c r="B668" s="2" t="s">
        <v>1645</v>
      </c>
      <c r="C668" s="3">
        <v>1</v>
      </c>
      <c r="D668" s="5">
        <v>19.989999999999998</v>
      </c>
      <c r="E668" s="3" t="s">
        <v>4012</v>
      </c>
      <c r="F668" s="2" t="s">
        <v>33</v>
      </c>
      <c r="G668" s="6"/>
      <c r="H668" s="2" t="s">
        <v>312</v>
      </c>
      <c r="I668" s="2" t="s">
        <v>195</v>
      </c>
      <c r="J668" s="2" t="s">
        <v>19</v>
      </c>
      <c r="K668" s="2" t="s">
        <v>247</v>
      </c>
      <c r="L668" s="7" t="str">
        <f>HYPERLINK("http://slimages.macys.com/is/image/MCY/9577022 ")</f>
        <v xml:space="preserve">http://slimages.macys.com/is/image/MCY/9577022 </v>
      </c>
    </row>
    <row r="669" spans="1:12" ht="24.75" x14ac:dyDescent="0.25">
      <c r="A669" s="4" t="s">
        <v>8282</v>
      </c>
      <c r="B669" s="2" t="s">
        <v>8283</v>
      </c>
      <c r="C669" s="3">
        <v>1</v>
      </c>
      <c r="D669" s="5">
        <v>19.989999999999998</v>
      </c>
      <c r="E669" s="3" t="s">
        <v>8284</v>
      </c>
      <c r="F669" s="2" t="s">
        <v>33</v>
      </c>
      <c r="G669" s="6" t="s">
        <v>181</v>
      </c>
      <c r="H669" s="2" t="s">
        <v>1473</v>
      </c>
      <c r="I669" s="2" t="s">
        <v>1426</v>
      </c>
      <c r="J669" s="2" t="s">
        <v>19</v>
      </c>
      <c r="K669" s="2" t="s">
        <v>495</v>
      </c>
      <c r="L669" s="7" t="str">
        <f>HYPERLINK("http://slimages.macys.com/is/image/MCY/12460695 ")</f>
        <v xml:space="preserve">http://slimages.macys.com/is/image/MCY/12460695 </v>
      </c>
    </row>
    <row r="670" spans="1:12" ht="24.75" x14ac:dyDescent="0.25">
      <c r="A670" s="4" t="s">
        <v>8285</v>
      </c>
      <c r="B670" s="2" t="s">
        <v>5916</v>
      </c>
      <c r="C670" s="3">
        <v>1</v>
      </c>
      <c r="D670" s="5">
        <v>24.99</v>
      </c>
      <c r="E670" s="3" t="s">
        <v>7573</v>
      </c>
      <c r="F670" s="2" t="s">
        <v>111</v>
      </c>
      <c r="G670" s="6" t="s">
        <v>234</v>
      </c>
      <c r="H670" s="2" t="s">
        <v>284</v>
      </c>
      <c r="I670" s="2" t="s">
        <v>285</v>
      </c>
      <c r="J670" s="2" t="s">
        <v>19</v>
      </c>
      <c r="K670" s="2" t="s">
        <v>208</v>
      </c>
      <c r="L670" s="7" t="str">
        <f>HYPERLINK("http://slimages.macys.com/is/image/MCY/12301382 ")</f>
        <v xml:space="preserve">http://slimages.macys.com/is/image/MCY/12301382 </v>
      </c>
    </row>
    <row r="671" spans="1:12" ht="24.75" x14ac:dyDescent="0.25">
      <c r="A671" s="4" t="s">
        <v>7572</v>
      </c>
      <c r="B671" s="2" t="s">
        <v>5916</v>
      </c>
      <c r="C671" s="3">
        <v>1</v>
      </c>
      <c r="D671" s="5">
        <v>24.99</v>
      </c>
      <c r="E671" s="3" t="s">
        <v>7573</v>
      </c>
      <c r="F671" s="2" t="s">
        <v>111</v>
      </c>
      <c r="G671" s="6" t="s">
        <v>181</v>
      </c>
      <c r="H671" s="2" t="s">
        <v>284</v>
      </c>
      <c r="I671" s="2" t="s">
        <v>285</v>
      </c>
      <c r="J671" s="2" t="s">
        <v>19</v>
      </c>
      <c r="K671" s="2" t="s">
        <v>208</v>
      </c>
      <c r="L671" s="7" t="str">
        <f>HYPERLINK("http://slimages.macys.com/is/image/MCY/12301382 ")</f>
        <v xml:space="preserve">http://slimages.macys.com/is/image/MCY/12301382 </v>
      </c>
    </row>
    <row r="672" spans="1:12" ht="24.75" x14ac:dyDescent="0.25">
      <c r="A672" s="4" t="s">
        <v>8286</v>
      </c>
      <c r="B672" s="2" t="s">
        <v>4014</v>
      </c>
      <c r="C672" s="3">
        <v>1</v>
      </c>
      <c r="D672" s="5">
        <v>29.7</v>
      </c>
      <c r="E672" s="3" t="s">
        <v>4015</v>
      </c>
      <c r="F672" s="2" t="s">
        <v>15</v>
      </c>
      <c r="G672" s="6" t="s">
        <v>746</v>
      </c>
      <c r="H672" s="2" t="s">
        <v>349</v>
      </c>
      <c r="I672" s="2" t="s">
        <v>285</v>
      </c>
      <c r="J672" s="2" t="s">
        <v>19</v>
      </c>
      <c r="K672" s="2" t="s">
        <v>160</v>
      </c>
      <c r="L672" s="7" t="str">
        <f>HYPERLINK("http://slimages.macys.com/is/image/MCY/12510129 ")</f>
        <v xml:space="preserve">http://slimages.macys.com/is/image/MCY/12510129 </v>
      </c>
    </row>
    <row r="673" spans="1:12" ht="36.75" x14ac:dyDescent="0.25">
      <c r="A673" s="4" t="s">
        <v>8287</v>
      </c>
      <c r="B673" s="2" t="s">
        <v>1695</v>
      </c>
      <c r="C673" s="3">
        <v>1</v>
      </c>
      <c r="D673" s="5">
        <v>25.88</v>
      </c>
      <c r="E673" s="3">
        <v>100015718</v>
      </c>
      <c r="F673" s="2" t="s">
        <v>26</v>
      </c>
      <c r="G673" s="6" t="s">
        <v>156</v>
      </c>
      <c r="H673" s="2" t="s">
        <v>194</v>
      </c>
      <c r="I673" s="2" t="s">
        <v>195</v>
      </c>
      <c r="J673" s="2" t="s">
        <v>19</v>
      </c>
      <c r="K673" s="2" t="s">
        <v>1696</v>
      </c>
      <c r="L673" s="7" t="str">
        <f>HYPERLINK("http://slimages.macys.com/is/image/MCY/9504848 ")</f>
        <v xml:space="preserve">http://slimages.macys.com/is/image/MCY/9504848 </v>
      </c>
    </row>
    <row r="674" spans="1:12" ht="24.75" x14ac:dyDescent="0.25">
      <c r="A674" s="4" t="s">
        <v>8288</v>
      </c>
      <c r="B674" s="2" t="s">
        <v>1699</v>
      </c>
      <c r="C674" s="3">
        <v>1</v>
      </c>
      <c r="D674" s="5">
        <v>19.989999999999998</v>
      </c>
      <c r="E674" s="3" t="s">
        <v>1700</v>
      </c>
      <c r="F674" s="2" t="s">
        <v>26</v>
      </c>
      <c r="G674" s="6" t="s">
        <v>200</v>
      </c>
      <c r="H674" s="2" t="s">
        <v>1473</v>
      </c>
      <c r="I674" s="2" t="s">
        <v>1426</v>
      </c>
      <c r="J674" s="2" t="s">
        <v>19</v>
      </c>
      <c r="K674" s="2" t="s">
        <v>990</v>
      </c>
      <c r="L674" s="7" t="str">
        <f>HYPERLINK("http://slimages.macys.com/is/image/MCY/11831242 ")</f>
        <v xml:space="preserve">http://slimages.macys.com/is/image/MCY/11831242 </v>
      </c>
    </row>
    <row r="675" spans="1:12" ht="24.75" x14ac:dyDescent="0.25">
      <c r="A675" s="4" t="s">
        <v>2896</v>
      </c>
      <c r="B675" s="2" t="s">
        <v>1699</v>
      </c>
      <c r="C675" s="3">
        <v>1</v>
      </c>
      <c r="D675" s="5">
        <v>19.989999999999998</v>
      </c>
      <c r="E675" s="3" t="s">
        <v>1700</v>
      </c>
      <c r="F675" s="2" t="s">
        <v>94</v>
      </c>
      <c r="G675" s="6" t="s">
        <v>181</v>
      </c>
      <c r="H675" s="2" t="s">
        <v>1473</v>
      </c>
      <c r="I675" s="2" t="s">
        <v>1426</v>
      </c>
      <c r="J675" s="2" t="s">
        <v>19</v>
      </c>
      <c r="K675" s="2" t="s">
        <v>990</v>
      </c>
      <c r="L675" s="7" t="str">
        <f>HYPERLINK("http://slimages.macys.com/is/image/MCY/11831242 ")</f>
        <v xml:space="preserve">http://slimages.macys.com/is/image/MCY/11831242 </v>
      </c>
    </row>
    <row r="676" spans="1:12" ht="24.75" x14ac:dyDescent="0.25">
      <c r="A676" s="4" t="s">
        <v>8289</v>
      </c>
      <c r="B676" s="2" t="s">
        <v>1705</v>
      </c>
      <c r="C676" s="3">
        <v>1</v>
      </c>
      <c r="D676" s="5">
        <v>24.99</v>
      </c>
      <c r="E676" s="3" t="s">
        <v>1706</v>
      </c>
      <c r="F676" s="2" t="s">
        <v>70</v>
      </c>
      <c r="G676" s="6"/>
      <c r="H676" s="2" t="s">
        <v>1425</v>
      </c>
      <c r="I676" s="2" t="s">
        <v>1469</v>
      </c>
      <c r="J676" s="2" t="s">
        <v>19</v>
      </c>
      <c r="K676" s="2" t="s">
        <v>990</v>
      </c>
      <c r="L676" s="7" t="str">
        <f>HYPERLINK("http://slimages.macys.com/is/image/MCY/9127920 ")</f>
        <v xml:space="preserve">http://slimages.macys.com/is/image/MCY/9127920 </v>
      </c>
    </row>
    <row r="677" spans="1:12" ht="24.75" x14ac:dyDescent="0.25">
      <c r="A677" s="4" t="s">
        <v>7577</v>
      </c>
      <c r="B677" s="2" t="s">
        <v>1705</v>
      </c>
      <c r="C677" s="3">
        <v>1</v>
      </c>
      <c r="D677" s="5">
        <v>24.99</v>
      </c>
      <c r="E677" s="3" t="s">
        <v>1706</v>
      </c>
      <c r="F677" s="2" t="s">
        <v>15</v>
      </c>
      <c r="G677" s="6"/>
      <c r="H677" s="2" t="s">
        <v>1425</v>
      </c>
      <c r="I677" s="2" t="s">
        <v>1469</v>
      </c>
      <c r="J677" s="2" t="s">
        <v>19</v>
      </c>
      <c r="K677" s="2" t="s">
        <v>990</v>
      </c>
      <c r="L677" s="7" t="str">
        <f>HYPERLINK("http://slimages.macys.com/is/image/MCY/9127920 ")</f>
        <v xml:space="preserve">http://slimages.macys.com/is/image/MCY/9127920 </v>
      </c>
    </row>
    <row r="678" spans="1:12" ht="24.75" x14ac:dyDescent="0.25">
      <c r="A678" s="4" t="s">
        <v>8290</v>
      </c>
      <c r="B678" s="2" t="s">
        <v>1712</v>
      </c>
      <c r="C678" s="3">
        <v>1</v>
      </c>
      <c r="D678" s="5">
        <v>19.989999999999998</v>
      </c>
      <c r="E678" s="3" t="s">
        <v>8291</v>
      </c>
      <c r="F678" s="2" t="s">
        <v>74</v>
      </c>
      <c r="G678" s="6" t="s">
        <v>154</v>
      </c>
      <c r="H678" s="2" t="s">
        <v>194</v>
      </c>
      <c r="I678" s="2" t="s">
        <v>195</v>
      </c>
      <c r="J678" s="2" t="s">
        <v>19</v>
      </c>
      <c r="K678" s="2" t="s">
        <v>160</v>
      </c>
      <c r="L678" s="7" t="str">
        <f>HYPERLINK("http://slimages.macys.com/is/image/MCY/13317759 ")</f>
        <v xml:space="preserve">http://slimages.macys.com/is/image/MCY/13317759 </v>
      </c>
    </row>
    <row r="679" spans="1:12" ht="24.75" x14ac:dyDescent="0.25">
      <c r="A679" s="4" t="s">
        <v>8292</v>
      </c>
      <c r="B679" s="2" t="s">
        <v>1712</v>
      </c>
      <c r="C679" s="3">
        <v>1</v>
      </c>
      <c r="D679" s="5">
        <v>19.989999999999998</v>
      </c>
      <c r="E679" s="3" t="s">
        <v>2903</v>
      </c>
      <c r="F679" s="2" t="s">
        <v>417</v>
      </c>
      <c r="G679" s="6" t="s">
        <v>234</v>
      </c>
      <c r="H679" s="2" t="s">
        <v>194</v>
      </c>
      <c r="I679" s="2" t="s">
        <v>195</v>
      </c>
      <c r="J679" s="2" t="s">
        <v>19</v>
      </c>
      <c r="K679" s="2" t="s">
        <v>160</v>
      </c>
      <c r="L679" s="7" t="str">
        <f>HYPERLINK("http://slimages.macys.com/is/image/MCY/12405238 ")</f>
        <v xml:space="preserve">http://slimages.macys.com/is/image/MCY/12405238 </v>
      </c>
    </row>
    <row r="680" spans="1:12" ht="24.75" x14ac:dyDescent="0.25">
      <c r="A680" s="4" t="s">
        <v>8293</v>
      </c>
      <c r="B680" s="2" t="s">
        <v>1712</v>
      </c>
      <c r="C680" s="3">
        <v>1</v>
      </c>
      <c r="D680" s="5">
        <v>19.989999999999998</v>
      </c>
      <c r="E680" s="3" t="s">
        <v>4035</v>
      </c>
      <c r="F680" s="2" t="s">
        <v>125</v>
      </c>
      <c r="G680" s="6" t="s">
        <v>245</v>
      </c>
      <c r="H680" s="2" t="s">
        <v>194</v>
      </c>
      <c r="I680" s="2" t="s">
        <v>195</v>
      </c>
      <c r="J680" s="2" t="s">
        <v>19</v>
      </c>
      <c r="K680" s="2" t="s">
        <v>160</v>
      </c>
      <c r="L680" s="7" t="str">
        <f>HYPERLINK("http://slimages.macys.com/is/image/MCY/12405238 ")</f>
        <v xml:space="preserve">http://slimages.macys.com/is/image/MCY/12405238 </v>
      </c>
    </row>
    <row r="681" spans="1:12" ht="24.75" x14ac:dyDescent="0.25">
      <c r="A681" s="4" t="s">
        <v>8294</v>
      </c>
      <c r="B681" s="2" t="s">
        <v>1715</v>
      </c>
      <c r="C681" s="3">
        <v>3</v>
      </c>
      <c r="D681" s="5">
        <v>19.989999999999998</v>
      </c>
      <c r="E681" s="3" t="s">
        <v>8295</v>
      </c>
      <c r="F681" s="2" t="s">
        <v>74</v>
      </c>
      <c r="G681" s="6" t="s">
        <v>154</v>
      </c>
      <c r="H681" s="2" t="s">
        <v>246</v>
      </c>
      <c r="I681" s="2" t="s">
        <v>1939</v>
      </c>
      <c r="J681" s="2"/>
      <c r="K681" s="2"/>
      <c r="L681" s="7" t="str">
        <f>HYPERLINK("http://slimages.macys.com/is/image/MCY/11992765 ")</f>
        <v xml:space="preserve">http://slimages.macys.com/is/image/MCY/11992765 </v>
      </c>
    </row>
    <row r="682" spans="1:12" ht="24.75" x14ac:dyDescent="0.25">
      <c r="A682" s="4" t="s">
        <v>8296</v>
      </c>
      <c r="B682" s="2" t="s">
        <v>1715</v>
      </c>
      <c r="C682" s="3">
        <v>1</v>
      </c>
      <c r="D682" s="5">
        <v>19.989999999999998</v>
      </c>
      <c r="E682" s="3" t="s">
        <v>8295</v>
      </c>
      <c r="F682" s="2" t="s">
        <v>74</v>
      </c>
      <c r="G682" s="6" t="s">
        <v>234</v>
      </c>
      <c r="H682" s="2" t="s">
        <v>246</v>
      </c>
      <c r="I682" s="2" t="s">
        <v>1939</v>
      </c>
      <c r="J682" s="2"/>
      <c r="K682" s="2"/>
      <c r="L682" s="7" t="str">
        <f>HYPERLINK("http://slimages.macys.com/is/image/MCY/11992765 ")</f>
        <v xml:space="preserve">http://slimages.macys.com/is/image/MCY/11992765 </v>
      </c>
    </row>
    <row r="683" spans="1:12" ht="36.75" x14ac:dyDescent="0.25">
      <c r="A683" s="4" t="s">
        <v>5091</v>
      </c>
      <c r="B683" s="2" t="s">
        <v>2911</v>
      </c>
      <c r="C683" s="3">
        <v>1</v>
      </c>
      <c r="D683" s="5">
        <v>25.88</v>
      </c>
      <c r="E683" s="3">
        <v>100015718</v>
      </c>
      <c r="F683" s="2" t="s">
        <v>48</v>
      </c>
      <c r="G683" s="6" t="s">
        <v>156</v>
      </c>
      <c r="H683" s="2" t="s">
        <v>194</v>
      </c>
      <c r="I683" s="2" t="s">
        <v>195</v>
      </c>
      <c r="J683" s="2" t="s">
        <v>19</v>
      </c>
      <c r="K683" s="2" t="s">
        <v>1696</v>
      </c>
      <c r="L683" s="7" t="str">
        <f>HYPERLINK("http://slimages.macys.com/is/image/MCY/9504848 ")</f>
        <v xml:space="preserve">http://slimages.macys.com/is/image/MCY/9504848 </v>
      </c>
    </row>
    <row r="684" spans="1:12" ht="36.75" x14ac:dyDescent="0.25">
      <c r="A684" s="4" t="s">
        <v>5090</v>
      </c>
      <c r="B684" s="2" t="s">
        <v>2911</v>
      </c>
      <c r="C684" s="3">
        <v>1</v>
      </c>
      <c r="D684" s="5">
        <v>25.88</v>
      </c>
      <c r="E684" s="3">
        <v>100015718</v>
      </c>
      <c r="F684" s="2" t="s">
        <v>48</v>
      </c>
      <c r="G684" s="6" t="s">
        <v>234</v>
      </c>
      <c r="H684" s="2" t="s">
        <v>194</v>
      </c>
      <c r="I684" s="2" t="s">
        <v>195</v>
      </c>
      <c r="J684" s="2" t="s">
        <v>19</v>
      </c>
      <c r="K684" s="2" t="s">
        <v>1696</v>
      </c>
      <c r="L684" s="7" t="str">
        <f>HYPERLINK("http://slimages.macys.com/is/image/MCY/9504848 ")</f>
        <v xml:space="preserve">http://slimages.macys.com/is/image/MCY/9504848 </v>
      </c>
    </row>
    <row r="685" spans="1:12" ht="24.75" x14ac:dyDescent="0.25">
      <c r="A685" s="4" t="s">
        <v>8297</v>
      </c>
      <c r="B685" s="2" t="s">
        <v>1715</v>
      </c>
      <c r="C685" s="3">
        <v>1</v>
      </c>
      <c r="D685" s="5">
        <v>19.989999999999998</v>
      </c>
      <c r="E685" s="3" t="s">
        <v>8295</v>
      </c>
      <c r="F685" s="2" t="s">
        <v>74</v>
      </c>
      <c r="G685" s="6" t="s">
        <v>156</v>
      </c>
      <c r="H685" s="2" t="s">
        <v>246</v>
      </c>
      <c r="I685" s="2" t="s">
        <v>1939</v>
      </c>
      <c r="J685" s="2"/>
      <c r="K685" s="2"/>
      <c r="L685" s="7" t="str">
        <f>HYPERLINK("http://slimages.macys.com/is/image/MCY/11992765 ")</f>
        <v xml:space="preserve">http://slimages.macys.com/is/image/MCY/11992765 </v>
      </c>
    </row>
    <row r="686" spans="1:12" ht="24.75" x14ac:dyDescent="0.25">
      <c r="A686" s="4" t="s">
        <v>8298</v>
      </c>
      <c r="B686" s="2" t="s">
        <v>1715</v>
      </c>
      <c r="C686" s="3">
        <v>1</v>
      </c>
      <c r="D686" s="5">
        <v>19.989999999999998</v>
      </c>
      <c r="E686" s="3" t="s">
        <v>8295</v>
      </c>
      <c r="F686" s="2" t="s">
        <v>74</v>
      </c>
      <c r="G686" s="6" t="s">
        <v>245</v>
      </c>
      <c r="H686" s="2" t="s">
        <v>246</v>
      </c>
      <c r="I686" s="2" t="s">
        <v>1939</v>
      </c>
      <c r="J686" s="2"/>
      <c r="K686" s="2"/>
      <c r="L686" s="7" t="str">
        <f>HYPERLINK("http://slimages.macys.com/is/image/MCY/11992765 ")</f>
        <v xml:space="preserve">http://slimages.macys.com/is/image/MCY/11992765 </v>
      </c>
    </row>
    <row r="687" spans="1:12" x14ac:dyDescent="0.25">
      <c r="A687" s="4" t="s">
        <v>8299</v>
      </c>
      <c r="B687" s="2" t="s">
        <v>3216</v>
      </c>
      <c r="C687" s="3">
        <v>1</v>
      </c>
      <c r="D687" s="5">
        <v>26.99</v>
      </c>
      <c r="E687" s="3" t="s">
        <v>8300</v>
      </c>
      <c r="F687" s="2" t="s">
        <v>85</v>
      </c>
      <c r="G687" s="6" t="s">
        <v>348</v>
      </c>
      <c r="H687" s="2" t="s">
        <v>349</v>
      </c>
      <c r="I687" s="2" t="s">
        <v>285</v>
      </c>
      <c r="J687" s="2" t="s">
        <v>19</v>
      </c>
      <c r="K687" s="2" t="s">
        <v>247</v>
      </c>
      <c r="L687" s="7" t="str">
        <f>HYPERLINK("http://slimages.macys.com/is/image/MCY/9032526 ")</f>
        <v xml:space="preserve">http://slimages.macys.com/is/image/MCY/9032526 </v>
      </c>
    </row>
    <row r="688" spans="1:12" ht="24.75" x14ac:dyDescent="0.25">
      <c r="A688" s="4" t="s">
        <v>2916</v>
      </c>
      <c r="B688" s="2" t="s">
        <v>1724</v>
      </c>
      <c r="C688" s="3">
        <v>1</v>
      </c>
      <c r="D688" s="5">
        <v>34.880000000000003</v>
      </c>
      <c r="E688" s="3">
        <v>100018041</v>
      </c>
      <c r="F688" s="2" t="s">
        <v>566</v>
      </c>
      <c r="G688" s="6" t="s">
        <v>16</v>
      </c>
      <c r="H688" s="2" t="s">
        <v>194</v>
      </c>
      <c r="I688" s="2" t="s">
        <v>195</v>
      </c>
      <c r="J688" s="2" t="s">
        <v>19</v>
      </c>
      <c r="K688" s="2" t="s">
        <v>353</v>
      </c>
      <c r="L688" s="7" t="str">
        <f>HYPERLINK("http://slimages.macys.com/is/image/MCY/12950342 ")</f>
        <v xml:space="preserve">http://slimages.macys.com/is/image/MCY/12950342 </v>
      </c>
    </row>
    <row r="689" spans="1:12" ht="24.75" x14ac:dyDescent="0.25">
      <c r="A689" s="4" t="s">
        <v>2914</v>
      </c>
      <c r="B689" s="2" t="s">
        <v>1724</v>
      </c>
      <c r="C689" s="3">
        <v>3</v>
      </c>
      <c r="D689" s="5">
        <v>34.880000000000003</v>
      </c>
      <c r="E689" s="3">
        <v>100018041</v>
      </c>
      <c r="F689" s="2" t="s">
        <v>566</v>
      </c>
      <c r="G689" s="6" t="s">
        <v>27</v>
      </c>
      <c r="H689" s="2" t="s">
        <v>194</v>
      </c>
      <c r="I689" s="2" t="s">
        <v>195</v>
      </c>
      <c r="J689" s="2" t="s">
        <v>19</v>
      </c>
      <c r="K689" s="2" t="s">
        <v>353</v>
      </c>
      <c r="L689" s="7" t="str">
        <f>HYPERLINK("http://slimages.macys.com/is/image/MCY/12950342 ")</f>
        <v xml:space="preserve">http://slimages.macys.com/is/image/MCY/12950342 </v>
      </c>
    </row>
    <row r="690" spans="1:12" ht="24.75" x14ac:dyDescent="0.25">
      <c r="A690" s="4" t="s">
        <v>8301</v>
      </c>
      <c r="B690" s="2" t="s">
        <v>2918</v>
      </c>
      <c r="C690" s="3">
        <v>1</v>
      </c>
      <c r="D690" s="5">
        <v>19.989999999999998</v>
      </c>
      <c r="E690" s="3" t="s">
        <v>2919</v>
      </c>
      <c r="F690" s="2" t="s">
        <v>15</v>
      </c>
      <c r="G690" s="6"/>
      <c r="H690" s="2" t="s">
        <v>1425</v>
      </c>
      <c r="I690" s="2" t="s">
        <v>1426</v>
      </c>
      <c r="J690" s="2" t="s">
        <v>19</v>
      </c>
      <c r="K690" s="2" t="s">
        <v>495</v>
      </c>
      <c r="L690" s="7" t="str">
        <f>HYPERLINK("http://slimages.macys.com/is/image/MCY/12268445 ")</f>
        <v xml:space="preserve">http://slimages.macys.com/is/image/MCY/12268445 </v>
      </c>
    </row>
    <row r="691" spans="1:12" ht="24.75" x14ac:dyDescent="0.25">
      <c r="A691" s="4" t="s">
        <v>8302</v>
      </c>
      <c r="B691" s="2" t="s">
        <v>1726</v>
      </c>
      <c r="C691" s="3">
        <v>1</v>
      </c>
      <c r="D691" s="5">
        <v>26.99</v>
      </c>
      <c r="E691" s="3" t="s">
        <v>1727</v>
      </c>
      <c r="F691" s="2" t="s">
        <v>26</v>
      </c>
      <c r="G691" s="6" t="s">
        <v>2276</v>
      </c>
      <c r="H691" s="2" t="s">
        <v>349</v>
      </c>
      <c r="I691" s="2" t="s">
        <v>285</v>
      </c>
      <c r="J691" s="2" t="s">
        <v>19</v>
      </c>
      <c r="K691" s="2" t="s">
        <v>247</v>
      </c>
      <c r="L691" s="7" t="str">
        <f>HYPERLINK("http://slimages.macys.com/is/image/MCY/12739431 ")</f>
        <v xml:space="preserve">http://slimages.macys.com/is/image/MCY/12739431 </v>
      </c>
    </row>
    <row r="692" spans="1:12" ht="24.75" x14ac:dyDescent="0.25">
      <c r="A692" s="4" t="s">
        <v>8303</v>
      </c>
      <c r="B692" s="2" t="s">
        <v>4046</v>
      </c>
      <c r="C692" s="3">
        <v>1</v>
      </c>
      <c r="D692" s="5">
        <v>19.989999999999998</v>
      </c>
      <c r="E692" s="3" t="s">
        <v>4047</v>
      </c>
      <c r="F692" s="2" t="s">
        <v>70</v>
      </c>
      <c r="G692" s="6" t="s">
        <v>181</v>
      </c>
      <c r="H692" s="2" t="s">
        <v>1473</v>
      </c>
      <c r="I692" s="2" t="s">
        <v>1426</v>
      </c>
      <c r="J692" s="2" t="s">
        <v>19</v>
      </c>
      <c r="K692" s="2" t="s">
        <v>495</v>
      </c>
      <c r="L692" s="7" t="str">
        <f>HYPERLINK("http://slimages.macys.com/is/image/MCY/12773814 ")</f>
        <v xml:space="preserve">http://slimages.macys.com/is/image/MCY/12773814 </v>
      </c>
    </row>
    <row r="693" spans="1:12" ht="24.75" x14ac:dyDescent="0.25">
      <c r="A693" s="4" t="s">
        <v>8304</v>
      </c>
      <c r="B693" s="2" t="s">
        <v>1732</v>
      </c>
      <c r="C693" s="3">
        <v>1</v>
      </c>
      <c r="D693" s="5">
        <v>20.99</v>
      </c>
      <c r="E693" s="3" t="s">
        <v>1733</v>
      </c>
      <c r="F693" s="2" t="s">
        <v>15</v>
      </c>
      <c r="G693" s="6" t="s">
        <v>156</v>
      </c>
      <c r="H693" s="2" t="s">
        <v>1473</v>
      </c>
      <c r="I693" s="2" t="s">
        <v>1426</v>
      </c>
      <c r="J693" s="2" t="s">
        <v>19</v>
      </c>
      <c r="K693" s="2" t="s">
        <v>648</v>
      </c>
      <c r="L693" s="7" t="str">
        <f>HYPERLINK("http://slimages.macys.com/is/image/MCY/11995647 ")</f>
        <v xml:space="preserve">http://slimages.macys.com/is/image/MCY/11995647 </v>
      </c>
    </row>
    <row r="694" spans="1:12" ht="24.75" x14ac:dyDescent="0.25">
      <c r="A694" s="4" t="s">
        <v>5100</v>
      </c>
      <c r="B694" s="2" t="s">
        <v>1724</v>
      </c>
      <c r="C694" s="3">
        <v>1</v>
      </c>
      <c r="D694" s="5">
        <v>34.880000000000003</v>
      </c>
      <c r="E694" s="3" t="s">
        <v>2925</v>
      </c>
      <c r="F694" s="2" t="s">
        <v>26</v>
      </c>
      <c r="G694" s="6" t="s">
        <v>238</v>
      </c>
      <c r="H694" s="2" t="s">
        <v>312</v>
      </c>
      <c r="I694" s="2" t="s">
        <v>195</v>
      </c>
      <c r="J694" s="2" t="s">
        <v>19</v>
      </c>
      <c r="K694" s="2" t="s">
        <v>353</v>
      </c>
      <c r="L694" s="7" t="str">
        <f>HYPERLINK("http://slimages.macys.com/is/image/MCY/9714189 ")</f>
        <v xml:space="preserve">http://slimages.macys.com/is/image/MCY/9714189 </v>
      </c>
    </row>
    <row r="695" spans="1:12" ht="24.75" x14ac:dyDescent="0.25">
      <c r="A695" s="4" t="s">
        <v>2929</v>
      </c>
      <c r="B695" s="2" t="s">
        <v>1738</v>
      </c>
      <c r="C695" s="3">
        <v>1</v>
      </c>
      <c r="D695" s="5">
        <v>29.63</v>
      </c>
      <c r="E695" s="3" t="s">
        <v>1739</v>
      </c>
      <c r="F695" s="2" t="s">
        <v>26</v>
      </c>
      <c r="G695" s="6" t="s">
        <v>156</v>
      </c>
      <c r="H695" s="2" t="s">
        <v>194</v>
      </c>
      <c r="I695" s="2" t="s">
        <v>195</v>
      </c>
      <c r="J695" s="2" t="s">
        <v>19</v>
      </c>
      <c r="K695" s="2" t="s">
        <v>1108</v>
      </c>
      <c r="L695" s="7" t="str">
        <f>HYPERLINK("http://slimages.macys.com/is/image/MCY/12064042 ")</f>
        <v xml:space="preserve">http://slimages.macys.com/is/image/MCY/12064042 </v>
      </c>
    </row>
    <row r="696" spans="1:12" ht="24.75" x14ac:dyDescent="0.25">
      <c r="A696" s="4" t="s">
        <v>2928</v>
      </c>
      <c r="B696" s="2" t="s">
        <v>1738</v>
      </c>
      <c r="C696" s="3">
        <v>1</v>
      </c>
      <c r="D696" s="5">
        <v>29.63</v>
      </c>
      <c r="E696" s="3" t="s">
        <v>1739</v>
      </c>
      <c r="F696" s="2" t="s">
        <v>26</v>
      </c>
      <c r="G696" s="6" t="s">
        <v>181</v>
      </c>
      <c r="H696" s="2" t="s">
        <v>194</v>
      </c>
      <c r="I696" s="2" t="s">
        <v>195</v>
      </c>
      <c r="J696" s="2" t="s">
        <v>19</v>
      </c>
      <c r="K696" s="2" t="s">
        <v>1108</v>
      </c>
      <c r="L696" s="7" t="str">
        <f>HYPERLINK("http://slimages.macys.com/is/image/MCY/12064042 ")</f>
        <v xml:space="preserve">http://slimages.macys.com/is/image/MCY/12064042 </v>
      </c>
    </row>
    <row r="697" spans="1:12" ht="24.75" x14ac:dyDescent="0.25">
      <c r="A697" s="4" t="s">
        <v>2940</v>
      </c>
      <c r="B697" s="2" t="s">
        <v>2933</v>
      </c>
      <c r="C697" s="3">
        <v>4</v>
      </c>
      <c r="D697" s="5">
        <v>20.99</v>
      </c>
      <c r="E697" s="3" t="s">
        <v>2939</v>
      </c>
      <c r="F697" s="2" t="s">
        <v>64</v>
      </c>
      <c r="G697" s="6" t="s">
        <v>181</v>
      </c>
      <c r="H697" s="2" t="s">
        <v>1473</v>
      </c>
      <c r="I697" s="2" t="s">
        <v>1864</v>
      </c>
      <c r="J697" s="2" t="s">
        <v>19</v>
      </c>
      <c r="K697" s="2" t="s">
        <v>990</v>
      </c>
      <c r="L697" s="7" t="str">
        <f>HYPERLINK("http://slimages.macys.com/is/image/MCY/11515111 ")</f>
        <v xml:space="preserve">http://slimages.macys.com/is/image/MCY/11515111 </v>
      </c>
    </row>
    <row r="698" spans="1:12" ht="24.75" x14ac:dyDescent="0.25">
      <c r="A698" s="4" t="s">
        <v>4054</v>
      </c>
      <c r="B698" s="2" t="s">
        <v>2936</v>
      </c>
      <c r="C698" s="3">
        <v>1</v>
      </c>
      <c r="D698" s="5">
        <v>20.99</v>
      </c>
      <c r="E698" s="3" t="s">
        <v>2937</v>
      </c>
      <c r="F698" s="2" t="s">
        <v>64</v>
      </c>
      <c r="G698" s="6" t="s">
        <v>154</v>
      </c>
      <c r="H698" s="2" t="s">
        <v>1473</v>
      </c>
      <c r="I698" s="2" t="s">
        <v>1864</v>
      </c>
      <c r="J698" s="2" t="s">
        <v>19</v>
      </c>
      <c r="K698" s="2" t="s">
        <v>107</v>
      </c>
      <c r="L698" s="7" t="str">
        <f>HYPERLINK("http://slimages.macys.com/is/image/MCY/12266786 ")</f>
        <v xml:space="preserve">http://slimages.macys.com/is/image/MCY/12266786 </v>
      </c>
    </row>
    <row r="699" spans="1:12" ht="24.75" x14ac:dyDescent="0.25">
      <c r="A699" s="4" t="s">
        <v>6033</v>
      </c>
      <c r="B699" s="2" t="s">
        <v>2936</v>
      </c>
      <c r="C699" s="3">
        <v>1</v>
      </c>
      <c r="D699" s="5">
        <v>20.99</v>
      </c>
      <c r="E699" s="3" t="s">
        <v>2937</v>
      </c>
      <c r="F699" s="2" t="s">
        <v>64</v>
      </c>
      <c r="G699" s="6" t="s">
        <v>245</v>
      </c>
      <c r="H699" s="2" t="s">
        <v>1473</v>
      </c>
      <c r="I699" s="2" t="s">
        <v>1864</v>
      </c>
      <c r="J699" s="2" t="s">
        <v>19</v>
      </c>
      <c r="K699" s="2" t="s">
        <v>107</v>
      </c>
      <c r="L699" s="7" t="str">
        <f>HYPERLINK("http://slimages.macys.com/is/image/MCY/12266786 ")</f>
        <v xml:space="preserve">http://slimages.macys.com/is/image/MCY/12266786 </v>
      </c>
    </row>
    <row r="700" spans="1:12" ht="24.75" x14ac:dyDescent="0.25">
      <c r="A700" s="4" t="s">
        <v>4052</v>
      </c>
      <c r="B700" s="2" t="s">
        <v>2936</v>
      </c>
      <c r="C700" s="3">
        <v>1</v>
      </c>
      <c r="D700" s="5">
        <v>20.99</v>
      </c>
      <c r="E700" s="3" t="s">
        <v>2937</v>
      </c>
      <c r="F700" s="2" t="s">
        <v>64</v>
      </c>
      <c r="G700" s="6" t="s">
        <v>156</v>
      </c>
      <c r="H700" s="2" t="s">
        <v>1473</v>
      </c>
      <c r="I700" s="2" t="s">
        <v>1864</v>
      </c>
      <c r="J700" s="2" t="s">
        <v>19</v>
      </c>
      <c r="K700" s="2" t="s">
        <v>107</v>
      </c>
      <c r="L700" s="7" t="str">
        <f>HYPERLINK("http://slimages.macys.com/is/image/MCY/12266786 ")</f>
        <v xml:space="preserve">http://slimages.macys.com/is/image/MCY/12266786 </v>
      </c>
    </row>
    <row r="701" spans="1:12" ht="24.75" x14ac:dyDescent="0.25">
      <c r="A701" s="4" t="s">
        <v>4055</v>
      </c>
      <c r="B701" s="2" t="s">
        <v>2936</v>
      </c>
      <c r="C701" s="3">
        <v>1</v>
      </c>
      <c r="D701" s="5">
        <v>20.99</v>
      </c>
      <c r="E701" s="3" t="s">
        <v>2937</v>
      </c>
      <c r="F701" s="2" t="s">
        <v>64</v>
      </c>
      <c r="G701" s="6" t="s">
        <v>234</v>
      </c>
      <c r="H701" s="2" t="s">
        <v>1473</v>
      </c>
      <c r="I701" s="2" t="s">
        <v>1864</v>
      </c>
      <c r="J701" s="2" t="s">
        <v>19</v>
      </c>
      <c r="K701" s="2" t="s">
        <v>107</v>
      </c>
      <c r="L701" s="7" t="str">
        <f>HYPERLINK("http://slimages.macys.com/is/image/MCY/12266786 ")</f>
        <v xml:space="preserve">http://slimages.macys.com/is/image/MCY/12266786 </v>
      </c>
    </row>
    <row r="702" spans="1:12" ht="24.75" x14ac:dyDescent="0.25">
      <c r="A702" s="4" t="s">
        <v>4053</v>
      </c>
      <c r="B702" s="2" t="s">
        <v>2933</v>
      </c>
      <c r="C702" s="3">
        <v>1</v>
      </c>
      <c r="D702" s="5">
        <v>20.99</v>
      </c>
      <c r="E702" s="3" t="s">
        <v>2939</v>
      </c>
      <c r="F702" s="2" t="s">
        <v>64</v>
      </c>
      <c r="G702" s="6" t="s">
        <v>154</v>
      </c>
      <c r="H702" s="2" t="s">
        <v>1473</v>
      </c>
      <c r="I702" s="2" t="s">
        <v>1864</v>
      </c>
      <c r="J702" s="2" t="s">
        <v>19</v>
      </c>
      <c r="K702" s="2" t="s">
        <v>990</v>
      </c>
      <c r="L702" s="7" t="str">
        <f>HYPERLINK("http://slimages.macys.com/is/image/MCY/11515111 ")</f>
        <v xml:space="preserve">http://slimages.macys.com/is/image/MCY/11515111 </v>
      </c>
    </row>
    <row r="703" spans="1:12" ht="24.75" x14ac:dyDescent="0.25">
      <c r="A703" s="4" t="s">
        <v>2935</v>
      </c>
      <c r="B703" s="2" t="s">
        <v>2936</v>
      </c>
      <c r="C703" s="3">
        <v>1</v>
      </c>
      <c r="D703" s="5">
        <v>20.99</v>
      </c>
      <c r="E703" s="3" t="s">
        <v>2937</v>
      </c>
      <c r="F703" s="2" t="s">
        <v>64</v>
      </c>
      <c r="G703" s="6" t="s">
        <v>181</v>
      </c>
      <c r="H703" s="2" t="s">
        <v>1473</v>
      </c>
      <c r="I703" s="2" t="s">
        <v>1864</v>
      </c>
      <c r="J703" s="2" t="s">
        <v>19</v>
      </c>
      <c r="K703" s="2" t="s">
        <v>107</v>
      </c>
      <c r="L703" s="7" t="str">
        <f>HYPERLINK("http://slimages.macys.com/is/image/MCY/12266786 ")</f>
        <v xml:space="preserve">http://slimages.macys.com/is/image/MCY/12266786 </v>
      </c>
    </row>
    <row r="704" spans="1:12" ht="24.75" x14ac:dyDescent="0.25">
      <c r="A704" s="4" t="s">
        <v>2938</v>
      </c>
      <c r="B704" s="2" t="s">
        <v>2933</v>
      </c>
      <c r="C704" s="3">
        <v>1</v>
      </c>
      <c r="D704" s="5">
        <v>20.99</v>
      </c>
      <c r="E704" s="3" t="s">
        <v>2939</v>
      </c>
      <c r="F704" s="2" t="s">
        <v>64</v>
      </c>
      <c r="G704" s="6" t="s">
        <v>156</v>
      </c>
      <c r="H704" s="2" t="s">
        <v>1473</v>
      </c>
      <c r="I704" s="2" t="s">
        <v>1864</v>
      </c>
      <c r="J704" s="2" t="s">
        <v>19</v>
      </c>
      <c r="K704" s="2" t="s">
        <v>990</v>
      </c>
      <c r="L704" s="7" t="str">
        <f>HYPERLINK("http://slimages.macys.com/is/image/MCY/11515111 ")</f>
        <v xml:space="preserve">http://slimages.macys.com/is/image/MCY/11515111 </v>
      </c>
    </row>
    <row r="705" spans="1:12" ht="24.75" x14ac:dyDescent="0.25">
      <c r="A705" s="4" t="s">
        <v>8305</v>
      </c>
      <c r="B705" s="2" t="s">
        <v>1747</v>
      </c>
      <c r="C705" s="3">
        <v>1</v>
      </c>
      <c r="D705" s="5">
        <v>17.989999999999998</v>
      </c>
      <c r="E705" s="3" t="s">
        <v>1748</v>
      </c>
      <c r="F705" s="2" t="s">
        <v>252</v>
      </c>
      <c r="G705" s="6" t="s">
        <v>16</v>
      </c>
      <c r="H705" s="2" t="s">
        <v>1473</v>
      </c>
      <c r="I705" s="2" t="s">
        <v>1426</v>
      </c>
      <c r="J705" s="2" t="s">
        <v>19</v>
      </c>
      <c r="K705" s="2" t="s">
        <v>353</v>
      </c>
      <c r="L705" s="7" t="str">
        <f>HYPERLINK("http://slimages.macys.com/is/image/MCY/12776597 ")</f>
        <v xml:space="preserve">http://slimages.macys.com/is/image/MCY/12776597 </v>
      </c>
    </row>
    <row r="706" spans="1:12" ht="24.75" x14ac:dyDescent="0.25">
      <c r="A706" s="4" t="s">
        <v>8306</v>
      </c>
      <c r="B706" s="2" t="s">
        <v>1747</v>
      </c>
      <c r="C706" s="3">
        <v>1</v>
      </c>
      <c r="D706" s="5">
        <v>17.989999999999998</v>
      </c>
      <c r="E706" s="3" t="s">
        <v>1748</v>
      </c>
      <c r="F706" s="2" t="s">
        <v>15</v>
      </c>
      <c r="G706" s="6" t="s">
        <v>141</v>
      </c>
      <c r="H706" s="2" t="s">
        <v>1473</v>
      </c>
      <c r="I706" s="2" t="s">
        <v>1426</v>
      </c>
      <c r="J706" s="2" t="s">
        <v>19</v>
      </c>
      <c r="K706" s="2" t="s">
        <v>353</v>
      </c>
      <c r="L706" s="7" t="str">
        <f>HYPERLINK("http://slimages.macys.com/is/image/MCY/12776597 ")</f>
        <v xml:space="preserve">http://slimages.macys.com/is/image/MCY/12776597 </v>
      </c>
    </row>
    <row r="707" spans="1:12" ht="24.75" x14ac:dyDescent="0.25">
      <c r="A707" s="4" t="s">
        <v>6788</v>
      </c>
      <c r="B707" s="2" t="s">
        <v>1808</v>
      </c>
      <c r="C707" s="3">
        <v>1</v>
      </c>
      <c r="D707" s="5">
        <v>22.13</v>
      </c>
      <c r="E707" s="3" t="s">
        <v>5125</v>
      </c>
      <c r="F707" s="2" t="s">
        <v>53</v>
      </c>
      <c r="G707" s="6" t="s">
        <v>156</v>
      </c>
      <c r="H707" s="2" t="s">
        <v>194</v>
      </c>
      <c r="I707" s="2" t="s">
        <v>580</v>
      </c>
      <c r="J707" s="2" t="s">
        <v>19</v>
      </c>
      <c r="K707" s="2" t="s">
        <v>1758</v>
      </c>
      <c r="L707" s="7" t="str">
        <f>HYPERLINK("http://slimages.macys.com/is/image/MCY/12734376 ")</f>
        <v xml:space="preserve">http://slimages.macys.com/is/image/MCY/12734376 </v>
      </c>
    </row>
    <row r="708" spans="1:12" ht="24.75" x14ac:dyDescent="0.25">
      <c r="A708" s="4" t="s">
        <v>6069</v>
      </c>
      <c r="B708" s="2" t="s">
        <v>4079</v>
      </c>
      <c r="C708" s="3">
        <v>1</v>
      </c>
      <c r="D708" s="5">
        <v>22.13</v>
      </c>
      <c r="E708" s="3" t="s">
        <v>4080</v>
      </c>
      <c r="F708" s="2" t="s">
        <v>199</v>
      </c>
      <c r="G708" s="6" t="s">
        <v>154</v>
      </c>
      <c r="H708" s="2" t="s">
        <v>194</v>
      </c>
      <c r="I708" s="2" t="s">
        <v>1766</v>
      </c>
      <c r="J708" s="2" t="s">
        <v>19</v>
      </c>
      <c r="K708" s="2" t="s">
        <v>1082</v>
      </c>
      <c r="L708" s="7" t="str">
        <f>HYPERLINK("http://slimages.macys.com/is/image/MCY/11701564 ")</f>
        <v xml:space="preserve">http://slimages.macys.com/is/image/MCY/11701564 </v>
      </c>
    </row>
    <row r="709" spans="1:12" ht="24.75" x14ac:dyDescent="0.25">
      <c r="A709" s="4" t="s">
        <v>2966</v>
      </c>
      <c r="B709" s="2" t="s">
        <v>2967</v>
      </c>
      <c r="C709" s="3">
        <v>1</v>
      </c>
      <c r="D709" s="5">
        <v>22.13</v>
      </c>
      <c r="E709" s="3" t="s">
        <v>2968</v>
      </c>
      <c r="F709" s="2" t="s">
        <v>48</v>
      </c>
      <c r="G709" s="6" t="s">
        <v>154</v>
      </c>
      <c r="H709" s="2" t="s">
        <v>194</v>
      </c>
      <c r="I709" s="2" t="s">
        <v>580</v>
      </c>
      <c r="J709" s="2" t="s">
        <v>19</v>
      </c>
      <c r="K709" s="2" t="s">
        <v>1758</v>
      </c>
      <c r="L709" s="7" t="str">
        <f>HYPERLINK("http://slimages.macys.com/is/image/MCY/11937981 ")</f>
        <v xml:space="preserve">http://slimages.macys.com/is/image/MCY/11937981 </v>
      </c>
    </row>
    <row r="710" spans="1:12" ht="24.75" x14ac:dyDescent="0.25">
      <c r="A710" s="4" t="s">
        <v>5119</v>
      </c>
      <c r="B710" s="2" t="s">
        <v>1761</v>
      </c>
      <c r="C710" s="3">
        <v>1</v>
      </c>
      <c r="D710" s="5">
        <v>22.13</v>
      </c>
      <c r="E710" s="3" t="s">
        <v>1762</v>
      </c>
      <c r="F710" s="2" t="s">
        <v>15</v>
      </c>
      <c r="G710" s="6" t="s">
        <v>156</v>
      </c>
      <c r="H710" s="2" t="s">
        <v>194</v>
      </c>
      <c r="I710" s="2" t="s">
        <v>580</v>
      </c>
      <c r="J710" s="2" t="s">
        <v>19</v>
      </c>
      <c r="K710" s="2" t="s">
        <v>1082</v>
      </c>
      <c r="L710" s="7" t="str">
        <f>HYPERLINK("http://slimages.macys.com/is/image/MCY/12794096 ")</f>
        <v xml:space="preserve">http://slimages.macys.com/is/image/MCY/12794096 </v>
      </c>
    </row>
    <row r="711" spans="1:12" ht="24.75" x14ac:dyDescent="0.25">
      <c r="A711" s="4" t="s">
        <v>2969</v>
      </c>
      <c r="B711" s="2" t="s">
        <v>1808</v>
      </c>
      <c r="C711" s="3">
        <v>1</v>
      </c>
      <c r="D711" s="5">
        <v>22.13</v>
      </c>
      <c r="E711" s="3" t="s">
        <v>2970</v>
      </c>
      <c r="F711" s="2" t="s">
        <v>1322</v>
      </c>
      <c r="G711" s="6" t="s">
        <v>154</v>
      </c>
      <c r="H711" s="2" t="s">
        <v>194</v>
      </c>
      <c r="I711" s="2" t="s">
        <v>580</v>
      </c>
      <c r="J711" s="2" t="s">
        <v>19</v>
      </c>
      <c r="K711" s="2" t="s">
        <v>1082</v>
      </c>
      <c r="L711" s="7" t="str">
        <f>HYPERLINK("http://slimages.macys.com/is/image/MCY/12794107 ")</f>
        <v xml:space="preserve">http://slimages.macys.com/is/image/MCY/12794107 </v>
      </c>
    </row>
    <row r="712" spans="1:12" ht="24.75" x14ac:dyDescent="0.25">
      <c r="A712" s="4" t="s">
        <v>5122</v>
      </c>
      <c r="B712" s="2" t="s">
        <v>1764</v>
      </c>
      <c r="C712" s="3">
        <v>1</v>
      </c>
      <c r="D712" s="5">
        <v>22.13</v>
      </c>
      <c r="E712" s="3" t="s">
        <v>1765</v>
      </c>
      <c r="F712" s="2" t="s">
        <v>38</v>
      </c>
      <c r="G712" s="6" t="s">
        <v>156</v>
      </c>
      <c r="H712" s="2" t="s">
        <v>194</v>
      </c>
      <c r="I712" s="2" t="s">
        <v>1766</v>
      </c>
      <c r="J712" s="2" t="s">
        <v>19</v>
      </c>
      <c r="K712" s="2" t="s">
        <v>1082</v>
      </c>
      <c r="L712" s="7" t="str">
        <f>HYPERLINK("http://slimages.macys.com/is/image/MCY/12143911 ")</f>
        <v xml:space="preserve">http://slimages.macys.com/is/image/MCY/12143911 </v>
      </c>
    </row>
    <row r="713" spans="1:12" ht="24.75" x14ac:dyDescent="0.25">
      <c r="A713" s="4" t="s">
        <v>6070</v>
      </c>
      <c r="B713" s="2" t="s">
        <v>6071</v>
      </c>
      <c r="C713" s="3">
        <v>1</v>
      </c>
      <c r="D713" s="5">
        <v>21.5</v>
      </c>
      <c r="E713" s="3" t="s">
        <v>6072</v>
      </c>
      <c r="F713" s="2" t="s">
        <v>464</v>
      </c>
      <c r="G713" s="6" t="s">
        <v>234</v>
      </c>
      <c r="H713" s="2" t="s">
        <v>194</v>
      </c>
      <c r="I713" s="2" t="s">
        <v>580</v>
      </c>
      <c r="J713" s="2" t="s">
        <v>19</v>
      </c>
      <c r="K713" s="2" t="s">
        <v>1758</v>
      </c>
      <c r="L713" s="7" t="str">
        <f>HYPERLINK("http://slimages.macys.com/is/image/MCY/11266322 ")</f>
        <v xml:space="preserve">http://slimages.macys.com/is/image/MCY/11266322 </v>
      </c>
    </row>
    <row r="714" spans="1:12" ht="24.75" x14ac:dyDescent="0.25">
      <c r="A714" s="4" t="s">
        <v>8307</v>
      </c>
      <c r="B714" s="2" t="s">
        <v>1761</v>
      </c>
      <c r="C714" s="3">
        <v>1</v>
      </c>
      <c r="D714" s="5">
        <v>22.13</v>
      </c>
      <c r="E714" s="3" t="s">
        <v>1762</v>
      </c>
      <c r="F714" s="2" t="s">
        <v>15</v>
      </c>
      <c r="G714" s="6" t="s">
        <v>181</v>
      </c>
      <c r="H714" s="2" t="s">
        <v>194</v>
      </c>
      <c r="I714" s="2" t="s">
        <v>580</v>
      </c>
      <c r="J714" s="2" t="s">
        <v>19</v>
      </c>
      <c r="K714" s="2" t="s">
        <v>1082</v>
      </c>
      <c r="L714" s="7" t="str">
        <f>HYPERLINK("http://slimages.macys.com/is/image/MCY/12794096 ")</f>
        <v xml:space="preserve">http://slimages.macys.com/is/image/MCY/12794096 </v>
      </c>
    </row>
    <row r="715" spans="1:12" ht="24.75" x14ac:dyDescent="0.25">
      <c r="A715" s="4" t="s">
        <v>8308</v>
      </c>
      <c r="B715" s="2" t="s">
        <v>1724</v>
      </c>
      <c r="C715" s="3">
        <v>1</v>
      </c>
      <c r="D715" s="5">
        <v>34.880000000000003</v>
      </c>
      <c r="E715" s="3">
        <v>100018041</v>
      </c>
      <c r="F715" s="2" t="s">
        <v>74</v>
      </c>
      <c r="G715" s="6" t="s">
        <v>27</v>
      </c>
      <c r="H715" s="2" t="s">
        <v>194</v>
      </c>
      <c r="I715" s="2" t="s">
        <v>195</v>
      </c>
      <c r="J715" s="2" t="s">
        <v>19</v>
      </c>
      <c r="K715" s="2" t="s">
        <v>353</v>
      </c>
      <c r="L715" s="7" t="str">
        <f t="shared" ref="L715:L720" si="6">HYPERLINK("http://slimages.macys.com/is/image/MCY/12950342 ")</f>
        <v xml:space="preserve">http://slimages.macys.com/is/image/MCY/12950342 </v>
      </c>
    </row>
    <row r="716" spans="1:12" ht="24.75" x14ac:dyDescent="0.25">
      <c r="A716" s="4" t="s">
        <v>8309</v>
      </c>
      <c r="B716" s="2" t="s">
        <v>1724</v>
      </c>
      <c r="C716" s="3">
        <v>1</v>
      </c>
      <c r="D716" s="5">
        <v>34.880000000000003</v>
      </c>
      <c r="E716" s="3">
        <v>100018041</v>
      </c>
      <c r="F716" s="2" t="s">
        <v>26</v>
      </c>
      <c r="G716" s="6" t="s">
        <v>112</v>
      </c>
      <c r="H716" s="2" t="s">
        <v>194</v>
      </c>
      <c r="I716" s="2" t="s">
        <v>195</v>
      </c>
      <c r="J716" s="2" t="s">
        <v>19</v>
      </c>
      <c r="K716" s="2" t="s">
        <v>353</v>
      </c>
      <c r="L716" s="7" t="str">
        <f t="shared" si="6"/>
        <v xml:space="preserve">http://slimages.macys.com/is/image/MCY/12950342 </v>
      </c>
    </row>
    <row r="717" spans="1:12" ht="24.75" x14ac:dyDescent="0.25">
      <c r="A717" s="4" t="s">
        <v>8310</v>
      </c>
      <c r="B717" s="2" t="s">
        <v>1724</v>
      </c>
      <c r="C717" s="3">
        <v>1</v>
      </c>
      <c r="D717" s="5">
        <v>34.880000000000003</v>
      </c>
      <c r="E717" s="3">
        <v>100018041</v>
      </c>
      <c r="F717" s="2" t="s">
        <v>74</v>
      </c>
      <c r="G717" s="6" t="s">
        <v>58</v>
      </c>
      <c r="H717" s="2" t="s">
        <v>194</v>
      </c>
      <c r="I717" s="2" t="s">
        <v>195</v>
      </c>
      <c r="J717" s="2" t="s">
        <v>19</v>
      </c>
      <c r="K717" s="2" t="s">
        <v>353</v>
      </c>
      <c r="L717" s="7" t="str">
        <f t="shared" si="6"/>
        <v xml:space="preserve">http://slimages.macys.com/is/image/MCY/12950342 </v>
      </c>
    </row>
    <row r="718" spans="1:12" ht="24.75" x14ac:dyDescent="0.25">
      <c r="A718" s="4" t="s">
        <v>2979</v>
      </c>
      <c r="B718" s="2" t="s">
        <v>1724</v>
      </c>
      <c r="C718" s="3">
        <v>1</v>
      </c>
      <c r="D718" s="5">
        <v>34.880000000000003</v>
      </c>
      <c r="E718" s="3">
        <v>100018041</v>
      </c>
      <c r="F718" s="2" t="s">
        <v>26</v>
      </c>
      <c r="G718" s="6" t="s">
        <v>22</v>
      </c>
      <c r="H718" s="2" t="s">
        <v>194</v>
      </c>
      <c r="I718" s="2" t="s">
        <v>195</v>
      </c>
      <c r="J718" s="2" t="s">
        <v>19</v>
      </c>
      <c r="K718" s="2" t="s">
        <v>353</v>
      </c>
      <c r="L718" s="7" t="str">
        <f t="shared" si="6"/>
        <v xml:space="preserve">http://slimages.macys.com/is/image/MCY/12950342 </v>
      </c>
    </row>
    <row r="719" spans="1:12" ht="24.75" x14ac:dyDescent="0.25">
      <c r="A719" s="4" t="s">
        <v>2978</v>
      </c>
      <c r="B719" s="2" t="s">
        <v>1724</v>
      </c>
      <c r="C719" s="3">
        <v>1</v>
      </c>
      <c r="D719" s="5">
        <v>34.880000000000003</v>
      </c>
      <c r="E719" s="3">
        <v>100018041</v>
      </c>
      <c r="F719" s="2" t="s">
        <v>74</v>
      </c>
      <c r="G719" s="6" t="s">
        <v>16</v>
      </c>
      <c r="H719" s="2" t="s">
        <v>194</v>
      </c>
      <c r="I719" s="2" t="s">
        <v>195</v>
      </c>
      <c r="J719" s="2" t="s">
        <v>19</v>
      </c>
      <c r="K719" s="2" t="s">
        <v>353</v>
      </c>
      <c r="L719" s="7" t="str">
        <f t="shared" si="6"/>
        <v xml:space="preserve">http://slimages.macys.com/is/image/MCY/12950342 </v>
      </c>
    </row>
    <row r="720" spans="1:12" ht="24.75" x14ac:dyDescent="0.25">
      <c r="A720" s="4" t="s">
        <v>2977</v>
      </c>
      <c r="B720" s="2" t="s">
        <v>1724</v>
      </c>
      <c r="C720" s="3">
        <v>2</v>
      </c>
      <c r="D720" s="5">
        <v>34.880000000000003</v>
      </c>
      <c r="E720" s="3">
        <v>100018041</v>
      </c>
      <c r="F720" s="2" t="s">
        <v>26</v>
      </c>
      <c r="G720" s="6" t="s">
        <v>16</v>
      </c>
      <c r="H720" s="2" t="s">
        <v>194</v>
      </c>
      <c r="I720" s="2" t="s">
        <v>195</v>
      </c>
      <c r="J720" s="2" t="s">
        <v>19</v>
      </c>
      <c r="K720" s="2" t="s">
        <v>353</v>
      </c>
      <c r="L720" s="7" t="str">
        <f t="shared" si="6"/>
        <v xml:space="preserve">http://slimages.macys.com/is/image/MCY/12950342 </v>
      </c>
    </row>
    <row r="721" spans="1:12" ht="24.75" x14ac:dyDescent="0.25">
      <c r="A721" s="4" t="s">
        <v>8311</v>
      </c>
      <c r="B721" s="2" t="s">
        <v>1786</v>
      </c>
      <c r="C721" s="3">
        <v>1</v>
      </c>
      <c r="D721" s="5">
        <v>45</v>
      </c>
      <c r="E721" s="3" t="s">
        <v>1787</v>
      </c>
      <c r="F721" s="2" t="s">
        <v>1788</v>
      </c>
      <c r="G721" s="6"/>
      <c r="H721" s="2" t="s">
        <v>447</v>
      </c>
      <c r="I721" s="2" t="s">
        <v>792</v>
      </c>
      <c r="J721" s="2" t="s">
        <v>19</v>
      </c>
      <c r="K721" s="2" t="s">
        <v>160</v>
      </c>
      <c r="L721" s="7" t="str">
        <f>HYPERLINK("http://slimages.macys.com/is/image/MCY/8252064 ")</f>
        <v xml:space="preserve">http://slimages.macys.com/is/image/MCY/8252064 </v>
      </c>
    </row>
    <row r="722" spans="1:12" ht="24.75" x14ac:dyDescent="0.25">
      <c r="A722" s="4" t="s">
        <v>8312</v>
      </c>
      <c r="B722" s="2" t="s">
        <v>8313</v>
      </c>
      <c r="C722" s="3">
        <v>1</v>
      </c>
      <c r="D722" s="5">
        <v>37.5</v>
      </c>
      <c r="E722" s="3" t="s">
        <v>8314</v>
      </c>
      <c r="F722" s="2" t="s">
        <v>26</v>
      </c>
      <c r="G722" s="6"/>
      <c r="H722" s="2" t="s">
        <v>447</v>
      </c>
      <c r="I722" s="2" t="s">
        <v>792</v>
      </c>
      <c r="J722" s="2" t="s">
        <v>19</v>
      </c>
      <c r="K722" s="2" t="s">
        <v>459</v>
      </c>
      <c r="L722" s="7" t="str">
        <f>HYPERLINK("http://slimages.macys.com/is/image/MCY/9431410 ")</f>
        <v xml:space="preserve">http://slimages.macys.com/is/image/MCY/9431410 </v>
      </c>
    </row>
    <row r="723" spans="1:12" ht="36.75" x14ac:dyDescent="0.25">
      <c r="A723" s="4" t="s">
        <v>8315</v>
      </c>
      <c r="B723" s="2" t="s">
        <v>6797</v>
      </c>
      <c r="C723" s="3">
        <v>1</v>
      </c>
      <c r="D723" s="5">
        <v>45</v>
      </c>
      <c r="E723" s="3" t="s">
        <v>6798</v>
      </c>
      <c r="F723" s="2" t="s">
        <v>94</v>
      </c>
      <c r="G723" s="6"/>
      <c r="H723" s="2" t="s">
        <v>447</v>
      </c>
      <c r="I723" s="2" t="s">
        <v>792</v>
      </c>
      <c r="J723" s="2" t="s">
        <v>19</v>
      </c>
      <c r="K723" s="2" t="s">
        <v>6799</v>
      </c>
      <c r="L723" s="7" t="str">
        <f>HYPERLINK("http://slimages.macys.com/is/image/MCY/12950031 ")</f>
        <v xml:space="preserve">http://slimages.macys.com/is/image/MCY/12950031 </v>
      </c>
    </row>
    <row r="724" spans="1:12" ht="24.75" x14ac:dyDescent="0.25">
      <c r="A724" s="4" t="s">
        <v>8316</v>
      </c>
      <c r="B724" s="2" t="s">
        <v>8317</v>
      </c>
      <c r="C724" s="3">
        <v>1</v>
      </c>
      <c r="D724" s="5">
        <v>29.99</v>
      </c>
      <c r="E724" s="3" t="s">
        <v>8318</v>
      </c>
      <c r="F724" s="2" t="s">
        <v>494</v>
      </c>
      <c r="G724" s="6" t="s">
        <v>746</v>
      </c>
      <c r="H724" s="2" t="s">
        <v>349</v>
      </c>
      <c r="I724" s="2" t="s">
        <v>285</v>
      </c>
      <c r="J724" s="2" t="s">
        <v>19</v>
      </c>
      <c r="K724" s="2" t="s">
        <v>247</v>
      </c>
      <c r="L724" s="7" t="str">
        <f>HYPERLINK("http://slimages.macys.com/is/image/MCY/12739468 ")</f>
        <v xml:space="preserve">http://slimages.macys.com/is/image/MCY/12739468 </v>
      </c>
    </row>
    <row r="725" spans="1:12" ht="24.75" x14ac:dyDescent="0.25">
      <c r="A725" s="4" t="s">
        <v>8319</v>
      </c>
      <c r="B725" s="2" t="s">
        <v>8317</v>
      </c>
      <c r="C725" s="3">
        <v>1</v>
      </c>
      <c r="D725" s="5">
        <v>29.99</v>
      </c>
      <c r="E725" s="3" t="s">
        <v>8318</v>
      </c>
      <c r="F725" s="2" t="s">
        <v>494</v>
      </c>
      <c r="G725" s="6" t="s">
        <v>348</v>
      </c>
      <c r="H725" s="2" t="s">
        <v>349</v>
      </c>
      <c r="I725" s="2" t="s">
        <v>285</v>
      </c>
      <c r="J725" s="2" t="s">
        <v>19</v>
      </c>
      <c r="K725" s="2" t="s">
        <v>247</v>
      </c>
      <c r="L725" s="7" t="str">
        <f>HYPERLINK("http://slimages.macys.com/is/image/MCY/12739468 ")</f>
        <v xml:space="preserve">http://slimages.macys.com/is/image/MCY/12739468 </v>
      </c>
    </row>
    <row r="726" spans="1:12" ht="24.75" x14ac:dyDescent="0.25">
      <c r="A726" s="4" t="s">
        <v>8320</v>
      </c>
      <c r="B726" s="2" t="s">
        <v>4014</v>
      </c>
      <c r="C726" s="3">
        <v>1</v>
      </c>
      <c r="D726" s="5">
        <v>26.7</v>
      </c>
      <c r="E726" s="3" t="s">
        <v>5136</v>
      </c>
      <c r="F726" s="2" t="s">
        <v>15</v>
      </c>
      <c r="G726" s="6" t="s">
        <v>154</v>
      </c>
      <c r="H726" s="2" t="s">
        <v>284</v>
      </c>
      <c r="I726" s="2" t="s">
        <v>285</v>
      </c>
      <c r="J726" s="2" t="s">
        <v>19</v>
      </c>
      <c r="K726" s="2" t="s">
        <v>160</v>
      </c>
      <c r="L726" s="7" t="str">
        <f>HYPERLINK("http://slimages.macys.com/is/image/MCY/12465291 ")</f>
        <v xml:space="preserve">http://slimages.macys.com/is/image/MCY/12465291 </v>
      </c>
    </row>
    <row r="727" spans="1:12" ht="24.75" x14ac:dyDescent="0.25">
      <c r="A727" s="4" t="s">
        <v>8321</v>
      </c>
      <c r="B727" s="2" t="s">
        <v>4014</v>
      </c>
      <c r="C727" s="3">
        <v>1</v>
      </c>
      <c r="D727" s="5">
        <v>26.7</v>
      </c>
      <c r="E727" s="3" t="s">
        <v>5136</v>
      </c>
      <c r="F727" s="2" t="s">
        <v>15</v>
      </c>
      <c r="G727" s="6" t="s">
        <v>156</v>
      </c>
      <c r="H727" s="2" t="s">
        <v>284</v>
      </c>
      <c r="I727" s="2" t="s">
        <v>285</v>
      </c>
      <c r="J727" s="2" t="s">
        <v>19</v>
      </c>
      <c r="K727" s="2" t="s">
        <v>160</v>
      </c>
      <c r="L727" s="7" t="str">
        <f>HYPERLINK("http://slimages.macys.com/is/image/MCY/12465291 ")</f>
        <v xml:space="preserve">http://slimages.macys.com/is/image/MCY/12465291 </v>
      </c>
    </row>
    <row r="728" spans="1:12" ht="24.75" x14ac:dyDescent="0.25">
      <c r="A728" s="4" t="s">
        <v>7619</v>
      </c>
      <c r="B728" s="2" t="s">
        <v>1817</v>
      </c>
      <c r="C728" s="3">
        <v>1</v>
      </c>
      <c r="D728" s="5">
        <v>17.989999999999998</v>
      </c>
      <c r="E728" s="3" t="s">
        <v>1818</v>
      </c>
      <c r="F728" s="2" t="s">
        <v>998</v>
      </c>
      <c r="G728" s="6" t="s">
        <v>112</v>
      </c>
      <c r="H728" s="2" t="s">
        <v>1473</v>
      </c>
      <c r="I728" s="2" t="s">
        <v>1426</v>
      </c>
      <c r="J728" s="2" t="s">
        <v>19</v>
      </c>
      <c r="K728" s="2" t="s">
        <v>353</v>
      </c>
      <c r="L728" s="7" t="str">
        <f>HYPERLINK("http://slimages.macys.com/is/image/MCY/12070597 ")</f>
        <v xml:space="preserve">http://slimages.macys.com/is/image/MCY/12070597 </v>
      </c>
    </row>
    <row r="729" spans="1:12" ht="24.75" x14ac:dyDescent="0.25">
      <c r="A729" s="4" t="s">
        <v>6810</v>
      </c>
      <c r="B729" s="2" t="s">
        <v>1817</v>
      </c>
      <c r="C729" s="3">
        <v>1</v>
      </c>
      <c r="D729" s="5">
        <v>17.989999999999998</v>
      </c>
      <c r="E729" s="3" t="s">
        <v>1818</v>
      </c>
      <c r="F729" s="2" t="s">
        <v>74</v>
      </c>
      <c r="G729" s="6" t="s">
        <v>16</v>
      </c>
      <c r="H729" s="2" t="s">
        <v>1473</v>
      </c>
      <c r="I729" s="2" t="s">
        <v>1426</v>
      </c>
      <c r="J729" s="2" t="s">
        <v>19</v>
      </c>
      <c r="K729" s="2" t="s">
        <v>353</v>
      </c>
      <c r="L729" s="7" t="str">
        <f>HYPERLINK("http://slimages.macys.com/is/image/MCY/12070597 ")</f>
        <v xml:space="preserve">http://slimages.macys.com/is/image/MCY/12070597 </v>
      </c>
    </row>
    <row r="730" spans="1:12" ht="24.75" x14ac:dyDescent="0.25">
      <c r="A730" s="4" t="s">
        <v>6807</v>
      </c>
      <c r="B730" s="2" t="s">
        <v>1817</v>
      </c>
      <c r="C730" s="3">
        <v>1</v>
      </c>
      <c r="D730" s="5">
        <v>17.989999999999998</v>
      </c>
      <c r="E730" s="3" t="s">
        <v>1818</v>
      </c>
      <c r="F730" s="2" t="s">
        <v>252</v>
      </c>
      <c r="G730" s="6" t="s">
        <v>16</v>
      </c>
      <c r="H730" s="2" t="s">
        <v>1473</v>
      </c>
      <c r="I730" s="2" t="s">
        <v>1426</v>
      </c>
      <c r="J730" s="2" t="s">
        <v>19</v>
      </c>
      <c r="K730" s="2" t="s">
        <v>353</v>
      </c>
      <c r="L730" s="7" t="str">
        <f>HYPERLINK("http://slimages.macys.com/is/image/MCY/12070597 ")</f>
        <v xml:space="preserve">http://slimages.macys.com/is/image/MCY/12070597 </v>
      </c>
    </row>
    <row r="731" spans="1:12" ht="24.75" x14ac:dyDescent="0.25">
      <c r="A731" s="4" t="s">
        <v>8322</v>
      </c>
      <c r="B731" s="2" t="s">
        <v>8323</v>
      </c>
      <c r="C731" s="3">
        <v>1</v>
      </c>
      <c r="D731" s="5">
        <v>14.99</v>
      </c>
      <c r="E731" s="3" t="s">
        <v>8324</v>
      </c>
      <c r="F731" s="2" t="s">
        <v>85</v>
      </c>
      <c r="G731" s="6" t="s">
        <v>234</v>
      </c>
      <c r="H731" s="2" t="s">
        <v>194</v>
      </c>
      <c r="I731" s="2" t="s">
        <v>307</v>
      </c>
      <c r="J731" s="2" t="s">
        <v>19</v>
      </c>
      <c r="K731" s="2" t="s">
        <v>1831</v>
      </c>
      <c r="L731" s="7" t="str">
        <f>HYPERLINK("http://slimages.macys.com/is/image/MCY/10889462 ")</f>
        <v xml:space="preserve">http://slimages.macys.com/is/image/MCY/10889462 </v>
      </c>
    </row>
    <row r="732" spans="1:12" ht="24.75" x14ac:dyDescent="0.25">
      <c r="A732" s="4" t="s">
        <v>6813</v>
      </c>
      <c r="B732" s="2" t="s">
        <v>3019</v>
      </c>
      <c r="C732" s="3">
        <v>1</v>
      </c>
      <c r="D732" s="5">
        <v>17.989999999999998</v>
      </c>
      <c r="E732" s="3" t="s">
        <v>3020</v>
      </c>
      <c r="F732" s="2" t="s">
        <v>15</v>
      </c>
      <c r="G732" s="6"/>
      <c r="H732" s="2" t="s">
        <v>1425</v>
      </c>
      <c r="I732" s="2" t="s">
        <v>1426</v>
      </c>
      <c r="J732" s="2" t="s">
        <v>19</v>
      </c>
      <c r="K732" s="2" t="s">
        <v>107</v>
      </c>
      <c r="L732" s="7" t="str">
        <f>HYPERLINK("http://slimages.macys.com/is/image/MCY/11831225 ")</f>
        <v xml:space="preserve">http://slimages.macys.com/is/image/MCY/11831225 </v>
      </c>
    </row>
    <row r="733" spans="1:12" ht="24.75" x14ac:dyDescent="0.25">
      <c r="A733" s="4" t="s">
        <v>5146</v>
      </c>
      <c r="B733" s="2" t="s">
        <v>3019</v>
      </c>
      <c r="C733" s="3">
        <v>1</v>
      </c>
      <c r="D733" s="5">
        <v>17.989999999999998</v>
      </c>
      <c r="E733" s="3" t="s">
        <v>3020</v>
      </c>
      <c r="F733" s="2" t="s">
        <v>15</v>
      </c>
      <c r="G733" s="6" t="s">
        <v>187</v>
      </c>
      <c r="H733" s="2" t="s">
        <v>1425</v>
      </c>
      <c r="I733" s="2" t="s">
        <v>1426</v>
      </c>
      <c r="J733" s="2" t="s">
        <v>19</v>
      </c>
      <c r="K733" s="2" t="s">
        <v>107</v>
      </c>
      <c r="L733" s="7" t="str">
        <f>HYPERLINK("http://slimages.macys.com/is/image/MCY/11831225 ")</f>
        <v xml:space="preserve">http://slimages.macys.com/is/image/MCY/11831225 </v>
      </c>
    </row>
    <row r="734" spans="1:12" ht="24.75" x14ac:dyDescent="0.25">
      <c r="A734" s="4" t="s">
        <v>8325</v>
      </c>
      <c r="B734" s="2" t="s">
        <v>3023</v>
      </c>
      <c r="C734" s="3">
        <v>1</v>
      </c>
      <c r="D734" s="5">
        <v>17.989999999999998</v>
      </c>
      <c r="E734" s="3" t="s">
        <v>3024</v>
      </c>
      <c r="F734" s="2" t="s">
        <v>413</v>
      </c>
      <c r="G734" s="6"/>
      <c r="H734" s="2" t="s">
        <v>1425</v>
      </c>
      <c r="I734" s="2" t="s">
        <v>1426</v>
      </c>
      <c r="J734" s="2" t="s">
        <v>19</v>
      </c>
      <c r="K734" s="2" t="s">
        <v>495</v>
      </c>
      <c r="L734" s="7" t="str">
        <f>HYPERLINK("http://slimages.macys.com/is/image/MCY/11809174 ")</f>
        <v xml:space="preserve">http://slimages.macys.com/is/image/MCY/11809174 </v>
      </c>
    </row>
    <row r="735" spans="1:12" ht="24.75" x14ac:dyDescent="0.25">
      <c r="A735" s="4" t="s">
        <v>8326</v>
      </c>
      <c r="B735" s="2" t="s">
        <v>8327</v>
      </c>
      <c r="C735" s="3">
        <v>1</v>
      </c>
      <c r="D735" s="5">
        <v>19.989999999999998</v>
      </c>
      <c r="E735" s="3" t="s">
        <v>8328</v>
      </c>
      <c r="F735" s="2" t="s">
        <v>64</v>
      </c>
      <c r="G735" s="6" t="s">
        <v>154</v>
      </c>
      <c r="H735" s="2" t="s">
        <v>246</v>
      </c>
      <c r="I735" s="2" t="s">
        <v>1939</v>
      </c>
      <c r="J735" s="2" t="s">
        <v>19</v>
      </c>
      <c r="K735" s="2" t="s">
        <v>8329</v>
      </c>
      <c r="L735" s="7" t="str">
        <f>HYPERLINK("http://slimages.macys.com/is/image/MCY/11940009 ")</f>
        <v xml:space="preserve">http://slimages.macys.com/is/image/MCY/11940009 </v>
      </c>
    </row>
    <row r="736" spans="1:12" ht="24.75" x14ac:dyDescent="0.25">
      <c r="A736" s="4" t="s">
        <v>8330</v>
      </c>
      <c r="B736" s="2" t="s">
        <v>4128</v>
      </c>
      <c r="C736" s="3">
        <v>1</v>
      </c>
      <c r="D736" s="5">
        <v>19.989999999999998</v>
      </c>
      <c r="E736" s="3" t="s">
        <v>5153</v>
      </c>
      <c r="F736" s="2" t="s">
        <v>74</v>
      </c>
      <c r="G736" s="6" t="s">
        <v>181</v>
      </c>
      <c r="H736" s="2" t="s">
        <v>1473</v>
      </c>
      <c r="I736" s="2" t="s">
        <v>1426</v>
      </c>
      <c r="J736" s="2" t="s">
        <v>19</v>
      </c>
      <c r="K736" s="2" t="s">
        <v>1108</v>
      </c>
      <c r="L736" s="7" t="str">
        <f>HYPERLINK("http://slimages.macys.com/is/image/MCY/11831179 ")</f>
        <v xml:space="preserve">http://slimages.macys.com/is/image/MCY/11831179 </v>
      </c>
    </row>
    <row r="737" spans="1:12" ht="24.75" x14ac:dyDescent="0.25">
      <c r="A737" s="4" t="s">
        <v>5160</v>
      </c>
      <c r="B737" s="2" t="s">
        <v>3026</v>
      </c>
      <c r="C737" s="3">
        <v>2</v>
      </c>
      <c r="D737" s="5">
        <v>21.99</v>
      </c>
      <c r="E737" s="3" t="s">
        <v>3027</v>
      </c>
      <c r="F737" s="2" t="s">
        <v>79</v>
      </c>
      <c r="G737" s="6" t="s">
        <v>234</v>
      </c>
      <c r="H737" s="2" t="s">
        <v>284</v>
      </c>
      <c r="I737" s="2" t="s">
        <v>285</v>
      </c>
      <c r="J737" s="2" t="s">
        <v>19</v>
      </c>
      <c r="K737" s="2" t="s">
        <v>247</v>
      </c>
      <c r="L737" s="7" t="str">
        <f>HYPERLINK("http://slimages.macys.com/is/image/MCY/9972026 ")</f>
        <v xml:space="preserve">http://slimages.macys.com/is/image/MCY/9972026 </v>
      </c>
    </row>
    <row r="738" spans="1:12" ht="24.75" x14ac:dyDescent="0.25">
      <c r="A738" s="4" t="s">
        <v>8331</v>
      </c>
      <c r="B738" s="2" t="s">
        <v>3026</v>
      </c>
      <c r="C738" s="3">
        <v>1</v>
      </c>
      <c r="D738" s="5">
        <v>21.99</v>
      </c>
      <c r="E738" s="3" t="s">
        <v>8332</v>
      </c>
      <c r="F738" s="2" t="s">
        <v>64</v>
      </c>
      <c r="G738" s="6" t="s">
        <v>181</v>
      </c>
      <c r="H738" s="2" t="s">
        <v>284</v>
      </c>
      <c r="I738" s="2" t="s">
        <v>285</v>
      </c>
      <c r="J738" s="2" t="s">
        <v>19</v>
      </c>
      <c r="K738" s="2" t="s">
        <v>247</v>
      </c>
      <c r="L738" s="7" t="str">
        <f>HYPERLINK("http://slimages.macys.com/is/image/MCY/9972026 ")</f>
        <v xml:space="preserve">http://slimages.macys.com/is/image/MCY/9972026 </v>
      </c>
    </row>
    <row r="739" spans="1:12" ht="24.75" x14ac:dyDescent="0.25">
      <c r="A739" s="4" t="s">
        <v>8333</v>
      </c>
      <c r="B739" s="2" t="s">
        <v>8334</v>
      </c>
      <c r="C739" s="3">
        <v>2</v>
      </c>
      <c r="D739" s="5">
        <v>21.99</v>
      </c>
      <c r="E739" s="3" t="s">
        <v>8335</v>
      </c>
      <c r="F739" s="2" t="s">
        <v>74</v>
      </c>
      <c r="G739" s="6" t="s">
        <v>154</v>
      </c>
      <c r="H739" s="2" t="s">
        <v>284</v>
      </c>
      <c r="I739" s="2" t="s">
        <v>285</v>
      </c>
      <c r="J739" s="2" t="s">
        <v>19</v>
      </c>
      <c r="K739" s="2" t="s">
        <v>247</v>
      </c>
      <c r="L739" s="7" t="str">
        <f>HYPERLINK("http://slimages.macys.com/is/image/MCY/9462994 ")</f>
        <v xml:space="preserve">http://slimages.macys.com/is/image/MCY/9462994 </v>
      </c>
    </row>
    <row r="740" spans="1:12" ht="24.75" x14ac:dyDescent="0.25">
      <c r="A740" s="4" t="s">
        <v>8336</v>
      </c>
      <c r="B740" s="2" t="s">
        <v>1833</v>
      </c>
      <c r="C740" s="3">
        <v>1</v>
      </c>
      <c r="D740" s="5">
        <v>14.99</v>
      </c>
      <c r="E740" s="3" t="s">
        <v>6114</v>
      </c>
      <c r="F740" s="2" t="s">
        <v>74</v>
      </c>
      <c r="G740" s="6" t="s">
        <v>154</v>
      </c>
      <c r="H740" s="2" t="s">
        <v>194</v>
      </c>
      <c r="I740" s="2" t="s">
        <v>307</v>
      </c>
      <c r="J740" s="2" t="s">
        <v>19</v>
      </c>
      <c r="K740" s="2" t="s">
        <v>34</v>
      </c>
      <c r="L740" s="7" t="str">
        <f>HYPERLINK("http://slimages.macys.com/is/image/MCY/12794148 ")</f>
        <v xml:space="preserve">http://slimages.macys.com/is/image/MCY/12794148 </v>
      </c>
    </row>
    <row r="741" spans="1:12" ht="24.75" x14ac:dyDescent="0.25">
      <c r="A741" s="4" t="s">
        <v>8337</v>
      </c>
      <c r="B741" s="2" t="s">
        <v>1829</v>
      </c>
      <c r="C741" s="3">
        <v>1</v>
      </c>
      <c r="D741" s="5">
        <v>14.99</v>
      </c>
      <c r="E741" s="3" t="s">
        <v>7632</v>
      </c>
      <c r="F741" s="2" t="s">
        <v>417</v>
      </c>
      <c r="G741" s="6" t="s">
        <v>245</v>
      </c>
      <c r="H741" s="2" t="s">
        <v>194</v>
      </c>
      <c r="I741" s="2" t="s">
        <v>307</v>
      </c>
      <c r="J741" s="2" t="s">
        <v>19</v>
      </c>
      <c r="K741" s="2" t="s">
        <v>34</v>
      </c>
      <c r="L741" s="7" t="str">
        <f>HYPERLINK("http://slimages.macys.com/is/image/MCY/12668018 ")</f>
        <v xml:space="preserve">http://slimages.macys.com/is/image/MCY/12668018 </v>
      </c>
    </row>
    <row r="742" spans="1:12" ht="24.75" x14ac:dyDescent="0.25">
      <c r="A742" s="4" t="s">
        <v>8338</v>
      </c>
      <c r="B742" s="2" t="s">
        <v>1829</v>
      </c>
      <c r="C742" s="3">
        <v>1</v>
      </c>
      <c r="D742" s="5">
        <v>14.99</v>
      </c>
      <c r="E742" s="3" t="s">
        <v>8339</v>
      </c>
      <c r="F742" s="2" t="s">
        <v>1788</v>
      </c>
      <c r="G742" s="6" t="s">
        <v>154</v>
      </c>
      <c r="H742" s="2" t="s">
        <v>194</v>
      </c>
      <c r="I742" s="2" t="s">
        <v>307</v>
      </c>
      <c r="J742" s="2" t="s">
        <v>19</v>
      </c>
      <c r="K742" s="2" t="s">
        <v>34</v>
      </c>
      <c r="L742" s="7" t="str">
        <f>HYPERLINK("http://slimages.macys.com/is/image/MCY/11337542 ")</f>
        <v xml:space="preserve">http://slimages.macys.com/is/image/MCY/11337542 </v>
      </c>
    </row>
    <row r="743" spans="1:12" ht="24.75" x14ac:dyDescent="0.25">
      <c r="A743" s="4" t="s">
        <v>8340</v>
      </c>
      <c r="B743" s="2" t="s">
        <v>8323</v>
      </c>
      <c r="C743" s="3">
        <v>1</v>
      </c>
      <c r="D743" s="5">
        <v>14.99</v>
      </c>
      <c r="E743" s="3" t="s">
        <v>8341</v>
      </c>
      <c r="F743" s="2" t="s">
        <v>1322</v>
      </c>
      <c r="G743" s="6" t="s">
        <v>181</v>
      </c>
      <c r="H743" s="2" t="s">
        <v>194</v>
      </c>
      <c r="I743" s="2" t="s">
        <v>307</v>
      </c>
      <c r="J743" s="2" t="s">
        <v>19</v>
      </c>
      <c r="K743" s="2" t="s">
        <v>1831</v>
      </c>
      <c r="L743" s="7" t="str">
        <f>HYPERLINK("http://slimages.macys.com/is/image/MCY/10889462 ")</f>
        <v xml:space="preserve">http://slimages.macys.com/is/image/MCY/10889462 </v>
      </c>
    </row>
    <row r="744" spans="1:12" ht="24.75" x14ac:dyDescent="0.25">
      <c r="A744" s="4" t="s">
        <v>8342</v>
      </c>
      <c r="B744" s="2" t="s">
        <v>1726</v>
      </c>
      <c r="C744" s="3">
        <v>2</v>
      </c>
      <c r="D744" s="5">
        <v>21.99</v>
      </c>
      <c r="E744" s="3" t="s">
        <v>6125</v>
      </c>
      <c r="F744" s="2" t="s">
        <v>74</v>
      </c>
      <c r="G744" s="6" t="s">
        <v>200</v>
      </c>
      <c r="H744" s="2" t="s">
        <v>284</v>
      </c>
      <c r="I744" s="2" t="s">
        <v>285</v>
      </c>
      <c r="J744" s="2" t="s">
        <v>19</v>
      </c>
      <c r="K744" s="2" t="s">
        <v>247</v>
      </c>
      <c r="L744" s="7" t="str">
        <f>HYPERLINK("http://slimages.macys.com/is/image/MCY/12341853 ")</f>
        <v xml:space="preserve">http://slimages.macys.com/is/image/MCY/12341853 </v>
      </c>
    </row>
    <row r="745" spans="1:12" ht="24.75" x14ac:dyDescent="0.25">
      <c r="A745" s="4" t="s">
        <v>1869</v>
      </c>
      <c r="B745" s="2" t="s">
        <v>1862</v>
      </c>
      <c r="C745" s="3">
        <v>1</v>
      </c>
      <c r="D745" s="5">
        <v>20.99</v>
      </c>
      <c r="E745" s="3" t="s">
        <v>1868</v>
      </c>
      <c r="F745" s="2" t="s">
        <v>15</v>
      </c>
      <c r="G745" s="6" t="s">
        <v>154</v>
      </c>
      <c r="H745" s="2" t="s">
        <v>1473</v>
      </c>
      <c r="I745" s="2" t="s">
        <v>1864</v>
      </c>
      <c r="J745" s="2" t="s">
        <v>19</v>
      </c>
      <c r="K745" s="2" t="s">
        <v>648</v>
      </c>
      <c r="L745" s="7" t="str">
        <f>HYPERLINK("http://slimages.macys.com/is/image/MCY/12267099 ")</f>
        <v xml:space="preserve">http://slimages.macys.com/is/image/MCY/12267099 </v>
      </c>
    </row>
    <row r="746" spans="1:12" ht="24.75" x14ac:dyDescent="0.25">
      <c r="A746" s="4" t="s">
        <v>3047</v>
      </c>
      <c r="B746" s="2" t="s">
        <v>1862</v>
      </c>
      <c r="C746" s="3">
        <v>1</v>
      </c>
      <c r="D746" s="5">
        <v>20.99</v>
      </c>
      <c r="E746" s="3" t="s">
        <v>1868</v>
      </c>
      <c r="F746" s="2" t="s">
        <v>15</v>
      </c>
      <c r="G746" s="6" t="s">
        <v>181</v>
      </c>
      <c r="H746" s="2" t="s">
        <v>1473</v>
      </c>
      <c r="I746" s="2" t="s">
        <v>1864</v>
      </c>
      <c r="J746" s="2" t="s">
        <v>19</v>
      </c>
      <c r="K746" s="2" t="s">
        <v>648</v>
      </c>
      <c r="L746" s="7" t="str">
        <f>HYPERLINK("http://slimages.macys.com/is/image/MCY/12267099 ")</f>
        <v xml:space="preserve">http://slimages.macys.com/is/image/MCY/12267099 </v>
      </c>
    </row>
    <row r="747" spans="1:12" ht="24.75" x14ac:dyDescent="0.25">
      <c r="A747" s="4" t="s">
        <v>8343</v>
      </c>
      <c r="B747" s="2" t="s">
        <v>6837</v>
      </c>
      <c r="C747" s="3">
        <v>4</v>
      </c>
      <c r="D747" s="5">
        <v>17.989999999999998</v>
      </c>
      <c r="E747" s="3" t="s">
        <v>6838</v>
      </c>
      <c r="F747" s="2" t="s">
        <v>3267</v>
      </c>
      <c r="G747" s="6" t="s">
        <v>200</v>
      </c>
      <c r="H747" s="2" t="s">
        <v>1473</v>
      </c>
      <c r="I747" s="2" t="s">
        <v>1426</v>
      </c>
      <c r="J747" s="2" t="s">
        <v>19</v>
      </c>
      <c r="K747" s="2" t="s">
        <v>648</v>
      </c>
      <c r="L747" s="7" t="str">
        <f>HYPERLINK("http://slimages.macys.com/is/image/MCY/11917662 ")</f>
        <v xml:space="preserve">http://slimages.macys.com/is/image/MCY/11917662 </v>
      </c>
    </row>
    <row r="748" spans="1:12" ht="24.75" x14ac:dyDescent="0.25">
      <c r="A748" s="4" t="s">
        <v>7650</v>
      </c>
      <c r="B748" s="2" t="s">
        <v>1896</v>
      </c>
      <c r="C748" s="3">
        <v>2</v>
      </c>
      <c r="D748" s="5">
        <v>20.99</v>
      </c>
      <c r="E748" s="3" t="s">
        <v>1899</v>
      </c>
      <c r="F748" s="2" t="s">
        <v>252</v>
      </c>
      <c r="G748" s="6" t="s">
        <v>181</v>
      </c>
      <c r="H748" s="2" t="s">
        <v>1473</v>
      </c>
      <c r="I748" s="2" t="s">
        <v>1864</v>
      </c>
      <c r="J748" s="2" t="s">
        <v>19</v>
      </c>
      <c r="K748" s="2" t="s">
        <v>648</v>
      </c>
      <c r="L748" s="7" t="str">
        <f>HYPERLINK("http://slimages.macys.com/is/image/MCY/10787705 ")</f>
        <v xml:space="preserve">http://slimages.macys.com/is/image/MCY/10787705 </v>
      </c>
    </row>
    <row r="749" spans="1:12" ht="24.75" x14ac:dyDescent="0.25">
      <c r="A749" s="4" t="s">
        <v>4154</v>
      </c>
      <c r="B749" s="2" t="s">
        <v>1892</v>
      </c>
      <c r="C749" s="3">
        <v>1</v>
      </c>
      <c r="D749" s="5">
        <v>20.99</v>
      </c>
      <c r="E749" s="3" t="s">
        <v>1901</v>
      </c>
      <c r="F749" s="2" t="s">
        <v>252</v>
      </c>
      <c r="G749" s="6" t="s">
        <v>181</v>
      </c>
      <c r="H749" s="2" t="s">
        <v>1473</v>
      </c>
      <c r="I749" s="2" t="s">
        <v>1864</v>
      </c>
      <c r="J749" s="2" t="s">
        <v>19</v>
      </c>
      <c r="K749" s="2" t="s">
        <v>648</v>
      </c>
      <c r="L749" s="7" t="str">
        <f>HYPERLINK("http://slimages.macys.com/is/image/MCY/11689284 ")</f>
        <v xml:space="preserve">http://slimages.macys.com/is/image/MCY/11689284 </v>
      </c>
    </row>
    <row r="750" spans="1:12" ht="24.75" x14ac:dyDescent="0.25">
      <c r="A750" s="4" t="s">
        <v>1900</v>
      </c>
      <c r="B750" s="2" t="s">
        <v>1892</v>
      </c>
      <c r="C750" s="3">
        <v>1</v>
      </c>
      <c r="D750" s="5">
        <v>20.99</v>
      </c>
      <c r="E750" s="3" t="s">
        <v>1901</v>
      </c>
      <c r="F750" s="2" t="s">
        <v>998</v>
      </c>
      <c r="G750" s="6" t="s">
        <v>156</v>
      </c>
      <c r="H750" s="2" t="s">
        <v>1473</v>
      </c>
      <c r="I750" s="2" t="s">
        <v>1864</v>
      </c>
      <c r="J750" s="2" t="s">
        <v>19</v>
      </c>
      <c r="K750" s="2" t="s">
        <v>648</v>
      </c>
      <c r="L750" s="7" t="str">
        <f>HYPERLINK("http://slimages.macys.com/is/image/MCY/11689284 ")</f>
        <v xml:space="preserve">http://slimages.macys.com/is/image/MCY/11689284 </v>
      </c>
    </row>
    <row r="751" spans="1:12" ht="24.75" x14ac:dyDescent="0.25">
      <c r="A751" s="4" t="s">
        <v>5177</v>
      </c>
      <c r="B751" s="2" t="s">
        <v>1892</v>
      </c>
      <c r="C751" s="3">
        <v>2</v>
      </c>
      <c r="D751" s="5">
        <v>20.99</v>
      </c>
      <c r="E751" s="3" t="s">
        <v>1901</v>
      </c>
      <c r="F751" s="2" t="s">
        <v>74</v>
      </c>
      <c r="G751" s="6" t="s">
        <v>234</v>
      </c>
      <c r="H751" s="2" t="s">
        <v>1473</v>
      </c>
      <c r="I751" s="2" t="s">
        <v>1864</v>
      </c>
      <c r="J751" s="2" t="s">
        <v>19</v>
      </c>
      <c r="K751" s="2" t="s">
        <v>648</v>
      </c>
      <c r="L751" s="7" t="str">
        <f>HYPERLINK("http://slimages.macys.com/is/image/MCY/11689284 ")</f>
        <v xml:space="preserve">http://slimages.macys.com/is/image/MCY/11689284 </v>
      </c>
    </row>
    <row r="752" spans="1:12" ht="24.75" x14ac:dyDescent="0.25">
      <c r="A752" s="4" t="s">
        <v>4152</v>
      </c>
      <c r="B752" s="2" t="s">
        <v>1892</v>
      </c>
      <c r="C752" s="3">
        <v>2</v>
      </c>
      <c r="D752" s="5">
        <v>20.99</v>
      </c>
      <c r="E752" s="3" t="s">
        <v>1901</v>
      </c>
      <c r="F752" s="2" t="s">
        <v>15</v>
      </c>
      <c r="G752" s="6" t="s">
        <v>181</v>
      </c>
      <c r="H752" s="2" t="s">
        <v>1473</v>
      </c>
      <c r="I752" s="2" t="s">
        <v>1864</v>
      </c>
      <c r="J752" s="2" t="s">
        <v>19</v>
      </c>
      <c r="K752" s="2" t="s">
        <v>648</v>
      </c>
      <c r="L752" s="7" t="str">
        <f>HYPERLINK("http://slimages.macys.com/is/image/MCY/11689284 ")</f>
        <v xml:space="preserve">http://slimages.macys.com/is/image/MCY/11689284 </v>
      </c>
    </row>
    <row r="753" spans="1:12" ht="24.75" x14ac:dyDescent="0.25">
      <c r="A753" s="4" t="s">
        <v>6848</v>
      </c>
      <c r="B753" s="2" t="s">
        <v>1892</v>
      </c>
      <c r="C753" s="3">
        <v>1</v>
      </c>
      <c r="D753" s="5">
        <v>20.99</v>
      </c>
      <c r="E753" s="3" t="s">
        <v>1901</v>
      </c>
      <c r="F753" s="2" t="s">
        <v>998</v>
      </c>
      <c r="G753" s="6" t="s">
        <v>181</v>
      </c>
      <c r="H753" s="2" t="s">
        <v>1473</v>
      </c>
      <c r="I753" s="2" t="s">
        <v>1864</v>
      </c>
      <c r="J753" s="2" t="s">
        <v>19</v>
      </c>
      <c r="K753" s="2" t="s">
        <v>648</v>
      </c>
      <c r="L753" s="7" t="str">
        <f>HYPERLINK("http://slimages.macys.com/is/image/MCY/11689284 ")</f>
        <v xml:space="preserve">http://slimages.macys.com/is/image/MCY/11689284 </v>
      </c>
    </row>
    <row r="754" spans="1:12" ht="24.75" x14ac:dyDescent="0.25">
      <c r="A754" s="4" t="s">
        <v>8344</v>
      </c>
      <c r="B754" s="2" t="s">
        <v>1896</v>
      </c>
      <c r="C754" s="3">
        <v>2</v>
      </c>
      <c r="D754" s="5">
        <v>20.99</v>
      </c>
      <c r="E754" s="3" t="s">
        <v>1899</v>
      </c>
      <c r="F754" s="2" t="s">
        <v>70</v>
      </c>
      <c r="G754" s="6" t="s">
        <v>181</v>
      </c>
      <c r="H754" s="2" t="s">
        <v>1473</v>
      </c>
      <c r="I754" s="2" t="s">
        <v>1864</v>
      </c>
      <c r="J754" s="2" t="s">
        <v>19</v>
      </c>
      <c r="K754" s="2" t="s">
        <v>648</v>
      </c>
      <c r="L754" s="7" t="str">
        <f>HYPERLINK("http://slimages.macys.com/is/image/MCY/10787705 ")</f>
        <v xml:space="preserve">http://slimages.macys.com/is/image/MCY/10787705 </v>
      </c>
    </row>
    <row r="755" spans="1:12" ht="24.75" x14ac:dyDescent="0.25">
      <c r="A755" s="4" t="s">
        <v>5175</v>
      </c>
      <c r="B755" s="2" t="s">
        <v>1892</v>
      </c>
      <c r="C755" s="3">
        <v>2</v>
      </c>
      <c r="D755" s="5">
        <v>20.99</v>
      </c>
      <c r="E755" s="3" t="s">
        <v>1901</v>
      </c>
      <c r="F755" s="2" t="s">
        <v>74</v>
      </c>
      <c r="G755" s="6" t="s">
        <v>181</v>
      </c>
      <c r="H755" s="2" t="s">
        <v>1473</v>
      </c>
      <c r="I755" s="2" t="s">
        <v>1864</v>
      </c>
      <c r="J755" s="2" t="s">
        <v>19</v>
      </c>
      <c r="K755" s="2" t="s">
        <v>648</v>
      </c>
      <c r="L755" s="7" t="str">
        <f>HYPERLINK("http://slimages.macys.com/is/image/MCY/11689284 ")</f>
        <v xml:space="preserve">http://slimages.macys.com/is/image/MCY/11689284 </v>
      </c>
    </row>
    <row r="756" spans="1:12" ht="24.75" x14ac:dyDescent="0.25">
      <c r="A756" s="4" t="s">
        <v>1904</v>
      </c>
      <c r="B756" s="2" t="s">
        <v>1892</v>
      </c>
      <c r="C756" s="3">
        <v>1</v>
      </c>
      <c r="D756" s="5">
        <v>20.99</v>
      </c>
      <c r="E756" s="3" t="s">
        <v>1893</v>
      </c>
      <c r="F756" s="2" t="s">
        <v>15</v>
      </c>
      <c r="G756" s="6"/>
      <c r="H756" s="2" t="s">
        <v>1425</v>
      </c>
      <c r="I756" s="2" t="s">
        <v>1864</v>
      </c>
      <c r="J756" s="2" t="s">
        <v>19</v>
      </c>
      <c r="K756" s="2" t="s">
        <v>1894</v>
      </c>
      <c r="L756" s="7" t="str">
        <f>HYPERLINK("http://slimages.macys.com/is/image/MCY/11689288 ")</f>
        <v xml:space="preserve">http://slimages.macys.com/is/image/MCY/11689288 </v>
      </c>
    </row>
    <row r="757" spans="1:12" ht="24.75" x14ac:dyDescent="0.25">
      <c r="A757" s="4" t="s">
        <v>3069</v>
      </c>
      <c r="B757" s="2" t="s">
        <v>1896</v>
      </c>
      <c r="C757" s="3">
        <v>4</v>
      </c>
      <c r="D757" s="5">
        <v>20.99</v>
      </c>
      <c r="E757" s="3" t="s">
        <v>1899</v>
      </c>
      <c r="F757" s="2" t="s">
        <v>998</v>
      </c>
      <c r="G757" s="6" t="s">
        <v>181</v>
      </c>
      <c r="H757" s="2" t="s">
        <v>1473</v>
      </c>
      <c r="I757" s="2" t="s">
        <v>1864</v>
      </c>
      <c r="J757" s="2" t="s">
        <v>19</v>
      </c>
      <c r="K757" s="2" t="s">
        <v>648</v>
      </c>
      <c r="L757" s="7" t="str">
        <f>HYPERLINK("http://slimages.macys.com/is/image/MCY/10787705 ")</f>
        <v xml:space="preserve">http://slimages.macys.com/is/image/MCY/10787705 </v>
      </c>
    </row>
    <row r="758" spans="1:12" ht="24.75" x14ac:dyDescent="0.25">
      <c r="A758" s="4" t="s">
        <v>3060</v>
      </c>
      <c r="B758" s="2" t="s">
        <v>1896</v>
      </c>
      <c r="C758" s="3">
        <v>2</v>
      </c>
      <c r="D758" s="5">
        <v>20.99</v>
      </c>
      <c r="E758" s="3" t="s">
        <v>1899</v>
      </c>
      <c r="F758" s="2" t="s">
        <v>15</v>
      </c>
      <c r="G758" s="6" t="s">
        <v>156</v>
      </c>
      <c r="H758" s="2" t="s">
        <v>1473</v>
      </c>
      <c r="I758" s="2" t="s">
        <v>1864</v>
      </c>
      <c r="J758" s="2" t="s">
        <v>19</v>
      </c>
      <c r="K758" s="2" t="s">
        <v>648</v>
      </c>
      <c r="L758" s="7" t="str">
        <f>HYPERLINK("http://slimages.macys.com/is/image/MCY/10787705 ")</f>
        <v xml:space="preserve">http://slimages.macys.com/is/image/MCY/10787705 </v>
      </c>
    </row>
    <row r="759" spans="1:12" ht="24.75" x14ac:dyDescent="0.25">
      <c r="A759" s="4" t="s">
        <v>1906</v>
      </c>
      <c r="B759" s="2" t="s">
        <v>1896</v>
      </c>
      <c r="C759" s="3">
        <v>1</v>
      </c>
      <c r="D759" s="5">
        <v>20.99</v>
      </c>
      <c r="E759" s="3" t="s">
        <v>1899</v>
      </c>
      <c r="F759" s="2" t="s">
        <v>998</v>
      </c>
      <c r="G759" s="6" t="s">
        <v>156</v>
      </c>
      <c r="H759" s="2" t="s">
        <v>1473</v>
      </c>
      <c r="I759" s="2" t="s">
        <v>1864</v>
      </c>
      <c r="J759" s="2" t="s">
        <v>19</v>
      </c>
      <c r="K759" s="2" t="s">
        <v>648</v>
      </c>
      <c r="L759" s="7" t="str">
        <f>HYPERLINK("http://slimages.macys.com/is/image/MCY/10787705 ")</f>
        <v xml:space="preserve">http://slimages.macys.com/is/image/MCY/10787705 </v>
      </c>
    </row>
    <row r="760" spans="1:12" ht="24.75" x14ac:dyDescent="0.25">
      <c r="A760" s="4" t="s">
        <v>3072</v>
      </c>
      <c r="B760" s="2" t="s">
        <v>1892</v>
      </c>
      <c r="C760" s="3">
        <v>1</v>
      </c>
      <c r="D760" s="5">
        <v>20.99</v>
      </c>
      <c r="E760" s="3" t="s">
        <v>1901</v>
      </c>
      <c r="F760" s="2" t="s">
        <v>1788</v>
      </c>
      <c r="G760" s="6" t="s">
        <v>181</v>
      </c>
      <c r="H760" s="2" t="s">
        <v>1473</v>
      </c>
      <c r="I760" s="2" t="s">
        <v>1864</v>
      </c>
      <c r="J760" s="2" t="s">
        <v>19</v>
      </c>
      <c r="K760" s="2" t="s">
        <v>648</v>
      </c>
      <c r="L760" s="7" t="str">
        <f>HYPERLINK("http://slimages.macys.com/is/image/MCY/11689284 ")</f>
        <v xml:space="preserve">http://slimages.macys.com/is/image/MCY/11689284 </v>
      </c>
    </row>
    <row r="761" spans="1:12" ht="24.75" x14ac:dyDescent="0.25">
      <c r="A761" s="4" t="s">
        <v>3073</v>
      </c>
      <c r="B761" s="2" t="s">
        <v>1896</v>
      </c>
      <c r="C761" s="3">
        <v>3</v>
      </c>
      <c r="D761" s="5">
        <v>20.99</v>
      </c>
      <c r="E761" s="3" t="s">
        <v>1899</v>
      </c>
      <c r="F761" s="2" t="s">
        <v>15</v>
      </c>
      <c r="G761" s="6" t="s">
        <v>181</v>
      </c>
      <c r="H761" s="2" t="s">
        <v>1473</v>
      </c>
      <c r="I761" s="2" t="s">
        <v>1864</v>
      </c>
      <c r="J761" s="2" t="s">
        <v>19</v>
      </c>
      <c r="K761" s="2" t="s">
        <v>648</v>
      </c>
      <c r="L761" s="7" t="str">
        <f>HYPERLINK("http://slimages.macys.com/is/image/MCY/10787705 ")</f>
        <v xml:space="preserve">http://slimages.macys.com/is/image/MCY/10787705 </v>
      </c>
    </row>
    <row r="762" spans="1:12" ht="24.75" x14ac:dyDescent="0.25">
      <c r="A762" s="4" t="s">
        <v>3068</v>
      </c>
      <c r="B762" s="2" t="s">
        <v>1896</v>
      </c>
      <c r="C762" s="3">
        <v>4</v>
      </c>
      <c r="D762" s="5">
        <v>20.99</v>
      </c>
      <c r="E762" s="3" t="s">
        <v>1899</v>
      </c>
      <c r="F762" s="2" t="s">
        <v>74</v>
      </c>
      <c r="G762" s="6" t="s">
        <v>181</v>
      </c>
      <c r="H762" s="2" t="s">
        <v>1473</v>
      </c>
      <c r="I762" s="2" t="s">
        <v>1864</v>
      </c>
      <c r="J762" s="2" t="s">
        <v>19</v>
      </c>
      <c r="K762" s="2" t="s">
        <v>648</v>
      </c>
      <c r="L762" s="7" t="str">
        <f>HYPERLINK("http://slimages.macys.com/is/image/MCY/10787705 ")</f>
        <v xml:space="preserve">http://slimages.macys.com/is/image/MCY/10787705 </v>
      </c>
    </row>
    <row r="763" spans="1:12" ht="24.75" x14ac:dyDescent="0.25">
      <c r="A763" s="4" t="s">
        <v>1907</v>
      </c>
      <c r="B763" s="2" t="s">
        <v>1896</v>
      </c>
      <c r="C763" s="3">
        <v>1</v>
      </c>
      <c r="D763" s="5">
        <v>20.99</v>
      </c>
      <c r="E763" s="3" t="s">
        <v>1899</v>
      </c>
      <c r="F763" s="2" t="s">
        <v>1296</v>
      </c>
      <c r="G763" s="6" t="s">
        <v>181</v>
      </c>
      <c r="H763" s="2" t="s">
        <v>1473</v>
      </c>
      <c r="I763" s="2" t="s">
        <v>1864</v>
      </c>
      <c r="J763" s="2" t="s">
        <v>19</v>
      </c>
      <c r="K763" s="2" t="s">
        <v>648</v>
      </c>
      <c r="L763" s="7" t="str">
        <f>HYPERLINK("http://slimages.macys.com/is/image/MCY/10787705 ")</f>
        <v xml:space="preserve">http://slimages.macys.com/is/image/MCY/10787705 </v>
      </c>
    </row>
    <row r="764" spans="1:12" ht="24.75" x14ac:dyDescent="0.25">
      <c r="A764" s="4" t="s">
        <v>3059</v>
      </c>
      <c r="B764" s="2" t="s">
        <v>1896</v>
      </c>
      <c r="C764" s="3">
        <v>3</v>
      </c>
      <c r="D764" s="5">
        <v>20.99</v>
      </c>
      <c r="E764" s="3" t="s">
        <v>1899</v>
      </c>
      <c r="F764" s="2" t="s">
        <v>74</v>
      </c>
      <c r="G764" s="6" t="s">
        <v>234</v>
      </c>
      <c r="H764" s="2" t="s">
        <v>1473</v>
      </c>
      <c r="I764" s="2" t="s">
        <v>1864</v>
      </c>
      <c r="J764" s="2" t="s">
        <v>19</v>
      </c>
      <c r="K764" s="2" t="s">
        <v>648</v>
      </c>
      <c r="L764" s="7" t="str">
        <f>HYPERLINK("http://slimages.macys.com/is/image/MCY/10787705 ")</f>
        <v xml:space="preserve">http://slimages.macys.com/is/image/MCY/10787705 </v>
      </c>
    </row>
    <row r="765" spans="1:12" ht="24.75" x14ac:dyDescent="0.25">
      <c r="A765" s="4" t="s">
        <v>8345</v>
      </c>
      <c r="B765" s="2" t="s">
        <v>1892</v>
      </c>
      <c r="C765" s="3">
        <v>1</v>
      </c>
      <c r="D765" s="5">
        <v>20.99</v>
      </c>
      <c r="E765" s="3" t="s">
        <v>1901</v>
      </c>
      <c r="F765" s="2" t="s">
        <v>1296</v>
      </c>
      <c r="G765" s="6" t="s">
        <v>234</v>
      </c>
      <c r="H765" s="2" t="s">
        <v>1473</v>
      </c>
      <c r="I765" s="2" t="s">
        <v>1864</v>
      </c>
      <c r="J765" s="2" t="s">
        <v>19</v>
      </c>
      <c r="K765" s="2" t="s">
        <v>648</v>
      </c>
      <c r="L765" s="7" t="str">
        <f>HYPERLINK("http://slimages.macys.com/is/image/MCY/11689284 ")</f>
        <v xml:space="preserve">http://slimages.macys.com/is/image/MCY/11689284 </v>
      </c>
    </row>
    <row r="766" spans="1:12" ht="24.75" x14ac:dyDescent="0.25">
      <c r="A766" s="4" t="s">
        <v>3052</v>
      </c>
      <c r="B766" s="2" t="s">
        <v>1896</v>
      </c>
      <c r="C766" s="3">
        <v>2</v>
      </c>
      <c r="D766" s="5">
        <v>20.99</v>
      </c>
      <c r="E766" s="3" t="s">
        <v>1899</v>
      </c>
      <c r="F766" s="2" t="s">
        <v>74</v>
      </c>
      <c r="G766" s="6" t="s">
        <v>156</v>
      </c>
      <c r="H766" s="2" t="s">
        <v>1473</v>
      </c>
      <c r="I766" s="2" t="s">
        <v>1864</v>
      </c>
      <c r="J766" s="2" t="s">
        <v>19</v>
      </c>
      <c r="K766" s="2" t="s">
        <v>648</v>
      </c>
      <c r="L766" s="7" t="str">
        <f>HYPERLINK("http://slimages.macys.com/is/image/MCY/10787705 ")</f>
        <v xml:space="preserve">http://slimages.macys.com/is/image/MCY/10787705 </v>
      </c>
    </row>
    <row r="767" spans="1:12" ht="24.75" x14ac:dyDescent="0.25">
      <c r="A767" s="4" t="s">
        <v>3071</v>
      </c>
      <c r="B767" s="2" t="s">
        <v>1892</v>
      </c>
      <c r="C767" s="3">
        <v>3</v>
      </c>
      <c r="D767" s="5">
        <v>20.99</v>
      </c>
      <c r="E767" s="3" t="s">
        <v>1901</v>
      </c>
      <c r="F767" s="2" t="s">
        <v>74</v>
      </c>
      <c r="G767" s="6" t="s">
        <v>154</v>
      </c>
      <c r="H767" s="2" t="s">
        <v>1473</v>
      </c>
      <c r="I767" s="2" t="s">
        <v>1864</v>
      </c>
      <c r="J767" s="2" t="s">
        <v>19</v>
      </c>
      <c r="K767" s="2" t="s">
        <v>648</v>
      </c>
      <c r="L767" s="7" t="str">
        <f>HYPERLINK("http://slimages.macys.com/is/image/MCY/11689284 ")</f>
        <v xml:space="preserve">http://slimages.macys.com/is/image/MCY/11689284 </v>
      </c>
    </row>
    <row r="768" spans="1:12" ht="24.75" x14ac:dyDescent="0.25">
      <c r="A768" s="4" t="s">
        <v>3070</v>
      </c>
      <c r="B768" s="2" t="s">
        <v>1892</v>
      </c>
      <c r="C768" s="3">
        <v>1</v>
      </c>
      <c r="D768" s="5">
        <v>20.99</v>
      </c>
      <c r="E768" s="3" t="s">
        <v>1901</v>
      </c>
      <c r="F768" s="2" t="s">
        <v>15</v>
      </c>
      <c r="G768" s="6" t="s">
        <v>156</v>
      </c>
      <c r="H768" s="2" t="s">
        <v>1473</v>
      </c>
      <c r="I768" s="2" t="s">
        <v>1864</v>
      </c>
      <c r="J768" s="2" t="s">
        <v>19</v>
      </c>
      <c r="K768" s="2" t="s">
        <v>648</v>
      </c>
      <c r="L768" s="7" t="str">
        <f>HYPERLINK("http://slimages.macys.com/is/image/MCY/11689284 ")</f>
        <v xml:space="preserve">http://slimages.macys.com/is/image/MCY/11689284 </v>
      </c>
    </row>
    <row r="769" spans="1:12" ht="24.75" x14ac:dyDescent="0.25">
      <c r="A769" s="4" t="s">
        <v>8346</v>
      </c>
      <c r="B769" s="2" t="s">
        <v>6139</v>
      </c>
      <c r="C769" s="3">
        <v>1</v>
      </c>
      <c r="D769" s="5">
        <v>17.989999999999998</v>
      </c>
      <c r="E769" s="3" t="s">
        <v>6140</v>
      </c>
      <c r="F769" s="2" t="s">
        <v>70</v>
      </c>
      <c r="G769" s="6" t="s">
        <v>234</v>
      </c>
      <c r="H769" s="2" t="s">
        <v>1473</v>
      </c>
      <c r="I769" s="2" t="s">
        <v>1426</v>
      </c>
      <c r="J769" s="2" t="s">
        <v>19</v>
      </c>
      <c r="K769" s="2" t="s">
        <v>648</v>
      </c>
      <c r="L769" s="7" t="str">
        <f>HYPERLINK("http://slimages.macys.com/is/image/MCY/11830664 ")</f>
        <v xml:space="preserve">http://slimages.macys.com/is/image/MCY/11830664 </v>
      </c>
    </row>
    <row r="770" spans="1:12" x14ac:dyDescent="0.25">
      <c r="A770" s="4" t="s">
        <v>6852</v>
      </c>
      <c r="B770" s="2" t="s">
        <v>4159</v>
      </c>
      <c r="C770" s="3">
        <v>1</v>
      </c>
      <c r="D770" s="5">
        <v>39.5</v>
      </c>
      <c r="E770" s="3" t="s">
        <v>4160</v>
      </c>
      <c r="F770" s="2" t="s">
        <v>111</v>
      </c>
      <c r="G770" s="6" t="s">
        <v>187</v>
      </c>
      <c r="H770" s="2" t="s">
        <v>206</v>
      </c>
      <c r="I770" s="2" t="s">
        <v>207</v>
      </c>
      <c r="J770" s="2" t="s">
        <v>19</v>
      </c>
      <c r="K770" s="2" t="s">
        <v>247</v>
      </c>
      <c r="L770" s="7" t="str">
        <f>HYPERLINK("http://slimages.macys.com/is/image/MCY/9815602 ")</f>
        <v xml:space="preserve">http://slimages.macys.com/is/image/MCY/9815602 </v>
      </c>
    </row>
    <row r="771" spans="1:12" x14ac:dyDescent="0.25">
      <c r="A771" s="4" t="s">
        <v>6856</v>
      </c>
      <c r="B771" s="2" t="s">
        <v>4159</v>
      </c>
      <c r="C771" s="3">
        <v>3</v>
      </c>
      <c r="D771" s="5">
        <v>39.5</v>
      </c>
      <c r="E771" s="3" t="s">
        <v>4160</v>
      </c>
      <c r="F771" s="2" t="s">
        <v>111</v>
      </c>
      <c r="G771" s="6"/>
      <c r="H771" s="2" t="s">
        <v>206</v>
      </c>
      <c r="I771" s="2" t="s">
        <v>207</v>
      </c>
      <c r="J771" s="2" t="s">
        <v>19</v>
      </c>
      <c r="K771" s="2" t="s">
        <v>247</v>
      </c>
      <c r="L771" s="7" t="str">
        <f>HYPERLINK("http://slimages.macys.com/is/image/MCY/9815602 ")</f>
        <v xml:space="preserve">http://slimages.macys.com/is/image/MCY/9815602 </v>
      </c>
    </row>
    <row r="772" spans="1:12" x14ac:dyDescent="0.25">
      <c r="A772" s="4" t="s">
        <v>6855</v>
      </c>
      <c r="B772" s="2" t="s">
        <v>4159</v>
      </c>
      <c r="C772" s="3">
        <v>1</v>
      </c>
      <c r="D772" s="5">
        <v>39.5</v>
      </c>
      <c r="E772" s="3" t="s">
        <v>4160</v>
      </c>
      <c r="F772" s="2" t="s">
        <v>111</v>
      </c>
      <c r="G772" s="6"/>
      <c r="H772" s="2" t="s">
        <v>206</v>
      </c>
      <c r="I772" s="2" t="s">
        <v>207</v>
      </c>
      <c r="J772" s="2" t="s">
        <v>19</v>
      </c>
      <c r="K772" s="2" t="s">
        <v>247</v>
      </c>
      <c r="L772" s="7" t="str">
        <f>HYPERLINK("http://slimages.macys.com/is/image/MCY/9815602 ")</f>
        <v xml:space="preserve">http://slimages.macys.com/is/image/MCY/9815602 </v>
      </c>
    </row>
    <row r="773" spans="1:12" x14ac:dyDescent="0.25">
      <c r="A773" s="4" t="s">
        <v>6854</v>
      </c>
      <c r="B773" s="2" t="s">
        <v>4159</v>
      </c>
      <c r="C773" s="3">
        <v>2</v>
      </c>
      <c r="D773" s="5">
        <v>39.5</v>
      </c>
      <c r="E773" s="3" t="s">
        <v>4160</v>
      </c>
      <c r="F773" s="2" t="s">
        <v>111</v>
      </c>
      <c r="G773" s="6"/>
      <c r="H773" s="2" t="s">
        <v>206</v>
      </c>
      <c r="I773" s="2" t="s">
        <v>207</v>
      </c>
      <c r="J773" s="2" t="s">
        <v>19</v>
      </c>
      <c r="K773" s="2" t="s">
        <v>247</v>
      </c>
      <c r="L773" s="7" t="str">
        <f>HYPERLINK("http://slimages.macys.com/is/image/MCY/9815602 ")</f>
        <v xml:space="preserve">http://slimages.macys.com/is/image/MCY/9815602 </v>
      </c>
    </row>
    <row r="774" spans="1:12" x14ac:dyDescent="0.25">
      <c r="A774" s="4" t="s">
        <v>6853</v>
      </c>
      <c r="B774" s="2" t="s">
        <v>4159</v>
      </c>
      <c r="C774" s="3">
        <v>1</v>
      </c>
      <c r="D774" s="5">
        <v>39.5</v>
      </c>
      <c r="E774" s="3" t="s">
        <v>4160</v>
      </c>
      <c r="F774" s="2" t="s">
        <v>111</v>
      </c>
      <c r="G774" s="6" t="s">
        <v>219</v>
      </c>
      <c r="H774" s="2" t="s">
        <v>206</v>
      </c>
      <c r="I774" s="2" t="s">
        <v>207</v>
      </c>
      <c r="J774" s="2" t="s">
        <v>19</v>
      </c>
      <c r="K774" s="2" t="s">
        <v>247</v>
      </c>
      <c r="L774" s="7" t="str">
        <f>HYPERLINK("http://slimages.macys.com/is/image/MCY/9815602 ")</f>
        <v xml:space="preserve">http://slimages.macys.com/is/image/MCY/9815602 </v>
      </c>
    </row>
    <row r="775" spans="1:12" ht="24.75" x14ac:dyDescent="0.25">
      <c r="A775" s="4" t="s">
        <v>6143</v>
      </c>
      <c r="B775" s="2" t="s">
        <v>4170</v>
      </c>
      <c r="C775" s="3">
        <v>1</v>
      </c>
      <c r="D775" s="5">
        <v>14.99</v>
      </c>
      <c r="E775" s="3" t="s">
        <v>4171</v>
      </c>
      <c r="F775" s="2" t="s">
        <v>64</v>
      </c>
      <c r="G775" s="6" t="s">
        <v>234</v>
      </c>
      <c r="H775" s="2" t="s">
        <v>1473</v>
      </c>
      <c r="I775" s="2" t="s">
        <v>1426</v>
      </c>
      <c r="J775" s="2" t="s">
        <v>19</v>
      </c>
      <c r="K775" s="2" t="s">
        <v>495</v>
      </c>
      <c r="L775" s="7" t="str">
        <f>HYPERLINK("http://slimages.macys.com/is/image/MCY/11207448 ")</f>
        <v xml:space="preserve">http://slimages.macys.com/is/image/MCY/11207448 </v>
      </c>
    </row>
    <row r="776" spans="1:12" ht="24.75" x14ac:dyDescent="0.25">
      <c r="A776" s="4" t="s">
        <v>8347</v>
      </c>
      <c r="B776" s="2" t="s">
        <v>6862</v>
      </c>
      <c r="C776" s="3">
        <v>1</v>
      </c>
      <c r="D776" s="5">
        <v>17.989999999999998</v>
      </c>
      <c r="E776" s="3" t="s">
        <v>6863</v>
      </c>
      <c r="F776" s="2" t="s">
        <v>1322</v>
      </c>
      <c r="G776" s="6" t="s">
        <v>187</v>
      </c>
      <c r="H776" s="2" t="s">
        <v>1425</v>
      </c>
      <c r="I776" s="2" t="s">
        <v>1426</v>
      </c>
      <c r="J776" s="2" t="s">
        <v>19</v>
      </c>
      <c r="K776" s="2" t="s">
        <v>990</v>
      </c>
      <c r="L776" s="7" t="str">
        <f>HYPERLINK("http://slimages.macys.com/is/image/MCY/12327110 ")</f>
        <v xml:space="preserve">http://slimages.macys.com/is/image/MCY/12327110 </v>
      </c>
    </row>
    <row r="777" spans="1:12" ht="36.75" x14ac:dyDescent="0.25">
      <c r="A777" s="4" t="s">
        <v>8348</v>
      </c>
      <c r="B777" s="2" t="s">
        <v>3084</v>
      </c>
      <c r="C777" s="3">
        <v>1</v>
      </c>
      <c r="D777" s="5">
        <v>17.989999999999998</v>
      </c>
      <c r="E777" s="3" t="s">
        <v>3092</v>
      </c>
      <c r="F777" s="2" t="s">
        <v>26</v>
      </c>
      <c r="G777" s="6" t="s">
        <v>181</v>
      </c>
      <c r="H777" s="2" t="s">
        <v>1473</v>
      </c>
      <c r="I777" s="2" t="s">
        <v>1426</v>
      </c>
      <c r="J777" s="2" t="s">
        <v>19</v>
      </c>
      <c r="K777" s="2" t="s">
        <v>3093</v>
      </c>
      <c r="L777" s="7" t="str">
        <f>HYPERLINK("http://slimages.macys.com/is/image/MCY/11915483 ")</f>
        <v xml:space="preserve">http://slimages.macys.com/is/image/MCY/11915483 </v>
      </c>
    </row>
    <row r="778" spans="1:12" ht="24.75" x14ac:dyDescent="0.25">
      <c r="A778" s="4" t="s">
        <v>5179</v>
      </c>
      <c r="B778" s="2" t="s">
        <v>4170</v>
      </c>
      <c r="C778" s="3">
        <v>1</v>
      </c>
      <c r="D778" s="5">
        <v>14.99</v>
      </c>
      <c r="E778" s="3" t="s">
        <v>4171</v>
      </c>
      <c r="F778" s="2" t="s">
        <v>64</v>
      </c>
      <c r="G778" s="6" t="s">
        <v>154</v>
      </c>
      <c r="H778" s="2" t="s">
        <v>1473</v>
      </c>
      <c r="I778" s="2" t="s">
        <v>1426</v>
      </c>
      <c r="J778" s="2" t="s">
        <v>19</v>
      </c>
      <c r="K778" s="2" t="s">
        <v>495</v>
      </c>
      <c r="L778" s="7" t="str">
        <f>HYPERLINK("http://slimages.macys.com/is/image/MCY/11207448 ")</f>
        <v xml:space="preserve">http://slimages.macys.com/is/image/MCY/11207448 </v>
      </c>
    </row>
    <row r="779" spans="1:12" ht="24.75" x14ac:dyDescent="0.25">
      <c r="A779" s="4" t="s">
        <v>8349</v>
      </c>
      <c r="B779" s="2" t="s">
        <v>3098</v>
      </c>
      <c r="C779" s="3">
        <v>1</v>
      </c>
      <c r="D779" s="5">
        <v>14.99</v>
      </c>
      <c r="E779" s="3" t="s">
        <v>3099</v>
      </c>
      <c r="F779" s="2" t="s">
        <v>94</v>
      </c>
      <c r="G779" s="6" t="s">
        <v>234</v>
      </c>
      <c r="H779" s="2" t="s">
        <v>1473</v>
      </c>
      <c r="I779" s="2" t="s">
        <v>1426</v>
      </c>
      <c r="J779" s="2" t="s">
        <v>19</v>
      </c>
      <c r="K779" s="2" t="s">
        <v>495</v>
      </c>
      <c r="L779" s="7" t="str">
        <f>HYPERLINK("http://slimages.macys.com/is/image/MCY/11417660 ")</f>
        <v xml:space="preserve">http://slimages.macys.com/is/image/MCY/11417660 </v>
      </c>
    </row>
    <row r="780" spans="1:12" ht="24.75" x14ac:dyDescent="0.25">
      <c r="A780" s="4" t="s">
        <v>8350</v>
      </c>
      <c r="B780" s="2" t="s">
        <v>6862</v>
      </c>
      <c r="C780" s="3">
        <v>1</v>
      </c>
      <c r="D780" s="5">
        <v>17.989999999999998</v>
      </c>
      <c r="E780" s="3" t="s">
        <v>6863</v>
      </c>
      <c r="F780" s="2" t="s">
        <v>331</v>
      </c>
      <c r="G780" s="6" t="s">
        <v>187</v>
      </c>
      <c r="H780" s="2" t="s">
        <v>1425</v>
      </c>
      <c r="I780" s="2" t="s">
        <v>1426</v>
      </c>
      <c r="J780" s="2" t="s">
        <v>19</v>
      </c>
      <c r="K780" s="2" t="s">
        <v>990</v>
      </c>
      <c r="L780" s="7" t="str">
        <f>HYPERLINK("http://slimages.macys.com/is/image/MCY/12327110 ")</f>
        <v xml:space="preserve">http://slimages.macys.com/is/image/MCY/12327110 </v>
      </c>
    </row>
    <row r="781" spans="1:12" ht="24.75" x14ac:dyDescent="0.25">
      <c r="A781" s="4" t="s">
        <v>8351</v>
      </c>
      <c r="B781" s="2" t="s">
        <v>1924</v>
      </c>
      <c r="C781" s="3">
        <v>1</v>
      </c>
      <c r="D781" s="5">
        <v>17.989999999999998</v>
      </c>
      <c r="E781" s="3" t="s">
        <v>4176</v>
      </c>
      <c r="F781" s="2" t="s">
        <v>417</v>
      </c>
      <c r="G781" s="6" t="s">
        <v>154</v>
      </c>
      <c r="H781" s="2" t="s">
        <v>1473</v>
      </c>
      <c r="I781" s="2" t="s">
        <v>1426</v>
      </c>
      <c r="J781" s="2" t="s">
        <v>19</v>
      </c>
      <c r="K781" s="2" t="s">
        <v>648</v>
      </c>
      <c r="L781" s="7" t="str">
        <f>HYPERLINK("http://slimages.macys.com/is/image/MCY/11831262 ")</f>
        <v xml:space="preserve">http://slimages.macys.com/is/image/MCY/11831262 </v>
      </c>
    </row>
    <row r="782" spans="1:12" ht="24.75" x14ac:dyDescent="0.25">
      <c r="A782" s="4" t="s">
        <v>8352</v>
      </c>
      <c r="B782" s="2" t="s">
        <v>8353</v>
      </c>
      <c r="C782" s="3">
        <v>1</v>
      </c>
      <c r="D782" s="5">
        <v>21.99</v>
      </c>
      <c r="E782" s="3" t="s">
        <v>8354</v>
      </c>
      <c r="F782" s="2" t="s">
        <v>413</v>
      </c>
      <c r="G782" s="6" t="s">
        <v>200</v>
      </c>
      <c r="H782" s="2" t="s">
        <v>284</v>
      </c>
      <c r="I782" s="2" t="s">
        <v>285</v>
      </c>
      <c r="J782" s="2" t="s">
        <v>19</v>
      </c>
      <c r="K782" s="2" t="s">
        <v>247</v>
      </c>
      <c r="L782" s="7" t="str">
        <f>HYPERLINK("http://slimages.macys.com/is/image/MCY/12055713 ")</f>
        <v xml:space="preserve">http://slimages.macys.com/is/image/MCY/12055713 </v>
      </c>
    </row>
    <row r="783" spans="1:12" ht="24.75" x14ac:dyDescent="0.25">
      <c r="A783" s="4" t="s">
        <v>3117</v>
      </c>
      <c r="B783" s="2" t="s">
        <v>1937</v>
      </c>
      <c r="C783" s="3">
        <v>1</v>
      </c>
      <c r="D783" s="5">
        <v>19.989999999999998</v>
      </c>
      <c r="E783" s="3" t="s">
        <v>1938</v>
      </c>
      <c r="F783" s="2"/>
      <c r="G783" s="6" t="s">
        <v>181</v>
      </c>
      <c r="H783" s="2" t="s">
        <v>246</v>
      </c>
      <c r="I783" s="2" t="s">
        <v>1939</v>
      </c>
      <c r="J783" s="2" t="s">
        <v>19</v>
      </c>
      <c r="K783" s="2" t="s">
        <v>1940</v>
      </c>
      <c r="L783" s="7" t="str">
        <f>HYPERLINK("http://slimages.macys.com/is/image/MCY/11523112 ")</f>
        <v xml:space="preserve">http://slimages.macys.com/is/image/MCY/11523112 </v>
      </c>
    </row>
    <row r="784" spans="1:12" ht="24.75" x14ac:dyDescent="0.25">
      <c r="A784" s="4" t="s">
        <v>3120</v>
      </c>
      <c r="B784" s="2" t="s">
        <v>1942</v>
      </c>
      <c r="C784" s="3">
        <v>2</v>
      </c>
      <c r="D784" s="5">
        <v>17.989999999999998</v>
      </c>
      <c r="E784" s="3" t="s">
        <v>1943</v>
      </c>
      <c r="F784" s="2" t="s">
        <v>1945</v>
      </c>
      <c r="G784" s="6" t="s">
        <v>181</v>
      </c>
      <c r="H784" s="2" t="s">
        <v>1522</v>
      </c>
      <c r="I784" s="2" t="s">
        <v>1469</v>
      </c>
      <c r="J784" s="2" t="s">
        <v>19</v>
      </c>
      <c r="K784" s="2" t="s">
        <v>353</v>
      </c>
      <c r="L784" s="7" t="str">
        <f>HYPERLINK("http://slimages.macys.com/is/image/MCY/10743541 ")</f>
        <v xml:space="preserve">http://slimages.macys.com/is/image/MCY/10743541 </v>
      </c>
    </row>
    <row r="785" spans="1:12" ht="24.75" x14ac:dyDescent="0.25">
      <c r="A785" s="4" t="s">
        <v>8355</v>
      </c>
      <c r="B785" s="2" t="s">
        <v>1942</v>
      </c>
      <c r="C785" s="3">
        <v>3</v>
      </c>
      <c r="D785" s="5">
        <v>17.989999999999998</v>
      </c>
      <c r="E785" s="3" t="s">
        <v>1943</v>
      </c>
      <c r="F785" s="2" t="s">
        <v>15</v>
      </c>
      <c r="G785" s="6" t="s">
        <v>181</v>
      </c>
      <c r="H785" s="2" t="s">
        <v>1522</v>
      </c>
      <c r="I785" s="2" t="s">
        <v>1469</v>
      </c>
      <c r="J785" s="2" t="s">
        <v>19</v>
      </c>
      <c r="K785" s="2" t="s">
        <v>353</v>
      </c>
      <c r="L785" s="7" t="str">
        <f>HYPERLINK("http://slimages.macys.com/is/image/MCY/10743541 ")</f>
        <v xml:space="preserve">http://slimages.macys.com/is/image/MCY/10743541 </v>
      </c>
    </row>
    <row r="786" spans="1:12" ht="24.75" x14ac:dyDescent="0.25">
      <c r="A786" s="4" t="s">
        <v>8356</v>
      </c>
      <c r="B786" s="2" t="s">
        <v>1942</v>
      </c>
      <c r="C786" s="3">
        <v>1</v>
      </c>
      <c r="D786" s="5">
        <v>17.989999999999998</v>
      </c>
      <c r="E786" s="3" t="s">
        <v>1943</v>
      </c>
      <c r="F786" s="2" t="s">
        <v>413</v>
      </c>
      <c r="G786" s="6" t="s">
        <v>154</v>
      </c>
      <c r="H786" s="2" t="s">
        <v>1522</v>
      </c>
      <c r="I786" s="2" t="s">
        <v>1469</v>
      </c>
      <c r="J786" s="2" t="s">
        <v>19</v>
      </c>
      <c r="K786" s="2" t="s">
        <v>353</v>
      </c>
      <c r="L786" s="7" t="str">
        <f>HYPERLINK("http://slimages.macys.com/is/image/MCY/10743541 ")</f>
        <v xml:space="preserve">http://slimages.macys.com/is/image/MCY/10743541 </v>
      </c>
    </row>
    <row r="787" spans="1:12" ht="24.75" x14ac:dyDescent="0.25">
      <c r="A787" s="4" t="s">
        <v>6153</v>
      </c>
      <c r="B787" s="2" t="s">
        <v>1942</v>
      </c>
      <c r="C787" s="3">
        <v>5</v>
      </c>
      <c r="D787" s="5">
        <v>17.989999999999998</v>
      </c>
      <c r="E787" s="3" t="s">
        <v>1943</v>
      </c>
      <c r="F787" s="2" t="s">
        <v>15</v>
      </c>
      <c r="G787" s="6" t="s">
        <v>154</v>
      </c>
      <c r="H787" s="2" t="s">
        <v>1522</v>
      </c>
      <c r="I787" s="2" t="s">
        <v>1469</v>
      </c>
      <c r="J787" s="2" t="s">
        <v>19</v>
      </c>
      <c r="K787" s="2" t="s">
        <v>353</v>
      </c>
      <c r="L787" s="7" t="str">
        <f>HYPERLINK("http://slimages.macys.com/is/image/MCY/10743541 ")</f>
        <v xml:space="preserve">http://slimages.macys.com/is/image/MCY/10743541 </v>
      </c>
    </row>
    <row r="788" spans="1:12" ht="24.75" x14ac:dyDescent="0.25">
      <c r="A788" s="4" t="s">
        <v>7680</v>
      </c>
      <c r="B788" s="2" t="s">
        <v>1942</v>
      </c>
      <c r="C788" s="3">
        <v>3</v>
      </c>
      <c r="D788" s="5">
        <v>17.989999999999998</v>
      </c>
      <c r="E788" s="3" t="s">
        <v>1943</v>
      </c>
      <c r="F788" s="2" t="s">
        <v>1945</v>
      </c>
      <c r="G788" s="6" t="s">
        <v>154</v>
      </c>
      <c r="H788" s="2" t="s">
        <v>1522</v>
      </c>
      <c r="I788" s="2" t="s">
        <v>1469</v>
      </c>
      <c r="J788" s="2" t="s">
        <v>19</v>
      </c>
      <c r="K788" s="2" t="s">
        <v>353</v>
      </c>
      <c r="L788" s="7" t="str">
        <f>HYPERLINK("http://slimages.macys.com/is/image/MCY/10743541 ")</f>
        <v xml:space="preserve">http://slimages.macys.com/is/image/MCY/10743541 </v>
      </c>
    </row>
    <row r="789" spans="1:12" ht="24.75" x14ac:dyDescent="0.25">
      <c r="A789" s="4" t="s">
        <v>8357</v>
      </c>
      <c r="B789" s="2" t="s">
        <v>3165</v>
      </c>
      <c r="C789" s="3">
        <v>1</v>
      </c>
      <c r="D789" s="5">
        <v>14.99</v>
      </c>
      <c r="E789" s="3" t="s">
        <v>3166</v>
      </c>
      <c r="F789" s="2" t="s">
        <v>64</v>
      </c>
      <c r="G789" s="6"/>
      <c r="H789" s="2" t="s">
        <v>1425</v>
      </c>
      <c r="I789" s="2" t="s">
        <v>1426</v>
      </c>
      <c r="J789" s="2" t="s">
        <v>19</v>
      </c>
      <c r="K789" s="2" t="s">
        <v>495</v>
      </c>
      <c r="L789" s="7" t="str">
        <f>HYPERLINK("http://slimages.macys.com/is/image/MCY/12672753 ")</f>
        <v xml:space="preserve">http://slimages.macys.com/is/image/MCY/12672753 </v>
      </c>
    </row>
    <row r="790" spans="1:12" ht="24.75" x14ac:dyDescent="0.25">
      <c r="A790" s="4" t="s">
        <v>8358</v>
      </c>
      <c r="B790" s="2" t="s">
        <v>5196</v>
      </c>
      <c r="C790" s="3">
        <v>1</v>
      </c>
      <c r="D790" s="5">
        <v>14.99</v>
      </c>
      <c r="E790" s="3" t="s">
        <v>5197</v>
      </c>
      <c r="F790" s="2" t="s">
        <v>26</v>
      </c>
      <c r="G790" s="6" t="s">
        <v>219</v>
      </c>
      <c r="H790" s="2" t="s">
        <v>1425</v>
      </c>
      <c r="I790" s="2" t="s">
        <v>1426</v>
      </c>
      <c r="J790" s="2" t="s">
        <v>19</v>
      </c>
      <c r="K790" s="2" t="s">
        <v>495</v>
      </c>
      <c r="L790" s="7" t="str">
        <f>HYPERLINK("http://slimages.macys.com/is/image/MCY/11882667 ")</f>
        <v xml:space="preserve">http://slimages.macys.com/is/image/MCY/11882667 </v>
      </c>
    </row>
    <row r="791" spans="1:12" ht="24.75" x14ac:dyDescent="0.25">
      <c r="A791" s="4" t="s">
        <v>3167</v>
      </c>
      <c r="B791" s="2" t="s">
        <v>3128</v>
      </c>
      <c r="C791" s="3">
        <v>1</v>
      </c>
      <c r="D791" s="5">
        <v>14.99</v>
      </c>
      <c r="E791" s="3" t="s">
        <v>3129</v>
      </c>
      <c r="F791" s="2" t="s">
        <v>26</v>
      </c>
      <c r="G791" s="6" t="s">
        <v>219</v>
      </c>
      <c r="H791" s="2" t="s">
        <v>1425</v>
      </c>
      <c r="I791" s="2" t="s">
        <v>1426</v>
      </c>
      <c r="J791" s="2" t="s">
        <v>19</v>
      </c>
      <c r="K791" s="2" t="s">
        <v>495</v>
      </c>
      <c r="L791" s="7" t="str">
        <f>HYPERLINK("http://slimages.macys.com/is/image/MCY/12064003 ")</f>
        <v xml:space="preserve">http://slimages.macys.com/is/image/MCY/12064003 </v>
      </c>
    </row>
    <row r="792" spans="1:12" ht="24.75" x14ac:dyDescent="0.25">
      <c r="A792" s="4" t="s">
        <v>5201</v>
      </c>
      <c r="B792" s="2" t="s">
        <v>3128</v>
      </c>
      <c r="C792" s="3">
        <v>1</v>
      </c>
      <c r="D792" s="5">
        <v>14.99</v>
      </c>
      <c r="E792" s="3" t="s">
        <v>3129</v>
      </c>
      <c r="F792" s="2" t="s">
        <v>26</v>
      </c>
      <c r="G792" s="6"/>
      <c r="H792" s="2" t="s">
        <v>1425</v>
      </c>
      <c r="I792" s="2" t="s">
        <v>1426</v>
      </c>
      <c r="J792" s="2" t="s">
        <v>19</v>
      </c>
      <c r="K792" s="2" t="s">
        <v>495</v>
      </c>
      <c r="L792" s="7" t="str">
        <f>HYPERLINK("http://slimages.macys.com/is/image/MCY/12064003 ")</f>
        <v xml:space="preserve">http://slimages.macys.com/is/image/MCY/12064003 </v>
      </c>
    </row>
    <row r="793" spans="1:12" ht="24.75" x14ac:dyDescent="0.25">
      <c r="A793" s="4" t="s">
        <v>8359</v>
      </c>
      <c r="B793" s="2" t="s">
        <v>8360</v>
      </c>
      <c r="C793" s="3">
        <v>1</v>
      </c>
      <c r="D793" s="5">
        <v>14.99</v>
      </c>
      <c r="E793" s="3" t="s">
        <v>8361</v>
      </c>
      <c r="F793" s="2" t="s">
        <v>15</v>
      </c>
      <c r="G793" s="6" t="s">
        <v>156</v>
      </c>
      <c r="H793" s="2" t="s">
        <v>1473</v>
      </c>
      <c r="I793" s="2" t="s">
        <v>1426</v>
      </c>
      <c r="J793" s="2" t="s">
        <v>19</v>
      </c>
      <c r="K793" s="2" t="s">
        <v>495</v>
      </c>
      <c r="L793" s="7" t="str">
        <f>HYPERLINK("http://slimages.macys.com/is/image/MCY/11832058 ")</f>
        <v xml:space="preserve">http://slimages.macys.com/is/image/MCY/11832058 </v>
      </c>
    </row>
    <row r="794" spans="1:12" ht="24.75" x14ac:dyDescent="0.25">
      <c r="A794" s="4" t="s">
        <v>3163</v>
      </c>
      <c r="B794" s="2" t="s">
        <v>3137</v>
      </c>
      <c r="C794" s="3">
        <v>1</v>
      </c>
      <c r="D794" s="5">
        <v>14.99</v>
      </c>
      <c r="E794" s="3" t="s">
        <v>3138</v>
      </c>
      <c r="F794" s="2" t="s">
        <v>26</v>
      </c>
      <c r="G794" s="6"/>
      <c r="H794" s="2" t="s">
        <v>1425</v>
      </c>
      <c r="I794" s="2" t="s">
        <v>1426</v>
      </c>
      <c r="J794" s="2" t="s">
        <v>19</v>
      </c>
      <c r="K794" s="2" t="s">
        <v>495</v>
      </c>
      <c r="L794" s="7" t="str">
        <f>HYPERLINK("http://slimages.macys.com/is/image/MCY/11915563 ")</f>
        <v xml:space="preserve">http://slimages.macys.com/is/image/MCY/11915563 </v>
      </c>
    </row>
    <row r="795" spans="1:12" ht="24.75" x14ac:dyDescent="0.25">
      <c r="A795" s="4" t="s">
        <v>8362</v>
      </c>
      <c r="B795" s="2" t="s">
        <v>1954</v>
      </c>
      <c r="C795" s="3">
        <v>1</v>
      </c>
      <c r="D795" s="5">
        <v>18.38</v>
      </c>
      <c r="E795" s="3" t="s">
        <v>8363</v>
      </c>
      <c r="F795" s="2" t="s">
        <v>64</v>
      </c>
      <c r="G795" s="6" t="s">
        <v>154</v>
      </c>
      <c r="H795" s="2" t="s">
        <v>194</v>
      </c>
      <c r="I795" s="2" t="s">
        <v>195</v>
      </c>
      <c r="J795" s="2" t="s">
        <v>19</v>
      </c>
      <c r="K795" s="2" t="s">
        <v>1108</v>
      </c>
      <c r="L795" s="7" t="str">
        <f>HYPERLINK("http://slimages.macys.com/is/image/MCY/13120664 ")</f>
        <v xml:space="preserve">http://slimages.macys.com/is/image/MCY/13120664 </v>
      </c>
    </row>
    <row r="796" spans="1:12" ht="24.75" x14ac:dyDescent="0.25">
      <c r="A796" s="4" t="s">
        <v>8364</v>
      </c>
      <c r="B796" s="2" t="s">
        <v>1964</v>
      </c>
      <c r="C796" s="3">
        <v>1</v>
      </c>
      <c r="D796" s="5">
        <v>19.989999999999998</v>
      </c>
      <c r="E796" s="3" t="s">
        <v>1965</v>
      </c>
      <c r="F796" s="2" t="s">
        <v>70</v>
      </c>
      <c r="G796" s="6"/>
      <c r="H796" s="2" t="s">
        <v>632</v>
      </c>
      <c r="I796" s="2" t="s">
        <v>285</v>
      </c>
      <c r="J796" s="2" t="s">
        <v>19</v>
      </c>
      <c r="K796" s="2" t="s">
        <v>247</v>
      </c>
      <c r="L796" s="7" t="str">
        <f>HYPERLINK("http://slimages.macys.com/is/image/MCY/9456016 ")</f>
        <v xml:space="preserve">http://slimages.macys.com/is/image/MCY/9456016 </v>
      </c>
    </row>
    <row r="797" spans="1:12" ht="24.75" x14ac:dyDescent="0.25">
      <c r="A797" s="4" t="s">
        <v>8365</v>
      </c>
      <c r="B797" s="2" t="s">
        <v>3026</v>
      </c>
      <c r="C797" s="3">
        <v>1</v>
      </c>
      <c r="D797" s="5">
        <v>21.99</v>
      </c>
      <c r="E797" s="3" t="s">
        <v>4216</v>
      </c>
      <c r="F797" s="2" t="s">
        <v>413</v>
      </c>
      <c r="G797" s="6" t="s">
        <v>181</v>
      </c>
      <c r="H797" s="2" t="s">
        <v>284</v>
      </c>
      <c r="I797" s="2" t="s">
        <v>285</v>
      </c>
      <c r="J797" s="2" t="s">
        <v>19</v>
      </c>
      <c r="K797" s="2" t="s">
        <v>247</v>
      </c>
      <c r="L797" s="7" t="str">
        <f>HYPERLINK("http://slimages.macys.com/is/image/MCY/9972026 ")</f>
        <v xml:space="preserve">http://slimages.macys.com/is/image/MCY/9972026 </v>
      </c>
    </row>
    <row r="798" spans="1:12" ht="24.75" x14ac:dyDescent="0.25">
      <c r="A798" s="4" t="s">
        <v>8366</v>
      </c>
      <c r="B798" s="2" t="s">
        <v>3026</v>
      </c>
      <c r="C798" s="3">
        <v>1</v>
      </c>
      <c r="D798" s="5">
        <v>21.99</v>
      </c>
      <c r="E798" s="3" t="s">
        <v>6172</v>
      </c>
      <c r="F798" s="2" t="s">
        <v>331</v>
      </c>
      <c r="G798" s="6" t="s">
        <v>234</v>
      </c>
      <c r="H798" s="2" t="s">
        <v>284</v>
      </c>
      <c r="I798" s="2" t="s">
        <v>285</v>
      </c>
      <c r="J798" s="2"/>
      <c r="K798" s="2"/>
      <c r="L798" s="7" t="str">
        <f>HYPERLINK("http://slimages.macys.com/is/image/MCY/11640364 ")</f>
        <v xml:space="preserve">http://slimages.macys.com/is/image/MCY/11640364 </v>
      </c>
    </row>
    <row r="799" spans="1:12" ht="24.75" x14ac:dyDescent="0.25">
      <c r="A799" s="4" t="s">
        <v>3183</v>
      </c>
      <c r="B799" s="2" t="s">
        <v>1970</v>
      </c>
      <c r="C799" s="3">
        <v>1</v>
      </c>
      <c r="D799" s="5">
        <v>14.99</v>
      </c>
      <c r="E799" s="3" t="s">
        <v>1971</v>
      </c>
      <c r="F799" s="2" t="s">
        <v>26</v>
      </c>
      <c r="G799" s="6" t="s">
        <v>181</v>
      </c>
      <c r="H799" s="2" t="s">
        <v>1522</v>
      </c>
      <c r="I799" s="2" t="s">
        <v>1469</v>
      </c>
      <c r="J799" s="2" t="s">
        <v>19</v>
      </c>
      <c r="K799" s="2" t="s">
        <v>353</v>
      </c>
      <c r="L799" s="7" t="str">
        <f>HYPERLINK("http://slimages.macys.com/is/image/MCY/13741861 ")</f>
        <v xml:space="preserve">http://slimages.macys.com/is/image/MCY/13741861 </v>
      </c>
    </row>
    <row r="800" spans="1:12" ht="24.75" x14ac:dyDescent="0.25">
      <c r="A800" s="4" t="s">
        <v>6173</v>
      </c>
      <c r="B800" s="2" t="s">
        <v>1970</v>
      </c>
      <c r="C800" s="3">
        <v>2</v>
      </c>
      <c r="D800" s="5">
        <v>14.99</v>
      </c>
      <c r="E800" s="3" t="s">
        <v>1971</v>
      </c>
      <c r="F800" s="2" t="s">
        <v>1945</v>
      </c>
      <c r="G800" s="6" t="s">
        <v>181</v>
      </c>
      <c r="H800" s="2" t="s">
        <v>1522</v>
      </c>
      <c r="I800" s="2" t="s">
        <v>1469</v>
      </c>
      <c r="J800" s="2" t="s">
        <v>19</v>
      </c>
      <c r="K800" s="2" t="s">
        <v>353</v>
      </c>
      <c r="L800" s="7" t="str">
        <f>HYPERLINK("http://slimages.macys.com/is/image/MCY/13741861 ")</f>
        <v xml:space="preserve">http://slimages.macys.com/is/image/MCY/13741861 </v>
      </c>
    </row>
    <row r="801" spans="1:12" ht="24.75" x14ac:dyDescent="0.25">
      <c r="A801" s="4" t="s">
        <v>3178</v>
      </c>
      <c r="B801" s="2" t="s">
        <v>1970</v>
      </c>
      <c r="C801" s="3">
        <v>1</v>
      </c>
      <c r="D801" s="5">
        <v>14.99</v>
      </c>
      <c r="E801" s="3" t="s">
        <v>1971</v>
      </c>
      <c r="F801" s="2" t="s">
        <v>1945</v>
      </c>
      <c r="G801" s="6" t="s">
        <v>154</v>
      </c>
      <c r="H801" s="2" t="s">
        <v>1522</v>
      </c>
      <c r="I801" s="2" t="s">
        <v>1469</v>
      </c>
      <c r="J801" s="2" t="s">
        <v>19</v>
      </c>
      <c r="K801" s="2" t="s">
        <v>353</v>
      </c>
      <c r="L801" s="7" t="str">
        <f>HYPERLINK("http://slimages.macys.com/is/image/MCY/13741861 ")</f>
        <v xml:space="preserve">http://slimages.macys.com/is/image/MCY/13741861 </v>
      </c>
    </row>
    <row r="802" spans="1:12" ht="24.75" x14ac:dyDescent="0.25">
      <c r="A802" s="4" t="s">
        <v>8367</v>
      </c>
      <c r="B802" s="2" t="s">
        <v>1970</v>
      </c>
      <c r="C802" s="3">
        <v>1</v>
      </c>
      <c r="D802" s="5">
        <v>14.99</v>
      </c>
      <c r="E802" s="3" t="s">
        <v>1971</v>
      </c>
      <c r="F802" s="2" t="s">
        <v>26</v>
      </c>
      <c r="G802" s="6" t="s">
        <v>234</v>
      </c>
      <c r="H802" s="2" t="s">
        <v>1522</v>
      </c>
      <c r="I802" s="2" t="s">
        <v>1469</v>
      </c>
      <c r="J802" s="2" t="s">
        <v>19</v>
      </c>
      <c r="K802" s="2" t="s">
        <v>353</v>
      </c>
      <c r="L802" s="7" t="str">
        <f>HYPERLINK("http://slimages.macys.com/is/image/MCY/13741861 ")</f>
        <v xml:space="preserve">http://slimages.macys.com/is/image/MCY/13741861 </v>
      </c>
    </row>
    <row r="803" spans="1:12" ht="24.75" x14ac:dyDescent="0.25">
      <c r="A803" s="4" t="s">
        <v>3185</v>
      </c>
      <c r="B803" s="2" t="s">
        <v>1973</v>
      </c>
      <c r="C803" s="3">
        <v>1</v>
      </c>
      <c r="D803" s="5">
        <v>16.989999999999998</v>
      </c>
      <c r="E803" s="3" t="s">
        <v>1974</v>
      </c>
      <c r="F803" s="2" t="s">
        <v>998</v>
      </c>
      <c r="G803" s="6" t="s">
        <v>154</v>
      </c>
      <c r="H803" s="2" t="s">
        <v>1473</v>
      </c>
      <c r="I803" s="2" t="s">
        <v>1864</v>
      </c>
      <c r="J803" s="2" t="s">
        <v>19</v>
      </c>
      <c r="K803" s="2" t="s">
        <v>648</v>
      </c>
      <c r="L803" s="7" t="str">
        <f t="shared" ref="L803:L809" si="7">HYPERLINK("http://slimages.macys.com/is/image/MCY/11634794 ")</f>
        <v xml:space="preserve">http://slimages.macys.com/is/image/MCY/11634794 </v>
      </c>
    </row>
    <row r="804" spans="1:12" ht="24.75" x14ac:dyDescent="0.25">
      <c r="A804" s="4" t="s">
        <v>3196</v>
      </c>
      <c r="B804" s="2" t="s">
        <v>1973</v>
      </c>
      <c r="C804" s="3">
        <v>1</v>
      </c>
      <c r="D804" s="5">
        <v>16.989999999999998</v>
      </c>
      <c r="E804" s="3" t="s">
        <v>1974</v>
      </c>
      <c r="F804" s="2" t="s">
        <v>15</v>
      </c>
      <c r="G804" s="6" t="s">
        <v>181</v>
      </c>
      <c r="H804" s="2" t="s">
        <v>1473</v>
      </c>
      <c r="I804" s="2" t="s">
        <v>1864</v>
      </c>
      <c r="J804" s="2" t="s">
        <v>19</v>
      </c>
      <c r="K804" s="2" t="s">
        <v>648</v>
      </c>
      <c r="L804" s="7" t="str">
        <f t="shared" si="7"/>
        <v xml:space="preserve">http://slimages.macys.com/is/image/MCY/11634794 </v>
      </c>
    </row>
    <row r="805" spans="1:12" ht="24.75" x14ac:dyDescent="0.25">
      <c r="A805" s="4" t="s">
        <v>8368</v>
      </c>
      <c r="B805" s="2" t="s">
        <v>1973</v>
      </c>
      <c r="C805" s="3">
        <v>1</v>
      </c>
      <c r="D805" s="5">
        <v>16.989999999999998</v>
      </c>
      <c r="E805" s="3" t="s">
        <v>1974</v>
      </c>
      <c r="F805" s="2" t="s">
        <v>998</v>
      </c>
      <c r="G805" s="6" t="s">
        <v>234</v>
      </c>
      <c r="H805" s="2" t="s">
        <v>1473</v>
      </c>
      <c r="I805" s="2" t="s">
        <v>1864</v>
      </c>
      <c r="J805" s="2" t="s">
        <v>19</v>
      </c>
      <c r="K805" s="2" t="s">
        <v>648</v>
      </c>
      <c r="L805" s="7" t="str">
        <f t="shared" si="7"/>
        <v xml:space="preserve">http://slimages.macys.com/is/image/MCY/11634794 </v>
      </c>
    </row>
    <row r="806" spans="1:12" ht="24.75" x14ac:dyDescent="0.25">
      <c r="A806" s="4" t="s">
        <v>1982</v>
      </c>
      <c r="B806" s="2" t="s">
        <v>1973</v>
      </c>
      <c r="C806" s="3">
        <v>3</v>
      </c>
      <c r="D806" s="5">
        <v>16.989999999999998</v>
      </c>
      <c r="E806" s="3" t="s">
        <v>1974</v>
      </c>
      <c r="F806" s="2" t="s">
        <v>74</v>
      </c>
      <c r="G806" s="6" t="s">
        <v>156</v>
      </c>
      <c r="H806" s="2" t="s">
        <v>1473</v>
      </c>
      <c r="I806" s="2" t="s">
        <v>1864</v>
      </c>
      <c r="J806" s="2" t="s">
        <v>19</v>
      </c>
      <c r="K806" s="2" t="s">
        <v>648</v>
      </c>
      <c r="L806" s="7" t="str">
        <f t="shared" si="7"/>
        <v xml:space="preserve">http://slimages.macys.com/is/image/MCY/11634794 </v>
      </c>
    </row>
    <row r="807" spans="1:12" ht="24.75" x14ac:dyDescent="0.25">
      <c r="A807" s="4" t="s">
        <v>1972</v>
      </c>
      <c r="B807" s="2" t="s">
        <v>1973</v>
      </c>
      <c r="C807" s="3">
        <v>2</v>
      </c>
      <c r="D807" s="5">
        <v>16.989999999999998</v>
      </c>
      <c r="E807" s="3" t="s">
        <v>1974</v>
      </c>
      <c r="F807" s="2" t="s">
        <v>15</v>
      </c>
      <c r="G807" s="6" t="s">
        <v>156</v>
      </c>
      <c r="H807" s="2" t="s">
        <v>1473</v>
      </c>
      <c r="I807" s="2" t="s">
        <v>1864</v>
      </c>
      <c r="J807" s="2" t="s">
        <v>19</v>
      </c>
      <c r="K807" s="2" t="s">
        <v>648</v>
      </c>
      <c r="L807" s="7" t="str">
        <f t="shared" si="7"/>
        <v xml:space="preserve">http://slimages.macys.com/is/image/MCY/11634794 </v>
      </c>
    </row>
    <row r="808" spans="1:12" ht="24.75" x14ac:dyDescent="0.25">
      <c r="A808" s="4" t="s">
        <v>8369</v>
      </c>
      <c r="B808" s="2" t="s">
        <v>1973</v>
      </c>
      <c r="C808" s="3">
        <v>1</v>
      </c>
      <c r="D808" s="5">
        <v>16.989999999999998</v>
      </c>
      <c r="E808" s="3" t="s">
        <v>1974</v>
      </c>
      <c r="F808" s="2" t="s">
        <v>998</v>
      </c>
      <c r="G808" s="6" t="s">
        <v>245</v>
      </c>
      <c r="H808" s="2" t="s">
        <v>1473</v>
      </c>
      <c r="I808" s="2" t="s">
        <v>1864</v>
      </c>
      <c r="J808" s="2" t="s">
        <v>19</v>
      </c>
      <c r="K808" s="2" t="s">
        <v>648</v>
      </c>
      <c r="L808" s="7" t="str">
        <f t="shared" si="7"/>
        <v xml:space="preserve">http://slimages.macys.com/is/image/MCY/11634794 </v>
      </c>
    </row>
    <row r="809" spans="1:12" ht="24.75" x14ac:dyDescent="0.25">
      <c r="A809" s="4" t="s">
        <v>1978</v>
      </c>
      <c r="B809" s="2" t="s">
        <v>1973</v>
      </c>
      <c r="C809" s="3">
        <v>1</v>
      </c>
      <c r="D809" s="5">
        <v>16.989999999999998</v>
      </c>
      <c r="E809" s="3" t="s">
        <v>1974</v>
      </c>
      <c r="F809" s="2" t="s">
        <v>1296</v>
      </c>
      <c r="G809" s="6" t="s">
        <v>154</v>
      </c>
      <c r="H809" s="2" t="s">
        <v>1473</v>
      </c>
      <c r="I809" s="2" t="s">
        <v>1864</v>
      </c>
      <c r="J809" s="2" t="s">
        <v>19</v>
      </c>
      <c r="K809" s="2" t="s">
        <v>648</v>
      </c>
      <c r="L809" s="7" t="str">
        <f t="shared" si="7"/>
        <v xml:space="preserve">http://slimages.macys.com/is/image/MCY/11634794 </v>
      </c>
    </row>
    <row r="810" spans="1:12" ht="24.75" x14ac:dyDescent="0.25">
      <c r="A810" s="4" t="s">
        <v>8370</v>
      </c>
      <c r="B810" s="2" t="s">
        <v>1988</v>
      </c>
      <c r="C810" s="3">
        <v>1</v>
      </c>
      <c r="D810" s="5">
        <v>14.99</v>
      </c>
      <c r="E810" s="3" t="s">
        <v>1991</v>
      </c>
      <c r="F810" s="2" t="s">
        <v>1322</v>
      </c>
      <c r="G810" s="6" t="s">
        <v>245</v>
      </c>
      <c r="H810" s="2" t="s">
        <v>1473</v>
      </c>
      <c r="I810" s="2" t="s">
        <v>1426</v>
      </c>
      <c r="J810" s="2" t="s">
        <v>19</v>
      </c>
      <c r="K810" s="2" t="s">
        <v>648</v>
      </c>
      <c r="L810" s="7" t="str">
        <f>HYPERLINK("http://slimages.macys.com/is/image/MCY/12767912 ")</f>
        <v xml:space="preserve">http://slimages.macys.com/is/image/MCY/12767912 </v>
      </c>
    </row>
    <row r="811" spans="1:12" ht="24.75" x14ac:dyDescent="0.25">
      <c r="A811" s="4" t="s">
        <v>8371</v>
      </c>
      <c r="B811" s="2" t="s">
        <v>1988</v>
      </c>
      <c r="C811" s="3">
        <v>3</v>
      </c>
      <c r="D811" s="5">
        <v>14.99</v>
      </c>
      <c r="E811" s="3" t="s">
        <v>1989</v>
      </c>
      <c r="F811" s="2" t="s">
        <v>1322</v>
      </c>
      <c r="G811" s="6"/>
      <c r="H811" s="2" t="s">
        <v>1425</v>
      </c>
      <c r="I811" s="2" t="s">
        <v>1426</v>
      </c>
      <c r="J811" s="2" t="s">
        <v>19</v>
      </c>
      <c r="K811" s="2" t="s">
        <v>648</v>
      </c>
      <c r="L811" s="7" t="str">
        <f>HYPERLINK("http://slimages.macys.com/is/image/MCY/11678994 ")</f>
        <v xml:space="preserve">http://slimages.macys.com/is/image/MCY/11678994 </v>
      </c>
    </row>
    <row r="812" spans="1:12" ht="24.75" x14ac:dyDescent="0.25">
      <c r="A812" s="4" t="s">
        <v>8372</v>
      </c>
      <c r="B812" s="2" t="s">
        <v>1988</v>
      </c>
      <c r="C812" s="3">
        <v>1</v>
      </c>
      <c r="D812" s="5">
        <v>14.99</v>
      </c>
      <c r="E812" s="3" t="s">
        <v>1991</v>
      </c>
      <c r="F812" s="2" t="s">
        <v>70</v>
      </c>
      <c r="G812" s="6" t="s">
        <v>200</v>
      </c>
      <c r="H812" s="2" t="s">
        <v>1473</v>
      </c>
      <c r="I812" s="2" t="s">
        <v>1426</v>
      </c>
      <c r="J812" s="2" t="s">
        <v>19</v>
      </c>
      <c r="K812" s="2" t="s">
        <v>648</v>
      </c>
      <c r="L812" s="7" t="str">
        <f>HYPERLINK("http://slimages.macys.com/is/image/MCY/12767912 ")</f>
        <v xml:space="preserve">http://slimages.macys.com/is/image/MCY/12767912 </v>
      </c>
    </row>
    <row r="813" spans="1:12" ht="24.75" x14ac:dyDescent="0.25">
      <c r="A813" s="4" t="s">
        <v>3213</v>
      </c>
      <c r="B813" s="2" t="s">
        <v>1988</v>
      </c>
      <c r="C813" s="3">
        <v>1</v>
      </c>
      <c r="D813" s="5">
        <v>14.99</v>
      </c>
      <c r="E813" s="3" t="s">
        <v>1991</v>
      </c>
      <c r="F813" s="2" t="s">
        <v>26</v>
      </c>
      <c r="G813" s="6" t="s">
        <v>154</v>
      </c>
      <c r="H813" s="2" t="s">
        <v>1473</v>
      </c>
      <c r="I813" s="2" t="s">
        <v>1426</v>
      </c>
      <c r="J813" s="2" t="s">
        <v>19</v>
      </c>
      <c r="K813" s="2" t="s">
        <v>648</v>
      </c>
      <c r="L813" s="7" t="str">
        <f>HYPERLINK("http://slimages.macys.com/is/image/MCY/12767912 ")</f>
        <v xml:space="preserve">http://slimages.macys.com/is/image/MCY/12767912 </v>
      </c>
    </row>
    <row r="814" spans="1:12" ht="24.75" x14ac:dyDescent="0.25">
      <c r="A814" s="4" t="s">
        <v>8373</v>
      </c>
      <c r="B814" s="2" t="s">
        <v>1988</v>
      </c>
      <c r="C814" s="3">
        <v>1</v>
      </c>
      <c r="D814" s="5">
        <v>14.99</v>
      </c>
      <c r="E814" s="3" t="s">
        <v>1991</v>
      </c>
      <c r="F814" s="2"/>
      <c r="G814" s="6" t="s">
        <v>234</v>
      </c>
      <c r="H814" s="2" t="s">
        <v>1473</v>
      </c>
      <c r="I814" s="2" t="s">
        <v>1426</v>
      </c>
      <c r="J814" s="2" t="s">
        <v>19</v>
      </c>
      <c r="K814" s="2" t="s">
        <v>648</v>
      </c>
      <c r="L814" s="7" t="str">
        <f>HYPERLINK("http://slimages.macys.com/is/image/MCY/12767912 ")</f>
        <v xml:space="preserve">http://slimages.macys.com/is/image/MCY/12767912 </v>
      </c>
    </row>
    <row r="815" spans="1:12" ht="24.75" x14ac:dyDescent="0.25">
      <c r="A815" s="4" t="s">
        <v>5217</v>
      </c>
      <c r="B815" s="2" t="s">
        <v>1988</v>
      </c>
      <c r="C815" s="3">
        <v>1</v>
      </c>
      <c r="D815" s="5">
        <v>14.99</v>
      </c>
      <c r="E815" s="3" t="s">
        <v>1989</v>
      </c>
      <c r="F815" s="2" t="s">
        <v>413</v>
      </c>
      <c r="G815" s="6"/>
      <c r="H815" s="2" t="s">
        <v>1425</v>
      </c>
      <c r="I815" s="2" t="s">
        <v>1426</v>
      </c>
      <c r="J815" s="2" t="s">
        <v>19</v>
      </c>
      <c r="K815" s="2" t="s">
        <v>648</v>
      </c>
      <c r="L815" s="7" t="str">
        <f>HYPERLINK("http://slimages.macys.com/is/image/MCY/11678994 ")</f>
        <v xml:space="preserve">http://slimages.macys.com/is/image/MCY/11678994 </v>
      </c>
    </row>
    <row r="816" spans="1:12" ht="24.75" x14ac:dyDescent="0.25">
      <c r="A816" s="4" t="s">
        <v>3200</v>
      </c>
      <c r="B816" s="2" t="s">
        <v>1988</v>
      </c>
      <c r="C816" s="3">
        <v>1</v>
      </c>
      <c r="D816" s="5">
        <v>14.99</v>
      </c>
      <c r="E816" s="3" t="s">
        <v>1991</v>
      </c>
      <c r="F816" s="2" t="s">
        <v>26</v>
      </c>
      <c r="G816" s="6" t="s">
        <v>181</v>
      </c>
      <c r="H816" s="2" t="s">
        <v>1473</v>
      </c>
      <c r="I816" s="2" t="s">
        <v>1426</v>
      </c>
      <c r="J816" s="2" t="s">
        <v>19</v>
      </c>
      <c r="K816" s="2" t="s">
        <v>648</v>
      </c>
      <c r="L816" s="7" t="str">
        <f>HYPERLINK("http://slimages.macys.com/is/image/MCY/12767912 ")</f>
        <v xml:space="preserve">http://slimages.macys.com/is/image/MCY/12767912 </v>
      </c>
    </row>
    <row r="817" spans="1:12" ht="24.75" x14ac:dyDescent="0.25">
      <c r="A817" s="4" t="s">
        <v>3214</v>
      </c>
      <c r="B817" s="2" t="s">
        <v>1988</v>
      </c>
      <c r="C817" s="3">
        <v>1</v>
      </c>
      <c r="D817" s="5">
        <v>14.99</v>
      </c>
      <c r="E817" s="3" t="s">
        <v>1991</v>
      </c>
      <c r="F817" s="2" t="s">
        <v>1322</v>
      </c>
      <c r="G817" s="6" t="s">
        <v>154</v>
      </c>
      <c r="H817" s="2" t="s">
        <v>1473</v>
      </c>
      <c r="I817" s="2" t="s">
        <v>1426</v>
      </c>
      <c r="J817" s="2" t="s">
        <v>19</v>
      </c>
      <c r="K817" s="2" t="s">
        <v>648</v>
      </c>
      <c r="L817" s="7" t="str">
        <f>HYPERLINK("http://slimages.macys.com/is/image/MCY/12767912 ")</f>
        <v xml:space="preserve">http://slimages.macys.com/is/image/MCY/12767912 </v>
      </c>
    </row>
    <row r="818" spans="1:12" ht="24.75" x14ac:dyDescent="0.25">
      <c r="A818" s="4" t="s">
        <v>1990</v>
      </c>
      <c r="B818" s="2" t="s">
        <v>1988</v>
      </c>
      <c r="C818" s="3">
        <v>1</v>
      </c>
      <c r="D818" s="5">
        <v>14.99</v>
      </c>
      <c r="E818" s="3" t="s">
        <v>1991</v>
      </c>
      <c r="F818" s="2" t="s">
        <v>33</v>
      </c>
      <c r="G818" s="6" t="s">
        <v>154</v>
      </c>
      <c r="H818" s="2" t="s">
        <v>1473</v>
      </c>
      <c r="I818" s="2" t="s">
        <v>1426</v>
      </c>
      <c r="J818" s="2" t="s">
        <v>19</v>
      </c>
      <c r="K818" s="2" t="s">
        <v>648</v>
      </c>
      <c r="L818" s="7" t="str">
        <f>HYPERLINK("http://slimages.macys.com/is/image/MCY/12767912 ")</f>
        <v xml:space="preserve">http://slimages.macys.com/is/image/MCY/12767912 </v>
      </c>
    </row>
    <row r="819" spans="1:12" ht="24.75" x14ac:dyDescent="0.25">
      <c r="A819" s="4" t="s">
        <v>3211</v>
      </c>
      <c r="B819" s="2" t="s">
        <v>1988</v>
      </c>
      <c r="C819" s="3">
        <v>1</v>
      </c>
      <c r="D819" s="5">
        <v>14.99</v>
      </c>
      <c r="E819" s="3" t="s">
        <v>1991</v>
      </c>
      <c r="F819" s="2" t="s">
        <v>1322</v>
      </c>
      <c r="G819" s="6" t="s">
        <v>181</v>
      </c>
      <c r="H819" s="2" t="s">
        <v>1473</v>
      </c>
      <c r="I819" s="2" t="s">
        <v>1426</v>
      </c>
      <c r="J819" s="2" t="s">
        <v>19</v>
      </c>
      <c r="K819" s="2" t="s">
        <v>648</v>
      </c>
      <c r="L819" s="7" t="str">
        <f>HYPERLINK("http://slimages.macys.com/is/image/MCY/12767912 ")</f>
        <v xml:space="preserve">http://slimages.macys.com/is/image/MCY/12767912 </v>
      </c>
    </row>
    <row r="820" spans="1:12" ht="24.75" x14ac:dyDescent="0.25">
      <c r="A820" s="4" t="s">
        <v>8374</v>
      </c>
      <c r="B820" s="2" t="s">
        <v>4321</v>
      </c>
      <c r="C820" s="3">
        <v>1</v>
      </c>
      <c r="D820" s="5">
        <v>12.99</v>
      </c>
      <c r="E820" s="3" t="s">
        <v>8375</v>
      </c>
      <c r="F820" s="2" t="s">
        <v>74</v>
      </c>
      <c r="G820" s="6" t="s">
        <v>245</v>
      </c>
      <c r="H820" s="2" t="s">
        <v>194</v>
      </c>
      <c r="I820" s="2" t="s">
        <v>195</v>
      </c>
      <c r="J820" s="2" t="s">
        <v>19</v>
      </c>
      <c r="K820" s="2" t="s">
        <v>648</v>
      </c>
      <c r="L820" s="7" t="str">
        <f>HYPERLINK("http://slimages.macys.com/is/image/MCY/8257383 ")</f>
        <v xml:space="preserve">http://slimages.macys.com/is/image/MCY/8257383 </v>
      </c>
    </row>
    <row r="821" spans="1:12" ht="24.75" x14ac:dyDescent="0.25">
      <c r="A821" s="4" t="s">
        <v>8376</v>
      </c>
      <c r="B821" s="2" t="s">
        <v>3216</v>
      </c>
      <c r="C821" s="3">
        <v>1</v>
      </c>
      <c r="D821" s="5">
        <v>21.99</v>
      </c>
      <c r="E821" s="3" t="s">
        <v>8377</v>
      </c>
      <c r="F821" s="2" t="s">
        <v>331</v>
      </c>
      <c r="G821" s="6" t="s">
        <v>156</v>
      </c>
      <c r="H821" s="2" t="s">
        <v>284</v>
      </c>
      <c r="I821" s="2" t="s">
        <v>285</v>
      </c>
      <c r="J821" s="2"/>
      <c r="K821" s="2"/>
      <c r="L821" s="7" t="str">
        <f>HYPERLINK("http://slimages.macys.com/is/image/MCY/8549196 ")</f>
        <v xml:space="preserve">http://slimages.macys.com/is/image/MCY/8549196 </v>
      </c>
    </row>
    <row r="822" spans="1:12" ht="24.75" x14ac:dyDescent="0.25">
      <c r="A822" s="4" t="s">
        <v>6205</v>
      </c>
      <c r="B822" s="2" t="s">
        <v>6196</v>
      </c>
      <c r="C822" s="3">
        <v>1</v>
      </c>
      <c r="D822" s="5">
        <v>14.99</v>
      </c>
      <c r="E822" s="3" t="s">
        <v>6197</v>
      </c>
      <c r="F822" s="2" t="s">
        <v>64</v>
      </c>
      <c r="G822" s="6" t="s">
        <v>219</v>
      </c>
      <c r="H822" s="2" t="s">
        <v>1425</v>
      </c>
      <c r="I822" s="2" t="s">
        <v>1469</v>
      </c>
      <c r="J822" s="2" t="s">
        <v>19</v>
      </c>
      <c r="K822" s="2" t="s">
        <v>353</v>
      </c>
      <c r="L822" s="7" t="str">
        <f>HYPERLINK("http://slimages.macys.com/is/image/MCY/10743620 ")</f>
        <v xml:space="preserve">http://slimages.macys.com/is/image/MCY/10743620 </v>
      </c>
    </row>
    <row r="823" spans="1:12" ht="24.75" x14ac:dyDescent="0.25">
      <c r="A823" s="4" t="s">
        <v>8378</v>
      </c>
      <c r="B823" s="2" t="s">
        <v>2005</v>
      </c>
      <c r="C823" s="3">
        <v>1</v>
      </c>
      <c r="D823" s="5">
        <v>14.99</v>
      </c>
      <c r="E823" s="3" t="s">
        <v>2006</v>
      </c>
      <c r="F823" s="2" t="s">
        <v>38</v>
      </c>
      <c r="G823" s="6" t="s">
        <v>200</v>
      </c>
      <c r="H823" s="2" t="s">
        <v>1522</v>
      </c>
      <c r="I823" s="2" t="s">
        <v>1469</v>
      </c>
      <c r="J823" s="2" t="s">
        <v>19</v>
      </c>
      <c r="K823" s="2" t="s">
        <v>353</v>
      </c>
      <c r="L823" s="7" t="str">
        <f t="shared" ref="L823:L837" si="8">HYPERLINK("http://slimages.macys.com/is/image/MCY/10743611 ")</f>
        <v xml:space="preserve">http://slimages.macys.com/is/image/MCY/10743611 </v>
      </c>
    </row>
    <row r="824" spans="1:12" ht="24.75" x14ac:dyDescent="0.25">
      <c r="A824" s="4" t="s">
        <v>7706</v>
      </c>
      <c r="B824" s="2" t="s">
        <v>2005</v>
      </c>
      <c r="C824" s="3">
        <v>1</v>
      </c>
      <c r="D824" s="5">
        <v>14.99</v>
      </c>
      <c r="E824" s="3" t="s">
        <v>2006</v>
      </c>
      <c r="F824" s="2" t="s">
        <v>74</v>
      </c>
      <c r="G824" s="6" t="s">
        <v>181</v>
      </c>
      <c r="H824" s="2" t="s">
        <v>1522</v>
      </c>
      <c r="I824" s="2" t="s">
        <v>1469</v>
      </c>
      <c r="J824" s="2" t="s">
        <v>19</v>
      </c>
      <c r="K824" s="2" t="s">
        <v>353</v>
      </c>
      <c r="L824" s="7" t="str">
        <f t="shared" si="8"/>
        <v xml:space="preserve">http://slimages.macys.com/is/image/MCY/10743611 </v>
      </c>
    </row>
    <row r="825" spans="1:12" ht="24.75" x14ac:dyDescent="0.25">
      <c r="A825" s="4" t="s">
        <v>2012</v>
      </c>
      <c r="B825" s="2" t="s">
        <v>2005</v>
      </c>
      <c r="C825" s="3">
        <v>1</v>
      </c>
      <c r="D825" s="5">
        <v>14.99</v>
      </c>
      <c r="E825" s="3" t="s">
        <v>2006</v>
      </c>
      <c r="F825" s="2" t="s">
        <v>15</v>
      </c>
      <c r="G825" s="6" t="s">
        <v>156</v>
      </c>
      <c r="H825" s="2" t="s">
        <v>1522</v>
      </c>
      <c r="I825" s="2" t="s">
        <v>1469</v>
      </c>
      <c r="J825" s="2" t="s">
        <v>19</v>
      </c>
      <c r="K825" s="2" t="s">
        <v>353</v>
      </c>
      <c r="L825" s="7" t="str">
        <f t="shared" si="8"/>
        <v xml:space="preserve">http://slimages.macys.com/is/image/MCY/10743611 </v>
      </c>
    </row>
    <row r="826" spans="1:12" ht="24.75" x14ac:dyDescent="0.25">
      <c r="A826" s="4" t="s">
        <v>2014</v>
      </c>
      <c r="B826" s="2" t="s">
        <v>2005</v>
      </c>
      <c r="C826" s="3">
        <v>1</v>
      </c>
      <c r="D826" s="5">
        <v>14.99</v>
      </c>
      <c r="E826" s="3" t="s">
        <v>2006</v>
      </c>
      <c r="F826" s="2" t="s">
        <v>74</v>
      </c>
      <c r="G826" s="6" t="s">
        <v>245</v>
      </c>
      <c r="H826" s="2" t="s">
        <v>1522</v>
      </c>
      <c r="I826" s="2" t="s">
        <v>1469</v>
      </c>
      <c r="J826" s="2" t="s">
        <v>19</v>
      </c>
      <c r="K826" s="2" t="s">
        <v>353</v>
      </c>
      <c r="L826" s="7" t="str">
        <f t="shared" si="8"/>
        <v xml:space="preserve">http://slimages.macys.com/is/image/MCY/10743611 </v>
      </c>
    </row>
    <row r="827" spans="1:12" ht="24.75" x14ac:dyDescent="0.25">
      <c r="A827" s="4" t="s">
        <v>2008</v>
      </c>
      <c r="B827" s="2" t="s">
        <v>2005</v>
      </c>
      <c r="C827" s="3">
        <v>3</v>
      </c>
      <c r="D827" s="5">
        <v>14.99</v>
      </c>
      <c r="E827" s="3" t="s">
        <v>2006</v>
      </c>
      <c r="F827" s="2" t="s">
        <v>74</v>
      </c>
      <c r="G827" s="6" t="s">
        <v>156</v>
      </c>
      <c r="H827" s="2" t="s">
        <v>1522</v>
      </c>
      <c r="I827" s="2" t="s">
        <v>1469</v>
      </c>
      <c r="J827" s="2" t="s">
        <v>19</v>
      </c>
      <c r="K827" s="2" t="s">
        <v>353</v>
      </c>
      <c r="L827" s="7" t="str">
        <f t="shared" si="8"/>
        <v xml:space="preserve">http://slimages.macys.com/is/image/MCY/10743611 </v>
      </c>
    </row>
    <row r="828" spans="1:12" ht="24.75" x14ac:dyDescent="0.25">
      <c r="A828" s="4" t="s">
        <v>6911</v>
      </c>
      <c r="B828" s="2" t="s">
        <v>2005</v>
      </c>
      <c r="C828" s="3">
        <v>1</v>
      </c>
      <c r="D828" s="5">
        <v>14.99</v>
      </c>
      <c r="E828" s="3" t="s">
        <v>2006</v>
      </c>
      <c r="F828" s="2" t="s">
        <v>1945</v>
      </c>
      <c r="G828" s="6" t="s">
        <v>245</v>
      </c>
      <c r="H828" s="2" t="s">
        <v>1522</v>
      </c>
      <c r="I828" s="2" t="s">
        <v>1469</v>
      </c>
      <c r="J828" s="2" t="s">
        <v>19</v>
      </c>
      <c r="K828" s="2" t="s">
        <v>353</v>
      </c>
      <c r="L828" s="7" t="str">
        <f t="shared" si="8"/>
        <v xml:space="preserve">http://slimages.macys.com/is/image/MCY/10743611 </v>
      </c>
    </row>
    <row r="829" spans="1:12" ht="24.75" x14ac:dyDescent="0.25">
      <c r="A829" s="4" t="s">
        <v>2004</v>
      </c>
      <c r="B829" s="2" t="s">
        <v>2005</v>
      </c>
      <c r="C829" s="3">
        <v>3</v>
      </c>
      <c r="D829" s="5">
        <v>14.99</v>
      </c>
      <c r="E829" s="3" t="s">
        <v>2006</v>
      </c>
      <c r="F829" s="2" t="s">
        <v>1945</v>
      </c>
      <c r="G829" s="6" t="s">
        <v>156</v>
      </c>
      <c r="H829" s="2" t="s">
        <v>1522</v>
      </c>
      <c r="I829" s="2" t="s">
        <v>1469</v>
      </c>
      <c r="J829" s="2" t="s">
        <v>19</v>
      </c>
      <c r="K829" s="2" t="s">
        <v>353</v>
      </c>
      <c r="L829" s="7" t="str">
        <f t="shared" si="8"/>
        <v xml:space="preserve">http://slimages.macys.com/is/image/MCY/10743611 </v>
      </c>
    </row>
    <row r="830" spans="1:12" ht="24.75" x14ac:dyDescent="0.25">
      <c r="A830" s="4" t="s">
        <v>6194</v>
      </c>
      <c r="B830" s="2" t="s">
        <v>2005</v>
      </c>
      <c r="C830" s="3">
        <v>2</v>
      </c>
      <c r="D830" s="5">
        <v>14.99</v>
      </c>
      <c r="E830" s="3" t="s">
        <v>2006</v>
      </c>
      <c r="F830" s="2" t="s">
        <v>38</v>
      </c>
      <c r="G830" s="6" t="s">
        <v>181</v>
      </c>
      <c r="H830" s="2" t="s">
        <v>1522</v>
      </c>
      <c r="I830" s="2" t="s">
        <v>1469</v>
      </c>
      <c r="J830" s="2" t="s">
        <v>19</v>
      </c>
      <c r="K830" s="2" t="s">
        <v>353</v>
      </c>
      <c r="L830" s="7" t="str">
        <f t="shared" si="8"/>
        <v xml:space="preserve">http://slimages.macys.com/is/image/MCY/10743611 </v>
      </c>
    </row>
    <row r="831" spans="1:12" ht="24.75" x14ac:dyDescent="0.25">
      <c r="A831" s="4" t="s">
        <v>5230</v>
      </c>
      <c r="B831" s="2" t="s">
        <v>2005</v>
      </c>
      <c r="C831" s="3">
        <v>1</v>
      </c>
      <c r="D831" s="5">
        <v>14.99</v>
      </c>
      <c r="E831" s="3" t="s">
        <v>2006</v>
      </c>
      <c r="F831" s="2" t="s">
        <v>26</v>
      </c>
      <c r="G831" s="6" t="s">
        <v>200</v>
      </c>
      <c r="H831" s="2" t="s">
        <v>1522</v>
      </c>
      <c r="I831" s="2" t="s">
        <v>1469</v>
      </c>
      <c r="J831" s="2" t="s">
        <v>19</v>
      </c>
      <c r="K831" s="2" t="s">
        <v>353</v>
      </c>
      <c r="L831" s="7" t="str">
        <f t="shared" si="8"/>
        <v xml:space="preserve">http://slimages.macys.com/is/image/MCY/10743611 </v>
      </c>
    </row>
    <row r="832" spans="1:12" ht="24.75" x14ac:dyDescent="0.25">
      <c r="A832" s="4" t="s">
        <v>2013</v>
      </c>
      <c r="B832" s="2" t="s">
        <v>2005</v>
      </c>
      <c r="C832" s="3">
        <v>1</v>
      </c>
      <c r="D832" s="5">
        <v>14.99</v>
      </c>
      <c r="E832" s="3" t="s">
        <v>2006</v>
      </c>
      <c r="F832" s="2" t="s">
        <v>64</v>
      </c>
      <c r="G832" s="6" t="s">
        <v>156</v>
      </c>
      <c r="H832" s="2" t="s">
        <v>1522</v>
      </c>
      <c r="I832" s="2" t="s">
        <v>1469</v>
      </c>
      <c r="J832" s="2" t="s">
        <v>19</v>
      </c>
      <c r="K832" s="2" t="s">
        <v>353</v>
      </c>
      <c r="L832" s="7" t="str">
        <f t="shared" si="8"/>
        <v xml:space="preserve">http://slimages.macys.com/is/image/MCY/10743611 </v>
      </c>
    </row>
    <row r="833" spans="1:12" ht="24.75" x14ac:dyDescent="0.25">
      <c r="A833" s="4" t="s">
        <v>6907</v>
      </c>
      <c r="B833" s="2" t="s">
        <v>2005</v>
      </c>
      <c r="C833" s="3">
        <v>2</v>
      </c>
      <c r="D833" s="5">
        <v>14.99</v>
      </c>
      <c r="E833" s="3" t="s">
        <v>2006</v>
      </c>
      <c r="F833" s="2" t="s">
        <v>1945</v>
      </c>
      <c r="G833" s="6" t="s">
        <v>234</v>
      </c>
      <c r="H833" s="2" t="s">
        <v>1522</v>
      </c>
      <c r="I833" s="2" t="s">
        <v>1469</v>
      </c>
      <c r="J833" s="2" t="s">
        <v>19</v>
      </c>
      <c r="K833" s="2" t="s">
        <v>353</v>
      </c>
      <c r="L833" s="7" t="str">
        <f t="shared" si="8"/>
        <v xml:space="preserve">http://slimages.macys.com/is/image/MCY/10743611 </v>
      </c>
    </row>
    <row r="834" spans="1:12" ht="24.75" x14ac:dyDescent="0.25">
      <c r="A834" s="4" t="s">
        <v>6912</v>
      </c>
      <c r="B834" s="2" t="s">
        <v>2005</v>
      </c>
      <c r="C834" s="3">
        <v>1</v>
      </c>
      <c r="D834" s="5">
        <v>14.99</v>
      </c>
      <c r="E834" s="3" t="s">
        <v>2006</v>
      </c>
      <c r="F834" s="2" t="s">
        <v>64</v>
      </c>
      <c r="G834" s="6" t="s">
        <v>234</v>
      </c>
      <c r="H834" s="2" t="s">
        <v>1522</v>
      </c>
      <c r="I834" s="2" t="s">
        <v>1469</v>
      </c>
      <c r="J834" s="2" t="s">
        <v>19</v>
      </c>
      <c r="K834" s="2" t="s">
        <v>353</v>
      </c>
      <c r="L834" s="7" t="str">
        <f t="shared" si="8"/>
        <v xml:space="preserve">http://slimages.macys.com/is/image/MCY/10743611 </v>
      </c>
    </row>
    <row r="835" spans="1:12" ht="24.75" x14ac:dyDescent="0.25">
      <c r="A835" s="4" t="s">
        <v>4256</v>
      </c>
      <c r="B835" s="2" t="s">
        <v>2005</v>
      </c>
      <c r="C835" s="3">
        <v>1</v>
      </c>
      <c r="D835" s="5">
        <v>14.99</v>
      </c>
      <c r="E835" s="3" t="s">
        <v>2006</v>
      </c>
      <c r="F835" s="2" t="s">
        <v>64</v>
      </c>
      <c r="G835" s="6" t="s">
        <v>181</v>
      </c>
      <c r="H835" s="2" t="s">
        <v>1522</v>
      </c>
      <c r="I835" s="2" t="s">
        <v>1469</v>
      </c>
      <c r="J835" s="2" t="s">
        <v>19</v>
      </c>
      <c r="K835" s="2" t="s">
        <v>353</v>
      </c>
      <c r="L835" s="7" t="str">
        <f t="shared" si="8"/>
        <v xml:space="preserve">http://slimages.macys.com/is/image/MCY/10743611 </v>
      </c>
    </row>
    <row r="836" spans="1:12" ht="24.75" x14ac:dyDescent="0.25">
      <c r="A836" s="4" t="s">
        <v>7707</v>
      </c>
      <c r="B836" s="2" t="s">
        <v>2005</v>
      </c>
      <c r="C836" s="3">
        <v>2</v>
      </c>
      <c r="D836" s="5">
        <v>14.99</v>
      </c>
      <c r="E836" s="3" t="s">
        <v>2006</v>
      </c>
      <c r="F836" s="2" t="s">
        <v>1945</v>
      </c>
      <c r="G836" s="6" t="s">
        <v>181</v>
      </c>
      <c r="H836" s="2" t="s">
        <v>1522</v>
      </c>
      <c r="I836" s="2" t="s">
        <v>1469</v>
      </c>
      <c r="J836" s="2" t="s">
        <v>19</v>
      </c>
      <c r="K836" s="2" t="s">
        <v>353</v>
      </c>
      <c r="L836" s="7" t="str">
        <f t="shared" si="8"/>
        <v xml:space="preserve">http://slimages.macys.com/is/image/MCY/10743611 </v>
      </c>
    </row>
    <row r="837" spans="1:12" ht="24.75" x14ac:dyDescent="0.25">
      <c r="A837" s="4" t="s">
        <v>6193</v>
      </c>
      <c r="B837" s="2" t="s">
        <v>2005</v>
      </c>
      <c r="C837" s="3">
        <v>2</v>
      </c>
      <c r="D837" s="5">
        <v>14.99</v>
      </c>
      <c r="E837" s="3" t="s">
        <v>2006</v>
      </c>
      <c r="F837" s="2" t="s">
        <v>26</v>
      </c>
      <c r="G837" s="6" t="s">
        <v>181</v>
      </c>
      <c r="H837" s="2" t="s">
        <v>1522</v>
      </c>
      <c r="I837" s="2" t="s">
        <v>1469</v>
      </c>
      <c r="J837" s="2" t="s">
        <v>19</v>
      </c>
      <c r="K837" s="2" t="s">
        <v>353</v>
      </c>
      <c r="L837" s="7" t="str">
        <f t="shared" si="8"/>
        <v xml:space="preserve">http://slimages.macys.com/is/image/MCY/10743611 </v>
      </c>
    </row>
    <row r="838" spans="1:12" ht="24.75" x14ac:dyDescent="0.25">
      <c r="A838" s="4" t="s">
        <v>6198</v>
      </c>
      <c r="B838" s="2" t="s">
        <v>6196</v>
      </c>
      <c r="C838" s="3">
        <v>1</v>
      </c>
      <c r="D838" s="5">
        <v>14.99</v>
      </c>
      <c r="E838" s="3" t="s">
        <v>6197</v>
      </c>
      <c r="F838" s="2" t="s">
        <v>74</v>
      </c>
      <c r="G838" s="6" t="s">
        <v>219</v>
      </c>
      <c r="H838" s="2" t="s">
        <v>1425</v>
      </c>
      <c r="I838" s="2" t="s">
        <v>1469</v>
      </c>
      <c r="J838" s="2" t="s">
        <v>19</v>
      </c>
      <c r="K838" s="2" t="s">
        <v>353</v>
      </c>
      <c r="L838" s="7" t="str">
        <f>HYPERLINK("http://slimages.macys.com/is/image/MCY/10743620 ")</f>
        <v xml:space="preserve">http://slimages.macys.com/is/image/MCY/10743620 </v>
      </c>
    </row>
    <row r="839" spans="1:12" ht="24.75" x14ac:dyDescent="0.25">
      <c r="A839" s="4" t="s">
        <v>8379</v>
      </c>
      <c r="B839" s="2" t="s">
        <v>2016</v>
      </c>
      <c r="C839" s="3">
        <v>1</v>
      </c>
      <c r="D839" s="5">
        <v>12.99</v>
      </c>
      <c r="E839" s="3" t="s">
        <v>2017</v>
      </c>
      <c r="F839" s="2" t="s">
        <v>413</v>
      </c>
      <c r="G839" s="6" t="s">
        <v>156</v>
      </c>
      <c r="H839" s="2" t="s">
        <v>194</v>
      </c>
      <c r="I839" s="2" t="s">
        <v>195</v>
      </c>
      <c r="J839" s="2" t="s">
        <v>19</v>
      </c>
      <c r="K839" s="2" t="s">
        <v>648</v>
      </c>
      <c r="L839" s="7" t="str">
        <f>HYPERLINK("http://slimages.macys.com/is/image/MCY/14887463 ")</f>
        <v xml:space="preserve">http://slimages.macys.com/is/image/MCY/14887463 </v>
      </c>
    </row>
    <row r="840" spans="1:12" ht="24.75" x14ac:dyDescent="0.25">
      <c r="A840" s="4" t="s">
        <v>4267</v>
      </c>
      <c r="B840" s="2" t="s">
        <v>2016</v>
      </c>
      <c r="C840" s="3">
        <v>1</v>
      </c>
      <c r="D840" s="5">
        <v>12.99</v>
      </c>
      <c r="E840" s="3" t="s">
        <v>2017</v>
      </c>
      <c r="F840" s="2" t="s">
        <v>125</v>
      </c>
      <c r="G840" s="6" t="s">
        <v>245</v>
      </c>
      <c r="H840" s="2" t="s">
        <v>194</v>
      </c>
      <c r="I840" s="2" t="s">
        <v>195</v>
      </c>
      <c r="J840" s="2" t="s">
        <v>19</v>
      </c>
      <c r="K840" s="2" t="s">
        <v>648</v>
      </c>
      <c r="L840" s="7" t="str">
        <f>HYPERLINK("http://slimages.macys.com/is/image/MCY/14887463 ")</f>
        <v xml:space="preserve">http://slimages.macys.com/is/image/MCY/14887463 </v>
      </c>
    </row>
    <row r="841" spans="1:12" ht="24.75" x14ac:dyDescent="0.25">
      <c r="A841" s="4" t="s">
        <v>8380</v>
      </c>
      <c r="B841" s="2" t="s">
        <v>2021</v>
      </c>
      <c r="C841" s="3">
        <v>1</v>
      </c>
      <c r="D841" s="5">
        <v>18.38</v>
      </c>
      <c r="E841" s="3">
        <v>100018061</v>
      </c>
      <c r="F841" s="2" t="s">
        <v>64</v>
      </c>
      <c r="G841" s="6" t="s">
        <v>200</v>
      </c>
      <c r="H841" s="2" t="s">
        <v>194</v>
      </c>
      <c r="I841" s="2" t="s">
        <v>195</v>
      </c>
      <c r="J841" s="2" t="s">
        <v>19</v>
      </c>
      <c r="K841" s="2" t="s">
        <v>495</v>
      </c>
      <c r="L841" s="7" t="str">
        <f>HYPERLINK("http://slimages.macys.com/is/image/MCY/12950402 ")</f>
        <v xml:space="preserve">http://slimages.macys.com/is/image/MCY/12950402 </v>
      </c>
    </row>
    <row r="842" spans="1:12" ht="24.75" x14ac:dyDescent="0.25">
      <c r="A842" s="4" t="s">
        <v>8381</v>
      </c>
      <c r="B842" s="2" t="s">
        <v>4277</v>
      </c>
      <c r="C842" s="3">
        <v>1</v>
      </c>
      <c r="D842" s="5">
        <v>12.99</v>
      </c>
      <c r="E842" s="3" t="s">
        <v>4278</v>
      </c>
      <c r="F842" s="2" t="s">
        <v>74</v>
      </c>
      <c r="G842" s="6" t="s">
        <v>200</v>
      </c>
      <c r="H842" s="2" t="s">
        <v>1473</v>
      </c>
      <c r="I842" s="2" t="s">
        <v>1426</v>
      </c>
      <c r="J842" s="2" t="s">
        <v>19</v>
      </c>
      <c r="K842" s="2" t="s">
        <v>648</v>
      </c>
      <c r="L842" s="7" t="str">
        <f>HYPERLINK("http://slimages.macys.com/is/image/MCY/9770425 ")</f>
        <v xml:space="preserve">http://slimages.macys.com/is/image/MCY/9770425 </v>
      </c>
    </row>
    <row r="843" spans="1:12" ht="24.75" x14ac:dyDescent="0.25">
      <c r="A843" s="4" t="s">
        <v>8382</v>
      </c>
      <c r="B843" s="2" t="s">
        <v>4280</v>
      </c>
      <c r="C843" s="3">
        <v>1</v>
      </c>
      <c r="D843" s="5">
        <v>9.99</v>
      </c>
      <c r="E843" s="3" t="s">
        <v>4281</v>
      </c>
      <c r="F843" s="2" t="s">
        <v>417</v>
      </c>
      <c r="G843" s="6" t="s">
        <v>156</v>
      </c>
      <c r="H843" s="2" t="s">
        <v>1473</v>
      </c>
      <c r="I843" s="2" t="s">
        <v>1426</v>
      </c>
      <c r="J843" s="2" t="s">
        <v>19</v>
      </c>
      <c r="K843" s="2" t="s">
        <v>648</v>
      </c>
      <c r="L843" s="7" t="str">
        <f>HYPERLINK("http://slimages.macys.com/is/image/MCY/11456814 ")</f>
        <v xml:space="preserve">http://slimages.macys.com/is/image/MCY/11456814 </v>
      </c>
    </row>
    <row r="844" spans="1:12" ht="24.75" x14ac:dyDescent="0.25">
      <c r="A844" s="4" t="s">
        <v>8383</v>
      </c>
      <c r="B844" s="2" t="s">
        <v>4280</v>
      </c>
      <c r="C844" s="3">
        <v>1</v>
      </c>
      <c r="D844" s="5">
        <v>9.99</v>
      </c>
      <c r="E844" s="3" t="s">
        <v>4281</v>
      </c>
      <c r="F844" s="2" t="s">
        <v>15</v>
      </c>
      <c r="G844" s="6" t="s">
        <v>154</v>
      </c>
      <c r="H844" s="2" t="s">
        <v>1473</v>
      </c>
      <c r="I844" s="2" t="s">
        <v>1426</v>
      </c>
      <c r="J844" s="2" t="s">
        <v>19</v>
      </c>
      <c r="K844" s="2" t="s">
        <v>648</v>
      </c>
      <c r="L844" s="7" t="str">
        <f>HYPERLINK("http://slimages.macys.com/is/image/MCY/11456814 ")</f>
        <v xml:space="preserve">http://slimages.macys.com/is/image/MCY/11456814 </v>
      </c>
    </row>
    <row r="845" spans="1:12" ht="24.75" x14ac:dyDescent="0.25">
      <c r="A845" s="4" t="s">
        <v>8384</v>
      </c>
      <c r="B845" s="2" t="s">
        <v>4280</v>
      </c>
      <c r="C845" s="3">
        <v>1</v>
      </c>
      <c r="D845" s="5">
        <v>9.99</v>
      </c>
      <c r="E845" s="3" t="s">
        <v>4281</v>
      </c>
      <c r="F845" s="2" t="s">
        <v>79</v>
      </c>
      <c r="G845" s="6" t="s">
        <v>245</v>
      </c>
      <c r="H845" s="2" t="s">
        <v>1473</v>
      </c>
      <c r="I845" s="2" t="s">
        <v>1426</v>
      </c>
      <c r="J845" s="2" t="s">
        <v>19</v>
      </c>
      <c r="K845" s="2" t="s">
        <v>648</v>
      </c>
      <c r="L845" s="7" t="str">
        <f>HYPERLINK("http://slimages.macys.com/is/image/MCY/11456814 ")</f>
        <v xml:space="preserve">http://slimages.macys.com/is/image/MCY/11456814 </v>
      </c>
    </row>
    <row r="846" spans="1:12" ht="24.75" x14ac:dyDescent="0.25">
      <c r="A846" s="4" t="s">
        <v>8385</v>
      </c>
      <c r="B846" s="2" t="s">
        <v>4283</v>
      </c>
      <c r="C846" s="3">
        <v>1</v>
      </c>
      <c r="D846" s="5">
        <v>9.99</v>
      </c>
      <c r="E846" s="3" t="s">
        <v>4284</v>
      </c>
      <c r="F846" s="2" t="s">
        <v>26</v>
      </c>
      <c r="G846" s="6" t="s">
        <v>181</v>
      </c>
      <c r="H846" s="2" t="s">
        <v>1473</v>
      </c>
      <c r="I846" s="2" t="s">
        <v>1426</v>
      </c>
      <c r="J846" s="2" t="s">
        <v>19</v>
      </c>
      <c r="K846" s="2" t="s">
        <v>495</v>
      </c>
      <c r="L846" s="7" t="str">
        <f>HYPERLINK("http://slimages.macys.com/is/image/MCY/10703455 ")</f>
        <v xml:space="preserve">http://slimages.macys.com/is/image/MCY/10703455 </v>
      </c>
    </row>
    <row r="847" spans="1:12" ht="24.75" x14ac:dyDescent="0.25">
      <c r="A847" s="4" t="s">
        <v>3236</v>
      </c>
      <c r="B847" s="2" t="s">
        <v>3237</v>
      </c>
      <c r="C847" s="3">
        <v>1</v>
      </c>
      <c r="D847" s="5">
        <v>9.99</v>
      </c>
      <c r="E847" s="3" t="s">
        <v>3238</v>
      </c>
      <c r="F847" s="2" t="s">
        <v>64</v>
      </c>
      <c r="G847" s="6" t="s">
        <v>181</v>
      </c>
      <c r="H847" s="2" t="s">
        <v>194</v>
      </c>
      <c r="I847" s="2" t="s">
        <v>195</v>
      </c>
      <c r="J847" s="2" t="s">
        <v>19</v>
      </c>
      <c r="K847" s="2" t="s">
        <v>247</v>
      </c>
      <c r="L847" s="7" t="str">
        <f>HYPERLINK("http://slimages.macys.com/is/image/MCY/15522855 ")</f>
        <v xml:space="preserve">http://slimages.macys.com/is/image/MCY/15522855 </v>
      </c>
    </row>
    <row r="848" spans="1:12" ht="24.75" x14ac:dyDescent="0.25">
      <c r="A848" s="4" t="s">
        <v>4290</v>
      </c>
      <c r="B848" s="2" t="s">
        <v>3237</v>
      </c>
      <c r="C848" s="3">
        <v>1</v>
      </c>
      <c r="D848" s="5">
        <v>9.99</v>
      </c>
      <c r="E848" s="3" t="s">
        <v>3238</v>
      </c>
      <c r="F848" s="2" t="s">
        <v>956</v>
      </c>
      <c r="G848" s="6" t="s">
        <v>181</v>
      </c>
      <c r="H848" s="2" t="s">
        <v>194</v>
      </c>
      <c r="I848" s="2" t="s">
        <v>195</v>
      </c>
      <c r="J848" s="2" t="s">
        <v>19</v>
      </c>
      <c r="K848" s="2" t="s">
        <v>247</v>
      </c>
      <c r="L848" s="7" t="str">
        <f>HYPERLINK("http://slimages.macys.com/is/image/MCY/15522855 ")</f>
        <v xml:space="preserve">http://slimages.macys.com/is/image/MCY/15522855 </v>
      </c>
    </row>
    <row r="849" spans="1:12" ht="24.75" x14ac:dyDescent="0.25">
      <c r="A849" s="4" t="s">
        <v>8386</v>
      </c>
      <c r="B849" s="2" t="s">
        <v>3237</v>
      </c>
      <c r="C849" s="3">
        <v>1</v>
      </c>
      <c r="D849" s="5">
        <v>9.99</v>
      </c>
      <c r="E849" s="3" t="s">
        <v>3238</v>
      </c>
      <c r="F849" s="2" t="s">
        <v>956</v>
      </c>
      <c r="G849" s="6" t="s">
        <v>154</v>
      </c>
      <c r="H849" s="2" t="s">
        <v>194</v>
      </c>
      <c r="I849" s="2" t="s">
        <v>195</v>
      </c>
      <c r="J849" s="2" t="s">
        <v>19</v>
      </c>
      <c r="K849" s="2" t="s">
        <v>247</v>
      </c>
      <c r="L849" s="7" t="str">
        <f>HYPERLINK("http://slimages.macys.com/is/image/MCY/15522855 ")</f>
        <v xml:space="preserve">http://slimages.macys.com/is/image/MCY/15522855 </v>
      </c>
    </row>
    <row r="850" spans="1:12" ht="24.75" x14ac:dyDescent="0.25">
      <c r="A850" s="4" t="s">
        <v>3241</v>
      </c>
      <c r="B850" s="2" t="s">
        <v>2036</v>
      </c>
      <c r="C850" s="3">
        <v>1</v>
      </c>
      <c r="D850" s="5">
        <v>12.99</v>
      </c>
      <c r="E850" s="3" t="s">
        <v>2037</v>
      </c>
      <c r="F850" s="2" t="s">
        <v>170</v>
      </c>
      <c r="G850" s="6" t="s">
        <v>234</v>
      </c>
      <c r="H850" s="2" t="s">
        <v>194</v>
      </c>
      <c r="I850" s="2" t="s">
        <v>195</v>
      </c>
      <c r="J850" s="2" t="s">
        <v>19</v>
      </c>
      <c r="K850" s="2" t="s">
        <v>495</v>
      </c>
      <c r="L850" s="7" t="str">
        <f>HYPERLINK("http://slimages.macys.com/is/image/MCY/10191342 ")</f>
        <v xml:space="preserve">http://slimages.macys.com/is/image/MCY/10191342 </v>
      </c>
    </row>
    <row r="851" spans="1:12" ht="24.75" x14ac:dyDescent="0.25">
      <c r="A851" s="4" t="s">
        <v>5262</v>
      </c>
      <c r="B851" s="2" t="s">
        <v>4295</v>
      </c>
      <c r="C851" s="3">
        <v>1</v>
      </c>
      <c r="D851" s="5">
        <v>9.99</v>
      </c>
      <c r="E851" s="3" t="s">
        <v>4296</v>
      </c>
      <c r="F851" s="2" t="s">
        <v>94</v>
      </c>
      <c r="G851" s="6" t="s">
        <v>154</v>
      </c>
      <c r="H851" s="2" t="s">
        <v>1473</v>
      </c>
      <c r="I851" s="2" t="s">
        <v>1426</v>
      </c>
      <c r="J851" s="2" t="s">
        <v>19</v>
      </c>
      <c r="K851" s="2" t="s">
        <v>495</v>
      </c>
      <c r="L851" s="7" t="str">
        <f>HYPERLINK("http://slimages.macys.com/is/image/MCY/11533706 ")</f>
        <v xml:space="preserve">http://slimages.macys.com/is/image/MCY/11533706 </v>
      </c>
    </row>
    <row r="852" spans="1:12" ht="24.75" x14ac:dyDescent="0.25">
      <c r="A852" s="4" t="s">
        <v>8387</v>
      </c>
      <c r="B852" s="2" t="s">
        <v>6937</v>
      </c>
      <c r="C852" s="3">
        <v>1</v>
      </c>
      <c r="D852" s="5">
        <v>9.99</v>
      </c>
      <c r="E852" s="3" t="s">
        <v>6938</v>
      </c>
      <c r="F852" s="2" t="s">
        <v>33</v>
      </c>
      <c r="G852" s="6" t="s">
        <v>156</v>
      </c>
      <c r="H852" s="2" t="s">
        <v>1473</v>
      </c>
      <c r="I852" s="2" t="s">
        <v>1426</v>
      </c>
      <c r="J852" s="2" t="s">
        <v>19</v>
      </c>
      <c r="K852" s="2" t="s">
        <v>495</v>
      </c>
      <c r="L852" s="7" t="str">
        <f>HYPERLINK("http://slimages.macys.com/is/image/MCY/11882118 ")</f>
        <v xml:space="preserve">http://slimages.macys.com/is/image/MCY/11882118 </v>
      </c>
    </row>
    <row r="853" spans="1:12" ht="24.75" x14ac:dyDescent="0.25">
      <c r="A853" s="4" t="s">
        <v>8388</v>
      </c>
      <c r="B853" s="2" t="s">
        <v>2061</v>
      </c>
      <c r="C853" s="3">
        <v>1</v>
      </c>
      <c r="D853" s="5">
        <v>9.99</v>
      </c>
      <c r="E853" s="3" t="s">
        <v>4306</v>
      </c>
      <c r="F853" s="2" t="s">
        <v>413</v>
      </c>
      <c r="G853" s="6" t="s">
        <v>154</v>
      </c>
      <c r="H853" s="2" t="s">
        <v>1473</v>
      </c>
      <c r="I853" s="2" t="s">
        <v>1426</v>
      </c>
      <c r="J853" s="2" t="s">
        <v>19</v>
      </c>
      <c r="K853" s="2" t="s">
        <v>495</v>
      </c>
      <c r="L853" s="7" t="str">
        <f>HYPERLINK("http://slimages.macys.com/is/image/MCY/11915620 ")</f>
        <v xml:space="preserve">http://slimages.macys.com/is/image/MCY/11915620 </v>
      </c>
    </row>
    <row r="854" spans="1:12" ht="24.75" x14ac:dyDescent="0.25">
      <c r="A854" s="4" t="s">
        <v>8389</v>
      </c>
      <c r="B854" s="2" t="s">
        <v>7728</v>
      </c>
      <c r="C854" s="3">
        <v>1</v>
      </c>
      <c r="D854" s="5">
        <v>9.99</v>
      </c>
      <c r="E854" s="3" t="s">
        <v>7729</v>
      </c>
      <c r="F854" s="2" t="s">
        <v>15</v>
      </c>
      <c r="G854" s="6" t="s">
        <v>245</v>
      </c>
      <c r="H854" s="2" t="s">
        <v>1473</v>
      </c>
      <c r="I854" s="2" t="s">
        <v>1426</v>
      </c>
      <c r="J854" s="2" t="s">
        <v>19</v>
      </c>
      <c r="K854" s="2" t="s">
        <v>495</v>
      </c>
      <c r="L854" s="7" t="str">
        <f>HYPERLINK("http://slimages.macys.com/is/image/MCY/12266774 ")</f>
        <v xml:space="preserve">http://slimages.macys.com/is/image/MCY/12266774 </v>
      </c>
    </row>
    <row r="855" spans="1:12" ht="24.75" x14ac:dyDescent="0.25">
      <c r="A855" s="4" t="s">
        <v>8390</v>
      </c>
      <c r="B855" s="2" t="s">
        <v>6930</v>
      </c>
      <c r="C855" s="3">
        <v>1</v>
      </c>
      <c r="D855" s="5">
        <v>9.99</v>
      </c>
      <c r="E855" s="3" t="s">
        <v>6931</v>
      </c>
      <c r="F855" s="2" t="s">
        <v>15</v>
      </c>
      <c r="G855" s="6" t="s">
        <v>156</v>
      </c>
      <c r="H855" s="2" t="s">
        <v>1473</v>
      </c>
      <c r="I855" s="2" t="s">
        <v>1426</v>
      </c>
      <c r="J855" s="2" t="s">
        <v>19</v>
      </c>
      <c r="K855" s="2" t="s">
        <v>495</v>
      </c>
      <c r="L855" s="7" t="str">
        <f>HYPERLINK("http://slimages.macys.com/is/image/MCY/11269936 ")</f>
        <v xml:space="preserve">http://slimages.macys.com/is/image/MCY/11269936 </v>
      </c>
    </row>
    <row r="856" spans="1:12" ht="24.75" x14ac:dyDescent="0.25">
      <c r="A856" s="4" t="s">
        <v>4314</v>
      </c>
      <c r="B856" s="2" t="s">
        <v>2036</v>
      </c>
      <c r="C856" s="3">
        <v>1</v>
      </c>
      <c r="D856" s="5">
        <v>12.99</v>
      </c>
      <c r="E856" s="3" t="s">
        <v>2037</v>
      </c>
      <c r="F856" s="2" t="s">
        <v>566</v>
      </c>
      <c r="G856" s="6" t="s">
        <v>181</v>
      </c>
      <c r="H856" s="2" t="s">
        <v>194</v>
      </c>
      <c r="I856" s="2" t="s">
        <v>195</v>
      </c>
      <c r="J856" s="2" t="s">
        <v>19</v>
      </c>
      <c r="K856" s="2" t="s">
        <v>495</v>
      </c>
      <c r="L856" s="7" t="str">
        <f>HYPERLINK("http://slimages.macys.com/is/image/MCY/9344781 ")</f>
        <v xml:space="preserve">http://slimages.macys.com/is/image/MCY/9344781 </v>
      </c>
    </row>
    <row r="857" spans="1:12" ht="24.75" x14ac:dyDescent="0.25">
      <c r="A857" s="4" t="s">
        <v>8391</v>
      </c>
      <c r="B857" s="2" t="s">
        <v>5225</v>
      </c>
      <c r="C857" s="3">
        <v>1</v>
      </c>
      <c r="D857" s="5">
        <v>12.99</v>
      </c>
      <c r="E857" s="3" t="s">
        <v>8392</v>
      </c>
      <c r="F857" s="2" t="s">
        <v>676</v>
      </c>
      <c r="G857" s="6"/>
      <c r="H857" s="2" t="s">
        <v>312</v>
      </c>
      <c r="I857" s="2" t="s">
        <v>195</v>
      </c>
      <c r="J857" s="2"/>
      <c r="K857" s="2"/>
      <c r="L857" s="7" t="str">
        <f>HYPERLINK("http://slimages.macys.com/is/image/MCY/3565211 ")</f>
        <v xml:space="preserve">http://slimages.macys.com/is/image/MCY/3565211 </v>
      </c>
    </row>
    <row r="858" spans="1:12" ht="24.75" x14ac:dyDescent="0.25">
      <c r="A858" s="4" t="s">
        <v>8393</v>
      </c>
      <c r="B858" s="2" t="s">
        <v>2064</v>
      </c>
      <c r="C858" s="3">
        <v>1</v>
      </c>
      <c r="D858" s="5">
        <v>9.99</v>
      </c>
      <c r="E858" s="3" t="s">
        <v>3279</v>
      </c>
      <c r="F858" s="2" t="s">
        <v>1914</v>
      </c>
      <c r="G858" s="6" t="s">
        <v>234</v>
      </c>
      <c r="H858" s="2" t="s">
        <v>1473</v>
      </c>
      <c r="I858" s="2" t="s">
        <v>1426</v>
      </c>
      <c r="J858" s="2" t="s">
        <v>19</v>
      </c>
      <c r="K858" s="2" t="s">
        <v>990</v>
      </c>
      <c r="L858" s="7" t="str">
        <f>HYPERLINK("http://slimages.macys.com/is/image/MCY/11130625 ")</f>
        <v xml:space="preserve">http://slimages.macys.com/is/image/MCY/11130625 </v>
      </c>
    </row>
    <row r="859" spans="1:12" ht="24.75" x14ac:dyDescent="0.25">
      <c r="A859" s="4" t="s">
        <v>4317</v>
      </c>
      <c r="B859" s="2" t="s">
        <v>4318</v>
      </c>
      <c r="C859" s="3">
        <v>1</v>
      </c>
      <c r="D859" s="5">
        <v>9.99</v>
      </c>
      <c r="E859" s="3" t="s">
        <v>4319</v>
      </c>
      <c r="F859" s="2"/>
      <c r="G859" s="6" t="s">
        <v>181</v>
      </c>
      <c r="H859" s="2" t="s">
        <v>1473</v>
      </c>
      <c r="I859" s="2" t="s">
        <v>1426</v>
      </c>
      <c r="J859" s="2" t="s">
        <v>19</v>
      </c>
      <c r="K859" s="2" t="s">
        <v>648</v>
      </c>
      <c r="L859" s="7" t="str">
        <f>HYPERLINK("http://slimages.macys.com/is/image/MCY/13301237 ")</f>
        <v xml:space="preserve">http://slimages.macys.com/is/image/MCY/13301237 </v>
      </c>
    </row>
    <row r="860" spans="1:12" ht="24.75" x14ac:dyDescent="0.25">
      <c r="A860" s="4" t="s">
        <v>8394</v>
      </c>
      <c r="B860" s="2" t="s">
        <v>2075</v>
      </c>
      <c r="C860" s="3">
        <v>1</v>
      </c>
      <c r="D860" s="5">
        <v>9.99</v>
      </c>
      <c r="E860" s="3" t="s">
        <v>2076</v>
      </c>
      <c r="F860" s="2" t="s">
        <v>1322</v>
      </c>
      <c r="G860" s="6" t="s">
        <v>200</v>
      </c>
      <c r="H860" s="2" t="s">
        <v>1473</v>
      </c>
      <c r="I860" s="2" t="s">
        <v>1426</v>
      </c>
      <c r="J860" s="2" t="s">
        <v>19</v>
      </c>
      <c r="K860" s="2" t="s">
        <v>990</v>
      </c>
      <c r="L860" s="7" t="str">
        <f t="shared" ref="L860:L876" si="9">HYPERLINK("http://slimages.macys.com/is/image/MCY/15161436 ")</f>
        <v xml:space="preserve">http://slimages.macys.com/is/image/MCY/15161436 </v>
      </c>
    </row>
    <row r="861" spans="1:12" ht="24.75" x14ac:dyDescent="0.25">
      <c r="A861" s="4" t="s">
        <v>2078</v>
      </c>
      <c r="B861" s="2" t="s">
        <v>2075</v>
      </c>
      <c r="C861" s="3">
        <v>1</v>
      </c>
      <c r="D861" s="5">
        <v>9.99</v>
      </c>
      <c r="E861" s="3" t="s">
        <v>2076</v>
      </c>
      <c r="F861" s="2" t="s">
        <v>413</v>
      </c>
      <c r="G861" s="6" t="s">
        <v>181</v>
      </c>
      <c r="H861" s="2" t="s">
        <v>1473</v>
      </c>
      <c r="I861" s="2" t="s">
        <v>1426</v>
      </c>
      <c r="J861" s="2" t="s">
        <v>19</v>
      </c>
      <c r="K861" s="2" t="s">
        <v>990</v>
      </c>
      <c r="L861" s="7" t="str">
        <f t="shared" si="9"/>
        <v xml:space="preserve">http://slimages.macys.com/is/image/MCY/15161436 </v>
      </c>
    </row>
    <row r="862" spans="1:12" ht="24.75" x14ac:dyDescent="0.25">
      <c r="A862" s="4" t="s">
        <v>8395</v>
      </c>
      <c r="B862" s="2" t="s">
        <v>2075</v>
      </c>
      <c r="C862" s="3">
        <v>1</v>
      </c>
      <c r="D862" s="5">
        <v>9.99</v>
      </c>
      <c r="E862" s="3" t="s">
        <v>2076</v>
      </c>
      <c r="F862" s="2" t="s">
        <v>417</v>
      </c>
      <c r="G862" s="6" t="s">
        <v>234</v>
      </c>
      <c r="H862" s="2" t="s">
        <v>1473</v>
      </c>
      <c r="I862" s="2" t="s">
        <v>1426</v>
      </c>
      <c r="J862" s="2" t="s">
        <v>19</v>
      </c>
      <c r="K862" s="2" t="s">
        <v>990</v>
      </c>
      <c r="L862" s="7" t="str">
        <f t="shared" si="9"/>
        <v xml:space="preserve">http://slimages.macys.com/is/image/MCY/15161436 </v>
      </c>
    </row>
    <row r="863" spans="1:12" ht="24.75" x14ac:dyDescent="0.25">
      <c r="A863" s="4" t="s">
        <v>3246</v>
      </c>
      <c r="B863" s="2" t="s">
        <v>2075</v>
      </c>
      <c r="C863" s="3">
        <v>2</v>
      </c>
      <c r="D863" s="5">
        <v>9.99</v>
      </c>
      <c r="E863" s="3" t="s">
        <v>2076</v>
      </c>
      <c r="F863" s="2" t="s">
        <v>26</v>
      </c>
      <c r="G863" s="6" t="s">
        <v>181</v>
      </c>
      <c r="H863" s="2" t="s">
        <v>1473</v>
      </c>
      <c r="I863" s="2" t="s">
        <v>1426</v>
      </c>
      <c r="J863" s="2" t="s">
        <v>19</v>
      </c>
      <c r="K863" s="2" t="s">
        <v>990</v>
      </c>
      <c r="L863" s="7" t="str">
        <f t="shared" si="9"/>
        <v xml:space="preserve">http://slimages.macys.com/is/image/MCY/15161436 </v>
      </c>
    </row>
    <row r="864" spans="1:12" ht="24.75" x14ac:dyDescent="0.25">
      <c r="A864" s="4" t="s">
        <v>4329</v>
      </c>
      <c r="B864" s="2" t="s">
        <v>2075</v>
      </c>
      <c r="C864" s="3">
        <v>1</v>
      </c>
      <c r="D864" s="5">
        <v>9.99</v>
      </c>
      <c r="E864" s="3" t="s">
        <v>2076</v>
      </c>
      <c r="F864" s="2" t="s">
        <v>413</v>
      </c>
      <c r="G864" s="6" t="s">
        <v>154</v>
      </c>
      <c r="H864" s="2" t="s">
        <v>1473</v>
      </c>
      <c r="I864" s="2" t="s">
        <v>1426</v>
      </c>
      <c r="J864" s="2" t="s">
        <v>19</v>
      </c>
      <c r="K864" s="2" t="s">
        <v>990</v>
      </c>
      <c r="L864" s="7" t="str">
        <f t="shared" si="9"/>
        <v xml:space="preserve">http://slimages.macys.com/is/image/MCY/15161436 </v>
      </c>
    </row>
    <row r="865" spans="1:12" ht="24.75" x14ac:dyDescent="0.25">
      <c r="A865" s="4" t="s">
        <v>2079</v>
      </c>
      <c r="B865" s="2" t="s">
        <v>2075</v>
      </c>
      <c r="C865" s="3">
        <v>1</v>
      </c>
      <c r="D865" s="5">
        <v>9.99</v>
      </c>
      <c r="E865" s="3" t="s">
        <v>2076</v>
      </c>
      <c r="F865" s="2" t="s">
        <v>26</v>
      </c>
      <c r="G865" s="6" t="s">
        <v>154</v>
      </c>
      <c r="H865" s="2" t="s">
        <v>1473</v>
      </c>
      <c r="I865" s="2" t="s">
        <v>1426</v>
      </c>
      <c r="J865" s="2" t="s">
        <v>19</v>
      </c>
      <c r="K865" s="2" t="s">
        <v>990</v>
      </c>
      <c r="L865" s="7" t="str">
        <f t="shared" si="9"/>
        <v xml:space="preserve">http://slimages.macys.com/is/image/MCY/15161436 </v>
      </c>
    </row>
    <row r="866" spans="1:12" ht="24.75" x14ac:dyDescent="0.25">
      <c r="A866" s="4" t="s">
        <v>3247</v>
      </c>
      <c r="B866" s="2" t="s">
        <v>2075</v>
      </c>
      <c r="C866" s="3">
        <v>1</v>
      </c>
      <c r="D866" s="5">
        <v>9.99</v>
      </c>
      <c r="E866" s="3" t="s">
        <v>2076</v>
      </c>
      <c r="F866" s="2" t="s">
        <v>417</v>
      </c>
      <c r="G866" s="6" t="s">
        <v>154</v>
      </c>
      <c r="H866" s="2" t="s">
        <v>1473</v>
      </c>
      <c r="I866" s="2" t="s">
        <v>1426</v>
      </c>
      <c r="J866" s="2" t="s">
        <v>19</v>
      </c>
      <c r="K866" s="2" t="s">
        <v>990</v>
      </c>
      <c r="L866" s="7" t="str">
        <f t="shared" si="9"/>
        <v xml:space="preserve">http://slimages.macys.com/is/image/MCY/15161436 </v>
      </c>
    </row>
    <row r="867" spans="1:12" ht="24.75" x14ac:dyDescent="0.25">
      <c r="A867" s="4" t="s">
        <v>8396</v>
      </c>
      <c r="B867" s="2" t="s">
        <v>2075</v>
      </c>
      <c r="C867" s="3">
        <v>1</v>
      </c>
      <c r="D867" s="5">
        <v>9.99</v>
      </c>
      <c r="E867" s="3" t="s">
        <v>2076</v>
      </c>
      <c r="F867" s="2" t="s">
        <v>94</v>
      </c>
      <c r="G867" s="6" t="s">
        <v>154</v>
      </c>
      <c r="H867" s="2" t="s">
        <v>1473</v>
      </c>
      <c r="I867" s="2" t="s">
        <v>1426</v>
      </c>
      <c r="J867" s="2" t="s">
        <v>19</v>
      </c>
      <c r="K867" s="2" t="s">
        <v>990</v>
      </c>
      <c r="L867" s="7" t="str">
        <f t="shared" si="9"/>
        <v xml:space="preserve">http://slimages.macys.com/is/image/MCY/15161436 </v>
      </c>
    </row>
    <row r="868" spans="1:12" ht="24.75" x14ac:dyDescent="0.25">
      <c r="A868" s="4" t="s">
        <v>8397</v>
      </c>
      <c r="B868" s="2" t="s">
        <v>2075</v>
      </c>
      <c r="C868" s="3">
        <v>1</v>
      </c>
      <c r="D868" s="5">
        <v>9.99</v>
      </c>
      <c r="E868" s="3" t="s">
        <v>2076</v>
      </c>
      <c r="F868" s="2" t="s">
        <v>74</v>
      </c>
      <c r="G868" s="6" t="s">
        <v>200</v>
      </c>
      <c r="H868" s="2" t="s">
        <v>1473</v>
      </c>
      <c r="I868" s="2" t="s">
        <v>1426</v>
      </c>
      <c r="J868" s="2" t="s">
        <v>19</v>
      </c>
      <c r="K868" s="2" t="s">
        <v>990</v>
      </c>
      <c r="L868" s="7" t="str">
        <f t="shared" si="9"/>
        <v xml:space="preserve">http://slimages.macys.com/is/image/MCY/15161436 </v>
      </c>
    </row>
    <row r="869" spans="1:12" ht="24.75" x14ac:dyDescent="0.25">
      <c r="A869" s="4" t="s">
        <v>4330</v>
      </c>
      <c r="B869" s="2" t="s">
        <v>2075</v>
      </c>
      <c r="C869" s="3">
        <v>1</v>
      </c>
      <c r="D869" s="5">
        <v>9.99</v>
      </c>
      <c r="E869" s="3" t="s">
        <v>2076</v>
      </c>
      <c r="F869" s="2" t="s">
        <v>33</v>
      </c>
      <c r="G869" s="6" t="s">
        <v>156</v>
      </c>
      <c r="H869" s="2" t="s">
        <v>1473</v>
      </c>
      <c r="I869" s="2" t="s">
        <v>1426</v>
      </c>
      <c r="J869" s="2" t="s">
        <v>19</v>
      </c>
      <c r="K869" s="2" t="s">
        <v>990</v>
      </c>
      <c r="L869" s="7" t="str">
        <f t="shared" si="9"/>
        <v xml:space="preserve">http://slimages.macys.com/is/image/MCY/15161436 </v>
      </c>
    </row>
    <row r="870" spans="1:12" ht="24.75" x14ac:dyDescent="0.25">
      <c r="A870" s="4" t="s">
        <v>8398</v>
      </c>
      <c r="B870" s="2" t="s">
        <v>2075</v>
      </c>
      <c r="C870" s="3">
        <v>1</v>
      </c>
      <c r="D870" s="5">
        <v>9.99</v>
      </c>
      <c r="E870" s="3" t="s">
        <v>2076</v>
      </c>
      <c r="F870" s="2" t="s">
        <v>1322</v>
      </c>
      <c r="G870" s="6" t="s">
        <v>234</v>
      </c>
      <c r="H870" s="2" t="s">
        <v>1473</v>
      </c>
      <c r="I870" s="2" t="s">
        <v>1426</v>
      </c>
      <c r="J870" s="2" t="s">
        <v>19</v>
      </c>
      <c r="K870" s="2" t="s">
        <v>990</v>
      </c>
      <c r="L870" s="7" t="str">
        <f t="shared" si="9"/>
        <v xml:space="preserve">http://slimages.macys.com/is/image/MCY/15161436 </v>
      </c>
    </row>
    <row r="871" spans="1:12" ht="24.75" x14ac:dyDescent="0.25">
      <c r="A871" s="4" t="s">
        <v>5296</v>
      </c>
      <c r="B871" s="2" t="s">
        <v>2075</v>
      </c>
      <c r="C871" s="3">
        <v>1</v>
      </c>
      <c r="D871" s="5">
        <v>9.99</v>
      </c>
      <c r="E871" s="3" t="s">
        <v>2076</v>
      </c>
      <c r="F871" s="2" t="s">
        <v>413</v>
      </c>
      <c r="G871" s="6" t="s">
        <v>156</v>
      </c>
      <c r="H871" s="2" t="s">
        <v>1473</v>
      </c>
      <c r="I871" s="2" t="s">
        <v>1426</v>
      </c>
      <c r="J871" s="2" t="s">
        <v>19</v>
      </c>
      <c r="K871" s="2" t="s">
        <v>990</v>
      </c>
      <c r="L871" s="7" t="str">
        <f t="shared" si="9"/>
        <v xml:space="preserve">http://slimages.macys.com/is/image/MCY/15161436 </v>
      </c>
    </row>
    <row r="872" spans="1:12" ht="24.75" x14ac:dyDescent="0.25">
      <c r="A872" s="4" t="s">
        <v>5290</v>
      </c>
      <c r="B872" s="2" t="s">
        <v>2075</v>
      </c>
      <c r="C872" s="3">
        <v>3</v>
      </c>
      <c r="D872" s="5">
        <v>9.99</v>
      </c>
      <c r="E872" s="3" t="s">
        <v>2076</v>
      </c>
      <c r="F872" s="2" t="s">
        <v>1322</v>
      </c>
      <c r="G872" s="6" t="s">
        <v>181</v>
      </c>
      <c r="H872" s="2" t="s">
        <v>1473</v>
      </c>
      <c r="I872" s="2" t="s">
        <v>1426</v>
      </c>
      <c r="J872" s="2" t="s">
        <v>19</v>
      </c>
      <c r="K872" s="2" t="s">
        <v>990</v>
      </c>
      <c r="L872" s="7" t="str">
        <f t="shared" si="9"/>
        <v xml:space="preserve">http://slimages.macys.com/is/image/MCY/15161436 </v>
      </c>
    </row>
    <row r="873" spans="1:12" ht="24.75" x14ac:dyDescent="0.25">
      <c r="A873" s="4" t="s">
        <v>8399</v>
      </c>
      <c r="B873" s="2" t="s">
        <v>2075</v>
      </c>
      <c r="C873" s="3">
        <v>1</v>
      </c>
      <c r="D873" s="5">
        <v>9.99</v>
      </c>
      <c r="E873" s="3" t="s">
        <v>2076</v>
      </c>
      <c r="F873" s="2" t="s">
        <v>79</v>
      </c>
      <c r="G873" s="6" t="s">
        <v>154</v>
      </c>
      <c r="H873" s="2" t="s">
        <v>1473</v>
      </c>
      <c r="I873" s="2" t="s">
        <v>1426</v>
      </c>
      <c r="J873" s="2" t="s">
        <v>19</v>
      </c>
      <c r="K873" s="2" t="s">
        <v>990</v>
      </c>
      <c r="L873" s="7" t="str">
        <f t="shared" si="9"/>
        <v xml:space="preserve">http://slimages.macys.com/is/image/MCY/15161436 </v>
      </c>
    </row>
    <row r="874" spans="1:12" ht="24.75" x14ac:dyDescent="0.25">
      <c r="A874" s="4" t="s">
        <v>3245</v>
      </c>
      <c r="B874" s="2" t="s">
        <v>2075</v>
      </c>
      <c r="C874" s="3">
        <v>3</v>
      </c>
      <c r="D874" s="5">
        <v>9.99</v>
      </c>
      <c r="E874" s="3" t="s">
        <v>2076</v>
      </c>
      <c r="F874" s="2" t="s">
        <v>26</v>
      </c>
      <c r="G874" s="6" t="s">
        <v>234</v>
      </c>
      <c r="H874" s="2" t="s">
        <v>1473</v>
      </c>
      <c r="I874" s="2" t="s">
        <v>1426</v>
      </c>
      <c r="J874" s="2" t="s">
        <v>19</v>
      </c>
      <c r="K874" s="2" t="s">
        <v>990</v>
      </c>
      <c r="L874" s="7" t="str">
        <f t="shared" si="9"/>
        <v xml:space="preserve">http://slimages.macys.com/is/image/MCY/15161436 </v>
      </c>
    </row>
    <row r="875" spans="1:12" ht="24.75" x14ac:dyDescent="0.25">
      <c r="A875" s="4" t="s">
        <v>5283</v>
      </c>
      <c r="B875" s="2" t="s">
        <v>2075</v>
      </c>
      <c r="C875" s="3">
        <v>1</v>
      </c>
      <c r="D875" s="5">
        <v>9.99</v>
      </c>
      <c r="E875" s="3" t="s">
        <v>2076</v>
      </c>
      <c r="F875" s="2" t="s">
        <v>1322</v>
      </c>
      <c r="G875" s="6" t="s">
        <v>156</v>
      </c>
      <c r="H875" s="2" t="s">
        <v>1473</v>
      </c>
      <c r="I875" s="2" t="s">
        <v>1426</v>
      </c>
      <c r="J875" s="2" t="s">
        <v>19</v>
      </c>
      <c r="K875" s="2" t="s">
        <v>990</v>
      </c>
      <c r="L875" s="7" t="str">
        <f t="shared" si="9"/>
        <v xml:space="preserve">http://slimages.macys.com/is/image/MCY/15161436 </v>
      </c>
    </row>
    <row r="876" spans="1:12" ht="24.75" x14ac:dyDescent="0.25">
      <c r="A876" s="4" t="s">
        <v>6965</v>
      </c>
      <c r="B876" s="2" t="s">
        <v>2075</v>
      </c>
      <c r="C876" s="3">
        <v>2</v>
      </c>
      <c r="D876" s="5">
        <v>9.99</v>
      </c>
      <c r="E876" s="3" t="s">
        <v>2076</v>
      </c>
      <c r="F876" s="2" t="s">
        <v>1322</v>
      </c>
      <c r="G876" s="6" t="s">
        <v>154</v>
      </c>
      <c r="H876" s="2" t="s">
        <v>1473</v>
      </c>
      <c r="I876" s="2" t="s">
        <v>1426</v>
      </c>
      <c r="J876" s="2" t="s">
        <v>19</v>
      </c>
      <c r="K876" s="2" t="s">
        <v>990</v>
      </c>
      <c r="L876" s="7" t="str">
        <f t="shared" si="9"/>
        <v xml:space="preserve">http://slimages.macys.com/is/image/MCY/15161436 </v>
      </c>
    </row>
    <row r="877" spans="1:12" ht="24.75" x14ac:dyDescent="0.25">
      <c r="A877" s="4" t="s">
        <v>8400</v>
      </c>
      <c r="B877" s="2" t="s">
        <v>2083</v>
      </c>
      <c r="C877" s="3">
        <v>1</v>
      </c>
      <c r="D877" s="5">
        <v>9.99</v>
      </c>
      <c r="E877" s="3" t="s">
        <v>3251</v>
      </c>
      <c r="F877" s="2" t="s">
        <v>413</v>
      </c>
      <c r="G877" s="6"/>
      <c r="H877" s="2" t="s">
        <v>1425</v>
      </c>
      <c r="I877" s="2" t="s">
        <v>1426</v>
      </c>
      <c r="J877" s="2" t="s">
        <v>19</v>
      </c>
      <c r="K877" s="2" t="s">
        <v>648</v>
      </c>
      <c r="L877" s="7" t="str">
        <f>HYPERLINK("http://slimages.macys.com/is/image/MCY/12315459 ")</f>
        <v xml:space="preserve">http://slimages.macys.com/is/image/MCY/12315459 </v>
      </c>
    </row>
    <row r="878" spans="1:12" ht="24.75" x14ac:dyDescent="0.25">
      <c r="A878" s="4" t="s">
        <v>7744</v>
      </c>
      <c r="B878" s="2" t="s">
        <v>4339</v>
      </c>
      <c r="C878" s="3">
        <v>1</v>
      </c>
      <c r="D878" s="5">
        <v>9.99</v>
      </c>
      <c r="E878" s="3" t="s">
        <v>4340</v>
      </c>
      <c r="F878" s="2" t="s">
        <v>1322</v>
      </c>
      <c r="G878" s="6" t="s">
        <v>200</v>
      </c>
      <c r="H878" s="2" t="s">
        <v>1473</v>
      </c>
      <c r="I878" s="2" t="s">
        <v>1426</v>
      </c>
      <c r="J878" s="2" t="s">
        <v>19</v>
      </c>
      <c r="K878" s="2" t="s">
        <v>648</v>
      </c>
      <c r="L878" s="7" t="str">
        <f>HYPERLINK("http://slimages.macys.com/is/image/MCY/10747176 ")</f>
        <v xml:space="preserve">http://slimages.macys.com/is/image/MCY/10747176 </v>
      </c>
    </row>
    <row r="879" spans="1:12" ht="24.75" x14ac:dyDescent="0.25">
      <c r="A879" s="4" t="s">
        <v>6976</v>
      </c>
      <c r="B879" s="2" t="s">
        <v>4339</v>
      </c>
      <c r="C879" s="3">
        <v>1</v>
      </c>
      <c r="D879" s="5">
        <v>9.99</v>
      </c>
      <c r="E879" s="3" t="s">
        <v>4340</v>
      </c>
      <c r="F879" s="2" t="s">
        <v>1322</v>
      </c>
      <c r="G879" s="6" t="s">
        <v>181</v>
      </c>
      <c r="H879" s="2" t="s">
        <v>1473</v>
      </c>
      <c r="I879" s="2" t="s">
        <v>1426</v>
      </c>
      <c r="J879" s="2" t="s">
        <v>19</v>
      </c>
      <c r="K879" s="2" t="s">
        <v>648</v>
      </c>
      <c r="L879" s="7" t="str">
        <f>HYPERLINK("http://slimages.macys.com/is/image/MCY/10747176 ")</f>
        <v xml:space="preserve">http://slimages.macys.com/is/image/MCY/10747176 </v>
      </c>
    </row>
    <row r="880" spans="1:12" ht="24.75" x14ac:dyDescent="0.25">
      <c r="A880" s="4" t="s">
        <v>8401</v>
      </c>
      <c r="B880" s="2" t="s">
        <v>2087</v>
      </c>
      <c r="C880" s="3">
        <v>1</v>
      </c>
      <c r="D880" s="5">
        <v>9.99</v>
      </c>
      <c r="E880" s="3" t="s">
        <v>2088</v>
      </c>
      <c r="F880" s="2" t="s">
        <v>1945</v>
      </c>
      <c r="G880" s="6" t="s">
        <v>245</v>
      </c>
      <c r="H880" s="2" t="s">
        <v>1473</v>
      </c>
      <c r="I880" s="2" t="s">
        <v>1426</v>
      </c>
      <c r="J880" s="2" t="s">
        <v>19</v>
      </c>
      <c r="K880" s="2" t="s">
        <v>648</v>
      </c>
      <c r="L880" s="7" t="str">
        <f>HYPERLINK("http://slimages.macys.com/is/image/MCY/3559834 ")</f>
        <v xml:space="preserve">http://slimages.macys.com/is/image/MCY/3559834 </v>
      </c>
    </row>
    <row r="881" spans="1:12" ht="24.75" x14ac:dyDescent="0.25">
      <c r="A881" s="4" t="s">
        <v>8402</v>
      </c>
      <c r="B881" s="2" t="s">
        <v>2087</v>
      </c>
      <c r="C881" s="3">
        <v>1</v>
      </c>
      <c r="D881" s="5">
        <v>9.99</v>
      </c>
      <c r="E881" s="3" t="s">
        <v>2088</v>
      </c>
      <c r="F881" s="2" t="s">
        <v>820</v>
      </c>
      <c r="G881" s="6" t="s">
        <v>156</v>
      </c>
      <c r="H881" s="2" t="s">
        <v>1473</v>
      </c>
      <c r="I881" s="2" t="s">
        <v>1426</v>
      </c>
      <c r="J881" s="2" t="s">
        <v>19</v>
      </c>
      <c r="K881" s="2" t="s">
        <v>648</v>
      </c>
      <c r="L881" s="7" t="str">
        <f>HYPERLINK("http://slimages.macys.com/is/image/MCY/3559834 ")</f>
        <v xml:space="preserve">http://slimages.macys.com/is/image/MCY/3559834 </v>
      </c>
    </row>
    <row r="882" spans="1:12" ht="24.75" x14ac:dyDescent="0.25">
      <c r="A882" s="4" t="s">
        <v>8403</v>
      </c>
      <c r="B882" s="2" t="s">
        <v>8404</v>
      </c>
      <c r="C882" s="3">
        <v>1</v>
      </c>
      <c r="D882" s="5">
        <v>9.99</v>
      </c>
      <c r="E882" s="3" t="s">
        <v>8405</v>
      </c>
      <c r="F882" s="2" t="s">
        <v>26</v>
      </c>
      <c r="G882" s="6" t="s">
        <v>156</v>
      </c>
      <c r="H882" s="2" t="s">
        <v>1473</v>
      </c>
      <c r="I882" s="2" t="s">
        <v>1426</v>
      </c>
      <c r="J882" s="2" t="s">
        <v>19</v>
      </c>
      <c r="K882" s="2" t="s">
        <v>495</v>
      </c>
      <c r="L882" s="7" t="str">
        <f>HYPERLINK("http://slimages.macys.com/is/image/MCY/11884631 ")</f>
        <v xml:space="preserve">http://slimages.macys.com/is/image/MCY/11884631 </v>
      </c>
    </row>
    <row r="883" spans="1:12" ht="24.75" x14ac:dyDescent="0.25">
      <c r="A883" s="4" t="s">
        <v>8406</v>
      </c>
      <c r="B883" s="2" t="s">
        <v>6245</v>
      </c>
      <c r="C883" s="3">
        <v>2</v>
      </c>
      <c r="D883" s="5">
        <v>9.99</v>
      </c>
      <c r="E883" s="3" t="s">
        <v>6246</v>
      </c>
      <c r="F883" s="2" t="s">
        <v>413</v>
      </c>
      <c r="G883" s="6" t="s">
        <v>154</v>
      </c>
      <c r="H883" s="2" t="s">
        <v>1473</v>
      </c>
      <c r="I883" s="2" t="s">
        <v>1426</v>
      </c>
      <c r="J883" s="2" t="s">
        <v>19</v>
      </c>
      <c r="K883" s="2" t="s">
        <v>495</v>
      </c>
      <c r="L883" s="7" t="str">
        <f>HYPERLINK("http://slimages.macys.com/is/image/MCY/11831365 ")</f>
        <v xml:space="preserve">http://slimages.macys.com/is/image/MCY/11831365 </v>
      </c>
    </row>
    <row r="884" spans="1:12" ht="24.75" x14ac:dyDescent="0.25">
      <c r="A884" s="4" t="s">
        <v>8407</v>
      </c>
      <c r="B884" s="2" t="s">
        <v>8404</v>
      </c>
      <c r="C884" s="3">
        <v>2</v>
      </c>
      <c r="D884" s="5">
        <v>9.99</v>
      </c>
      <c r="E884" s="3" t="s">
        <v>8405</v>
      </c>
      <c r="F884" s="2" t="s">
        <v>26</v>
      </c>
      <c r="G884" s="6" t="s">
        <v>154</v>
      </c>
      <c r="H884" s="2" t="s">
        <v>1473</v>
      </c>
      <c r="I884" s="2" t="s">
        <v>1426</v>
      </c>
      <c r="J884" s="2" t="s">
        <v>19</v>
      </c>
      <c r="K884" s="2" t="s">
        <v>495</v>
      </c>
      <c r="L884" s="7" t="str">
        <f>HYPERLINK("http://slimages.macys.com/is/image/MCY/11884631 ")</f>
        <v xml:space="preserve">http://slimages.macys.com/is/image/MCY/11884631 </v>
      </c>
    </row>
    <row r="885" spans="1:12" ht="24.75" x14ac:dyDescent="0.25">
      <c r="A885" s="4" t="s">
        <v>8408</v>
      </c>
      <c r="B885" s="2" t="s">
        <v>6986</v>
      </c>
      <c r="C885" s="3">
        <v>1</v>
      </c>
      <c r="D885" s="5">
        <v>9.99</v>
      </c>
      <c r="E885" s="3" t="s">
        <v>6987</v>
      </c>
      <c r="F885" s="2" t="s">
        <v>331</v>
      </c>
      <c r="G885" s="6" t="s">
        <v>156</v>
      </c>
      <c r="H885" s="2" t="s">
        <v>1473</v>
      </c>
      <c r="I885" s="2" t="s">
        <v>1426</v>
      </c>
      <c r="J885" s="2" t="s">
        <v>19</v>
      </c>
      <c r="K885" s="2" t="s">
        <v>495</v>
      </c>
      <c r="L885" s="7" t="str">
        <f>HYPERLINK("http://slimages.macys.com/is/image/MCY/12327069 ")</f>
        <v xml:space="preserve">http://slimages.macys.com/is/image/MCY/12327069 </v>
      </c>
    </row>
    <row r="886" spans="1:12" ht="24.75" x14ac:dyDescent="0.25">
      <c r="A886" s="4" t="s">
        <v>6251</v>
      </c>
      <c r="B886" s="2" t="s">
        <v>6252</v>
      </c>
      <c r="C886" s="3">
        <v>4</v>
      </c>
      <c r="D886" s="5">
        <v>9.99</v>
      </c>
      <c r="E886" s="3" t="s">
        <v>6253</v>
      </c>
      <c r="F886" s="2" t="s">
        <v>413</v>
      </c>
      <c r="G886" s="6" t="s">
        <v>181</v>
      </c>
      <c r="H886" s="2" t="s">
        <v>1473</v>
      </c>
      <c r="I886" s="2" t="s">
        <v>1426</v>
      </c>
      <c r="J886" s="2" t="s">
        <v>19</v>
      </c>
      <c r="K886" s="2" t="s">
        <v>495</v>
      </c>
      <c r="L886" s="7" t="str">
        <f>HYPERLINK("http://slimages.macys.com/is/image/MCY/11517420 ")</f>
        <v xml:space="preserve">http://slimages.macys.com/is/image/MCY/11517420 </v>
      </c>
    </row>
    <row r="887" spans="1:12" ht="24.75" x14ac:dyDescent="0.25">
      <c r="A887" s="4" t="s">
        <v>8409</v>
      </c>
      <c r="B887" s="2" t="s">
        <v>6245</v>
      </c>
      <c r="C887" s="3">
        <v>2</v>
      </c>
      <c r="D887" s="5">
        <v>9.99</v>
      </c>
      <c r="E887" s="3" t="s">
        <v>6246</v>
      </c>
      <c r="F887" s="2" t="s">
        <v>413</v>
      </c>
      <c r="G887" s="6" t="s">
        <v>181</v>
      </c>
      <c r="H887" s="2" t="s">
        <v>1473</v>
      </c>
      <c r="I887" s="2" t="s">
        <v>1426</v>
      </c>
      <c r="J887" s="2" t="s">
        <v>19</v>
      </c>
      <c r="K887" s="2" t="s">
        <v>495</v>
      </c>
      <c r="L887" s="7" t="str">
        <f>HYPERLINK("http://slimages.macys.com/is/image/MCY/11831365 ")</f>
        <v xml:space="preserve">http://slimages.macys.com/is/image/MCY/11831365 </v>
      </c>
    </row>
    <row r="888" spans="1:12" ht="24.75" x14ac:dyDescent="0.25">
      <c r="A888" s="4" t="s">
        <v>7749</v>
      </c>
      <c r="B888" s="2" t="s">
        <v>6252</v>
      </c>
      <c r="C888" s="3">
        <v>1</v>
      </c>
      <c r="D888" s="5">
        <v>9.99</v>
      </c>
      <c r="E888" s="3" t="s">
        <v>6253</v>
      </c>
      <c r="F888" s="2" t="s">
        <v>413</v>
      </c>
      <c r="G888" s="6" t="s">
        <v>234</v>
      </c>
      <c r="H888" s="2" t="s">
        <v>1473</v>
      </c>
      <c r="I888" s="2" t="s">
        <v>1426</v>
      </c>
      <c r="J888" s="2" t="s">
        <v>19</v>
      </c>
      <c r="K888" s="2" t="s">
        <v>495</v>
      </c>
      <c r="L888" s="7" t="str">
        <f>HYPERLINK("http://slimages.macys.com/is/image/MCY/11517420 ")</f>
        <v xml:space="preserve">http://slimages.macys.com/is/image/MCY/11517420 </v>
      </c>
    </row>
    <row r="889" spans="1:12" ht="24.75" x14ac:dyDescent="0.25">
      <c r="A889" s="4" t="s">
        <v>8410</v>
      </c>
      <c r="B889" s="2" t="s">
        <v>6245</v>
      </c>
      <c r="C889" s="3">
        <v>1</v>
      </c>
      <c r="D889" s="5">
        <v>9.99</v>
      </c>
      <c r="E889" s="3" t="s">
        <v>6246</v>
      </c>
      <c r="F889" s="2" t="s">
        <v>413</v>
      </c>
      <c r="G889" s="6" t="s">
        <v>245</v>
      </c>
      <c r="H889" s="2" t="s">
        <v>1473</v>
      </c>
      <c r="I889" s="2" t="s">
        <v>1426</v>
      </c>
      <c r="J889" s="2" t="s">
        <v>19</v>
      </c>
      <c r="K889" s="2" t="s">
        <v>495</v>
      </c>
      <c r="L889" s="7" t="str">
        <f>HYPERLINK("http://slimages.macys.com/is/image/MCY/11831365 ")</f>
        <v xml:space="preserve">http://slimages.macys.com/is/image/MCY/11831365 </v>
      </c>
    </row>
    <row r="890" spans="1:12" ht="24.75" x14ac:dyDescent="0.25">
      <c r="A890" s="4" t="s">
        <v>8411</v>
      </c>
      <c r="B890" s="2" t="s">
        <v>6245</v>
      </c>
      <c r="C890" s="3">
        <v>1</v>
      </c>
      <c r="D890" s="5">
        <v>9.99</v>
      </c>
      <c r="E890" s="3" t="s">
        <v>6246</v>
      </c>
      <c r="F890" s="2" t="s">
        <v>413</v>
      </c>
      <c r="G890" s="6" t="s">
        <v>234</v>
      </c>
      <c r="H890" s="2" t="s">
        <v>1473</v>
      </c>
      <c r="I890" s="2" t="s">
        <v>1426</v>
      </c>
      <c r="J890" s="2" t="s">
        <v>19</v>
      </c>
      <c r="K890" s="2" t="s">
        <v>495</v>
      </c>
      <c r="L890" s="7" t="str">
        <f>HYPERLINK("http://slimages.macys.com/is/image/MCY/11831365 ")</f>
        <v xml:space="preserve">http://slimages.macys.com/is/image/MCY/11831365 </v>
      </c>
    </row>
    <row r="891" spans="1:12" ht="24.75" x14ac:dyDescent="0.25">
      <c r="A891" s="4" t="s">
        <v>5310</v>
      </c>
      <c r="B891" s="2" t="s">
        <v>2083</v>
      </c>
      <c r="C891" s="3">
        <v>1</v>
      </c>
      <c r="D891" s="5">
        <v>9.99</v>
      </c>
      <c r="E891" s="3" t="s">
        <v>3251</v>
      </c>
      <c r="F891" s="2" t="s">
        <v>74</v>
      </c>
      <c r="G891" s="6"/>
      <c r="H891" s="2" t="s">
        <v>1425</v>
      </c>
      <c r="I891" s="2" t="s">
        <v>1426</v>
      </c>
      <c r="J891" s="2" t="s">
        <v>19</v>
      </c>
      <c r="K891" s="2" t="s">
        <v>648</v>
      </c>
      <c r="L891" s="7" t="str">
        <f>HYPERLINK("http://slimages.macys.com/is/image/MCY/12315459 ")</f>
        <v xml:space="preserve">http://slimages.macys.com/is/image/MCY/12315459 </v>
      </c>
    </row>
    <row r="892" spans="1:12" ht="24.75" x14ac:dyDescent="0.25">
      <c r="A892" s="4" t="s">
        <v>2109</v>
      </c>
      <c r="B892" s="2" t="s">
        <v>2110</v>
      </c>
      <c r="C892" s="3">
        <v>1</v>
      </c>
      <c r="D892" s="5">
        <v>9.99</v>
      </c>
      <c r="E892" s="3" t="s">
        <v>2111</v>
      </c>
      <c r="F892" s="2" t="s">
        <v>1322</v>
      </c>
      <c r="G892" s="6" t="s">
        <v>156</v>
      </c>
      <c r="H892" s="2" t="s">
        <v>1473</v>
      </c>
      <c r="I892" s="2" t="s">
        <v>1426</v>
      </c>
      <c r="J892" s="2" t="s">
        <v>19</v>
      </c>
      <c r="K892" s="2" t="s">
        <v>648</v>
      </c>
      <c r="L892" s="7" t="str">
        <f>HYPERLINK("http://slimages.macys.com/is/image/MCY/10746456 ")</f>
        <v xml:space="preserve">http://slimages.macys.com/is/image/MCY/10746456 </v>
      </c>
    </row>
    <row r="893" spans="1:12" ht="24.75" x14ac:dyDescent="0.25">
      <c r="A893" s="4" t="s">
        <v>8412</v>
      </c>
      <c r="B893" s="2" t="s">
        <v>2100</v>
      </c>
      <c r="C893" s="3">
        <v>3</v>
      </c>
      <c r="D893" s="5">
        <v>9.99</v>
      </c>
      <c r="E893" s="3" t="s">
        <v>2101</v>
      </c>
      <c r="F893" s="2" t="s">
        <v>26</v>
      </c>
      <c r="G893" s="6" t="s">
        <v>181</v>
      </c>
      <c r="H893" s="2" t="s">
        <v>1473</v>
      </c>
      <c r="I893" s="2" t="s">
        <v>1426</v>
      </c>
      <c r="J893" s="2" t="s">
        <v>19</v>
      </c>
      <c r="K893" s="2" t="s">
        <v>495</v>
      </c>
      <c r="L893" s="7" t="str">
        <f>HYPERLINK("http://slimages.macys.com/is/image/MCY/11774903 ")</f>
        <v xml:space="preserve">http://slimages.macys.com/is/image/MCY/11774903 </v>
      </c>
    </row>
    <row r="894" spans="1:12" ht="24.75" x14ac:dyDescent="0.25">
      <c r="A894" s="4" t="s">
        <v>2099</v>
      </c>
      <c r="B894" s="2" t="s">
        <v>2100</v>
      </c>
      <c r="C894" s="3">
        <v>3</v>
      </c>
      <c r="D894" s="5">
        <v>9.99</v>
      </c>
      <c r="E894" s="3" t="s">
        <v>2101</v>
      </c>
      <c r="F894" s="2" t="s">
        <v>26</v>
      </c>
      <c r="G894" s="6" t="s">
        <v>234</v>
      </c>
      <c r="H894" s="2" t="s">
        <v>1473</v>
      </c>
      <c r="I894" s="2" t="s">
        <v>1426</v>
      </c>
      <c r="J894" s="2" t="s">
        <v>19</v>
      </c>
      <c r="K894" s="2" t="s">
        <v>495</v>
      </c>
      <c r="L894" s="7" t="str">
        <f>HYPERLINK("http://slimages.macys.com/is/image/MCY/11774903 ")</f>
        <v xml:space="preserve">http://slimages.macys.com/is/image/MCY/11774903 </v>
      </c>
    </row>
    <row r="895" spans="1:12" ht="24.75" x14ac:dyDescent="0.25">
      <c r="A895" s="4" t="s">
        <v>8413</v>
      </c>
      <c r="B895" s="2" t="s">
        <v>2100</v>
      </c>
      <c r="C895" s="3">
        <v>2</v>
      </c>
      <c r="D895" s="5">
        <v>9.99</v>
      </c>
      <c r="E895" s="3" t="s">
        <v>2101</v>
      </c>
      <c r="F895" s="2" t="s">
        <v>26</v>
      </c>
      <c r="G895" s="6" t="s">
        <v>156</v>
      </c>
      <c r="H895" s="2" t="s">
        <v>1473</v>
      </c>
      <c r="I895" s="2" t="s">
        <v>1426</v>
      </c>
      <c r="J895" s="2" t="s">
        <v>19</v>
      </c>
      <c r="K895" s="2" t="s">
        <v>495</v>
      </c>
      <c r="L895" s="7" t="str">
        <f>HYPERLINK("http://slimages.macys.com/is/image/MCY/11774903 ")</f>
        <v xml:space="preserve">http://slimages.macys.com/is/image/MCY/11774903 </v>
      </c>
    </row>
    <row r="896" spans="1:12" ht="24.75" x14ac:dyDescent="0.25">
      <c r="A896" s="4" t="s">
        <v>8414</v>
      </c>
      <c r="B896" s="2" t="s">
        <v>2100</v>
      </c>
      <c r="C896" s="3">
        <v>1</v>
      </c>
      <c r="D896" s="5">
        <v>9.99</v>
      </c>
      <c r="E896" s="3" t="s">
        <v>2101</v>
      </c>
      <c r="F896" s="2" t="s">
        <v>26</v>
      </c>
      <c r="G896" s="6" t="s">
        <v>245</v>
      </c>
      <c r="H896" s="2" t="s">
        <v>1473</v>
      </c>
      <c r="I896" s="2" t="s">
        <v>1426</v>
      </c>
      <c r="J896" s="2" t="s">
        <v>19</v>
      </c>
      <c r="K896" s="2" t="s">
        <v>495</v>
      </c>
      <c r="L896" s="7" t="str">
        <f>HYPERLINK("http://slimages.macys.com/is/image/MCY/11774903 ")</f>
        <v xml:space="preserve">http://slimages.macys.com/is/image/MCY/11774903 </v>
      </c>
    </row>
    <row r="897" spans="1:12" ht="24.75" x14ac:dyDescent="0.25">
      <c r="A897" s="4" t="s">
        <v>8415</v>
      </c>
      <c r="B897" s="2" t="s">
        <v>2093</v>
      </c>
      <c r="C897" s="3">
        <v>1</v>
      </c>
      <c r="D897" s="5">
        <v>9.99</v>
      </c>
      <c r="E897" s="3" t="s">
        <v>2094</v>
      </c>
      <c r="F897" s="2" t="s">
        <v>74</v>
      </c>
      <c r="G897" s="6" t="s">
        <v>245</v>
      </c>
      <c r="H897" s="2" t="s">
        <v>1473</v>
      </c>
      <c r="I897" s="2" t="s">
        <v>1426</v>
      </c>
      <c r="J897" s="2" t="s">
        <v>19</v>
      </c>
      <c r="K897" s="2" t="s">
        <v>495</v>
      </c>
      <c r="L897" s="7" t="str">
        <f>HYPERLINK("http://slimages.macys.com/is/image/MCY/10464865 ")</f>
        <v xml:space="preserve">http://slimages.macys.com/is/image/MCY/10464865 </v>
      </c>
    </row>
    <row r="898" spans="1:12" ht="24.75" x14ac:dyDescent="0.25">
      <c r="A898" s="4" t="s">
        <v>8416</v>
      </c>
      <c r="B898" s="2" t="s">
        <v>2100</v>
      </c>
      <c r="C898" s="3">
        <v>3</v>
      </c>
      <c r="D898" s="5">
        <v>9.99</v>
      </c>
      <c r="E898" s="3" t="s">
        <v>2101</v>
      </c>
      <c r="F898" s="2" t="s">
        <v>26</v>
      </c>
      <c r="G898" s="6" t="s">
        <v>154</v>
      </c>
      <c r="H898" s="2" t="s">
        <v>1473</v>
      </c>
      <c r="I898" s="2" t="s">
        <v>1426</v>
      </c>
      <c r="J898" s="2" t="s">
        <v>19</v>
      </c>
      <c r="K898" s="2" t="s">
        <v>495</v>
      </c>
      <c r="L898" s="7" t="str">
        <f>HYPERLINK("http://slimages.macys.com/is/image/MCY/11774903 ")</f>
        <v xml:space="preserve">http://slimages.macys.com/is/image/MCY/11774903 </v>
      </c>
    </row>
    <row r="899" spans="1:12" ht="24.75" x14ac:dyDescent="0.25">
      <c r="A899" s="4" t="s">
        <v>8417</v>
      </c>
      <c r="B899" s="2" t="s">
        <v>2103</v>
      </c>
      <c r="C899" s="3">
        <v>1</v>
      </c>
      <c r="D899" s="5">
        <v>9.99</v>
      </c>
      <c r="E899" s="3" t="s">
        <v>2104</v>
      </c>
      <c r="F899" s="2" t="s">
        <v>38</v>
      </c>
      <c r="G899" s="6" t="s">
        <v>154</v>
      </c>
      <c r="H899" s="2" t="s">
        <v>1473</v>
      </c>
      <c r="I899" s="2" t="s">
        <v>1426</v>
      </c>
      <c r="J899" s="2" t="s">
        <v>19</v>
      </c>
      <c r="K899" s="2" t="s">
        <v>495</v>
      </c>
      <c r="L899" s="7" t="str">
        <f>HYPERLINK("http://slimages.macys.com/is/image/MCY/10746425 ")</f>
        <v xml:space="preserve">http://slimages.macys.com/is/image/MCY/10746425 </v>
      </c>
    </row>
    <row r="900" spans="1:12" ht="24.75" x14ac:dyDescent="0.25">
      <c r="A900" s="4" t="s">
        <v>8418</v>
      </c>
      <c r="B900" s="2" t="s">
        <v>4360</v>
      </c>
      <c r="C900" s="3">
        <v>1</v>
      </c>
      <c r="D900" s="5">
        <v>9.99</v>
      </c>
      <c r="E900" s="3" t="s">
        <v>4361</v>
      </c>
      <c r="F900" s="2" t="s">
        <v>15</v>
      </c>
      <c r="G900" s="6" t="s">
        <v>187</v>
      </c>
      <c r="H900" s="2" t="s">
        <v>1425</v>
      </c>
      <c r="I900" s="2" t="s">
        <v>1426</v>
      </c>
      <c r="J900" s="2" t="s">
        <v>19</v>
      </c>
      <c r="K900" s="2" t="s">
        <v>495</v>
      </c>
      <c r="L900" s="7" t="str">
        <f>HYPERLINK("http://slimages.macys.com/is/image/MCY/12269183 ")</f>
        <v xml:space="preserve">http://slimages.macys.com/is/image/MCY/12269183 </v>
      </c>
    </row>
    <row r="901" spans="1:12" ht="24.75" x14ac:dyDescent="0.25">
      <c r="A901" s="4" t="s">
        <v>5314</v>
      </c>
      <c r="B901" s="2" t="s">
        <v>4360</v>
      </c>
      <c r="C901" s="3">
        <v>1</v>
      </c>
      <c r="D901" s="5">
        <v>9.99</v>
      </c>
      <c r="E901" s="3" t="s">
        <v>4361</v>
      </c>
      <c r="F901" s="2" t="s">
        <v>15</v>
      </c>
      <c r="G901" s="6" t="s">
        <v>219</v>
      </c>
      <c r="H901" s="2" t="s">
        <v>1425</v>
      </c>
      <c r="I901" s="2" t="s">
        <v>1426</v>
      </c>
      <c r="J901" s="2" t="s">
        <v>19</v>
      </c>
      <c r="K901" s="2" t="s">
        <v>495</v>
      </c>
      <c r="L901" s="7" t="str">
        <f>HYPERLINK("http://slimages.macys.com/is/image/MCY/12269183 ")</f>
        <v xml:space="preserve">http://slimages.macys.com/is/image/MCY/12269183 </v>
      </c>
    </row>
    <row r="902" spans="1:12" ht="24.75" x14ac:dyDescent="0.25">
      <c r="A902" s="4" t="s">
        <v>6996</v>
      </c>
      <c r="B902" s="2" t="s">
        <v>2103</v>
      </c>
      <c r="C902" s="3">
        <v>2</v>
      </c>
      <c r="D902" s="5">
        <v>9.99</v>
      </c>
      <c r="E902" s="3" t="s">
        <v>2104</v>
      </c>
      <c r="F902" s="2" t="s">
        <v>38</v>
      </c>
      <c r="G902" s="6" t="s">
        <v>181</v>
      </c>
      <c r="H902" s="2" t="s">
        <v>1473</v>
      </c>
      <c r="I902" s="2" t="s">
        <v>1426</v>
      </c>
      <c r="J902" s="2" t="s">
        <v>19</v>
      </c>
      <c r="K902" s="2" t="s">
        <v>495</v>
      </c>
      <c r="L902" s="7" t="str">
        <f>HYPERLINK("http://slimages.macys.com/is/image/MCY/10746425 ")</f>
        <v xml:space="preserve">http://slimages.macys.com/is/image/MCY/10746425 </v>
      </c>
    </row>
    <row r="903" spans="1:12" ht="24.75" x14ac:dyDescent="0.25">
      <c r="A903" s="4" t="s">
        <v>8419</v>
      </c>
      <c r="B903" s="2" t="s">
        <v>8420</v>
      </c>
      <c r="C903" s="3">
        <v>1</v>
      </c>
      <c r="D903" s="5">
        <v>9.99</v>
      </c>
      <c r="E903" s="3" t="s">
        <v>8421</v>
      </c>
      <c r="F903" s="2" t="s">
        <v>1322</v>
      </c>
      <c r="G903" s="6" t="s">
        <v>181</v>
      </c>
      <c r="H903" s="2" t="s">
        <v>1473</v>
      </c>
      <c r="I903" s="2" t="s">
        <v>1426</v>
      </c>
      <c r="J903" s="2" t="s">
        <v>19</v>
      </c>
      <c r="K903" s="2" t="s">
        <v>495</v>
      </c>
      <c r="L903" s="7" t="str">
        <f>HYPERLINK("http://slimages.macys.com/is/image/MCY/10746178 ")</f>
        <v xml:space="preserve">http://slimages.macys.com/is/image/MCY/10746178 </v>
      </c>
    </row>
    <row r="904" spans="1:12" ht="24.75" x14ac:dyDescent="0.25">
      <c r="A904" s="4" t="s">
        <v>5326</v>
      </c>
      <c r="B904" s="2" t="s">
        <v>3265</v>
      </c>
      <c r="C904" s="3">
        <v>5</v>
      </c>
      <c r="D904" s="5">
        <v>9.99</v>
      </c>
      <c r="E904" s="3" t="s">
        <v>3266</v>
      </c>
      <c r="F904" s="2" t="s">
        <v>3267</v>
      </c>
      <c r="G904" s="6" t="s">
        <v>181</v>
      </c>
      <c r="H904" s="2" t="s">
        <v>1473</v>
      </c>
      <c r="I904" s="2" t="s">
        <v>1426</v>
      </c>
      <c r="J904" s="2" t="s">
        <v>19</v>
      </c>
      <c r="K904" s="2" t="s">
        <v>495</v>
      </c>
      <c r="L904" s="7" t="str">
        <f>HYPERLINK("http://slimages.macys.com/is/image/MCY/11532809 ")</f>
        <v xml:space="preserve">http://slimages.macys.com/is/image/MCY/11532809 </v>
      </c>
    </row>
    <row r="905" spans="1:12" ht="24.75" x14ac:dyDescent="0.25">
      <c r="A905" s="4" t="s">
        <v>7008</v>
      </c>
      <c r="B905" s="2" t="s">
        <v>3265</v>
      </c>
      <c r="C905" s="3">
        <v>1</v>
      </c>
      <c r="D905" s="5">
        <v>9.99</v>
      </c>
      <c r="E905" s="3" t="s">
        <v>7009</v>
      </c>
      <c r="F905" s="2" t="s">
        <v>33</v>
      </c>
      <c r="G905" s="6" t="s">
        <v>187</v>
      </c>
      <c r="H905" s="2" t="s">
        <v>1425</v>
      </c>
      <c r="I905" s="2" t="s">
        <v>1426</v>
      </c>
      <c r="J905" s="2" t="s">
        <v>19</v>
      </c>
      <c r="K905" s="2" t="s">
        <v>495</v>
      </c>
      <c r="L905" s="7" t="str">
        <f>HYPERLINK("http://slimages.macys.com/is/image/MCY/11532809 ")</f>
        <v xml:space="preserve">http://slimages.macys.com/is/image/MCY/11532809 </v>
      </c>
    </row>
    <row r="906" spans="1:12" ht="24.75" x14ac:dyDescent="0.25">
      <c r="A906" s="4" t="s">
        <v>8422</v>
      </c>
      <c r="B906" s="2" t="s">
        <v>2072</v>
      </c>
      <c r="C906" s="3">
        <v>1</v>
      </c>
      <c r="D906" s="5">
        <v>9.99</v>
      </c>
      <c r="E906" s="3" t="s">
        <v>6956</v>
      </c>
      <c r="F906" s="2" t="s">
        <v>413</v>
      </c>
      <c r="G906" s="6" t="s">
        <v>234</v>
      </c>
      <c r="H906" s="2" t="s">
        <v>1473</v>
      </c>
      <c r="I906" s="2" t="s">
        <v>1426</v>
      </c>
      <c r="J906" s="2" t="s">
        <v>19</v>
      </c>
      <c r="K906" s="2" t="s">
        <v>648</v>
      </c>
      <c r="L906" s="7" t="str">
        <f>HYPERLINK("http://slimages.macys.com/is/image/MCY/10741447 ")</f>
        <v xml:space="preserve">http://slimages.macys.com/is/image/MCY/10741447 </v>
      </c>
    </row>
    <row r="907" spans="1:12" ht="24.75" x14ac:dyDescent="0.25">
      <c r="A907" s="4" t="s">
        <v>6955</v>
      </c>
      <c r="B907" s="2" t="s">
        <v>2072</v>
      </c>
      <c r="C907" s="3">
        <v>2</v>
      </c>
      <c r="D907" s="5">
        <v>9.99</v>
      </c>
      <c r="E907" s="3" t="s">
        <v>6956</v>
      </c>
      <c r="F907" s="2" t="s">
        <v>413</v>
      </c>
      <c r="G907" s="6" t="s">
        <v>156</v>
      </c>
      <c r="H907" s="2" t="s">
        <v>1473</v>
      </c>
      <c r="I907" s="2" t="s">
        <v>1426</v>
      </c>
      <c r="J907" s="2" t="s">
        <v>19</v>
      </c>
      <c r="K907" s="2" t="s">
        <v>648</v>
      </c>
      <c r="L907" s="7" t="str">
        <f>HYPERLINK("http://slimages.macys.com/is/image/MCY/10741447 ")</f>
        <v xml:space="preserve">http://slimages.macys.com/is/image/MCY/10741447 </v>
      </c>
    </row>
    <row r="908" spans="1:12" ht="24.75" x14ac:dyDescent="0.25">
      <c r="A908" s="4" t="s">
        <v>8423</v>
      </c>
      <c r="B908" s="2" t="s">
        <v>2113</v>
      </c>
      <c r="C908" s="3">
        <v>1</v>
      </c>
      <c r="D908" s="5">
        <v>9.99</v>
      </c>
      <c r="E908" s="3" t="s">
        <v>2114</v>
      </c>
      <c r="F908" s="2" t="s">
        <v>74</v>
      </c>
      <c r="G908" s="6"/>
      <c r="H908" s="2" t="s">
        <v>1425</v>
      </c>
      <c r="I908" s="2" t="s">
        <v>1426</v>
      </c>
      <c r="J908" s="2" t="s">
        <v>19</v>
      </c>
      <c r="K908" s="2" t="s">
        <v>648</v>
      </c>
      <c r="L908" s="7" t="str">
        <f>HYPERLINK("http://slimages.macys.com/is/image/MCY/10703601 ")</f>
        <v xml:space="preserve">http://slimages.macys.com/is/image/MCY/10703601 </v>
      </c>
    </row>
    <row r="909" spans="1:12" ht="24.75" x14ac:dyDescent="0.25">
      <c r="A909" s="4" t="s">
        <v>8424</v>
      </c>
      <c r="B909" s="2" t="s">
        <v>2083</v>
      </c>
      <c r="C909" s="3">
        <v>3</v>
      </c>
      <c r="D909" s="5">
        <v>9.99</v>
      </c>
      <c r="E909" s="3" t="s">
        <v>2084</v>
      </c>
      <c r="F909" s="2" t="s">
        <v>74</v>
      </c>
      <c r="G909" s="6" t="s">
        <v>245</v>
      </c>
      <c r="H909" s="2" t="s">
        <v>1473</v>
      </c>
      <c r="I909" s="2" t="s">
        <v>1426</v>
      </c>
      <c r="J909" s="2" t="s">
        <v>19</v>
      </c>
      <c r="K909" s="2" t="s">
        <v>648</v>
      </c>
      <c r="L909" s="7" t="str">
        <f>HYPERLINK("http://slimages.macys.com/is/image/MCY/10703349 ")</f>
        <v xml:space="preserve">http://slimages.macys.com/is/image/MCY/10703349 </v>
      </c>
    </row>
    <row r="910" spans="1:12" ht="24.75" x14ac:dyDescent="0.25">
      <c r="A910" s="4" t="s">
        <v>8425</v>
      </c>
      <c r="B910" s="2" t="s">
        <v>2083</v>
      </c>
      <c r="C910" s="3">
        <v>1</v>
      </c>
      <c r="D910" s="5">
        <v>9.99</v>
      </c>
      <c r="E910" s="3" t="s">
        <v>2084</v>
      </c>
      <c r="F910" s="2" t="s">
        <v>1322</v>
      </c>
      <c r="G910" s="6" t="s">
        <v>181</v>
      </c>
      <c r="H910" s="2" t="s">
        <v>1473</v>
      </c>
      <c r="I910" s="2" t="s">
        <v>1426</v>
      </c>
      <c r="J910" s="2" t="s">
        <v>19</v>
      </c>
      <c r="K910" s="2" t="s">
        <v>648</v>
      </c>
      <c r="L910" s="7" t="str">
        <f>HYPERLINK("http://slimages.macys.com/is/image/MCY/10703349 ")</f>
        <v xml:space="preserve">http://slimages.macys.com/is/image/MCY/10703349 </v>
      </c>
    </row>
    <row r="911" spans="1:12" ht="24.75" x14ac:dyDescent="0.25">
      <c r="A911" s="4" t="s">
        <v>3249</v>
      </c>
      <c r="B911" s="2" t="s">
        <v>2083</v>
      </c>
      <c r="C911" s="3">
        <v>1</v>
      </c>
      <c r="D911" s="5">
        <v>9.99</v>
      </c>
      <c r="E911" s="3" t="s">
        <v>2084</v>
      </c>
      <c r="F911" s="2" t="s">
        <v>417</v>
      </c>
      <c r="G911" s="6" t="s">
        <v>154</v>
      </c>
      <c r="H911" s="2" t="s">
        <v>1473</v>
      </c>
      <c r="I911" s="2" t="s">
        <v>1426</v>
      </c>
      <c r="J911" s="2" t="s">
        <v>19</v>
      </c>
      <c r="K911" s="2" t="s">
        <v>648</v>
      </c>
      <c r="L911" s="7" t="str">
        <f>HYPERLINK("http://slimages.macys.com/is/image/MCY/10703349 ")</f>
        <v xml:space="preserve">http://slimages.macys.com/is/image/MCY/10703349 </v>
      </c>
    </row>
    <row r="912" spans="1:12" ht="24.75" x14ac:dyDescent="0.25">
      <c r="A912" s="4" t="s">
        <v>5298</v>
      </c>
      <c r="B912" s="2" t="s">
        <v>2083</v>
      </c>
      <c r="C912" s="3">
        <v>1</v>
      </c>
      <c r="D912" s="5">
        <v>9.99</v>
      </c>
      <c r="E912" s="3" t="s">
        <v>2084</v>
      </c>
      <c r="F912" s="2" t="s">
        <v>74</v>
      </c>
      <c r="G912" s="6" t="s">
        <v>154</v>
      </c>
      <c r="H912" s="2" t="s">
        <v>1473</v>
      </c>
      <c r="I912" s="2" t="s">
        <v>1426</v>
      </c>
      <c r="J912" s="2" t="s">
        <v>19</v>
      </c>
      <c r="K912" s="2" t="s">
        <v>648</v>
      </c>
      <c r="L912" s="7" t="str">
        <f>HYPERLINK("http://slimages.macys.com/is/image/MCY/10703349 ")</f>
        <v xml:space="preserve">http://slimages.macys.com/is/image/MCY/10703349 </v>
      </c>
    </row>
    <row r="913" spans="1:12" ht="24.75" x14ac:dyDescent="0.25">
      <c r="A913" s="4" t="s">
        <v>8426</v>
      </c>
      <c r="B913" s="2" t="s">
        <v>757</v>
      </c>
      <c r="C913" s="3">
        <v>1</v>
      </c>
      <c r="D913" s="5">
        <v>37.130000000000003</v>
      </c>
      <c r="E913" s="3" t="s">
        <v>6265</v>
      </c>
      <c r="F913" s="2" t="s">
        <v>26</v>
      </c>
      <c r="G913" s="6"/>
      <c r="H913" s="2" t="s">
        <v>312</v>
      </c>
      <c r="I913" s="2" t="s">
        <v>503</v>
      </c>
      <c r="J913" s="2"/>
      <c r="K913" s="2"/>
      <c r="L913" s="7"/>
    </row>
    <row r="914" spans="1:12" ht="24.75" x14ac:dyDescent="0.25">
      <c r="A914" s="4" t="s">
        <v>8427</v>
      </c>
      <c r="B914" s="2" t="s">
        <v>2120</v>
      </c>
      <c r="C914" s="3">
        <v>2</v>
      </c>
      <c r="D914" s="5">
        <v>40.5</v>
      </c>
      <c r="E914" s="3">
        <v>100067921</v>
      </c>
      <c r="F914" s="2" t="s">
        <v>74</v>
      </c>
      <c r="G914" s="6" t="s">
        <v>141</v>
      </c>
      <c r="H914" s="2" t="s">
        <v>228</v>
      </c>
      <c r="I914" s="2" t="s">
        <v>229</v>
      </c>
      <c r="J914" s="2"/>
      <c r="K914" s="2"/>
      <c r="L914" s="7"/>
    </row>
    <row r="915" spans="1:12" ht="24.75" x14ac:dyDescent="0.25">
      <c r="A915" s="4" t="s">
        <v>2119</v>
      </c>
      <c r="B915" s="2" t="s">
        <v>2120</v>
      </c>
      <c r="C915" s="3">
        <v>3</v>
      </c>
      <c r="D915" s="5">
        <v>40.5</v>
      </c>
      <c r="E915" s="3">
        <v>100067921</v>
      </c>
      <c r="F915" s="2" t="s">
        <v>74</v>
      </c>
      <c r="G915" s="6" t="s">
        <v>65</v>
      </c>
      <c r="H915" s="2" t="s">
        <v>228</v>
      </c>
      <c r="I915" s="2" t="s">
        <v>229</v>
      </c>
      <c r="J915" s="2"/>
      <c r="K915" s="2"/>
      <c r="L915" s="7"/>
    </row>
    <row r="916" spans="1:12" ht="24.75" x14ac:dyDescent="0.25">
      <c r="A916" s="4" t="s">
        <v>4365</v>
      </c>
      <c r="B916" s="2" t="s">
        <v>2120</v>
      </c>
      <c r="C916" s="3">
        <v>1</v>
      </c>
      <c r="D916" s="5">
        <v>40.5</v>
      </c>
      <c r="E916" s="3">
        <v>100067921</v>
      </c>
      <c r="F916" s="2" t="s">
        <v>74</v>
      </c>
      <c r="G916" s="6" t="s">
        <v>27</v>
      </c>
      <c r="H916" s="2" t="s">
        <v>228</v>
      </c>
      <c r="I916" s="2" t="s">
        <v>229</v>
      </c>
      <c r="J916" s="2"/>
      <c r="K916" s="2"/>
      <c r="L916" s="7"/>
    </row>
    <row r="917" spans="1:12" ht="24.75" x14ac:dyDescent="0.25">
      <c r="A917" s="4" t="s">
        <v>8428</v>
      </c>
      <c r="B917" s="2" t="s">
        <v>2120</v>
      </c>
      <c r="C917" s="3">
        <v>1</v>
      </c>
      <c r="D917" s="5">
        <v>40.5</v>
      </c>
      <c r="E917" s="3">
        <v>100067921</v>
      </c>
      <c r="F917" s="2" t="s">
        <v>74</v>
      </c>
      <c r="G917" s="6" t="s">
        <v>106</v>
      </c>
      <c r="H917" s="2" t="s">
        <v>228</v>
      </c>
      <c r="I917" s="2" t="s">
        <v>229</v>
      </c>
      <c r="J917" s="2"/>
      <c r="K917" s="2"/>
      <c r="L917" s="7"/>
    </row>
    <row r="918" spans="1:12" ht="24.75" x14ac:dyDescent="0.25">
      <c r="A918" s="4" t="s">
        <v>8429</v>
      </c>
      <c r="B918" s="2" t="s">
        <v>2116</v>
      </c>
      <c r="C918" s="3">
        <v>1</v>
      </c>
      <c r="D918" s="5">
        <v>37.130000000000003</v>
      </c>
      <c r="E918" s="3" t="s">
        <v>2117</v>
      </c>
      <c r="F918" s="2" t="s">
        <v>572</v>
      </c>
      <c r="G918" s="6" t="s">
        <v>22</v>
      </c>
      <c r="H918" s="2" t="s">
        <v>246</v>
      </c>
      <c r="I918" s="2" t="s">
        <v>487</v>
      </c>
      <c r="J918" s="2"/>
      <c r="K918" s="2"/>
      <c r="L918" s="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1"/>
  <sheetViews>
    <sheetView workbookViewId="0">
      <selection sqref="A1:XFD1048576"/>
    </sheetView>
  </sheetViews>
  <sheetFormatPr defaultRowHeight="15" x14ac:dyDescent="0.25"/>
  <cols>
    <col min="1" max="1" width="14.28515625" customWidth="1"/>
    <col min="2" max="2" width="22.28515625" customWidth="1"/>
    <col min="3" max="4" width="15" customWidth="1"/>
    <col min="5" max="5" width="12" customWidth="1"/>
    <col min="6" max="7" width="11.42578125" customWidth="1"/>
    <col min="8" max="8" width="12.140625" customWidth="1"/>
    <col min="9" max="9" width="36.5703125" bestFit="1" customWidth="1"/>
    <col min="10" max="11" width="20.7109375" customWidth="1"/>
    <col min="12" max="12" width="64.28515625" customWidth="1"/>
  </cols>
  <sheetData>
    <row r="1" spans="1:12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24.75" x14ac:dyDescent="0.25">
      <c r="A2" s="4" t="s">
        <v>8430</v>
      </c>
      <c r="B2" s="2" t="s">
        <v>8431</v>
      </c>
      <c r="C2" s="3">
        <v>1</v>
      </c>
      <c r="D2" s="5">
        <v>168</v>
      </c>
      <c r="E2" s="3" t="s">
        <v>8432</v>
      </c>
      <c r="F2" s="2" t="s">
        <v>26</v>
      </c>
      <c r="G2" s="6" t="s">
        <v>16</v>
      </c>
      <c r="H2" s="2" t="s">
        <v>17</v>
      </c>
      <c r="I2" s="2" t="s">
        <v>18</v>
      </c>
      <c r="J2" s="2" t="s">
        <v>19</v>
      </c>
      <c r="K2" s="2" t="s">
        <v>258</v>
      </c>
      <c r="L2" s="7" t="str">
        <f>HYPERLINK("http://slimages.macys.com/is/image/MCY/12877432 ")</f>
        <v xml:space="preserve">http://slimages.macys.com/is/image/MCY/12877432 </v>
      </c>
    </row>
    <row r="3" spans="1:12" ht="24.75" x14ac:dyDescent="0.25">
      <c r="A3" s="4" t="s">
        <v>8433</v>
      </c>
      <c r="B3" s="2" t="s">
        <v>8434</v>
      </c>
      <c r="C3" s="3">
        <v>1</v>
      </c>
      <c r="D3" s="5">
        <v>139</v>
      </c>
      <c r="E3" s="3">
        <v>10716448</v>
      </c>
      <c r="F3" s="2" t="s">
        <v>998</v>
      </c>
      <c r="G3" s="6" t="s">
        <v>234</v>
      </c>
      <c r="H3" s="2" t="s">
        <v>2154</v>
      </c>
      <c r="I3" s="2" t="s">
        <v>2155</v>
      </c>
      <c r="J3" s="2" t="s">
        <v>19</v>
      </c>
      <c r="K3" s="2" t="s">
        <v>34</v>
      </c>
      <c r="L3" s="7" t="str">
        <f>HYPERLINK("http://slimages.macys.com/is/image/MCY/11625286 ")</f>
        <v xml:space="preserve">http://slimages.macys.com/is/image/MCY/11625286 </v>
      </c>
    </row>
    <row r="4" spans="1:12" ht="36.75" x14ac:dyDescent="0.25">
      <c r="A4" s="4" t="s">
        <v>45</v>
      </c>
      <c r="B4" s="2" t="s">
        <v>46</v>
      </c>
      <c r="C4" s="3">
        <v>1</v>
      </c>
      <c r="D4" s="5">
        <v>158</v>
      </c>
      <c r="E4" s="3" t="s">
        <v>47</v>
      </c>
      <c r="F4" s="2" t="s">
        <v>48</v>
      </c>
      <c r="G4" s="6" t="s">
        <v>22</v>
      </c>
      <c r="H4" s="2" t="s">
        <v>17</v>
      </c>
      <c r="I4" s="2" t="s">
        <v>40</v>
      </c>
      <c r="J4" s="2" t="s">
        <v>19</v>
      </c>
      <c r="K4" s="2" t="s">
        <v>49</v>
      </c>
      <c r="L4" s="7" t="str">
        <f>HYPERLINK("http://slimages.macys.com/is/image/MCY/11948396 ")</f>
        <v xml:space="preserve">http://slimages.macys.com/is/image/MCY/11948396 </v>
      </c>
    </row>
    <row r="5" spans="1:12" ht="36.75" x14ac:dyDescent="0.25">
      <c r="A5" s="4" t="s">
        <v>3286</v>
      </c>
      <c r="B5" s="2" t="s">
        <v>3287</v>
      </c>
      <c r="C5" s="3">
        <v>1</v>
      </c>
      <c r="D5" s="5">
        <v>139</v>
      </c>
      <c r="E5" s="3" t="s">
        <v>3288</v>
      </c>
      <c r="F5" s="2" t="s">
        <v>136</v>
      </c>
      <c r="G5" s="6" t="s">
        <v>16</v>
      </c>
      <c r="H5" s="2" t="s">
        <v>95</v>
      </c>
      <c r="I5" s="2" t="s">
        <v>96</v>
      </c>
      <c r="J5" s="2" t="s">
        <v>19</v>
      </c>
      <c r="K5" s="2" t="s">
        <v>3296</v>
      </c>
      <c r="L5" s="7" t="str">
        <f>HYPERLINK("http://slimages.macys.com/is/image/MCY/12746908 ")</f>
        <v xml:space="preserve">http://slimages.macys.com/is/image/MCY/12746908 </v>
      </c>
    </row>
    <row r="6" spans="1:12" ht="36.75" x14ac:dyDescent="0.25">
      <c r="A6" s="4" t="s">
        <v>8435</v>
      </c>
      <c r="B6" s="2" t="s">
        <v>3287</v>
      </c>
      <c r="C6" s="3">
        <v>1</v>
      </c>
      <c r="D6" s="5">
        <v>139</v>
      </c>
      <c r="E6" s="3" t="s">
        <v>3288</v>
      </c>
      <c r="F6" s="2" t="s">
        <v>136</v>
      </c>
      <c r="G6" s="6" t="s">
        <v>58</v>
      </c>
      <c r="H6" s="2" t="s">
        <v>95</v>
      </c>
      <c r="I6" s="2" t="s">
        <v>96</v>
      </c>
      <c r="J6" s="2" t="s">
        <v>19</v>
      </c>
      <c r="K6" s="2" t="s">
        <v>3296</v>
      </c>
      <c r="L6" s="7" t="str">
        <f>HYPERLINK("http://slimages.macys.com/is/image/MCY/12746908 ")</f>
        <v xml:space="preserve">http://slimages.macys.com/is/image/MCY/12746908 </v>
      </c>
    </row>
    <row r="7" spans="1:12" ht="24.75" x14ac:dyDescent="0.25">
      <c r="A7" s="4" t="s">
        <v>8436</v>
      </c>
      <c r="B7" s="2" t="s">
        <v>62</v>
      </c>
      <c r="C7" s="3">
        <v>1</v>
      </c>
      <c r="D7" s="5">
        <v>148</v>
      </c>
      <c r="E7" s="3" t="s">
        <v>63</v>
      </c>
      <c r="F7" s="2" t="s">
        <v>64</v>
      </c>
      <c r="G7" s="6" t="s">
        <v>27</v>
      </c>
      <c r="H7" s="2" t="s">
        <v>17</v>
      </c>
      <c r="I7" s="2" t="s">
        <v>40</v>
      </c>
      <c r="J7" s="2" t="s">
        <v>19</v>
      </c>
      <c r="K7" s="2" t="s">
        <v>66</v>
      </c>
      <c r="L7" s="7" t="str">
        <f>HYPERLINK("http://slimages.macys.com/is/image/MCY/11454515 ")</f>
        <v xml:space="preserve">http://slimages.macys.com/is/image/MCY/11454515 </v>
      </c>
    </row>
    <row r="8" spans="1:12" ht="24.75" x14ac:dyDescent="0.25">
      <c r="A8" s="4" t="s">
        <v>3297</v>
      </c>
      <c r="B8" s="2" t="s">
        <v>104</v>
      </c>
      <c r="C8" s="3">
        <v>1</v>
      </c>
      <c r="D8" s="5">
        <v>119</v>
      </c>
      <c r="E8" s="3" t="s">
        <v>105</v>
      </c>
      <c r="F8" s="2" t="s">
        <v>26</v>
      </c>
      <c r="G8" s="6" t="s">
        <v>27</v>
      </c>
      <c r="H8" s="2" t="s">
        <v>17</v>
      </c>
      <c r="I8" s="2" t="s">
        <v>18</v>
      </c>
      <c r="J8" s="2" t="s">
        <v>19</v>
      </c>
      <c r="K8" s="2" t="s">
        <v>107</v>
      </c>
      <c r="L8" s="7" t="str">
        <f>HYPERLINK("http://slimages.macys.com/is/image/MCY/12326948 ")</f>
        <v xml:space="preserve">http://slimages.macys.com/is/image/MCY/12326948 </v>
      </c>
    </row>
    <row r="9" spans="1:12" ht="24.75" x14ac:dyDescent="0.25">
      <c r="A9" s="4" t="s">
        <v>2138</v>
      </c>
      <c r="B9" s="2" t="s">
        <v>104</v>
      </c>
      <c r="C9" s="3">
        <v>1</v>
      </c>
      <c r="D9" s="5">
        <v>119</v>
      </c>
      <c r="E9" s="3" t="s">
        <v>105</v>
      </c>
      <c r="F9" s="2" t="s">
        <v>26</v>
      </c>
      <c r="G9" s="6" t="s">
        <v>58</v>
      </c>
      <c r="H9" s="2" t="s">
        <v>17</v>
      </c>
      <c r="I9" s="2" t="s">
        <v>18</v>
      </c>
      <c r="J9" s="2" t="s">
        <v>19</v>
      </c>
      <c r="K9" s="2" t="s">
        <v>107</v>
      </c>
      <c r="L9" s="7" t="str">
        <f>HYPERLINK("http://slimages.macys.com/is/image/MCY/12326948 ")</f>
        <v xml:space="preserve">http://slimages.macys.com/is/image/MCY/12326948 </v>
      </c>
    </row>
    <row r="10" spans="1:12" ht="24.75" x14ac:dyDescent="0.25">
      <c r="A10" s="4" t="s">
        <v>2134</v>
      </c>
      <c r="B10" s="2" t="s">
        <v>104</v>
      </c>
      <c r="C10" s="3">
        <v>1</v>
      </c>
      <c r="D10" s="5">
        <v>119</v>
      </c>
      <c r="E10" s="3" t="s">
        <v>105</v>
      </c>
      <c r="F10" s="2" t="s">
        <v>26</v>
      </c>
      <c r="G10" s="6" t="s">
        <v>16</v>
      </c>
      <c r="H10" s="2" t="s">
        <v>17</v>
      </c>
      <c r="I10" s="2" t="s">
        <v>18</v>
      </c>
      <c r="J10" s="2" t="s">
        <v>19</v>
      </c>
      <c r="K10" s="2" t="s">
        <v>107</v>
      </c>
      <c r="L10" s="7" t="str">
        <f>HYPERLINK("http://slimages.macys.com/is/image/MCY/12326948 ")</f>
        <v xml:space="preserve">http://slimages.macys.com/is/image/MCY/12326948 </v>
      </c>
    </row>
    <row r="11" spans="1:12" ht="24.75" x14ac:dyDescent="0.25">
      <c r="A11" s="4" t="s">
        <v>7038</v>
      </c>
      <c r="B11" s="2" t="s">
        <v>104</v>
      </c>
      <c r="C11" s="3">
        <v>1</v>
      </c>
      <c r="D11" s="5">
        <v>119</v>
      </c>
      <c r="E11" s="3" t="s">
        <v>105</v>
      </c>
      <c r="F11" s="2" t="s">
        <v>26</v>
      </c>
      <c r="G11" s="6" t="s">
        <v>22</v>
      </c>
      <c r="H11" s="2" t="s">
        <v>17</v>
      </c>
      <c r="I11" s="2" t="s">
        <v>18</v>
      </c>
      <c r="J11" s="2" t="s">
        <v>19</v>
      </c>
      <c r="K11" s="2" t="s">
        <v>107</v>
      </c>
      <c r="L11" s="7" t="str">
        <f>HYPERLINK("http://slimages.macys.com/is/image/MCY/12326948 ")</f>
        <v xml:space="preserve">http://slimages.macys.com/is/image/MCY/12326948 </v>
      </c>
    </row>
    <row r="12" spans="1:12" ht="24.75" x14ac:dyDescent="0.25">
      <c r="A12" s="4" t="s">
        <v>8437</v>
      </c>
      <c r="B12" s="2" t="s">
        <v>114</v>
      </c>
      <c r="C12" s="3">
        <v>2</v>
      </c>
      <c r="D12" s="5">
        <v>99</v>
      </c>
      <c r="E12" s="3" t="s">
        <v>115</v>
      </c>
      <c r="F12" s="2" t="s">
        <v>26</v>
      </c>
      <c r="G12" s="6" t="s">
        <v>1085</v>
      </c>
      <c r="H12" s="2" t="s">
        <v>17</v>
      </c>
      <c r="I12" s="2" t="s">
        <v>117</v>
      </c>
      <c r="J12" s="2" t="s">
        <v>19</v>
      </c>
      <c r="K12" s="2" t="s">
        <v>118</v>
      </c>
      <c r="L12" s="7" t="str">
        <f>HYPERLINK("http://slimages.macys.com/is/image/MCY/12669592 ")</f>
        <v xml:space="preserve">http://slimages.macys.com/is/image/MCY/12669592 </v>
      </c>
    </row>
    <row r="13" spans="1:12" ht="24.75" x14ac:dyDescent="0.25">
      <c r="A13" s="4" t="s">
        <v>8438</v>
      </c>
      <c r="B13" s="2" t="s">
        <v>8439</v>
      </c>
      <c r="C13" s="3">
        <v>1</v>
      </c>
      <c r="D13" s="5">
        <v>99</v>
      </c>
      <c r="E13" s="3" t="s">
        <v>8440</v>
      </c>
      <c r="F13" s="2" t="s">
        <v>331</v>
      </c>
      <c r="G13" s="6" t="s">
        <v>58</v>
      </c>
      <c r="H13" s="2" t="s">
        <v>95</v>
      </c>
      <c r="I13" s="2" t="s">
        <v>96</v>
      </c>
      <c r="J13" s="2" t="s">
        <v>19</v>
      </c>
      <c r="K13" s="2" t="s">
        <v>8441</v>
      </c>
      <c r="L13" s="7" t="str">
        <f>HYPERLINK("http://slimages.macys.com/is/image/MCY/12794470 ")</f>
        <v xml:space="preserve">http://slimages.macys.com/is/image/MCY/12794470 </v>
      </c>
    </row>
    <row r="14" spans="1:12" ht="24.75" x14ac:dyDescent="0.25">
      <c r="A14" s="4" t="s">
        <v>8442</v>
      </c>
      <c r="B14" s="2" t="s">
        <v>3312</v>
      </c>
      <c r="C14" s="3">
        <v>1</v>
      </c>
      <c r="D14" s="5">
        <v>89</v>
      </c>
      <c r="E14" s="3" t="s">
        <v>3313</v>
      </c>
      <c r="F14" s="2" t="s">
        <v>26</v>
      </c>
      <c r="G14" s="6" t="s">
        <v>65</v>
      </c>
      <c r="H14" s="2" t="s">
        <v>95</v>
      </c>
      <c r="I14" s="2" t="s">
        <v>96</v>
      </c>
      <c r="J14" s="2" t="s">
        <v>19</v>
      </c>
      <c r="K14" s="2" t="s">
        <v>338</v>
      </c>
      <c r="L14" s="7" t="str">
        <f>HYPERLINK("http://slimages.macys.com/is/image/MCY/11784614 ")</f>
        <v xml:space="preserve">http://slimages.macys.com/is/image/MCY/11784614 </v>
      </c>
    </row>
    <row r="15" spans="1:12" ht="24.75" x14ac:dyDescent="0.25">
      <c r="A15" s="4" t="s">
        <v>8443</v>
      </c>
      <c r="B15" s="2" t="s">
        <v>2153</v>
      </c>
      <c r="C15" s="3">
        <v>1</v>
      </c>
      <c r="D15" s="5">
        <v>79</v>
      </c>
      <c r="E15" s="3">
        <v>10717696</v>
      </c>
      <c r="F15" s="2" t="s">
        <v>15</v>
      </c>
      <c r="G15" s="6" t="s">
        <v>39</v>
      </c>
      <c r="H15" s="2" t="s">
        <v>2154</v>
      </c>
      <c r="I15" s="2" t="s">
        <v>2155</v>
      </c>
      <c r="J15" s="2" t="s">
        <v>19</v>
      </c>
      <c r="K15" s="2" t="s">
        <v>2156</v>
      </c>
      <c r="L15" s="7" t="str">
        <f>HYPERLINK("http://slimages.macys.com/is/image/MCY/12147560 ")</f>
        <v xml:space="preserve">http://slimages.macys.com/is/image/MCY/12147560 </v>
      </c>
    </row>
    <row r="16" spans="1:12" ht="24.75" x14ac:dyDescent="0.25">
      <c r="A16" s="4" t="s">
        <v>155</v>
      </c>
      <c r="B16" s="2" t="s">
        <v>153</v>
      </c>
      <c r="C16" s="3">
        <v>1</v>
      </c>
      <c r="D16" s="5">
        <v>79.5</v>
      </c>
      <c r="E16" s="3">
        <v>10719732</v>
      </c>
      <c r="F16" s="2" t="s">
        <v>33</v>
      </c>
      <c r="G16" s="6" t="s">
        <v>156</v>
      </c>
      <c r="H16" s="2" t="s">
        <v>17</v>
      </c>
      <c r="I16" s="2" t="s">
        <v>121</v>
      </c>
      <c r="J16" s="2" t="s">
        <v>19</v>
      </c>
      <c r="K16" s="2" t="s">
        <v>34</v>
      </c>
      <c r="L16" s="7" t="str">
        <f>HYPERLINK("http://slimages.macys.com/is/image/MCY/10534487 ")</f>
        <v xml:space="preserve">http://slimages.macys.com/is/image/MCY/10534487 </v>
      </c>
    </row>
    <row r="17" spans="1:12" ht="24.75" x14ac:dyDescent="0.25">
      <c r="A17" s="4" t="s">
        <v>2158</v>
      </c>
      <c r="B17" s="2" t="s">
        <v>2159</v>
      </c>
      <c r="C17" s="3">
        <v>1</v>
      </c>
      <c r="D17" s="5">
        <v>79.5</v>
      </c>
      <c r="E17" s="3">
        <v>10723364</v>
      </c>
      <c r="F17" s="2" t="s">
        <v>15</v>
      </c>
      <c r="G17" s="6" t="s">
        <v>65</v>
      </c>
      <c r="H17" s="2" t="s">
        <v>17</v>
      </c>
      <c r="I17" s="2" t="s">
        <v>121</v>
      </c>
      <c r="J17" s="2" t="s">
        <v>19</v>
      </c>
      <c r="K17" s="2" t="s">
        <v>34</v>
      </c>
      <c r="L17" s="7" t="str">
        <f>HYPERLINK("http://slimages.macys.com/is/image/MCY/12340424 ")</f>
        <v xml:space="preserve">http://slimages.macys.com/is/image/MCY/12340424 </v>
      </c>
    </row>
    <row r="18" spans="1:12" ht="24.75" x14ac:dyDescent="0.25">
      <c r="A18" s="4" t="s">
        <v>8444</v>
      </c>
      <c r="B18" s="2" t="s">
        <v>2159</v>
      </c>
      <c r="C18" s="3">
        <v>1</v>
      </c>
      <c r="D18" s="5">
        <v>79.5</v>
      </c>
      <c r="E18" s="3">
        <v>10723364</v>
      </c>
      <c r="F18" s="2" t="s">
        <v>15</v>
      </c>
      <c r="G18" s="6" t="s">
        <v>58</v>
      </c>
      <c r="H18" s="2" t="s">
        <v>17</v>
      </c>
      <c r="I18" s="2" t="s">
        <v>121</v>
      </c>
      <c r="J18" s="2" t="s">
        <v>19</v>
      </c>
      <c r="K18" s="2" t="s">
        <v>34</v>
      </c>
      <c r="L18" s="7" t="str">
        <f>HYPERLINK("http://slimages.macys.com/is/image/MCY/12340424 ")</f>
        <v xml:space="preserve">http://slimages.macys.com/is/image/MCY/12340424 </v>
      </c>
    </row>
    <row r="19" spans="1:12" x14ac:dyDescent="0.25">
      <c r="A19" s="4" t="s">
        <v>8445</v>
      </c>
      <c r="B19" s="2" t="s">
        <v>8446</v>
      </c>
      <c r="C19" s="3">
        <v>2</v>
      </c>
      <c r="D19" s="5">
        <v>99.5</v>
      </c>
      <c r="E19" s="3">
        <v>100057485</v>
      </c>
      <c r="F19" s="2" t="s">
        <v>252</v>
      </c>
      <c r="G19" s="6" t="s">
        <v>22</v>
      </c>
      <c r="H19" s="2" t="s">
        <v>386</v>
      </c>
      <c r="I19" s="2" t="s">
        <v>391</v>
      </c>
      <c r="J19" s="2" t="s">
        <v>19</v>
      </c>
      <c r="K19" s="2" t="s">
        <v>253</v>
      </c>
      <c r="L19" s="7" t="str">
        <f>HYPERLINK("http://slimages.macys.com/is/image/MCY/11782791 ")</f>
        <v xml:space="preserve">http://slimages.macys.com/is/image/MCY/11782791 </v>
      </c>
    </row>
    <row r="20" spans="1:12" ht="36.75" x14ac:dyDescent="0.25">
      <c r="A20" s="4" t="s">
        <v>8447</v>
      </c>
      <c r="B20" s="2" t="s">
        <v>3328</v>
      </c>
      <c r="C20" s="3">
        <v>1</v>
      </c>
      <c r="D20" s="5">
        <v>69</v>
      </c>
      <c r="E20" s="3">
        <v>10717648</v>
      </c>
      <c r="F20" s="2" t="s">
        <v>15</v>
      </c>
      <c r="G20" s="6" t="s">
        <v>58</v>
      </c>
      <c r="H20" s="2" t="s">
        <v>2154</v>
      </c>
      <c r="I20" s="2" t="s">
        <v>2155</v>
      </c>
      <c r="J20" s="2" t="s">
        <v>19</v>
      </c>
      <c r="K20" s="2" t="s">
        <v>3337</v>
      </c>
      <c r="L20" s="7" t="str">
        <f>HYPERLINK("http://slimages.macys.com/is/image/MCY/11853587 ")</f>
        <v xml:space="preserve">http://slimages.macys.com/is/image/MCY/11853587 </v>
      </c>
    </row>
    <row r="21" spans="1:12" x14ac:dyDescent="0.25">
      <c r="A21" s="4" t="s">
        <v>8448</v>
      </c>
      <c r="B21" s="2" t="s">
        <v>7796</v>
      </c>
      <c r="C21" s="3">
        <v>1</v>
      </c>
      <c r="D21" s="5">
        <v>99.5</v>
      </c>
      <c r="E21" s="3">
        <v>100060508</v>
      </c>
      <c r="F21" s="2" t="s">
        <v>252</v>
      </c>
      <c r="G21" s="6" t="s">
        <v>22</v>
      </c>
      <c r="H21" s="2" t="s">
        <v>386</v>
      </c>
      <c r="I21" s="2" t="s">
        <v>207</v>
      </c>
      <c r="J21" s="2" t="s">
        <v>19</v>
      </c>
      <c r="K21" s="2" t="s">
        <v>353</v>
      </c>
      <c r="L21" s="7" t="str">
        <f>HYPERLINK("http://slimages.macys.com/is/image/MCY/12282267 ")</f>
        <v xml:space="preserve">http://slimages.macys.com/is/image/MCY/12282267 </v>
      </c>
    </row>
    <row r="22" spans="1:12" ht="24.75" x14ac:dyDescent="0.25">
      <c r="A22" s="4" t="s">
        <v>8449</v>
      </c>
      <c r="B22" s="2" t="s">
        <v>175</v>
      </c>
      <c r="C22" s="3">
        <v>1</v>
      </c>
      <c r="D22" s="5">
        <v>89.5</v>
      </c>
      <c r="E22" s="3" t="s">
        <v>7057</v>
      </c>
      <c r="F22" s="2" t="s">
        <v>74</v>
      </c>
      <c r="G22" s="6" t="s">
        <v>802</v>
      </c>
      <c r="H22" s="2" t="s">
        <v>127</v>
      </c>
      <c r="I22" s="2" t="s">
        <v>128</v>
      </c>
      <c r="J22" s="2" t="s">
        <v>19</v>
      </c>
      <c r="K22" s="2" t="s">
        <v>160</v>
      </c>
      <c r="L22" s="7" t="str">
        <f>HYPERLINK("http://slimages.macys.com/is/image/MCY/14542682 ")</f>
        <v xml:space="preserve">http://slimages.macys.com/is/image/MCY/14542682 </v>
      </c>
    </row>
    <row r="23" spans="1:12" ht="24.75" x14ac:dyDescent="0.25">
      <c r="A23" s="4" t="s">
        <v>8450</v>
      </c>
      <c r="B23" s="2" t="s">
        <v>203</v>
      </c>
      <c r="C23" s="3">
        <v>1</v>
      </c>
      <c r="D23" s="5">
        <v>119.5</v>
      </c>
      <c r="E23" s="3" t="s">
        <v>204</v>
      </c>
      <c r="F23" s="2" t="s">
        <v>74</v>
      </c>
      <c r="G23" s="6" t="s">
        <v>238</v>
      </c>
      <c r="H23" s="2" t="s">
        <v>206</v>
      </c>
      <c r="I23" s="2" t="s">
        <v>207</v>
      </c>
      <c r="J23" s="2" t="s">
        <v>19</v>
      </c>
      <c r="K23" s="2" t="s">
        <v>208</v>
      </c>
      <c r="L23" s="7" t="str">
        <f>HYPERLINK("http://slimages.macys.com/is/image/MCY/12319259 ")</f>
        <v xml:space="preserve">http://slimages.macys.com/is/image/MCY/12319259 </v>
      </c>
    </row>
    <row r="24" spans="1:12" ht="24.75" x14ac:dyDescent="0.25">
      <c r="A24" s="4" t="s">
        <v>8451</v>
      </c>
      <c r="B24" s="2" t="s">
        <v>8452</v>
      </c>
      <c r="C24" s="3">
        <v>1</v>
      </c>
      <c r="D24" s="5">
        <v>79.5</v>
      </c>
      <c r="E24" s="3">
        <v>100062618</v>
      </c>
      <c r="F24" s="2" t="s">
        <v>64</v>
      </c>
      <c r="G24" s="6" t="s">
        <v>22</v>
      </c>
      <c r="H24" s="2" t="s">
        <v>386</v>
      </c>
      <c r="I24" s="2" t="s">
        <v>337</v>
      </c>
      <c r="J24" s="2" t="s">
        <v>19</v>
      </c>
      <c r="K24" s="2" t="s">
        <v>929</v>
      </c>
      <c r="L24" s="7" t="str">
        <f>HYPERLINK("http://slimages.macys.com/is/image/MCY/12231398 ")</f>
        <v xml:space="preserve">http://slimages.macys.com/is/image/MCY/12231398 </v>
      </c>
    </row>
    <row r="25" spans="1:12" ht="24.75" x14ac:dyDescent="0.25">
      <c r="A25" s="4" t="s">
        <v>2172</v>
      </c>
      <c r="B25" s="2" t="s">
        <v>2173</v>
      </c>
      <c r="C25" s="3">
        <v>1</v>
      </c>
      <c r="D25" s="5">
        <v>59.63</v>
      </c>
      <c r="E25" s="3" t="s">
        <v>2174</v>
      </c>
      <c r="F25" s="2" t="s">
        <v>26</v>
      </c>
      <c r="G25" s="6"/>
      <c r="H25" s="2" t="s">
        <v>188</v>
      </c>
      <c r="I25" s="2" t="s">
        <v>189</v>
      </c>
      <c r="J25" s="2" t="s">
        <v>19</v>
      </c>
      <c r="K25" s="2" t="s">
        <v>263</v>
      </c>
      <c r="L25" s="7" t="str">
        <f>HYPERLINK("http://slimages.macys.com/is/image/MCY/11808238 ")</f>
        <v xml:space="preserve">http://slimages.macys.com/is/image/MCY/11808238 </v>
      </c>
    </row>
    <row r="26" spans="1:12" ht="24.75" x14ac:dyDescent="0.25">
      <c r="A26" s="4" t="s">
        <v>8453</v>
      </c>
      <c r="B26" s="2" t="s">
        <v>2178</v>
      </c>
      <c r="C26" s="3">
        <v>1</v>
      </c>
      <c r="D26" s="5">
        <v>51.5</v>
      </c>
      <c r="E26" s="3" t="s">
        <v>2179</v>
      </c>
      <c r="F26" s="2" t="s">
        <v>26</v>
      </c>
      <c r="G26" s="6" t="s">
        <v>234</v>
      </c>
      <c r="H26" s="2" t="s">
        <v>246</v>
      </c>
      <c r="I26" s="2" t="s">
        <v>189</v>
      </c>
      <c r="J26" s="2" t="s">
        <v>19</v>
      </c>
      <c r="K26" s="2" t="s">
        <v>2180</v>
      </c>
      <c r="L26" s="7" t="str">
        <f>HYPERLINK("http://slimages.macys.com/is/image/MCY/10678670 ")</f>
        <v xml:space="preserve">http://slimages.macys.com/is/image/MCY/10678670 </v>
      </c>
    </row>
    <row r="27" spans="1:12" ht="24.75" x14ac:dyDescent="0.25">
      <c r="A27" s="4" t="s">
        <v>8454</v>
      </c>
      <c r="B27" s="2" t="s">
        <v>8455</v>
      </c>
      <c r="C27" s="3">
        <v>1</v>
      </c>
      <c r="D27" s="5">
        <v>59.63</v>
      </c>
      <c r="E27" s="3" t="s">
        <v>8456</v>
      </c>
      <c r="F27" s="2" t="s">
        <v>26</v>
      </c>
      <c r="G27" s="6" t="s">
        <v>181</v>
      </c>
      <c r="H27" s="2" t="s">
        <v>246</v>
      </c>
      <c r="I27" s="2" t="s">
        <v>189</v>
      </c>
      <c r="J27" s="2" t="s">
        <v>19</v>
      </c>
      <c r="K27" s="2" t="s">
        <v>8457</v>
      </c>
      <c r="L27" s="7" t="str">
        <f>HYPERLINK("http://slimages.macys.com/is/image/MCY/10679271 ")</f>
        <v xml:space="preserve">http://slimages.macys.com/is/image/MCY/10679271 </v>
      </c>
    </row>
    <row r="28" spans="1:12" ht="24.75" x14ac:dyDescent="0.25">
      <c r="A28" s="4" t="s">
        <v>8458</v>
      </c>
      <c r="B28" s="2" t="s">
        <v>8455</v>
      </c>
      <c r="C28" s="3">
        <v>1</v>
      </c>
      <c r="D28" s="5">
        <v>59.63</v>
      </c>
      <c r="E28" s="3" t="s">
        <v>8456</v>
      </c>
      <c r="F28" s="2" t="s">
        <v>26</v>
      </c>
      <c r="G28" s="6" t="s">
        <v>154</v>
      </c>
      <c r="H28" s="2" t="s">
        <v>246</v>
      </c>
      <c r="I28" s="2" t="s">
        <v>189</v>
      </c>
      <c r="J28" s="2" t="s">
        <v>19</v>
      </c>
      <c r="K28" s="2" t="s">
        <v>8457</v>
      </c>
      <c r="L28" s="7" t="str">
        <f>HYPERLINK("http://slimages.macys.com/is/image/MCY/10679271 ")</f>
        <v xml:space="preserve">http://slimages.macys.com/is/image/MCY/10679271 </v>
      </c>
    </row>
    <row r="29" spans="1:12" ht="24.75" x14ac:dyDescent="0.25">
      <c r="A29" s="4" t="s">
        <v>5386</v>
      </c>
      <c r="B29" s="2" t="s">
        <v>5387</v>
      </c>
      <c r="C29" s="3">
        <v>1</v>
      </c>
      <c r="D29" s="5">
        <v>52.13</v>
      </c>
      <c r="E29" s="3" t="s">
        <v>5388</v>
      </c>
      <c r="F29" s="2" t="s">
        <v>26</v>
      </c>
      <c r="G29" s="6" t="s">
        <v>154</v>
      </c>
      <c r="H29" s="2" t="s">
        <v>246</v>
      </c>
      <c r="I29" s="2" t="s">
        <v>189</v>
      </c>
      <c r="J29" s="2" t="s">
        <v>19</v>
      </c>
      <c r="K29" s="2" t="s">
        <v>2180</v>
      </c>
      <c r="L29" s="7" t="str">
        <f>HYPERLINK("http://slimages.macys.com/is/image/MCY/11707408 ")</f>
        <v xml:space="preserve">http://slimages.macys.com/is/image/MCY/11707408 </v>
      </c>
    </row>
    <row r="30" spans="1:12" ht="24.75" x14ac:dyDescent="0.25">
      <c r="A30" s="4" t="s">
        <v>2182</v>
      </c>
      <c r="B30" s="2" t="s">
        <v>255</v>
      </c>
      <c r="C30" s="3">
        <v>1</v>
      </c>
      <c r="D30" s="5">
        <v>62.15</v>
      </c>
      <c r="E30" s="3" t="s">
        <v>256</v>
      </c>
      <c r="F30" s="2" t="s">
        <v>257</v>
      </c>
      <c r="G30" s="6" t="s">
        <v>154</v>
      </c>
      <c r="H30" s="2" t="s">
        <v>182</v>
      </c>
      <c r="I30" s="2" t="s">
        <v>183</v>
      </c>
      <c r="J30" s="2" t="s">
        <v>19</v>
      </c>
      <c r="K30" s="2" t="s">
        <v>258</v>
      </c>
      <c r="L30" s="7" t="str">
        <f>HYPERLINK("http://slimages.macys.com/is/image/MCY/12851794 ")</f>
        <v xml:space="preserve">http://slimages.macys.com/is/image/MCY/12851794 </v>
      </c>
    </row>
    <row r="31" spans="1:12" ht="24.75" x14ac:dyDescent="0.25">
      <c r="A31" s="4" t="s">
        <v>2181</v>
      </c>
      <c r="B31" s="2" t="s">
        <v>255</v>
      </c>
      <c r="C31" s="3">
        <v>1</v>
      </c>
      <c r="D31" s="5">
        <v>62.15</v>
      </c>
      <c r="E31" s="3" t="s">
        <v>256</v>
      </c>
      <c r="F31" s="2" t="s">
        <v>257</v>
      </c>
      <c r="G31" s="6" t="s">
        <v>181</v>
      </c>
      <c r="H31" s="2" t="s">
        <v>182</v>
      </c>
      <c r="I31" s="2" t="s">
        <v>183</v>
      </c>
      <c r="J31" s="2" t="s">
        <v>19</v>
      </c>
      <c r="K31" s="2" t="s">
        <v>258</v>
      </c>
      <c r="L31" s="7" t="str">
        <f>HYPERLINK("http://slimages.macys.com/is/image/MCY/12851794 ")</f>
        <v xml:space="preserve">http://slimages.macys.com/is/image/MCY/12851794 </v>
      </c>
    </row>
    <row r="32" spans="1:12" ht="24.75" x14ac:dyDescent="0.25">
      <c r="A32" s="4" t="s">
        <v>8459</v>
      </c>
      <c r="B32" s="2" t="s">
        <v>8460</v>
      </c>
      <c r="C32" s="3">
        <v>1</v>
      </c>
      <c r="D32" s="5">
        <v>52.13</v>
      </c>
      <c r="E32" s="3" t="s">
        <v>8461</v>
      </c>
      <c r="F32" s="2" t="s">
        <v>74</v>
      </c>
      <c r="G32" s="6" t="s">
        <v>181</v>
      </c>
      <c r="H32" s="2" t="s">
        <v>284</v>
      </c>
      <c r="I32" s="2" t="s">
        <v>285</v>
      </c>
      <c r="J32" s="2" t="s">
        <v>19</v>
      </c>
      <c r="K32" s="2" t="s">
        <v>160</v>
      </c>
      <c r="L32" s="7" t="str">
        <f>HYPERLINK("http://slimages.macys.com/is/image/MCY/13041307 ")</f>
        <v xml:space="preserve">http://slimages.macys.com/is/image/MCY/13041307 </v>
      </c>
    </row>
    <row r="33" spans="1:12" ht="36.75" x14ac:dyDescent="0.25">
      <c r="A33" s="4" t="s">
        <v>8462</v>
      </c>
      <c r="B33" s="2" t="s">
        <v>272</v>
      </c>
      <c r="C33" s="3">
        <v>1</v>
      </c>
      <c r="D33" s="5">
        <v>99.5</v>
      </c>
      <c r="E33" s="3" t="s">
        <v>273</v>
      </c>
      <c r="F33" s="2" t="s">
        <v>15</v>
      </c>
      <c r="G33" s="6" t="s">
        <v>219</v>
      </c>
      <c r="H33" s="2" t="s">
        <v>206</v>
      </c>
      <c r="I33" s="2" t="s">
        <v>207</v>
      </c>
      <c r="J33" s="2" t="s">
        <v>19</v>
      </c>
      <c r="K33" s="2" t="s">
        <v>274</v>
      </c>
      <c r="L33" s="7" t="str">
        <f>HYPERLINK("http://slimages.macys.com/is/image/MCY/12387675 ")</f>
        <v xml:space="preserve">http://slimages.macys.com/is/image/MCY/12387675 </v>
      </c>
    </row>
    <row r="34" spans="1:12" ht="24.75" x14ac:dyDescent="0.25">
      <c r="A34" s="4" t="s">
        <v>8463</v>
      </c>
      <c r="B34" s="2" t="s">
        <v>7079</v>
      </c>
      <c r="C34" s="3">
        <v>1</v>
      </c>
      <c r="D34" s="5">
        <v>52.13</v>
      </c>
      <c r="E34" s="3" t="s">
        <v>7080</v>
      </c>
      <c r="F34" s="2" t="s">
        <v>26</v>
      </c>
      <c r="G34" s="6" t="s">
        <v>154</v>
      </c>
      <c r="H34" s="2" t="s">
        <v>194</v>
      </c>
      <c r="I34" s="2" t="s">
        <v>580</v>
      </c>
      <c r="J34" s="2" t="s">
        <v>19</v>
      </c>
      <c r="K34" s="2" t="s">
        <v>1082</v>
      </c>
      <c r="L34" s="7" t="str">
        <f>HYPERLINK("http://slimages.macys.com/is/image/MCY/12404786 ")</f>
        <v xml:space="preserve">http://slimages.macys.com/is/image/MCY/12404786 </v>
      </c>
    </row>
    <row r="35" spans="1:12" ht="24.75" x14ac:dyDescent="0.25">
      <c r="A35" s="4" t="s">
        <v>8464</v>
      </c>
      <c r="B35" s="2" t="s">
        <v>8465</v>
      </c>
      <c r="C35" s="3">
        <v>1</v>
      </c>
      <c r="D35" s="5">
        <v>52.13</v>
      </c>
      <c r="E35" s="3" t="s">
        <v>8466</v>
      </c>
      <c r="F35" s="2" t="s">
        <v>26</v>
      </c>
      <c r="G35" s="6" t="s">
        <v>181</v>
      </c>
      <c r="H35" s="2" t="s">
        <v>246</v>
      </c>
      <c r="I35" s="2" t="s">
        <v>189</v>
      </c>
      <c r="J35" s="2" t="s">
        <v>19</v>
      </c>
      <c r="K35" s="2" t="s">
        <v>3423</v>
      </c>
      <c r="L35" s="7" t="str">
        <f>HYPERLINK("http://slimages.macys.com/is/image/MCY/12773331 ")</f>
        <v xml:space="preserve">http://slimages.macys.com/is/image/MCY/12773331 </v>
      </c>
    </row>
    <row r="36" spans="1:12" ht="24.75" x14ac:dyDescent="0.25">
      <c r="A36" s="4" t="s">
        <v>3357</v>
      </c>
      <c r="B36" s="2" t="s">
        <v>3358</v>
      </c>
      <c r="C36" s="3">
        <v>1</v>
      </c>
      <c r="D36" s="5">
        <v>52.13</v>
      </c>
      <c r="E36" s="3" t="s">
        <v>3359</v>
      </c>
      <c r="F36" s="2" t="s">
        <v>26</v>
      </c>
      <c r="G36" s="6" t="s">
        <v>154</v>
      </c>
      <c r="H36" s="2" t="s">
        <v>246</v>
      </c>
      <c r="I36" s="2" t="s">
        <v>189</v>
      </c>
      <c r="J36" s="2" t="s">
        <v>19</v>
      </c>
      <c r="K36" s="2" t="s">
        <v>705</v>
      </c>
      <c r="L36" s="7" t="str">
        <f>HYPERLINK("http://slimages.macys.com/is/image/MCY/13300525 ")</f>
        <v xml:space="preserve">http://slimages.macys.com/is/image/MCY/13300525 </v>
      </c>
    </row>
    <row r="37" spans="1:12" ht="24.75" x14ac:dyDescent="0.25">
      <c r="A37" s="4" t="s">
        <v>8467</v>
      </c>
      <c r="B37" s="2" t="s">
        <v>3358</v>
      </c>
      <c r="C37" s="3">
        <v>1</v>
      </c>
      <c r="D37" s="5">
        <v>52.13</v>
      </c>
      <c r="E37" s="3" t="s">
        <v>3359</v>
      </c>
      <c r="F37" s="2" t="s">
        <v>26</v>
      </c>
      <c r="G37" s="6" t="s">
        <v>181</v>
      </c>
      <c r="H37" s="2" t="s">
        <v>246</v>
      </c>
      <c r="I37" s="2" t="s">
        <v>189</v>
      </c>
      <c r="J37" s="2" t="s">
        <v>19</v>
      </c>
      <c r="K37" s="2" t="s">
        <v>705</v>
      </c>
      <c r="L37" s="7" t="str">
        <f>HYPERLINK("http://slimages.macys.com/is/image/MCY/13300525 ")</f>
        <v xml:space="preserve">http://slimages.macys.com/is/image/MCY/13300525 </v>
      </c>
    </row>
    <row r="38" spans="1:12" ht="24.75" x14ac:dyDescent="0.25">
      <c r="A38" s="4" t="s">
        <v>8468</v>
      </c>
      <c r="B38" s="2" t="s">
        <v>2195</v>
      </c>
      <c r="C38" s="3">
        <v>2</v>
      </c>
      <c r="D38" s="5">
        <v>48.38</v>
      </c>
      <c r="E38" s="3" t="s">
        <v>2196</v>
      </c>
      <c r="F38" s="2" t="s">
        <v>74</v>
      </c>
      <c r="G38" s="6" t="s">
        <v>2458</v>
      </c>
      <c r="H38" s="2" t="s">
        <v>349</v>
      </c>
      <c r="I38" s="2" t="s">
        <v>408</v>
      </c>
      <c r="J38" s="2" t="s">
        <v>19</v>
      </c>
      <c r="K38" s="2" t="s">
        <v>160</v>
      </c>
      <c r="L38" s="7" t="str">
        <f>HYPERLINK("http://slimages.macys.com/is/image/MCY/13535632 ")</f>
        <v xml:space="preserve">http://slimages.macys.com/is/image/MCY/13535632 </v>
      </c>
    </row>
    <row r="39" spans="1:12" ht="36.75" x14ac:dyDescent="0.25">
      <c r="A39" s="4" t="s">
        <v>6320</v>
      </c>
      <c r="B39" s="2" t="s">
        <v>2198</v>
      </c>
      <c r="C39" s="3">
        <v>1</v>
      </c>
      <c r="D39" s="5">
        <v>52.13</v>
      </c>
      <c r="E39" s="3">
        <v>100020408</v>
      </c>
      <c r="F39" s="2" t="s">
        <v>26</v>
      </c>
      <c r="G39" s="6" t="s">
        <v>200</v>
      </c>
      <c r="H39" s="2" t="s">
        <v>194</v>
      </c>
      <c r="I39" s="2" t="s">
        <v>195</v>
      </c>
      <c r="J39" s="2" t="s">
        <v>19</v>
      </c>
      <c r="K39" s="2" t="s">
        <v>2199</v>
      </c>
      <c r="L39" s="7" t="str">
        <f>HYPERLINK("http://slimages.macys.com/is/image/MCY/9504840 ")</f>
        <v xml:space="preserve">http://slimages.macys.com/is/image/MCY/9504840 </v>
      </c>
    </row>
    <row r="40" spans="1:12" x14ac:dyDescent="0.25">
      <c r="A40" s="4" t="s">
        <v>8469</v>
      </c>
      <c r="B40" s="2" t="s">
        <v>8470</v>
      </c>
      <c r="C40" s="3">
        <v>1</v>
      </c>
      <c r="D40" s="5">
        <v>99.5</v>
      </c>
      <c r="E40" s="3" t="s">
        <v>8471</v>
      </c>
      <c r="F40" s="2" t="s">
        <v>74</v>
      </c>
      <c r="G40" s="6" t="s">
        <v>187</v>
      </c>
      <c r="H40" s="2" t="s">
        <v>206</v>
      </c>
      <c r="I40" s="2" t="s">
        <v>207</v>
      </c>
      <c r="J40" s="2" t="s">
        <v>19</v>
      </c>
      <c r="K40" s="2" t="s">
        <v>160</v>
      </c>
      <c r="L40" s="7" t="str">
        <f>HYPERLINK("http://slimages.macys.com/is/image/MCY/12952765 ")</f>
        <v xml:space="preserve">http://slimages.macys.com/is/image/MCY/12952765 </v>
      </c>
    </row>
    <row r="41" spans="1:12" ht="24.75" x14ac:dyDescent="0.25">
      <c r="A41" s="4" t="s">
        <v>295</v>
      </c>
      <c r="B41" s="2" t="s">
        <v>288</v>
      </c>
      <c r="C41" s="3">
        <v>1</v>
      </c>
      <c r="D41" s="5">
        <v>52.13</v>
      </c>
      <c r="E41" s="3" t="s">
        <v>289</v>
      </c>
      <c r="F41" s="2" t="s">
        <v>74</v>
      </c>
      <c r="G41" s="6" t="s">
        <v>200</v>
      </c>
      <c r="H41" s="2" t="s">
        <v>194</v>
      </c>
      <c r="I41" s="2" t="s">
        <v>195</v>
      </c>
      <c r="J41" s="2" t="s">
        <v>19</v>
      </c>
      <c r="K41" s="2" t="s">
        <v>247</v>
      </c>
      <c r="L41" s="7" t="str">
        <f>HYPERLINK("http://slimages.macys.com/is/image/MCY/12849982 ")</f>
        <v xml:space="preserve">http://slimages.macys.com/is/image/MCY/12849982 </v>
      </c>
    </row>
    <row r="42" spans="1:12" ht="24.75" x14ac:dyDescent="0.25">
      <c r="A42" s="4" t="s">
        <v>287</v>
      </c>
      <c r="B42" s="2" t="s">
        <v>288</v>
      </c>
      <c r="C42" s="3">
        <v>1</v>
      </c>
      <c r="D42" s="5">
        <v>52.13</v>
      </c>
      <c r="E42" s="3" t="s">
        <v>289</v>
      </c>
      <c r="F42" s="2" t="s">
        <v>74</v>
      </c>
      <c r="G42" s="6" t="s">
        <v>234</v>
      </c>
      <c r="H42" s="2" t="s">
        <v>194</v>
      </c>
      <c r="I42" s="2" t="s">
        <v>195</v>
      </c>
      <c r="J42" s="2" t="s">
        <v>19</v>
      </c>
      <c r="K42" s="2" t="s">
        <v>247</v>
      </c>
      <c r="L42" s="7" t="str">
        <f>HYPERLINK("http://slimages.macys.com/is/image/MCY/12849982 ")</f>
        <v xml:space="preserve">http://slimages.macys.com/is/image/MCY/12849982 </v>
      </c>
    </row>
    <row r="43" spans="1:12" ht="24.75" x14ac:dyDescent="0.25">
      <c r="A43" s="4" t="s">
        <v>3368</v>
      </c>
      <c r="B43" s="2" t="s">
        <v>297</v>
      </c>
      <c r="C43" s="3">
        <v>1</v>
      </c>
      <c r="D43" s="5">
        <v>59.63</v>
      </c>
      <c r="E43" s="3" t="s">
        <v>3369</v>
      </c>
      <c r="F43" s="2" t="s">
        <v>74</v>
      </c>
      <c r="G43" s="6" t="s">
        <v>205</v>
      </c>
      <c r="H43" s="2" t="s">
        <v>188</v>
      </c>
      <c r="I43" s="2" t="s">
        <v>189</v>
      </c>
      <c r="J43" s="2" t="s">
        <v>19</v>
      </c>
      <c r="K43" s="2" t="s">
        <v>34</v>
      </c>
      <c r="L43" s="7" t="str">
        <f>HYPERLINK("http://slimages.macys.com/is/image/MCY/11884459 ")</f>
        <v xml:space="preserve">http://slimages.macys.com/is/image/MCY/11884459 </v>
      </c>
    </row>
    <row r="44" spans="1:12" ht="24.75" x14ac:dyDescent="0.25">
      <c r="A44" s="4" t="s">
        <v>8472</v>
      </c>
      <c r="B44" s="2" t="s">
        <v>8473</v>
      </c>
      <c r="C44" s="3">
        <v>1</v>
      </c>
      <c r="D44" s="5">
        <v>52.13</v>
      </c>
      <c r="E44" s="3" t="s">
        <v>8474</v>
      </c>
      <c r="F44" s="2" t="s">
        <v>5415</v>
      </c>
      <c r="G44" s="6" t="s">
        <v>154</v>
      </c>
      <c r="H44" s="2" t="s">
        <v>246</v>
      </c>
      <c r="I44" s="2" t="s">
        <v>189</v>
      </c>
      <c r="J44" s="2" t="s">
        <v>19</v>
      </c>
      <c r="K44" s="2" t="s">
        <v>263</v>
      </c>
      <c r="L44" s="7" t="str">
        <f>HYPERLINK("http://slimages.macys.com/is/image/MCY/11972329 ")</f>
        <v xml:space="preserve">http://slimages.macys.com/is/image/MCY/11972329 </v>
      </c>
    </row>
    <row r="45" spans="1:12" ht="24.75" x14ac:dyDescent="0.25">
      <c r="A45" s="4" t="s">
        <v>309</v>
      </c>
      <c r="B45" s="2" t="s">
        <v>310</v>
      </c>
      <c r="C45" s="3">
        <v>1</v>
      </c>
      <c r="D45" s="5">
        <v>52.13</v>
      </c>
      <c r="E45" s="3" t="s">
        <v>311</v>
      </c>
      <c r="F45" s="2" t="s">
        <v>74</v>
      </c>
      <c r="G45" s="6"/>
      <c r="H45" s="2" t="s">
        <v>312</v>
      </c>
      <c r="I45" s="2" t="s">
        <v>307</v>
      </c>
      <c r="J45" s="2" t="s">
        <v>19</v>
      </c>
      <c r="K45" s="2" t="s">
        <v>247</v>
      </c>
      <c r="L45" s="7" t="str">
        <f>HYPERLINK("http://slimages.macys.com/is/image/MCY/11937882 ")</f>
        <v xml:space="preserve">http://slimages.macys.com/is/image/MCY/11937882 </v>
      </c>
    </row>
    <row r="46" spans="1:12" ht="24.75" x14ac:dyDescent="0.25">
      <c r="A46" s="4" t="s">
        <v>8475</v>
      </c>
      <c r="B46" s="2" t="s">
        <v>329</v>
      </c>
      <c r="C46" s="3">
        <v>1</v>
      </c>
      <c r="D46" s="5">
        <v>59.63</v>
      </c>
      <c r="E46" s="3" t="s">
        <v>330</v>
      </c>
      <c r="F46" s="2" t="s">
        <v>331</v>
      </c>
      <c r="G46" s="6"/>
      <c r="H46" s="2" t="s">
        <v>188</v>
      </c>
      <c r="I46" s="2" t="s">
        <v>189</v>
      </c>
      <c r="J46" s="2" t="s">
        <v>19</v>
      </c>
      <c r="K46" s="2" t="s">
        <v>332</v>
      </c>
      <c r="L46" s="7" t="str">
        <f>HYPERLINK("http://slimages.macys.com/is/image/MCY/12723020 ")</f>
        <v xml:space="preserve">http://slimages.macys.com/is/image/MCY/12723020 </v>
      </c>
    </row>
    <row r="47" spans="1:12" ht="24.75" x14ac:dyDescent="0.25">
      <c r="A47" s="4" t="s">
        <v>8476</v>
      </c>
      <c r="B47" s="2" t="s">
        <v>340</v>
      </c>
      <c r="C47" s="3">
        <v>1</v>
      </c>
      <c r="D47" s="5">
        <v>44.63</v>
      </c>
      <c r="E47" s="3" t="s">
        <v>341</v>
      </c>
      <c r="F47" s="2" t="s">
        <v>15</v>
      </c>
      <c r="G47" s="6" t="s">
        <v>154</v>
      </c>
      <c r="H47" s="2" t="s">
        <v>194</v>
      </c>
      <c r="I47" s="2" t="s">
        <v>195</v>
      </c>
      <c r="J47" s="2" t="s">
        <v>19</v>
      </c>
      <c r="K47" s="2" t="s">
        <v>201</v>
      </c>
      <c r="L47" s="7" t="str">
        <f>HYPERLINK("http://slimages.macys.com/is/image/MCY/12794062 ")</f>
        <v xml:space="preserve">http://slimages.macys.com/is/image/MCY/12794062 </v>
      </c>
    </row>
    <row r="48" spans="1:12" ht="24.75" x14ac:dyDescent="0.25">
      <c r="A48" s="4" t="s">
        <v>8477</v>
      </c>
      <c r="B48" s="2" t="s">
        <v>2221</v>
      </c>
      <c r="C48" s="3">
        <v>1</v>
      </c>
      <c r="D48" s="5">
        <v>69.5</v>
      </c>
      <c r="E48" s="3">
        <v>100061334</v>
      </c>
      <c r="F48" s="2" t="s">
        <v>64</v>
      </c>
      <c r="G48" s="6" t="s">
        <v>65</v>
      </c>
      <c r="H48" s="2" t="s">
        <v>386</v>
      </c>
      <c r="I48" s="2" t="s">
        <v>207</v>
      </c>
      <c r="J48" s="2" t="s">
        <v>19</v>
      </c>
      <c r="K48" s="2" t="s">
        <v>338</v>
      </c>
      <c r="L48" s="7" t="str">
        <f>HYPERLINK("http://slimages.macys.com/is/image/MCY/12285299 ")</f>
        <v xml:space="preserve">http://slimages.macys.com/is/image/MCY/12285299 </v>
      </c>
    </row>
    <row r="49" spans="1:12" ht="36.75" x14ac:dyDescent="0.25">
      <c r="A49" s="4" t="s">
        <v>5410</v>
      </c>
      <c r="B49" s="2" t="s">
        <v>2223</v>
      </c>
      <c r="C49" s="3">
        <v>1</v>
      </c>
      <c r="D49" s="5">
        <v>48.38</v>
      </c>
      <c r="E49" s="3" t="s">
        <v>2224</v>
      </c>
      <c r="F49" s="2" t="s">
        <v>26</v>
      </c>
      <c r="G49" s="6" t="s">
        <v>2276</v>
      </c>
      <c r="H49" s="2" t="s">
        <v>349</v>
      </c>
      <c r="I49" s="2" t="s">
        <v>285</v>
      </c>
      <c r="J49" s="2" t="s">
        <v>19</v>
      </c>
      <c r="K49" s="2" t="s">
        <v>2225</v>
      </c>
      <c r="L49" s="7" t="str">
        <f>HYPERLINK("http://slimages.macys.com/is/image/MCY/12077740 ")</f>
        <v xml:space="preserve">http://slimages.macys.com/is/image/MCY/12077740 </v>
      </c>
    </row>
    <row r="50" spans="1:12" x14ac:dyDescent="0.25">
      <c r="A50" s="4" t="s">
        <v>8478</v>
      </c>
      <c r="B50" s="2" t="s">
        <v>8479</v>
      </c>
      <c r="C50" s="3">
        <v>1</v>
      </c>
      <c r="D50" s="5">
        <v>41.65</v>
      </c>
      <c r="E50" s="3" t="s">
        <v>8480</v>
      </c>
      <c r="F50" s="2"/>
      <c r="G50" s="6" t="s">
        <v>156</v>
      </c>
      <c r="H50" s="2" t="s">
        <v>182</v>
      </c>
      <c r="I50" s="2" t="s">
        <v>183</v>
      </c>
      <c r="J50" s="2" t="s">
        <v>19</v>
      </c>
      <c r="K50" s="2" t="s">
        <v>201</v>
      </c>
      <c r="L50" s="7" t="str">
        <f>HYPERLINK("http://slimages.macys.com/is/image/MCY/12340795 ")</f>
        <v xml:space="preserve">http://slimages.macys.com/is/image/MCY/12340795 </v>
      </c>
    </row>
    <row r="51" spans="1:12" ht="24.75" x14ac:dyDescent="0.25">
      <c r="A51" s="4" t="s">
        <v>6338</v>
      </c>
      <c r="B51" s="2" t="s">
        <v>6339</v>
      </c>
      <c r="C51" s="3">
        <v>1</v>
      </c>
      <c r="D51" s="5">
        <v>44.63</v>
      </c>
      <c r="E51" s="3" t="s">
        <v>6340</v>
      </c>
      <c r="F51" s="2" t="s">
        <v>79</v>
      </c>
      <c r="G51" s="6" t="s">
        <v>16</v>
      </c>
      <c r="H51" s="2" t="s">
        <v>213</v>
      </c>
      <c r="I51" s="2" t="s">
        <v>214</v>
      </c>
      <c r="J51" s="2" t="s">
        <v>19</v>
      </c>
      <c r="K51" s="2" t="s">
        <v>338</v>
      </c>
      <c r="L51" s="7" t="str">
        <f>HYPERLINK("http://slimages.macys.com/is/image/MCY/12284095 ")</f>
        <v xml:space="preserve">http://slimages.macys.com/is/image/MCY/12284095 </v>
      </c>
    </row>
    <row r="52" spans="1:12" ht="24.75" x14ac:dyDescent="0.25">
      <c r="A52" s="4" t="s">
        <v>2238</v>
      </c>
      <c r="B52" s="2" t="s">
        <v>355</v>
      </c>
      <c r="C52" s="3">
        <v>2</v>
      </c>
      <c r="D52" s="5">
        <v>48</v>
      </c>
      <c r="E52" s="3">
        <v>100053387</v>
      </c>
      <c r="F52" s="2" t="s">
        <v>111</v>
      </c>
      <c r="G52" s="6" t="s">
        <v>22</v>
      </c>
      <c r="H52" s="2" t="s">
        <v>228</v>
      </c>
      <c r="I52" s="2" t="s">
        <v>229</v>
      </c>
      <c r="J52" s="2" t="s">
        <v>19</v>
      </c>
      <c r="K52" s="2" t="s">
        <v>338</v>
      </c>
      <c r="L52" s="7" t="str">
        <f>HYPERLINK("http://slimages.macys.com/is/image/MCY/13829477 ")</f>
        <v xml:space="preserve">http://slimages.macys.com/is/image/MCY/13829477 </v>
      </c>
    </row>
    <row r="53" spans="1:12" ht="24.75" x14ac:dyDescent="0.25">
      <c r="A53" s="4" t="s">
        <v>2240</v>
      </c>
      <c r="B53" s="2" t="s">
        <v>355</v>
      </c>
      <c r="C53" s="3">
        <v>2</v>
      </c>
      <c r="D53" s="5">
        <v>48</v>
      </c>
      <c r="E53" s="3">
        <v>100053387</v>
      </c>
      <c r="F53" s="2" t="s">
        <v>111</v>
      </c>
      <c r="G53" s="6" t="s">
        <v>141</v>
      </c>
      <c r="H53" s="2" t="s">
        <v>228</v>
      </c>
      <c r="I53" s="2" t="s">
        <v>229</v>
      </c>
      <c r="J53" s="2" t="s">
        <v>19</v>
      </c>
      <c r="K53" s="2" t="s">
        <v>338</v>
      </c>
      <c r="L53" s="7" t="str">
        <f>HYPERLINK("http://slimages.macys.com/is/image/MCY/13829477 ")</f>
        <v xml:space="preserve">http://slimages.macys.com/is/image/MCY/13829477 </v>
      </c>
    </row>
    <row r="54" spans="1:12" ht="24.75" x14ac:dyDescent="0.25">
      <c r="A54" s="4" t="s">
        <v>4498</v>
      </c>
      <c r="B54" s="2" t="s">
        <v>359</v>
      </c>
      <c r="C54" s="3">
        <v>1</v>
      </c>
      <c r="D54" s="5">
        <v>59.5</v>
      </c>
      <c r="E54" s="3" t="s">
        <v>360</v>
      </c>
      <c r="F54" s="2" t="s">
        <v>26</v>
      </c>
      <c r="G54" s="6" t="s">
        <v>934</v>
      </c>
      <c r="H54" s="2" t="s">
        <v>127</v>
      </c>
      <c r="I54" s="2" t="s">
        <v>128</v>
      </c>
      <c r="J54" s="2" t="s">
        <v>19</v>
      </c>
      <c r="K54" s="2" t="s">
        <v>361</v>
      </c>
      <c r="L54" s="7" t="str">
        <f>HYPERLINK("http://slimages.macys.com/is/image/MCY/10890960 ")</f>
        <v xml:space="preserve">http://slimages.macys.com/is/image/MCY/10890960 </v>
      </c>
    </row>
    <row r="55" spans="1:12" ht="24.75" x14ac:dyDescent="0.25">
      <c r="A55" s="4" t="s">
        <v>8481</v>
      </c>
      <c r="B55" s="2" t="s">
        <v>359</v>
      </c>
      <c r="C55" s="3">
        <v>1</v>
      </c>
      <c r="D55" s="5">
        <v>59.5</v>
      </c>
      <c r="E55" s="3" t="s">
        <v>360</v>
      </c>
      <c r="F55" s="2" t="s">
        <v>26</v>
      </c>
      <c r="G55" s="6" t="s">
        <v>165</v>
      </c>
      <c r="H55" s="2" t="s">
        <v>127</v>
      </c>
      <c r="I55" s="2" t="s">
        <v>128</v>
      </c>
      <c r="J55" s="2" t="s">
        <v>19</v>
      </c>
      <c r="K55" s="2" t="s">
        <v>361</v>
      </c>
      <c r="L55" s="7" t="str">
        <f>HYPERLINK("http://slimages.macys.com/is/image/MCY/10890960 ")</f>
        <v xml:space="preserve">http://slimages.macys.com/is/image/MCY/10890960 </v>
      </c>
    </row>
    <row r="56" spans="1:12" ht="24.75" x14ac:dyDescent="0.25">
      <c r="A56" s="4" t="s">
        <v>8482</v>
      </c>
      <c r="B56" s="2" t="s">
        <v>2244</v>
      </c>
      <c r="C56" s="3">
        <v>1</v>
      </c>
      <c r="D56" s="5">
        <v>44.63</v>
      </c>
      <c r="E56" s="3" t="s">
        <v>2245</v>
      </c>
      <c r="F56" s="2" t="s">
        <v>125</v>
      </c>
      <c r="G56" s="6" t="s">
        <v>156</v>
      </c>
      <c r="H56" s="2" t="s">
        <v>194</v>
      </c>
      <c r="I56" s="2" t="s">
        <v>195</v>
      </c>
      <c r="J56" s="2" t="s">
        <v>19</v>
      </c>
      <c r="K56" s="2" t="s">
        <v>34</v>
      </c>
      <c r="L56" s="7" t="str">
        <f>HYPERLINK("http://slimages.macys.com/is/image/MCY/12756091 ")</f>
        <v xml:space="preserve">http://slimages.macys.com/is/image/MCY/12756091 </v>
      </c>
    </row>
    <row r="57" spans="1:12" ht="36.75" x14ac:dyDescent="0.25">
      <c r="A57" s="4" t="s">
        <v>8483</v>
      </c>
      <c r="B57" s="2" t="s">
        <v>2248</v>
      </c>
      <c r="C57" s="3">
        <v>1</v>
      </c>
      <c r="D57" s="5">
        <v>43.5</v>
      </c>
      <c r="E57" s="3" t="s">
        <v>3384</v>
      </c>
      <c r="F57" s="2" t="s">
        <v>64</v>
      </c>
      <c r="G57" s="6" t="s">
        <v>8484</v>
      </c>
      <c r="H57" s="2" t="s">
        <v>349</v>
      </c>
      <c r="I57" s="2" t="s">
        <v>408</v>
      </c>
      <c r="J57" s="2" t="s">
        <v>19</v>
      </c>
      <c r="K57" s="2" t="s">
        <v>500</v>
      </c>
      <c r="L57" s="7" t="str">
        <f>HYPERLINK("http://slimages.macys.com/is/image/MCY/9468308 ")</f>
        <v xml:space="preserve">http://slimages.macys.com/is/image/MCY/9468308 </v>
      </c>
    </row>
    <row r="58" spans="1:12" ht="24.75" x14ac:dyDescent="0.25">
      <c r="A58" s="4" t="s">
        <v>7115</v>
      </c>
      <c r="B58" s="2" t="s">
        <v>2254</v>
      </c>
      <c r="C58" s="3">
        <v>1</v>
      </c>
      <c r="D58" s="5">
        <v>44.5</v>
      </c>
      <c r="E58" s="3" t="s">
        <v>6351</v>
      </c>
      <c r="F58" s="2" t="s">
        <v>252</v>
      </c>
      <c r="G58" s="6" t="s">
        <v>234</v>
      </c>
      <c r="H58" s="2" t="s">
        <v>194</v>
      </c>
      <c r="I58" s="2" t="s">
        <v>195</v>
      </c>
      <c r="J58" s="2" t="s">
        <v>19</v>
      </c>
      <c r="K58" s="2" t="s">
        <v>6352</v>
      </c>
      <c r="L58" s="7" t="str">
        <f>HYPERLINK("http://slimages.macys.com/is/image/MCY/11937871 ")</f>
        <v xml:space="preserve">http://slimages.macys.com/is/image/MCY/11937871 </v>
      </c>
    </row>
    <row r="59" spans="1:12" ht="24.75" x14ac:dyDescent="0.25">
      <c r="A59" s="4" t="s">
        <v>8485</v>
      </c>
      <c r="B59" s="2" t="s">
        <v>7877</v>
      </c>
      <c r="C59" s="3">
        <v>2</v>
      </c>
      <c r="D59" s="5">
        <v>44.5</v>
      </c>
      <c r="E59" s="3" t="s">
        <v>7878</v>
      </c>
      <c r="F59" s="2" t="s">
        <v>413</v>
      </c>
      <c r="G59" s="6"/>
      <c r="H59" s="2" t="s">
        <v>312</v>
      </c>
      <c r="I59" s="2" t="s">
        <v>195</v>
      </c>
      <c r="J59" s="2" t="s">
        <v>19</v>
      </c>
      <c r="K59" s="2" t="s">
        <v>7879</v>
      </c>
      <c r="L59" s="7" t="str">
        <f>HYPERLINK("http://slimages.macys.com/is/image/MCY/11266298 ")</f>
        <v xml:space="preserve">http://slimages.macys.com/is/image/MCY/11266298 </v>
      </c>
    </row>
    <row r="60" spans="1:12" ht="24.75" x14ac:dyDescent="0.25">
      <c r="A60" s="4" t="s">
        <v>8486</v>
      </c>
      <c r="B60" s="2" t="s">
        <v>2254</v>
      </c>
      <c r="C60" s="3">
        <v>1</v>
      </c>
      <c r="D60" s="5">
        <v>44.5</v>
      </c>
      <c r="E60" s="3" t="s">
        <v>2255</v>
      </c>
      <c r="F60" s="2" t="s">
        <v>15</v>
      </c>
      <c r="G60" s="6" t="s">
        <v>156</v>
      </c>
      <c r="H60" s="2" t="s">
        <v>194</v>
      </c>
      <c r="I60" s="2" t="s">
        <v>195</v>
      </c>
      <c r="J60" s="2" t="s">
        <v>19</v>
      </c>
      <c r="K60" s="2" t="s">
        <v>201</v>
      </c>
      <c r="L60" s="7" t="str">
        <f>HYPERLINK("http://slimages.macys.com/is/image/MCY/11804466 ")</f>
        <v xml:space="preserve">http://slimages.macys.com/is/image/MCY/11804466 </v>
      </c>
    </row>
    <row r="61" spans="1:12" ht="24.75" x14ac:dyDescent="0.25">
      <c r="A61" s="4" t="s">
        <v>8487</v>
      </c>
      <c r="B61" s="2" t="s">
        <v>2254</v>
      </c>
      <c r="C61" s="3">
        <v>1</v>
      </c>
      <c r="D61" s="5">
        <v>44.5</v>
      </c>
      <c r="E61" s="3" t="s">
        <v>2255</v>
      </c>
      <c r="F61" s="2" t="s">
        <v>15</v>
      </c>
      <c r="G61" s="6" t="s">
        <v>181</v>
      </c>
      <c r="H61" s="2" t="s">
        <v>194</v>
      </c>
      <c r="I61" s="2" t="s">
        <v>195</v>
      </c>
      <c r="J61" s="2" t="s">
        <v>19</v>
      </c>
      <c r="K61" s="2" t="s">
        <v>201</v>
      </c>
      <c r="L61" s="7" t="str">
        <f>HYPERLINK("http://slimages.macys.com/is/image/MCY/11804466 ")</f>
        <v xml:space="preserve">http://slimages.macys.com/is/image/MCY/11804466 </v>
      </c>
    </row>
    <row r="62" spans="1:12" ht="24.75" x14ac:dyDescent="0.25">
      <c r="A62" s="4" t="s">
        <v>7117</v>
      </c>
      <c r="B62" s="2" t="s">
        <v>390</v>
      </c>
      <c r="C62" s="3">
        <v>1</v>
      </c>
      <c r="D62" s="5">
        <v>69.5</v>
      </c>
      <c r="E62" s="3">
        <v>100055524</v>
      </c>
      <c r="F62" s="2" t="s">
        <v>64</v>
      </c>
      <c r="G62" s="6" t="s">
        <v>141</v>
      </c>
      <c r="H62" s="2" t="s">
        <v>386</v>
      </c>
      <c r="I62" s="2" t="s">
        <v>391</v>
      </c>
      <c r="J62" s="2" t="s">
        <v>19</v>
      </c>
      <c r="K62" s="2" t="s">
        <v>392</v>
      </c>
      <c r="L62" s="7" t="str">
        <f>HYPERLINK("http://slimages.macys.com/is/image/MCY/11535527 ")</f>
        <v xml:space="preserve">http://slimages.macys.com/is/image/MCY/11535527 </v>
      </c>
    </row>
    <row r="63" spans="1:12" ht="24.75" x14ac:dyDescent="0.25">
      <c r="A63" s="4" t="s">
        <v>4521</v>
      </c>
      <c r="B63" s="2" t="s">
        <v>4519</v>
      </c>
      <c r="C63" s="3">
        <v>1</v>
      </c>
      <c r="D63" s="5">
        <v>69.5</v>
      </c>
      <c r="E63" s="3" t="s">
        <v>4522</v>
      </c>
      <c r="F63" s="2" t="s">
        <v>887</v>
      </c>
      <c r="G63" s="6"/>
      <c r="H63" s="2" t="s">
        <v>127</v>
      </c>
      <c r="I63" s="2" t="s">
        <v>128</v>
      </c>
      <c r="J63" s="2" t="s">
        <v>19</v>
      </c>
      <c r="K63" s="2" t="s">
        <v>34</v>
      </c>
      <c r="L63" s="7" t="str">
        <f>HYPERLINK("http://slimages.macys.com/is/image/MCY/12793514 ")</f>
        <v xml:space="preserve">http://slimages.macys.com/is/image/MCY/12793514 </v>
      </c>
    </row>
    <row r="64" spans="1:12" ht="24.75" x14ac:dyDescent="0.25">
      <c r="A64" s="4" t="s">
        <v>8488</v>
      </c>
      <c r="B64" s="2" t="s">
        <v>8489</v>
      </c>
      <c r="C64" s="3">
        <v>1</v>
      </c>
      <c r="D64" s="5">
        <v>44.5</v>
      </c>
      <c r="E64" s="3" t="s">
        <v>8490</v>
      </c>
      <c r="F64" s="2" t="s">
        <v>252</v>
      </c>
      <c r="G64" s="6" t="s">
        <v>154</v>
      </c>
      <c r="H64" s="2" t="s">
        <v>194</v>
      </c>
      <c r="I64" s="2" t="s">
        <v>195</v>
      </c>
      <c r="J64" s="2" t="s">
        <v>19</v>
      </c>
      <c r="K64" s="2" t="s">
        <v>201</v>
      </c>
      <c r="L64" s="7" t="str">
        <f>HYPERLINK("http://slimages.macys.com/is/image/MCY/11937867 ")</f>
        <v xml:space="preserve">http://slimages.macys.com/is/image/MCY/11937867 </v>
      </c>
    </row>
    <row r="65" spans="1:12" x14ac:dyDescent="0.25">
      <c r="A65" s="4" t="s">
        <v>4532</v>
      </c>
      <c r="B65" s="2" t="s">
        <v>2265</v>
      </c>
      <c r="C65" s="3">
        <v>1</v>
      </c>
      <c r="D65" s="5">
        <v>79.5</v>
      </c>
      <c r="E65" s="3">
        <v>100060510</v>
      </c>
      <c r="F65" s="2" t="s">
        <v>74</v>
      </c>
      <c r="G65" s="6" t="s">
        <v>65</v>
      </c>
      <c r="H65" s="2" t="s">
        <v>386</v>
      </c>
      <c r="I65" s="2" t="s">
        <v>207</v>
      </c>
      <c r="J65" s="2" t="s">
        <v>19</v>
      </c>
      <c r="K65" s="2" t="s">
        <v>353</v>
      </c>
      <c r="L65" s="7" t="str">
        <f>HYPERLINK("http://slimages.macys.com/is/image/MCY/12792713 ")</f>
        <v xml:space="preserve">http://slimages.macys.com/is/image/MCY/12792713 </v>
      </c>
    </row>
    <row r="66" spans="1:12" x14ac:dyDescent="0.25">
      <c r="A66" s="4" t="s">
        <v>8491</v>
      </c>
      <c r="B66" s="2" t="s">
        <v>2265</v>
      </c>
      <c r="C66" s="3">
        <v>1</v>
      </c>
      <c r="D66" s="5">
        <v>79.5</v>
      </c>
      <c r="E66" s="3">
        <v>100060510</v>
      </c>
      <c r="F66" s="2" t="s">
        <v>74</v>
      </c>
      <c r="G66" s="6" t="s">
        <v>58</v>
      </c>
      <c r="H66" s="2" t="s">
        <v>386</v>
      </c>
      <c r="I66" s="2" t="s">
        <v>207</v>
      </c>
      <c r="J66" s="2" t="s">
        <v>19</v>
      </c>
      <c r="K66" s="2" t="s">
        <v>353</v>
      </c>
      <c r="L66" s="7" t="str">
        <f>HYPERLINK("http://slimages.macys.com/is/image/MCY/12792713 ")</f>
        <v xml:space="preserve">http://slimages.macys.com/is/image/MCY/12792713 </v>
      </c>
    </row>
    <row r="67" spans="1:12" x14ac:dyDescent="0.25">
      <c r="A67" s="4" t="s">
        <v>4531</v>
      </c>
      <c r="B67" s="2" t="s">
        <v>2265</v>
      </c>
      <c r="C67" s="3">
        <v>1</v>
      </c>
      <c r="D67" s="5">
        <v>79.5</v>
      </c>
      <c r="E67" s="3">
        <v>100060510</v>
      </c>
      <c r="F67" s="2" t="s">
        <v>74</v>
      </c>
      <c r="G67" s="6" t="s">
        <v>141</v>
      </c>
      <c r="H67" s="2" t="s">
        <v>386</v>
      </c>
      <c r="I67" s="2" t="s">
        <v>207</v>
      </c>
      <c r="J67" s="2" t="s">
        <v>19</v>
      </c>
      <c r="K67" s="2" t="s">
        <v>353</v>
      </c>
      <c r="L67" s="7" t="str">
        <f>HYPERLINK("http://slimages.macys.com/is/image/MCY/12792713 ")</f>
        <v xml:space="preserve">http://slimages.macys.com/is/image/MCY/12792713 </v>
      </c>
    </row>
    <row r="68" spans="1:12" ht="24.75" x14ac:dyDescent="0.25">
      <c r="A68" s="4" t="s">
        <v>4537</v>
      </c>
      <c r="B68" s="2" t="s">
        <v>2268</v>
      </c>
      <c r="C68" s="3">
        <v>1</v>
      </c>
      <c r="D68" s="5">
        <v>44.63</v>
      </c>
      <c r="E68" s="3" t="s">
        <v>2269</v>
      </c>
      <c r="F68" s="2" t="s">
        <v>94</v>
      </c>
      <c r="G68" s="6" t="s">
        <v>746</v>
      </c>
      <c r="H68" s="2" t="s">
        <v>349</v>
      </c>
      <c r="I68" s="2" t="s">
        <v>285</v>
      </c>
      <c r="J68" s="2" t="s">
        <v>19</v>
      </c>
      <c r="K68" s="2" t="s">
        <v>160</v>
      </c>
      <c r="L68" s="7" t="str">
        <f>HYPERLINK("http://slimages.macys.com/is/image/MCY/13039993 ")</f>
        <v xml:space="preserve">http://slimages.macys.com/is/image/MCY/13039993 </v>
      </c>
    </row>
    <row r="69" spans="1:12" ht="24.75" x14ac:dyDescent="0.25">
      <c r="A69" s="4" t="s">
        <v>452</v>
      </c>
      <c r="B69" s="2" t="s">
        <v>453</v>
      </c>
      <c r="C69" s="3">
        <v>1</v>
      </c>
      <c r="D69" s="5">
        <v>44.63</v>
      </c>
      <c r="E69" s="3" t="s">
        <v>454</v>
      </c>
      <c r="F69" s="2" t="s">
        <v>74</v>
      </c>
      <c r="G69" s="6" t="s">
        <v>348</v>
      </c>
      <c r="H69" s="2" t="s">
        <v>349</v>
      </c>
      <c r="I69" s="2" t="s">
        <v>285</v>
      </c>
      <c r="J69" s="2" t="s">
        <v>19</v>
      </c>
      <c r="K69" s="2" t="s">
        <v>323</v>
      </c>
      <c r="L69" s="7" t="str">
        <f>HYPERLINK("http://slimages.macys.com/is/image/MCY/12343071 ")</f>
        <v xml:space="preserve">http://slimages.macys.com/is/image/MCY/12343071 </v>
      </c>
    </row>
    <row r="70" spans="1:12" ht="24.75" x14ac:dyDescent="0.25">
      <c r="A70" s="4" t="s">
        <v>8492</v>
      </c>
      <c r="B70" s="2" t="s">
        <v>453</v>
      </c>
      <c r="C70" s="3">
        <v>1</v>
      </c>
      <c r="D70" s="5">
        <v>44.63</v>
      </c>
      <c r="E70" s="3" t="s">
        <v>454</v>
      </c>
      <c r="F70" s="2" t="s">
        <v>74</v>
      </c>
      <c r="G70" s="6" t="s">
        <v>434</v>
      </c>
      <c r="H70" s="2" t="s">
        <v>349</v>
      </c>
      <c r="I70" s="2" t="s">
        <v>285</v>
      </c>
      <c r="J70" s="2" t="s">
        <v>19</v>
      </c>
      <c r="K70" s="2" t="s">
        <v>323</v>
      </c>
      <c r="L70" s="7" t="str">
        <f>HYPERLINK("http://slimages.macys.com/is/image/MCY/12343071 ")</f>
        <v xml:space="preserve">http://slimages.macys.com/is/image/MCY/12343071 </v>
      </c>
    </row>
    <row r="71" spans="1:12" ht="24.75" x14ac:dyDescent="0.25">
      <c r="A71" s="4" t="s">
        <v>8493</v>
      </c>
      <c r="B71" s="2" t="s">
        <v>8494</v>
      </c>
      <c r="C71" s="3">
        <v>3</v>
      </c>
      <c r="D71" s="5">
        <v>69.5</v>
      </c>
      <c r="E71" s="3" t="s">
        <v>8495</v>
      </c>
      <c r="F71" s="2" t="s">
        <v>572</v>
      </c>
      <c r="G71" s="6" t="s">
        <v>219</v>
      </c>
      <c r="H71" s="2" t="s">
        <v>206</v>
      </c>
      <c r="I71" s="2" t="s">
        <v>207</v>
      </c>
      <c r="J71" s="2" t="s">
        <v>19</v>
      </c>
      <c r="K71" s="2" t="s">
        <v>34</v>
      </c>
      <c r="L71" s="7" t="str">
        <f>HYPERLINK("http://slimages.macys.com/is/image/MCY/10214326 ")</f>
        <v xml:space="preserve">http://slimages.macys.com/is/image/MCY/10214326 </v>
      </c>
    </row>
    <row r="72" spans="1:12" ht="24.75" x14ac:dyDescent="0.25">
      <c r="A72" s="4" t="s">
        <v>455</v>
      </c>
      <c r="B72" s="2" t="s">
        <v>456</v>
      </c>
      <c r="C72" s="3">
        <v>1</v>
      </c>
      <c r="D72" s="5">
        <v>44.63</v>
      </c>
      <c r="E72" s="3" t="s">
        <v>457</v>
      </c>
      <c r="F72" s="2" t="s">
        <v>26</v>
      </c>
      <c r="G72" s="6" t="s">
        <v>348</v>
      </c>
      <c r="H72" s="2" t="s">
        <v>349</v>
      </c>
      <c r="I72" s="2" t="s">
        <v>458</v>
      </c>
      <c r="J72" s="2" t="s">
        <v>19</v>
      </c>
      <c r="K72" s="2" t="s">
        <v>459</v>
      </c>
      <c r="L72" s="7" t="str">
        <f>HYPERLINK("http://slimages.macys.com/is/image/MCY/11030035 ")</f>
        <v xml:space="preserve">http://slimages.macys.com/is/image/MCY/11030035 </v>
      </c>
    </row>
    <row r="73" spans="1:12" ht="24.75" x14ac:dyDescent="0.25">
      <c r="A73" s="4" t="s">
        <v>4546</v>
      </c>
      <c r="B73" s="2" t="s">
        <v>456</v>
      </c>
      <c r="C73" s="3">
        <v>1</v>
      </c>
      <c r="D73" s="5">
        <v>44.63</v>
      </c>
      <c r="E73" s="3" t="s">
        <v>457</v>
      </c>
      <c r="F73" s="2" t="s">
        <v>26</v>
      </c>
      <c r="G73" s="6" t="s">
        <v>746</v>
      </c>
      <c r="H73" s="2" t="s">
        <v>349</v>
      </c>
      <c r="I73" s="2" t="s">
        <v>458</v>
      </c>
      <c r="J73" s="2" t="s">
        <v>19</v>
      </c>
      <c r="K73" s="2" t="s">
        <v>459</v>
      </c>
      <c r="L73" s="7" t="str">
        <f>HYPERLINK("http://slimages.macys.com/is/image/MCY/11030035 ")</f>
        <v xml:space="preserve">http://slimages.macys.com/is/image/MCY/11030035 </v>
      </c>
    </row>
    <row r="74" spans="1:12" ht="24.75" x14ac:dyDescent="0.25">
      <c r="A74" s="4" t="s">
        <v>8496</v>
      </c>
      <c r="B74" s="2" t="s">
        <v>693</v>
      </c>
      <c r="C74" s="3">
        <v>1</v>
      </c>
      <c r="D74" s="5">
        <v>34.99</v>
      </c>
      <c r="E74" s="3" t="s">
        <v>8497</v>
      </c>
      <c r="F74" s="2" t="s">
        <v>566</v>
      </c>
      <c r="G74" s="6" t="s">
        <v>348</v>
      </c>
      <c r="H74" s="2" t="s">
        <v>349</v>
      </c>
      <c r="I74" s="2" t="s">
        <v>408</v>
      </c>
      <c r="J74" s="2" t="s">
        <v>19</v>
      </c>
      <c r="K74" s="2" t="s">
        <v>409</v>
      </c>
      <c r="L74" s="7" t="str">
        <f>HYPERLINK("http://slimages.macys.com/is/image/MCY/9543348 ")</f>
        <v xml:space="preserve">http://slimages.macys.com/is/image/MCY/9543348 </v>
      </c>
    </row>
    <row r="75" spans="1:12" ht="36.75" x14ac:dyDescent="0.25">
      <c r="A75" s="4" t="s">
        <v>8498</v>
      </c>
      <c r="B75" s="2" t="s">
        <v>2278</v>
      </c>
      <c r="C75" s="3">
        <v>1</v>
      </c>
      <c r="D75" s="5">
        <v>44.5</v>
      </c>
      <c r="E75" s="3" t="s">
        <v>2279</v>
      </c>
      <c r="F75" s="2" t="s">
        <v>1788</v>
      </c>
      <c r="G75" s="6" t="s">
        <v>245</v>
      </c>
      <c r="H75" s="2" t="s">
        <v>194</v>
      </c>
      <c r="I75" s="2" t="s">
        <v>195</v>
      </c>
      <c r="J75" s="2" t="s">
        <v>19</v>
      </c>
      <c r="K75" s="2" t="s">
        <v>2280</v>
      </c>
      <c r="L75" s="7" t="str">
        <f>HYPERLINK("http://slimages.macys.com/is/image/MCY/11804478 ")</f>
        <v xml:space="preserve">http://slimages.macys.com/is/image/MCY/11804478 </v>
      </c>
    </row>
    <row r="76" spans="1:12" ht="24.75" x14ac:dyDescent="0.25">
      <c r="A76" s="4" t="s">
        <v>8499</v>
      </c>
      <c r="B76" s="2" t="s">
        <v>3418</v>
      </c>
      <c r="C76" s="3">
        <v>1</v>
      </c>
      <c r="D76" s="5">
        <v>59.5</v>
      </c>
      <c r="E76" s="3" t="s">
        <v>3419</v>
      </c>
      <c r="F76" s="2" t="s">
        <v>417</v>
      </c>
      <c r="G76" s="6"/>
      <c r="H76" s="2" t="s">
        <v>127</v>
      </c>
      <c r="I76" s="2" t="s">
        <v>128</v>
      </c>
      <c r="J76" s="2" t="s">
        <v>19</v>
      </c>
      <c r="K76" s="2" t="s">
        <v>160</v>
      </c>
      <c r="L76" s="7" t="str">
        <f>HYPERLINK("http://slimages.macys.com/is/image/MCY/13786793 ")</f>
        <v xml:space="preserve">http://slimages.macys.com/is/image/MCY/13786793 </v>
      </c>
    </row>
    <row r="77" spans="1:12" ht="24.75" x14ac:dyDescent="0.25">
      <c r="A77" s="4" t="s">
        <v>8500</v>
      </c>
      <c r="B77" s="2" t="s">
        <v>8501</v>
      </c>
      <c r="C77" s="3">
        <v>1</v>
      </c>
      <c r="D77" s="5">
        <v>37.130000000000003</v>
      </c>
      <c r="E77" s="3" t="s">
        <v>8502</v>
      </c>
      <c r="F77" s="2" t="s">
        <v>64</v>
      </c>
      <c r="G77" s="6"/>
      <c r="H77" s="2" t="s">
        <v>632</v>
      </c>
      <c r="I77" s="2" t="s">
        <v>408</v>
      </c>
      <c r="J77" s="2" t="s">
        <v>19</v>
      </c>
      <c r="K77" s="2" t="s">
        <v>160</v>
      </c>
      <c r="L77" s="7" t="str">
        <f>HYPERLINK("http://slimages.macys.com/is/image/MCY/12672216 ")</f>
        <v xml:space="preserve">http://slimages.macys.com/is/image/MCY/12672216 </v>
      </c>
    </row>
    <row r="78" spans="1:12" ht="24.75" x14ac:dyDescent="0.25">
      <c r="A78" s="4" t="s">
        <v>2284</v>
      </c>
      <c r="B78" s="2" t="s">
        <v>492</v>
      </c>
      <c r="C78" s="3">
        <v>1</v>
      </c>
      <c r="D78" s="5">
        <v>44.5</v>
      </c>
      <c r="E78" s="3" t="s">
        <v>493</v>
      </c>
      <c r="F78" s="2" t="s">
        <v>494</v>
      </c>
      <c r="G78" s="6" t="s">
        <v>181</v>
      </c>
      <c r="H78" s="2" t="s">
        <v>194</v>
      </c>
      <c r="I78" s="2" t="s">
        <v>195</v>
      </c>
      <c r="J78" s="2" t="s">
        <v>19</v>
      </c>
      <c r="K78" s="2" t="s">
        <v>495</v>
      </c>
      <c r="L78" s="7" t="str">
        <f>HYPERLINK("http://slimages.macys.com/is/image/MCY/11937857 ")</f>
        <v xml:space="preserve">http://slimages.macys.com/is/image/MCY/11937857 </v>
      </c>
    </row>
    <row r="79" spans="1:12" ht="24.75" x14ac:dyDescent="0.25">
      <c r="A79" s="4" t="s">
        <v>8503</v>
      </c>
      <c r="B79" s="2" t="s">
        <v>489</v>
      </c>
      <c r="C79" s="3">
        <v>1</v>
      </c>
      <c r="D79" s="5">
        <v>69.5</v>
      </c>
      <c r="E79" s="3" t="s">
        <v>490</v>
      </c>
      <c r="F79" s="2" t="s">
        <v>64</v>
      </c>
      <c r="G79" s="6" t="s">
        <v>58</v>
      </c>
      <c r="H79" s="2" t="s">
        <v>386</v>
      </c>
      <c r="I79" s="2" t="s">
        <v>337</v>
      </c>
      <c r="J79" s="2" t="s">
        <v>19</v>
      </c>
      <c r="K79" s="2" t="s">
        <v>361</v>
      </c>
      <c r="L79" s="7" t="str">
        <f>HYPERLINK("http://slimages.macys.com/is/image/MCY/3962661 ")</f>
        <v xml:space="preserve">http://slimages.macys.com/is/image/MCY/3962661 </v>
      </c>
    </row>
    <row r="80" spans="1:12" ht="36.75" x14ac:dyDescent="0.25">
      <c r="A80" s="4" t="s">
        <v>2292</v>
      </c>
      <c r="B80" s="2" t="s">
        <v>502</v>
      </c>
      <c r="C80" s="3">
        <v>1</v>
      </c>
      <c r="D80" s="5">
        <v>40.880000000000003</v>
      </c>
      <c r="E80" s="3">
        <v>100047671</v>
      </c>
      <c r="F80" s="2" t="s">
        <v>79</v>
      </c>
      <c r="G80" s="6" t="s">
        <v>112</v>
      </c>
      <c r="H80" s="2" t="s">
        <v>194</v>
      </c>
      <c r="I80" s="2" t="s">
        <v>503</v>
      </c>
      <c r="J80" s="2" t="s">
        <v>19</v>
      </c>
      <c r="K80" s="2" t="s">
        <v>504</v>
      </c>
      <c r="L80" s="7" t="str">
        <f>HYPERLINK("http://slimages.macys.com/is/image/MCY/11937756 ")</f>
        <v xml:space="preserve">http://slimages.macys.com/is/image/MCY/11937756 </v>
      </c>
    </row>
    <row r="81" spans="1:12" ht="24.75" x14ac:dyDescent="0.25">
      <c r="A81" s="4" t="s">
        <v>8504</v>
      </c>
      <c r="B81" s="2" t="s">
        <v>2295</v>
      </c>
      <c r="C81" s="3">
        <v>1</v>
      </c>
      <c r="D81" s="5">
        <v>40.880000000000003</v>
      </c>
      <c r="E81" s="3" t="s">
        <v>2296</v>
      </c>
      <c r="F81" s="2" t="s">
        <v>26</v>
      </c>
      <c r="G81" s="6" t="s">
        <v>181</v>
      </c>
      <c r="H81" s="2" t="s">
        <v>284</v>
      </c>
      <c r="I81" s="2" t="s">
        <v>408</v>
      </c>
      <c r="J81" s="2" t="s">
        <v>19</v>
      </c>
      <c r="K81" s="2" t="s">
        <v>409</v>
      </c>
      <c r="L81" s="7" t="str">
        <f>HYPERLINK("http://slimages.macys.com/is/image/MCY/12807933 ")</f>
        <v xml:space="preserve">http://slimages.macys.com/is/image/MCY/12807933 </v>
      </c>
    </row>
    <row r="82" spans="1:12" ht="24.75" x14ac:dyDescent="0.25">
      <c r="A82" s="4" t="s">
        <v>8505</v>
      </c>
      <c r="B82" s="2" t="s">
        <v>2295</v>
      </c>
      <c r="C82" s="3">
        <v>1</v>
      </c>
      <c r="D82" s="5">
        <v>40.880000000000003</v>
      </c>
      <c r="E82" s="3" t="s">
        <v>2296</v>
      </c>
      <c r="F82" s="2" t="s">
        <v>74</v>
      </c>
      <c r="G82" s="6" t="s">
        <v>181</v>
      </c>
      <c r="H82" s="2" t="s">
        <v>284</v>
      </c>
      <c r="I82" s="2" t="s">
        <v>408</v>
      </c>
      <c r="J82" s="2" t="s">
        <v>19</v>
      </c>
      <c r="K82" s="2" t="s">
        <v>409</v>
      </c>
      <c r="L82" s="7" t="str">
        <f>HYPERLINK("http://slimages.macys.com/is/image/MCY/12807933 ")</f>
        <v xml:space="preserve">http://slimages.macys.com/is/image/MCY/12807933 </v>
      </c>
    </row>
    <row r="83" spans="1:12" ht="36.75" x14ac:dyDescent="0.25">
      <c r="A83" s="4" t="s">
        <v>2293</v>
      </c>
      <c r="B83" s="2" t="s">
        <v>502</v>
      </c>
      <c r="C83" s="3">
        <v>1</v>
      </c>
      <c r="D83" s="5">
        <v>40.880000000000003</v>
      </c>
      <c r="E83" s="3">
        <v>100047671</v>
      </c>
      <c r="F83" s="2" t="s">
        <v>79</v>
      </c>
      <c r="G83" s="6" t="s">
        <v>22</v>
      </c>
      <c r="H83" s="2" t="s">
        <v>194</v>
      </c>
      <c r="I83" s="2" t="s">
        <v>503</v>
      </c>
      <c r="J83" s="2" t="s">
        <v>19</v>
      </c>
      <c r="K83" s="2" t="s">
        <v>504</v>
      </c>
      <c r="L83" s="7" t="str">
        <f>HYPERLINK("http://slimages.macys.com/is/image/MCY/11937756 ")</f>
        <v xml:space="preserve">http://slimages.macys.com/is/image/MCY/11937756 </v>
      </c>
    </row>
    <row r="84" spans="1:12" ht="36.75" x14ac:dyDescent="0.25">
      <c r="A84" s="4" t="s">
        <v>6370</v>
      </c>
      <c r="B84" s="2" t="s">
        <v>502</v>
      </c>
      <c r="C84" s="3">
        <v>1</v>
      </c>
      <c r="D84" s="5">
        <v>40.880000000000003</v>
      </c>
      <c r="E84" s="3">
        <v>100047671</v>
      </c>
      <c r="F84" s="2" t="s">
        <v>506</v>
      </c>
      <c r="G84" s="6" t="s">
        <v>112</v>
      </c>
      <c r="H84" s="2" t="s">
        <v>194</v>
      </c>
      <c r="I84" s="2" t="s">
        <v>503</v>
      </c>
      <c r="J84" s="2" t="s">
        <v>19</v>
      </c>
      <c r="K84" s="2" t="s">
        <v>504</v>
      </c>
      <c r="L84" s="7" t="str">
        <f>HYPERLINK("http://slimages.macys.com/is/image/MCY/11937756 ")</f>
        <v xml:space="preserve">http://slimages.macys.com/is/image/MCY/11937756 </v>
      </c>
    </row>
    <row r="85" spans="1:12" ht="24.75" x14ac:dyDescent="0.25">
      <c r="A85" s="4" t="s">
        <v>8506</v>
      </c>
      <c r="B85" s="2" t="s">
        <v>8507</v>
      </c>
      <c r="C85" s="3">
        <v>1</v>
      </c>
      <c r="D85" s="5">
        <v>49.5</v>
      </c>
      <c r="E85" s="3" t="s">
        <v>8508</v>
      </c>
      <c r="F85" s="2" t="s">
        <v>74</v>
      </c>
      <c r="G85" s="6" t="s">
        <v>16</v>
      </c>
      <c r="H85" s="2" t="s">
        <v>246</v>
      </c>
      <c r="I85" s="2" t="s">
        <v>189</v>
      </c>
      <c r="J85" s="2" t="s">
        <v>19</v>
      </c>
      <c r="K85" s="2" t="s">
        <v>137</v>
      </c>
      <c r="L85" s="7" t="str">
        <f>HYPERLINK("http://slimages.macys.com/is/image/MCY/11746339 ")</f>
        <v xml:space="preserve">http://slimages.macys.com/is/image/MCY/11746339 </v>
      </c>
    </row>
    <row r="86" spans="1:12" ht="24.75" x14ac:dyDescent="0.25">
      <c r="A86" s="4" t="s">
        <v>8509</v>
      </c>
      <c r="B86" s="2" t="s">
        <v>8510</v>
      </c>
      <c r="C86" s="3">
        <v>1</v>
      </c>
      <c r="D86" s="5">
        <v>52.13</v>
      </c>
      <c r="E86" s="3" t="s">
        <v>8511</v>
      </c>
      <c r="F86" s="2" t="s">
        <v>26</v>
      </c>
      <c r="G86" s="6" t="s">
        <v>234</v>
      </c>
      <c r="H86" s="2" t="s">
        <v>246</v>
      </c>
      <c r="I86" s="2" t="s">
        <v>189</v>
      </c>
      <c r="J86" s="2" t="s">
        <v>19</v>
      </c>
      <c r="K86" s="2" t="s">
        <v>3423</v>
      </c>
      <c r="L86" s="7" t="str">
        <f>HYPERLINK("http://slimages.macys.com/is/image/MCY/12326880 ")</f>
        <v xml:space="preserve">http://slimages.macys.com/is/image/MCY/12326880 </v>
      </c>
    </row>
    <row r="87" spans="1:12" ht="24.75" x14ac:dyDescent="0.25">
      <c r="A87" s="4" t="s">
        <v>8512</v>
      </c>
      <c r="B87" s="2" t="s">
        <v>7896</v>
      </c>
      <c r="C87" s="3">
        <v>1</v>
      </c>
      <c r="D87" s="5">
        <v>59.5</v>
      </c>
      <c r="E87" s="3" t="s">
        <v>7897</v>
      </c>
      <c r="F87" s="2" t="s">
        <v>74</v>
      </c>
      <c r="G87" s="6" t="s">
        <v>187</v>
      </c>
      <c r="H87" s="2" t="s">
        <v>127</v>
      </c>
      <c r="I87" s="2" t="s">
        <v>128</v>
      </c>
      <c r="J87" s="2" t="s">
        <v>19</v>
      </c>
      <c r="K87" s="2" t="s">
        <v>7061</v>
      </c>
      <c r="L87" s="7" t="str">
        <f>HYPERLINK("http://slimages.macys.com/is/image/MCY/13289969 ")</f>
        <v xml:space="preserve">http://slimages.macys.com/is/image/MCY/13289969 </v>
      </c>
    </row>
    <row r="88" spans="1:12" ht="36.75" x14ac:dyDescent="0.25">
      <c r="A88" s="4" t="s">
        <v>8513</v>
      </c>
      <c r="B88" s="2" t="s">
        <v>5493</v>
      </c>
      <c r="C88" s="3">
        <v>1</v>
      </c>
      <c r="D88" s="5">
        <v>37.130000000000003</v>
      </c>
      <c r="E88" s="3" t="s">
        <v>5494</v>
      </c>
      <c r="F88" s="2" t="s">
        <v>15</v>
      </c>
      <c r="G88" s="6" t="s">
        <v>181</v>
      </c>
      <c r="H88" s="2" t="s">
        <v>284</v>
      </c>
      <c r="I88" s="2" t="s">
        <v>285</v>
      </c>
      <c r="J88" s="2" t="s">
        <v>19</v>
      </c>
      <c r="K88" s="2" t="s">
        <v>2419</v>
      </c>
      <c r="L88" s="7" t="str">
        <f>HYPERLINK("http://slimages.macys.com/is/image/MCY/9678472 ")</f>
        <v xml:space="preserve">http://slimages.macys.com/is/image/MCY/9678472 </v>
      </c>
    </row>
    <row r="89" spans="1:12" ht="36.75" x14ac:dyDescent="0.25">
      <c r="A89" s="4" t="s">
        <v>3442</v>
      </c>
      <c r="B89" s="2" t="s">
        <v>519</v>
      </c>
      <c r="C89" s="3">
        <v>1</v>
      </c>
      <c r="D89" s="5">
        <v>44.63</v>
      </c>
      <c r="E89" s="3" t="s">
        <v>520</v>
      </c>
      <c r="F89" s="2" t="s">
        <v>74</v>
      </c>
      <c r="G89" s="6" t="s">
        <v>234</v>
      </c>
      <c r="H89" s="2" t="s">
        <v>194</v>
      </c>
      <c r="I89" s="2" t="s">
        <v>195</v>
      </c>
      <c r="J89" s="2" t="s">
        <v>19</v>
      </c>
      <c r="K89" s="2" t="s">
        <v>521</v>
      </c>
      <c r="L89" s="7" t="str">
        <f>HYPERLINK("http://slimages.macys.com/is/image/MCY/12279325 ")</f>
        <v xml:space="preserve">http://slimages.macys.com/is/image/MCY/12279325 </v>
      </c>
    </row>
    <row r="90" spans="1:12" ht="36.75" x14ac:dyDescent="0.25">
      <c r="A90" s="4" t="s">
        <v>3444</v>
      </c>
      <c r="B90" s="2" t="s">
        <v>519</v>
      </c>
      <c r="C90" s="3">
        <v>1</v>
      </c>
      <c r="D90" s="5">
        <v>44.63</v>
      </c>
      <c r="E90" s="3" t="s">
        <v>520</v>
      </c>
      <c r="F90" s="2" t="s">
        <v>74</v>
      </c>
      <c r="G90" s="6" t="s">
        <v>156</v>
      </c>
      <c r="H90" s="2" t="s">
        <v>194</v>
      </c>
      <c r="I90" s="2" t="s">
        <v>195</v>
      </c>
      <c r="J90" s="2" t="s">
        <v>19</v>
      </c>
      <c r="K90" s="2" t="s">
        <v>521</v>
      </c>
      <c r="L90" s="7" t="str">
        <f>HYPERLINK("http://slimages.macys.com/is/image/MCY/12279325 ")</f>
        <v xml:space="preserve">http://slimages.macys.com/is/image/MCY/12279325 </v>
      </c>
    </row>
    <row r="91" spans="1:12" ht="24.75" x14ac:dyDescent="0.25">
      <c r="A91" s="4" t="s">
        <v>8514</v>
      </c>
      <c r="B91" s="2" t="s">
        <v>8515</v>
      </c>
      <c r="C91" s="3">
        <v>1</v>
      </c>
      <c r="D91" s="5">
        <v>59.5</v>
      </c>
      <c r="E91" s="3" t="s">
        <v>8516</v>
      </c>
      <c r="F91" s="2" t="s">
        <v>820</v>
      </c>
      <c r="G91" s="6"/>
      <c r="H91" s="2" t="s">
        <v>127</v>
      </c>
      <c r="I91" s="2" t="s">
        <v>128</v>
      </c>
      <c r="J91" s="2" t="s">
        <v>19</v>
      </c>
      <c r="K91" s="2" t="s">
        <v>75</v>
      </c>
      <c r="L91" s="7" t="str">
        <f>HYPERLINK("http://slimages.macys.com/is/image/MCY/11787786 ")</f>
        <v xml:space="preserve">http://slimages.macys.com/is/image/MCY/11787786 </v>
      </c>
    </row>
    <row r="92" spans="1:12" ht="24.75" x14ac:dyDescent="0.25">
      <c r="A92" s="4" t="s">
        <v>526</v>
      </c>
      <c r="B92" s="2" t="s">
        <v>527</v>
      </c>
      <c r="C92" s="3">
        <v>1</v>
      </c>
      <c r="D92" s="5">
        <v>48.38</v>
      </c>
      <c r="E92" s="3" t="s">
        <v>528</v>
      </c>
      <c r="F92" s="2" t="s">
        <v>417</v>
      </c>
      <c r="G92" s="6"/>
      <c r="H92" s="2" t="s">
        <v>349</v>
      </c>
      <c r="I92" s="2" t="s">
        <v>285</v>
      </c>
      <c r="J92" s="2" t="s">
        <v>19</v>
      </c>
      <c r="K92" s="2" t="s">
        <v>160</v>
      </c>
      <c r="L92" s="7" t="str">
        <f>HYPERLINK("http://slimages.macys.com/is/image/MCY/12715708 ")</f>
        <v xml:space="preserve">http://slimages.macys.com/is/image/MCY/12715708 </v>
      </c>
    </row>
    <row r="93" spans="1:12" ht="24.75" x14ac:dyDescent="0.25">
      <c r="A93" s="4" t="s">
        <v>8517</v>
      </c>
      <c r="B93" s="2" t="s">
        <v>5499</v>
      </c>
      <c r="C93" s="3">
        <v>1</v>
      </c>
      <c r="D93" s="5">
        <v>37.130000000000003</v>
      </c>
      <c r="E93" s="3" t="s">
        <v>5500</v>
      </c>
      <c r="F93" s="2" t="s">
        <v>26</v>
      </c>
      <c r="G93" s="6" t="s">
        <v>200</v>
      </c>
      <c r="H93" s="2" t="s">
        <v>284</v>
      </c>
      <c r="I93" s="2" t="s">
        <v>408</v>
      </c>
      <c r="J93" s="2" t="s">
        <v>19</v>
      </c>
      <c r="K93" s="2" t="s">
        <v>409</v>
      </c>
      <c r="L93" s="7" t="str">
        <f>HYPERLINK("http://slimages.macys.com/is/image/MCY/12877285 ")</f>
        <v xml:space="preserve">http://slimages.macys.com/is/image/MCY/12877285 </v>
      </c>
    </row>
    <row r="94" spans="1:12" ht="24.75" x14ac:dyDescent="0.25">
      <c r="A94" s="4" t="s">
        <v>2315</v>
      </c>
      <c r="B94" s="2" t="s">
        <v>530</v>
      </c>
      <c r="C94" s="3">
        <v>1</v>
      </c>
      <c r="D94" s="5">
        <v>44.63</v>
      </c>
      <c r="E94" s="3" t="s">
        <v>531</v>
      </c>
      <c r="F94" s="2" t="s">
        <v>532</v>
      </c>
      <c r="G94" s="6" t="s">
        <v>234</v>
      </c>
      <c r="H94" s="2" t="s">
        <v>194</v>
      </c>
      <c r="I94" s="2" t="s">
        <v>195</v>
      </c>
      <c r="J94" s="2" t="s">
        <v>19</v>
      </c>
      <c r="K94" s="2" t="s">
        <v>533</v>
      </c>
      <c r="L94" s="7" t="str">
        <f>HYPERLINK("http://slimages.macys.com/is/image/MCY/12316730 ")</f>
        <v xml:space="preserve">http://slimages.macys.com/is/image/MCY/12316730 </v>
      </c>
    </row>
    <row r="95" spans="1:12" ht="24.75" x14ac:dyDescent="0.25">
      <c r="A95" s="4" t="s">
        <v>4587</v>
      </c>
      <c r="B95" s="2" t="s">
        <v>530</v>
      </c>
      <c r="C95" s="3">
        <v>1</v>
      </c>
      <c r="D95" s="5">
        <v>44.63</v>
      </c>
      <c r="E95" s="3" t="s">
        <v>531</v>
      </c>
      <c r="F95" s="2" t="s">
        <v>532</v>
      </c>
      <c r="G95" s="6" t="s">
        <v>200</v>
      </c>
      <c r="H95" s="2" t="s">
        <v>194</v>
      </c>
      <c r="I95" s="2" t="s">
        <v>195</v>
      </c>
      <c r="J95" s="2" t="s">
        <v>19</v>
      </c>
      <c r="K95" s="2" t="s">
        <v>533</v>
      </c>
      <c r="L95" s="7" t="str">
        <f>HYPERLINK("http://slimages.macys.com/is/image/MCY/12316730 ")</f>
        <v xml:space="preserve">http://slimages.macys.com/is/image/MCY/12316730 </v>
      </c>
    </row>
    <row r="96" spans="1:12" ht="24.75" x14ac:dyDescent="0.25">
      <c r="A96" s="4" t="s">
        <v>2320</v>
      </c>
      <c r="B96" s="2" t="s">
        <v>530</v>
      </c>
      <c r="C96" s="3">
        <v>2</v>
      </c>
      <c r="D96" s="5">
        <v>44.63</v>
      </c>
      <c r="E96" s="3" t="s">
        <v>531</v>
      </c>
      <c r="F96" s="2" t="s">
        <v>532</v>
      </c>
      <c r="G96" s="6" t="s">
        <v>154</v>
      </c>
      <c r="H96" s="2" t="s">
        <v>194</v>
      </c>
      <c r="I96" s="2" t="s">
        <v>195</v>
      </c>
      <c r="J96" s="2" t="s">
        <v>19</v>
      </c>
      <c r="K96" s="2" t="s">
        <v>533</v>
      </c>
      <c r="L96" s="7" t="str">
        <f>HYPERLINK("http://slimages.macys.com/is/image/MCY/12316730 ")</f>
        <v xml:space="preserve">http://slimages.macys.com/is/image/MCY/12316730 </v>
      </c>
    </row>
    <row r="97" spans="1:12" ht="48.75" x14ac:dyDescent="0.25">
      <c r="A97" s="4" t="s">
        <v>8518</v>
      </c>
      <c r="B97" s="2" t="s">
        <v>4590</v>
      </c>
      <c r="C97" s="3">
        <v>1</v>
      </c>
      <c r="D97" s="5">
        <v>37.130000000000003</v>
      </c>
      <c r="E97" s="3" t="s">
        <v>4591</v>
      </c>
      <c r="F97" s="2" t="s">
        <v>26</v>
      </c>
      <c r="G97" s="6" t="s">
        <v>200</v>
      </c>
      <c r="H97" s="2" t="s">
        <v>284</v>
      </c>
      <c r="I97" s="2" t="s">
        <v>408</v>
      </c>
      <c r="J97" s="2" t="s">
        <v>19</v>
      </c>
      <c r="K97" s="2" t="s">
        <v>3515</v>
      </c>
      <c r="L97" s="7" t="str">
        <f>HYPERLINK("http://slimages.macys.com/is/image/MCY/12342823 ")</f>
        <v xml:space="preserve">http://slimages.macys.com/is/image/MCY/12342823 </v>
      </c>
    </row>
    <row r="98" spans="1:12" ht="24.75" x14ac:dyDescent="0.25">
      <c r="A98" s="4" t="s">
        <v>547</v>
      </c>
      <c r="B98" s="2" t="s">
        <v>548</v>
      </c>
      <c r="C98" s="3">
        <v>1</v>
      </c>
      <c r="D98" s="5">
        <v>44.5</v>
      </c>
      <c r="E98" s="3" t="s">
        <v>549</v>
      </c>
      <c r="F98" s="2" t="s">
        <v>252</v>
      </c>
      <c r="G98" s="6" t="s">
        <v>181</v>
      </c>
      <c r="H98" s="2" t="s">
        <v>194</v>
      </c>
      <c r="I98" s="2" t="s">
        <v>195</v>
      </c>
      <c r="J98" s="2" t="s">
        <v>19</v>
      </c>
      <c r="K98" s="2" t="s">
        <v>34</v>
      </c>
      <c r="L98" s="7" t="str">
        <f>HYPERLINK("http://slimages.macys.com/is/image/MCY/11527016 ")</f>
        <v xml:space="preserve">http://slimages.macys.com/is/image/MCY/11527016 </v>
      </c>
    </row>
    <row r="99" spans="1:12" ht="24.75" x14ac:dyDescent="0.25">
      <c r="A99" s="4" t="s">
        <v>2323</v>
      </c>
      <c r="B99" s="2" t="s">
        <v>548</v>
      </c>
      <c r="C99" s="3">
        <v>1</v>
      </c>
      <c r="D99" s="5">
        <v>44.5</v>
      </c>
      <c r="E99" s="3" t="s">
        <v>549</v>
      </c>
      <c r="F99" s="2" t="s">
        <v>252</v>
      </c>
      <c r="G99" s="6" t="s">
        <v>156</v>
      </c>
      <c r="H99" s="2" t="s">
        <v>194</v>
      </c>
      <c r="I99" s="2" t="s">
        <v>195</v>
      </c>
      <c r="J99" s="2" t="s">
        <v>19</v>
      </c>
      <c r="K99" s="2" t="s">
        <v>34</v>
      </c>
      <c r="L99" s="7" t="str">
        <f>HYPERLINK("http://slimages.macys.com/is/image/MCY/11527016 ")</f>
        <v xml:space="preserve">http://slimages.macys.com/is/image/MCY/11527016 </v>
      </c>
    </row>
    <row r="100" spans="1:12" ht="48.75" x14ac:dyDescent="0.25">
      <c r="A100" s="4" t="s">
        <v>2326</v>
      </c>
      <c r="B100" s="2" t="s">
        <v>551</v>
      </c>
      <c r="C100" s="3">
        <v>1</v>
      </c>
      <c r="D100" s="5">
        <v>48</v>
      </c>
      <c r="E100" s="3">
        <v>100053418</v>
      </c>
      <c r="F100" s="2" t="s">
        <v>26</v>
      </c>
      <c r="G100" s="6" t="s">
        <v>156</v>
      </c>
      <c r="H100" s="2" t="s">
        <v>228</v>
      </c>
      <c r="I100" s="2" t="s">
        <v>229</v>
      </c>
      <c r="J100" s="2" t="s">
        <v>19</v>
      </c>
      <c r="K100" s="2" t="s">
        <v>552</v>
      </c>
      <c r="L100" s="7" t="str">
        <f>HYPERLINK("http://slimages.macys.com/is/image/MCY/12158587 ")</f>
        <v xml:space="preserve">http://slimages.macys.com/is/image/MCY/12158587 </v>
      </c>
    </row>
    <row r="101" spans="1:12" ht="24.75" x14ac:dyDescent="0.25">
      <c r="A101" s="4" t="s">
        <v>8519</v>
      </c>
      <c r="B101" s="2" t="s">
        <v>8520</v>
      </c>
      <c r="C101" s="3">
        <v>1</v>
      </c>
      <c r="D101" s="5">
        <v>49.5</v>
      </c>
      <c r="E101" s="3" t="s">
        <v>8521</v>
      </c>
      <c r="F101" s="2" t="s">
        <v>74</v>
      </c>
      <c r="G101" s="6" t="s">
        <v>205</v>
      </c>
      <c r="H101" s="2" t="s">
        <v>127</v>
      </c>
      <c r="I101" s="2" t="s">
        <v>128</v>
      </c>
      <c r="J101" s="2" t="s">
        <v>19</v>
      </c>
      <c r="K101" s="2" t="s">
        <v>361</v>
      </c>
      <c r="L101" s="7" t="str">
        <f>HYPERLINK("http://slimages.macys.com/is/image/MCY/8164680 ")</f>
        <v xml:space="preserve">http://slimages.macys.com/is/image/MCY/8164680 </v>
      </c>
    </row>
    <row r="102" spans="1:12" ht="24.75" x14ac:dyDescent="0.25">
      <c r="A102" s="4" t="s">
        <v>7161</v>
      </c>
      <c r="B102" s="2" t="s">
        <v>560</v>
      </c>
      <c r="C102" s="3">
        <v>1</v>
      </c>
      <c r="D102" s="5">
        <v>39.5</v>
      </c>
      <c r="E102" s="3" t="s">
        <v>561</v>
      </c>
      <c r="F102" s="2" t="s">
        <v>562</v>
      </c>
      <c r="G102" s="6" t="s">
        <v>200</v>
      </c>
      <c r="H102" s="2" t="s">
        <v>194</v>
      </c>
      <c r="I102" s="2" t="s">
        <v>195</v>
      </c>
      <c r="J102" s="2" t="s">
        <v>19</v>
      </c>
      <c r="K102" s="2" t="s">
        <v>151</v>
      </c>
      <c r="L102" s="7" t="str">
        <f>HYPERLINK("http://slimages.macys.com/is/image/MCY/11937879 ")</f>
        <v xml:space="preserve">http://slimages.macys.com/is/image/MCY/11937879 </v>
      </c>
    </row>
    <row r="103" spans="1:12" ht="24.75" x14ac:dyDescent="0.25">
      <c r="A103" s="4" t="s">
        <v>2333</v>
      </c>
      <c r="B103" s="2" t="s">
        <v>2334</v>
      </c>
      <c r="C103" s="3">
        <v>1</v>
      </c>
      <c r="D103" s="5">
        <v>59.5</v>
      </c>
      <c r="E103" s="3" t="s">
        <v>2335</v>
      </c>
      <c r="F103" s="2" t="s">
        <v>74</v>
      </c>
      <c r="G103" s="6" t="s">
        <v>187</v>
      </c>
      <c r="H103" s="2" t="s">
        <v>127</v>
      </c>
      <c r="I103" s="2" t="s">
        <v>128</v>
      </c>
      <c r="J103" s="2" t="s">
        <v>19</v>
      </c>
      <c r="K103" s="2" t="s">
        <v>160</v>
      </c>
      <c r="L103" s="7" t="str">
        <f>HYPERLINK("http://slimages.macys.com/is/image/MCY/9599934 ")</f>
        <v xml:space="preserve">http://slimages.macys.com/is/image/MCY/9599934 </v>
      </c>
    </row>
    <row r="104" spans="1:12" ht="24.75" x14ac:dyDescent="0.25">
      <c r="A104" s="4" t="s">
        <v>5510</v>
      </c>
      <c r="B104" s="2" t="s">
        <v>3461</v>
      </c>
      <c r="C104" s="3">
        <v>3</v>
      </c>
      <c r="D104" s="5">
        <v>40.880000000000003</v>
      </c>
      <c r="E104" s="3" t="s">
        <v>3462</v>
      </c>
      <c r="F104" s="2" t="s">
        <v>26</v>
      </c>
      <c r="G104" s="6" t="s">
        <v>234</v>
      </c>
      <c r="H104" s="2" t="s">
        <v>284</v>
      </c>
      <c r="I104" s="2" t="s">
        <v>285</v>
      </c>
      <c r="J104" s="2" t="s">
        <v>19</v>
      </c>
      <c r="K104" s="2" t="s">
        <v>2204</v>
      </c>
      <c r="L104" s="7" t="str">
        <f>HYPERLINK("http://slimages.macys.com/is/image/MCY/12035057 ")</f>
        <v xml:space="preserve">http://slimages.macys.com/is/image/MCY/12035057 </v>
      </c>
    </row>
    <row r="105" spans="1:12" ht="24.75" x14ac:dyDescent="0.25">
      <c r="A105" s="4" t="s">
        <v>8522</v>
      </c>
      <c r="B105" s="2" t="s">
        <v>8523</v>
      </c>
      <c r="C105" s="3">
        <v>1</v>
      </c>
      <c r="D105" s="5">
        <v>40.880000000000003</v>
      </c>
      <c r="E105" s="3" t="s">
        <v>8524</v>
      </c>
      <c r="F105" s="2" t="s">
        <v>15</v>
      </c>
      <c r="G105" s="6"/>
      <c r="H105" s="2" t="s">
        <v>312</v>
      </c>
      <c r="I105" s="2" t="s">
        <v>195</v>
      </c>
      <c r="J105" s="2" t="s">
        <v>19</v>
      </c>
      <c r="K105" s="2" t="s">
        <v>201</v>
      </c>
      <c r="L105" s="7" t="str">
        <f>HYPERLINK("http://slimages.macys.com/is/image/MCY/11804459 ")</f>
        <v xml:space="preserve">http://slimages.macys.com/is/image/MCY/11804459 </v>
      </c>
    </row>
    <row r="106" spans="1:12" ht="24.75" x14ac:dyDescent="0.25">
      <c r="A106" s="4" t="s">
        <v>596</v>
      </c>
      <c r="B106" s="2" t="s">
        <v>595</v>
      </c>
      <c r="C106" s="3">
        <v>2</v>
      </c>
      <c r="D106" s="5">
        <v>44.63</v>
      </c>
      <c r="E106" s="3">
        <v>100018127</v>
      </c>
      <c r="F106" s="2" t="s">
        <v>579</v>
      </c>
      <c r="G106" s="6" t="s">
        <v>154</v>
      </c>
      <c r="H106" s="2" t="s">
        <v>194</v>
      </c>
      <c r="I106" s="2" t="s">
        <v>195</v>
      </c>
      <c r="J106" s="2" t="s">
        <v>19</v>
      </c>
      <c r="K106" s="2" t="s">
        <v>34</v>
      </c>
      <c r="L106" s="7" t="str">
        <f>HYPERLINK("http://slimages.macys.com/is/image/MCY/9694255 ")</f>
        <v xml:space="preserve">http://slimages.macys.com/is/image/MCY/9694255 </v>
      </c>
    </row>
    <row r="107" spans="1:12" ht="24.75" x14ac:dyDescent="0.25">
      <c r="A107" s="4" t="s">
        <v>8525</v>
      </c>
      <c r="B107" s="2" t="s">
        <v>2223</v>
      </c>
      <c r="C107" s="3">
        <v>2</v>
      </c>
      <c r="D107" s="5">
        <v>40.880000000000003</v>
      </c>
      <c r="E107" s="3" t="s">
        <v>4597</v>
      </c>
      <c r="F107" s="2" t="s">
        <v>26</v>
      </c>
      <c r="G107" s="6" t="s">
        <v>234</v>
      </c>
      <c r="H107" s="2" t="s">
        <v>284</v>
      </c>
      <c r="I107" s="2" t="s">
        <v>285</v>
      </c>
      <c r="J107" s="2" t="s">
        <v>19</v>
      </c>
      <c r="K107" s="2" t="s">
        <v>323</v>
      </c>
      <c r="L107" s="7" t="str">
        <f>HYPERLINK("http://slimages.macys.com/is/image/MCY/12285170 ")</f>
        <v xml:space="preserve">http://slimages.macys.com/is/image/MCY/12285170 </v>
      </c>
    </row>
    <row r="108" spans="1:12" ht="24.75" x14ac:dyDescent="0.25">
      <c r="A108" s="4" t="s">
        <v>7176</v>
      </c>
      <c r="B108" s="2" t="s">
        <v>2223</v>
      </c>
      <c r="C108" s="3">
        <v>1</v>
      </c>
      <c r="D108" s="5">
        <v>40.880000000000003</v>
      </c>
      <c r="E108" s="3" t="s">
        <v>4597</v>
      </c>
      <c r="F108" s="2" t="s">
        <v>26</v>
      </c>
      <c r="G108" s="6" t="s">
        <v>181</v>
      </c>
      <c r="H108" s="2" t="s">
        <v>284</v>
      </c>
      <c r="I108" s="2" t="s">
        <v>285</v>
      </c>
      <c r="J108" s="2" t="s">
        <v>19</v>
      </c>
      <c r="K108" s="2" t="s">
        <v>323</v>
      </c>
      <c r="L108" s="7" t="str">
        <f>HYPERLINK("http://slimages.macys.com/is/image/MCY/12285170 ")</f>
        <v xml:space="preserve">http://slimages.macys.com/is/image/MCY/12285170 </v>
      </c>
    </row>
    <row r="109" spans="1:12" ht="24.75" x14ac:dyDescent="0.25">
      <c r="A109" s="4" t="s">
        <v>8526</v>
      </c>
      <c r="B109" s="2" t="s">
        <v>595</v>
      </c>
      <c r="C109" s="3">
        <v>1</v>
      </c>
      <c r="D109" s="5">
        <v>44.63</v>
      </c>
      <c r="E109" s="3">
        <v>100018127</v>
      </c>
      <c r="F109" s="2" t="s">
        <v>579</v>
      </c>
      <c r="G109" s="6" t="s">
        <v>234</v>
      </c>
      <c r="H109" s="2" t="s">
        <v>194</v>
      </c>
      <c r="I109" s="2" t="s">
        <v>195</v>
      </c>
      <c r="J109" s="2" t="s">
        <v>19</v>
      </c>
      <c r="K109" s="2" t="s">
        <v>34</v>
      </c>
      <c r="L109" s="7" t="str">
        <f>HYPERLINK("http://slimages.macys.com/is/image/MCY/9694255 ")</f>
        <v xml:space="preserve">http://slimages.macys.com/is/image/MCY/9694255 </v>
      </c>
    </row>
    <row r="110" spans="1:12" ht="24.75" x14ac:dyDescent="0.25">
      <c r="A110" s="4" t="s">
        <v>8527</v>
      </c>
      <c r="B110" s="2" t="s">
        <v>8528</v>
      </c>
      <c r="C110" s="3">
        <v>1</v>
      </c>
      <c r="D110" s="5">
        <v>51.5</v>
      </c>
      <c r="E110" s="3" t="s">
        <v>8529</v>
      </c>
      <c r="F110" s="2" t="s">
        <v>26</v>
      </c>
      <c r="G110" s="6" t="s">
        <v>154</v>
      </c>
      <c r="H110" s="2" t="s">
        <v>246</v>
      </c>
      <c r="I110" s="2" t="s">
        <v>189</v>
      </c>
      <c r="J110" s="2" t="s">
        <v>19</v>
      </c>
      <c r="K110" s="2" t="s">
        <v>34</v>
      </c>
      <c r="L110" s="7" t="str">
        <f>HYPERLINK("http://slimages.macys.com/is/image/MCY/11746920 ")</f>
        <v xml:space="preserve">http://slimages.macys.com/is/image/MCY/11746920 </v>
      </c>
    </row>
    <row r="111" spans="1:12" ht="48.75" x14ac:dyDescent="0.25">
      <c r="A111" s="4" t="s">
        <v>4598</v>
      </c>
      <c r="B111" s="2" t="s">
        <v>599</v>
      </c>
      <c r="C111" s="3">
        <v>1</v>
      </c>
      <c r="D111" s="5">
        <v>37.130000000000003</v>
      </c>
      <c r="E111" s="3" t="s">
        <v>600</v>
      </c>
      <c r="F111" s="2" t="s">
        <v>125</v>
      </c>
      <c r="G111" s="6" t="s">
        <v>200</v>
      </c>
      <c r="H111" s="2" t="s">
        <v>194</v>
      </c>
      <c r="I111" s="2" t="s">
        <v>195</v>
      </c>
      <c r="J111" s="2" t="s">
        <v>19</v>
      </c>
      <c r="K111" s="2" t="s">
        <v>601</v>
      </c>
      <c r="L111" s="7" t="str">
        <f>HYPERLINK("http://slimages.macys.com/is/image/MCY/12734338 ")</f>
        <v xml:space="preserve">http://slimages.macys.com/is/image/MCY/12734338 </v>
      </c>
    </row>
    <row r="112" spans="1:12" ht="48.75" x14ac:dyDescent="0.25">
      <c r="A112" s="4" t="s">
        <v>4599</v>
      </c>
      <c r="B112" s="2" t="s">
        <v>599</v>
      </c>
      <c r="C112" s="3">
        <v>1</v>
      </c>
      <c r="D112" s="5">
        <v>37.130000000000003</v>
      </c>
      <c r="E112" s="3" t="s">
        <v>600</v>
      </c>
      <c r="F112" s="2" t="s">
        <v>15</v>
      </c>
      <c r="G112" s="6" t="s">
        <v>200</v>
      </c>
      <c r="H112" s="2" t="s">
        <v>194</v>
      </c>
      <c r="I112" s="2" t="s">
        <v>195</v>
      </c>
      <c r="J112" s="2" t="s">
        <v>19</v>
      </c>
      <c r="K112" s="2" t="s">
        <v>601</v>
      </c>
      <c r="L112" s="7" t="str">
        <f>HYPERLINK("http://slimages.macys.com/is/image/MCY/12734338 ")</f>
        <v xml:space="preserve">http://slimages.macys.com/is/image/MCY/12734338 </v>
      </c>
    </row>
    <row r="113" spans="1:12" ht="48.75" x14ac:dyDescent="0.25">
      <c r="A113" s="4" t="s">
        <v>603</v>
      </c>
      <c r="B113" s="2" t="s">
        <v>599</v>
      </c>
      <c r="C113" s="3">
        <v>2</v>
      </c>
      <c r="D113" s="5">
        <v>37.130000000000003</v>
      </c>
      <c r="E113" s="3" t="s">
        <v>600</v>
      </c>
      <c r="F113" s="2" t="s">
        <v>125</v>
      </c>
      <c r="G113" s="6" t="s">
        <v>154</v>
      </c>
      <c r="H113" s="2" t="s">
        <v>194</v>
      </c>
      <c r="I113" s="2" t="s">
        <v>195</v>
      </c>
      <c r="J113" s="2" t="s">
        <v>19</v>
      </c>
      <c r="K113" s="2" t="s">
        <v>601</v>
      </c>
      <c r="L113" s="7" t="str">
        <f>HYPERLINK("http://slimages.macys.com/is/image/MCY/12734338 ")</f>
        <v xml:space="preserve">http://slimages.macys.com/is/image/MCY/12734338 </v>
      </c>
    </row>
    <row r="114" spans="1:12" ht="24.75" x14ac:dyDescent="0.25">
      <c r="A114" s="4" t="s">
        <v>2348</v>
      </c>
      <c r="B114" s="2" t="s">
        <v>612</v>
      </c>
      <c r="C114" s="3">
        <v>1</v>
      </c>
      <c r="D114" s="5">
        <v>37.130000000000003</v>
      </c>
      <c r="E114" s="3">
        <v>100042366</v>
      </c>
      <c r="F114" s="2" t="s">
        <v>111</v>
      </c>
      <c r="G114" s="6" t="s">
        <v>181</v>
      </c>
      <c r="H114" s="2" t="s">
        <v>194</v>
      </c>
      <c r="I114" s="2" t="s">
        <v>195</v>
      </c>
      <c r="J114" s="2" t="s">
        <v>19</v>
      </c>
      <c r="K114" s="2" t="s">
        <v>546</v>
      </c>
      <c r="L114" s="7" t="str">
        <f>HYPERLINK("http://slimages.macys.com/is/image/MCY/12734278 ")</f>
        <v xml:space="preserve">http://slimages.macys.com/is/image/MCY/12734278 </v>
      </c>
    </row>
    <row r="115" spans="1:12" ht="24.75" x14ac:dyDescent="0.25">
      <c r="A115" s="4" t="s">
        <v>5521</v>
      </c>
      <c r="B115" s="2" t="s">
        <v>612</v>
      </c>
      <c r="C115" s="3">
        <v>1</v>
      </c>
      <c r="D115" s="5">
        <v>37.130000000000003</v>
      </c>
      <c r="E115" s="3">
        <v>100042366</v>
      </c>
      <c r="F115" s="2" t="s">
        <v>111</v>
      </c>
      <c r="G115" s="6" t="s">
        <v>154</v>
      </c>
      <c r="H115" s="2" t="s">
        <v>194</v>
      </c>
      <c r="I115" s="2" t="s">
        <v>195</v>
      </c>
      <c r="J115" s="2" t="s">
        <v>19</v>
      </c>
      <c r="K115" s="2" t="s">
        <v>546</v>
      </c>
      <c r="L115" s="7" t="str">
        <f>HYPERLINK("http://slimages.macys.com/is/image/MCY/12734278 ")</f>
        <v xml:space="preserve">http://slimages.macys.com/is/image/MCY/12734278 </v>
      </c>
    </row>
    <row r="116" spans="1:12" ht="24.75" x14ac:dyDescent="0.25">
      <c r="A116" s="4" t="s">
        <v>618</v>
      </c>
      <c r="B116" s="2" t="s">
        <v>617</v>
      </c>
      <c r="C116" s="3">
        <v>1</v>
      </c>
      <c r="D116" s="5">
        <v>44.63</v>
      </c>
      <c r="E116" s="3">
        <v>100054444</v>
      </c>
      <c r="F116" s="2" t="s">
        <v>111</v>
      </c>
      <c r="G116" s="6" t="s">
        <v>200</v>
      </c>
      <c r="H116" s="2" t="s">
        <v>194</v>
      </c>
      <c r="I116" s="2" t="s">
        <v>195</v>
      </c>
      <c r="J116" s="2" t="s">
        <v>19</v>
      </c>
      <c r="K116" s="2" t="s">
        <v>546</v>
      </c>
      <c r="L116" s="7" t="str">
        <f>HYPERLINK("http://slimages.macys.com/is/image/MCY/12279794 ")</f>
        <v xml:space="preserve">http://slimages.macys.com/is/image/MCY/12279794 </v>
      </c>
    </row>
    <row r="117" spans="1:12" ht="48.75" x14ac:dyDescent="0.25">
      <c r="A117" s="4" t="s">
        <v>4608</v>
      </c>
      <c r="B117" s="2" t="s">
        <v>3478</v>
      </c>
      <c r="C117" s="3">
        <v>1</v>
      </c>
      <c r="D117" s="5">
        <v>79.5</v>
      </c>
      <c r="E117" s="3" t="s">
        <v>3479</v>
      </c>
      <c r="F117" s="2" t="s">
        <v>74</v>
      </c>
      <c r="G117" s="6" t="s">
        <v>219</v>
      </c>
      <c r="H117" s="2" t="s">
        <v>206</v>
      </c>
      <c r="I117" s="2" t="s">
        <v>207</v>
      </c>
      <c r="J117" s="2" t="s">
        <v>19</v>
      </c>
      <c r="K117" s="2" t="s">
        <v>3484</v>
      </c>
      <c r="L117" s="7" t="str">
        <f>HYPERLINK("http://slimages.macys.com/is/image/MCY/9043583 ")</f>
        <v xml:space="preserve">http://slimages.macys.com/is/image/MCY/9043583 </v>
      </c>
    </row>
    <row r="118" spans="1:12" ht="24.75" x14ac:dyDescent="0.25">
      <c r="A118" s="4" t="s">
        <v>8530</v>
      </c>
      <c r="B118" s="2" t="s">
        <v>8531</v>
      </c>
      <c r="C118" s="3">
        <v>3</v>
      </c>
      <c r="D118" s="5">
        <v>44.63</v>
      </c>
      <c r="E118" s="3" t="s">
        <v>8532</v>
      </c>
      <c r="F118" s="2" t="s">
        <v>15</v>
      </c>
      <c r="G118" s="6" t="s">
        <v>181</v>
      </c>
      <c r="H118" s="2" t="s">
        <v>246</v>
      </c>
      <c r="I118" s="2" t="s">
        <v>189</v>
      </c>
      <c r="J118" s="2" t="s">
        <v>19</v>
      </c>
      <c r="K118" s="2" t="s">
        <v>160</v>
      </c>
      <c r="L118" s="7" t="str">
        <f>HYPERLINK("http://slimages.macys.com/is/image/MCY/10679194 ")</f>
        <v xml:space="preserve">http://slimages.macys.com/is/image/MCY/10679194 </v>
      </c>
    </row>
    <row r="119" spans="1:12" ht="24.75" x14ac:dyDescent="0.25">
      <c r="A119" s="4" t="s">
        <v>8533</v>
      </c>
      <c r="B119" s="2" t="s">
        <v>8531</v>
      </c>
      <c r="C119" s="3">
        <v>1</v>
      </c>
      <c r="D119" s="5">
        <v>44.63</v>
      </c>
      <c r="E119" s="3" t="s">
        <v>8532</v>
      </c>
      <c r="F119" s="2" t="s">
        <v>15</v>
      </c>
      <c r="G119" s="6" t="s">
        <v>154</v>
      </c>
      <c r="H119" s="2" t="s">
        <v>246</v>
      </c>
      <c r="I119" s="2" t="s">
        <v>189</v>
      </c>
      <c r="J119" s="2" t="s">
        <v>19</v>
      </c>
      <c r="K119" s="2" t="s">
        <v>160</v>
      </c>
      <c r="L119" s="7" t="str">
        <f>HYPERLINK("http://slimages.macys.com/is/image/MCY/10679194 ")</f>
        <v xml:space="preserve">http://slimages.macys.com/is/image/MCY/10679194 </v>
      </c>
    </row>
    <row r="120" spans="1:12" ht="24.75" x14ac:dyDescent="0.25">
      <c r="A120" s="4" t="s">
        <v>2349</v>
      </c>
      <c r="B120" s="2" t="s">
        <v>630</v>
      </c>
      <c r="C120" s="3">
        <v>1</v>
      </c>
      <c r="D120" s="5">
        <v>44.63</v>
      </c>
      <c r="E120" s="3" t="s">
        <v>631</v>
      </c>
      <c r="F120" s="2" t="s">
        <v>376</v>
      </c>
      <c r="G120" s="6"/>
      <c r="H120" s="2" t="s">
        <v>632</v>
      </c>
      <c r="I120" s="2" t="s">
        <v>285</v>
      </c>
      <c r="J120" s="2" t="s">
        <v>19</v>
      </c>
      <c r="K120" s="2" t="s">
        <v>633</v>
      </c>
      <c r="L120" s="7" t="str">
        <f>HYPERLINK("http://slimages.macys.com/is/image/MCY/9449926 ")</f>
        <v xml:space="preserve">http://slimages.macys.com/is/image/MCY/9449926 </v>
      </c>
    </row>
    <row r="121" spans="1:12" ht="24.75" x14ac:dyDescent="0.25">
      <c r="A121" s="4" t="s">
        <v>7933</v>
      </c>
      <c r="B121" s="2" t="s">
        <v>2351</v>
      </c>
      <c r="C121" s="3">
        <v>1</v>
      </c>
      <c r="D121" s="5">
        <v>37.130000000000003</v>
      </c>
      <c r="E121" s="3" t="s">
        <v>2352</v>
      </c>
      <c r="F121" s="2" t="s">
        <v>417</v>
      </c>
      <c r="G121" s="6" t="s">
        <v>156</v>
      </c>
      <c r="H121" s="2" t="s">
        <v>194</v>
      </c>
      <c r="I121" s="2" t="s">
        <v>195</v>
      </c>
      <c r="J121" s="2" t="s">
        <v>19</v>
      </c>
      <c r="K121" s="2" t="s">
        <v>438</v>
      </c>
      <c r="L121" s="7" t="str">
        <f>HYPERLINK("http://slimages.macys.com/is/image/MCY/12667948 ")</f>
        <v xml:space="preserve">http://slimages.macys.com/is/image/MCY/12667948 </v>
      </c>
    </row>
    <row r="122" spans="1:12" ht="24.75" x14ac:dyDescent="0.25">
      <c r="A122" s="4" t="s">
        <v>8534</v>
      </c>
      <c r="B122" s="2" t="s">
        <v>2351</v>
      </c>
      <c r="C122" s="3">
        <v>1</v>
      </c>
      <c r="D122" s="5">
        <v>37.130000000000003</v>
      </c>
      <c r="E122" s="3" t="s">
        <v>2352</v>
      </c>
      <c r="F122" s="2" t="s">
        <v>417</v>
      </c>
      <c r="G122" s="6" t="s">
        <v>154</v>
      </c>
      <c r="H122" s="2" t="s">
        <v>194</v>
      </c>
      <c r="I122" s="2" t="s">
        <v>195</v>
      </c>
      <c r="J122" s="2" t="s">
        <v>19</v>
      </c>
      <c r="K122" s="2" t="s">
        <v>438</v>
      </c>
      <c r="L122" s="7" t="str">
        <f>HYPERLINK("http://slimages.macys.com/is/image/MCY/12667948 ")</f>
        <v xml:space="preserve">http://slimages.macys.com/is/image/MCY/12667948 </v>
      </c>
    </row>
    <row r="123" spans="1:12" ht="24.75" x14ac:dyDescent="0.25">
      <c r="A123" s="4" t="s">
        <v>4613</v>
      </c>
      <c r="B123" s="2" t="s">
        <v>2351</v>
      </c>
      <c r="C123" s="3">
        <v>1</v>
      </c>
      <c r="D123" s="5">
        <v>37.130000000000003</v>
      </c>
      <c r="E123" s="3" t="s">
        <v>2352</v>
      </c>
      <c r="F123" s="2" t="s">
        <v>417</v>
      </c>
      <c r="G123" s="6" t="s">
        <v>234</v>
      </c>
      <c r="H123" s="2" t="s">
        <v>194</v>
      </c>
      <c r="I123" s="2" t="s">
        <v>195</v>
      </c>
      <c r="J123" s="2" t="s">
        <v>19</v>
      </c>
      <c r="K123" s="2" t="s">
        <v>438</v>
      </c>
      <c r="L123" s="7" t="str">
        <f>HYPERLINK("http://slimages.macys.com/is/image/MCY/12667948 ")</f>
        <v xml:space="preserve">http://slimages.macys.com/is/image/MCY/12667948 </v>
      </c>
    </row>
    <row r="124" spans="1:12" ht="24.75" x14ac:dyDescent="0.25">
      <c r="A124" s="4" t="s">
        <v>8535</v>
      </c>
      <c r="B124" s="2" t="s">
        <v>635</v>
      </c>
      <c r="C124" s="3">
        <v>1</v>
      </c>
      <c r="D124" s="5">
        <v>44.5</v>
      </c>
      <c r="E124" s="3" t="s">
        <v>636</v>
      </c>
      <c r="F124" s="2" t="s">
        <v>89</v>
      </c>
      <c r="G124" s="6" t="s">
        <v>27</v>
      </c>
      <c r="H124" s="2" t="s">
        <v>213</v>
      </c>
      <c r="I124" s="2" t="s">
        <v>214</v>
      </c>
      <c r="J124" s="2" t="s">
        <v>19</v>
      </c>
      <c r="K124" s="2" t="s">
        <v>253</v>
      </c>
      <c r="L124" s="7" t="str">
        <f>HYPERLINK("http://slimages.macys.com/is/image/MCY/8486169 ")</f>
        <v xml:space="preserve">http://slimages.macys.com/is/image/MCY/8486169 </v>
      </c>
    </row>
    <row r="125" spans="1:12" ht="24.75" x14ac:dyDescent="0.25">
      <c r="A125" s="4" t="s">
        <v>8536</v>
      </c>
      <c r="B125" s="2" t="s">
        <v>2351</v>
      </c>
      <c r="C125" s="3">
        <v>1</v>
      </c>
      <c r="D125" s="5">
        <v>37.130000000000003</v>
      </c>
      <c r="E125" s="3" t="s">
        <v>3497</v>
      </c>
      <c r="F125" s="2" t="s">
        <v>417</v>
      </c>
      <c r="G125" s="6"/>
      <c r="H125" s="2" t="s">
        <v>312</v>
      </c>
      <c r="I125" s="2" t="s">
        <v>195</v>
      </c>
      <c r="J125" s="2" t="s">
        <v>19</v>
      </c>
      <c r="K125" s="2" t="s">
        <v>3508</v>
      </c>
      <c r="L125" s="7" t="str">
        <f>HYPERLINK("http://slimages.macys.com/is/image/MCY/12667948 ")</f>
        <v xml:space="preserve">http://slimages.macys.com/is/image/MCY/12667948 </v>
      </c>
    </row>
    <row r="126" spans="1:12" ht="24.75" x14ac:dyDescent="0.25">
      <c r="A126" s="4" t="s">
        <v>3496</v>
      </c>
      <c r="B126" s="2" t="s">
        <v>2351</v>
      </c>
      <c r="C126" s="3">
        <v>2</v>
      </c>
      <c r="D126" s="5">
        <v>37.130000000000003</v>
      </c>
      <c r="E126" s="3" t="s">
        <v>3497</v>
      </c>
      <c r="F126" s="2" t="s">
        <v>417</v>
      </c>
      <c r="G126" s="6"/>
      <c r="H126" s="2" t="s">
        <v>312</v>
      </c>
      <c r="I126" s="2" t="s">
        <v>195</v>
      </c>
      <c r="J126" s="2" t="s">
        <v>19</v>
      </c>
      <c r="K126" s="2" t="s">
        <v>3508</v>
      </c>
      <c r="L126" s="7" t="str">
        <f>HYPERLINK("http://slimages.macys.com/is/image/MCY/12667948 ")</f>
        <v xml:space="preserve">http://slimages.macys.com/is/image/MCY/12667948 </v>
      </c>
    </row>
    <row r="127" spans="1:12" ht="24.75" x14ac:dyDescent="0.25">
      <c r="A127" s="4" t="s">
        <v>7197</v>
      </c>
      <c r="B127" s="2" t="s">
        <v>641</v>
      </c>
      <c r="C127" s="3">
        <v>2</v>
      </c>
      <c r="D127" s="5">
        <v>34.99</v>
      </c>
      <c r="E127" s="3" t="s">
        <v>644</v>
      </c>
      <c r="F127" s="2" t="s">
        <v>26</v>
      </c>
      <c r="G127" s="6" t="s">
        <v>2276</v>
      </c>
      <c r="H127" s="2" t="s">
        <v>349</v>
      </c>
      <c r="I127" s="2" t="s">
        <v>408</v>
      </c>
      <c r="J127" s="2" t="s">
        <v>19</v>
      </c>
      <c r="K127" s="2" t="s">
        <v>409</v>
      </c>
      <c r="L127" s="7" t="str">
        <f>HYPERLINK("http://slimages.macys.com/is/image/MCY/9420343 ")</f>
        <v xml:space="preserve">http://slimages.macys.com/is/image/MCY/9420343 </v>
      </c>
    </row>
    <row r="128" spans="1:12" ht="24.75" x14ac:dyDescent="0.25">
      <c r="A128" s="4" t="s">
        <v>8537</v>
      </c>
      <c r="B128" s="2" t="s">
        <v>641</v>
      </c>
      <c r="C128" s="3">
        <v>1</v>
      </c>
      <c r="D128" s="5">
        <v>34.99</v>
      </c>
      <c r="E128" s="3" t="s">
        <v>644</v>
      </c>
      <c r="F128" s="2" t="s">
        <v>26</v>
      </c>
      <c r="G128" s="6"/>
      <c r="H128" s="2" t="s">
        <v>349</v>
      </c>
      <c r="I128" s="2" t="s">
        <v>408</v>
      </c>
      <c r="J128" s="2" t="s">
        <v>19</v>
      </c>
      <c r="K128" s="2" t="s">
        <v>409</v>
      </c>
      <c r="L128" s="7" t="str">
        <f>HYPERLINK("http://slimages.macys.com/is/image/MCY/9420343 ")</f>
        <v xml:space="preserve">http://slimages.macys.com/is/image/MCY/9420343 </v>
      </c>
    </row>
    <row r="129" spans="1:12" ht="24.75" x14ac:dyDescent="0.25">
      <c r="A129" s="4" t="s">
        <v>7198</v>
      </c>
      <c r="B129" s="2" t="s">
        <v>646</v>
      </c>
      <c r="C129" s="3">
        <v>1</v>
      </c>
      <c r="D129" s="5">
        <v>39.5</v>
      </c>
      <c r="E129" s="3" t="s">
        <v>647</v>
      </c>
      <c r="F129" s="2" t="s">
        <v>33</v>
      </c>
      <c r="G129" s="6" t="s">
        <v>200</v>
      </c>
      <c r="H129" s="2" t="s">
        <v>194</v>
      </c>
      <c r="I129" s="2" t="s">
        <v>195</v>
      </c>
      <c r="J129" s="2" t="s">
        <v>19</v>
      </c>
      <c r="K129" s="2" t="s">
        <v>648</v>
      </c>
      <c r="L129" s="7" t="str">
        <f>HYPERLINK("http://slimages.macys.com/is/image/MCY/12404939 ")</f>
        <v xml:space="preserve">http://slimages.macys.com/is/image/MCY/12404939 </v>
      </c>
    </row>
    <row r="130" spans="1:12" ht="24.75" x14ac:dyDescent="0.25">
      <c r="A130" s="4" t="s">
        <v>8538</v>
      </c>
      <c r="B130" s="2" t="s">
        <v>8539</v>
      </c>
      <c r="C130" s="3">
        <v>1</v>
      </c>
      <c r="D130" s="5">
        <v>40.880000000000003</v>
      </c>
      <c r="E130" s="3" t="s">
        <v>8540</v>
      </c>
      <c r="F130" s="2" t="s">
        <v>26</v>
      </c>
      <c r="G130" s="6" t="s">
        <v>154</v>
      </c>
      <c r="H130" s="2" t="s">
        <v>284</v>
      </c>
      <c r="I130" s="2" t="s">
        <v>285</v>
      </c>
      <c r="J130" s="2" t="s">
        <v>19</v>
      </c>
      <c r="K130" s="2" t="s">
        <v>137</v>
      </c>
      <c r="L130" s="7" t="str">
        <f>HYPERLINK("http://slimages.macys.com/is/image/MCY/10430263 ")</f>
        <v xml:space="preserve">http://slimages.macys.com/is/image/MCY/10430263 </v>
      </c>
    </row>
    <row r="131" spans="1:12" ht="24.75" x14ac:dyDescent="0.25">
      <c r="A131" s="4" t="s">
        <v>8541</v>
      </c>
      <c r="B131" s="2" t="s">
        <v>385</v>
      </c>
      <c r="C131" s="3">
        <v>1</v>
      </c>
      <c r="D131" s="5">
        <v>69.5</v>
      </c>
      <c r="E131" s="3">
        <v>100057469</v>
      </c>
      <c r="F131" s="2" t="s">
        <v>74</v>
      </c>
      <c r="G131" s="6" t="s">
        <v>27</v>
      </c>
      <c r="H131" s="2" t="s">
        <v>386</v>
      </c>
      <c r="I131" s="2" t="s">
        <v>207</v>
      </c>
      <c r="J131" s="2" t="s">
        <v>19</v>
      </c>
      <c r="K131" s="2" t="s">
        <v>387</v>
      </c>
      <c r="L131" s="7" t="str">
        <f>HYPERLINK("http://slimages.macys.com/is/image/MCY/11782675 ")</f>
        <v xml:space="preserve">http://slimages.macys.com/is/image/MCY/11782675 </v>
      </c>
    </row>
    <row r="132" spans="1:12" ht="24.75" x14ac:dyDescent="0.25">
      <c r="A132" s="4" t="s">
        <v>8542</v>
      </c>
      <c r="B132" s="2" t="s">
        <v>8543</v>
      </c>
      <c r="C132" s="3">
        <v>2</v>
      </c>
      <c r="D132" s="5">
        <v>69.5</v>
      </c>
      <c r="E132" s="3" t="s">
        <v>7808</v>
      </c>
      <c r="F132" s="2" t="s">
        <v>74</v>
      </c>
      <c r="G132" s="6" t="s">
        <v>336</v>
      </c>
      <c r="H132" s="2" t="s">
        <v>206</v>
      </c>
      <c r="I132" s="2" t="s">
        <v>207</v>
      </c>
      <c r="J132" s="2" t="s">
        <v>19</v>
      </c>
      <c r="K132" s="2" t="s">
        <v>7809</v>
      </c>
      <c r="L132" s="7" t="str">
        <f>HYPERLINK("http://slimages.macys.com/is/image/MCY/9381169 ")</f>
        <v xml:space="preserve">http://slimages.macys.com/is/image/MCY/9381169 </v>
      </c>
    </row>
    <row r="133" spans="1:12" ht="24.75" x14ac:dyDescent="0.25">
      <c r="A133" s="4" t="s">
        <v>8544</v>
      </c>
      <c r="B133" s="2" t="s">
        <v>8543</v>
      </c>
      <c r="C133" s="3">
        <v>1</v>
      </c>
      <c r="D133" s="5">
        <v>69.5</v>
      </c>
      <c r="E133" s="3" t="s">
        <v>7808</v>
      </c>
      <c r="F133" s="2" t="s">
        <v>74</v>
      </c>
      <c r="G133" s="6" t="s">
        <v>934</v>
      </c>
      <c r="H133" s="2" t="s">
        <v>206</v>
      </c>
      <c r="I133" s="2" t="s">
        <v>207</v>
      </c>
      <c r="J133" s="2" t="s">
        <v>19</v>
      </c>
      <c r="K133" s="2" t="s">
        <v>7809</v>
      </c>
      <c r="L133" s="7" t="str">
        <f>HYPERLINK("http://slimages.macys.com/is/image/MCY/9381169 ")</f>
        <v xml:space="preserve">http://slimages.macys.com/is/image/MCY/9381169 </v>
      </c>
    </row>
    <row r="134" spans="1:12" ht="24.75" x14ac:dyDescent="0.25">
      <c r="A134" s="4" t="s">
        <v>2374</v>
      </c>
      <c r="B134" s="2" t="s">
        <v>2372</v>
      </c>
      <c r="C134" s="3">
        <v>1</v>
      </c>
      <c r="D134" s="5">
        <v>44.5</v>
      </c>
      <c r="E134" s="3" t="s">
        <v>2373</v>
      </c>
      <c r="F134" s="2" t="s">
        <v>26</v>
      </c>
      <c r="G134" s="6"/>
      <c r="H134" s="2" t="s">
        <v>194</v>
      </c>
      <c r="I134" s="2" t="s">
        <v>195</v>
      </c>
      <c r="J134" s="2" t="s">
        <v>19</v>
      </c>
      <c r="K134" s="2" t="s">
        <v>648</v>
      </c>
      <c r="L134" s="7" t="str">
        <f>HYPERLINK("http://slimages.macys.com/is/image/MCY/12667980 ")</f>
        <v xml:space="preserve">http://slimages.macys.com/is/image/MCY/12667980 </v>
      </c>
    </row>
    <row r="135" spans="1:12" ht="24.75" x14ac:dyDescent="0.25">
      <c r="A135" s="4" t="s">
        <v>8545</v>
      </c>
      <c r="B135" s="2" t="s">
        <v>4638</v>
      </c>
      <c r="C135" s="3">
        <v>1</v>
      </c>
      <c r="D135" s="5">
        <v>37.130000000000003</v>
      </c>
      <c r="E135" s="3" t="s">
        <v>4639</v>
      </c>
      <c r="F135" s="2" t="s">
        <v>74</v>
      </c>
      <c r="G135" s="6" t="s">
        <v>154</v>
      </c>
      <c r="H135" s="2" t="s">
        <v>284</v>
      </c>
      <c r="I135" s="2" t="s">
        <v>458</v>
      </c>
      <c r="J135" s="2" t="s">
        <v>19</v>
      </c>
      <c r="K135" s="2" t="s">
        <v>4640</v>
      </c>
      <c r="L135" s="7" t="str">
        <f>HYPERLINK("http://slimages.macys.com/is/image/MCY/13081231 ")</f>
        <v xml:space="preserve">http://slimages.macys.com/is/image/MCY/13081231 </v>
      </c>
    </row>
    <row r="136" spans="1:12" ht="24.75" x14ac:dyDescent="0.25">
      <c r="A136" s="4" t="s">
        <v>8546</v>
      </c>
      <c r="B136" s="2" t="s">
        <v>650</v>
      </c>
      <c r="C136" s="3">
        <v>1</v>
      </c>
      <c r="D136" s="5">
        <v>44.63</v>
      </c>
      <c r="E136" s="3" t="s">
        <v>8547</v>
      </c>
      <c r="F136" s="2" t="s">
        <v>74</v>
      </c>
      <c r="G136" s="6" t="s">
        <v>234</v>
      </c>
      <c r="H136" s="2" t="s">
        <v>194</v>
      </c>
      <c r="I136" s="2" t="s">
        <v>580</v>
      </c>
      <c r="J136" s="2" t="s">
        <v>19</v>
      </c>
      <c r="K136" s="2" t="s">
        <v>247</v>
      </c>
      <c r="L136" s="7" t="str">
        <f>HYPERLINK("http://slimages.macys.com/is/image/MCY/12316651 ")</f>
        <v xml:space="preserve">http://slimages.macys.com/is/image/MCY/12316651 </v>
      </c>
    </row>
    <row r="137" spans="1:12" ht="24.75" x14ac:dyDescent="0.25">
      <c r="A137" s="4" t="s">
        <v>8548</v>
      </c>
      <c r="B137" s="2" t="s">
        <v>2331</v>
      </c>
      <c r="C137" s="3">
        <v>1</v>
      </c>
      <c r="D137" s="5">
        <v>51.5</v>
      </c>
      <c r="E137" s="3" t="s">
        <v>3456</v>
      </c>
      <c r="F137" s="2" t="s">
        <v>680</v>
      </c>
      <c r="G137" s="6" t="s">
        <v>156</v>
      </c>
      <c r="H137" s="2" t="s">
        <v>246</v>
      </c>
      <c r="I137" s="2" t="s">
        <v>189</v>
      </c>
      <c r="J137" s="2" t="s">
        <v>19</v>
      </c>
      <c r="K137" s="2" t="s">
        <v>1480</v>
      </c>
      <c r="L137" s="7" t="str">
        <f>HYPERLINK("http://slimages.macys.com/is/image/MCY/14856129 ")</f>
        <v xml:space="preserve">http://slimages.macys.com/is/image/MCY/14856129 </v>
      </c>
    </row>
    <row r="138" spans="1:12" ht="24.75" x14ac:dyDescent="0.25">
      <c r="A138" s="4" t="s">
        <v>2383</v>
      </c>
      <c r="B138" s="2" t="s">
        <v>693</v>
      </c>
      <c r="C138" s="3">
        <v>1</v>
      </c>
      <c r="D138" s="5">
        <v>29.99</v>
      </c>
      <c r="E138" s="3" t="s">
        <v>694</v>
      </c>
      <c r="F138" s="2" t="s">
        <v>413</v>
      </c>
      <c r="G138" s="6" t="s">
        <v>200</v>
      </c>
      <c r="H138" s="2" t="s">
        <v>284</v>
      </c>
      <c r="I138" s="2" t="s">
        <v>408</v>
      </c>
      <c r="J138" s="2" t="s">
        <v>19</v>
      </c>
      <c r="K138" s="2" t="s">
        <v>409</v>
      </c>
      <c r="L138" s="7" t="str">
        <f>HYPERLINK("http://slimages.macys.com/is/image/MCY/9387631 ")</f>
        <v xml:space="preserve">http://slimages.macys.com/is/image/MCY/9387631 </v>
      </c>
    </row>
    <row r="139" spans="1:12" ht="24.75" x14ac:dyDescent="0.25">
      <c r="A139" s="4" t="s">
        <v>8549</v>
      </c>
      <c r="B139" s="2" t="s">
        <v>699</v>
      </c>
      <c r="C139" s="3">
        <v>1</v>
      </c>
      <c r="D139" s="5">
        <v>44.63</v>
      </c>
      <c r="E139" s="3" t="s">
        <v>700</v>
      </c>
      <c r="F139" s="2" t="s">
        <v>74</v>
      </c>
      <c r="G139" s="6" t="s">
        <v>181</v>
      </c>
      <c r="H139" s="2" t="s">
        <v>246</v>
      </c>
      <c r="I139" s="2" t="s">
        <v>189</v>
      </c>
      <c r="J139" s="2" t="s">
        <v>19</v>
      </c>
      <c r="K139" s="2" t="s">
        <v>701</v>
      </c>
      <c r="L139" s="7" t="str">
        <f>HYPERLINK("http://slimages.macys.com/is/image/MCY/13786780 ")</f>
        <v xml:space="preserve">http://slimages.macys.com/is/image/MCY/13786780 </v>
      </c>
    </row>
    <row r="140" spans="1:12" ht="36.75" x14ac:dyDescent="0.25">
      <c r="A140" s="4" t="s">
        <v>8550</v>
      </c>
      <c r="B140" s="2" t="s">
        <v>1028</v>
      </c>
      <c r="C140" s="3">
        <v>1</v>
      </c>
      <c r="D140" s="5">
        <v>29.99</v>
      </c>
      <c r="E140" s="3" t="s">
        <v>8551</v>
      </c>
      <c r="F140" s="2" t="s">
        <v>85</v>
      </c>
      <c r="G140" s="6" t="s">
        <v>200</v>
      </c>
      <c r="H140" s="2" t="s">
        <v>284</v>
      </c>
      <c r="I140" s="2" t="s">
        <v>408</v>
      </c>
      <c r="J140" s="2" t="s">
        <v>19</v>
      </c>
      <c r="K140" s="2" t="s">
        <v>500</v>
      </c>
      <c r="L140" s="7" t="str">
        <f>HYPERLINK("http://slimages.macys.com/is/image/MCY/11636529 ")</f>
        <v xml:space="preserve">http://slimages.macys.com/is/image/MCY/11636529 </v>
      </c>
    </row>
    <row r="141" spans="1:12" ht="24.75" x14ac:dyDescent="0.25">
      <c r="A141" s="4" t="s">
        <v>2391</v>
      </c>
      <c r="B141" s="2" t="s">
        <v>707</v>
      </c>
      <c r="C141" s="3">
        <v>3</v>
      </c>
      <c r="D141" s="5">
        <v>40.880000000000003</v>
      </c>
      <c r="E141" s="3">
        <v>100047657</v>
      </c>
      <c r="F141" s="2" t="s">
        <v>376</v>
      </c>
      <c r="G141" s="6" t="s">
        <v>22</v>
      </c>
      <c r="H141" s="2" t="s">
        <v>194</v>
      </c>
      <c r="I141" s="2" t="s">
        <v>195</v>
      </c>
      <c r="J141" s="2" t="s">
        <v>19</v>
      </c>
      <c r="K141" s="2" t="s">
        <v>546</v>
      </c>
      <c r="L141" s="7" t="str">
        <f>HYPERLINK("http://slimages.macys.com/is/image/MCY/12143636 ")</f>
        <v xml:space="preserve">http://slimages.macys.com/is/image/MCY/12143636 </v>
      </c>
    </row>
    <row r="142" spans="1:12" ht="24.75" x14ac:dyDescent="0.25">
      <c r="A142" s="4" t="s">
        <v>8552</v>
      </c>
      <c r="B142" s="2" t="s">
        <v>2394</v>
      </c>
      <c r="C142" s="3">
        <v>1</v>
      </c>
      <c r="D142" s="5">
        <v>40.880000000000003</v>
      </c>
      <c r="E142" s="3" t="s">
        <v>2395</v>
      </c>
      <c r="F142" s="2" t="s">
        <v>33</v>
      </c>
      <c r="G142" s="6" t="s">
        <v>154</v>
      </c>
      <c r="H142" s="2" t="s">
        <v>194</v>
      </c>
      <c r="I142" s="2" t="s">
        <v>195</v>
      </c>
      <c r="J142" s="2" t="s">
        <v>19</v>
      </c>
      <c r="K142" s="2" t="s">
        <v>34</v>
      </c>
      <c r="L142" s="7" t="str">
        <f>HYPERLINK("http://slimages.macys.com/is/image/MCY/12950238 ")</f>
        <v xml:space="preserve">http://slimages.macys.com/is/image/MCY/12950238 </v>
      </c>
    </row>
    <row r="143" spans="1:12" ht="48.75" x14ac:dyDescent="0.25">
      <c r="A143" s="4" t="s">
        <v>3538</v>
      </c>
      <c r="B143" s="2" t="s">
        <v>3536</v>
      </c>
      <c r="C143" s="3">
        <v>1</v>
      </c>
      <c r="D143" s="5">
        <v>40.880000000000003</v>
      </c>
      <c r="E143" s="3" t="s">
        <v>3537</v>
      </c>
      <c r="F143" s="2" t="s">
        <v>74</v>
      </c>
      <c r="G143" s="6" t="s">
        <v>234</v>
      </c>
      <c r="H143" s="2" t="s">
        <v>284</v>
      </c>
      <c r="I143" s="2" t="s">
        <v>285</v>
      </c>
      <c r="J143" s="2" t="s">
        <v>19</v>
      </c>
      <c r="K143" s="2" t="s">
        <v>3542</v>
      </c>
      <c r="L143" s="7" t="str">
        <f>HYPERLINK("http://slimages.macys.com/is/image/MCY/11858366 ")</f>
        <v xml:space="preserve">http://slimages.macys.com/is/image/MCY/11858366 </v>
      </c>
    </row>
    <row r="144" spans="1:12" x14ac:dyDescent="0.25">
      <c r="A144" s="4" t="s">
        <v>8553</v>
      </c>
      <c r="B144" s="2" t="s">
        <v>8554</v>
      </c>
      <c r="C144" s="3">
        <v>1</v>
      </c>
      <c r="D144" s="5">
        <v>69.5</v>
      </c>
      <c r="E144" s="3" t="s">
        <v>8555</v>
      </c>
      <c r="F144" s="2" t="s">
        <v>70</v>
      </c>
      <c r="G144" s="6" t="s">
        <v>219</v>
      </c>
      <c r="H144" s="2" t="s">
        <v>206</v>
      </c>
      <c r="I144" s="2" t="s">
        <v>207</v>
      </c>
      <c r="J144" s="2" t="s">
        <v>19</v>
      </c>
      <c r="K144" s="2" t="s">
        <v>160</v>
      </c>
      <c r="L144" s="7" t="str">
        <f>HYPERLINK("http://slimages.macys.com/is/image/MCY/11488680 ")</f>
        <v xml:space="preserve">http://slimages.macys.com/is/image/MCY/11488680 </v>
      </c>
    </row>
    <row r="145" spans="1:12" ht="24.75" x14ac:dyDescent="0.25">
      <c r="A145" s="4" t="s">
        <v>5577</v>
      </c>
      <c r="B145" s="2" t="s">
        <v>456</v>
      </c>
      <c r="C145" s="3">
        <v>1</v>
      </c>
      <c r="D145" s="5">
        <v>37.130000000000003</v>
      </c>
      <c r="E145" s="3" t="s">
        <v>731</v>
      </c>
      <c r="F145" s="2" t="s">
        <v>417</v>
      </c>
      <c r="G145" s="6" t="s">
        <v>154</v>
      </c>
      <c r="H145" s="2" t="s">
        <v>284</v>
      </c>
      <c r="I145" s="2" t="s">
        <v>458</v>
      </c>
      <c r="J145" s="2" t="s">
        <v>19</v>
      </c>
      <c r="K145" s="2" t="s">
        <v>442</v>
      </c>
      <c r="L145" s="7" t="str">
        <f>HYPERLINK("http://slimages.macys.com/is/image/MCY/10242537 ")</f>
        <v xml:space="preserve">http://slimages.macys.com/is/image/MCY/10242537 </v>
      </c>
    </row>
    <row r="146" spans="1:12" ht="24.75" x14ac:dyDescent="0.25">
      <c r="A146" s="4" t="s">
        <v>8556</v>
      </c>
      <c r="B146" s="2" t="s">
        <v>456</v>
      </c>
      <c r="C146" s="3">
        <v>1</v>
      </c>
      <c r="D146" s="5">
        <v>37.130000000000003</v>
      </c>
      <c r="E146" s="3" t="s">
        <v>731</v>
      </c>
      <c r="F146" s="2" t="s">
        <v>417</v>
      </c>
      <c r="G146" s="6" t="s">
        <v>200</v>
      </c>
      <c r="H146" s="2" t="s">
        <v>284</v>
      </c>
      <c r="I146" s="2" t="s">
        <v>458</v>
      </c>
      <c r="J146" s="2" t="s">
        <v>19</v>
      </c>
      <c r="K146" s="2" t="s">
        <v>442</v>
      </c>
      <c r="L146" s="7" t="str">
        <f>HYPERLINK("http://slimages.macys.com/is/image/MCY/10242537 ")</f>
        <v xml:space="preserve">http://slimages.macys.com/is/image/MCY/10242537 </v>
      </c>
    </row>
    <row r="147" spans="1:12" ht="24.75" x14ac:dyDescent="0.25">
      <c r="A147" s="4" t="s">
        <v>730</v>
      </c>
      <c r="B147" s="2" t="s">
        <v>456</v>
      </c>
      <c r="C147" s="3">
        <v>2</v>
      </c>
      <c r="D147" s="5">
        <v>37.130000000000003</v>
      </c>
      <c r="E147" s="3" t="s">
        <v>731</v>
      </c>
      <c r="F147" s="2" t="s">
        <v>331</v>
      </c>
      <c r="G147" s="6" t="s">
        <v>154</v>
      </c>
      <c r="H147" s="2" t="s">
        <v>284</v>
      </c>
      <c r="I147" s="2" t="s">
        <v>458</v>
      </c>
      <c r="J147" s="2" t="s">
        <v>19</v>
      </c>
      <c r="K147" s="2" t="s">
        <v>442</v>
      </c>
      <c r="L147" s="7" t="str">
        <f>HYPERLINK("http://slimages.macys.com/is/image/MCY/10242537 ")</f>
        <v xml:space="preserve">http://slimages.macys.com/is/image/MCY/10242537 </v>
      </c>
    </row>
    <row r="148" spans="1:12" ht="24.75" x14ac:dyDescent="0.25">
      <c r="A148" s="4" t="s">
        <v>8557</v>
      </c>
      <c r="B148" s="2" t="s">
        <v>2403</v>
      </c>
      <c r="C148" s="3">
        <v>1</v>
      </c>
      <c r="D148" s="5">
        <v>36.75</v>
      </c>
      <c r="E148" s="3">
        <v>100009360</v>
      </c>
      <c r="F148" s="2" t="s">
        <v>225</v>
      </c>
      <c r="G148" s="6" t="s">
        <v>245</v>
      </c>
      <c r="H148" s="2" t="s">
        <v>194</v>
      </c>
      <c r="I148" s="2" t="s">
        <v>503</v>
      </c>
      <c r="J148" s="2" t="s">
        <v>19</v>
      </c>
      <c r="K148" s="2" t="s">
        <v>160</v>
      </c>
      <c r="L148" s="7" t="str">
        <f>HYPERLINK("http://slimages.macys.com/is/image/MCY/12734522 ")</f>
        <v xml:space="preserve">http://slimages.macys.com/is/image/MCY/12734522 </v>
      </c>
    </row>
    <row r="149" spans="1:12" ht="24.75" x14ac:dyDescent="0.25">
      <c r="A149" s="4" t="s">
        <v>8558</v>
      </c>
      <c r="B149" s="2" t="s">
        <v>5587</v>
      </c>
      <c r="C149" s="3">
        <v>1</v>
      </c>
      <c r="D149" s="5">
        <v>44.63</v>
      </c>
      <c r="E149" s="3" t="s">
        <v>7971</v>
      </c>
      <c r="F149" s="2" t="s">
        <v>1584</v>
      </c>
      <c r="G149" s="6"/>
      <c r="H149" s="2" t="s">
        <v>188</v>
      </c>
      <c r="I149" s="2" t="s">
        <v>189</v>
      </c>
      <c r="J149" s="2" t="s">
        <v>19</v>
      </c>
      <c r="K149" s="2" t="s">
        <v>705</v>
      </c>
      <c r="L149" s="7" t="str">
        <f>HYPERLINK("http://slimages.macys.com/is/image/MCY/9597132 ")</f>
        <v xml:space="preserve">http://slimages.macys.com/is/image/MCY/9597132 </v>
      </c>
    </row>
    <row r="150" spans="1:12" ht="48.75" x14ac:dyDescent="0.25">
      <c r="A150" s="4" t="s">
        <v>755</v>
      </c>
      <c r="B150" s="2" t="s">
        <v>750</v>
      </c>
      <c r="C150" s="3">
        <v>1</v>
      </c>
      <c r="D150" s="5">
        <v>44.63</v>
      </c>
      <c r="E150" s="3" t="s">
        <v>751</v>
      </c>
      <c r="F150" s="2" t="s">
        <v>752</v>
      </c>
      <c r="G150" s="6" t="s">
        <v>181</v>
      </c>
      <c r="H150" s="2" t="s">
        <v>194</v>
      </c>
      <c r="I150" s="2" t="s">
        <v>195</v>
      </c>
      <c r="J150" s="2" t="s">
        <v>19</v>
      </c>
      <c r="K150" s="2" t="s">
        <v>753</v>
      </c>
      <c r="L150" s="7" t="str">
        <f>HYPERLINK("http://slimages.macys.com/is/image/MCY/12734332 ")</f>
        <v xml:space="preserve">http://slimages.macys.com/is/image/MCY/12734332 </v>
      </c>
    </row>
    <row r="151" spans="1:12" ht="24.75" x14ac:dyDescent="0.25">
      <c r="A151" s="4" t="s">
        <v>8559</v>
      </c>
      <c r="B151" s="2" t="s">
        <v>4667</v>
      </c>
      <c r="C151" s="3">
        <v>1</v>
      </c>
      <c r="D151" s="5">
        <v>40.880000000000003</v>
      </c>
      <c r="E151" s="3" t="s">
        <v>4668</v>
      </c>
      <c r="F151" s="2" t="s">
        <v>417</v>
      </c>
      <c r="G151" s="6" t="s">
        <v>154</v>
      </c>
      <c r="H151" s="2" t="s">
        <v>194</v>
      </c>
      <c r="I151" s="2" t="s">
        <v>195</v>
      </c>
      <c r="J151" s="2" t="s">
        <v>19</v>
      </c>
      <c r="K151" s="2" t="s">
        <v>495</v>
      </c>
      <c r="L151" s="7" t="str">
        <f>HYPERLINK("http://slimages.macys.com/is/image/MCY/12143862 ")</f>
        <v xml:space="preserve">http://slimages.macys.com/is/image/MCY/12143862 </v>
      </c>
    </row>
    <row r="152" spans="1:12" ht="24.75" x14ac:dyDescent="0.25">
      <c r="A152" s="4" t="s">
        <v>8560</v>
      </c>
      <c r="B152" s="2" t="s">
        <v>2460</v>
      </c>
      <c r="C152" s="3">
        <v>1</v>
      </c>
      <c r="D152" s="5">
        <v>34.880000000000003</v>
      </c>
      <c r="E152" s="3">
        <v>100009313</v>
      </c>
      <c r="F152" s="2" t="s">
        <v>94</v>
      </c>
      <c r="G152" s="6" t="s">
        <v>141</v>
      </c>
      <c r="H152" s="2" t="s">
        <v>194</v>
      </c>
      <c r="I152" s="2" t="s">
        <v>503</v>
      </c>
      <c r="J152" s="2" t="s">
        <v>19</v>
      </c>
      <c r="K152" s="2" t="s">
        <v>353</v>
      </c>
      <c r="L152" s="7" t="str">
        <f>HYPERLINK("http://slimages.macys.com/is/image/MCY/9340611 ")</f>
        <v xml:space="preserve">http://slimages.macys.com/is/image/MCY/9340611 </v>
      </c>
    </row>
    <row r="153" spans="1:12" ht="24.75" x14ac:dyDescent="0.25">
      <c r="A153" s="4" t="s">
        <v>8561</v>
      </c>
      <c r="B153" s="2" t="s">
        <v>5595</v>
      </c>
      <c r="C153" s="3">
        <v>1</v>
      </c>
      <c r="D153" s="5">
        <v>34.880000000000003</v>
      </c>
      <c r="E153" s="3">
        <v>100038855</v>
      </c>
      <c r="F153" s="2" t="s">
        <v>506</v>
      </c>
      <c r="G153" s="6" t="s">
        <v>141</v>
      </c>
      <c r="H153" s="2" t="s">
        <v>194</v>
      </c>
      <c r="I153" s="2" t="s">
        <v>503</v>
      </c>
      <c r="J153" s="2" t="s">
        <v>19</v>
      </c>
      <c r="K153" s="2" t="s">
        <v>353</v>
      </c>
      <c r="L153" s="7" t="str">
        <f>HYPERLINK("http://slimages.macys.com/is/image/MCY/9325309 ")</f>
        <v xml:space="preserve">http://slimages.macys.com/is/image/MCY/9325309 </v>
      </c>
    </row>
    <row r="154" spans="1:12" ht="36.75" x14ac:dyDescent="0.25">
      <c r="A154" s="4" t="s">
        <v>2408</v>
      </c>
      <c r="B154" s="2" t="s">
        <v>764</v>
      </c>
      <c r="C154" s="3">
        <v>1</v>
      </c>
      <c r="D154" s="5">
        <v>37.130000000000003</v>
      </c>
      <c r="E154" s="3" t="s">
        <v>765</v>
      </c>
      <c r="F154" s="2" t="s">
        <v>566</v>
      </c>
      <c r="G154" s="6" t="s">
        <v>154</v>
      </c>
      <c r="H154" s="2" t="s">
        <v>284</v>
      </c>
      <c r="I154" s="2" t="s">
        <v>458</v>
      </c>
      <c r="J154" s="2" t="s">
        <v>19</v>
      </c>
      <c r="K154" s="2" t="s">
        <v>514</v>
      </c>
      <c r="L154" s="7" t="str">
        <f>HYPERLINK("http://slimages.macys.com/is/image/MCY/13804604 ")</f>
        <v xml:space="preserve">http://slimages.macys.com/is/image/MCY/13804604 </v>
      </c>
    </row>
    <row r="155" spans="1:12" ht="24.75" x14ac:dyDescent="0.25">
      <c r="A155" s="4" t="s">
        <v>2407</v>
      </c>
      <c r="B155" s="2" t="s">
        <v>768</v>
      </c>
      <c r="C155" s="3">
        <v>2</v>
      </c>
      <c r="D155" s="5">
        <v>34.880000000000003</v>
      </c>
      <c r="E155" s="3">
        <v>100054400</v>
      </c>
      <c r="F155" s="2" t="s">
        <v>64</v>
      </c>
      <c r="G155" s="6" t="s">
        <v>58</v>
      </c>
      <c r="H155" s="2" t="s">
        <v>194</v>
      </c>
      <c r="I155" s="2" t="s">
        <v>195</v>
      </c>
      <c r="J155" s="2" t="s">
        <v>19</v>
      </c>
      <c r="K155" s="2" t="s">
        <v>546</v>
      </c>
      <c r="L155" s="7" t="str">
        <f>HYPERLINK("http://slimages.macys.com/is/image/MCY/12850455 ")</f>
        <v xml:space="preserve">http://slimages.macys.com/is/image/MCY/12850455 </v>
      </c>
    </row>
    <row r="156" spans="1:12" ht="24.75" x14ac:dyDescent="0.25">
      <c r="A156" s="4" t="s">
        <v>7975</v>
      </c>
      <c r="B156" s="2" t="s">
        <v>768</v>
      </c>
      <c r="C156" s="3">
        <v>1</v>
      </c>
      <c r="D156" s="5">
        <v>34.880000000000003</v>
      </c>
      <c r="E156" s="3">
        <v>100054400</v>
      </c>
      <c r="F156" s="2" t="s">
        <v>64</v>
      </c>
      <c r="G156" s="6" t="s">
        <v>27</v>
      </c>
      <c r="H156" s="2" t="s">
        <v>194</v>
      </c>
      <c r="I156" s="2" t="s">
        <v>195</v>
      </c>
      <c r="J156" s="2" t="s">
        <v>19</v>
      </c>
      <c r="K156" s="2" t="s">
        <v>546</v>
      </c>
      <c r="L156" s="7" t="str">
        <f>HYPERLINK("http://slimages.macys.com/is/image/MCY/12850455 ")</f>
        <v xml:space="preserve">http://slimages.macys.com/is/image/MCY/12850455 </v>
      </c>
    </row>
    <row r="157" spans="1:12" ht="24.75" x14ac:dyDescent="0.25">
      <c r="A157" s="4" t="s">
        <v>5602</v>
      </c>
      <c r="B157" s="2" t="s">
        <v>768</v>
      </c>
      <c r="C157" s="3">
        <v>2</v>
      </c>
      <c r="D157" s="5">
        <v>34.880000000000003</v>
      </c>
      <c r="E157" s="3">
        <v>100054400</v>
      </c>
      <c r="F157" s="2" t="s">
        <v>64</v>
      </c>
      <c r="G157" s="6" t="s">
        <v>112</v>
      </c>
      <c r="H157" s="2" t="s">
        <v>194</v>
      </c>
      <c r="I157" s="2" t="s">
        <v>195</v>
      </c>
      <c r="J157" s="2" t="s">
        <v>19</v>
      </c>
      <c r="K157" s="2" t="s">
        <v>546</v>
      </c>
      <c r="L157" s="7" t="str">
        <f>HYPERLINK("http://slimages.macys.com/is/image/MCY/12850455 ")</f>
        <v xml:space="preserve">http://slimages.macys.com/is/image/MCY/12850455 </v>
      </c>
    </row>
    <row r="158" spans="1:12" ht="24.75" x14ac:dyDescent="0.25">
      <c r="A158" s="4" t="s">
        <v>2406</v>
      </c>
      <c r="B158" s="2" t="s">
        <v>768</v>
      </c>
      <c r="C158" s="3">
        <v>1</v>
      </c>
      <c r="D158" s="5">
        <v>34.880000000000003</v>
      </c>
      <c r="E158" s="3">
        <v>100054400</v>
      </c>
      <c r="F158" s="2" t="s">
        <v>64</v>
      </c>
      <c r="G158" s="6" t="s">
        <v>65</v>
      </c>
      <c r="H158" s="2" t="s">
        <v>194</v>
      </c>
      <c r="I158" s="2" t="s">
        <v>195</v>
      </c>
      <c r="J158" s="2" t="s">
        <v>19</v>
      </c>
      <c r="K158" s="2" t="s">
        <v>546</v>
      </c>
      <c r="L158" s="7" t="str">
        <f>HYPERLINK("http://slimages.macys.com/is/image/MCY/12850455 ")</f>
        <v xml:space="preserve">http://slimages.macys.com/is/image/MCY/12850455 </v>
      </c>
    </row>
    <row r="159" spans="1:12" ht="24.75" x14ac:dyDescent="0.25">
      <c r="A159" s="4" t="s">
        <v>8562</v>
      </c>
      <c r="B159" s="2" t="s">
        <v>8563</v>
      </c>
      <c r="C159" s="3">
        <v>1</v>
      </c>
      <c r="D159" s="5">
        <v>44.63</v>
      </c>
      <c r="E159" s="3">
        <v>100018612</v>
      </c>
      <c r="F159" s="2" t="s">
        <v>74</v>
      </c>
      <c r="G159" s="6" t="s">
        <v>234</v>
      </c>
      <c r="H159" s="2" t="s">
        <v>284</v>
      </c>
      <c r="I159" s="2" t="s">
        <v>285</v>
      </c>
      <c r="J159" s="2" t="s">
        <v>19</v>
      </c>
      <c r="K159" s="2" t="s">
        <v>160</v>
      </c>
      <c r="L159" s="7" t="str">
        <f>HYPERLINK("http://slimages.macys.com/is/image/MCY/9776231 ")</f>
        <v xml:space="preserve">http://slimages.macys.com/is/image/MCY/9776231 </v>
      </c>
    </row>
    <row r="160" spans="1:12" ht="48.75" x14ac:dyDescent="0.25">
      <c r="A160" s="4" t="s">
        <v>3561</v>
      </c>
      <c r="B160" s="2" t="s">
        <v>750</v>
      </c>
      <c r="C160" s="3">
        <v>18</v>
      </c>
      <c r="D160" s="5">
        <v>44.63</v>
      </c>
      <c r="E160" s="3" t="s">
        <v>770</v>
      </c>
      <c r="F160" s="2" t="s">
        <v>752</v>
      </c>
      <c r="G160" s="6"/>
      <c r="H160" s="2" t="s">
        <v>312</v>
      </c>
      <c r="I160" s="2" t="s">
        <v>195</v>
      </c>
      <c r="J160" s="2" t="s">
        <v>19</v>
      </c>
      <c r="K160" s="2" t="s">
        <v>771</v>
      </c>
      <c r="L160" s="7" t="str">
        <f>HYPERLINK("http://slimages.macys.com/is/image/MCY/12734332 ")</f>
        <v xml:space="preserve">http://slimages.macys.com/is/image/MCY/12734332 </v>
      </c>
    </row>
    <row r="161" spans="1:12" ht="36.75" x14ac:dyDescent="0.25">
      <c r="A161" s="4" t="s">
        <v>8564</v>
      </c>
      <c r="B161" s="2" t="s">
        <v>4501</v>
      </c>
      <c r="C161" s="3">
        <v>1</v>
      </c>
      <c r="D161" s="5">
        <v>52.13</v>
      </c>
      <c r="E161" s="3" t="s">
        <v>4502</v>
      </c>
      <c r="F161" s="2" t="s">
        <v>125</v>
      </c>
      <c r="G161" s="6" t="s">
        <v>16</v>
      </c>
      <c r="H161" s="2" t="s">
        <v>246</v>
      </c>
      <c r="I161" s="2" t="s">
        <v>189</v>
      </c>
      <c r="J161" s="2" t="s">
        <v>19</v>
      </c>
      <c r="K161" s="2" t="s">
        <v>395</v>
      </c>
      <c r="L161" s="7" t="str">
        <f>HYPERLINK("http://slimages.macys.com/is/image/MCY/13973791 ")</f>
        <v xml:space="preserve">http://slimages.macys.com/is/image/MCY/13973791 </v>
      </c>
    </row>
    <row r="162" spans="1:12" ht="36.75" x14ac:dyDescent="0.25">
      <c r="A162" s="4" t="s">
        <v>8565</v>
      </c>
      <c r="B162" s="2" t="s">
        <v>4685</v>
      </c>
      <c r="C162" s="3">
        <v>1</v>
      </c>
      <c r="D162" s="5">
        <v>36.99</v>
      </c>
      <c r="E162" s="3" t="s">
        <v>4686</v>
      </c>
      <c r="F162" s="2" t="s">
        <v>74</v>
      </c>
      <c r="G162" s="6" t="s">
        <v>181</v>
      </c>
      <c r="H162" s="2" t="s">
        <v>284</v>
      </c>
      <c r="I162" s="2" t="s">
        <v>285</v>
      </c>
      <c r="J162" s="2" t="s">
        <v>19</v>
      </c>
      <c r="K162" s="2" t="s">
        <v>4687</v>
      </c>
      <c r="L162" s="7" t="str">
        <f>HYPERLINK("http://slimages.macys.com/is/image/MCY/13291017 ")</f>
        <v xml:space="preserve">http://slimages.macys.com/is/image/MCY/13291017 </v>
      </c>
    </row>
    <row r="163" spans="1:12" ht="36.75" x14ac:dyDescent="0.25">
      <c r="A163" s="4" t="s">
        <v>8566</v>
      </c>
      <c r="B163" s="2" t="s">
        <v>4685</v>
      </c>
      <c r="C163" s="3">
        <v>1</v>
      </c>
      <c r="D163" s="5">
        <v>36.99</v>
      </c>
      <c r="E163" s="3" t="s">
        <v>4686</v>
      </c>
      <c r="F163" s="2" t="s">
        <v>53</v>
      </c>
      <c r="G163" s="6" t="s">
        <v>234</v>
      </c>
      <c r="H163" s="2" t="s">
        <v>284</v>
      </c>
      <c r="I163" s="2" t="s">
        <v>285</v>
      </c>
      <c r="J163" s="2" t="s">
        <v>19</v>
      </c>
      <c r="K163" s="2" t="s">
        <v>4687</v>
      </c>
      <c r="L163" s="7" t="str">
        <f>HYPERLINK("http://slimages.macys.com/is/image/MCY/13291017 ")</f>
        <v xml:space="preserve">http://slimages.macys.com/is/image/MCY/13291017 </v>
      </c>
    </row>
    <row r="164" spans="1:12" ht="36.75" x14ac:dyDescent="0.25">
      <c r="A164" s="4" t="s">
        <v>3371</v>
      </c>
      <c r="B164" s="2" t="s">
        <v>2211</v>
      </c>
      <c r="C164" s="3">
        <v>1</v>
      </c>
      <c r="D164" s="5">
        <v>59.5</v>
      </c>
      <c r="E164" s="3" t="s">
        <v>2212</v>
      </c>
      <c r="F164" s="2" t="s">
        <v>136</v>
      </c>
      <c r="G164" s="6" t="s">
        <v>205</v>
      </c>
      <c r="H164" s="2" t="s">
        <v>127</v>
      </c>
      <c r="I164" s="2" t="s">
        <v>128</v>
      </c>
      <c r="J164" s="2" t="s">
        <v>19</v>
      </c>
      <c r="K164" s="2" t="s">
        <v>2213</v>
      </c>
      <c r="L164" s="7" t="str">
        <f>HYPERLINK("http://slimages.macys.com/is/image/MCY/11074772 ")</f>
        <v xml:space="preserve">http://slimages.macys.com/is/image/MCY/11074772 </v>
      </c>
    </row>
    <row r="165" spans="1:12" ht="24.75" x14ac:dyDescent="0.25">
      <c r="A165" s="4" t="s">
        <v>8567</v>
      </c>
      <c r="B165" s="2" t="s">
        <v>7230</v>
      </c>
      <c r="C165" s="3">
        <v>1</v>
      </c>
      <c r="D165" s="5">
        <v>40.880000000000003</v>
      </c>
      <c r="E165" s="3" t="s">
        <v>7231</v>
      </c>
      <c r="F165" s="2"/>
      <c r="G165" s="6" t="s">
        <v>16</v>
      </c>
      <c r="H165" s="2" t="s">
        <v>213</v>
      </c>
      <c r="I165" s="2" t="s">
        <v>214</v>
      </c>
      <c r="J165" s="2" t="s">
        <v>19</v>
      </c>
      <c r="K165" s="2" t="s">
        <v>215</v>
      </c>
      <c r="L165" s="7" t="str">
        <f>HYPERLINK("http://slimages.macys.com/is/image/MCY/11699651 ")</f>
        <v xml:space="preserve">http://slimages.macys.com/is/image/MCY/11699651 </v>
      </c>
    </row>
    <row r="166" spans="1:12" ht="36.75" x14ac:dyDescent="0.25">
      <c r="A166" s="4" t="s">
        <v>8568</v>
      </c>
      <c r="B166" s="2" t="s">
        <v>780</v>
      </c>
      <c r="C166" s="3">
        <v>1</v>
      </c>
      <c r="D166" s="5">
        <v>59.5</v>
      </c>
      <c r="E166" s="3" t="s">
        <v>781</v>
      </c>
      <c r="F166" s="2" t="s">
        <v>53</v>
      </c>
      <c r="G166" s="6" t="s">
        <v>219</v>
      </c>
      <c r="H166" s="2" t="s">
        <v>127</v>
      </c>
      <c r="I166" s="2" t="s">
        <v>128</v>
      </c>
      <c r="J166" s="2" t="s">
        <v>19</v>
      </c>
      <c r="K166" s="2" t="s">
        <v>782</v>
      </c>
      <c r="L166" s="7" t="str">
        <f>HYPERLINK("http://slimages.macys.com/is/image/MCY/13039364 ")</f>
        <v xml:space="preserve">http://slimages.macys.com/is/image/MCY/13039364 </v>
      </c>
    </row>
    <row r="167" spans="1:12" ht="24.75" x14ac:dyDescent="0.25">
      <c r="A167" s="4" t="s">
        <v>8569</v>
      </c>
      <c r="B167" s="2" t="s">
        <v>7982</v>
      </c>
      <c r="C167" s="3">
        <v>1</v>
      </c>
      <c r="D167" s="5">
        <v>69.5</v>
      </c>
      <c r="E167" s="3">
        <v>100052014</v>
      </c>
      <c r="F167" s="2" t="s">
        <v>79</v>
      </c>
      <c r="G167" s="6" t="s">
        <v>65</v>
      </c>
      <c r="H167" s="2" t="s">
        <v>386</v>
      </c>
      <c r="I167" s="2" t="s">
        <v>337</v>
      </c>
      <c r="J167" s="2" t="s">
        <v>19</v>
      </c>
      <c r="K167" s="2" t="s">
        <v>338</v>
      </c>
      <c r="L167" s="7" t="str">
        <f>HYPERLINK("http://slimages.macys.com/is/image/MCY/10625187 ")</f>
        <v xml:space="preserve">http://slimages.macys.com/is/image/MCY/10625187 </v>
      </c>
    </row>
    <row r="168" spans="1:12" ht="24.75" x14ac:dyDescent="0.25">
      <c r="A168" s="4" t="s">
        <v>8570</v>
      </c>
      <c r="B168" s="2" t="s">
        <v>800</v>
      </c>
      <c r="C168" s="3">
        <v>1</v>
      </c>
      <c r="D168" s="5">
        <v>37.130000000000003</v>
      </c>
      <c r="E168" s="3" t="s">
        <v>8571</v>
      </c>
      <c r="F168" s="2"/>
      <c r="G168" s="6" t="s">
        <v>27</v>
      </c>
      <c r="H168" s="2" t="s">
        <v>246</v>
      </c>
      <c r="I168" s="2" t="s">
        <v>189</v>
      </c>
      <c r="J168" s="2" t="s">
        <v>19</v>
      </c>
      <c r="K168" s="2" t="s">
        <v>546</v>
      </c>
      <c r="L168" s="7" t="str">
        <f>HYPERLINK("http://slimages.macys.com/is/image/MCY/12048352 ")</f>
        <v xml:space="preserve">http://slimages.macys.com/is/image/MCY/12048352 </v>
      </c>
    </row>
    <row r="169" spans="1:12" ht="24.75" x14ac:dyDescent="0.25">
      <c r="A169" s="4" t="s">
        <v>8572</v>
      </c>
      <c r="B169" s="2" t="s">
        <v>8573</v>
      </c>
      <c r="C169" s="3">
        <v>1</v>
      </c>
      <c r="D169" s="5">
        <v>40.880000000000003</v>
      </c>
      <c r="E169" s="3" t="s">
        <v>8574</v>
      </c>
      <c r="F169" s="2" t="s">
        <v>1322</v>
      </c>
      <c r="G169" s="6" t="s">
        <v>156</v>
      </c>
      <c r="H169" s="2" t="s">
        <v>246</v>
      </c>
      <c r="I169" s="2" t="s">
        <v>189</v>
      </c>
      <c r="J169" s="2" t="s">
        <v>19</v>
      </c>
      <c r="K169" s="2" t="s">
        <v>75</v>
      </c>
      <c r="L169" s="7" t="str">
        <f>HYPERLINK("http://slimages.macys.com/is/image/MCY/11995542 ")</f>
        <v xml:space="preserve">http://slimages.macys.com/is/image/MCY/11995542 </v>
      </c>
    </row>
    <row r="170" spans="1:12" ht="48.75" x14ac:dyDescent="0.25">
      <c r="A170" s="4" t="s">
        <v>8575</v>
      </c>
      <c r="B170" s="2" t="s">
        <v>2426</v>
      </c>
      <c r="C170" s="3">
        <v>1</v>
      </c>
      <c r="D170" s="5">
        <v>44.63</v>
      </c>
      <c r="E170" s="3" t="s">
        <v>7254</v>
      </c>
      <c r="F170" s="2" t="s">
        <v>64</v>
      </c>
      <c r="G170" s="6" t="s">
        <v>22</v>
      </c>
      <c r="H170" s="2" t="s">
        <v>246</v>
      </c>
      <c r="I170" s="2" t="s">
        <v>487</v>
      </c>
      <c r="J170" s="2" t="s">
        <v>19</v>
      </c>
      <c r="K170" s="2" t="s">
        <v>2428</v>
      </c>
      <c r="L170" s="7" t="str">
        <f>HYPERLINK("http://slimages.macys.com/is/image/MCY/11807039 ")</f>
        <v xml:space="preserve">http://slimages.macys.com/is/image/MCY/11807039 </v>
      </c>
    </row>
    <row r="171" spans="1:12" ht="48.75" x14ac:dyDescent="0.25">
      <c r="A171" s="4" t="s">
        <v>3590</v>
      </c>
      <c r="B171" s="2" t="s">
        <v>2426</v>
      </c>
      <c r="C171" s="3">
        <v>1</v>
      </c>
      <c r="D171" s="5">
        <v>44.63</v>
      </c>
      <c r="E171" s="3" t="s">
        <v>2427</v>
      </c>
      <c r="F171" s="2" t="s">
        <v>64</v>
      </c>
      <c r="G171" s="6" t="s">
        <v>802</v>
      </c>
      <c r="H171" s="2" t="s">
        <v>188</v>
      </c>
      <c r="I171" s="2" t="s">
        <v>487</v>
      </c>
      <c r="J171" s="2" t="s">
        <v>19</v>
      </c>
      <c r="K171" s="2" t="s">
        <v>2428</v>
      </c>
      <c r="L171" s="7" t="str">
        <f>HYPERLINK("http://slimages.macys.com/is/image/MCY/11807039 ")</f>
        <v xml:space="preserve">http://slimages.macys.com/is/image/MCY/11807039 </v>
      </c>
    </row>
    <row r="172" spans="1:12" ht="24.75" x14ac:dyDescent="0.25">
      <c r="A172" s="4" t="s">
        <v>8576</v>
      </c>
      <c r="B172" s="2" t="s">
        <v>2430</v>
      </c>
      <c r="C172" s="3">
        <v>1</v>
      </c>
      <c r="D172" s="5">
        <v>59.5</v>
      </c>
      <c r="E172" s="3" t="s">
        <v>2431</v>
      </c>
      <c r="F172" s="2" t="s">
        <v>64</v>
      </c>
      <c r="G172" s="6" t="s">
        <v>106</v>
      </c>
      <c r="H172" s="2" t="s">
        <v>386</v>
      </c>
      <c r="I172" s="2" t="s">
        <v>337</v>
      </c>
      <c r="J172" s="2" t="s">
        <v>19</v>
      </c>
      <c r="K172" s="2" t="s">
        <v>387</v>
      </c>
      <c r="L172" s="7" t="str">
        <f>HYPERLINK("http://slimages.macys.com/is/image/MCY/9477891 ")</f>
        <v xml:space="preserve">http://slimages.macys.com/is/image/MCY/9477891 </v>
      </c>
    </row>
    <row r="173" spans="1:12" ht="24.75" x14ac:dyDescent="0.25">
      <c r="A173" s="4" t="s">
        <v>8577</v>
      </c>
      <c r="B173" s="2" t="s">
        <v>2430</v>
      </c>
      <c r="C173" s="3">
        <v>2</v>
      </c>
      <c r="D173" s="5">
        <v>59.5</v>
      </c>
      <c r="E173" s="3" t="s">
        <v>2431</v>
      </c>
      <c r="F173" s="2" t="s">
        <v>64</v>
      </c>
      <c r="G173" s="6" t="s">
        <v>65</v>
      </c>
      <c r="H173" s="2" t="s">
        <v>386</v>
      </c>
      <c r="I173" s="2" t="s">
        <v>337</v>
      </c>
      <c r="J173" s="2" t="s">
        <v>19</v>
      </c>
      <c r="K173" s="2" t="s">
        <v>387</v>
      </c>
      <c r="L173" s="7" t="str">
        <f>HYPERLINK("http://slimages.macys.com/is/image/MCY/9477891 ")</f>
        <v xml:space="preserve">http://slimages.macys.com/is/image/MCY/9477891 </v>
      </c>
    </row>
    <row r="174" spans="1:12" ht="24.75" x14ac:dyDescent="0.25">
      <c r="A174" s="4" t="s">
        <v>7994</v>
      </c>
      <c r="B174" s="2" t="s">
        <v>2430</v>
      </c>
      <c r="C174" s="3">
        <v>1</v>
      </c>
      <c r="D174" s="5">
        <v>59.5</v>
      </c>
      <c r="E174" s="3" t="s">
        <v>2431</v>
      </c>
      <c r="F174" s="2" t="s">
        <v>64</v>
      </c>
      <c r="G174" s="6" t="s">
        <v>141</v>
      </c>
      <c r="H174" s="2" t="s">
        <v>386</v>
      </c>
      <c r="I174" s="2" t="s">
        <v>337</v>
      </c>
      <c r="J174" s="2" t="s">
        <v>19</v>
      </c>
      <c r="K174" s="2" t="s">
        <v>387</v>
      </c>
      <c r="L174" s="7" t="str">
        <f>HYPERLINK("http://slimages.macys.com/is/image/MCY/9477891 ")</f>
        <v xml:space="preserve">http://slimages.macys.com/is/image/MCY/9477891 </v>
      </c>
    </row>
    <row r="175" spans="1:12" ht="24.75" x14ac:dyDescent="0.25">
      <c r="A175" s="4" t="s">
        <v>8578</v>
      </c>
      <c r="B175" s="2" t="s">
        <v>6436</v>
      </c>
      <c r="C175" s="3">
        <v>1</v>
      </c>
      <c r="D175" s="5">
        <v>44.63</v>
      </c>
      <c r="E175" s="3" t="s">
        <v>6437</v>
      </c>
      <c r="F175" s="2" t="s">
        <v>1322</v>
      </c>
      <c r="G175" s="6" t="s">
        <v>27</v>
      </c>
      <c r="H175" s="2" t="s">
        <v>246</v>
      </c>
      <c r="I175" s="2" t="s">
        <v>487</v>
      </c>
      <c r="J175" s="2" t="s">
        <v>19</v>
      </c>
      <c r="K175" s="2" t="s">
        <v>409</v>
      </c>
      <c r="L175" s="7" t="str">
        <f>HYPERLINK("http://slimages.macys.com/is/image/MCY/11951837 ")</f>
        <v xml:space="preserve">http://slimages.macys.com/is/image/MCY/11951837 </v>
      </c>
    </row>
    <row r="176" spans="1:12" ht="36.75" x14ac:dyDescent="0.25">
      <c r="A176" s="4" t="s">
        <v>8579</v>
      </c>
      <c r="B176" s="2" t="s">
        <v>8580</v>
      </c>
      <c r="C176" s="3">
        <v>1</v>
      </c>
      <c r="D176" s="5">
        <v>44.99</v>
      </c>
      <c r="E176" s="3" t="s">
        <v>8581</v>
      </c>
      <c r="F176" s="2" t="s">
        <v>38</v>
      </c>
      <c r="G176" s="6" t="s">
        <v>802</v>
      </c>
      <c r="H176" s="2" t="s">
        <v>127</v>
      </c>
      <c r="I176" s="2" t="s">
        <v>541</v>
      </c>
      <c r="J176" s="2" t="s">
        <v>19</v>
      </c>
      <c r="K176" s="2" t="s">
        <v>500</v>
      </c>
      <c r="L176" s="7" t="str">
        <f>HYPERLINK("http://slimages.macys.com/is/image/MCY/16583426 ")</f>
        <v xml:space="preserve">http://slimages.macys.com/is/image/MCY/16583426 </v>
      </c>
    </row>
    <row r="177" spans="1:12" ht="24.75" x14ac:dyDescent="0.25">
      <c r="A177" s="4" t="s">
        <v>817</v>
      </c>
      <c r="B177" s="2" t="s">
        <v>818</v>
      </c>
      <c r="C177" s="3">
        <v>1</v>
      </c>
      <c r="D177" s="5">
        <v>36.5</v>
      </c>
      <c r="E177" s="3" t="s">
        <v>819</v>
      </c>
      <c r="F177" s="2" t="s">
        <v>820</v>
      </c>
      <c r="G177" s="6" t="s">
        <v>234</v>
      </c>
      <c r="H177" s="2" t="s">
        <v>194</v>
      </c>
      <c r="I177" s="2" t="s">
        <v>195</v>
      </c>
      <c r="J177" s="2" t="s">
        <v>19</v>
      </c>
      <c r="K177" s="2" t="s">
        <v>201</v>
      </c>
      <c r="L177" s="7" t="str">
        <f>HYPERLINK("http://slimages.macys.com/is/image/MCY/11935616 ")</f>
        <v xml:space="preserve">http://slimages.macys.com/is/image/MCY/11935616 </v>
      </c>
    </row>
    <row r="178" spans="1:12" ht="24.75" x14ac:dyDescent="0.25">
      <c r="A178" s="4" t="s">
        <v>2432</v>
      </c>
      <c r="B178" s="2" t="s">
        <v>818</v>
      </c>
      <c r="C178" s="3">
        <v>3</v>
      </c>
      <c r="D178" s="5">
        <v>36.5</v>
      </c>
      <c r="E178" s="3" t="s">
        <v>819</v>
      </c>
      <c r="F178" s="2" t="s">
        <v>820</v>
      </c>
      <c r="G178" s="6" t="s">
        <v>181</v>
      </c>
      <c r="H178" s="2" t="s">
        <v>194</v>
      </c>
      <c r="I178" s="2" t="s">
        <v>195</v>
      </c>
      <c r="J178" s="2" t="s">
        <v>19</v>
      </c>
      <c r="K178" s="2" t="s">
        <v>201</v>
      </c>
      <c r="L178" s="7" t="str">
        <f>HYPERLINK("http://slimages.macys.com/is/image/MCY/11935616 ")</f>
        <v xml:space="preserve">http://slimages.macys.com/is/image/MCY/11935616 </v>
      </c>
    </row>
    <row r="179" spans="1:12" ht="24.75" x14ac:dyDescent="0.25">
      <c r="A179" s="4" t="s">
        <v>821</v>
      </c>
      <c r="B179" s="2" t="s">
        <v>818</v>
      </c>
      <c r="C179" s="3">
        <v>1</v>
      </c>
      <c r="D179" s="5">
        <v>36.5</v>
      </c>
      <c r="E179" s="3" t="s">
        <v>819</v>
      </c>
      <c r="F179" s="2" t="s">
        <v>820</v>
      </c>
      <c r="G179" s="6" t="s">
        <v>154</v>
      </c>
      <c r="H179" s="2" t="s">
        <v>194</v>
      </c>
      <c r="I179" s="2" t="s">
        <v>195</v>
      </c>
      <c r="J179" s="2" t="s">
        <v>19</v>
      </c>
      <c r="K179" s="2" t="s">
        <v>201</v>
      </c>
      <c r="L179" s="7" t="str">
        <f>HYPERLINK("http://slimages.macys.com/is/image/MCY/11935616 ")</f>
        <v xml:space="preserve">http://slimages.macys.com/is/image/MCY/11935616 </v>
      </c>
    </row>
    <row r="180" spans="1:12" ht="24.75" x14ac:dyDescent="0.25">
      <c r="A180" s="4" t="s">
        <v>8582</v>
      </c>
      <c r="B180" s="2" t="s">
        <v>824</v>
      </c>
      <c r="C180" s="3">
        <v>1</v>
      </c>
      <c r="D180" s="5">
        <v>36.5</v>
      </c>
      <c r="E180" s="3" t="s">
        <v>825</v>
      </c>
      <c r="F180" s="2" t="s">
        <v>26</v>
      </c>
      <c r="G180" s="6" t="s">
        <v>234</v>
      </c>
      <c r="H180" s="2" t="s">
        <v>194</v>
      </c>
      <c r="I180" s="2" t="s">
        <v>307</v>
      </c>
      <c r="J180" s="2" t="s">
        <v>19</v>
      </c>
      <c r="K180" s="2" t="s">
        <v>160</v>
      </c>
      <c r="L180" s="7" t="str">
        <f>HYPERLINK("http://slimages.macys.com/is/image/MCY/11936006 ")</f>
        <v xml:space="preserve">http://slimages.macys.com/is/image/MCY/11936006 </v>
      </c>
    </row>
    <row r="181" spans="1:12" ht="24.75" x14ac:dyDescent="0.25">
      <c r="A181" s="4" t="s">
        <v>8583</v>
      </c>
      <c r="B181" s="2" t="s">
        <v>7260</v>
      </c>
      <c r="C181" s="3">
        <v>1</v>
      </c>
      <c r="D181" s="5">
        <v>59.5</v>
      </c>
      <c r="E181" s="3" t="s">
        <v>7261</v>
      </c>
      <c r="F181" s="2" t="s">
        <v>376</v>
      </c>
      <c r="G181" s="6" t="s">
        <v>934</v>
      </c>
      <c r="H181" s="2" t="s">
        <v>127</v>
      </c>
      <c r="I181" s="2" t="s">
        <v>128</v>
      </c>
      <c r="J181" s="2" t="s">
        <v>19</v>
      </c>
      <c r="K181" s="2" t="s">
        <v>361</v>
      </c>
      <c r="L181" s="7" t="str">
        <f>HYPERLINK("http://slimages.macys.com/is/image/MCY/11278537 ")</f>
        <v xml:space="preserve">http://slimages.macys.com/is/image/MCY/11278537 </v>
      </c>
    </row>
    <row r="182" spans="1:12" ht="24.75" x14ac:dyDescent="0.25">
      <c r="A182" s="4" t="s">
        <v>2445</v>
      </c>
      <c r="B182" s="2" t="s">
        <v>2439</v>
      </c>
      <c r="C182" s="3">
        <v>1</v>
      </c>
      <c r="D182" s="5">
        <v>44.63</v>
      </c>
      <c r="E182" s="3" t="s">
        <v>2440</v>
      </c>
      <c r="F182" s="2" t="s">
        <v>956</v>
      </c>
      <c r="G182" s="6" t="s">
        <v>154</v>
      </c>
      <c r="H182" s="2" t="s">
        <v>194</v>
      </c>
      <c r="I182" s="2" t="s">
        <v>195</v>
      </c>
      <c r="J182" s="2" t="s">
        <v>19</v>
      </c>
      <c r="K182" s="2" t="s">
        <v>34</v>
      </c>
      <c r="L182" s="7" t="str">
        <f>HYPERLINK("http://slimages.macys.com/is/image/MCY/11527019 ")</f>
        <v xml:space="preserve">http://slimages.macys.com/is/image/MCY/11527019 </v>
      </c>
    </row>
    <row r="183" spans="1:12" ht="24.75" x14ac:dyDescent="0.25">
      <c r="A183" s="4" t="s">
        <v>8007</v>
      </c>
      <c r="B183" s="2" t="s">
        <v>827</v>
      </c>
      <c r="C183" s="3">
        <v>1</v>
      </c>
      <c r="D183" s="5">
        <v>37.130000000000003</v>
      </c>
      <c r="E183" s="3">
        <v>100009535</v>
      </c>
      <c r="F183" s="2" t="s">
        <v>64</v>
      </c>
      <c r="G183" s="6" t="s">
        <v>22</v>
      </c>
      <c r="H183" s="2" t="s">
        <v>194</v>
      </c>
      <c r="I183" s="2" t="s">
        <v>503</v>
      </c>
      <c r="J183" s="2" t="s">
        <v>19</v>
      </c>
      <c r="K183" s="2" t="s">
        <v>353</v>
      </c>
      <c r="L183" s="7" t="str">
        <f>HYPERLINK("http://slimages.macys.com/is/image/MCY/9340634 ")</f>
        <v xml:space="preserve">http://slimages.macys.com/is/image/MCY/9340634 </v>
      </c>
    </row>
    <row r="184" spans="1:12" ht="24.75" x14ac:dyDescent="0.25">
      <c r="A184" s="4" t="s">
        <v>8584</v>
      </c>
      <c r="B184" s="2" t="s">
        <v>827</v>
      </c>
      <c r="C184" s="3">
        <v>1</v>
      </c>
      <c r="D184" s="5">
        <v>37.130000000000003</v>
      </c>
      <c r="E184" s="3">
        <v>100009535</v>
      </c>
      <c r="F184" s="2" t="s">
        <v>15</v>
      </c>
      <c r="G184" s="6" t="s">
        <v>106</v>
      </c>
      <c r="H184" s="2" t="s">
        <v>194</v>
      </c>
      <c r="I184" s="2" t="s">
        <v>503</v>
      </c>
      <c r="J184" s="2" t="s">
        <v>19</v>
      </c>
      <c r="K184" s="2" t="s">
        <v>353</v>
      </c>
      <c r="L184" s="7" t="str">
        <f>HYPERLINK("http://slimages.macys.com/is/image/MCY/9340634 ")</f>
        <v xml:space="preserve">http://slimages.macys.com/is/image/MCY/9340634 </v>
      </c>
    </row>
    <row r="185" spans="1:12" ht="24.75" x14ac:dyDescent="0.25">
      <c r="A185" s="4" t="s">
        <v>8585</v>
      </c>
      <c r="B185" s="2" t="s">
        <v>827</v>
      </c>
      <c r="C185" s="3">
        <v>1</v>
      </c>
      <c r="D185" s="5">
        <v>37.130000000000003</v>
      </c>
      <c r="E185" s="3">
        <v>100009535</v>
      </c>
      <c r="F185" s="2" t="s">
        <v>26</v>
      </c>
      <c r="G185" s="6" t="s">
        <v>112</v>
      </c>
      <c r="H185" s="2" t="s">
        <v>194</v>
      </c>
      <c r="I185" s="2" t="s">
        <v>503</v>
      </c>
      <c r="J185" s="2" t="s">
        <v>19</v>
      </c>
      <c r="K185" s="2" t="s">
        <v>353</v>
      </c>
      <c r="L185" s="7" t="str">
        <f>HYPERLINK("http://slimages.macys.com/is/image/MCY/9450411 ")</f>
        <v xml:space="preserve">http://slimages.macys.com/is/image/MCY/9450411 </v>
      </c>
    </row>
    <row r="186" spans="1:12" ht="24.75" x14ac:dyDescent="0.25">
      <c r="A186" s="4" t="s">
        <v>8586</v>
      </c>
      <c r="B186" s="2" t="s">
        <v>827</v>
      </c>
      <c r="C186" s="3">
        <v>1</v>
      </c>
      <c r="D186" s="5">
        <v>37.130000000000003</v>
      </c>
      <c r="E186" s="3">
        <v>100009535</v>
      </c>
      <c r="F186" s="2" t="s">
        <v>26</v>
      </c>
      <c r="G186" s="6" t="s">
        <v>58</v>
      </c>
      <c r="H186" s="2" t="s">
        <v>194</v>
      </c>
      <c r="I186" s="2" t="s">
        <v>503</v>
      </c>
      <c r="J186" s="2" t="s">
        <v>19</v>
      </c>
      <c r="K186" s="2" t="s">
        <v>353</v>
      </c>
      <c r="L186" s="7" t="str">
        <f>HYPERLINK("http://slimages.macys.com/is/image/MCY/9450411 ")</f>
        <v xml:space="preserve">http://slimages.macys.com/is/image/MCY/9450411 </v>
      </c>
    </row>
    <row r="187" spans="1:12" ht="48.75" x14ac:dyDescent="0.25">
      <c r="A187" s="4" t="s">
        <v>8587</v>
      </c>
      <c r="B187" s="2" t="s">
        <v>497</v>
      </c>
      <c r="C187" s="3">
        <v>1</v>
      </c>
      <c r="D187" s="5">
        <v>36.5</v>
      </c>
      <c r="E187" s="3" t="s">
        <v>7267</v>
      </c>
      <c r="F187" s="2" t="s">
        <v>33</v>
      </c>
      <c r="G187" s="6" t="s">
        <v>336</v>
      </c>
      <c r="H187" s="2" t="s">
        <v>632</v>
      </c>
      <c r="I187" s="2" t="s">
        <v>408</v>
      </c>
      <c r="J187" s="2" t="s">
        <v>19</v>
      </c>
      <c r="K187" s="2" t="s">
        <v>787</v>
      </c>
      <c r="L187" s="7" t="str">
        <f>HYPERLINK("http://slimages.macys.com/is/image/MCY/11241401 ")</f>
        <v xml:space="preserve">http://slimages.macys.com/is/image/MCY/11241401 </v>
      </c>
    </row>
    <row r="188" spans="1:12" ht="24.75" x14ac:dyDescent="0.25">
      <c r="A188" s="4" t="s">
        <v>2452</v>
      </c>
      <c r="B188" s="2" t="s">
        <v>837</v>
      </c>
      <c r="C188" s="3">
        <v>1</v>
      </c>
      <c r="D188" s="5">
        <v>40.880000000000003</v>
      </c>
      <c r="E188" s="3" t="s">
        <v>838</v>
      </c>
      <c r="F188" s="2" t="s">
        <v>57</v>
      </c>
      <c r="G188" s="6" t="s">
        <v>165</v>
      </c>
      <c r="H188" s="2" t="s">
        <v>188</v>
      </c>
      <c r="I188" s="2" t="s">
        <v>189</v>
      </c>
      <c r="J188" s="2" t="s">
        <v>19</v>
      </c>
      <c r="K188" s="2" t="s">
        <v>839</v>
      </c>
      <c r="L188" s="7" t="str">
        <f>HYPERLINK("http://slimages.macys.com/is/image/MCY/11940229 ")</f>
        <v xml:space="preserve">http://slimages.macys.com/is/image/MCY/11940229 </v>
      </c>
    </row>
    <row r="189" spans="1:12" ht="24.75" x14ac:dyDescent="0.25">
      <c r="A189" s="4" t="s">
        <v>8588</v>
      </c>
      <c r="B189" s="2" t="s">
        <v>837</v>
      </c>
      <c r="C189" s="3">
        <v>1</v>
      </c>
      <c r="D189" s="5">
        <v>40.880000000000003</v>
      </c>
      <c r="E189" s="3" t="s">
        <v>838</v>
      </c>
      <c r="F189" s="2" t="s">
        <v>57</v>
      </c>
      <c r="G189" s="6" t="s">
        <v>205</v>
      </c>
      <c r="H189" s="2" t="s">
        <v>188</v>
      </c>
      <c r="I189" s="2" t="s">
        <v>189</v>
      </c>
      <c r="J189" s="2" t="s">
        <v>19</v>
      </c>
      <c r="K189" s="2" t="s">
        <v>839</v>
      </c>
      <c r="L189" s="7" t="str">
        <f>HYPERLINK("http://slimages.macys.com/is/image/MCY/11940229 ")</f>
        <v xml:space="preserve">http://slimages.macys.com/is/image/MCY/11940229 </v>
      </c>
    </row>
    <row r="190" spans="1:12" ht="24.75" x14ac:dyDescent="0.25">
      <c r="A190" s="4" t="s">
        <v>8015</v>
      </c>
      <c r="B190" s="2" t="s">
        <v>5626</v>
      </c>
      <c r="C190" s="3">
        <v>1</v>
      </c>
      <c r="D190" s="5">
        <v>40.880000000000003</v>
      </c>
      <c r="E190" s="3" t="s">
        <v>5627</v>
      </c>
      <c r="F190" s="2" t="s">
        <v>26</v>
      </c>
      <c r="G190" s="6" t="s">
        <v>22</v>
      </c>
      <c r="H190" s="2" t="s">
        <v>246</v>
      </c>
      <c r="I190" s="2" t="s">
        <v>189</v>
      </c>
      <c r="J190" s="2" t="s">
        <v>19</v>
      </c>
      <c r="K190" s="2" t="s">
        <v>839</v>
      </c>
      <c r="L190" s="7" t="str">
        <f>HYPERLINK("http://slimages.macys.com/is/image/MCY/12268105 ")</f>
        <v xml:space="preserve">http://slimages.macys.com/is/image/MCY/12268105 </v>
      </c>
    </row>
    <row r="191" spans="1:12" ht="24.75" x14ac:dyDescent="0.25">
      <c r="A191" s="4" t="s">
        <v>5625</v>
      </c>
      <c r="B191" s="2" t="s">
        <v>5626</v>
      </c>
      <c r="C191" s="3">
        <v>1</v>
      </c>
      <c r="D191" s="5">
        <v>40.880000000000003</v>
      </c>
      <c r="E191" s="3" t="s">
        <v>5627</v>
      </c>
      <c r="F191" s="2" t="s">
        <v>26</v>
      </c>
      <c r="G191" s="6" t="s">
        <v>16</v>
      </c>
      <c r="H191" s="2" t="s">
        <v>246</v>
      </c>
      <c r="I191" s="2" t="s">
        <v>189</v>
      </c>
      <c r="J191" s="2" t="s">
        <v>19</v>
      </c>
      <c r="K191" s="2" t="s">
        <v>839</v>
      </c>
      <c r="L191" s="7" t="str">
        <f>HYPERLINK("http://slimages.macys.com/is/image/MCY/12268105 ")</f>
        <v xml:space="preserve">http://slimages.macys.com/is/image/MCY/12268105 </v>
      </c>
    </row>
    <row r="192" spans="1:12" ht="48.75" x14ac:dyDescent="0.25">
      <c r="A192" s="4" t="s">
        <v>846</v>
      </c>
      <c r="B192" s="2" t="s">
        <v>841</v>
      </c>
      <c r="C192" s="3">
        <v>1</v>
      </c>
      <c r="D192" s="5">
        <v>34.99</v>
      </c>
      <c r="E192" s="3" t="s">
        <v>842</v>
      </c>
      <c r="F192" s="2" t="s">
        <v>26</v>
      </c>
      <c r="G192" s="6" t="s">
        <v>847</v>
      </c>
      <c r="H192" s="2" t="s">
        <v>349</v>
      </c>
      <c r="I192" s="2" t="s">
        <v>408</v>
      </c>
      <c r="J192" s="2" t="s">
        <v>19</v>
      </c>
      <c r="K192" s="2" t="s">
        <v>787</v>
      </c>
      <c r="L192" s="7" t="str">
        <f>HYPERLINK("http://slimages.macys.com/is/image/MCY/3935281 ")</f>
        <v xml:space="preserve">http://slimages.macys.com/is/image/MCY/3935281 </v>
      </c>
    </row>
    <row r="193" spans="1:12" ht="48.75" x14ac:dyDescent="0.25">
      <c r="A193" s="4" t="s">
        <v>2457</v>
      </c>
      <c r="B193" s="2" t="s">
        <v>841</v>
      </c>
      <c r="C193" s="3">
        <v>1</v>
      </c>
      <c r="D193" s="5">
        <v>34.99</v>
      </c>
      <c r="E193" s="3" t="s">
        <v>842</v>
      </c>
      <c r="F193" s="2" t="s">
        <v>26</v>
      </c>
      <c r="G193" s="6" t="s">
        <v>2458</v>
      </c>
      <c r="H193" s="2" t="s">
        <v>349</v>
      </c>
      <c r="I193" s="2" t="s">
        <v>408</v>
      </c>
      <c r="J193" s="2" t="s">
        <v>19</v>
      </c>
      <c r="K193" s="2" t="s">
        <v>787</v>
      </c>
      <c r="L193" s="7" t="str">
        <f>HYPERLINK("http://slimages.macys.com/is/image/MCY/3935281 ")</f>
        <v xml:space="preserve">http://slimages.macys.com/is/image/MCY/3935281 </v>
      </c>
    </row>
    <row r="194" spans="1:12" ht="24.75" x14ac:dyDescent="0.25">
      <c r="A194" s="4" t="s">
        <v>8589</v>
      </c>
      <c r="B194" s="2" t="s">
        <v>2460</v>
      </c>
      <c r="C194" s="3">
        <v>1</v>
      </c>
      <c r="D194" s="5">
        <v>34.880000000000003</v>
      </c>
      <c r="E194" s="3" t="s">
        <v>2461</v>
      </c>
      <c r="F194" s="2" t="s">
        <v>376</v>
      </c>
      <c r="G194" s="6" t="s">
        <v>934</v>
      </c>
      <c r="H194" s="2" t="s">
        <v>312</v>
      </c>
      <c r="I194" s="2" t="s">
        <v>503</v>
      </c>
      <c r="J194" s="2" t="s">
        <v>19</v>
      </c>
      <c r="K194" s="2" t="s">
        <v>353</v>
      </c>
      <c r="L194" s="7" t="str">
        <f>HYPERLINK("http://slimages.macys.com/is/image/MCY/9325305 ")</f>
        <v xml:space="preserve">http://slimages.macys.com/is/image/MCY/9325305 </v>
      </c>
    </row>
    <row r="195" spans="1:12" ht="48.75" x14ac:dyDescent="0.25">
      <c r="A195" s="4" t="s">
        <v>2454</v>
      </c>
      <c r="B195" s="2" t="s">
        <v>841</v>
      </c>
      <c r="C195" s="3">
        <v>1</v>
      </c>
      <c r="D195" s="5">
        <v>34.99</v>
      </c>
      <c r="E195" s="3" t="s">
        <v>842</v>
      </c>
      <c r="F195" s="2" t="s">
        <v>26</v>
      </c>
      <c r="G195" s="6" t="s">
        <v>499</v>
      </c>
      <c r="H195" s="2" t="s">
        <v>349</v>
      </c>
      <c r="I195" s="2" t="s">
        <v>408</v>
      </c>
      <c r="J195" s="2" t="s">
        <v>19</v>
      </c>
      <c r="K195" s="2" t="s">
        <v>787</v>
      </c>
      <c r="L195" s="7" t="str">
        <f>HYPERLINK("http://slimages.macys.com/is/image/MCY/3935281 ")</f>
        <v xml:space="preserve">http://slimages.macys.com/is/image/MCY/3935281 </v>
      </c>
    </row>
    <row r="196" spans="1:12" ht="24.75" x14ac:dyDescent="0.25">
      <c r="A196" s="4" t="s">
        <v>7270</v>
      </c>
      <c r="B196" s="2" t="s">
        <v>2460</v>
      </c>
      <c r="C196" s="3">
        <v>1</v>
      </c>
      <c r="D196" s="5">
        <v>34.880000000000003</v>
      </c>
      <c r="E196" s="3" t="s">
        <v>2461</v>
      </c>
      <c r="F196" s="2" t="s">
        <v>376</v>
      </c>
      <c r="G196" s="6" t="s">
        <v>802</v>
      </c>
      <c r="H196" s="2" t="s">
        <v>312</v>
      </c>
      <c r="I196" s="2" t="s">
        <v>503</v>
      </c>
      <c r="J196" s="2" t="s">
        <v>19</v>
      </c>
      <c r="K196" s="2" t="s">
        <v>353</v>
      </c>
      <c r="L196" s="7" t="str">
        <f>HYPERLINK("http://slimages.macys.com/is/image/MCY/9325305 ")</f>
        <v xml:space="preserve">http://slimages.macys.com/is/image/MCY/9325305 </v>
      </c>
    </row>
    <row r="197" spans="1:12" ht="24.75" x14ac:dyDescent="0.25">
      <c r="A197" s="4" t="s">
        <v>8590</v>
      </c>
      <c r="B197" s="2" t="s">
        <v>818</v>
      </c>
      <c r="C197" s="3">
        <v>1</v>
      </c>
      <c r="D197" s="5">
        <v>36.5</v>
      </c>
      <c r="E197" s="3" t="s">
        <v>2465</v>
      </c>
      <c r="F197" s="2" t="s">
        <v>26</v>
      </c>
      <c r="G197" s="6" t="s">
        <v>200</v>
      </c>
      <c r="H197" s="2" t="s">
        <v>194</v>
      </c>
      <c r="I197" s="2" t="s">
        <v>195</v>
      </c>
      <c r="J197" s="2" t="s">
        <v>19</v>
      </c>
      <c r="K197" s="2" t="s">
        <v>247</v>
      </c>
      <c r="L197" s="7" t="str">
        <f>HYPERLINK("http://slimages.macys.com/is/image/MCY/11764566 ")</f>
        <v xml:space="preserve">http://slimages.macys.com/is/image/MCY/11764566 </v>
      </c>
    </row>
    <row r="198" spans="1:12" ht="24.75" x14ac:dyDescent="0.25">
      <c r="A198" s="4" t="s">
        <v>3604</v>
      </c>
      <c r="B198" s="2" t="s">
        <v>856</v>
      </c>
      <c r="C198" s="3">
        <v>1</v>
      </c>
      <c r="D198" s="5">
        <v>48</v>
      </c>
      <c r="E198" s="3">
        <v>100013497</v>
      </c>
      <c r="F198" s="2" t="s">
        <v>252</v>
      </c>
      <c r="G198" s="6" t="s">
        <v>58</v>
      </c>
      <c r="H198" s="2" t="s">
        <v>228</v>
      </c>
      <c r="I198" s="2" t="s">
        <v>857</v>
      </c>
      <c r="J198" s="2" t="s">
        <v>19</v>
      </c>
      <c r="K198" s="2" t="s">
        <v>387</v>
      </c>
      <c r="L198" s="7" t="str">
        <f>HYPERLINK("http://slimages.macys.com/is/image/MCY/9478981 ")</f>
        <v xml:space="preserve">http://slimages.macys.com/is/image/MCY/9478981 </v>
      </c>
    </row>
    <row r="199" spans="1:12" ht="24.75" x14ac:dyDescent="0.25">
      <c r="A199" s="4" t="s">
        <v>3614</v>
      </c>
      <c r="B199" s="2" t="s">
        <v>2476</v>
      </c>
      <c r="C199" s="3">
        <v>1</v>
      </c>
      <c r="D199" s="5">
        <v>40.880000000000003</v>
      </c>
      <c r="E199" s="3" t="s">
        <v>2479</v>
      </c>
      <c r="F199" s="2" t="s">
        <v>1614</v>
      </c>
      <c r="G199" s="6" t="s">
        <v>234</v>
      </c>
      <c r="H199" s="2" t="s">
        <v>194</v>
      </c>
      <c r="I199" s="2" t="s">
        <v>195</v>
      </c>
      <c r="J199" s="2" t="s">
        <v>19</v>
      </c>
      <c r="K199" s="2" t="s">
        <v>34</v>
      </c>
      <c r="L199" s="7" t="str">
        <f>HYPERLINK("http://slimages.macys.com/is/image/MCY/11526932 ")</f>
        <v xml:space="preserve">http://slimages.macys.com/is/image/MCY/11526932 </v>
      </c>
    </row>
    <row r="200" spans="1:12" ht="24.75" x14ac:dyDescent="0.25">
      <c r="A200" s="4" t="s">
        <v>882</v>
      </c>
      <c r="B200" s="2" t="s">
        <v>880</v>
      </c>
      <c r="C200" s="3">
        <v>2</v>
      </c>
      <c r="D200" s="5">
        <v>34.5</v>
      </c>
      <c r="E200" s="3">
        <v>100040729</v>
      </c>
      <c r="F200" s="2" t="s">
        <v>252</v>
      </c>
      <c r="G200" s="6" t="s">
        <v>27</v>
      </c>
      <c r="H200" s="2" t="s">
        <v>228</v>
      </c>
      <c r="I200" s="2" t="s">
        <v>229</v>
      </c>
      <c r="J200" s="2" t="s">
        <v>19</v>
      </c>
      <c r="K200" s="2" t="s">
        <v>230</v>
      </c>
      <c r="L200" s="7" t="str">
        <f>HYPERLINK("http://slimages.macys.com/is/image/MCY/3650189 ")</f>
        <v xml:space="preserve">http://slimages.macys.com/is/image/MCY/3650189 </v>
      </c>
    </row>
    <row r="201" spans="1:12" ht="24.75" x14ac:dyDescent="0.25">
      <c r="A201" s="4" t="s">
        <v>2482</v>
      </c>
      <c r="B201" s="2" t="s">
        <v>2483</v>
      </c>
      <c r="C201" s="3">
        <v>1</v>
      </c>
      <c r="D201" s="5">
        <v>34.880000000000003</v>
      </c>
      <c r="E201" s="3">
        <v>100058189</v>
      </c>
      <c r="F201" s="2" t="s">
        <v>15</v>
      </c>
      <c r="G201" s="6" t="s">
        <v>27</v>
      </c>
      <c r="H201" s="2" t="s">
        <v>194</v>
      </c>
      <c r="I201" s="2" t="s">
        <v>195</v>
      </c>
      <c r="J201" s="2" t="s">
        <v>19</v>
      </c>
      <c r="K201" s="2" t="s">
        <v>648</v>
      </c>
      <c r="L201" s="7" t="str">
        <f>HYPERLINK("http://slimages.macys.com/is/image/MCY/12802459 ")</f>
        <v xml:space="preserve">http://slimages.macys.com/is/image/MCY/12802459 </v>
      </c>
    </row>
    <row r="202" spans="1:12" ht="24.75" x14ac:dyDescent="0.25">
      <c r="A202" s="4" t="s">
        <v>8591</v>
      </c>
      <c r="B202" s="2" t="s">
        <v>926</v>
      </c>
      <c r="C202" s="3">
        <v>1</v>
      </c>
      <c r="D202" s="5">
        <v>37.130000000000003</v>
      </c>
      <c r="E202" s="3">
        <v>100009311</v>
      </c>
      <c r="F202" s="2" t="s">
        <v>64</v>
      </c>
      <c r="G202" s="6" t="s">
        <v>58</v>
      </c>
      <c r="H202" s="2" t="s">
        <v>194</v>
      </c>
      <c r="I202" s="2" t="s">
        <v>928</v>
      </c>
      <c r="J202" s="2" t="s">
        <v>19</v>
      </c>
      <c r="K202" s="2" t="s">
        <v>929</v>
      </c>
      <c r="L202" s="7" t="str">
        <f>HYPERLINK("http://slimages.macys.com/is/image/MCY/10249270 ")</f>
        <v xml:space="preserve">http://slimages.macys.com/is/image/MCY/10249270 </v>
      </c>
    </row>
    <row r="203" spans="1:12" ht="24.75" x14ac:dyDescent="0.25">
      <c r="A203" s="4" t="s">
        <v>888</v>
      </c>
      <c r="B203" s="2" t="s">
        <v>886</v>
      </c>
      <c r="C203" s="3">
        <v>1</v>
      </c>
      <c r="D203" s="5">
        <v>37.130000000000003</v>
      </c>
      <c r="E203" s="3">
        <v>100016232</v>
      </c>
      <c r="F203" s="2" t="s">
        <v>887</v>
      </c>
      <c r="G203" s="6" t="s">
        <v>234</v>
      </c>
      <c r="H203" s="2" t="s">
        <v>194</v>
      </c>
      <c r="I203" s="2" t="s">
        <v>195</v>
      </c>
      <c r="J203" s="2" t="s">
        <v>19</v>
      </c>
      <c r="K203" s="2" t="s">
        <v>201</v>
      </c>
      <c r="L203" s="7" t="str">
        <f>HYPERLINK("http://slimages.macys.com/is/image/MCY/9551936 ")</f>
        <v xml:space="preserve">http://slimages.macys.com/is/image/MCY/9551936 </v>
      </c>
    </row>
    <row r="204" spans="1:12" ht="24.75" x14ac:dyDescent="0.25">
      <c r="A204" s="4" t="s">
        <v>8592</v>
      </c>
      <c r="B204" s="2" t="s">
        <v>926</v>
      </c>
      <c r="C204" s="3">
        <v>1</v>
      </c>
      <c r="D204" s="5">
        <v>37.130000000000003</v>
      </c>
      <c r="E204" s="3">
        <v>100009311</v>
      </c>
      <c r="F204" s="2" t="s">
        <v>64</v>
      </c>
      <c r="G204" s="6" t="s">
        <v>22</v>
      </c>
      <c r="H204" s="2" t="s">
        <v>194</v>
      </c>
      <c r="I204" s="2" t="s">
        <v>928</v>
      </c>
      <c r="J204" s="2" t="s">
        <v>19</v>
      </c>
      <c r="K204" s="2" t="s">
        <v>929</v>
      </c>
      <c r="L204" s="7" t="str">
        <f>HYPERLINK("http://slimages.macys.com/is/image/MCY/10249270 ")</f>
        <v xml:space="preserve">http://slimages.macys.com/is/image/MCY/10249270 </v>
      </c>
    </row>
    <row r="205" spans="1:12" ht="24.75" x14ac:dyDescent="0.25">
      <c r="A205" s="4" t="s">
        <v>2484</v>
      </c>
      <c r="B205" s="2" t="s">
        <v>926</v>
      </c>
      <c r="C205" s="3">
        <v>2</v>
      </c>
      <c r="D205" s="5">
        <v>37.130000000000003</v>
      </c>
      <c r="E205" s="3">
        <v>100009311</v>
      </c>
      <c r="F205" s="2" t="s">
        <v>64</v>
      </c>
      <c r="G205" s="6" t="s">
        <v>16</v>
      </c>
      <c r="H205" s="2" t="s">
        <v>194</v>
      </c>
      <c r="I205" s="2" t="s">
        <v>928</v>
      </c>
      <c r="J205" s="2" t="s">
        <v>19</v>
      </c>
      <c r="K205" s="2" t="s">
        <v>929</v>
      </c>
      <c r="L205" s="7" t="str">
        <f>HYPERLINK("http://slimages.macys.com/is/image/MCY/10249270 ")</f>
        <v xml:space="preserve">http://slimages.macys.com/is/image/MCY/10249270 </v>
      </c>
    </row>
    <row r="206" spans="1:12" ht="24.75" x14ac:dyDescent="0.25">
      <c r="A206" s="4" t="s">
        <v>3634</v>
      </c>
      <c r="B206" s="2" t="s">
        <v>926</v>
      </c>
      <c r="C206" s="3">
        <v>1</v>
      </c>
      <c r="D206" s="5">
        <v>36.5</v>
      </c>
      <c r="E206" s="3">
        <v>100009311</v>
      </c>
      <c r="F206" s="2" t="s">
        <v>170</v>
      </c>
      <c r="G206" s="6" t="s">
        <v>22</v>
      </c>
      <c r="H206" s="2" t="s">
        <v>194</v>
      </c>
      <c r="I206" s="2" t="s">
        <v>928</v>
      </c>
      <c r="J206" s="2" t="s">
        <v>19</v>
      </c>
      <c r="K206" s="2" t="s">
        <v>929</v>
      </c>
      <c r="L206" s="7" t="str">
        <f>HYPERLINK("http://slimages.macys.com/is/image/MCY/10249270 ")</f>
        <v xml:space="preserve">http://slimages.macys.com/is/image/MCY/10249270 </v>
      </c>
    </row>
    <row r="207" spans="1:12" ht="24.75" x14ac:dyDescent="0.25">
      <c r="A207" s="4" t="s">
        <v>8593</v>
      </c>
      <c r="B207" s="2" t="s">
        <v>886</v>
      </c>
      <c r="C207" s="3">
        <v>1</v>
      </c>
      <c r="D207" s="5">
        <v>37.130000000000003</v>
      </c>
      <c r="E207" s="3">
        <v>100016232</v>
      </c>
      <c r="F207" s="2" t="s">
        <v>887</v>
      </c>
      <c r="G207" s="6" t="s">
        <v>245</v>
      </c>
      <c r="H207" s="2" t="s">
        <v>194</v>
      </c>
      <c r="I207" s="2" t="s">
        <v>195</v>
      </c>
      <c r="J207" s="2" t="s">
        <v>19</v>
      </c>
      <c r="K207" s="2" t="s">
        <v>201</v>
      </c>
      <c r="L207" s="7" t="str">
        <f>HYPERLINK("http://slimages.macys.com/is/image/MCY/9551936 ")</f>
        <v xml:space="preserve">http://slimages.macys.com/is/image/MCY/9551936 </v>
      </c>
    </row>
    <row r="208" spans="1:12" ht="24.75" x14ac:dyDescent="0.25">
      <c r="A208" s="4" t="s">
        <v>4725</v>
      </c>
      <c r="B208" s="2" t="s">
        <v>926</v>
      </c>
      <c r="C208" s="3">
        <v>2</v>
      </c>
      <c r="D208" s="5">
        <v>37.130000000000003</v>
      </c>
      <c r="E208" s="3">
        <v>100009311</v>
      </c>
      <c r="F208" s="2" t="s">
        <v>64</v>
      </c>
      <c r="G208" s="6" t="s">
        <v>27</v>
      </c>
      <c r="H208" s="2" t="s">
        <v>194</v>
      </c>
      <c r="I208" s="2" t="s">
        <v>928</v>
      </c>
      <c r="J208" s="2" t="s">
        <v>19</v>
      </c>
      <c r="K208" s="2" t="s">
        <v>929</v>
      </c>
      <c r="L208" s="7" t="str">
        <f>HYPERLINK("http://slimages.macys.com/is/image/MCY/10249270 ")</f>
        <v xml:space="preserve">http://slimages.macys.com/is/image/MCY/10249270 </v>
      </c>
    </row>
    <row r="209" spans="1:12" ht="24.75" x14ac:dyDescent="0.25">
      <c r="A209" s="4" t="s">
        <v>5641</v>
      </c>
      <c r="B209" s="2" t="s">
        <v>890</v>
      </c>
      <c r="C209" s="3">
        <v>1</v>
      </c>
      <c r="D209" s="5">
        <v>34.5</v>
      </c>
      <c r="E209" s="3" t="s">
        <v>891</v>
      </c>
      <c r="F209" s="2" t="s">
        <v>64</v>
      </c>
      <c r="G209" s="6" t="s">
        <v>27</v>
      </c>
      <c r="H209" s="2" t="s">
        <v>228</v>
      </c>
      <c r="I209" s="2" t="s">
        <v>229</v>
      </c>
      <c r="J209" s="2" t="s">
        <v>19</v>
      </c>
      <c r="K209" s="2" t="s">
        <v>253</v>
      </c>
      <c r="L209" s="7" t="str">
        <f>HYPERLINK("http://slimages.macys.com/is/image/MCY/3623510 ")</f>
        <v xml:space="preserve">http://slimages.macys.com/is/image/MCY/3623510 </v>
      </c>
    </row>
    <row r="210" spans="1:12" ht="24.75" x14ac:dyDescent="0.25">
      <c r="A210" s="4" t="s">
        <v>8594</v>
      </c>
      <c r="B210" s="2" t="s">
        <v>890</v>
      </c>
      <c r="C210" s="3">
        <v>1</v>
      </c>
      <c r="D210" s="5">
        <v>34.5</v>
      </c>
      <c r="E210" s="3" t="s">
        <v>891</v>
      </c>
      <c r="F210" s="2" t="s">
        <v>64</v>
      </c>
      <c r="G210" s="6" t="s">
        <v>16</v>
      </c>
      <c r="H210" s="2" t="s">
        <v>228</v>
      </c>
      <c r="I210" s="2" t="s">
        <v>229</v>
      </c>
      <c r="J210" s="2" t="s">
        <v>19</v>
      </c>
      <c r="K210" s="2" t="s">
        <v>253</v>
      </c>
      <c r="L210" s="7" t="str">
        <f>HYPERLINK("http://slimages.macys.com/is/image/MCY/3623510 ")</f>
        <v xml:space="preserve">http://slimages.macys.com/is/image/MCY/3623510 </v>
      </c>
    </row>
    <row r="211" spans="1:12" ht="36.75" x14ac:dyDescent="0.25">
      <c r="A211" s="4" t="s">
        <v>8045</v>
      </c>
      <c r="B211" s="2" t="s">
        <v>895</v>
      </c>
      <c r="C211" s="3">
        <v>1</v>
      </c>
      <c r="D211" s="5">
        <v>44.99</v>
      </c>
      <c r="E211" s="3" t="s">
        <v>8040</v>
      </c>
      <c r="F211" s="2" t="s">
        <v>417</v>
      </c>
      <c r="G211" s="6" t="s">
        <v>205</v>
      </c>
      <c r="H211" s="2" t="s">
        <v>127</v>
      </c>
      <c r="I211" s="2" t="s">
        <v>541</v>
      </c>
      <c r="J211" s="2" t="s">
        <v>19</v>
      </c>
      <c r="K211" s="2" t="s">
        <v>500</v>
      </c>
      <c r="L211" s="7" t="str">
        <f>HYPERLINK("http://slimages.macys.com/is/image/MCY/16583426 ")</f>
        <v xml:space="preserve">http://slimages.macys.com/is/image/MCY/16583426 </v>
      </c>
    </row>
    <row r="212" spans="1:12" ht="36.75" x14ac:dyDescent="0.25">
      <c r="A212" s="4" t="s">
        <v>8042</v>
      </c>
      <c r="B212" s="2" t="s">
        <v>895</v>
      </c>
      <c r="C212" s="3">
        <v>1</v>
      </c>
      <c r="D212" s="5">
        <v>44.99</v>
      </c>
      <c r="E212" s="3" t="s">
        <v>8040</v>
      </c>
      <c r="F212" s="2" t="s">
        <v>417</v>
      </c>
      <c r="G212" s="6" t="s">
        <v>934</v>
      </c>
      <c r="H212" s="2" t="s">
        <v>127</v>
      </c>
      <c r="I212" s="2" t="s">
        <v>541</v>
      </c>
      <c r="J212" s="2" t="s">
        <v>19</v>
      </c>
      <c r="K212" s="2" t="s">
        <v>500</v>
      </c>
      <c r="L212" s="7" t="str">
        <f>HYPERLINK("http://slimages.macys.com/is/image/MCY/16583426 ")</f>
        <v xml:space="preserve">http://slimages.macys.com/is/image/MCY/16583426 </v>
      </c>
    </row>
    <row r="213" spans="1:12" ht="24.75" x14ac:dyDescent="0.25">
      <c r="A213" s="4" t="s">
        <v>3642</v>
      </c>
      <c r="B213" s="2" t="s">
        <v>901</v>
      </c>
      <c r="C213" s="3">
        <v>1</v>
      </c>
      <c r="D213" s="5">
        <v>39.5</v>
      </c>
      <c r="E213" s="3" t="s">
        <v>902</v>
      </c>
      <c r="F213" s="2" t="s">
        <v>417</v>
      </c>
      <c r="G213" s="6" t="s">
        <v>154</v>
      </c>
      <c r="H213" s="2" t="s">
        <v>194</v>
      </c>
      <c r="I213" s="2" t="s">
        <v>195</v>
      </c>
      <c r="J213" s="2" t="s">
        <v>19</v>
      </c>
      <c r="K213" s="2" t="s">
        <v>438</v>
      </c>
      <c r="L213" s="7" t="str">
        <f>HYPERLINK("http://slimages.macys.com/is/image/MCY/12143757 ")</f>
        <v xml:space="preserve">http://slimages.macys.com/is/image/MCY/12143757 </v>
      </c>
    </row>
    <row r="214" spans="1:12" ht="24.75" x14ac:dyDescent="0.25">
      <c r="A214" s="4" t="s">
        <v>2488</v>
      </c>
      <c r="B214" s="2" t="s">
        <v>901</v>
      </c>
      <c r="C214" s="3">
        <v>1</v>
      </c>
      <c r="D214" s="5">
        <v>39.5</v>
      </c>
      <c r="E214" s="3" t="s">
        <v>902</v>
      </c>
      <c r="F214" s="2" t="s">
        <v>417</v>
      </c>
      <c r="G214" s="6" t="s">
        <v>181</v>
      </c>
      <c r="H214" s="2" t="s">
        <v>194</v>
      </c>
      <c r="I214" s="2" t="s">
        <v>195</v>
      </c>
      <c r="J214" s="2" t="s">
        <v>19</v>
      </c>
      <c r="K214" s="2" t="s">
        <v>438</v>
      </c>
      <c r="L214" s="7" t="str">
        <f>HYPERLINK("http://slimages.macys.com/is/image/MCY/12143757 ")</f>
        <v xml:space="preserve">http://slimages.macys.com/is/image/MCY/12143757 </v>
      </c>
    </row>
    <row r="215" spans="1:12" ht="24.75" x14ac:dyDescent="0.25">
      <c r="A215" s="4" t="s">
        <v>906</v>
      </c>
      <c r="B215" s="2" t="s">
        <v>904</v>
      </c>
      <c r="C215" s="3">
        <v>1</v>
      </c>
      <c r="D215" s="5">
        <v>34.5</v>
      </c>
      <c r="E215" s="3" t="s">
        <v>907</v>
      </c>
      <c r="F215" s="2" t="s">
        <v>26</v>
      </c>
      <c r="G215" s="6" t="s">
        <v>154</v>
      </c>
      <c r="H215" s="2" t="s">
        <v>228</v>
      </c>
      <c r="I215" s="2" t="s">
        <v>229</v>
      </c>
      <c r="J215" s="2" t="s">
        <v>19</v>
      </c>
      <c r="K215" s="2" t="s">
        <v>253</v>
      </c>
      <c r="L215" s="7" t="str">
        <f>HYPERLINK("http://slimages.macys.com/is/image/MCY/12794164 ")</f>
        <v xml:space="preserve">http://slimages.macys.com/is/image/MCY/12794164 </v>
      </c>
    </row>
    <row r="216" spans="1:12" ht="24.75" x14ac:dyDescent="0.25">
      <c r="A216" s="4" t="s">
        <v>8595</v>
      </c>
      <c r="B216" s="2" t="s">
        <v>904</v>
      </c>
      <c r="C216" s="3">
        <v>1</v>
      </c>
      <c r="D216" s="5">
        <v>34.5</v>
      </c>
      <c r="E216" s="3">
        <v>100051031</v>
      </c>
      <c r="F216" s="2" t="s">
        <v>111</v>
      </c>
      <c r="G216" s="6" t="s">
        <v>245</v>
      </c>
      <c r="H216" s="2" t="s">
        <v>228</v>
      </c>
      <c r="I216" s="2" t="s">
        <v>229</v>
      </c>
      <c r="J216" s="2" t="s">
        <v>19</v>
      </c>
      <c r="K216" s="2" t="s">
        <v>353</v>
      </c>
      <c r="L216" s="7" t="str">
        <f>HYPERLINK("http://slimages.macys.com/is/image/MCY/11606163 ")</f>
        <v xml:space="preserve">http://slimages.macys.com/is/image/MCY/11606163 </v>
      </c>
    </row>
    <row r="217" spans="1:12" ht="24.75" x14ac:dyDescent="0.25">
      <c r="A217" s="4" t="s">
        <v>8596</v>
      </c>
      <c r="B217" s="2" t="s">
        <v>6476</v>
      </c>
      <c r="C217" s="3">
        <v>1</v>
      </c>
      <c r="D217" s="5">
        <v>37.130000000000003</v>
      </c>
      <c r="E217" s="3" t="s">
        <v>6477</v>
      </c>
      <c r="F217" s="2" t="s">
        <v>74</v>
      </c>
      <c r="G217" s="6" t="s">
        <v>65</v>
      </c>
      <c r="H217" s="2" t="s">
        <v>246</v>
      </c>
      <c r="I217" s="2" t="s">
        <v>189</v>
      </c>
      <c r="J217" s="2" t="s">
        <v>19</v>
      </c>
      <c r="K217" s="2" t="s">
        <v>332</v>
      </c>
      <c r="L217" s="7" t="str">
        <f>HYPERLINK("http://slimages.macys.com/is/image/MCY/12224912 ")</f>
        <v xml:space="preserve">http://slimages.macys.com/is/image/MCY/12224912 </v>
      </c>
    </row>
    <row r="218" spans="1:12" ht="24.75" x14ac:dyDescent="0.25">
      <c r="A218" s="4" t="s">
        <v>7298</v>
      </c>
      <c r="B218" s="2" t="s">
        <v>909</v>
      </c>
      <c r="C218" s="3">
        <v>1</v>
      </c>
      <c r="D218" s="5">
        <v>40.880000000000003</v>
      </c>
      <c r="E218" s="3" t="s">
        <v>7295</v>
      </c>
      <c r="F218" s="2" t="s">
        <v>1584</v>
      </c>
      <c r="G218" s="6" t="s">
        <v>205</v>
      </c>
      <c r="H218" s="2" t="s">
        <v>188</v>
      </c>
      <c r="I218" s="2" t="s">
        <v>189</v>
      </c>
      <c r="J218" s="2" t="s">
        <v>19</v>
      </c>
      <c r="K218" s="2" t="s">
        <v>648</v>
      </c>
      <c r="L218" s="7" t="str">
        <f>HYPERLINK("http://slimages.macys.com/is/image/MCY/12268099 ")</f>
        <v xml:space="preserve">http://slimages.macys.com/is/image/MCY/12268099 </v>
      </c>
    </row>
    <row r="219" spans="1:12" ht="24.75" x14ac:dyDescent="0.25">
      <c r="A219" s="4" t="s">
        <v>8056</v>
      </c>
      <c r="B219" s="2" t="s">
        <v>909</v>
      </c>
      <c r="C219" s="3">
        <v>1</v>
      </c>
      <c r="D219" s="5">
        <v>40.880000000000003</v>
      </c>
      <c r="E219" s="3" t="s">
        <v>7295</v>
      </c>
      <c r="F219" s="2" t="s">
        <v>1584</v>
      </c>
      <c r="G219" s="6" t="s">
        <v>165</v>
      </c>
      <c r="H219" s="2" t="s">
        <v>188</v>
      </c>
      <c r="I219" s="2" t="s">
        <v>189</v>
      </c>
      <c r="J219" s="2" t="s">
        <v>19</v>
      </c>
      <c r="K219" s="2" t="s">
        <v>648</v>
      </c>
      <c r="L219" s="7" t="str">
        <f>HYPERLINK("http://slimages.macys.com/is/image/MCY/12268099 ")</f>
        <v xml:space="preserve">http://slimages.macys.com/is/image/MCY/12268099 </v>
      </c>
    </row>
    <row r="220" spans="1:12" ht="24.75" x14ac:dyDescent="0.25">
      <c r="A220" s="4" t="s">
        <v>7296</v>
      </c>
      <c r="B220" s="2" t="s">
        <v>909</v>
      </c>
      <c r="C220" s="3">
        <v>1</v>
      </c>
      <c r="D220" s="5">
        <v>40.880000000000003</v>
      </c>
      <c r="E220" s="3" t="s">
        <v>7295</v>
      </c>
      <c r="F220" s="2" t="s">
        <v>1584</v>
      </c>
      <c r="G220" s="6" t="s">
        <v>126</v>
      </c>
      <c r="H220" s="2" t="s">
        <v>188</v>
      </c>
      <c r="I220" s="2" t="s">
        <v>189</v>
      </c>
      <c r="J220" s="2" t="s">
        <v>19</v>
      </c>
      <c r="K220" s="2" t="s">
        <v>648</v>
      </c>
      <c r="L220" s="7" t="str">
        <f>HYPERLINK("http://slimages.macys.com/is/image/MCY/12268099 ")</f>
        <v xml:space="preserve">http://slimages.macys.com/is/image/MCY/12268099 </v>
      </c>
    </row>
    <row r="221" spans="1:12" ht="24.75" x14ac:dyDescent="0.25">
      <c r="A221" s="4" t="s">
        <v>8057</v>
      </c>
      <c r="B221" s="2" t="s">
        <v>909</v>
      </c>
      <c r="C221" s="3">
        <v>1</v>
      </c>
      <c r="D221" s="5">
        <v>40.880000000000003</v>
      </c>
      <c r="E221" s="3" t="s">
        <v>7295</v>
      </c>
      <c r="F221" s="2" t="s">
        <v>1584</v>
      </c>
      <c r="G221" s="6" t="s">
        <v>802</v>
      </c>
      <c r="H221" s="2" t="s">
        <v>188</v>
      </c>
      <c r="I221" s="2" t="s">
        <v>189</v>
      </c>
      <c r="J221" s="2" t="s">
        <v>19</v>
      </c>
      <c r="K221" s="2" t="s">
        <v>648</v>
      </c>
      <c r="L221" s="7" t="str">
        <f>HYPERLINK("http://slimages.macys.com/is/image/MCY/12268099 ")</f>
        <v xml:space="preserve">http://slimages.macys.com/is/image/MCY/12268099 </v>
      </c>
    </row>
    <row r="222" spans="1:12" ht="24.75" x14ac:dyDescent="0.25">
      <c r="A222" s="4" t="s">
        <v>8597</v>
      </c>
      <c r="B222" s="2" t="s">
        <v>8598</v>
      </c>
      <c r="C222" s="3">
        <v>1</v>
      </c>
      <c r="D222" s="5">
        <v>44.63</v>
      </c>
      <c r="E222" s="3" t="s">
        <v>8599</v>
      </c>
      <c r="F222" s="2" t="s">
        <v>132</v>
      </c>
      <c r="G222" s="6" t="s">
        <v>219</v>
      </c>
      <c r="H222" s="2" t="s">
        <v>188</v>
      </c>
      <c r="I222" s="2" t="s">
        <v>189</v>
      </c>
      <c r="J222" s="2" t="s">
        <v>19</v>
      </c>
      <c r="K222" s="2" t="s">
        <v>107</v>
      </c>
      <c r="L222" s="7" t="str">
        <f>HYPERLINK("http://slimages.macys.com/is/image/MCY/13330168 ")</f>
        <v xml:space="preserve">http://slimages.macys.com/is/image/MCY/13330168 </v>
      </c>
    </row>
    <row r="223" spans="1:12" ht="24.75" x14ac:dyDescent="0.25">
      <c r="A223" s="4" t="s">
        <v>8600</v>
      </c>
      <c r="B223" s="2" t="s">
        <v>936</v>
      </c>
      <c r="C223" s="3">
        <v>1</v>
      </c>
      <c r="D223" s="5">
        <v>34.5</v>
      </c>
      <c r="E223" s="3">
        <v>100025268</v>
      </c>
      <c r="F223" s="2" t="s">
        <v>417</v>
      </c>
      <c r="G223" s="6" t="s">
        <v>112</v>
      </c>
      <c r="H223" s="2" t="s">
        <v>228</v>
      </c>
      <c r="I223" s="2" t="s">
        <v>229</v>
      </c>
      <c r="J223" s="2" t="s">
        <v>19</v>
      </c>
      <c r="K223" s="2" t="s">
        <v>230</v>
      </c>
      <c r="L223" s="7" t="str">
        <f>HYPERLINK("http://slimages.macys.com/is/image/MCY/10985237 ")</f>
        <v xml:space="preserve">http://slimages.macys.com/is/image/MCY/10985237 </v>
      </c>
    </row>
    <row r="224" spans="1:12" ht="24.75" x14ac:dyDescent="0.25">
      <c r="A224" s="4" t="s">
        <v>8601</v>
      </c>
      <c r="B224" s="2" t="s">
        <v>8063</v>
      </c>
      <c r="C224" s="3">
        <v>1</v>
      </c>
      <c r="D224" s="5">
        <v>59.5</v>
      </c>
      <c r="E224" s="3" t="s">
        <v>7129</v>
      </c>
      <c r="F224" s="2" t="s">
        <v>1322</v>
      </c>
      <c r="G224" s="6" t="s">
        <v>165</v>
      </c>
      <c r="H224" s="2" t="s">
        <v>206</v>
      </c>
      <c r="I224" s="2" t="s">
        <v>1010</v>
      </c>
      <c r="J224" s="2" t="s">
        <v>19</v>
      </c>
      <c r="K224" s="2" t="s">
        <v>160</v>
      </c>
      <c r="L224" s="7" t="str">
        <f>HYPERLINK("http://slimages.macys.com/is/image/MCY/9504083 ")</f>
        <v xml:space="preserve">http://slimages.macys.com/is/image/MCY/9504083 </v>
      </c>
    </row>
    <row r="225" spans="1:12" ht="24.75" x14ac:dyDescent="0.25">
      <c r="A225" s="4" t="s">
        <v>8602</v>
      </c>
      <c r="B225" s="2" t="s">
        <v>2460</v>
      </c>
      <c r="C225" s="3">
        <v>1</v>
      </c>
      <c r="D225" s="5">
        <v>34.880000000000003</v>
      </c>
      <c r="E225" s="3">
        <v>100009313</v>
      </c>
      <c r="F225" s="2" t="s">
        <v>26</v>
      </c>
      <c r="G225" s="6" t="s">
        <v>22</v>
      </c>
      <c r="H225" s="2" t="s">
        <v>194</v>
      </c>
      <c r="I225" s="2" t="s">
        <v>503</v>
      </c>
      <c r="J225" s="2" t="s">
        <v>19</v>
      </c>
      <c r="K225" s="2" t="s">
        <v>353</v>
      </c>
      <c r="L225" s="7" t="str">
        <f>HYPERLINK("http://slimages.macys.com/is/image/MCY/9340611 ")</f>
        <v xml:space="preserve">http://slimages.macys.com/is/image/MCY/9340611 </v>
      </c>
    </row>
    <row r="226" spans="1:12" ht="24.75" x14ac:dyDescent="0.25">
      <c r="A226" s="4" t="s">
        <v>5671</v>
      </c>
      <c r="B226" s="2" t="s">
        <v>948</v>
      </c>
      <c r="C226" s="3">
        <v>3</v>
      </c>
      <c r="D226" s="5">
        <v>34.880000000000003</v>
      </c>
      <c r="E226" s="3">
        <v>100038962</v>
      </c>
      <c r="F226" s="2" t="s">
        <v>64</v>
      </c>
      <c r="G226" s="6" t="s">
        <v>58</v>
      </c>
      <c r="H226" s="2" t="s">
        <v>194</v>
      </c>
      <c r="I226" s="2" t="s">
        <v>195</v>
      </c>
      <c r="J226" s="2" t="s">
        <v>19</v>
      </c>
      <c r="K226" s="2" t="s">
        <v>353</v>
      </c>
      <c r="L226" s="7" t="str">
        <f>HYPERLINK("http://slimages.macys.com/is/image/MCY/11145019 ")</f>
        <v xml:space="preserve">http://slimages.macys.com/is/image/MCY/11145019 </v>
      </c>
    </row>
    <row r="227" spans="1:12" ht="24.75" x14ac:dyDescent="0.25">
      <c r="A227" s="4" t="s">
        <v>5672</v>
      </c>
      <c r="B227" s="2" t="s">
        <v>948</v>
      </c>
      <c r="C227" s="3">
        <v>1</v>
      </c>
      <c r="D227" s="5">
        <v>34.880000000000003</v>
      </c>
      <c r="E227" s="3">
        <v>100038962</v>
      </c>
      <c r="F227" s="2" t="s">
        <v>64</v>
      </c>
      <c r="G227" s="6" t="s">
        <v>106</v>
      </c>
      <c r="H227" s="2" t="s">
        <v>194</v>
      </c>
      <c r="I227" s="2" t="s">
        <v>195</v>
      </c>
      <c r="J227" s="2" t="s">
        <v>19</v>
      </c>
      <c r="K227" s="2" t="s">
        <v>353</v>
      </c>
      <c r="L227" s="7" t="str">
        <f>HYPERLINK("http://slimages.macys.com/is/image/MCY/11145019 ")</f>
        <v xml:space="preserve">http://slimages.macys.com/is/image/MCY/11145019 </v>
      </c>
    </row>
    <row r="228" spans="1:12" ht="24.75" x14ac:dyDescent="0.25">
      <c r="A228" s="4" t="s">
        <v>8603</v>
      </c>
      <c r="B228" s="2" t="s">
        <v>808</v>
      </c>
      <c r="C228" s="3">
        <v>1</v>
      </c>
      <c r="D228" s="5">
        <v>37.130000000000003</v>
      </c>
      <c r="E228" s="3" t="s">
        <v>5680</v>
      </c>
      <c r="F228" s="2" t="s">
        <v>70</v>
      </c>
      <c r="G228" s="6"/>
      <c r="H228" s="2" t="s">
        <v>312</v>
      </c>
      <c r="I228" s="2" t="s">
        <v>503</v>
      </c>
      <c r="J228" s="2" t="s">
        <v>19</v>
      </c>
      <c r="K228" s="2" t="s">
        <v>546</v>
      </c>
      <c r="L228" s="7" t="str">
        <f>HYPERLINK("http://slimages.macys.com/is/image/MCY/12144056 ")</f>
        <v xml:space="preserve">http://slimages.macys.com/is/image/MCY/12144056 </v>
      </c>
    </row>
    <row r="229" spans="1:12" ht="24.75" x14ac:dyDescent="0.25">
      <c r="A229" s="4" t="s">
        <v>6485</v>
      </c>
      <c r="B229" s="2" t="s">
        <v>808</v>
      </c>
      <c r="C229" s="3">
        <v>1</v>
      </c>
      <c r="D229" s="5">
        <v>37.130000000000003</v>
      </c>
      <c r="E229" s="3" t="s">
        <v>5680</v>
      </c>
      <c r="F229" s="2" t="s">
        <v>170</v>
      </c>
      <c r="G229" s="6"/>
      <c r="H229" s="2" t="s">
        <v>312</v>
      </c>
      <c r="I229" s="2" t="s">
        <v>503</v>
      </c>
      <c r="J229" s="2" t="s">
        <v>19</v>
      </c>
      <c r="K229" s="2" t="s">
        <v>546</v>
      </c>
      <c r="L229" s="7" t="str">
        <f>HYPERLINK("http://slimages.macys.com/is/image/MCY/12144056 ")</f>
        <v xml:space="preserve">http://slimages.macys.com/is/image/MCY/12144056 </v>
      </c>
    </row>
    <row r="230" spans="1:12" ht="24.75" x14ac:dyDescent="0.25">
      <c r="A230" s="4" t="s">
        <v>7308</v>
      </c>
      <c r="B230" s="2" t="s">
        <v>808</v>
      </c>
      <c r="C230" s="3">
        <v>1</v>
      </c>
      <c r="D230" s="5">
        <v>37.130000000000003</v>
      </c>
      <c r="E230" s="3" t="s">
        <v>5680</v>
      </c>
      <c r="F230" s="2" t="s">
        <v>170</v>
      </c>
      <c r="G230" s="6"/>
      <c r="H230" s="2" t="s">
        <v>312</v>
      </c>
      <c r="I230" s="2" t="s">
        <v>503</v>
      </c>
      <c r="J230" s="2" t="s">
        <v>19</v>
      </c>
      <c r="K230" s="2" t="s">
        <v>546</v>
      </c>
      <c r="L230" s="7" t="str">
        <f>HYPERLINK("http://slimages.macys.com/is/image/MCY/12144056 ")</f>
        <v xml:space="preserve">http://slimages.macys.com/is/image/MCY/12144056 </v>
      </c>
    </row>
    <row r="231" spans="1:12" ht="24.75" x14ac:dyDescent="0.25">
      <c r="A231" s="4" t="s">
        <v>8604</v>
      </c>
      <c r="B231" s="2" t="s">
        <v>808</v>
      </c>
      <c r="C231" s="3">
        <v>1</v>
      </c>
      <c r="D231" s="5">
        <v>37.130000000000003</v>
      </c>
      <c r="E231" s="3" t="s">
        <v>5680</v>
      </c>
      <c r="F231" s="2" t="s">
        <v>70</v>
      </c>
      <c r="G231" s="6"/>
      <c r="H231" s="2" t="s">
        <v>312</v>
      </c>
      <c r="I231" s="2" t="s">
        <v>503</v>
      </c>
      <c r="J231" s="2" t="s">
        <v>19</v>
      </c>
      <c r="K231" s="2" t="s">
        <v>546</v>
      </c>
      <c r="L231" s="7" t="str">
        <f>HYPERLINK("http://slimages.macys.com/is/image/MCY/12144056 ")</f>
        <v xml:space="preserve">http://slimages.macys.com/is/image/MCY/12144056 </v>
      </c>
    </row>
    <row r="232" spans="1:12" ht="24.75" x14ac:dyDescent="0.25">
      <c r="A232" s="4" t="s">
        <v>3661</v>
      </c>
      <c r="B232" s="2" t="s">
        <v>988</v>
      </c>
      <c r="C232" s="3">
        <v>1</v>
      </c>
      <c r="D232" s="5">
        <v>40.880000000000003</v>
      </c>
      <c r="E232" s="3" t="s">
        <v>3662</v>
      </c>
      <c r="F232" s="2" t="s">
        <v>57</v>
      </c>
      <c r="G232" s="6" t="s">
        <v>234</v>
      </c>
      <c r="H232" s="2" t="s">
        <v>246</v>
      </c>
      <c r="I232" s="2" t="s">
        <v>189</v>
      </c>
      <c r="J232" s="2" t="s">
        <v>19</v>
      </c>
      <c r="K232" s="2" t="s">
        <v>648</v>
      </c>
      <c r="L232" s="7" t="str">
        <f>HYPERLINK("http://slimages.macys.com/is/image/MCY/11808188 ")</f>
        <v xml:space="preserve">http://slimages.macys.com/is/image/MCY/11808188 </v>
      </c>
    </row>
    <row r="233" spans="1:12" ht="24.75" x14ac:dyDescent="0.25">
      <c r="A233" s="4" t="s">
        <v>8605</v>
      </c>
      <c r="B233" s="2" t="s">
        <v>808</v>
      </c>
      <c r="C233" s="3">
        <v>1</v>
      </c>
      <c r="D233" s="5">
        <v>37.130000000000003</v>
      </c>
      <c r="E233" s="3" t="s">
        <v>5680</v>
      </c>
      <c r="F233" s="2" t="s">
        <v>170</v>
      </c>
      <c r="G233" s="6"/>
      <c r="H233" s="2" t="s">
        <v>312</v>
      </c>
      <c r="I233" s="2" t="s">
        <v>503</v>
      </c>
      <c r="J233" s="2" t="s">
        <v>19</v>
      </c>
      <c r="K233" s="2" t="s">
        <v>546</v>
      </c>
      <c r="L233" s="7" t="str">
        <f>HYPERLINK("http://slimages.macys.com/is/image/MCY/12144056 ")</f>
        <v xml:space="preserve">http://slimages.macys.com/is/image/MCY/12144056 </v>
      </c>
    </row>
    <row r="234" spans="1:12" ht="24.75" x14ac:dyDescent="0.25">
      <c r="A234" s="4" t="s">
        <v>8077</v>
      </c>
      <c r="B234" s="2" t="s">
        <v>4756</v>
      </c>
      <c r="C234" s="3">
        <v>1</v>
      </c>
      <c r="D234" s="5">
        <v>44</v>
      </c>
      <c r="E234" s="3" t="s">
        <v>4757</v>
      </c>
      <c r="F234" s="2" t="s">
        <v>331</v>
      </c>
      <c r="G234" s="6" t="s">
        <v>794</v>
      </c>
      <c r="H234" s="2" t="s">
        <v>447</v>
      </c>
      <c r="I234" s="2" t="s">
        <v>792</v>
      </c>
      <c r="J234" s="2" t="s">
        <v>19</v>
      </c>
      <c r="K234" s="2" t="s">
        <v>160</v>
      </c>
      <c r="L234" s="7" t="str">
        <f>HYPERLINK("http://slimages.macys.com/is/image/MCY/14875672 ")</f>
        <v xml:space="preserve">http://slimages.macys.com/is/image/MCY/14875672 </v>
      </c>
    </row>
    <row r="235" spans="1:12" ht="24.75" x14ac:dyDescent="0.25">
      <c r="A235" s="4" t="s">
        <v>978</v>
      </c>
      <c r="B235" s="2" t="s">
        <v>744</v>
      </c>
      <c r="C235" s="3">
        <v>1</v>
      </c>
      <c r="D235" s="5">
        <v>34.99</v>
      </c>
      <c r="E235" s="3" t="s">
        <v>979</v>
      </c>
      <c r="F235" s="2" t="s">
        <v>85</v>
      </c>
      <c r="G235" s="6" t="s">
        <v>234</v>
      </c>
      <c r="H235" s="2" t="s">
        <v>284</v>
      </c>
      <c r="I235" s="2" t="s">
        <v>285</v>
      </c>
      <c r="J235" s="2" t="s">
        <v>19</v>
      </c>
      <c r="K235" s="2" t="s">
        <v>34</v>
      </c>
      <c r="L235" s="7" t="str">
        <f>HYPERLINK("http://slimages.macys.com/is/image/MCY/9723880 ")</f>
        <v xml:space="preserve">http://slimages.macys.com/is/image/MCY/9723880 </v>
      </c>
    </row>
    <row r="236" spans="1:12" ht="24.75" x14ac:dyDescent="0.25">
      <c r="A236" s="4" t="s">
        <v>8606</v>
      </c>
      <c r="B236" s="2" t="s">
        <v>4746</v>
      </c>
      <c r="C236" s="3">
        <v>1</v>
      </c>
      <c r="D236" s="5">
        <v>37.130000000000003</v>
      </c>
      <c r="E236" s="3" t="s">
        <v>8607</v>
      </c>
      <c r="F236" s="2" t="s">
        <v>26</v>
      </c>
      <c r="G236" s="6" t="s">
        <v>154</v>
      </c>
      <c r="H236" s="2" t="s">
        <v>284</v>
      </c>
      <c r="I236" s="2" t="s">
        <v>408</v>
      </c>
      <c r="J236" s="2" t="s">
        <v>19</v>
      </c>
      <c r="K236" s="2" t="s">
        <v>409</v>
      </c>
      <c r="L236" s="7" t="str">
        <f>HYPERLINK("http://slimages.macys.com/is/image/MCY/11957298 ")</f>
        <v xml:space="preserve">http://slimages.macys.com/is/image/MCY/11957298 </v>
      </c>
    </row>
    <row r="237" spans="1:12" ht="24.75" x14ac:dyDescent="0.25">
      <c r="A237" s="4" t="s">
        <v>8608</v>
      </c>
      <c r="B237" s="2" t="s">
        <v>974</v>
      </c>
      <c r="C237" s="3">
        <v>1</v>
      </c>
      <c r="D237" s="5">
        <v>45</v>
      </c>
      <c r="E237" s="3" t="s">
        <v>975</v>
      </c>
      <c r="F237" s="2" t="s">
        <v>170</v>
      </c>
      <c r="G237" s="6" t="s">
        <v>446</v>
      </c>
      <c r="H237" s="2" t="s">
        <v>447</v>
      </c>
      <c r="I237" s="2" t="s">
        <v>792</v>
      </c>
      <c r="J237" s="2" t="s">
        <v>19</v>
      </c>
      <c r="K237" s="2" t="s">
        <v>160</v>
      </c>
      <c r="L237" s="7" t="str">
        <f>HYPERLINK("http://slimages.macys.com/is/image/MCY/12649291 ")</f>
        <v xml:space="preserve">http://slimages.macys.com/is/image/MCY/12649291 </v>
      </c>
    </row>
    <row r="238" spans="1:12" ht="24.75" x14ac:dyDescent="0.25">
      <c r="A238" s="4" t="s">
        <v>8088</v>
      </c>
      <c r="B238" s="2" t="s">
        <v>936</v>
      </c>
      <c r="C238" s="3">
        <v>1</v>
      </c>
      <c r="D238" s="5">
        <v>34.5</v>
      </c>
      <c r="E238" s="3">
        <v>100040726</v>
      </c>
      <c r="F238" s="2" t="s">
        <v>417</v>
      </c>
      <c r="G238" s="6" t="s">
        <v>16</v>
      </c>
      <c r="H238" s="2" t="s">
        <v>228</v>
      </c>
      <c r="I238" s="2" t="s">
        <v>229</v>
      </c>
      <c r="J238" s="2" t="s">
        <v>19</v>
      </c>
      <c r="K238" s="2" t="s">
        <v>230</v>
      </c>
      <c r="L238" s="7" t="str">
        <f>HYPERLINK("http://slimages.macys.com/is/image/MCY/10985237 ")</f>
        <v xml:space="preserve">http://slimages.macys.com/is/image/MCY/10985237 </v>
      </c>
    </row>
    <row r="239" spans="1:12" ht="24.75" x14ac:dyDescent="0.25">
      <c r="A239" s="4" t="s">
        <v>5693</v>
      </c>
      <c r="B239" s="2" t="s">
        <v>936</v>
      </c>
      <c r="C239" s="3">
        <v>1</v>
      </c>
      <c r="D239" s="5">
        <v>34.5</v>
      </c>
      <c r="E239" s="3">
        <v>100040726</v>
      </c>
      <c r="F239" s="2" t="s">
        <v>417</v>
      </c>
      <c r="G239" s="6" t="s">
        <v>141</v>
      </c>
      <c r="H239" s="2" t="s">
        <v>228</v>
      </c>
      <c r="I239" s="2" t="s">
        <v>229</v>
      </c>
      <c r="J239" s="2" t="s">
        <v>19</v>
      </c>
      <c r="K239" s="2" t="s">
        <v>230</v>
      </c>
      <c r="L239" s="7" t="str">
        <f>HYPERLINK("http://slimages.macys.com/is/image/MCY/10985237 ")</f>
        <v xml:space="preserve">http://slimages.macys.com/is/image/MCY/10985237 </v>
      </c>
    </row>
    <row r="240" spans="1:12" ht="24.75" x14ac:dyDescent="0.25">
      <c r="A240" s="4" t="s">
        <v>8089</v>
      </c>
      <c r="B240" s="2" t="s">
        <v>936</v>
      </c>
      <c r="C240" s="3">
        <v>1</v>
      </c>
      <c r="D240" s="5">
        <v>34.5</v>
      </c>
      <c r="E240" s="3">
        <v>100040726</v>
      </c>
      <c r="F240" s="2" t="s">
        <v>417</v>
      </c>
      <c r="G240" s="6" t="s">
        <v>112</v>
      </c>
      <c r="H240" s="2" t="s">
        <v>228</v>
      </c>
      <c r="I240" s="2" t="s">
        <v>229</v>
      </c>
      <c r="J240" s="2" t="s">
        <v>19</v>
      </c>
      <c r="K240" s="2" t="s">
        <v>230</v>
      </c>
      <c r="L240" s="7" t="str">
        <f>HYPERLINK("http://slimages.macys.com/is/image/MCY/10985237 ")</f>
        <v xml:space="preserve">http://slimages.macys.com/is/image/MCY/10985237 </v>
      </c>
    </row>
    <row r="241" spans="1:12" ht="24.75" x14ac:dyDescent="0.25">
      <c r="A241" s="4" t="s">
        <v>3692</v>
      </c>
      <c r="B241" s="2" t="s">
        <v>926</v>
      </c>
      <c r="C241" s="3">
        <v>1</v>
      </c>
      <c r="D241" s="5">
        <v>37.130000000000003</v>
      </c>
      <c r="E241" s="3">
        <v>100009311</v>
      </c>
      <c r="F241" s="2" t="s">
        <v>79</v>
      </c>
      <c r="G241" s="6" t="s">
        <v>22</v>
      </c>
      <c r="H241" s="2" t="s">
        <v>194</v>
      </c>
      <c r="I241" s="2" t="s">
        <v>928</v>
      </c>
      <c r="J241" s="2" t="s">
        <v>19</v>
      </c>
      <c r="K241" s="2" t="s">
        <v>929</v>
      </c>
      <c r="L241" s="7" t="str">
        <f>HYPERLINK("http://slimages.macys.com/is/image/MCY/10249272 ")</f>
        <v xml:space="preserve">http://slimages.macys.com/is/image/MCY/10249272 </v>
      </c>
    </row>
    <row r="242" spans="1:12" ht="24.75" x14ac:dyDescent="0.25">
      <c r="A242" s="4" t="s">
        <v>5695</v>
      </c>
      <c r="B242" s="2" t="s">
        <v>926</v>
      </c>
      <c r="C242" s="3">
        <v>2</v>
      </c>
      <c r="D242" s="5">
        <v>37.130000000000003</v>
      </c>
      <c r="E242" s="3">
        <v>100009311</v>
      </c>
      <c r="F242" s="2" t="s">
        <v>79</v>
      </c>
      <c r="G242" s="6" t="s">
        <v>58</v>
      </c>
      <c r="H242" s="2" t="s">
        <v>194</v>
      </c>
      <c r="I242" s="2" t="s">
        <v>928</v>
      </c>
      <c r="J242" s="2" t="s">
        <v>19</v>
      </c>
      <c r="K242" s="2" t="s">
        <v>929</v>
      </c>
      <c r="L242" s="7" t="str">
        <f>HYPERLINK("http://slimages.macys.com/is/image/MCY/10249272 ")</f>
        <v xml:space="preserve">http://slimages.macys.com/is/image/MCY/10249272 </v>
      </c>
    </row>
    <row r="243" spans="1:12" ht="24.75" x14ac:dyDescent="0.25">
      <c r="A243" s="4" t="s">
        <v>5697</v>
      </c>
      <c r="B243" s="2" t="s">
        <v>926</v>
      </c>
      <c r="C243" s="3">
        <v>2</v>
      </c>
      <c r="D243" s="5">
        <v>37.130000000000003</v>
      </c>
      <c r="E243" s="3">
        <v>100009311</v>
      </c>
      <c r="F243" s="2" t="s">
        <v>79</v>
      </c>
      <c r="G243" s="6" t="s">
        <v>141</v>
      </c>
      <c r="H243" s="2" t="s">
        <v>194</v>
      </c>
      <c r="I243" s="2" t="s">
        <v>928</v>
      </c>
      <c r="J243" s="2" t="s">
        <v>19</v>
      </c>
      <c r="K243" s="2" t="s">
        <v>929</v>
      </c>
      <c r="L243" s="7" t="str">
        <f>HYPERLINK("http://slimages.macys.com/is/image/MCY/10249272 ")</f>
        <v xml:space="preserve">http://slimages.macys.com/is/image/MCY/10249272 </v>
      </c>
    </row>
    <row r="244" spans="1:12" ht="24.75" x14ac:dyDescent="0.25">
      <c r="A244" s="4" t="s">
        <v>3696</v>
      </c>
      <c r="B244" s="2" t="s">
        <v>904</v>
      </c>
      <c r="C244" s="3">
        <v>1</v>
      </c>
      <c r="D244" s="5">
        <v>34.5</v>
      </c>
      <c r="E244" s="3" t="s">
        <v>997</v>
      </c>
      <c r="F244" s="2" t="s">
        <v>998</v>
      </c>
      <c r="G244" s="6" t="s">
        <v>794</v>
      </c>
      <c r="H244" s="2" t="s">
        <v>426</v>
      </c>
      <c r="I244" s="2" t="s">
        <v>229</v>
      </c>
      <c r="J244" s="2" t="s">
        <v>19</v>
      </c>
      <c r="K244" s="2" t="s">
        <v>353</v>
      </c>
      <c r="L244" s="7" t="str">
        <f>HYPERLINK("http://slimages.macys.com/is/image/MCY/11934830 ")</f>
        <v xml:space="preserve">http://slimages.macys.com/is/image/MCY/11934830 </v>
      </c>
    </row>
    <row r="245" spans="1:12" ht="24.75" x14ac:dyDescent="0.25">
      <c r="A245" s="4" t="s">
        <v>8091</v>
      </c>
      <c r="B245" s="2" t="s">
        <v>904</v>
      </c>
      <c r="C245" s="3">
        <v>1</v>
      </c>
      <c r="D245" s="5">
        <v>34.5</v>
      </c>
      <c r="E245" s="3" t="s">
        <v>5707</v>
      </c>
      <c r="F245" s="2" t="s">
        <v>33</v>
      </c>
      <c r="G245" s="6"/>
      <c r="H245" s="2" t="s">
        <v>426</v>
      </c>
      <c r="I245" s="2" t="s">
        <v>229</v>
      </c>
      <c r="J245" s="2" t="s">
        <v>19</v>
      </c>
      <c r="K245" s="2" t="s">
        <v>353</v>
      </c>
      <c r="L245" s="7" t="str">
        <f>HYPERLINK("http://slimages.macys.com/is/image/MCY/11934830 ")</f>
        <v xml:space="preserve">http://slimages.macys.com/is/image/MCY/11934830 </v>
      </c>
    </row>
    <row r="246" spans="1:12" ht="24.75" x14ac:dyDescent="0.25">
      <c r="A246" s="4" t="s">
        <v>996</v>
      </c>
      <c r="B246" s="2" t="s">
        <v>904</v>
      </c>
      <c r="C246" s="3">
        <v>1</v>
      </c>
      <c r="D246" s="5">
        <v>34.5</v>
      </c>
      <c r="E246" s="3" t="s">
        <v>997</v>
      </c>
      <c r="F246" s="2" t="s">
        <v>998</v>
      </c>
      <c r="G246" s="6"/>
      <c r="H246" s="2" t="s">
        <v>426</v>
      </c>
      <c r="I246" s="2" t="s">
        <v>229</v>
      </c>
      <c r="J246" s="2" t="s">
        <v>19</v>
      </c>
      <c r="K246" s="2" t="s">
        <v>353</v>
      </c>
      <c r="L246" s="7" t="str">
        <f>HYPERLINK("http://slimages.macys.com/is/image/MCY/11934830 ")</f>
        <v xml:space="preserve">http://slimages.macys.com/is/image/MCY/11934830 </v>
      </c>
    </row>
    <row r="247" spans="1:12" ht="24.75" x14ac:dyDescent="0.25">
      <c r="A247" s="4" t="s">
        <v>8609</v>
      </c>
      <c r="B247" s="2" t="s">
        <v>3706</v>
      </c>
      <c r="C247" s="3">
        <v>2</v>
      </c>
      <c r="D247" s="5">
        <v>37.130000000000003</v>
      </c>
      <c r="E247" s="3" t="s">
        <v>3707</v>
      </c>
      <c r="F247" s="2" t="s">
        <v>680</v>
      </c>
      <c r="G247" s="6"/>
      <c r="H247" s="2" t="s">
        <v>188</v>
      </c>
      <c r="I247" s="2" t="s">
        <v>189</v>
      </c>
      <c r="J247" s="2" t="s">
        <v>19</v>
      </c>
      <c r="K247" s="2" t="s">
        <v>701</v>
      </c>
      <c r="L247" s="7" t="str">
        <f>HYPERLINK("http://slimages.macys.com/is/image/MCY/12894593 ")</f>
        <v xml:space="preserve">http://slimages.macys.com/is/image/MCY/12894593 </v>
      </c>
    </row>
    <row r="248" spans="1:12" ht="24.75" x14ac:dyDescent="0.25">
      <c r="A248" s="4" t="s">
        <v>1007</v>
      </c>
      <c r="B248" s="2" t="s">
        <v>1008</v>
      </c>
      <c r="C248" s="3">
        <v>1</v>
      </c>
      <c r="D248" s="5">
        <v>49.5</v>
      </c>
      <c r="E248" s="3" t="s">
        <v>1009</v>
      </c>
      <c r="F248" s="2" t="s">
        <v>74</v>
      </c>
      <c r="G248" s="6" t="s">
        <v>238</v>
      </c>
      <c r="H248" s="2" t="s">
        <v>206</v>
      </c>
      <c r="I248" s="2" t="s">
        <v>1010</v>
      </c>
      <c r="J248" s="2" t="s">
        <v>19</v>
      </c>
      <c r="K248" s="2" t="s">
        <v>409</v>
      </c>
      <c r="L248" s="7" t="str">
        <f>HYPERLINK("http://slimages.macys.com/is/image/MCY/9044823 ")</f>
        <v xml:space="preserve">http://slimages.macys.com/is/image/MCY/9044823 </v>
      </c>
    </row>
    <row r="249" spans="1:12" ht="24.75" x14ac:dyDescent="0.25">
      <c r="A249" s="4" t="s">
        <v>8610</v>
      </c>
      <c r="B249" s="2" t="s">
        <v>4777</v>
      </c>
      <c r="C249" s="3">
        <v>1</v>
      </c>
      <c r="D249" s="5">
        <v>49.5</v>
      </c>
      <c r="E249" s="3" t="s">
        <v>4778</v>
      </c>
      <c r="F249" s="2" t="s">
        <v>676</v>
      </c>
      <c r="G249" s="6" t="s">
        <v>238</v>
      </c>
      <c r="H249" s="2" t="s">
        <v>206</v>
      </c>
      <c r="I249" s="2" t="s">
        <v>1010</v>
      </c>
      <c r="J249" s="2" t="s">
        <v>19</v>
      </c>
      <c r="K249" s="2" t="s">
        <v>409</v>
      </c>
      <c r="L249" s="7" t="str">
        <f>HYPERLINK("http://slimages.macys.com/is/image/MCY/9044823 ")</f>
        <v xml:space="preserve">http://slimages.macys.com/is/image/MCY/9044823 </v>
      </c>
    </row>
    <row r="250" spans="1:12" ht="24.75" x14ac:dyDescent="0.25">
      <c r="A250" s="4" t="s">
        <v>8611</v>
      </c>
      <c r="B250" s="2" t="s">
        <v>8612</v>
      </c>
      <c r="C250" s="3">
        <v>1</v>
      </c>
      <c r="D250" s="5">
        <v>49.5</v>
      </c>
      <c r="E250" s="3" t="s">
        <v>4778</v>
      </c>
      <c r="F250" s="2" t="s">
        <v>887</v>
      </c>
      <c r="G250" s="6" t="s">
        <v>238</v>
      </c>
      <c r="H250" s="2" t="s">
        <v>206</v>
      </c>
      <c r="I250" s="2" t="s">
        <v>1010</v>
      </c>
      <c r="J250" s="2" t="s">
        <v>19</v>
      </c>
      <c r="K250" s="2" t="s">
        <v>409</v>
      </c>
      <c r="L250" s="7" t="str">
        <f>HYPERLINK("http://slimages.macys.com/is/image/MCY/9044823 ")</f>
        <v xml:space="preserve">http://slimages.macys.com/is/image/MCY/9044823 </v>
      </c>
    </row>
    <row r="251" spans="1:12" ht="24.75" x14ac:dyDescent="0.25">
      <c r="A251" s="4" t="s">
        <v>8613</v>
      </c>
      <c r="B251" s="2" t="s">
        <v>2521</v>
      </c>
      <c r="C251" s="3">
        <v>1</v>
      </c>
      <c r="D251" s="5">
        <v>34.5</v>
      </c>
      <c r="E251" s="3">
        <v>100045823</v>
      </c>
      <c r="F251" s="2" t="s">
        <v>26</v>
      </c>
      <c r="G251" s="6" t="s">
        <v>181</v>
      </c>
      <c r="H251" s="2" t="s">
        <v>228</v>
      </c>
      <c r="I251" s="2" t="s">
        <v>229</v>
      </c>
      <c r="J251" s="2" t="s">
        <v>19</v>
      </c>
      <c r="K251" s="2" t="s">
        <v>215</v>
      </c>
      <c r="L251" s="7" t="str">
        <f>HYPERLINK("http://slimages.macys.com/is/image/MCY/11804428 ")</f>
        <v xml:space="preserve">http://slimages.macys.com/is/image/MCY/11804428 </v>
      </c>
    </row>
    <row r="252" spans="1:12" ht="24.75" x14ac:dyDescent="0.25">
      <c r="A252" s="4" t="s">
        <v>3719</v>
      </c>
      <c r="B252" s="2" t="s">
        <v>2530</v>
      </c>
      <c r="C252" s="3">
        <v>1</v>
      </c>
      <c r="D252" s="5">
        <v>34.5</v>
      </c>
      <c r="E252" s="3">
        <v>100054339</v>
      </c>
      <c r="F252" s="2" t="s">
        <v>26</v>
      </c>
      <c r="G252" s="6" t="s">
        <v>156</v>
      </c>
      <c r="H252" s="2" t="s">
        <v>228</v>
      </c>
      <c r="I252" s="2" t="s">
        <v>857</v>
      </c>
      <c r="J252" s="2" t="s">
        <v>19</v>
      </c>
      <c r="K252" s="2" t="s">
        <v>338</v>
      </c>
      <c r="L252" s="7" t="str">
        <f>HYPERLINK("http://slimages.macys.com/is/image/MCY/12144139 ")</f>
        <v xml:space="preserve">http://slimages.macys.com/is/image/MCY/12144139 </v>
      </c>
    </row>
    <row r="253" spans="1:12" ht="24.75" x14ac:dyDescent="0.25">
      <c r="A253" s="4" t="s">
        <v>2529</v>
      </c>
      <c r="B253" s="2" t="s">
        <v>2530</v>
      </c>
      <c r="C253" s="3">
        <v>1</v>
      </c>
      <c r="D253" s="5">
        <v>34.5</v>
      </c>
      <c r="E253" s="3">
        <v>100054339</v>
      </c>
      <c r="F253" s="2" t="s">
        <v>26</v>
      </c>
      <c r="G253" s="6" t="s">
        <v>154</v>
      </c>
      <c r="H253" s="2" t="s">
        <v>228</v>
      </c>
      <c r="I253" s="2" t="s">
        <v>857</v>
      </c>
      <c r="J253" s="2" t="s">
        <v>19</v>
      </c>
      <c r="K253" s="2" t="s">
        <v>338</v>
      </c>
      <c r="L253" s="7" t="str">
        <f>HYPERLINK("http://slimages.macys.com/is/image/MCY/12144139 ")</f>
        <v xml:space="preserve">http://slimages.macys.com/is/image/MCY/12144139 </v>
      </c>
    </row>
    <row r="254" spans="1:12" ht="24.75" x14ac:dyDescent="0.25">
      <c r="A254" s="4" t="s">
        <v>2531</v>
      </c>
      <c r="B254" s="2" t="s">
        <v>1028</v>
      </c>
      <c r="C254" s="3">
        <v>3</v>
      </c>
      <c r="D254" s="5">
        <v>37.130000000000003</v>
      </c>
      <c r="E254" s="3" t="s">
        <v>2532</v>
      </c>
      <c r="F254" s="2" t="s">
        <v>26</v>
      </c>
      <c r="G254" s="6"/>
      <c r="H254" s="2" t="s">
        <v>632</v>
      </c>
      <c r="I254" s="2" t="s">
        <v>408</v>
      </c>
      <c r="J254" s="2" t="s">
        <v>19</v>
      </c>
      <c r="K254" s="2" t="s">
        <v>409</v>
      </c>
      <c r="L254" s="7" t="str">
        <f>HYPERLINK("http://slimages.macys.com/is/image/MCY/8191312 ")</f>
        <v xml:space="preserve">http://slimages.macys.com/is/image/MCY/8191312 </v>
      </c>
    </row>
    <row r="255" spans="1:12" ht="24.75" x14ac:dyDescent="0.25">
      <c r="A255" s="4" t="s">
        <v>2533</v>
      </c>
      <c r="B255" s="2" t="s">
        <v>1028</v>
      </c>
      <c r="C255" s="3">
        <v>1</v>
      </c>
      <c r="D255" s="5">
        <v>37.130000000000003</v>
      </c>
      <c r="E255" s="3" t="s">
        <v>2532</v>
      </c>
      <c r="F255" s="2" t="s">
        <v>26</v>
      </c>
      <c r="G255" s="6"/>
      <c r="H255" s="2" t="s">
        <v>632</v>
      </c>
      <c r="I255" s="2" t="s">
        <v>408</v>
      </c>
      <c r="J255" s="2" t="s">
        <v>19</v>
      </c>
      <c r="K255" s="2" t="s">
        <v>409</v>
      </c>
      <c r="L255" s="7" t="str">
        <f>HYPERLINK("http://slimages.macys.com/is/image/MCY/8191312 ")</f>
        <v xml:space="preserve">http://slimages.macys.com/is/image/MCY/8191312 </v>
      </c>
    </row>
    <row r="256" spans="1:12" ht="24.75" x14ac:dyDescent="0.25">
      <c r="A256" s="4" t="s">
        <v>8614</v>
      </c>
      <c r="B256" s="2" t="s">
        <v>1028</v>
      </c>
      <c r="C256" s="3">
        <v>2</v>
      </c>
      <c r="D256" s="5">
        <v>37.130000000000003</v>
      </c>
      <c r="E256" s="3" t="s">
        <v>2532</v>
      </c>
      <c r="F256" s="2" t="s">
        <v>26</v>
      </c>
      <c r="G256" s="6" t="s">
        <v>794</v>
      </c>
      <c r="H256" s="2" t="s">
        <v>632</v>
      </c>
      <c r="I256" s="2" t="s">
        <v>408</v>
      </c>
      <c r="J256" s="2" t="s">
        <v>19</v>
      </c>
      <c r="K256" s="2" t="s">
        <v>409</v>
      </c>
      <c r="L256" s="7" t="str">
        <f>HYPERLINK("http://slimages.macys.com/is/image/MCY/8191312 ")</f>
        <v xml:space="preserve">http://slimages.macys.com/is/image/MCY/8191312 </v>
      </c>
    </row>
    <row r="257" spans="1:12" ht="24.75" x14ac:dyDescent="0.25">
      <c r="A257" s="4" t="s">
        <v>1030</v>
      </c>
      <c r="B257" s="2" t="s">
        <v>1028</v>
      </c>
      <c r="C257" s="3">
        <v>1</v>
      </c>
      <c r="D257" s="5">
        <v>36.5</v>
      </c>
      <c r="E257" s="3" t="s">
        <v>1029</v>
      </c>
      <c r="F257" s="2" t="s">
        <v>74</v>
      </c>
      <c r="G257" s="6"/>
      <c r="H257" s="2" t="s">
        <v>632</v>
      </c>
      <c r="I257" s="2" t="s">
        <v>408</v>
      </c>
      <c r="J257" s="2" t="s">
        <v>19</v>
      </c>
      <c r="K257" s="2" t="s">
        <v>409</v>
      </c>
      <c r="L257" s="7" t="str">
        <f>HYPERLINK("http://slimages.macys.com/is/image/MCY/8191312 ")</f>
        <v xml:space="preserve">http://slimages.macys.com/is/image/MCY/8191312 </v>
      </c>
    </row>
    <row r="258" spans="1:12" ht="24.75" x14ac:dyDescent="0.25">
      <c r="A258" s="4" t="s">
        <v>8615</v>
      </c>
      <c r="B258" s="2" t="s">
        <v>1033</v>
      </c>
      <c r="C258" s="3">
        <v>1</v>
      </c>
      <c r="D258" s="5">
        <v>37.130000000000003</v>
      </c>
      <c r="E258" s="3" t="s">
        <v>2536</v>
      </c>
      <c r="F258" s="2" t="s">
        <v>1584</v>
      </c>
      <c r="G258" s="6" t="s">
        <v>106</v>
      </c>
      <c r="H258" s="2" t="s">
        <v>246</v>
      </c>
      <c r="I258" s="2" t="s">
        <v>189</v>
      </c>
      <c r="J258" s="2" t="s">
        <v>19</v>
      </c>
      <c r="K258" s="2" t="s">
        <v>648</v>
      </c>
      <c r="L258" s="7" t="str">
        <f>HYPERLINK("http://slimages.macys.com/is/image/MCY/12649645 ")</f>
        <v xml:space="preserve">http://slimages.macys.com/is/image/MCY/12649645 </v>
      </c>
    </row>
    <row r="259" spans="1:12" ht="24.75" x14ac:dyDescent="0.25">
      <c r="A259" s="4" t="s">
        <v>8616</v>
      </c>
      <c r="B259" s="2" t="s">
        <v>1033</v>
      </c>
      <c r="C259" s="3">
        <v>1</v>
      </c>
      <c r="D259" s="5">
        <v>37.130000000000003</v>
      </c>
      <c r="E259" s="3" t="s">
        <v>2536</v>
      </c>
      <c r="F259" s="2" t="s">
        <v>1584</v>
      </c>
      <c r="G259" s="6" t="s">
        <v>58</v>
      </c>
      <c r="H259" s="2" t="s">
        <v>246</v>
      </c>
      <c r="I259" s="2" t="s">
        <v>189</v>
      </c>
      <c r="J259" s="2" t="s">
        <v>19</v>
      </c>
      <c r="K259" s="2" t="s">
        <v>648</v>
      </c>
      <c r="L259" s="7" t="str">
        <f>HYPERLINK("http://slimages.macys.com/is/image/MCY/12649645 ")</f>
        <v xml:space="preserve">http://slimages.macys.com/is/image/MCY/12649645 </v>
      </c>
    </row>
    <row r="260" spans="1:12" ht="24.75" x14ac:dyDescent="0.25">
      <c r="A260" s="4" t="s">
        <v>4794</v>
      </c>
      <c r="B260" s="2" t="s">
        <v>4795</v>
      </c>
      <c r="C260" s="3">
        <v>1</v>
      </c>
      <c r="D260" s="5">
        <v>37.130000000000003</v>
      </c>
      <c r="E260" s="3" t="s">
        <v>4796</v>
      </c>
      <c r="F260" s="2" t="s">
        <v>57</v>
      </c>
      <c r="G260" s="6"/>
      <c r="H260" s="2" t="s">
        <v>188</v>
      </c>
      <c r="I260" s="2" t="s">
        <v>189</v>
      </c>
      <c r="J260" s="2" t="s">
        <v>19</v>
      </c>
      <c r="K260" s="2" t="s">
        <v>4797</v>
      </c>
      <c r="L260" s="7" t="str">
        <f>HYPERLINK("http://slimages.macys.com/is/image/MCY/13367335 ")</f>
        <v xml:space="preserve">http://slimages.macys.com/is/image/MCY/13367335 </v>
      </c>
    </row>
    <row r="261" spans="1:12" ht="24.75" x14ac:dyDescent="0.25">
      <c r="A261" s="4" t="s">
        <v>1038</v>
      </c>
      <c r="B261" s="2" t="s">
        <v>1036</v>
      </c>
      <c r="C261" s="3">
        <v>1</v>
      </c>
      <c r="D261" s="5">
        <v>36.5</v>
      </c>
      <c r="E261" s="3" t="s">
        <v>1037</v>
      </c>
      <c r="F261" s="2" t="s">
        <v>998</v>
      </c>
      <c r="G261" s="6" t="s">
        <v>154</v>
      </c>
      <c r="H261" s="2" t="s">
        <v>194</v>
      </c>
      <c r="I261" s="2" t="s">
        <v>195</v>
      </c>
      <c r="J261" s="2" t="s">
        <v>19</v>
      </c>
      <c r="K261" s="2" t="s">
        <v>137</v>
      </c>
      <c r="L261" s="7" t="str">
        <f>HYPERLINK("http://slimages.macys.com/is/image/MCY/11526970 ")</f>
        <v xml:space="preserve">http://slimages.macys.com/is/image/MCY/11526970 </v>
      </c>
    </row>
    <row r="262" spans="1:12" ht="24.75" x14ac:dyDescent="0.25">
      <c r="A262" s="4" t="s">
        <v>8617</v>
      </c>
      <c r="B262" s="2" t="s">
        <v>1043</v>
      </c>
      <c r="C262" s="3">
        <v>1</v>
      </c>
      <c r="D262" s="5">
        <v>44.63</v>
      </c>
      <c r="E262" s="3" t="s">
        <v>1044</v>
      </c>
      <c r="F262" s="2" t="s">
        <v>566</v>
      </c>
      <c r="G262" s="6" t="s">
        <v>348</v>
      </c>
      <c r="H262" s="2" t="s">
        <v>349</v>
      </c>
      <c r="I262" s="2" t="s">
        <v>285</v>
      </c>
      <c r="J262" s="2" t="s">
        <v>19</v>
      </c>
      <c r="K262" s="2" t="s">
        <v>1045</v>
      </c>
      <c r="L262" s="7" t="str">
        <f>HYPERLINK("http://slimages.macys.com/is/image/MCY/12700824 ")</f>
        <v xml:space="preserve">http://slimages.macys.com/is/image/MCY/12700824 </v>
      </c>
    </row>
    <row r="263" spans="1:12" ht="24.75" x14ac:dyDescent="0.25">
      <c r="A263" s="4" t="s">
        <v>8618</v>
      </c>
      <c r="B263" s="2" t="s">
        <v>1047</v>
      </c>
      <c r="C263" s="3">
        <v>1</v>
      </c>
      <c r="D263" s="5">
        <v>34.880000000000003</v>
      </c>
      <c r="E263" s="3">
        <v>100009312</v>
      </c>
      <c r="F263" s="2" t="s">
        <v>64</v>
      </c>
      <c r="G263" s="6" t="s">
        <v>245</v>
      </c>
      <c r="H263" s="2" t="s">
        <v>194</v>
      </c>
      <c r="I263" s="2" t="s">
        <v>195</v>
      </c>
      <c r="J263" s="2" t="s">
        <v>19</v>
      </c>
      <c r="K263" s="2" t="s">
        <v>353</v>
      </c>
      <c r="L263" s="7" t="str">
        <f>HYPERLINK("http://slimages.macys.com/is/image/MCY/9603701 ")</f>
        <v xml:space="preserve">http://slimages.macys.com/is/image/MCY/9603701 </v>
      </c>
    </row>
    <row r="264" spans="1:12" ht="24.75" x14ac:dyDescent="0.25">
      <c r="A264" s="4" t="s">
        <v>2540</v>
      </c>
      <c r="B264" s="2" t="s">
        <v>1047</v>
      </c>
      <c r="C264" s="3">
        <v>4</v>
      </c>
      <c r="D264" s="5">
        <v>34.880000000000003</v>
      </c>
      <c r="E264" s="3">
        <v>100009312</v>
      </c>
      <c r="F264" s="2" t="s">
        <v>26</v>
      </c>
      <c r="G264" s="6" t="s">
        <v>154</v>
      </c>
      <c r="H264" s="2" t="s">
        <v>194</v>
      </c>
      <c r="I264" s="2" t="s">
        <v>195</v>
      </c>
      <c r="J264" s="2" t="s">
        <v>19</v>
      </c>
      <c r="K264" s="2" t="s">
        <v>353</v>
      </c>
      <c r="L264" s="7" t="str">
        <f>HYPERLINK("http://slimages.macys.com/is/image/MCY/9603701 ")</f>
        <v xml:space="preserve">http://slimages.macys.com/is/image/MCY/9603701 </v>
      </c>
    </row>
    <row r="265" spans="1:12" ht="24.75" x14ac:dyDescent="0.25">
      <c r="A265" s="4" t="s">
        <v>8619</v>
      </c>
      <c r="B265" s="2" t="s">
        <v>1047</v>
      </c>
      <c r="C265" s="3">
        <v>2</v>
      </c>
      <c r="D265" s="5">
        <v>34.880000000000003</v>
      </c>
      <c r="E265" s="3">
        <v>100009312</v>
      </c>
      <c r="F265" s="2" t="s">
        <v>26</v>
      </c>
      <c r="G265" s="6" t="s">
        <v>200</v>
      </c>
      <c r="H265" s="2" t="s">
        <v>194</v>
      </c>
      <c r="I265" s="2" t="s">
        <v>195</v>
      </c>
      <c r="J265" s="2" t="s">
        <v>19</v>
      </c>
      <c r="K265" s="2" t="s">
        <v>353</v>
      </c>
      <c r="L265" s="7" t="str">
        <f>HYPERLINK("http://slimages.macys.com/is/image/MCY/9603701 ")</f>
        <v xml:space="preserve">http://slimages.macys.com/is/image/MCY/9603701 </v>
      </c>
    </row>
    <row r="266" spans="1:12" ht="24.75" x14ac:dyDescent="0.25">
      <c r="A266" s="4" t="s">
        <v>8620</v>
      </c>
      <c r="B266" s="2" t="s">
        <v>6539</v>
      </c>
      <c r="C266" s="3">
        <v>1</v>
      </c>
      <c r="D266" s="5">
        <v>37.130000000000003</v>
      </c>
      <c r="E266" s="3" t="s">
        <v>6540</v>
      </c>
      <c r="F266" s="2" t="s">
        <v>64</v>
      </c>
      <c r="G266" s="6" t="s">
        <v>156</v>
      </c>
      <c r="H266" s="2" t="s">
        <v>246</v>
      </c>
      <c r="I266" s="2" t="s">
        <v>189</v>
      </c>
      <c r="J266" s="2" t="s">
        <v>19</v>
      </c>
      <c r="K266" s="2" t="s">
        <v>160</v>
      </c>
      <c r="L266" s="7" t="str">
        <f>HYPERLINK("http://slimages.macys.com/is/image/MCY/12326932 ")</f>
        <v xml:space="preserve">http://slimages.macys.com/is/image/MCY/12326932 </v>
      </c>
    </row>
    <row r="267" spans="1:12" ht="24.75" x14ac:dyDescent="0.25">
      <c r="A267" s="4" t="s">
        <v>8621</v>
      </c>
      <c r="B267" s="2" t="s">
        <v>4662</v>
      </c>
      <c r="C267" s="3">
        <v>1</v>
      </c>
      <c r="D267" s="5">
        <v>34.880000000000003</v>
      </c>
      <c r="E267" s="3" t="s">
        <v>8622</v>
      </c>
      <c r="F267" s="2" t="s">
        <v>15</v>
      </c>
      <c r="G267" s="6" t="s">
        <v>181</v>
      </c>
      <c r="H267" s="2" t="s">
        <v>284</v>
      </c>
      <c r="I267" s="2" t="s">
        <v>2548</v>
      </c>
      <c r="J267" s="2" t="s">
        <v>19</v>
      </c>
      <c r="K267" s="2" t="s">
        <v>34</v>
      </c>
      <c r="L267" s="7" t="str">
        <f>HYPERLINK("http://slimages.macys.com/is/image/MCY/11470470 ")</f>
        <v xml:space="preserve">http://slimages.macys.com/is/image/MCY/11470470 </v>
      </c>
    </row>
    <row r="268" spans="1:12" ht="24.75" x14ac:dyDescent="0.25">
      <c r="A268" s="4" t="s">
        <v>1061</v>
      </c>
      <c r="B268" s="2" t="s">
        <v>1062</v>
      </c>
      <c r="C268" s="3">
        <v>2</v>
      </c>
      <c r="D268" s="5">
        <v>36.5</v>
      </c>
      <c r="E268" s="3" t="s">
        <v>1063</v>
      </c>
      <c r="F268" s="2" t="s">
        <v>26</v>
      </c>
      <c r="G268" s="6" t="s">
        <v>154</v>
      </c>
      <c r="H268" s="2" t="s">
        <v>194</v>
      </c>
      <c r="I268" s="2" t="s">
        <v>195</v>
      </c>
      <c r="J268" s="2" t="s">
        <v>19</v>
      </c>
      <c r="K268" s="2" t="s">
        <v>247</v>
      </c>
      <c r="L268" s="7" t="str">
        <f>HYPERLINK("http://slimages.macys.com/is/image/MCY/11515386 ")</f>
        <v xml:space="preserve">http://slimages.macys.com/is/image/MCY/11515386 </v>
      </c>
    </row>
    <row r="269" spans="1:12" ht="24.75" x14ac:dyDescent="0.25">
      <c r="A269" s="4" t="s">
        <v>2551</v>
      </c>
      <c r="B269" s="2" t="s">
        <v>1062</v>
      </c>
      <c r="C269" s="3">
        <v>1</v>
      </c>
      <c r="D269" s="5">
        <v>36.5</v>
      </c>
      <c r="E269" s="3" t="s">
        <v>1063</v>
      </c>
      <c r="F269" s="2" t="s">
        <v>26</v>
      </c>
      <c r="G269" s="6" t="s">
        <v>181</v>
      </c>
      <c r="H269" s="2" t="s">
        <v>194</v>
      </c>
      <c r="I269" s="2" t="s">
        <v>195</v>
      </c>
      <c r="J269" s="2" t="s">
        <v>19</v>
      </c>
      <c r="K269" s="2" t="s">
        <v>247</v>
      </c>
      <c r="L269" s="7" t="str">
        <f>HYPERLINK("http://slimages.macys.com/is/image/MCY/11515386 ")</f>
        <v xml:space="preserve">http://slimages.macys.com/is/image/MCY/11515386 </v>
      </c>
    </row>
    <row r="270" spans="1:12" ht="48.75" x14ac:dyDescent="0.25">
      <c r="A270" s="4" t="s">
        <v>8623</v>
      </c>
      <c r="B270" s="2" t="s">
        <v>1065</v>
      </c>
      <c r="C270" s="3">
        <v>1</v>
      </c>
      <c r="D270" s="5">
        <v>37.130000000000003</v>
      </c>
      <c r="E270" s="3">
        <v>100016108</v>
      </c>
      <c r="F270" s="2" t="s">
        <v>417</v>
      </c>
      <c r="G270" s="6" t="s">
        <v>156</v>
      </c>
      <c r="H270" s="2" t="s">
        <v>194</v>
      </c>
      <c r="I270" s="2" t="s">
        <v>919</v>
      </c>
      <c r="J270" s="2" t="s">
        <v>19</v>
      </c>
      <c r="K270" s="2" t="s">
        <v>1066</v>
      </c>
      <c r="L270" s="7" t="str">
        <f>HYPERLINK("http://slimages.macys.com/is/image/MCY/11144334 ")</f>
        <v xml:space="preserve">http://slimages.macys.com/is/image/MCY/11144334 </v>
      </c>
    </row>
    <row r="271" spans="1:12" ht="24.75" x14ac:dyDescent="0.25">
      <c r="A271" s="4" t="s">
        <v>8624</v>
      </c>
      <c r="B271" s="2" t="s">
        <v>8625</v>
      </c>
      <c r="C271" s="3">
        <v>1</v>
      </c>
      <c r="D271" s="5">
        <v>44.63</v>
      </c>
      <c r="E271" s="3" t="s">
        <v>8626</v>
      </c>
      <c r="F271" s="2" t="s">
        <v>413</v>
      </c>
      <c r="G271" s="6" t="s">
        <v>245</v>
      </c>
      <c r="H271" s="2" t="s">
        <v>246</v>
      </c>
      <c r="I271" s="2" t="s">
        <v>189</v>
      </c>
      <c r="J271" s="2" t="s">
        <v>19</v>
      </c>
      <c r="K271" s="2" t="s">
        <v>701</v>
      </c>
      <c r="L271" s="7" t="str">
        <f>HYPERLINK("http://slimages.macys.com/is/image/MCY/9504528 ")</f>
        <v xml:space="preserve">http://slimages.macys.com/is/image/MCY/9504528 </v>
      </c>
    </row>
    <row r="272" spans="1:12" ht="24.75" x14ac:dyDescent="0.25">
      <c r="A272" s="4" t="s">
        <v>5741</v>
      </c>
      <c r="B272" s="2" t="s">
        <v>898</v>
      </c>
      <c r="C272" s="3">
        <v>1</v>
      </c>
      <c r="D272" s="5">
        <v>37.130000000000003</v>
      </c>
      <c r="E272" s="3">
        <v>100009193</v>
      </c>
      <c r="F272" s="2" t="s">
        <v>566</v>
      </c>
      <c r="G272" s="6" t="s">
        <v>141</v>
      </c>
      <c r="H272" s="2" t="s">
        <v>194</v>
      </c>
      <c r="I272" s="2" t="s">
        <v>503</v>
      </c>
      <c r="J272" s="2" t="s">
        <v>19</v>
      </c>
      <c r="K272" s="2" t="s">
        <v>353</v>
      </c>
      <c r="L272" s="7" t="str">
        <f>HYPERLINK("http://slimages.macys.com/is/image/MCY/11804644 ")</f>
        <v xml:space="preserve">http://slimages.macys.com/is/image/MCY/11804644 </v>
      </c>
    </row>
    <row r="273" spans="1:12" ht="24.75" x14ac:dyDescent="0.25">
      <c r="A273" s="4" t="s">
        <v>5739</v>
      </c>
      <c r="B273" s="2" t="s">
        <v>898</v>
      </c>
      <c r="C273" s="3">
        <v>1</v>
      </c>
      <c r="D273" s="5">
        <v>37.130000000000003</v>
      </c>
      <c r="E273" s="3">
        <v>100009193</v>
      </c>
      <c r="F273" s="2" t="s">
        <v>506</v>
      </c>
      <c r="G273" s="6" t="s">
        <v>65</v>
      </c>
      <c r="H273" s="2" t="s">
        <v>194</v>
      </c>
      <c r="I273" s="2" t="s">
        <v>503</v>
      </c>
      <c r="J273" s="2" t="s">
        <v>19</v>
      </c>
      <c r="K273" s="2" t="s">
        <v>353</v>
      </c>
      <c r="L273" s="7" t="str">
        <f>HYPERLINK("http://slimages.macys.com/is/image/MCY/11804644 ")</f>
        <v xml:space="preserve">http://slimages.macys.com/is/image/MCY/11804644 </v>
      </c>
    </row>
    <row r="274" spans="1:12" ht="24.75" x14ac:dyDescent="0.25">
      <c r="A274" s="4" t="s">
        <v>2560</v>
      </c>
      <c r="B274" s="2" t="s">
        <v>898</v>
      </c>
      <c r="C274" s="3">
        <v>4</v>
      </c>
      <c r="D274" s="5">
        <v>37.130000000000003</v>
      </c>
      <c r="E274" s="3">
        <v>100009193</v>
      </c>
      <c r="F274" s="2" t="s">
        <v>506</v>
      </c>
      <c r="G274" s="6" t="s">
        <v>27</v>
      </c>
      <c r="H274" s="2" t="s">
        <v>194</v>
      </c>
      <c r="I274" s="2" t="s">
        <v>503</v>
      </c>
      <c r="J274" s="2" t="s">
        <v>19</v>
      </c>
      <c r="K274" s="2" t="s">
        <v>353</v>
      </c>
      <c r="L274" s="7" t="str">
        <f>HYPERLINK("http://slimages.macys.com/is/image/MCY/11804644 ")</f>
        <v xml:space="preserve">http://slimages.macys.com/is/image/MCY/11804644 </v>
      </c>
    </row>
    <row r="275" spans="1:12" ht="24.75" x14ac:dyDescent="0.25">
      <c r="A275" s="4" t="s">
        <v>8627</v>
      </c>
      <c r="B275" s="2" t="s">
        <v>898</v>
      </c>
      <c r="C275" s="3">
        <v>1</v>
      </c>
      <c r="D275" s="5">
        <v>37.130000000000003</v>
      </c>
      <c r="E275" s="3">
        <v>100009193</v>
      </c>
      <c r="F275" s="2" t="s">
        <v>15</v>
      </c>
      <c r="G275" s="6" t="s">
        <v>112</v>
      </c>
      <c r="H275" s="2" t="s">
        <v>194</v>
      </c>
      <c r="I275" s="2" t="s">
        <v>503</v>
      </c>
      <c r="J275" s="2" t="s">
        <v>19</v>
      </c>
      <c r="K275" s="2" t="s">
        <v>353</v>
      </c>
      <c r="L275" s="7" t="str">
        <f>HYPERLINK("http://slimages.macys.com/is/image/MCY/11804644 ")</f>
        <v xml:space="preserve">http://slimages.macys.com/is/image/MCY/11804644 </v>
      </c>
    </row>
    <row r="276" spans="1:12" ht="24.75" x14ac:dyDescent="0.25">
      <c r="A276" s="4" t="s">
        <v>8109</v>
      </c>
      <c r="B276" s="2" t="s">
        <v>5746</v>
      </c>
      <c r="C276" s="3">
        <v>1</v>
      </c>
      <c r="D276" s="5">
        <v>59.5</v>
      </c>
      <c r="E276" s="3" t="s">
        <v>5747</v>
      </c>
      <c r="F276" s="2" t="s">
        <v>74</v>
      </c>
      <c r="G276" s="6" t="s">
        <v>336</v>
      </c>
      <c r="H276" s="2" t="s">
        <v>206</v>
      </c>
      <c r="I276" s="2" t="s">
        <v>207</v>
      </c>
      <c r="J276" s="2" t="s">
        <v>19</v>
      </c>
      <c r="K276" s="2" t="s">
        <v>409</v>
      </c>
      <c r="L276" s="7" t="str">
        <f>HYPERLINK("http://slimages.macys.com/is/image/MCY/9796578 ")</f>
        <v xml:space="preserve">http://slimages.macys.com/is/image/MCY/9796578 </v>
      </c>
    </row>
    <row r="277" spans="1:12" ht="24.75" x14ac:dyDescent="0.25">
      <c r="A277" s="4" t="s">
        <v>6555</v>
      </c>
      <c r="B277" s="2" t="s">
        <v>5746</v>
      </c>
      <c r="C277" s="3">
        <v>1</v>
      </c>
      <c r="D277" s="5">
        <v>59.5</v>
      </c>
      <c r="E277" s="3" t="s">
        <v>5747</v>
      </c>
      <c r="F277" s="2" t="s">
        <v>74</v>
      </c>
      <c r="G277" s="6" t="s">
        <v>126</v>
      </c>
      <c r="H277" s="2" t="s">
        <v>206</v>
      </c>
      <c r="I277" s="2" t="s">
        <v>207</v>
      </c>
      <c r="J277" s="2" t="s">
        <v>19</v>
      </c>
      <c r="K277" s="2" t="s">
        <v>409</v>
      </c>
      <c r="L277" s="7" t="str">
        <f>HYPERLINK("http://slimages.macys.com/is/image/MCY/9796578 ")</f>
        <v xml:space="preserve">http://slimages.macys.com/is/image/MCY/9796578 </v>
      </c>
    </row>
    <row r="278" spans="1:12" ht="24.75" x14ac:dyDescent="0.25">
      <c r="A278" s="4" t="s">
        <v>8628</v>
      </c>
      <c r="B278" s="2" t="s">
        <v>5746</v>
      </c>
      <c r="C278" s="3">
        <v>1</v>
      </c>
      <c r="D278" s="5">
        <v>59.5</v>
      </c>
      <c r="E278" s="3" t="s">
        <v>5747</v>
      </c>
      <c r="F278" s="2" t="s">
        <v>74</v>
      </c>
      <c r="G278" s="6" t="s">
        <v>802</v>
      </c>
      <c r="H278" s="2" t="s">
        <v>206</v>
      </c>
      <c r="I278" s="2" t="s">
        <v>207</v>
      </c>
      <c r="J278" s="2" t="s">
        <v>19</v>
      </c>
      <c r="K278" s="2" t="s">
        <v>409</v>
      </c>
      <c r="L278" s="7" t="str">
        <f>HYPERLINK("http://slimages.macys.com/is/image/MCY/9796578 ")</f>
        <v xml:space="preserve">http://slimages.macys.com/is/image/MCY/9796578 </v>
      </c>
    </row>
    <row r="279" spans="1:12" ht="24.75" x14ac:dyDescent="0.25">
      <c r="A279" s="4" t="s">
        <v>8629</v>
      </c>
      <c r="B279" s="2" t="s">
        <v>5746</v>
      </c>
      <c r="C279" s="3">
        <v>1</v>
      </c>
      <c r="D279" s="5">
        <v>59.5</v>
      </c>
      <c r="E279" s="3" t="s">
        <v>5747</v>
      </c>
      <c r="F279" s="2" t="s">
        <v>74</v>
      </c>
      <c r="G279" s="6" t="s">
        <v>3715</v>
      </c>
      <c r="H279" s="2" t="s">
        <v>206</v>
      </c>
      <c r="I279" s="2" t="s">
        <v>207</v>
      </c>
      <c r="J279" s="2" t="s">
        <v>19</v>
      </c>
      <c r="K279" s="2" t="s">
        <v>409</v>
      </c>
      <c r="L279" s="7" t="str">
        <f>HYPERLINK("http://slimages.macys.com/is/image/MCY/9796578 ")</f>
        <v xml:space="preserve">http://slimages.macys.com/is/image/MCY/9796578 </v>
      </c>
    </row>
    <row r="280" spans="1:12" x14ac:dyDescent="0.25">
      <c r="A280" s="4" t="s">
        <v>8630</v>
      </c>
      <c r="B280" s="2" t="s">
        <v>1076</v>
      </c>
      <c r="C280" s="3">
        <v>1</v>
      </c>
      <c r="D280" s="5">
        <v>59.5</v>
      </c>
      <c r="E280" s="3">
        <v>100064580</v>
      </c>
      <c r="F280" s="2" t="s">
        <v>252</v>
      </c>
      <c r="G280" s="6" t="s">
        <v>106</v>
      </c>
      <c r="H280" s="2" t="s">
        <v>386</v>
      </c>
      <c r="I280" s="2" t="s">
        <v>207</v>
      </c>
      <c r="J280" s="2" t="s">
        <v>19</v>
      </c>
      <c r="K280" s="2" t="s">
        <v>353</v>
      </c>
      <c r="L280" s="7" t="str">
        <f>HYPERLINK("http://slimages.macys.com/is/image/MCY/13080473 ")</f>
        <v xml:space="preserve">http://slimages.macys.com/is/image/MCY/13080473 </v>
      </c>
    </row>
    <row r="281" spans="1:12" ht="24.75" x14ac:dyDescent="0.25">
      <c r="A281" s="4" t="s">
        <v>5750</v>
      </c>
      <c r="B281" s="2" t="s">
        <v>890</v>
      </c>
      <c r="C281" s="3">
        <v>1</v>
      </c>
      <c r="D281" s="5">
        <v>34.5</v>
      </c>
      <c r="E281" s="3" t="s">
        <v>4818</v>
      </c>
      <c r="F281" s="2" t="s">
        <v>193</v>
      </c>
      <c r="G281" s="6" t="s">
        <v>22</v>
      </c>
      <c r="H281" s="2" t="s">
        <v>228</v>
      </c>
      <c r="I281" s="2" t="s">
        <v>863</v>
      </c>
      <c r="J281" s="2" t="s">
        <v>19</v>
      </c>
      <c r="K281" s="2" t="s">
        <v>253</v>
      </c>
      <c r="L281" s="7" t="str">
        <f>HYPERLINK("http://slimages.macys.com/is/image/MCY/11804239 ")</f>
        <v xml:space="preserve">http://slimages.macys.com/is/image/MCY/11804239 </v>
      </c>
    </row>
    <row r="282" spans="1:12" ht="24.75" x14ac:dyDescent="0.25">
      <c r="A282" s="4" t="s">
        <v>8113</v>
      </c>
      <c r="B282" s="2" t="s">
        <v>7371</v>
      </c>
      <c r="C282" s="3">
        <v>1</v>
      </c>
      <c r="D282" s="5">
        <v>33.380000000000003</v>
      </c>
      <c r="E282" s="3" t="s">
        <v>7372</v>
      </c>
      <c r="F282" s="2" t="s">
        <v>417</v>
      </c>
      <c r="G282" s="6" t="s">
        <v>234</v>
      </c>
      <c r="H282" s="2" t="s">
        <v>194</v>
      </c>
      <c r="I282" s="2" t="s">
        <v>195</v>
      </c>
      <c r="J282" s="2" t="s">
        <v>19</v>
      </c>
      <c r="K282" s="2" t="s">
        <v>323</v>
      </c>
      <c r="L282" s="7" t="str">
        <f>HYPERLINK("http://slimages.macys.com/is/image/MCY/12734325 ")</f>
        <v xml:space="preserve">http://slimages.macys.com/is/image/MCY/12734325 </v>
      </c>
    </row>
    <row r="283" spans="1:12" ht="24.75" x14ac:dyDescent="0.25">
      <c r="A283" s="4" t="s">
        <v>1094</v>
      </c>
      <c r="B283" s="2" t="s">
        <v>1093</v>
      </c>
      <c r="C283" s="3">
        <v>1</v>
      </c>
      <c r="D283" s="5">
        <v>37.130000000000003</v>
      </c>
      <c r="E283" s="3">
        <v>100018042</v>
      </c>
      <c r="F283" s="2" t="s">
        <v>376</v>
      </c>
      <c r="G283" s="6" t="s">
        <v>112</v>
      </c>
      <c r="H283" s="2" t="s">
        <v>194</v>
      </c>
      <c r="I283" s="2" t="s">
        <v>195</v>
      </c>
      <c r="J283" s="2" t="s">
        <v>19</v>
      </c>
      <c r="K283" s="2" t="s">
        <v>353</v>
      </c>
      <c r="L283" s="7" t="str">
        <f>HYPERLINK("http://slimages.macys.com/is/image/MCY/9693642 ")</f>
        <v xml:space="preserve">http://slimages.macys.com/is/image/MCY/9693642 </v>
      </c>
    </row>
    <row r="284" spans="1:12" ht="24.75" x14ac:dyDescent="0.25">
      <c r="A284" s="4" t="s">
        <v>8631</v>
      </c>
      <c r="B284" s="2" t="s">
        <v>4826</v>
      </c>
      <c r="C284" s="3">
        <v>1</v>
      </c>
      <c r="D284" s="5">
        <v>37.130000000000003</v>
      </c>
      <c r="E284" s="3">
        <v>100021423</v>
      </c>
      <c r="F284" s="2" t="s">
        <v>64</v>
      </c>
      <c r="G284" s="6" t="s">
        <v>154</v>
      </c>
      <c r="H284" s="2" t="s">
        <v>194</v>
      </c>
      <c r="I284" s="2" t="s">
        <v>195</v>
      </c>
      <c r="J284" s="2" t="s">
        <v>19</v>
      </c>
      <c r="K284" s="2" t="s">
        <v>648</v>
      </c>
      <c r="L284" s="7" t="str">
        <f>HYPERLINK("http://slimages.macys.com/is/image/MCY/12851013 ")</f>
        <v xml:space="preserve">http://slimages.macys.com/is/image/MCY/12851013 </v>
      </c>
    </row>
    <row r="285" spans="1:12" ht="24.75" x14ac:dyDescent="0.25">
      <c r="A285" s="4" t="s">
        <v>4827</v>
      </c>
      <c r="B285" s="2" t="s">
        <v>4828</v>
      </c>
      <c r="C285" s="3">
        <v>2</v>
      </c>
      <c r="D285" s="5">
        <v>37.130000000000003</v>
      </c>
      <c r="E285" s="3" t="s">
        <v>4829</v>
      </c>
      <c r="F285" s="2" t="s">
        <v>74</v>
      </c>
      <c r="G285" s="6" t="s">
        <v>234</v>
      </c>
      <c r="H285" s="2" t="s">
        <v>194</v>
      </c>
      <c r="I285" s="2" t="s">
        <v>195</v>
      </c>
      <c r="J285" s="2" t="s">
        <v>19</v>
      </c>
      <c r="K285" s="2" t="s">
        <v>4830</v>
      </c>
      <c r="L285" s="7" t="str">
        <f>HYPERLINK("http://slimages.macys.com/is/image/MCY/12143855 ")</f>
        <v xml:space="preserve">http://slimages.macys.com/is/image/MCY/12143855 </v>
      </c>
    </row>
    <row r="286" spans="1:12" ht="24.75" x14ac:dyDescent="0.25">
      <c r="A286" s="4" t="s">
        <v>8632</v>
      </c>
      <c r="B286" s="2" t="s">
        <v>1106</v>
      </c>
      <c r="C286" s="3">
        <v>1</v>
      </c>
      <c r="D286" s="5">
        <v>32.5</v>
      </c>
      <c r="E286" s="3" t="s">
        <v>1107</v>
      </c>
      <c r="F286" s="2" t="s">
        <v>15</v>
      </c>
      <c r="G286" s="6" t="s">
        <v>245</v>
      </c>
      <c r="H286" s="2" t="s">
        <v>194</v>
      </c>
      <c r="I286" s="2" t="s">
        <v>195</v>
      </c>
      <c r="J286" s="2" t="s">
        <v>19</v>
      </c>
      <c r="K286" s="2" t="s">
        <v>1108</v>
      </c>
      <c r="L286" s="7" t="str">
        <f>HYPERLINK("http://slimages.macys.com/is/image/MCY/11764459 ")</f>
        <v xml:space="preserve">http://slimages.macys.com/is/image/MCY/11764459 </v>
      </c>
    </row>
    <row r="287" spans="1:12" ht="24.75" x14ac:dyDescent="0.25">
      <c r="A287" s="4" t="s">
        <v>5763</v>
      </c>
      <c r="B287" s="2" t="s">
        <v>1106</v>
      </c>
      <c r="C287" s="3">
        <v>2</v>
      </c>
      <c r="D287" s="5">
        <v>32.5</v>
      </c>
      <c r="E287" s="3" t="s">
        <v>4834</v>
      </c>
      <c r="F287" s="2" t="s">
        <v>74</v>
      </c>
      <c r="G287" s="6" t="s">
        <v>234</v>
      </c>
      <c r="H287" s="2" t="s">
        <v>194</v>
      </c>
      <c r="I287" s="2" t="s">
        <v>195</v>
      </c>
      <c r="J287" s="2" t="s">
        <v>19</v>
      </c>
      <c r="K287" s="2" t="s">
        <v>1108</v>
      </c>
      <c r="L287" s="7" t="str">
        <f>HYPERLINK("http://slimages.macys.com/is/image/MCY/11526915 ")</f>
        <v xml:space="preserve">http://slimages.macys.com/is/image/MCY/11526915 </v>
      </c>
    </row>
    <row r="288" spans="1:12" ht="24.75" x14ac:dyDescent="0.25">
      <c r="A288" s="4" t="s">
        <v>2573</v>
      </c>
      <c r="B288" s="2" t="s">
        <v>1106</v>
      </c>
      <c r="C288" s="3">
        <v>1</v>
      </c>
      <c r="D288" s="5">
        <v>32.5</v>
      </c>
      <c r="E288" s="3" t="s">
        <v>1107</v>
      </c>
      <c r="F288" s="2" t="s">
        <v>15</v>
      </c>
      <c r="G288" s="6" t="s">
        <v>234</v>
      </c>
      <c r="H288" s="2" t="s">
        <v>194</v>
      </c>
      <c r="I288" s="2" t="s">
        <v>195</v>
      </c>
      <c r="J288" s="2" t="s">
        <v>19</v>
      </c>
      <c r="K288" s="2" t="s">
        <v>1108</v>
      </c>
      <c r="L288" s="7" t="str">
        <f>HYPERLINK("http://slimages.macys.com/is/image/MCY/11764459 ")</f>
        <v xml:space="preserve">http://slimages.macys.com/is/image/MCY/11764459 </v>
      </c>
    </row>
    <row r="289" spans="1:12" ht="24.75" x14ac:dyDescent="0.25">
      <c r="A289" s="4" t="s">
        <v>8633</v>
      </c>
      <c r="B289" s="2" t="s">
        <v>4836</v>
      </c>
      <c r="C289" s="3">
        <v>1</v>
      </c>
      <c r="D289" s="5">
        <v>37.130000000000003</v>
      </c>
      <c r="E289" s="3" t="s">
        <v>4837</v>
      </c>
      <c r="F289" s="2" t="s">
        <v>26</v>
      </c>
      <c r="G289" s="6" t="s">
        <v>156</v>
      </c>
      <c r="H289" s="2" t="s">
        <v>194</v>
      </c>
      <c r="I289" s="2" t="s">
        <v>195</v>
      </c>
      <c r="J289" s="2" t="s">
        <v>19</v>
      </c>
      <c r="K289" s="2" t="s">
        <v>648</v>
      </c>
      <c r="L289" s="7" t="str">
        <f>HYPERLINK("http://slimages.macys.com/is/image/MCY/12734350 ")</f>
        <v xml:space="preserve">http://slimages.macys.com/is/image/MCY/12734350 </v>
      </c>
    </row>
    <row r="290" spans="1:12" ht="24.75" x14ac:dyDescent="0.25">
      <c r="A290" s="4" t="s">
        <v>8634</v>
      </c>
      <c r="B290" s="2" t="s">
        <v>8635</v>
      </c>
      <c r="C290" s="3">
        <v>1</v>
      </c>
      <c r="D290" s="5">
        <v>45</v>
      </c>
      <c r="E290" s="3" t="s">
        <v>2473</v>
      </c>
      <c r="F290" s="2" t="s">
        <v>562</v>
      </c>
      <c r="G290" s="6"/>
      <c r="H290" s="2" t="s">
        <v>447</v>
      </c>
      <c r="I290" s="2" t="s">
        <v>792</v>
      </c>
      <c r="J290" s="2" t="s">
        <v>2474</v>
      </c>
      <c r="K290" s="2" t="s">
        <v>160</v>
      </c>
      <c r="L290" s="7" t="str">
        <f>HYPERLINK("http://slimages.macys.com/is/image/MCY/12258294 ")</f>
        <v xml:space="preserve">http://slimages.macys.com/is/image/MCY/12258294 </v>
      </c>
    </row>
    <row r="291" spans="1:12" ht="24.75" x14ac:dyDescent="0.25">
      <c r="A291" s="4" t="s">
        <v>6562</v>
      </c>
      <c r="B291" s="2" t="s">
        <v>1114</v>
      </c>
      <c r="C291" s="3">
        <v>1</v>
      </c>
      <c r="D291" s="5">
        <v>36.5</v>
      </c>
      <c r="E291" s="3">
        <v>100042369</v>
      </c>
      <c r="F291" s="2" t="s">
        <v>199</v>
      </c>
      <c r="G291" s="6" t="s">
        <v>16</v>
      </c>
      <c r="H291" s="2" t="s">
        <v>194</v>
      </c>
      <c r="I291" s="2" t="s">
        <v>195</v>
      </c>
      <c r="J291" s="2" t="s">
        <v>19</v>
      </c>
      <c r="K291" s="2" t="s">
        <v>353</v>
      </c>
      <c r="L291" s="7" t="str">
        <f>HYPERLINK("http://slimages.macys.com/is/image/MCY/11934953 ")</f>
        <v xml:space="preserve">http://slimages.macys.com/is/image/MCY/11934953 </v>
      </c>
    </row>
    <row r="292" spans="1:12" ht="24.75" x14ac:dyDescent="0.25">
      <c r="A292" s="4" t="s">
        <v>8636</v>
      </c>
      <c r="B292" s="2" t="s">
        <v>1114</v>
      </c>
      <c r="C292" s="3">
        <v>1</v>
      </c>
      <c r="D292" s="5">
        <v>36.5</v>
      </c>
      <c r="E292" s="3">
        <v>100042369</v>
      </c>
      <c r="F292" s="2" t="s">
        <v>199</v>
      </c>
      <c r="G292" s="6" t="s">
        <v>22</v>
      </c>
      <c r="H292" s="2" t="s">
        <v>194</v>
      </c>
      <c r="I292" s="2" t="s">
        <v>195</v>
      </c>
      <c r="J292" s="2" t="s">
        <v>19</v>
      </c>
      <c r="K292" s="2" t="s">
        <v>353</v>
      </c>
      <c r="L292" s="7" t="str">
        <f>HYPERLINK("http://slimages.macys.com/is/image/MCY/11934953 ")</f>
        <v xml:space="preserve">http://slimages.macys.com/is/image/MCY/11934953 </v>
      </c>
    </row>
    <row r="293" spans="1:12" ht="24.75" x14ac:dyDescent="0.25">
      <c r="A293" s="4" t="s">
        <v>8637</v>
      </c>
      <c r="B293" s="2" t="s">
        <v>1114</v>
      </c>
      <c r="C293" s="3">
        <v>3</v>
      </c>
      <c r="D293" s="5">
        <v>36.5</v>
      </c>
      <c r="E293" s="3">
        <v>100042369</v>
      </c>
      <c r="F293" s="2" t="s">
        <v>199</v>
      </c>
      <c r="G293" s="6" t="s">
        <v>58</v>
      </c>
      <c r="H293" s="2" t="s">
        <v>194</v>
      </c>
      <c r="I293" s="2" t="s">
        <v>195</v>
      </c>
      <c r="J293" s="2" t="s">
        <v>19</v>
      </c>
      <c r="K293" s="2" t="s">
        <v>353</v>
      </c>
      <c r="L293" s="7" t="str">
        <f>HYPERLINK("http://slimages.macys.com/is/image/MCY/11934953 ")</f>
        <v xml:space="preserve">http://slimages.macys.com/is/image/MCY/11934953 </v>
      </c>
    </row>
    <row r="294" spans="1:12" ht="24.75" x14ac:dyDescent="0.25">
      <c r="A294" s="4" t="s">
        <v>8638</v>
      </c>
      <c r="B294" s="2" t="s">
        <v>1114</v>
      </c>
      <c r="C294" s="3">
        <v>1</v>
      </c>
      <c r="D294" s="5">
        <v>37.130000000000003</v>
      </c>
      <c r="E294" s="3">
        <v>100042369</v>
      </c>
      <c r="F294" s="2" t="s">
        <v>64</v>
      </c>
      <c r="G294" s="6" t="s">
        <v>106</v>
      </c>
      <c r="H294" s="2" t="s">
        <v>194</v>
      </c>
      <c r="I294" s="2" t="s">
        <v>195</v>
      </c>
      <c r="J294" s="2"/>
      <c r="K294" s="2"/>
      <c r="L294" s="7" t="str">
        <f>HYPERLINK("http://slimages.macys.com/is/image/MCY/11934939 ")</f>
        <v xml:space="preserve">http://slimages.macys.com/is/image/MCY/11934939 </v>
      </c>
    </row>
    <row r="295" spans="1:12" ht="24.75" x14ac:dyDescent="0.25">
      <c r="A295" s="4" t="s">
        <v>2580</v>
      </c>
      <c r="B295" s="2" t="s">
        <v>1114</v>
      </c>
      <c r="C295" s="3">
        <v>4</v>
      </c>
      <c r="D295" s="5">
        <v>37.130000000000003</v>
      </c>
      <c r="E295" s="3">
        <v>100042369</v>
      </c>
      <c r="F295" s="2" t="s">
        <v>94</v>
      </c>
      <c r="G295" s="6" t="s">
        <v>16</v>
      </c>
      <c r="H295" s="2" t="s">
        <v>194</v>
      </c>
      <c r="I295" s="2" t="s">
        <v>195</v>
      </c>
      <c r="J295" s="2" t="s">
        <v>19</v>
      </c>
      <c r="K295" s="2" t="s">
        <v>353</v>
      </c>
      <c r="L295" s="7" t="str">
        <f>HYPERLINK("http://slimages.macys.com/is/image/MCY/11934953 ")</f>
        <v xml:space="preserve">http://slimages.macys.com/is/image/MCY/11934953 </v>
      </c>
    </row>
    <row r="296" spans="1:12" ht="24.75" x14ac:dyDescent="0.25">
      <c r="A296" s="4" t="s">
        <v>8639</v>
      </c>
      <c r="B296" s="2" t="s">
        <v>1114</v>
      </c>
      <c r="C296" s="3">
        <v>1</v>
      </c>
      <c r="D296" s="5">
        <v>36.5</v>
      </c>
      <c r="E296" s="3">
        <v>100042369</v>
      </c>
      <c r="F296" s="2" t="s">
        <v>199</v>
      </c>
      <c r="G296" s="6" t="s">
        <v>27</v>
      </c>
      <c r="H296" s="2" t="s">
        <v>194</v>
      </c>
      <c r="I296" s="2" t="s">
        <v>195</v>
      </c>
      <c r="J296" s="2" t="s">
        <v>19</v>
      </c>
      <c r="K296" s="2" t="s">
        <v>353</v>
      </c>
      <c r="L296" s="7" t="str">
        <f>HYPERLINK("http://slimages.macys.com/is/image/MCY/11934953 ")</f>
        <v xml:space="preserve">http://slimages.macys.com/is/image/MCY/11934953 </v>
      </c>
    </row>
    <row r="297" spans="1:12" ht="24.75" x14ac:dyDescent="0.25">
      <c r="A297" s="4" t="s">
        <v>5767</v>
      </c>
      <c r="B297" s="2" t="s">
        <v>1114</v>
      </c>
      <c r="C297" s="3">
        <v>2</v>
      </c>
      <c r="D297" s="5">
        <v>37.130000000000003</v>
      </c>
      <c r="E297" s="3">
        <v>100042369</v>
      </c>
      <c r="F297" s="2" t="s">
        <v>64</v>
      </c>
      <c r="G297" s="6" t="s">
        <v>16</v>
      </c>
      <c r="H297" s="2" t="s">
        <v>194</v>
      </c>
      <c r="I297" s="2" t="s">
        <v>195</v>
      </c>
      <c r="J297" s="2"/>
      <c r="K297" s="2"/>
      <c r="L297" s="7" t="str">
        <f>HYPERLINK("http://slimages.macys.com/is/image/MCY/11934939 ")</f>
        <v xml:space="preserve">http://slimages.macys.com/is/image/MCY/11934939 </v>
      </c>
    </row>
    <row r="298" spans="1:12" ht="24.75" x14ac:dyDescent="0.25">
      <c r="A298" s="4" t="s">
        <v>3748</v>
      </c>
      <c r="B298" s="2" t="s">
        <v>1114</v>
      </c>
      <c r="C298" s="3">
        <v>1</v>
      </c>
      <c r="D298" s="5">
        <v>37.130000000000003</v>
      </c>
      <c r="E298" s="3">
        <v>100042369</v>
      </c>
      <c r="F298" s="2" t="s">
        <v>64</v>
      </c>
      <c r="G298" s="6" t="s">
        <v>112</v>
      </c>
      <c r="H298" s="2" t="s">
        <v>194</v>
      </c>
      <c r="I298" s="2" t="s">
        <v>195</v>
      </c>
      <c r="J298" s="2"/>
      <c r="K298" s="2"/>
      <c r="L298" s="7" t="str">
        <f>HYPERLINK("http://slimages.macys.com/is/image/MCY/11934939 ")</f>
        <v xml:space="preserve">http://slimages.macys.com/is/image/MCY/11934939 </v>
      </c>
    </row>
    <row r="299" spans="1:12" ht="24.75" x14ac:dyDescent="0.25">
      <c r="A299" s="4" t="s">
        <v>4840</v>
      </c>
      <c r="B299" s="2" t="s">
        <v>1114</v>
      </c>
      <c r="C299" s="3">
        <v>1</v>
      </c>
      <c r="D299" s="5">
        <v>37.130000000000003</v>
      </c>
      <c r="E299" s="3">
        <v>100042369</v>
      </c>
      <c r="F299" s="2" t="s">
        <v>94</v>
      </c>
      <c r="G299" s="6" t="s">
        <v>106</v>
      </c>
      <c r="H299" s="2" t="s">
        <v>194</v>
      </c>
      <c r="I299" s="2" t="s">
        <v>195</v>
      </c>
      <c r="J299" s="2" t="s">
        <v>19</v>
      </c>
      <c r="K299" s="2" t="s">
        <v>353</v>
      </c>
      <c r="L299" s="7" t="str">
        <f>HYPERLINK("http://slimages.macys.com/is/image/MCY/11934953 ")</f>
        <v xml:space="preserve">http://slimages.macys.com/is/image/MCY/11934953 </v>
      </c>
    </row>
    <row r="300" spans="1:12" ht="24.75" x14ac:dyDescent="0.25">
      <c r="A300" s="4" t="s">
        <v>7383</v>
      </c>
      <c r="B300" s="2" t="s">
        <v>1114</v>
      </c>
      <c r="C300" s="3">
        <v>2</v>
      </c>
      <c r="D300" s="5">
        <v>37.130000000000003</v>
      </c>
      <c r="E300" s="3">
        <v>100042369</v>
      </c>
      <c r="F300" s="2" t="s">
        <v>94</v>
      </c>
      <c r="G300" s="6" t="s">
        <v>141</v>
      </c>
      <c r="H300" s="2" t="s">
        <v>194</v>
      </c>
      <c r="I300" s="2" t="s">
        <v>195</v>
      </c>
      <c r="J300" s="2" t="s">
        <v>19</v>
      </c>
      <c r="K300" s="2" t="s">
        <v>353</v>
      </c>
      <c r="L300" s="7" t="str">
        <f>HYPERLINK("http://slimages.macys.com/is/image/MCY/11934953 ")</f>
        <v xml:space="preserve">http://slimages.macys.com/is/image/MCY/11934953 </v>
      </c>
    </row>
    <row r="301" spans="1:12" ht="24.75" x14ac:dyDescent="0.25">
      <c r="A301" s="4" t="s">
        <v>2579</v>
      </c>
      <c r="B301" s="2" t="s">
        <v>1114</v>
      </c>
      <c r="C301" s="3">
        <v>2</v>
      </c>
      <c r="D301" s="5">
        <v>37.130000000000003</v>
      </c>
      <c r="E301" s="3">
        <v>100042369</v>
      </c>
      <c r="F301" s="2" t="s">
        <v>64</v>
      </c>
      <c r="G301" s="6" t="s">
        <v>27</v>
      </c>
      <c r="H301" s="2" t="s">
        <v>194</v>
      </c>
      <c r="I301" s="2" t="s">
        <v>195</v>
      </c>
      <c r="J301" s="2"/>
      <c r="K301" s="2"/>
      <c r="L301" s="7" t="str">
        <f>HYPERLINK("http://slimages.macys.com/is/image/MCY/11934939 ")</f>
        <v xml:space="preserve">http://slimages.macys.com/is/image/MCY/11934939 </v>
      </c>
    </row>
    <row r="302" spans="1:12" ht="24.75" x14ac:dyDescent="0.25">
      <c r="A302" s="4" t="s">
        <v>1119</v>
      </c>
      <c r="B302" s="2" t="s">
        <v>1118</v>
      </c>
      <c r="C302" s="3">
        <v>1</v>
      </c>
      <c r="D302" s="5">
        <v>37.130000000000003</v>
      </c>
      <c r="E302" s="3">
        <v>100070736</v>
      </c>
      <c r="F302" s="2" t="s">
        <v>74</v>
      </c>
      <c r="G302" s="6" t="s">
        <v>245</v>
      </c>
      <c r="H302" s="2" t="s">
        <v>194</v>
      </c>
      <c r="I302" s="2" t="s">
        <v>195</v>
      </c>
      <c r="J302" s="2" t="s">
        <v>19</v>
      </c>
      <c r="K302" s="2" t="s">
        <v>353</v>
      </c>
      <c r="L302" s="7" t="str">
        <f>HYPERLINK("http://slimages.macys.com/is/image/MCY/13120823 ")</f>
        <v xml:space="preserve">http://slimages.macys.com/is/image/MCY/13120823 </v>
      </c>
    </row>
    <row r="303" spans="1:12" ht="24.75" x14ac:dyDescent="0.25">
      <c r="A303" s="4" t="s">
        <v>1122</v>
      </c>
      <c r="B303" s="2" t="s">
        <v>1118</v>
      </c>
      <c r="C303" s="3">
        <v>2</v>
      </c>
      <c r="D303" s="5">
        <v>37.130000000000003</v>
      </c>
      <c r="E303" s="3">
        <v>100070736</v>
      </c>
      <c r="F303" s="2" t="s">
        <v>376</v>
      </c>
      <c r="G303" s="6" t="s">
        <v>181</v>
      </c>
      <c r="H303" s="2" t="s">
        <v>194</v>
      </c>
      <c r="I303" s="2" t="s">
        <v>195</v>
      </c>
      <c r="J303" s="2" t="s">
        <v>19</v>
      </c>
      <c r="K303" s="2" t="s">
        <v>353</v>
      </c>
      <c r="L303" s="7" t="str">
        <f>HYPERLINK("http://slimages.macys.com/is/image/MCY/13120823 ")</f>
        <v xml:space="preserve">http://slimages.macys.com/is/image/MCY/13120823 </v>
      </c>
    </row>
    <row r="304" spans="1:12" ht="24.75" x14ac:dyDescent="0.25">
      <c r="A304" s="4" t="s">
        <v>1124</v>
      </c>
      <c r="B304" s="2" t="s">
        <v>1118</v>
      </c>
      <c r="C304" s="3">
        <v>2</v>
      </c>
      <c r="D304" s="5">
        <v>37.130000000000003</v>
      </c>
      <c r="E304" s="3">
        <v>100070736</v>
      </c>
      <c r="F304" s="2" t="s">
        <v>74</v>
      </c>
      <c r="G304" s="6" t="s">
        <v>234</v>
      </c>
      <c r="H304" s="2" t="s">
        <v>194</v>
      </c>
      <c r="I304" s="2" t="s">
        <v>195</v>
      </c>
      <c r="J304" s="2" t="s">
        <v>19</v>
      </c>
      <c r="K304" s="2" t="s">
        <v>353</v>
      </c>
      <c r="L304" s="7" t="str">
        <f>HYPERLINK("http://slimages.macys.com/is/image/MCY/13120823 ")</f>
        <v xml:space="preserve">http://slimages.macys.com/is/image/MCY/13120823 </v>
      </c>
    </row>
    <row r="305" spans="1:12" ht="24.75" x14ac:dyDescent="0.25">
      <c r="A305" s="4" t="s">
        <v>4841</v>
      </c>
      <c r="B305" s="2" t="s">
        <v>1118</v>
      </c>
      <c r="C305" s="3">
        <v>1</v>
      </c>
      <c r="D305" s="5">
        <v>37.130000000000003</v>
      </c>
      <c r="E305" s="3">
        <v>100070736</v>
      </c>
      <c r="F305" s="2" t="s">
        <v>376</v>
      </c>
      <c r="G305" s="6" t="s">
        <v>200</v>
      </c>
      <c r="H305" s="2" t="s">
        <v>194</v>
      </c>
      <c r="I305" s="2" t="s">
        <v>195</v>
      </c>
      <c r="J305" s="2" t="s">
        <v>19</v>
      </c>
      <c r="K305" s="2" t="s">
        <v>353</v>
      </c>
      <c r="L305" s="7" t="str">
        <f>HYPERLINK("http://slimages.macys.com/is/image/MCY/13120823 ")</f>
        <v xml:space="preserve">http://slimages.macys.com/is/image/MCY/13120823 </v>
      </c>
    </row>
    <row r="306" spans="1:12" ht="24.75" x14ac:dyDescent="0.25">
      <c r="A306" s="4" t="s">
        <v>1117</v>
      </c>
      <c r="B306" s="2" t="s">
        <v>1118</v>
      </c>
      <c r="C306" s="3">
        <v>2</v>
      </c>
      <c r="D306" s="5">
        <v>37.130000000000003</v>
      </c>
      <c r="E306" s="3">
        <v>100070736</v>
      </c>
      <c r="F306" s="2" t="s">
        <v>376</v>
      </c>
      <c r="G306" s="6" t="s">
        <v>156</v>
      </c>
      <c r="H306" s="2" t="s">
        <v>194</v>
      </c>
      <c r="I306" s="2" t="s">
        <v>195</v>
      </c>
      <c r="J306" s="2" t="s">
        <v>19</v>
      </c>
      <c r="K306" s="2" t="s">
        <v>353</v>
      </c>
      <c r="L306" s="7" t="str">
        <f>HYPERLINK("http://slimages.macys.com/is/image/MCY/13120823 ")</f>
        <v xml:space="preserve">http://slimages.macys.com/is/image/MCY/13120823 </v>
      </c>
    </row>
    <row r="307" spans="1:12" ht="24.75" x14ac:dyDescent="0.25">
      <c r="A307" s="4" t="s">
        <v>8640</v>
      </c>
      <c r="B307" s="2" t="s">
        <v>744</v>
      </c>
      <c r="C307" s="3">
        <v>1</v>
      </c>
      <c r="D307" s="5">
        <v>34.99</v>
      </c>
      <c r="E307" s="3" t="s">
        <v>8641</v>
      </c>
      <c r="F307" s="2" t="s">
        <v>111</v>
      </c>
      <c r="G307" s="6" t="s">
        <v>181</v>
      </c>
      <c r="H307" s="2" t="s">
        <v>284</v>
      </c>
      <c r="I307" s="2" t="s">
        <v>285</v>
      </c>
      <c r="J307" s="2"/>
      <c r="K307" s="2"/>
      <c r="L307" s="7" t="str">
        <f>HYPERLINK("http://slimages.macys.com/is/image/MCY/8353478 ")</f>
        <v xml:space="preserve">http://slimages.macys.com/is/image/MCY/8353478 </v>
      </c>
    </row>
    <row r="308" spans="1:12" ht="24.75" x14ac:dyDescent="0.25">
      <c r="A308" s="4" t="s">
        <v>1123</v>
      </c>
      <c r="B308" s="2" t="s">
        <v>1118</v>
      </c>
      <c r="C308" s="3">
        <v>1</v>
      </c>
      <c r="D308" s="5">
        <v>37.130000000000003</v>
      </c>
      <c r="E308" s="3">
        <v>100070736</v>
      </c>
      <c r="F308" s="2" t="s">
        <v>74</v>
      </c>
      <c r="G308" s="6" t="s">
        <v>156</v>
      </c>
      <c r="H308" s="2" t="s">
        <v>194</v>
      </c>
      <c r="I308" s="2" t="s">
        <v>195</v>
      </c>
      <c r="J308" s="2" t="s">
        <v>19</v>
      </c>
      <c r="K308" s="2" t="s">
        <v>353</v>
      </c>
      <c r="L308" s="7" t="str">
        <f>HYPERLINK("http://slimages.macys.com/is/image/MCY/13120823 ")</f>
        <v xml:space="preserve">http://slimages.macys.com/is/image/MCY/13120823 </v>
      </c>
    </row>
    <row r="309" spans="1:12" ht="24.75" x14ac:dyDescent="0.25">
      <c r="A309" s="4" t="s">
        <v>1125</v>
      </c>
      <c r="B309" s="2" t="s">
        <v>1118</v>
      </c>
      <c r="C309" s="3">
        <v>5</v>
      </c>
      <c r="D309" s="5">
        <v>37.130000000000003</v>
      </c>
      <c r="E309" s="3">
        <v>100070736</v>
      </c>
      <c r="F309" s="2" t="s">
        <v>74</v>
      </c>
      <c r="G309" s="6" t="s">
        <v>181</v>
      </c>
      <c r="H309" s="2" t="s">
        <v>194</v>
      </c>
      <c r="I309" s="2" t="s">
        <v>195</v>
      </c>
      <c r="J309" s="2" t="s">
        <v>19</v>
      </c>
      <c r="K309" s="2" t="s">
        <v>353</v>
      </c>
      <c r="L309" s="7" t="str">
        <f>HYPERLINK("http://slimages.macys.com/is/image/MCY/13120823 ")</f>
        <v xml:space="preserve">http://slimages.macys.com/is/image/MCY/13120823 </v>
      </c>
    </row>
    <row r="310" spans="1:12" ht="24.75" x14ac:dyDescent="0.25">
      <c r="A310" s="4" t="s">
        <v>1126</v>
      </c>
      <c r="B310" s="2" t="s">
        <v>1118</v>
      </c>
      <c r="C310" s="3">
        <v>1</v>
      </c>
      <c r="D310" s="5">
        <v>37.130000000000003</v>
      </c>
      <c r="E310" s="3">
        <v>100070736</v>
      </c>
      <c r="F310" s="2" t="s">
        <v>74</v>
      </c>
      <c r="G310" s="6" t="s">
        <v>154</v>
      </c>
      <c r="H310" s="2" t="s">
        <v>194</v>
      </c>
      <c r="I310" s="2" t="s">
        <v>195</v>
      </c>
      <c r="J310" s="2" t="s">
        <v>19</v>
      </c>
      <c r="K310" s="2" t="s">
        <v>353</v>
      </c>
      <c r="L310" s="7" t="str">
        <f>HYPERLINK("http://slimages.macys.com/is/image/MCY/13120823 ")</f>
        <v xml:space="preserve">http://slimages.macys.com/is/image/MCY/13120823 </v>
      </c>
    </row>
    <row r="311" spans="1:12" ht="24.75" x14ac:dyDescent="0.25">
      <c r="A311" s="4" t="s">
        <v>1120</v>
      </c>
      <c r="B311" s="2" t="s">
        <v>1118</v>
      </c>
      <c r="C311" s="3">
        <v>3</v>
      </c>
      <c r="D311" s="5">
        <v>37.130000000000003</v>
      </c>
      <c r="E311" s="3">
        <v>100070736</v>
      </c>
      <c r="F311" s="2" t="s">
        <v>376</v>
      </c>
      <c r="G311" s="6" t="s">
        <v>154</v>
      </c>
      <c r="H311" s="2" t="s">
        <v>194</v>
      </c>
      <c r="I311" s="2" t="s">
        <v>195</v>
      </c>
      <c r="J311" s="2" t="s">
        <v>19</v>
      </c>
      <c r="K311" s="2" t="s">
        <v>353</v>
      </c>
      <c r="L311" s="7" t="str">
        <f>HYPERLINK("http://slimages.macys.com/is/image/MCY/13120823 ")</f>
        <v xml:space="preserve">http://slimages.macys.com/is/image/MCY/13120823 </v>
      </c>
    </row>
    <row r="312" spans="1:12" ht="24.75" x14ac:dyDescent="0.25">
      <c r="A312" s="4" t="s">
        <v>8642</v>
      </c>
      <c r="B312" s="2" t="s">
        <v>3793</v>
      </c>
      <c r="C312" s="3">
        <v>1</v>
      </c>
      <c r="D312" s="5">
        <v>65</v>
      </c>
      <c r="E312" s="3" t="s">
        <v>8643</v>
      </c>
      <c r="F312" s="2" t="s">
        <v>74</v>
      </c>
      <c r="G312" s="6" t="s">
        <v>791</v>
      </c>
      <c r="H312" s="2" t="s">
        <v>447</v>
      </c>
      <c r="I312" s="2" t="s">
        <v>792</v>
      </c>
      <c r="J312" s="2" t="s">
        <v>19</v>
      </c>
      <c r="K312" s="2" t="s">
        <v>160</v>
      </c>
      <c r="L312" s="7" t="str">
        <f>HYPERLINK("http://slimages.macys.com/is/image/MCY/14532449 ")</f>
        <v xml:space="preserve">http://slimages.macys.com/is/image/MCY/14532449 </v>
      </c>
    </row>
    <row r="313" spans="1:12" ht="24.75" x14ac:dyDescent="0.25">
      <c r="A313" s="4" t="s">
        <v>1121</v>
      </c>
      <c r="B313" s="2" t="s">
        <v>1118</v>
      </c>
      <c r="C313" s="3">
        <v>1</v>
      </c>
      <c r="D313" s="5">
        <v>37.130000000000003</v>
      </c>
      <c r="E313" s="3">
        <v>100070736</v>
      </c>
      <c r="F313" s="2" t="s">
        <v>376</v>
      </c>
      <c r="G313" s="6" t="s">
        <v>234</v>
      </c>
      <c r="H313" s="2" t="s">
        <v>194</v>
      </c>
      <c r="I313" s="2" t="s">
        <v>195</v>
      </c>
      <c r="J313" s="2" t="s">
        <v>19</v>
      </c>
      <c r="K313" s="2" t="s">
        <v>353</v>
      </c>
      <c r="L313" s="7" t="str">
        <f>HYPERLINK("http://slimages.macys.com/is/image/MCY/13120823 ")</f>
        <v xml:space="preserve">http://slimages.macys.com/is/image/MCY/13120823 </v>
      </c>
    </row>
    <row r="314" spans="1:12" ht="24.75" x14ac:dyDescent="0.25">
      <c r="A314" s="4" t="s">
        <v>3755</v>
      </c>
      <c r="B314" s="2" t="s">
        <v>1128</v>
      </c>
      <c r="C314" s="3">
        <v>1</v>
      </c>
      <c r="D314" s="5">
        <v>32.5</v>
      </c>
      <c r="E314" s="3" t="s">
        <v>1129</v>
      </c>
      <c r="F314" s="2" t="s">
        <v>252</v>
      </c>
      <c r="G314" s="6" t="s">
        <v>200</v>
      </c>
      <c r="H314" s="2" t="s">
        <v>194</v>
      </c>
      <c r="I314" s="2" t="s">
        <v>195</v>
      </c>
      <c r="J314" s="2" t="s">
        <v>19</v>
      </c>
      <c r="K314" s="2" t="s">
        <v>1108</v>
      </c>
      <c r="L314" s="7" t="str">
        <f>HYPERLINK("http://slimages.macys.com/is/image/MCY/12850781 ")</f>
        <v xml:space="preserve">http://slimages.macys.com/is/image/MCY/12850781 </v>
      </c>
    </row>
    <row r="315" spans="1:12" ht="24.75" x14ac:dyDescent="0.25">
      <c r="A315" s="4" t="s">
        <v>2582</v>
      </c>
      <c r="B315" s="2" t="s">
        <v>1128</v>
      </c>
      <c r="C315" s="3">
        <v>1</v>
      </c>
      <c r="D315" s="5">
        <v>32.5</v>
      </c>
      <c r="E315" s="3" t="s">
        <v>1129</v>
      </c>
      <c r="F315" s="2" t="s">
        <v>252</v>
      </c>
      <c r="G315" s="6" t="s">
        <v>156</v>
      </c>
      <c r="H315" s="2" t="s">
        <v>194</v>
      </c>
      <c r="I315" s="2" t="s">
        <v>195</v>
      </c>
      <c r="J315" s="2" t="s">
        <v>19</v>
      </c>
      <c r="K315" s="2" t="s">
        <v>1108</v>
      </c>
      <c r="L315" s="7" t="str">
        <f>HYPERLINK("http://slimages.macys.com/is/image/MCY/12850781 ")</f>
        <v xml:space="preserve">http://slimages.macys.com/is/image/MCY/12850781 </v>
      </c>
    </row>
    <row r="316" spans="1:12" ht="24.75" x14ac:dyDescent="0.25">
      <c r="A316" s="4" t="s">
        <v>1135</v>
      </c>
      <c r="B316" s="2" t="s">
        <v>890</v>
      </c>
      <c r="C316" s="3">
        <v>2</v>
      </c>
      <c r="D316" s="5">
        <v>34.5</v>
      </c>
      <c r="E316" s="3" t="s">
        <v>1136</v>
      </c>
      <c r="F316" s="2" t="s">
        <v>252</v>
      </c>
      <c r="G316" s="6" t="s">
        <v>22</v>
      </c>
      <c r="H316" s="2" t="s">
        <v>228</v>
      </c>
      <c r="I316" s="2" t="s">
        <v>863</v>
      </c>
      <c r="J316" s="2" t="s">
        <v>19</v>
      </c>
      <c r="K316" s="2" t="s">
        <v>253</v>
      </c>
      <c r="L316" s="7" t="str">
        <f>HYPERLINK("http://slimages.macys.com/is/image/MCY/11804239 ")</f>
        <v xml:space="preserve">http://slimages.macys.com/is/image/MCY/11804239 </v>
      </c>
    </row>
    <row r="317" spans="1:12" ht="24.75" x14ac:dyDescent="0.25">
      <c r="A317" s="4" t="s">
        <v>2592</v>
      </c>
      <c r="B317" s="2" t="s">
        <v>1147</v>
      </c>
      <c r="C317" s="3">
        <v>1</v>
      </c>
      <c r="D317" s="5">
        <v>34.880000000000003</v>
      </c>
      <c r="E317" s="3">
        <v>100055540</v>
      </c>
      <c r="F317" s="2" t="s">
        <v>70</v>
      </c>
      <c r="G317" s="6" t="s">
        <v>112</v>
      </c>
      <c r="H317" s="2" t="s">
        <v>194</v>
      </c>
      <c r="I317" s="2" t="s">
        <v>195</v>
      </c>
      <c r="J317" s="2" t="s">
        <v>19</v>
      </c>
      <c r="K317" s="2" t="s">
        <v>353</v>
      </c>
      <c r="L317" s="7" t="str">
        <f>HYPERLINK("http://slimages.macys.com/is/image/MCY/12035336 ")</f>
        <v xml:space="preserve">http://slimages.macys.com/is/image/MCY/12035336 </v>
      </c>
    </row>
    <row r="318" spans="1:12" ht="24.75" x14ac:dyDescent="0.25">
      <c r="A318" s="4" t="s">
        <v>1146</v>
      </c>
      <c r="B318" s="2" t="s">
        <v>1147</v>
      </c>
      <c r="C318" s="3">
        <v>1</v>
      </c>
      <c r="D318" s="5">
        <v>34.880000000000003</v>
      </c>
      <c r="E318" s="3">
        <v>100055540</v>
      </c>
      <c r="F318" s="2" t="s">
        <v>70</v>
      </c>
      <c r="G318" s="6" t="s">
        <v>16</v>
      </c>
      <c r="H318" s="2" t="s">
        <v>194</v>
      </c>
      <c r="I318" s="2" t="s">
        <v>195</v>
      </c>
      <c r="J318" s="2" t="s">
        <v>19</v>
      </c>
      <c r="K318" s="2" t="s">
        <v>353</v>
      </c>
      <c r="L318" s="7" t="str">
        <f>HYPERLINK("http://slimages.macys.com/is/image/MCY/12035336 ")</f>
        <v xml:space="preserve">http://slimages.macys.com/is/image/MCY/12035336 </v>
      </c>
    </row>
    <row r="319" spans="1:12" ht="24.75" x14ac:dyDescent="0.25">
      <c r="A319" s="4" t="s">
        <v>1158</v>
      </c>
      <c r="B319" s="2" t="s">
        <v>1155</v>
      </c>
      <c r="C319" s="3">
        <v>1</v>
      </c>
      <c r="D319" s="5">
        <v>37.130000000000003</v>
      </c>
      <c r="E319" s="3" t="s">
        <v>1156</v>
      </c>
      <c r="F319" s="2" t="s">
        <v>417</v>
      </c>
      <c r="G319" s="6" t="s">
        <v>154</v>
      </c>
      <c r="H319" s="2" t="s">
        <v>194</v>
      </c>
      <c r="I319" s="2" t="s">
        <v>195</v>
      </c>
      <c r="J319" s="2" t="s">
        <v>19</v>
      </c>
      <c r="K319" s="2" t="s">
        <v>648</v>
      </c>
      <c r="L319" s="7" t="str">
        <f>HYPERLINK("http://slimages.macys.com/is/image/MCY/13120794 ")</f>
        <v xml:space="preserve">http://slimages.macys.com/is/image/MCY/13120794 </v>
      </c>
    </row>
    <row r="320" spans="1:12" ht="24.75" x14ac:dyDescent="0.25">
      <c r="A320" s="4" t="s">
        <v>2593</v>
      </c>
      <c r="B320" s="2" t="s">
        <v>1155</v>
      </c>
      <c r="C320" s="3">
        <v>1</v>
      </c>
      <c r="D320" s="5">
        <v>37.130000000000003</v>
      </c>
      <c r="E320" s="3" t="s">
        <v>1156</v>
      </c>
      <c r="F320" s="2" t="s">
        <v>417</v>
      </c>
      <c r="G320" s="6" t="s">
        <v>156</v>
      </c>
      <c r="H320" s="2" t="s">
        <v>194</v>
      </c>
      <c r="I320" s="2" t="s">
        <v>195</v>
      </c>
      <c r="J320" s="2" t="s">
        <v>19</v>
      </c>
      <c r="K320" s="2" t="s">
        <v>648</v>
      </c>
      <c r="L320" s="7" t="str">
        <f>HYPERLINK("http://slimages.macys.com/is/image/MCY/13120794 ")</f>
        <v xml:space="preserve">http://slimages.macys.com/is/image/MCY/13120794 </v>
      </c>
    </row>
    <row r="321" spans="1:12" ht="24.75" x14ac:dyDescent="0.25">
      <c r="A321" s="4" t="s">
        <v>8644</v>
      </c>
      <c r="B321" s="2" t="s">
        <v>1155</v>
      </c>
      <c r="C321" s="3">
        <v>1</v>
      </c>
      <c r="D321" s="5">
        <v>37.130000000000003</v>
      </c>
      <c r="E321" s="3" t="s">
        <v>1156</v>
      </c>
      <c r="F321" s="2" t="s">
        <v>417</v>
      </c>
      <c r="G321" s="6" t="s">
        <v>200</v>
      </c>
      <c r="H321" s="2" t="s">
        <v>194</v>
      </c>
      <c r="I321" s="2" t="s">
        <v>195</v>
      </c>
      <c r="J321" s="2" t="s">
        <v>19</v>
      </c>
      <c r="K321" s="2" t="s">
        <v>648</v>
      </c>
      <c r="L321" s="7" t="str">
        <f>HYPERLINK("http://slimages.macys.com/is/image/MCY/13120794 ")</f>
        <v xml:space="preserve">http://slimages.macys.com/is/image/MCY/13120794 </v>
      </c>
    </row>
    <row r="322" spans="1:12" ht="24.75" x14ac:dyDescent="0.25">
      <c r="A322" s="4" t="s">
        <v>8645</v>
      </c>
      <c r="B322" s="2" t="s">
        <v>1163</v>
      </c>
      <c r="C322" s="3">
        <v>1</v>
      </c>
      <c r="D322" s="5">
        <v>34.5</v>
      </c>
      <c r="E322" s="3" t="s">
        <v>8646</v>
      </c>
      <c r="F322" s="2" t="s">
        <v>417</v>
      </c>
      <c r="G322" s="6" t="s">
        <v>1335</v>
      </c>
      <c r="H322" s="2" t="s">
        <v>228</v>
      </c>
      <c r="I322" s="2" t="s">
        <v>863</v>
      </c>
      <c r="J322" s="2" t="s">
        <v>19</v>
      </c>
      <c r="K322" s="2" t="s">
        <v>230</v>
      </c>
      <c r="L322" s="7" t="str">
        <f>HYPERLINK("http://slimages.macys.com/is/image/MCY/3623515 ")</f>
        <v xml:space="preserve">http://slimages.macys.com/is/image/MCY/3623515 </v>
      </c>
    </row>
    <row r="323" spans="1:12" ht="24.75" x14ac:dyDescent="0.25">
      <c r="A323" s="4" t="s">
        <v>8647</v>
      </c>
      <c r="B323" s="2" t="s">
        <v>1163</v>
      </c>
      <c r="C323" s="3">
        <v>1</v>
      </c>
      <c r="D323" s="5">
        <v>34.5</v>
      </c>
      <c r="E323" s="3" t="s">
        <v>1164</v>
      </c>
      <c r="F323" s="2" t="s">
        <v>74</v>
      </c>
      <c r="G323" s="6" t="s">
        <v>1335</v>
      </c>
      <c r="H323" s="2" t="s">
        <v>228</v>
      </c>
      <c r="I323" s="2" t="s">
        <v>863</v>
      </c>
      <c r="J323" s="2" t="s">
        <v>19</v>
      </c>
      <c r="K323" s="2" t="s">
        <v>230</v>
      </c>
      <c r="L323" s="7" t="str">
        <f>HYPERLINK("http://slimages.macys.com/is/image/MCY/3623515 ")</f>
        <v xml:space="preserve">http://slimages.macys.com/is/image/MCY/3623515 </v>
      </c>
    </row>
    <row r="324" spans="1:12" ht="24.75" x14ac:dyDescent="0.25">
      <c r="A324" s="4" t="s">
        <v>5783</v>
      </c>
      <c r="B324" s="2" t="s">
        <v>1199</v>
      </c>
      <c r="C324" s="3">
        <v>3</v>
      </c>
      <c r="D324" s="5">
        <v>37.130000000000003</v>
      </c>
      <c r="E324" s="3">
        <v>100009324</v>
      </c>
      <c r="F324" s="2" t="s">
        <v>70</v>
      </c>
      <c r="G324" s="6" t="s">
        <v>16</v>
      </c>
      <c r="H324" s="2" t="s">
        <v>194</v>
      </c>
      <c r="I324" s="2" t="s">
        <v>195</v>
      </c>
      <c r="J324" s="2" t="s">
        <v>19</v>
      </c>
      <c r="K324" s="2" t="s">
        <v>353</v>
      </c>
      <c r="L324" s="7" t="str">
        <f>HYPERLINK("http://slimages.macys.com/is/image/MCY/9404224 ")</f>
        <v xml:space="preserve">http://slimages.macys.com/is/image/MCY/9404224 </v>
      </c>
    </row>
    <row r="325" spans="1:12" ht="24.75" x14ac:dyDescent="0.25">
      <c r="A325" s="4" t="s">
        <v>6571</v>
      </c>
      <c r="B325" s="2" t="s">
        <v>1199</v>
      </c>
      <c r="C325" s="3">
        <v>1</v>
      </c>
      <c r="D325" s="5">
        <v>37.130000000000003</v>
      </c>
      <c r="E325" s="3">
        <v>100009324</v>
      </c>
      <c r="F325" s="2" t="s">
        <v>33</v>
      </c>
      <c r="G325" s="6" t="s">
        <v>22</v>
      </c>
      <c r="H325" s="2" t="s">
        <v>194</v>
      </c>
      <c r="I325" s="2" t="s">
        <v>195</v>
      </c>
      <c r="J325" s="2" t="s">
        <v>19</v>
      </c>
      <c r="K325" s="2" t="s">
        <v>353</v>
      </c>
      <c r="L325" s="7" t="str">
        <f>HYPERLINK("http://slimages.macys.com/is/image/MCY/12316457 ")</f>
        <v xml:space="preserve">http://slimages.macys.com/is/image/MCY/12316457 </v>
      </c>
    </row>
    <row r="326" spans="1:12" ht="24.75" x14ac:dyDescent="0.25">
      <c r="A326" s="4" t="s">
        <v>8648</v>
      </c>
      <c r="B326" s="2" t="s">
        <v>1199</v>
      </c>
      <c r="C326" s="3">
        <v>1</v>
      </c>
      <c r="D326" s="5">
        <v>37.130000000000003</v>
      </c>
      <c r="E326" s="3">
        <v>100009324</v>
      </c>
      <c r="F326" s="2" t="s">
        <v>70</v>
      </c>
      <c r="G326" s="6" t="s">
        <v>141</v>
      </c>
      <c r="H326" s="2" t="s">
        <v>194</v>
      </c>
      <c r="I326" s="2" t="s">
        <v>195</v>
      </c>
      <c r="J326" s="2" t="s">
        <v>19</v>
      </c>
      <c r="K326" s="2" t="s">
        <v>353</v>
      </c>
      <c r="L326" s="7" t="str">
        <f>HYPERLINK("http://slimages.macys.com/is/image/MCY/9404224 ")</f>
        <v xml:space="preserve">http://slimages.macys.com/is/image/MCY/9404224 </v>
      </c>
    </row>
    <row r="327" spans="1:12" ht="24.75" x14ac:dyDescent="0.25">
      <c r="A327" s="4" t="s">
        <v>4850</v>
      </c>
      <c r="B327" s="2" t="s">
        <v>1199</v>
      </c>
      <c r="C327" s="3">
        <v>1</v>
      </c>
      <c r="D327" s="5">
        <v>37.130000000000003</v>
      </c>
      <c r="E327" s="3">
        <v>100009324</v>
      </c>
      <c r="F327" s="2" t="s">
        <v>70</v>
      </c>
      <c r="G327" s="6" t="s">
        <v>22</v>
      </c>
      <c r="H327" s="2" t="s">
        <v>194</v>
      </c>
      <c r="I327" s="2" t="s">
        <v>195</v>
      </c>
      <c r="J327" s="2" t="s">
        <v>19</v>
      </c>
      <c r="K327" s="2" t="s">
        <v>353</v>
      </c>
      <c r="L327" s="7" t="str">
        <f>HYPERLINK("http://slimages.macys.com/is/image/MCY/9404224 ")</f>
        <v xml:space="preserve">http://slimages.macys.com/is/image/MCY/9404224 </v>
      </c>
    </row>
    <row r="328" spans="1:12" ht="24.75" x14ac:dyDescent="0.25">
      <c r="A328" s="4" t="s">
        <v>6572</v>
      </c>
      <c r="B328" s="2" t="s">
        <v>1199</v>
      </c>
      <c r="C328" s="3">
        <v>1</v>
      </c>
      <c r="D328" s="5">
        <v>37.130000000000003</v>
      </c>
      <c r="E328" s="3">
        <v>100009324</v>
      </c>
      <c r="F328" s="2" t="s">
        <v>33</v>
      </c>
      <c r="G328" s="6" t="s">
        <v>16</v>
      </c>
      <c r="H328" s="2" t="s">
        <v>194</v>
      </c>
      <c r="I328" s="2" t="s">
        <v>195</v>
      </c>
      <c r="J328" s="2" t="s">
        <v>19</v>
      </c>
      <c r="K328" s="2" t="s">
        <v>353</v>
      </c>
      <c r="L328" s="7" t="str">
        <f>HYPERLINK("http://slimages.macys.com/is/image/MCY/12316457 ")</f>
        <v xml:space="preserve">http://slimages.macys.com/is/image/MCY/12316457 </v>
      </c>
    </row>
    <row r="329" spans="1:12" ht="24.75" x14ac:dyDescent="0.25">
      <c r="A329" s="4" t="s">
        <v>8649</v>
      </c>
      <c r="B329" s="2" t="s">
        <v>1106</v>
      </c>
      <c r="C329" s="3">
        <v>1</v>
      </c>
      <c r="D329" s="5">
        <v>32.5</v>
      </c>
      <c r="E329" s="3" t="s">
        <v>2600</v>
      </c>
      <c r="F329" s="2" t="s">
        <v>15</v>
      </c>
      <c r="G329" s="6" t="s">
        <v>234</v>
      </c>
      <c r="H329" s="2" t="s">
        <v>194</v>
      </c>
      <c r="I329" s="2" t="s">
        <v>195</v>
      </c>
      <c r="J329" s="2" t="s">
        <v>19</v>
      </c>
      <c r="K329" s="2" t="s">
        <v>1108</v>
      </c>
      <c r="L329" s="7" t="str">
        <f>HYPERLINK("http://slimages.macys.com/is/image/MCY/11776301 ")</f>
        <v xml:space="preserve">http://slimages.macys.com/is/image/MCY/11776301 </v>
      </c>
    </row>
    <row r="330" spans="1:12" ht="24.75" x14ac:dyDescent="0.25">
      <c r="A330" s="4" t="s">
        <v>1180</v>
      </c>
      <c r="B330" s="2" t="s">
        <v>1181</v>
      </c>
      <c r="C330" s="3">
        <v>2</v>
      </c>
      <c r="D330" s="5">
        <v>37.130000000000003</v>
      </c>
      <c r="E330" s="3">
        <v>100064797</v>
      </c>
      <c r="F330" s="2" t="s">
        <v>15</v>
      </c>
      <c r="G330" s="6" t="s">
        <v>154</v>
      </c>
      <c r="H330" s="2" t="s">
        <v>194</v>
      </c>
      <c r="I330" s="2" t="s">
        <v>195</v>
      </c>
      <c r="J330" s="2" t="s">
        <v>19</v>
      </c>
      <c r="K330" s="2" t="s">
        <v>247</v>
      </c>
      <c r="L330" s="7" t="str">
        <f>HYPERLINK("http://slimages.macys.com/is/image/MCY/12950007 ")</f>
        <v xml:space="preserve">http://slimages.macys.com/is/image/MCY/12950007 </v>
      </c>
    </row>
    <row r="331" spans="1:12" ht="24.75" x14ac:dyDescent="0.25">
      <c r="A331" s="4" t="s">
        <v>6576</v>
      </c>
      <c r="B331" s="2" t="s">
        <v>1106</v>
      </c>
      <c r="C331" s="3">
        <v>2</v>
      </c>
      <c r="D331" s="5">
        <v>33.380000000000003</v>
      </c>
      <c r="E331" s="3" t="s">
        <v>3775</v>
      </c>
      <c r="F331" s="2" t="s">
        <v>417</v>
      </c>
      <c r="G331" s="6" t="s">
        <v>154</v>
      </c>
      <c r="H331" s="2" t="s">
        <v>194</v>
      </c>
      <c r="I331" s="2" t="s">
        <v>195</v>
      </c>
      <c r="J331" s="2" t="s">
        <v>19</v>
      </c>
      <c r="K331" s="2" t="s">
        <v>1108</v>
      </c>
      <c r="L331" s="7" t="str">
        <f>HYPERLINK("http://slimages.macys.com/is/image/MCY/12034216 ")</f>
        <v xml:space="preserve">http://slimages.macys.com/is/image/MCY/12034216 </v>
      </c>
    </row>
    <row r="332" spans="1:12" ht="24.75" x14ac:dyDescent="0.25">
      <c r="A332" s="4" t="s">
        <v>5796</v>
      </c>
      <c r="B332" s="2" t="s">
        <v>1185</v>
      </c>
      <c r="C332" s="3">
        <v>1</v>
      </c>
      <c r="D332" s="5">
        <v>34.5</v>
      </c>
      <c r="E332" s="3" t="s">
        <v>1186</v>
      </c>
      <c r="F332" s="2" t="s">
        <v>376</v>
      </c>
      <c r="G332" s="6" t="s">
        <v>154</v>
      </c>
      <c r="H332" s="2" t="s">
        <v>228</v>
      </c>
      <c r="I332" s="2" t="s">
        <v>229</v>
      </c>
      <c r="J332" s="2" t="s">
        <v>19</v>
      </c>
      <c r="K332" s="2" t="s">
        <v>253</v>
      </c>
      <c r="L332" s="7" t="str">
        <f>HYPERLINK("http://slimages.macys.com/is/image/MCY/11269044 ")</f>
        <v xml:space="preserve">http://slimages.macys.com/is/image/MCY/11269044 </v>
      </c>
    </row>
    <row r="333" spans="1:12" ht="24.75" x14ac:dyDescent="0.25">
      <c r="A333" s="4" t="s">
        <v>2605</v>
      </c>
      <c r="B333" s="2" t="s">
        <v>1185</v>
      </c>
      <c r="C333" s="3">
        <v>1</v>
      </c>
      <c r="D333" s="5">
        <v>34.5</v>
      </c>
      <c r="E333" s="3" t="s">
        <v>1186</v>
      </c>
      <c r="F333" s="2" t="s">
        <v>376</v>
      </c>
      <c r="G333" s="6" t="s">
        <v>200</v>
      </c>
      <c r="H333" s="2" t="s">
        <v>228</v>
      </c>
      <c r="I333" s="2" t="s">
        <v>229</v>
      </c>
      <c r="J333" s="2" t="s">
        <v>19</v>
      </c>
      <c r="K333" s="2" t="s">
        <v>253</v>
      </c>
      <c r="L333" s="7" t="str">
        <f>HYPERLINK("http://slimages.macys.com/is/image/MCY/11269044 ")</f>
        <v xml:space="preserve">http://slimages.macys.com/is/image/MCY/11269044 </v>
      </c>
    </row>
    <row r="334" spans="1:12" ht="24.75" x14ac:dyDescent="0.25">
      <c r="A334" s="4" t="s">
        <v>8127</v>
      </c>
      <c r="B334" s="2" t="s">
        <v>1183</v>
      </c>
      <c r="C334" s="3">
        <v>1</v>
      </c>
      <c r="D334" s="5">
        <v>34.5</v>
      </c>
      <c r="E334" s="3" t="s">
        <v>2602</v>
      </c>
      <c r="F334" s="2" t="s">
        <v>26</v>
      </c>
      <c r="G334" s="6" t="s">
        <v>156</v>
      </c>
      <c r="H334" s="2" t="s">
        <v>228</v>
      </c>
      <c r="I334" s="2" t="s">
        <v>229</v>
      </c>
      <c r="J334" s="2" t="s">
        <v>19</v>
      </c>
      <c r="K334" s="2" t="s">
        <v>253</v>
      </c>
      <c r="L334" s="7" t="str">
        <f>HYPERLINK("http://slimages.macys.com/is/image/MCY/11269044 ")</f>
        <v xml:space="preserve">http://slimages.macys.com/is/image/MCY/11269044 </v>
      </c>
    </row>
    <row r="335" spans="1:12" ht="24.75" x14ac:dyDescent="0.25">
      <c r="A335" s="4" t="s">
        <v>2603</v>
      </c>
      <c r="B335" s="2" t="s">
        <v>1183</v>
      </c>
      <c r="C335" s="3">
        <v>2</v>
      </c>
      <c r="D335" s="5">
        <v>34.5</v>
      </c>
      <c r="E335" s="3" t="s">
        <v>2602</v>
      </c>
      <c r="F335" s="2" t="s">
        <v>26</v>
      </c>
      <c r="G335" s="6" t="s">
        <v>154</v>
      </c>
      <c r="H335" s="2" t="s">
        <v>228</v>
      </c>
      <c r="I335" s="2" t="s">
        <v>229</v>
      </c>
      <c r="J335" s="2" t="s">
        <v>19</v>
      </c>
      <c r="K335" s="2" t="s">
        <v>253</v>
      </c>
      <c r="L335" s="7" t="str">
        <f>HYPERLINK("http://slimages.macys.com/is/image/MCY/11269044 ")</f>
        <v xml:space="preserve">http://slimages.macys.com/is/image/MCY/11269044 </v>
      </c>
    </row>
    <row r="336" spans="1:12" ht="24.75" x14ac:dyDescent="0.25">
      <c r="A336" s="4" t="s">
        <v>2601</v>
      </c>
      <c r="B336" s="2" t="s">
        <v>1183</v>
      </c>
      <c r="C336" s="3">
        <v>4</v>
      </c>
      <c r="D336" s="5">
        <v>34.5</v>
      </c>
      <c r="E336" s="3" t="s">
        <v>2602</v>
      </c>
      <c r="F336" s="2" t="s">
        <v>26</v>
      </c>
      <c r="G336" s="6" t="s">
        <v>200</v>
      </c>
      <c r="H336" s="2" t="s">
        <v>228</v>
      </c>
      <c r="I336" s="2" t="s">
        <v>229</v>
      </c>
      <c r="J336" s="2" t="s">
        <v>19</v>
      </c>
      <c r="K336" s="2" t="s">
        <v>253</v>
      </c>
      <c r="L336" s="7" t="str">
        <f>HYPERLINK("http://slimages.macys.com/is/image/MCY/11269044 ")</f>
        <v xml:space="preserve">http://slimages.macys.com/is/image/MCY/11269044 </v>
      </c>
    </row>
    <row r="337" spans="1:12" ht="24.75" x14ac:dyDescent="0.25">
      <c r="A337" s="4" t="s">
        <v>8650</v>
      </c>
      <c r="B337" s="2" t="s">
        <v>539</v>
      </c>
      <c r="C337" s="3">
        <v>1</v>
      </c>
      <c r="D337" s="5">
        <v>49.99</v>
      </c>
      <c r="E337" s="3" t="s">
        <v>540</v>
      </c>
      <c r="F337" s="2"/>
      <c r="G337" s="6" t="s">
        <v>934</v>
      </c>
      <c r="H337" s="2" t="s">
        <v>127</v>
      </c>
      <c r="I337" s="2" t="s">
        <v>541</v>
      </c>
      <c r="J337" s="2" t="s">
        <v>19</v>
      </c>
      <c r="K337" s="2" t="s">
        <v>137</v>
      </c>
      <c r="L337" s="7" t="str">
        <f>HYPERLINK("http://slimages.macys.com/is/image/MCY/10438351 ")</f>
        <v xml:space="preserve">http://slimages.macys.com/is/image/MCY/10438351 </v>
      </c>
    </row>
    <row r="338" spans="1:12" ht="24.75" x14ac:dyDescent="0.25">
      <c r="A338" s="4" t="s">
        <v>6581</v>
      </c>
      <c r="B338" s="2" t="s">
        <v>1196</v>
      </c>
      <c r="C338" s="3">
        <v>1</v>
      </c>
      <c r="D338" s="5">
        <v>37.130000000000003</v>
      </c>
      <c r="E338" s="3">
        <v>100020406</v>
      </c>
      <c r="F338" s="2" t="s">
        <v>887</v>
      </c>
      <c r="G338" s="6" t="s">
        <v>181</v>
      </c>
      <c r="H338" s="2" t="s">
        <v>194</v>
      </c>
      <c r="I338" s="2" t="s">
        <v>195</v>
      </c>
      <c r="J338" s="2" t="s">
        <v>19</v>
      </c>
      <c r="K338" s="2" t="s">
        <v>648</v>
      </c>
      <c r="L338" s="7" t="str">
        <f>HYPERLINK("http://slimages.macys.com/is/image/MCY/9577038 ")</f>
        <v xml:space="preserve">http://slimages.macys.com/is/image/MCY/9577038 </v>
      </c>
    </row>
    <row r="339" spans="1:12" ht="24.75" x14ac:dyDescent="0.25">
      <c r="A339" s="4" t="s">
        <v>8651</v>
      </c>
      <c r="B339" s="2" t="s">
        <v>5805</v>
      </c>
      <c r="C339" s="3">
        <v>1</v>
      </c>
      <c r="D339" s="5">
        <v>36.75</v>
      </c>
      <c r="E339" s="3" t="s">
        <v>5806</v>
      </c>
      <c r="F339" s="2" t="s">
        <v>26</v>
      </c>
      <c r="G339" s="6"/>
      <c r="H339" s="2" t="s">
        <v>426</v>
      </c>
      <c r="I339" s="2" t="s">
        <v>229</v>
      </c>
      <c r="J339" s="2" t="s">
        <v>19</v>
      </c>
      <c r="K339" s="2" t="s">
        <v>253</v>
      </c>
      <c r="L339" s="7" t="str">
        <f>HYPERLINK("http://slimages.macys.com/is/image/MCY/11148650 ")</f>
        <v xml:space="preserve">http://slimages.macys.com/is/image/MCY/11148650 </v>
      </c>
    </row>
    <row r="340" spans="1:12" ht="24.75" x14ac:dyDescent="0.25">
      <c r="A340" s="4" t="s">
        <v>8652</v>
      </c>
      <c r="B340" s="2" t="s">
        <v>4869</v>
      </c>
      <c r="C340" s="3">
        <v>1</v>
      </c>
      <c r="D340" s="5">
        <v>37.130000000000003</v>
      </c>
      <c r="E340" s="3">
        <v>100015977</v>
      </c>
      <c r="F340" s="2" t="s">
        <v>26</v>
      </c>
      <c r="G340" s="6" t="s">
        <v>181</v>
      </c>
      <c r="H340" s="2" t="s">
        <v>246</v>
      </c>
      <c r="I340" s="2" t="s">
        <v>189</v>
      </c>
      <c r="J340" s="2" t="s">
        <v>19</v>
      </c>
      <c r="K340" s="2" t="s">
        <v>648</v>
      </c>
      <c r="L340" s="7" t="str">
        <f>HYPERLINK("http://slimages.macys.com/is/image/MCY/9557334 ")</f>
        <v xml:space="preserve">http://slimages.macys.com/is/image/MCY/9557334 </v>
      </c>
    </row>
    <row r="341" spans="1:12" ht="24.75" x14ac:dyDescent="0.25">
      <c r="A341" s="4" t="s">
        <v>4877</v>
      </c>
      <c r="B341" s="2" t="s">
        <v>4878</v>
      </c>
      <c r="C341" s="3">
        <v>2</v>
      </c>
      <c r="D341" s="5">
        <v>27.99</v>
      </c>
      <c r="E341" s="3" t="s">
        <v>4879</v>
      </c>
      <c r="F341" s="2" t="s">
        <v>33</v>
      </c>
      <c r="G341" s="6" t="s">
        <v>154</v>
      </c>
      <c r="H341" s="2" t="s">
        <v>1522</v>
      </c>
      <c r="I341" s="2" t="s">
        <v>1469</v>
      </c>
      <c r="J341" s="2" t="s">
        <v>19</v>
      </c>
      <c r="K341" s="2" t="s">
        <v>353</v>
      </c>
      <c r="L341" s="7" t="str">
        <f>HYPERLINK("http://slimages.macys.com/is/image/MCY/11774240 ")</f>
        <v xml:space="preserve">http://slimages.macys.com/is/image/MCY/11774240 </v>
      </c>
    </row>
    <row r="342" spans="1:12" ht="24.75" x14ac:dyDescent="0.25">
      <c r="A342" s="4" t="s">
        <v>8653</v>
      </c>
      <c r="B342" s="2" t="s">
        <v>1208</v>
      </c>
      <c r="C342" s="3">
        <v>1</v>
      </c>
      <c r="D342" s="5">
        <v>37.130000000000003</v>
      </c>
      <c r="E342" s="3">
        <v>100013470</v>
      </c>
      <c r="F342" s="2" t="s">
        <v>15</v>
      </c>
      <c r="G342" s="6" t="s">
        <v>65</v>
      </c>
      <c r="H342" s="2" t="s">
        <v>194</v>
      </c>
      <c r="I342" s="2" t="s">
        <v>195</v>
      </c>
      <c r="J342" s="2" t="s">
        <v>19</v>
      </c>
      <c r="K342" s="2" t="s">
        <v>353</v>
      </c>
      <c r="L342" s="7" t="str">
        <f>HYPERLINK("http://slimages.macys.com/is/image/MCY/9426968 ")</f>
        <v xml:space="preserve">http://slimages.macys.com/is/image/MCY/9426968 </v>
      </c>
    </row>
    <row r="343" spans="1:12" ht="24.75" x14ac:dyDescent="0.25">
      <c r="A343" s="4" t="s">
        <v>8654</v>
      </c>
      <c r="B343" s="2" t="s">
        <v>1199</v>
      </c>
      <c r="C343" s="3">
        <v>1</v>
      </c>
      <c r="D343" s="5">
        <v>37.130000000000003</v>
      </c>
      <c r="E343" s="3">
        <v>100009324</v>
      </c>
      <c r="F343" s="2" t="s">
        <v>26</v>
      </c>
      <c r="G343" s="6" t="s">
        <v>141</v>
      </c>
      <c r="H343" s="2" t="s">
        <v>194</v>
      </c>
      <c r="I343" s="2" t="s">
        <v>195</v>
      </c>
      <c r="J343" s="2" t="s">
        <v>19</v>
      </c>
      <c r="K343" s="2" t="s">
        <v>353</v>
      </c>
      <c r="L343" s="7" t="str">
        <f>HYPERLINK("http://slimages.macys.com/is/image/MCY/9404224 ")</f>
        <v xml:space="preserve">http://slimages.macys.com/is/image/MCY/9404224 </v>
      </c>
    </row>
    <row r="344" spans="1:12" ht="24.75" x14ac:dyDescent="0.25">
      <c r="A344" s="4" t="s">
        <v>6590</v>
      </c>
      <c r="B344" s="2" t="s">
        <v>1199</v>
      </c>
      <c r="C344" s="3">
        <v>1</v>
      </c>
      <c r="D344" s="5">
        <v>37.130000000000003</v>
      </c>
      <c r="E344" s="3">
        <v>100009324</v>
      </c>
      <c r="F344" s="2" t="s">
        <v>376</v>
      </c>
      <c r="G344" s="6" t="s">
        <v>27</v>
      </c>
      <c r="H344" s="2" t="s">
        <v>194</v>
      </c>
      <c r="I344" s="2" t="s">
        <v>195</v>
      </c>
      <c r="J344" s="2" t="s">
        <v>19</v>
      </c>
      <c r="K344" s="2" t="s">
        <v>353</v>
      </c>
      <c r="L344" s="7" t="str">
        <f>HYPERLINK("http://slimages.macys.com/is/image/MCY/9404224 ")</f>
        <v xml:space="preserve">http://slimages.macys.com/is/image/MCY/9404224 </v>
      </c>
    </row>
    <row r="345" spans="1:12" ht="24.75" x14ac:dyDescent="0.25">
      <c r="A345" s="4" t="s">
        <v>8655</v>
      </c>
      <c r="B345" s="2" t="s">
        <v>1199</v>
      </c>
      <c r="C345" s="3">
        <v>1</v>
      </c>
      <c r="D345" s="5">
        <v>37.130000000000003</v>
      </c>
      <c r="E345" s="3">
        <v>100009324</v>
      </c>
      <c r="F345" s="2" t="s">
        <v>1234</v>
      </c>
      <c r="G345" s="6" t="s">
        <v>65</v>
      </c>
      <c r="H345" s="2" t="s">
        <v>194</v>
      </c>
      <c r="I345" s="2" t="s">
        <v>195</v>
      </c>
      <c r="J345" s="2" t="s">
        <v>19</v>
      </c>
      <c r="K345" s="2" t="s">
        <v>353</v>
      </c>
      <c r="L345" s="7" t="str">
        <f>HYPERLINK("http://slimages.macys.com/is/image/MCY/9404224 ")</f>
        <v xml:space="preserve">http://slimages.macys.com/is/image/MCY/9404224 </v>
      </c>
    </row>
    <row r="346" spans="1:12" ht="24.75" x14ac:dyDescent="0.25">
      <c r="A346" s="4" t="s">
        <v>8656</v>
      </c>
      <c r="B346" s="2" t="s">
        <v>1199</v>
      </c>
      <c r="C346" s="3">
        <v>2</v>
      </c>
      <c r="D346" s="5">
        <v>37.130000000000003</v>
      </c>
      <c r="E346" s="3">
        <v>100009324</v>
      </c>
      <c r="F346" s="2" t="s">
        <v>26</v>
      </c>
      <c r="G346" s="6" t="s">
        <v>16</v>
      </c>
      <c r="H346" s="2" t="s">
        <v>194</v>
      </c>
      <c r="I346" s="2" t="s">
        <v>195</v>
      </c>
      <c r="J346" s="2" t="s">
        <v>19</v>
      </c>
      <c r="K346" s="2" t="s">
        <v>353</v>
      </c>
      <c r="L346" s="7" t="str">
        <f>HYPERLINK("http://slimages.macys.com/is/image/MCY/9404224 ")</f>
        <v xml:space="preserve">http://slimages.macys.com/is/image/MCY/9404224 </v>
      </c>
    </row>
    <row r="347" spans="1:12" ht="24.75" x14ac:dyDescent="0.25">
      <c r="A347" s="4" t="s">
        <v>8657</v>
      </c>
      <c r="B347" s="2" t="s">
        <v>1212</v>
      </c>
      <c r="C347" s="3">
        <v>1</v>
      </c>
      <c r="D347" s="5">
        <v>59.5</v>
      </c>
      <c r="E347" s="3" t="s">
        <v>1213</v>
      </c>
      <c r="F347" s="2" t="s">
        <v>74</v>
      </c>
      <c r="G347" s="6" t="s">
        <v>187</v>
      </c>
      <c r="H347" s="2" t="s">
        <v>206</v>
      </c>
      <c r="I347" s="2" t="s">
        <v>207</v>
      </c>
      <c r="J347" s="2" t="s">
        <v>19</v>
      </c>
      <c r="K347" s="2" t="s">
        <v>672</v>
      </c>
      <c r="L347" s="7" t="str">
        <f>HYPERLINK("http://slimages.macys.com/is/image/MCY/9507267 ")</f>
        <v xml:space="preserve">http://slimages.macys.com/is/image/MCY/9507267 </v>
      </c>
    </row>
    <row r="348" spans="1:12" ht="24.75" x14ac:dyDescent="0.25">
      <c r="A348" s="4" t="s">
        <v>8658</v>
      </c>
      <c r="B348" s="2" t="s">
        <v>1416</v>
      </c>
      <c r="C348" s="3">
        <v>1</v>
      </c>
      <c r="D348" s="5">
        <v>21.99</v>
      </c>
      <c r="E348" s="3" t="s">
        <v>8659</v>
      </c>
      <c r="F348" s="2" t="s">
        <v>1584</v>
      </c>
      <c r="G348" s="6" t="s">
        <v>22</v>
      </c>
      <c r="H348" s="2" t="s">
        <v>194</v>
      </c>
      <c r="I348" s="2" t="s">
        <v>195</v>
      </c>
      <c r="J348" s="2" t="s">
        <v>19</v>
      </c>
      <c r="K348" s="2" t="s">
        <v>353</v>
      </c>
      <c r="L348" s="7" t="str">
        <f>HYPERLINK("http://slimages.macys.com/is/image/MCY/12033149 ")</f>
        <v xml:space="preserve">http://slimages.macys.com/is/image/MCY/12033149 </v>
      </c>
    </row>
    <row r="349" spans="1:12" ht="24.75" x14ac:dyDescent="0.25">
      <c r="A349" s="4" t="s">
        <v>8660</v>
      </c>
      <c r="B349" s="2" t="s">
        <v>1416</v>
      </c>
      <c r="C349" s="3">
        <v>1</v>
      </c>
      <c r="D349" s="5">
        <v>21.99</v>
      </c>
      <c r="E349" s="3" t="s">
        <v>8659</v>
      </c>
      <c r="F349" s="2" t="s">
        <v>1584</v>
      </c>
      <c r="G349" s="6" t="s">
        <v>16</v>
      </c>
      <c r="H349" s="2" t="s">
        <v>194</v>
      </c>
      <c r="I349" s="2" t="s">
        <v>195</v>
      </c>
      <c r="J349" s="2" t="s">
        <v>19</v>
      </c>
      <c r="K349" s="2" t="s">
        <v>353</v>
      </c>
      <c r="L349" s="7" t="str">
        <f>HYPERLINK("http://slimages.macys.com/is/image/MCY/12033149 ")</f>
        <v xml:space="preserve">http://slimages.macys.com/is/image/MCY/12033149 </v>
      </c>
    </row>
    <row r="350" spans="1:12" ht="24.75" x14ac:dyDescent="0.25">
      <c r="A350" s="4" t="s">
        <v>8661</v>
      </c>
      <c r="B350" s="2" t="s">
        <v>1416</v>
      </c>
      <c r="C350" s="3">
        <v>3</v>
      </c>
      <c r="D350" s="5">
        <v>21.99</v>
      </c>
      <c r="E350" s="3" t="s">
        <v>8659</v>
      </c>
      <c r="F350" s="2" t="s">
        <v>1584</v>
      </c>
      <c r="G350" s="6" t="s">
        <v>27</v>
      </c>
      <c r="H350" s="2" t="s">
        <v>194</v>
      </c>
      <c r="I350" s="2" t="s">
        <v>195</v>
      </c>
      <c r="J350" s="2" t="s">
        <v>19</v>
      </c>
      <c r="K350" s="2" t="s">
        <v>353</v>
      </c>
      <c r="L350" s="7" t="str">
        <f>HYPERLINK("http://slimages.macys.com/is/image/MCY/12033149 ")</f>
        <v xml:space="preserve">http://slimages.macys.com/is/image/MCY/12033149 </v>
      </c>
    </row>
    <row r="351" spans="1:12" ht="24.75" x14ac:dyDescent="0.25">
      <c r="A351" s="4" t="s">
        <v>3799</v>
      </c>
      <c r="B351" s="2" t="s">
        <v>1222</v>
      </c>
      <c r="C351" s="3">
        <v>1</v>
      </c>
      <c r="D351" s="5">
        <v>37.130000000000003</v>
      </c>
      <c r="E351" s="3" t="s">
        <v>1223</v>
      </c>
      <c r="F351" s="2" t="s">
        <v>26</v>
      </c>
      <c r="G351" s="6" t="s">
        <v>156</v>
      </c>
      <c r="H351" s="2" t="s">
        <v>194</v>
      </c>
      <c r="I351" s="2" t="s">
        <v>580</v>
      </c>
      <c r="J351" s="2" t="s">
        <v>19</v>
      </c>
      <c r="K351" s="2" t="s">
        <v>247</v>
      </c>
      <c r="L351" s="7" t="str">
        <f>HYPERLINK("http://slimages.macys.com/is/image/MCY/12950179 ")</f>
        <v xml:space="preserve">http://slimages.macys.com/is/image/MCY/12950179 </v>
      </c>
    </row>
    <row r="352" spans="1:12" ht="24.75" x14ac:dyDescent="0.25">
      <c r="A352" s="4" t="s">
        <v>2632</v>
      </c>
      <c r="B352" s="2" t="s">
        <v>1222</v>
      </c>
      <c r="C352" s="3">
        <v>1</v>
      </c>
      <c r="D352" s="5">
        <v>37.130000000000003</v>
      </c>
      <c r="E352" s="3" t="s">
        <v>1223</v>
      </c>
      <c r="F352" s="2" t="s">
        <v>26</v>
      </c>
      <c r="G352" s="6" t="s">
        <v>181</v>
      </c>
      <c r="H352" s="2" t="s">
        <v>194</v>
      </c>
      <c r="I352" s="2" t="s">
        <v>580</v>
      </c>
      <c r="J352" s="2" t="s">
        <v>19</v>
      </c>
      <c r="K352" s="2" t="s">
        <v>247</v>
      </c>
      <c r="L352" s="7" t="str">
        <f>HYPERLINK("http://slimages.macys.com/is/image/MCY/12950179 ")</f>
        <v xml:space="preserve">http://slimages.macys.com/is/image/MCY/12950179 </v>
      </c>
    </row>
    <row r="353" spans="1:12" ht="24.75" x14ac:dyDescent="0.25">
      <c r="A353" s="4" t="s">
        <v>1214</v>
      </c>
      <c r="B353" s="2" t="s">
        <v>1215</v>
      </c>
      <c r="C353" s="3">
        <v>1</v>
      </c>
      <c r="D353" s="5">
        <v>37.130000000000003</v>
      </c>
      <c r="E353" s="3" t="s">
        <v>1216</v>
      </c>
      <c r="F353" s="2" t="s">
        <v>579</v>
      </c>
      <c r="G353" s="6" t="s">
        <v>156</v>
      </c>
      <c r="H353" s="2" t="s">
        <v>194</v>
      </c>
      <c r="I353" s="2" t="s">
        <v>580</v>
      </c>
      <c r="J353" s="2" t="s">
        <v>19</v>
      </c>
      <c r="K353" s="2" t="s">
        <v>247</v>
      </c>
      <c r="L353" s="7" t="str">
        <f>HYPERLINK("http://slimages.macys.com/is/image/MCY/12950186 ")</f>
        <v xml:space="preserve">http://slimages.macys.com/is/image/MCY/12950186 </v>
      </c>
    </row>
    <row r="354" spans="1:12" ht="24.75" x14ac:dyDescent="0.25">
      <c r="A354" s="4" t="s">
        <v>8662</v>
      </c>
      <c r="B354" s="2" t="s">
        <v>3804</v>
      </c>
      <c r="C354" s="3">
        <v>1</v>
      </c>
      <c r="D354" s="5">
        <v>37.130000000000003</v>
      </c>
      <c r="E354" s="3">
        <v>100015976</v>
      </c>
      <c r="F354" s="2" t="s">
        <v>413</v>
      </c>
      <c r="G354" s="6" t="s">
        <v>181</v>
      </c>
      <c r="H354" s="2" t="s">
        <v>246</v>
      </c>
      <c r="I354" s="2" t="s">
        <v>189</v>
      </c>
      <c r="J354" s="2" t="s">
        <v>19</v>
      </c>
      <c r="K354" s="2" t="s">
        <v>648</v>
      </c>
      <c r="L354" s="7" t="str">
        <f>HYPERLINK("http://slimages.macys.com/is/image/MCY/9557334 ")</f>
        <v xml:space="preserve">http://slimages.macys.com/is/image/MCY/9557334 </v>
      </c>
    </row>
    <row r="355" spans="1:12" ht="24.75" x14ac:dyDescent="0.25">
      <c r="A355" s="4" t="s">
        <v>8663</v>
      </c>
      <c r="B355" s="2" t="s">
        <v>8664</v>
      </c>
      <c r="C355" s="3">
        <v>1</v>
      </c>
      <c r="D355" s="5">
        <v>37.130000000000003</v>
      </c>
      <c r="E355" s="3">
        <v>100022567</v>
      </c>
      <c r="F355" s="2" t="s">
        <v>566</v>
      </c>
      <c r="G355" s="6" t="s">
        <v>234</v>
      </c>
      <c r="H355" s="2" t="s">
        <v>284</v>
      </c>
      <c r="I355" s="2" t="s">
        <v>285</v>
      </c>
      <c r="J355" s="2" t="s">
        <v>19</v>
      </c>
      <c r="K355" s="2" t="s">
        <v>160</v>
      </c>
      <c r="L355" s="7" t="str">
        <f>HYPERLINK("http://slimages.macys.com/is/image/MCY/16292092 ")</f>
        <v xml:space="preserve">http://slimages.macys.com/is/image/MCY/16292092 </v>
      </c>
    </row>
    <row r="356" spans="1:12" ht="24.75" x14ac:dyDescent="0.25">
      <c r="A356" s="4" t="s">
        <v>7431</v>
      </c>
      <c r="B356" s="2" t="s">
        <v>1244</v>
      </c>
      <c r="C356" s="3">
        <v>1</v>
      </c>
      <c r="D356" s="5">
        <v>37.130000000000003</v>
      </c>
      <c r="E356" s="3">
        <v>100058183</v>
      </c>
      <c r="F356" s="2" t="s">
        <v>15</v>
      </c>
      <c r="G356" s="6" t="s">
        <v>106</v>
      </c>
      <c r="H356" s="2" t="s">
        <v>194</v>
      </c>
      <c r="I356" s="2" t="s">
        <v>195</v>
      </c>
      <c r="J356" s="2" t="s">
        <v>19</v>
      </c>
      <c r="K356" s="2" t="s">
        <v>353</v>
      </c>
      <c r="L356" s="7" t="str">
        <f>HYPERLINK("http://slimages.macys.com/is/image/MCY/12793647 ")</f>
        <v xml:space="preserve">http://slimages.macys.com/is/image/MCY/12793647 </v>
      </c>
    </row>
    <row r="357" spans="1:12" ht="24.75" x14ac:dyDescent="0.25">
      <c r="A357" s="4" t="s">
        <v>3811</v>
      </c>
      <c r="B357" s="2" t="s">
        <v>1244</v>
      </c>
      <c r="C357" s="3">
        <v>1</v>
      </c>
      <c r="D357" s="5">
        <v>37.130000000000003</v>
      </c>
      <c r="E357" s="3">
        <v>100058183</v>
      </c>
      <c r="F357" s="2" t="s">
        <v>26</v>
      </c>
      <c r="G357" s="6" t="s">
        <v>22</v>
      </c>
      <c r="H357" s="2" t="s">
        <v>194</v>
      </c>
      <c r="I357" s="2" t="s">
        <v>195</v>
      </c>
      <c r="J357" s="2" t="s">
        <v>19</v>
      </c>
      <c r="K357" s="2" t="s">
        <v>353</v>
      </c>
      <c r="L357" s="7" t="str">
        <f>HYPERLINK("http://slimages.macys.com/is/image/MCY/12793647 ")</f>
        <v xml:space="preserve">http://slimages.macys.com/is/image/MCY/12793647 </v>
      </c>
    </row>
    <row r="358" spans="1:12" ht="24.75" x14ac:dyDescent="0.25">
      <c r="A358" s="4" t="s">
        <v>1245</v>
      </c>
      <c r="B358" s="2" t="s">
        <v>1232</v>
      </c>
      <c r="C358" s="3">
        <v>1</v>
      </c>
      <c r="D358" s="5">
        <v>34.880000000000003</v>
      </c>
      <c r="E358" s="3" t="s">
        <v>1246</v>
      </c>
      <c r="F358" s="2" t="s">
        <v>74</v>
      </c>
      <c r="G358" s="6" t="s">
        <v>802</v>
      </c>
      <c r="H358" s="2" t="s">
        <v>312</v>
      </c>
      <c r="I358" s="2" t="s">
        <v>195</v>
      </c>
      <c r="J358" s="2" t="s">
        <v>19</v>
      </c>
      <c r="K358" s="2" t="s">
        <v>353</v>
      </c>
      <c r="L358" s="7" t="str">
        <f>HYPERLINK("http://slimages.macys.com/is/image/MCY/8256708 ")</f>
        <v xml:space="preserve">http://slimages.macys.com/is/image/MCY/8256708 </v>
      </c>
    </row>
    <row r="359" spans="1:12" ht="24.75" x14ac:dyDescent="0.25">
      <c r="A359" s="4" t="s">
        <v>6600</v>
      </c>
      <c r="B359" s="2" t="s">
        <v>3813</v>
      </c>
      <c r="C359" s="3">
        <v>1</v>
      </c>
      <c r="D359" s="5">
        <v>59.5</v>
      </c>
      <c r="E359" s="3" t="s">
        <v>3814</v>
      </c>
      <c r="F359" s="2" t="s">
        <v>132</v>
      </c>
      <c r="G359" s="6" t="s">
        <v>219</v>
      </c>
      <c r="H359" s="2" t="s">
        <v>206</v>
      </c>
      <c r="I359" s="2" t="s">
        <v>207</v>
      </c>
      <c r="J359" s="2" t="s">
        <v>19</v>
      </c>
      <c r="K359" s="2" t="s">
        <v>267</v>
      </c>
      <c r="L359" s="7" t="str">
        <f>HYPERLINK("http://slimages.macys.com/is/image/MCY/13839706 ")</f>
        <v xml:space="preserve">http://slimages.macys.com/is/image/MCY/13839706 </v>
      </c>
    </row>
    <row r="360" spans="1:12" ht="24.75" x14ac:dyDescent="0.25">
      <c r="A360" s="4" t="s">
        <v>2650</v>
      </c>
      <c r="B360" s="2" t="s">
        <v>1232</v>
      </c>
      <c r="C360" s="3">
        <v>1</v>
      </c>
      <c r="D360" s="5">
        <v>34.880000000000003</v>
      </c>
      <c r="E360" s="3" t="s">
        <v>1246</v>
      </c>
      <c r="F360" s="2" t="s">
        <v>74</v>
      </c>
      <c r="G360" s="6" t="s">
        <v>126</v>
      </c>
      <c r="H360" s="2" t="s">
        <v>312</v>
      </c>
      <c r="I360" s="2" t="s">
        <v>195</v>
      </c>
      <c r="J360" s="2" t="s">
        <v>19</v>
      </c>
      <c r="K360" s="2" t="s">
        <v>353</v>
      </c>
      <c r="L360" s="7" t="str">
        <f>HYPERLINK("http://slimages.macys.com/is/image/MCY/8256708 ")</f>
        <v xml:space="preserve">http://slimages.macys.com/is/image/MCY/8256708 </v>
      </c>
    </row>
    <row r="361" spans="1:12" ht="24.75" x14ac:dyDescent="0.25">
      <c r="A361" s="4" t="s">
        <v>1248</v>
      </c>
      <c r="B361" s="2" t="s">
        <v>1232</v>
      </c>
      <c r="C361" s="3">
        <v>1</v>
      </c>
      <c r="D361" s="5">
        <v>34.880000000000003</v>
      </c>
      <c r="E361" s="3" t="s">
        <v>1246</v>
      </c>
      <c r="F361" s="2" t="s">
        <v>74</v>
      </c>
      <c r="G361" s="6" t="s">
        <v>205</v>
      </c>
      <c r="H361" s="2" t="s">
        <v>312</v>
      </c>
      <c r="I361" s="2" t="s">
        <v>195</v>
      </c>
      <c r="J361" s="2" t="s">
        <v>19</v>
      </c>
      <c r="K361" s="2" t="s">
        <v>353</v>
      </c>
      <c r="L361" s="7" t="str">
        <f>HYPERLINK("http://slimages.macys.com/is/image/MCY/8256708 ")</f>
        <v xml:space="preserve">http://slimages.macys.com/is/image/MCY/8256708 </v>
      </c>
    </row>
    <row r="362" spans="1:12" ht="24.75" x14ac:dyDescent="0.25">
      <c r="A362" s="4" t="s">
        <v>8665</v>
      </c>
      <c r="B362" s="2" t="s">
        <v>8666</v>
      </c>
      <c r="C362" s="3">
        <v>1</v>
      </c>
      <c r="D362" s="5">
        <v>36.5</v>
      </c>
      <c r="E362" s="3" t="s">
        <v>8667</v>
      </c>
      <c r="F362" s="2" t="s">
        <v>53</v>
      </c>
      <c r="G362" s="6" t="s">
        <v>181</v>
      </c>
      <c r="H362" s="2" t="s">
        <v>246</v>
      </c>
      <c r="I362" s="2" t="s">
        <v>189</v>
      </c>
      <c r="J362" s="2" t="s">
        <v>19</v>
      </c>
      <c r="K362" s="2" t="s">
        <v>160</v>
      </c>
      <c r="L362" s="7" t="str">
        <f>HYPERLINK("http://slimages.macys.com/is/image/MCY/11517700 ")</f>
        <v xml:space="preserve">http://slimages.macys.com/is/image/MCY/11517700 </v>
      </c>
    </row>
    <row r="363" spans="1:12" ht="24.75" x14ac:dyDescent="0.25">
      <c r="A363" s="4" t="s">
        <v>8668</v>
      </c>
      <c r="B363" s="2" t="s">
        <v>4898</v>
      </c>
      <c r="C363" s="3">
        <v>1</v>
      </c>
      <c r="D363" s="5">
        <v>34.880000000000003</v>
      </c>
      <c r="E363" s="3">
        <v>100052334</v>
      </c>
      <c r="F363" s="2" t="s">
        <v>376</v>
      </c>
      <c r="G363" s="6" t="s">
        <v>154</v>
      </c>
      <c r="H363" s="2" t="s">
        <v>194</v>
      </c>
      <c r="I363" s="2" t="s">
        <v>195</v>
      </c>
      <c r="J363" s="2" t="s">
        <v>19</v>
      </c>
      <c r="K363" s="2" t="s">
        <v>353</v>
      </c>
      <c r="L363" s="7" t="str">
        <f>HYPERLINK("http://slimages.macys.com/is/image/MCY/12279970 ")</f>
        <v xml:space="preserve">http://slimages.macys.com/is/image/MCY/12279970 </v>
      </c>
    </row>
    <row r="364" spans="1:12" ht="36.75" x14ac:dyDescent="0.25">
      <c r="A364" s="4" t="s">
        <v>8669</v>
      </c>
      <c r="B364" s="2" t="s">
        <v>2655</v>
      </c>
      <c r="C364" s="3">
        <v>1</v>
      </c>
      <c r="D364" s="5">
        <v>27.99</v>
      </c>
      <c r="E364" s="3" t="s">
        <v>8670</v>
      </c>
      <c r="F364" s="2" t="s">
        <v>1234</v>
      </c>
      <c r="G364" s="6" t="s">
        <v>126</v>
      </c>
      <c r="H364" s="2" t="s">
        <v>312</v>
      </c>
      <c r="I364" s="2" t="s">
        <v>928</v>
      </c>
      <c r="J364" s="2" t="s">
        <v>19</v>
      </c>
      <c r="K364" s="2" t="s">
        <v>2657</v>
      </c>
      <c r="L364" s="7" t="str">
        <f>HYPERLINK("http://slimages.macys.com/is/image/MCY/2910492 ")</f>
        <v xml:space="preserve">http://slimages.macys.com/is/image/MCY/2910492 </v>
      </c>
    </row>
    <row r="365" spans="1:12" ht="24.75" x14ac:dyDescent="0.25">
      <c r="A365" s="4" t="s">
        <v>5831</v>
      </c>
      <c r="B365" s="2" t="s">
        <v>904</v>
      </c>
      <c r="C365" s="3">
        <v>1</v>
      </c>
      <c r="D365" s="5">
        <v>34.5</v>
      </c>
      <c r="E365" s="3" t="s">
        <v>5832</v>
      </c>
      <c r="F365" s="2" t="s">
        <v>89</v>
      </c>
      <c r="G365" s="6" t="s">
        <v>181</v>
      </c>
      <c r="H365" s="2" t="s">
        <v>228</v>
      </c>
      <c r="I365" s="2" t="s">
        <v>229</v>
      </c>
      <c r="J365" s="2" t="s">
        <v>19</v>
      </c>
      <c r="K365" s="2" t="s">
        <v>253</v>
      </c>
      <c r="L365" s="7" t="str">
        <f>HYPERLINK("http://slimages.macys.com/is/image/MCY/12794164 ")</f>
        <v xml:space="preserve">http://slimages.macys.com/is/image/MCY/12794164 </v>
      </c>
    </row>
    <row r="366" spans="1:12" ht="24.75" x14ac:dyDescent="0.25">
      <c r="A366" s="4" t="s">
        <v>8671</v>
      </c>
      <c r="B366" s="2" t="s">
        <v>8672</v>
      </c>
      <c r="C366" s="3">
        <v>1</v>
      </c>
      <c r="D366" s="5">
        <v>33.380000000000003</v>
      </c>
      <c r="E366" s="3" t="s">
        <v>8673</v>
      </c>
      <c r="F366" s="2" t="s">
        <v>376</v>
      </c>
      <c r="G366" s="6"/>
      <c r="H366" s="2" t="s">
        <v>312</v>
      </c>
      <c r="I366" s="2" t="s">
        <v>195</v>
      </c>
      <c r="J366" s="2" t="s">
        <v>19</v>
      </c>
      <c r="K366" s="2" t="s">
        <v>8674</v>
      </c>
      <c r="L366" s="7" t="str">
        <f>HYPERLINK("http://slimages.macys.com/is/image/MCY/9319982 ")</f>
        <v xml:space="preserve">http://slimages.macys.com/is/image/MCY/9319982 </v>
      </c>
    </row>
    <row r="367" spans="1:12" ht="24.75" x14ac:dyDescent="0.25">
      <c r="A367" s="4" t="s">
        <v>8675</v>
      </c>
      <c r="B367" s="2" t="s">
        <v>1250</v>
      </c>
      <c r="C367" s="3">
        <v>1</v>
      </c>
      <c r="D367" s="5">
        <v>34.5</v>
      </c>
      <c r="E367" s="3">
        <v>100060490</v>
      </c>
      <c r="F367" s="2" t="s">
        <v>89</v>
      </c>
      <c r="G367" s="6" t="s">
        <v>65</v>
      </c>
      <c r="H367" s="2" t="s">
        <v>228</v>
      </c>
      <c r="I367" s="2" t="s">
        <v>229</v>
      </c>
      <c r="J367" s="2" t="s">
        <v>19</v>
      </c>
      <c r="K367" s="2" t="s">
        <v>1251</v>
      </c>
      <c r="L367" s="7" t="str">
        <f>HYPERLINK("http://slimages.macys.com/is/image/MCY/9100235 ")</f>
        <v xml:space="preserve">http://slimages.macys.com/is/image/MCY/9100235 </v>
      </c>
    </row>
    <row r="368" spans="1:12" ht="24.75" x14ac:dyDescent="0.25">
      <c r="A368" s="4" t="s">
        <v>7435</v>
      </c>
      <c r="B368" s="2" t="s">
        <v>1250</v>
      </c>
      <c r="C368" s="3">
        <v>1</v>
      </c>
      <c r="D368" s="5">
        <v>34.5</v>
      </c>
      <c r="E368" s="3">
        <v>100003654</v>
      </c>
      <c r="F368" s="2" t="s">
        <v>417</v>
      </c>
      <c r="G368" s="6" t="s">
        <v>65</v>
      </c>
      <c r="H368" s="2" t="s">
        <v>228</v>
      </c>
      <c r="I368" s="2" t="s">
        <v>229</v>
      </c>
      <c r="J368" s="2" t="s">
        <v>19</v>
      </c>
      <c r="K368" s="2" t="s">
        <v>1251</v>
      </c>
      <c r="L368" s="7" t="str">
        <f>HYPERLINK("http://slimages.macys.com/is/image/MCY/9100235 ")</f>
        <v xml:space="preserve">http://slimages.macys.com/is/image/MCY/9100235 </v>
      </c>
    </row>
    <row r="369" spans="1:12" ht="24.75" x14ac:dyDescent="0.25">
      <c r="A369" s="4" t="s">
        <v>8676</v>
      </c>
      <c r="B369" s="2" t="s">
        <v>1416</v>
      </c>
      <c r="C369" s="3">
        <v>2</v>
      </c>
      <c r="D369" s="5">
        <v>21.99</v>
      </c>
      <c r="E369" s="3" t="s">
        <v>4908</v>
      </c>
      <c r="F369" s="2" t="s">
        <v>413</v>
      </c>
      <c r="G369" s="6" t="s">
        <v>934</v>
      </c>
      <c r="H369" s="2" t="s">
        <v>312</v>
      </c>
      <c r="I369" s="2" t="s">
        <v>195</v>
      </c>
      <c r="J369" s="2" t="s">
        <v>19</v>
      </c>
      <c r="K369" s="2" t="s">
        <v>353</v>
      </c>
      <c r="L369" s="7" t="str">
        <f>HYPERLINK("http://slimages.macys.com/is/image/MCY/16058397 ")</f>
        <v xml:space="preserve">http://slimages.macys.com/is/image/MCY/16058397 </v>
      </c>
    </row>
    <row r="370" spans="1:12" ht="24.75" x14ac:dyDescent="0.25">
      <c r="A370" s="4" t="s">
        <v>8677</v>
      </c>
      <c r="B370" s="2" t="s">
        <v>1327</v>
      </c>
      <c r="C370" s="3">
        <v>1</v>
      </c>
      <c r="D370" s="5">
        <v>34.880000000000003</v>
      </c>
      <c r="E370" s="3" t="s">
        <v>7441</v>
      </c>
      <c r="F370" s="2" t="s">
        <v>676</v>
      </c>
      <c r="G370" s="6" t="s">
        <v>205</v>
      </c>
      <c r="H370" s="2" t="s">
        <v>312</v>
      </c>
      <c r="I370" s="2" t="s">
        <v>195</v>
      </c>
      <c r="J370" s="2" t="s">
        <v>19</v>
      </c>
      <c r="K370" s="2" t="s">
        <v>353</v>
      </c>
      <c r="L370" s="7" t="str">
        <f>HYPERLINK("http://slimages.macys.com/is/image/MCY/8256708 ")</f>
        <v xml:space="preserve">http://slimages.macys.com/is/image/MCY/8256708 </v>
      </c>
    </row>
    <row r="371" spans="1:12" ht="24.75" x14ac:dyDescent="0.25">
      <c r="A371" s="4" t="s">
        <v>8678</v>
      </c>
      <c r="B371" s="2" t="s">
        <v>1250</v>
      </c>
      <c r="C371" s="3">
        <v>1</v>
      </c>
      <c r="D371" s="5">
        <v>34.5</v>
      </c>
      <c r="E371" s="3">
        <v>100003654</v>
      </c>
      <c r="F371" s="2" t="s">
        <v>417</v>
      </c>
      <c r="G371" s="6" t="s">
        <v>22</v>
      </c>
      <c r="H371" s="2" t="s">
        <v>228</v>
      </c>
      <c r="I371" s="2" t="s">
        <v>229</v>
      </c>
      <c r="J371" s="2" t="s">
        <v>19</v>
      </c>
      <c r="K371" s="2" t="s">
        <v>1251</v>
      </c>
      <c r="L371" s="7" t="str">
        <f>HYPERLINK("http://slimages.macys.com/is/image/MCY/9100235 ")</f>
        <v xml:space="preserve">http://slimages.macys.com/is/image/MCY/9100235 </v>
      </c>
    </row>
    <row r="372" spans="1:12" ht="24.75" x14ac:dyDescent="0.25">
      <c r="A372" s="4" t="s">
        <v>8679</v>
      </c>
      <c r="B372" s="2" t="s">
        <v>1416</v>
      </c>
      <c r="C372" s="3">
        <v>3</v>
      </c>
      <c r="D372" s="5">
        <v>21.99</v>
      </c>
      <c r="E372" s="3" t="s">
        <v>8680</v>
      </c>
      <c r="F372" s="2" t="s">
        <v>111</v>
      </c>
      <c r="G372" s="6" t="s">
        <v>27</v>
      </c>
      <c r="H372" s="2" t="s">
        <v>194</v>
      </c>
      <c r="I372" s="2" t="s">
        <v>195</v>
      </c>
      <c r="J372" s="2" t="s">
        <v>19</v>
      </c>
      <c r="K372" s="2" t="s">
        <v>353</v>
      </c>
      <c r="L372" s="7" t="str">
        <f t="shared" ref="L372:L377" si="0">HYPERLINK("http://slimages.macys.com/is/image/MCY/12033149 ")</f>
        <v xml:space="preserve">http://slimages.macys.com/is/image/MCY/12033149 </v>
      </c>
    </row>
    <row r="373" spans="1:12" ht="24.75" x14ac:dyDescent="0.25">
      <c r="A373" s="4" t="s">
        <v>8681</v>
      </c>
      <c r="B373" s="2" t="s">
        <v>1416</v>
      </c>
      <c r="C373" s="3">
        <v>3</v>
      </c>
      <c r="D373" s="5">
        <v>21.99</v>
      </c>
      <c r="E373" s="3" t="s">
        <v>8680</v>
      </c>
      <c r="F373" s="2" t="s">
        <v>111</v>
      </c>
      <c r="G373" s="6" t="s">
        <v>58</v>
      </c>
      <c r="H373" s="2" t="s">
        <v>194</v>
      </c>
      <c r="I373" s="2" t="s">
        <v>195</v>
      </c>
      <c r="J373" s="2" t="s">
        <v>19</v>
      </c>
      <c r="K373" s="2" t="s">
        <v>353</v>
      </c>
      <c r="L373" s="7" t="str">
        <f t="shared" si="0"/>
        <v xml:space="preserve">http://slimages.macys.com/is/image/MCY/12033149 </v>
      </c>
    </row>
    <row r="374" spans="1:12" ht="24.75" x14ac:dyDescent="0.25">
      <c r="A374" s="4" t="s">
        <v>8682</v>
      </c>
      <c r="B374" s="2" t="s">
        <v>1416</v>
      </c>
      <c r="C374" s="3">
        <v>3</v>
      </c>
      <c r="D374" s="5">
        <v>21.99</v>
      </c>
      <c r="E374" s="3" t="s">
        <v>8683</v>
      </c>
      <c r="F374" s="2" t="s">
        <v>506</v>
      </c>
      <c r="G374" s="6" t="s">
        <v>27</v>
      </c>
      <c r="H374" s="2" t="s">
        <v>194</v>
      </c>
      <c r="I374" s="2" t="s">
        <v>195</v>
      </c>
      <c r="J374" s="2" t="s">
        <v>19</v>
      </c>
      <c r="K374" s="2" t="s">
        <v>353</v>
      </c>
      <c r="L374" s="7" t="str">
        <f t="shared" si="0"/>
        <v xml:space="preserve">http://slimages.macys.com/is/image/MCY/12033149 </v>
      </c>
    </row>
    <row r="375" spans="1:12" ht="24.75" x14ac:dyDescent="0.25">
      <c r="A375" s="4" t="s">
        <v>8684</v>
      </c>
      <c r="B375" s="2" t="s">
        <v>1416</v>
      </c>
      <c r="C375" s="3">
        <v>3</v>
      </c>
      <c r="D375" s="5">
        <v>21.99</v>
      </c>
      <c r="E375" s="3" t="s">
        <v>8680</v>
      </c>
      <c r="F375" s="2" t="s">
        <v>111</v>
      </c>
      <c r="G375" s="6" t="s">
        <v>16</v>
      </c>
      <c r="H375" s="2" t="s">
        <v>194</v>
      </c>
      <c r="I375" s="2" t="s">
        <v>195</v>
      </c>
      <c r="J375" s="2" t="s">
        <v>19</v>
      </c>
      <c r="K375" s="2" t="s">
        <v>353</v>
      </c>
      <c r="L375" s="7" t="str">
        <f t="shared" si="0"/>
        <v xml:space="preserve">http://slimages.macys.com/is/image/MCY/12033149 </v>
      </c>
    </row>
    <row r="376" spans="1:12" ht="24.75" x14ac:dyDescent="0.25">
      <c r="A376" s="4" t="s">
        <v>8685</v>
      </c>
      <c r="B376" s="2" t="s">
        <v>1416</v>
      </c>
      <c r="C376" s="3">
        <v>1</v>
      </c>
      <c r="D376" s="5">
        <v>21.99</v>
      </c>
      <c r="E376" s="3" t="s">
        <v>8683</v>
      </c>
      <c r="F376" s="2" t="s">
        <v>506</v>
      </c>
      <c r="G376" s="6" t="s">
        <v>58</v>
      </c>
      <c r="H376" s="2" t="s">
        <v>194</v>
      </c>
      <c r="I376" s="2" t="s">
        <v>195</v>
      </c>
      <c r="J376" s="2" t="s">
        <v>19</v>
      </c>
      <c r="K376" s="2" t="s">
        <v>353</v>
      </c>
      <c r="L376" s="7" t="str">
        <f t="shared" si="0"/>
        <v xml:space="preserve">http://slimages.macys.com/is/image/MCY/12033149 </v>
      </c>
    </row>
    <row r="377" spans="1:12" ht="24.75" x14ac:dyDescent="0.25">
      <c r="A377" s="4" t="s">
        <v>8686</v>
      </c>
      <c r="B377" s="2" t="s">
        <v>1416</v>
      </c>
      <c r="C377" s="3">
        <v>1</v>
      </c>
      <c r="D377" s="5">
        <v>21.99</v>
      </c>
      <c r="E377" s="3" t="s">
        <v>8680</v>
      </c>
      <c r="F377" s="2" t="s">
        <v>111</v>
      </c>
      <c r="G377" s="6" t="s">
        <v>106</v>
      </c>
      <c r="H377" s="2" t="s">
        <v>194</v>
      </c>
      <c r="I377" s="2" t="s">
        <v>195</v>
      </c>
      <c r="J377" s="2" t="s">
        <v>19</v>
      </c>
      <c r="K377" s="2" t="s">
        <v>353</v>
      </c>
      <c r="L377" s="7" t="str">
        <f t="shared" si="0"/>
        <v xml:space="preserve">http://slimages.macys.com/is/image/MCY/12033149 </v>
      </c>
    </row>
    <row r="378" spans="1:12" ht="24.75" x14ac:dyDescent="0.25">
      <c r="A378" s="4" t="s">
        <v>2666</v>
      </c>
      <c r="B378" s="2" t="s">
        <v>1268</v>
      </c>
      <c r="C378" s="3">
        <v>1</v>
      </c>
      <c r="D378" s="5">
        <v>36.5</v>
      </c>
      <c r="E378" s="3" t="s">
        <v>1269</v>
      </c>
      <c r="F378" s="2" t="s">
        <v>111</v>
      </c>
      <c r="G378" s="6" t="s">
        <v>181</v>
      </c>
      <c r="H378" s="2" t="s">
        <v>194</v>
      </c>
      <c r="I378" s="2" t="s">
        <v>195</v>
      </c>
      <c r="J378" s="2" t="s">
        <v>19</v>
      </c>
      <c r="K378" s="2" t="s">
        <v>1108</v>
      </c>
      <c r="L378" s="7" t="str">
        <f>HYPERLINK("http://slimages.macys.com/is/image/MCY/11764670 ")</f>
        <v xml:space="preserve">http://slimages.macys.com/is/image/MCY/11764670 </v>
      </c>
    </row>
    <row r="379" spans="1:12" ht="24.75" x14ac:dyDescent="0.25">
      <c r="A379" s="4" t="s">
        <v>2665</v>
      </c>
      <c r="B379" s="2" t="s">
        <v>1268</v>
      </c>
      <c r="C379" s="3">
        <v>1</v>
      </c>
      <c r="D379" s="5">
        <v>36.5</v>
      </c>
      <c r="E379" s="3" t="s">
        <v>1269</v>
      </c>
      <c r="F379" s="2" t="s">
        <v>111</v>
      </c>
      <c r="G379" s="6" t="s">
        <v>234</v>
      </c>
      <c r="H379" s="2" t="s">
        <v>194</v>
      </c>
      <c r="I379" s="2" t="s">
        <v>195</v>
      </c>
      <c r="J379" s="2" t="s">
        <v>19</v>
      </c>
      <c r="K379" s="2" t="s">
        <v>1108</v>
      </c>
      <c r="L379" s="7" t="str">
        <f>HYPERLINK("http://slimages.macys.com/is/image/MCY/11764670 ")</f>
        <v xml:space="preserve">http://slimages.macys.com/is/image/MCY/11764670 </v>
      </c>
    </row>
    <row r="380" spans="1:12" ht="24.75" x14ac:dyDescent="0.25">
      <c r="A380" s="4" t="s">
        <v>5848</v>
      </c>
      <c r="B380" s="2" t="s">
        <v>1274</v>
      </c>
      <c r="C380" s="3">
        <v>1</v>
      </c>
      <c r="D380" s="5">
        <v>33.380000000000003</v>
      </c>
      <c r="E380" s="3" t="s">
        <v>1275</v>
      </c>
      <c r="F380" s="2" t="s">
        <v>26</v>
      </c>
      <c r="G380" s="6" t="s">
        <v>181</v>
      </c>
      <c r="H380" s="2" t="s">
        <v>194</v>
      </c>
      <c r="I380" s="2" t="s">
        <v>195</v>
      </c>
      <c r="J380" s="2" t="s">
        <v>19</v>
      </c>
      <c r="K380" s="2" t="s">
        <v>107</v>
      </c>
      <c r="L380" s="7" t="str">
        <f>HYPERLINK("http://slimages.macys.com/is/image/MCY/12850892 ")</f>
        <v xml:space="preserve">http://slimages.macys.com/is/image/MCY/12850892 </v>
      </c>
    </row>
    <row r="381" spans="1:12" ht="24.75" x14ac:dyDescent="0.25">
      <c r="A381" s="4" t="s">
        <v>1288</v>
      </c>
      <c r="B381" s="2" t="s">
        <v>1279</v>
      </c>
      <c r="C381" s="3">
        <v>1</v>
      </c>
      <c r="D381" s="5">
        <v>27.99</v>
      </c>
      <c r="E381" s="3" t="s">
        <v>1280</v>
      </c>
      <c r="F381" s="2" t="s">
        <v>566</v>
      </c>
      <c r="G381" s="6"/>
      <c r="H381" s="2" t="s">
        <v>312</v>
      </c>
      <c r="I381" s="2" t="s">
        <v>1112</v>
      </c>
      <c r="J381" s="2" t="s">
        <v>19</v>
      </c>
      <c r="K381" s="2" t="s">
        <v>409</v>
      </c>
      <c r="L381" s="7" t="str">
        <f>HYPERLINK("http://slimages.macys.com/is/image/MCY/3832970 ")</f>
        <v xml:space="preserve">http://slimages.macys.com/is/image/MCY/3832970 </v>
      </c>
    </row>
    <row r="382" spans="1:12" ht="24.75" x14ac:dyDescent="0.25">
      <c r="A382" s="4" t="s">
        <v>5856</v>
      </c>
      <c r="B382" s="2" t="s">
        <v>1294</v>
      </c>
      <c r="C382" s="3">
        <v>1</v>
      </c>
      <c r="D382" s="5">
        <v>37.130000000000003</v>
      </c>
      <c r="E382" s="3">
        <v>100002345</v>
      </c>
      <c r="F382" s="2" t="s">
        <v>74</v>
      </c>
      <c r="G382" s="6" t="s">
        <v>181</v>
      </c>
      <c r="H382" s="2" t="s">
        <v>284</v>
      </c>
      <c r="I382" s="2" t="s">
        <v>285</v>
      </c>
      <c r="J382" s="2" t="s">
        <v>19</v>
      </c>
      <c r="K382" s="2" t="s">
        <v>2669</v>
      </c>
      <c r="L382" s="7" t="str">
        <f>HYPERLINK("http://slimages.macys.com/is/image/MCY/8660800 ")</f>
        <v xml:space="preserve">http://slimages.macys.com/is/image/MCY/8660800 </v>
      </c>
    </row>
    <row r="383" spans="1:12" ht="24.75" x14ac:dyDescent="0.25">
      <c r="A383" s="4" t="s">
        <v>8687</v>
      </c>
      <c r="B383" s="2" t="s">
        <v>1294</v>
      </c>
      <c r="C383" s="3">
        <v>1</v>
      </c>
      <c r="D383" s="5">
        <v>37.130000000000003</v>
      </c>
      <c r="E383" s="3">
        <v>100002345</v>
      </c>
      <c r="F383" s="2" t="s">
        <v>74</v>
      </c>
      <c r="G383" s="6" t="s">
        <v>154</v>
      </c>
      <c r="H383" s="2" t="s">
        <v>284</v>
      </c>
      <c r="I383" s="2" t="s">
        <v>285</v>
      </c>
      <c r="J383" s="2" t="s">
        <v>19</v>
      </c>
      <c r="K383" s="2" t="s">
        <v>2669</v>
      </c>
      <c r="L383" s="7" t="str">
        <f>HYPERLINK("http://slimages.macys.com/is/image/MCY/8660800 ")</f>
        <v xml:space="preserve">http://slimages.macys.com/is/image/MCY/8660800 </v>
      </c>
    </row>
    <row r="384" spans="1:12" ht="24.75" x14ac:dyDescent="0.25">
      <c r="A384" s="4" t="s">
        <v>8688</v>
      </c>
      <c r="B384" s="2" t="s">
        <v>5852</v>
      </c>
      <c r="C384" s="3">
        <v>1</v>
      </c>
      <c r="D384" s="5">
        <v>29.63</v>
      </c>
      <c r="E384" s="3" t="s">
        <v>5853</v>
      </c>
      <c r="F384" s="2" t="s">
        <v>566</v>
      </c>
      <c r="G384" s="6" t="s">
        <v>234</v>
      </c>
      <c r="H384" s="2" t="s">
        <v>284</v>
      </c>
      <c r="I384" s="2" t="s">
        <v>285</v>
      </c>
      <c r="J384" s="2" t="s">
        <v>19</v>
      </c>
      <c r="K384" s="2" t="s">
        <v>1045</v>
      </c>
      <c r="L384" s="7" t="str">
        <f>HYPERLINK("http://slimages.macys.com/is/image/MCY/11604950 ")</f>
        <v xml:space="preserve">http://slimages.macys.com/is/image/MCY/11604950 </v>
      </c>
    </row>
    <row r="385" spans="1:12" ht="24.75" x14ac:dyDescent="0.25">
      <c r="A385" s="4" t="s">
        <v>1285</v>
      </c>
      <c r="B385" s="2" t="s">
        <v>1279</v>
      </c>
      <c r="C385" s="3">
        <v>7</v>
      </c>
      <c r="D385" s="5">
        <v>27.99</v>
      </c>
      <c r="E385" s="3" t="s">
        <v>1286</v>
      </c>
      <c r="F385" s="2" t="s">
        <v>506</v>
      </c>
      <c r="G385" s="6" t="s">
        <v>154</v>
      </c>
      <c r="H385" s="2" t="s">
        <v>194</v>
      </c>
      <c r="I385" s="2" t="s">
        <v>919</v>
      </c>
      <c r="J385" s="2" t="s">
        <v>19</v>
      </c>
      <c r="K385" s="2" t="s">
        <v>409</v>
      </c>
      <c r="L385" s="7" t="str">
        <f>HYPERLINK("http://slimages.macys.com/is/image/MCY/8185331 ")</f>
        <v xml:space="preserve">http://slimages.macys.com/is/image/MCY/8185331 </v>
      </c>
    </row>
    <row r="386" spans="1:12" ht="24.75" x14ac:dyDescent="0.25">
      <c r="A386" s="4" t="s">
        <v>4930</v>
      </c>
      <c r="B386" s="2" t="s">
        <v>1196</v>
      </c>
      <c r="C386" s="3">
        <v>2</v>
      </c>
      <c r="D386" s="5">
        <v>37.130000000000003</v>
      </c>
      <c r="E386" s="3" t="s">
        <v>1305</v>
      </c>
      <c r="F386" s="2" t="s">
        <v>887</v>
      </c>
      <c r="G386" s="6"/>
      <c r="H386" s="2" t="s">
        <v>312</v>
      </c>
      <c r="I386" s="2" t="s">
        <v>195</v>
      </c>
      <c r="J386" s="2" t="s">
        <v>19</v>
      </c>
      <c r="K386" s="2" t="s">
        <v>990</v>
      </c>
      <c r="L386" s="7" t="str">
        <f>HYPERLINK("http://slimages.macys.com/is/image/MCY/12280097 ")</f>
        <v xml:space="preserve">http://slimages.macys.com/is/image/MCY/12280097 </v>
      </c>
    </row>
    <row r="387" spans="1:12" ht="24.75" x14ac:dyDescent="0.25">
      <c r="A387" s="4" t="s">
        <v>6613</v>
      </c>
      <c r="B387" s="2" t="s">
        <v>1307</v>
      </c>
      <c r="C387" s="3">
        <v>1</v>
      </c>
      <c r="D387" s="5">
        <v>32.5</v>
      </c>
      <c r="E387" s="3" t="s">
        <v>1308</v>
      </c>
      <c r="F387" s="2" t="s">
        <v>193</v>
      </c>
      <c r="G387" s="6" t="s">
        <v>156</v>
      </c>
      <c r="H387" s="2" t="s">
        <v>194</v>
      </c>
      <c r="I387" s="2" t="s">
        <v>195</v>
      </c>
      <c r="J387" s="2" t="s">
        <v>19</v>
      </c>
      <c r="K387" s="2" t="s">
        <v>1108</v>
      </c>
      <c r="L387" s="7" t="str">
        <f>HYPERLINK("http://slimages.macys.com/is/image/MCY/12950211 ")</f>
        <v xml:space="preserve">http://slimages.macys.com/is/image/MCY/12950211 </v>
      </c>
    </row>
    <row r="388" spans="1:12" ht="24.75" x14ac:dyDescent="0.25">
      <c r="A388" s="4" t="s">
        <v>2671</v>
      </c>
      <c r="B388" s="2" t="s">
        <v>1307</v>
      </c>
      <c r="C388" s="3">
        <v>1</v>
      </c>
      <c r="D388" s="5">
        <v>32.5</v>
      </c>
      <c r="E388" s="3" t="s">
        <v>1308</v>
      </c>
      <c r="F388" s="2" t="s">
        <v>193</v>
      </c>
      <c r="G388" s="6" t="s">
        <v>181</v>
      </c>
      <c r="H388" s="2" t="s">
        <v>194</v>
      </c>
      <c r="I388" s="2" t="s">
        <v>195</v>
      </c>
      <c r="J388" s="2" t="s">
        <v>19</v>
      </c>
      <c r="K388" s="2" t="s">
        <v>1108</v>
      </c>
      <c r="L388" s="7" t="str">
        <f>HYPERLINK("http://slimages.macys.com/is/image/MCY/12950211 ")</f>
        <v xml:space="preserve">http://slimages.macys.com/is/image/MCY/12950211 </v>
      </c>
    </row>
    <row r="389" spans="1:12" ht="24.75" x14ac:dyDescent="0.25">
      <c r="A389" s="4" t="s">
        <v>8689</v>
      </c>
      <c r="B389" s="2" t="s">
        <v>2486</v>
      </c>
      <c r="C389" s="3">
        <v>1</v>
      </c>
      <c r="D389" s="5">
        <v>44.63</v>
      </c>
      <c r="E389" s="3" t="s">
        <v>2487</v>
      </c>
      <c r="F389" s="2" t="s">
        <v>64</v>
      </c>
      <c r="G389" s="6" t="s">
        <v>27</v>
      </c>
      <c r="H389" s="2" t="s">
        <v>246</v>
      </c>
      <c r="I389" s="2" t="s">
        <v>487</v>
      </c>
      <c r="J389" s="2" t="s">
        <v>19</v>
      </c>
      <c r="K389" s="2" t="s">
        <v>409</v>
      </c>
      <c r="L389" s="7" t="str">
        <f>HYPERLINK("http://slimages.macys.com/is/image/MCY/11471043 ")</f>
        <v xml:space="preserve">http://slimages.macys.com/is/image/MCY/11471043 </v>
      </c>
    </row>
    <row r="390" spans="1:12" ht="24.75" x14ac:dyDescent="0.25">
      <c r="A390" s="4" t="s">
        <v>8690</v>
      </c>
      <c r="B390" s="2" t="s">
        <v>1314</v>
      </c>
      <c r="C390" s="3">
        <v>1</v>
      </c>
      <c r="D390" s="5">
        <v>24.99</v>
      </c>
      <c r="E390" s="3">
        <v>100010068</v>
      </c>
      <c r="F390" s="2" t="s">
        <v>998</v>
      </c>
      <c r="G390" s="6" t="s">
        <v>58</v>
      </c>
      <c r="H390" s="2" t="s">
        <v>228</v>
      </c>
      <c r="I390" s="2" t="s">
        <v>863</v>
      </c>
      <c r="J390" s="2" t="s">
        <v>19</v>
      </c>
      <c r="K390" s="2" t="s">
        <v>1315</v>
      </c>
      <c r="L390" s="7" t="str">
        <f t="shared" ref="L390:L397" si="1">HYPERLINK("http://slimages.macys.com/is/image/MCY/9190991 ")</f>
        <v xml:space="preserve">http://slimages.macys.com/is/image/MCY/9190991 </v>
      </c>
    </row>
    <row r="391" spans="1:12" ht="24.75" x14ac:dyDescent="0.25">
      <c r="A391" s="4" t="s">
        <v>1313</v>
      </c>
      <c r="B391" s="2" t="s">
        <v>1314</v>
      </c>
      <c r="C391" s="3">
        <v>1</v>
      </c>
      <c r="D391" s="5">
        <v>24.99</v>
      </c>
      <c r="E391" s="3">
        <v>100010068</v>
      </c>
      <c r="F391" s="2" t="s">
        <v>998</v>
      </c>
      <c r="G391" s="6" t="s">
        <v>106</v>
      </c>
      <c r="H391" s="2" t="s">
        <v>228</v>
      </c>
      <c r="I391" s="2" t="s">
        <v>863</v>
      </c>
      <c r="J391" s="2" t="s">
        <v>19</v>
      </c>
      <c r="K391" s="2" t="s">
        <v>1315</v>
      </c>
      <c r="L391" s="7" t="str">
        <f t="shared" si="1"/>
        <v xml:space="preserve">http://slimages.macys.com/is/image/MCY/9190991 </v>
      </c>
    </row>
    <row r="392" spans="1:12" ht="24.75" x14ac:dyDescent="0.25">
      <c r="A392" s="4" t="s">
        <v>8691</v>
      </c>
      <c r="B392" s="2" t="s">
        <v>1314</v>
      </c>
      <c r="C392" s="3">
        <v>1</v>
      </c>
      <c r="D392" s="5">
        <v>24.99</v>
      </c>
      <c r="E392" s="3">
        <v>100010068</v>
      </c>
      <c r="F392" s="2" t="s">
        <v>998</v>
      </c>
      <c r="G392" s="6" t="s">
        <v>27</v>
      </c>
      <c r="H392" s="2" t="s">
        <v>228</v>
      </c>
      <c r="I392" s="2" t="s">
        <v>863</v>
      </c>
      <c r="J392" s="2" t="s">
        <v>19</v>
      </c>
      <c r="K392" s="2" t="s">
        <v>1315</v>
      </c>
      <c r="L392" s="7" t="str">
        <f t="shared" si="1"/>
        <v xml:space="preserve">http://slimages.macys.com/is/image/MCY/9190991 </v>
      </c>
    </row>
    <row r="393" spans="1:12" ht="24.75" x14ac:dyDescent="0.25">
      <c r="A393" s="4" t="s">
        <v>8692</v>
      </c>
      <c r="B393" s="2" t="s">
        <v>1314</v>
      </c>
      <c r="C393" s="3">
        <v>2</v>
      </c>
      <c r="D393" s="5">
        <v>24.99</v>
      </c>
      <c r="E393" s="3">
        <v>100010068</v>
      </c>
      <c r="F393" s="2" t="s">
        <v>998</v>
      </c>
      <c r="G393" s="6" t="s">
        <v>65</v>
      </c>
      <c r="H393" s="2" t="s">
        <v>228</v>
      </c>
      <c r="I393" s="2" t="s">
        <v>863</v>
      </c>
      <c r="J393" s="2" t="s">
        <v>19</v>
      </c>
      <c r="K393" s="2" t="s">
        <v>1315</v>
      </c>
      <c r="L393" s="7" t="str">
        <f t="shared" si="1"/>
        <v xml:space="preserve">http://slimages.macys.com/is/image/MCY/9190991 </v>
      </c>
    </row>
    <row r="394" spans="1:12" ht="24.75" x14ac:dyDescent="0.25">
      <c r="A394" s="4" t="s">
        <v>8693</v>
      </c>
      <c r="B394" s="2" t="s">
        <v>1314</v>
      </c>
      <c r="C394" s="3">
        <v>1</v>
      </c>
      <c r="D394" s="5">
        <v>24.99</v>
      </c>
      <c r="E394" s="3">
        <v>100010068</v>
      </c>
      <c r="F394" s="2" t="s">
        <v>998</v>
      </c>
      <c r="G394" s="6" t="s">
        <v>22</v>
      </c>
      <c r="H394" s="2" t="s">
        <v>228</v>
      </c>
      <c r="I394" s="2" t="s">
        <v>863</v>
      </c>
      <c r="J394" s="2" t="s">
        <v>19</v>
      </c>
      <c r="K394" s="2" t="s">
        <v>1315</v>
      </c>
      <c r="L394" s="7" t="str">
        <f t="shared" si="1"/>
        <v xml:space="preserve">http://slimages.macys.com/is/image/MCY/9190991 </v>
      </c>
    </row>
    <row r="395" spans="1:12" ht="24.75" x14ac:dyDescent="0.25">
      <c r="A395" s="4" t="s">
        <v>8694</v>
      </c>
      <c r="B395" s="2" t="s">
        <v>3181</v>
      </c>
      <c r="C395" s="3">
        <v>1</v>
      </c>
      <c r="D395" s="5">
        <v>24.99</v>
      </c>
      <c r="E395" s="3">
        <v>100059296</v>
      </c>
      <c r="F395" s="2" t="s">
        <v>64</v>
      </c>
      <c r="G395" s="6" t="s">
        <v>112</v>
      </c>
      <c r="H395" s="2" t="s">
        <v>228</v>
      </c>
      <c r="I395" s="2" t="s">
        <v>229</v>
      </c>
      <c r="J395" s="2" t="s">
        <v>19</v>
      </c>
      <c r="K395" s="2" t="s">
        <v>1315</v>
      </c>
      <c r="L395" s="7" t="str">
        <f t="shared" si="1"/>
        <v xml:space="preserve">http://slimages.macys.com/is/image/MCY/9190991 </v>
      </c>
    </row>
    <row r="396" spans="1:12" ht="24.75" x14ac:dyDescent="0.25">
      <c r="A396" s="4" t="s">
        <v>8695</v>
      </c>
      <c r="B396" s="2" t="s">
        <v>3181</v>
      </c>
      <c r="C396" s="3">
        <v>1</v>
      </c>
      <c r="D396" s="5">
        <v>24.99</v>
      </c>
      <c r="E396" s="3">
        <v>100059296</v>
      </c>
      <c r="F396" s="2" t="s">
        <v>64</v>
      </c>
      <c r="G396" s="6" t="s">
        <v>65</v>
      </c>
      <c r="H396" s="2" t="s">
        <v>228</v>
      </c>
      <c r="I396" s="2" t="s">
        <v>229</v>
      </c>
      <c r="J396" s="2" t="s">
        <v>19</v>
      </c>
      <c r="K396" s="2" t="s">
        <v>1315</v>
      </c>
      <c r="L396" s="7" t="str">
        <f t="shared" si="1"/>
        <v xml:space="preserve">http://slimages.macys.com/is/image/MCY/9190991 </v>
      </c>
    </row>
    <row r="397" spans="1:12" ht="24.75" x14ac:dyDescent="0.25">
      <c r="A397" s="4" t="s">
        <v>8696</v>
      </c>
      <c r="B397" s="2" t="s">
        <v>3181</v>
      </c>
      <c r="C397" s="3">
        <v>1</v>
      </c>
      <c r="D397" s="5">
        <v>24.99</v>
      </c>
      <c r="E397" s="3">
        <v>100059296</v>
      </c>
      <c r="F397" s="2" t="s">
        <v>64</v>
      </c>
      <c r="G397" s="6" t="s">
        <v>27</v>
      </c>
      <c r="H397" s="2" t="s">
        <v>228</v>
      </c>
      <c r="I397" s="2" t="s">
        <v>229</v>
      </c>
      <c r="J397" s="2" t="s">
        <v>19</v>
      </c>
      <c r="K397" s="2" t="s">
        <v>1315</v>
      </c>
      <c r="L397" s="7" t="str">
        <f t="shared" si="1"/>
        <v xml:space="preserve">http://slimages.macys.com/is/image/MCY/9190991 </v>
      </c>
    </row>
    <row r="398" spans="1:12" ht="24.75" x14ac:dyDescent="0.25">
      <c r="A398" s="4" t="s">
        <v>8697</v>
      </c>
      <c r="B398" s="2" t="s">
        <v>5894</v>
      </c>
      <c r="C398" s="3">
        <v>1</v>
      </c>
      <c r="D398" s="5">
        <v>29.63</v>
      </c>
      <c r="E398" s="3" t="s">
        <v>8175</v>
      </c>
      <c r="F398" s="2" t="s">
        <v>562</v>
      </c>
      <c r="G398" s="6" t="s">
        <v>181</v>
      </c>
      <c r="H398" s="2" t="s">
        <v>284</v>
      </c>
      <c r="I398" s="2" t="s">
        <v>285</v>
      </c>
      <c r="J398" s="2" t="s">
        <v>19</v>
      </c>
      <c r="K398" s="2" t="s">
        <v>160</v>
      </c>
      <c r="L398" s="7" t="str">
        <f>HYPERLINK("http://slimages.macys.com/is/image/MCY/13081238 ")</f>
        <v xml:space="preserve">http://slimages.macys.com/is/image/MCY/13081238 </v>
      </c>
    </row>
    <row r="399" spans="1:12" ht="24.75" x14ac:dyDescent="0.25">
      <c r="A399" s="4" t="s">
        <v>8698</v>
      </c>
      <c r="B399" s="2" t="s">
        <v>1333</v>
      </c>
      <c r="C399" s="3">
        <v>1</v>
      </c>
      <c r="D399" s="5">
        <v>24.99</v>
      </c>
      <c r="E399" s="3" t="s">
        <v>1334</v>
      </c>
      <c r="F399" s="2" t="s">
        <v>417</v>
      </c>
      <c r="G399" s="6" t="s">
        <v>3866</v>
      </c>
      <c r="H399" s="2" t="s">
        <v>228</v>
      </c>
      <c r="I399" s="2" t="s">
        <v>229</v>
      </c>
      <c r="J399" s="2" t="s">
        <v>19</v>
      </c>
      <c r="K399" s="2" t="s">
        <v>253</v>
      </c>
      <c r="L399" s="7" t="str">
        <f>HYPERLINK("http://slimages.macys.com/is/image/MCY/8185688 ")</f>
        <v xml:space="preserve">http://slimages.macys.com/is/image/MCY/8185688 </v>
      </c>
    </row>
    <row r="400" spans="1:12" ht="24.75" x14ac:dyDescent="0.25">
      <c r="A400" s="4" t="s">
        <v>3859</v>
      </c>
      <c r="B400" s="2" t="s">
        <v>1330</v>
      </c>
      <c r="C400" s="3">
        <v>2</v>
      </c>
      <c r="D400" s="5">
        <v>37.130000000000003</v>
      </c>
      <c r="E400" s="3" t="s">
        <v>1331</v>
      </c>
      <c r="F400" s="2" t="s">
        <v>74</v>
      </c>
      <c r="G400" s="6" t="s">
        <v>154</v>
      </c>
      <c r="H400" s="2" t="s">
        <v>194</v>
      </c>
      <c r="I400" s="2" t="s">
        <v>195</v>
      </c>
      <c r="J400" s="2" t="s">
        <v>19</v>
      </c>
      <c r="K400" s="2" t="s">
        <v>247</v>
      </c>
      <c r="L400" s="7" t="str">
        <f t="shared" ref="L400:L405" si="2">HYPERLINK("http://slimages.macys.com/is/image/MCY/10889638 ")</f>
        <v xml:space="preserve">http://slimages.macys.com/is/image/MCY/10889638 </v>
      </c>
    </row>
    <row r="401" spans="1:12" ht="24.75" x14ac:dyDescent="0.25">
      <c r="A401" s="4" t="s">
        <v>1341</v>
      </c>
      <c r="B401" s="2" t="s">
        <v>1330</v>
      </c>
      <c r="C401" s="3">
        <v>1</v>
      </c>
      <c r="D401" s="5">
        <v>37.130000000000003</v>
      </c>
      <c r="E401" s="3" t="s">
        <v>1331</v>
      </c>
      <c r="F401" s="2" t="s">
        <v>417</v>
      </c>
      <c r="G401" s="6" t="s">
        <v>181</v>
      </c>
      <c r="H401" s="2" t="s">
        <v>194</v>
      </c>
      <c r="I401" s="2" t="s">
        <v>195</v>
      </c>
      <c r="J401" s="2" t="s">
        <v>19</v>
      </c>
      <c r="K401" s="2" t="s">
        <v>247</v>
      </c>
      <c r="L401" s="7" t="str">
        <f t="shared" si="2"/>
        <v xml:space="preserve">http://slimages.macys.com/is/image/MCY/10889638 </v>
      </c>
    </row>
    <row r="402" spans="1:12" ht="24.75" x14ac:dyDescent="0.25">
      <c r="A402" s="4" t="s">
        <v>8699</v>
      </c>
      <c r="B402" s="2" t="s">
        <v>1330</v>
      </c>
      <c r="C402" s="3">
        <v>1</v>
      </c>
      <c r="D402" s="5">
        <v>37.130000000000003</v>
      </c>
      <c r="E402" s="3" t="s">
        <v>1331</v>
      </c>
      <c r="F402" s="2" t="s">
        <v>417</v>
      </c>
      <c r="G402" s="6" t="s">
        <v>245</v>
      </c>
      <c r="H402" s="2" t="s">
        <v>194</v>
      </c>
      <c r="I402" s="2" t="s">
        <v>195</v>
      </c>
      <c r="J402" s="2" t="s">
        <v>19</v>
      </c>
      <c r="K402" s="2" t="s">
        <v>247</v>
      </c>
      <c r="L402" s="7" t="str">
        <f t="shared" si="2"/>
        <v xml:space="preserve">http://slimages.macys.com/is/image/MCY/10889638 </v>
      </c>
    </row>
    <row r="403" spans="1:12" ht="24.75" x14ac:dyDescent="0.25">
      <c r="A403" s="4" t="s">
        <v>1336</v>
      </c>
      <c r="B403" s="2" t="s">
        <v>1330</v>
      </c>
      <c r="C403" s="3">
        <v>1</v>
      </c>
      <c r="D403" s="5">
        <v>37.130000000000003</v>
      </c>
      <c r="E403" s="3" t="s">
        <v>1331</v>
      </c>
      <c r="F403" s="2" t="s">
        <v>74</v>
      </c>
      <c r="G403" s="6" t="s">
        <v>234</v>
      </c>
      <c r="H403" s="2" t="s">
        <v>194</v>
      </c>
      <c r="I403" s="2" t="s">
        <v>195</v>
      </c>
      <c r="J403" s="2" t="s">
        <v>19</v>
      </c>
      <c r="K403" s="2" t="s">
        <v>247</v>
      </c>
      <c r="L403" s="7" t="str">
        <f t="shared" si="2"/>
        <v xml:space="preserve">http://slimages.macys.com/is/image/MCY/10889638 </v>
      </c>
    </row>
    <row r="404" spans="1:12" ht="24.75" x14ac:dyDescent="0.25">
      <c r="A404" s="4" t="s">
        <v>1329</v>
      </c>
      <c r="B404" s="2" t="s">
        <v>1330</v>
      </c>
      <c r="C404" s="3">
        <v>2</v>
      </c>
      <c r="D404" s="5">
        <v>37.130000000000003</v>
      </c>
      <c r="E404" s="3" t="s">
        <v>1331</v>
      </c>
      <c r="F404" s="2" t="s">
        <v>417</v>
      </c>
      <c r="G404" s="6" t="s">
        <v>234</v>
      </c>
      <c r="H404" s="2" t="s">
        <v>194</v>
      </c>
      <c r="I404" s="2" t="s">
        <v>195</v>
      </c>
      <c r="J404" s="2" t="s">
        <v>19</v>
      </c>
      <c r="K404" s="2" t="s">
        <v>247</v>
      </c>
      <c r="L404" s="7" t="str">
        <f t="shared" si="2"/>
        <v xml:space="preserve">http://slimages.macys.com/is/image/MCY/10889638 </v>
      </c>
    </row>
    <row r="405" spans="1:12" ht="24.75" x14ac:dyDescent="0.25">
      <c r="A405" s="4" t="s">
        <v>2681</v>
      </c>
      <c r="B405" s="2" t="s">
        <v>1330</v>
      </c>
      <c r="C405" s="3">
        <v>1</v>
      </c>
      <c r="D405" s="5">
        <v>37.130000000000003</v>
      </c>
      <c r="E405" s="3" t="s">
        <v>1331</v>
      </c>
      <c r="F405" s="2" t="s">
        <v>417</v>
      </c>
      <c r="G405" s="6" t="s">
        <v>154</v>
      </c>
      <c r="H405" s="2" t="s">
        <v>194</v>
      </c>
      <c r="I405" s="2" t="s">
        <v>195</v>
      </c>
      <c r="J405" s="2" t="s">
        <v>19</v>
      </c>
      <c r="K405" s="2" t="s">
        <v>247</v>
      </c>
      <c r="L405" s="7" t="str">
        <f t="shared" si="2"/>
        <v xml:space="preserve">http://slimages.macys.com/is/image/MCY/10889638 </v>
      </c>
    </row>
    <row r="406" spans="1:12" ht="24.75" x14ac:dyDescent="0.25">
      <c r="A406" s="4" t="s">
        <v>4948</v>
      </c>
      <c r="B406" s="2" t="s">
        <v>2683</v>
      </c>
      <c r="C406" s="3">
        <v>1</v>
      </c>
      <c r="D406" s="5">
        <v>33.380000000000003</v>
      </c>
      <c r="E406" s="3" t="s">
        <v>2684</v>
      </c>
      <c r="F406" s="2" t="s">
        <v>752</v>
      </c>
      <c r="G406" s="6" t="s">
        <v>234</v>
      </c>
      <c r="H406" s="2" t="s">
        <v>194</v>
      </c>
      <c r="I406" s="2" t="s">
        <v>195</v>
      </c>
      <c r="J406" s="2" t="s">
        <v>19</v>
      </c>
      <c r="K406" s="2" t="s">
        <v>247</v>
      </c>
      <c r="L406" s="7" t="str">
        <f>HYPERLINK("http://slimages.macys.com/is/image/MCY/12404928 ")</f>
        <v xml:space="preserve">http://slimages.macys.com/is/image/MCY/12404928 </v>
      </c>
    </row>
    <row r="407" spans="1:12" ht="48.75" x14ac:dyDescent="0.25">
      <c r="A407" s="4" t="s">
        <v>4951</v>
      </c>
      <c r="B407" s="2" t="s">
        <v>1155</v>
      </c>
      <c r="C407" s="3">
        <v>1</v>
      </c>
      <c r="D407" s="5">
        <v>37.130000000000003</v>
      </c>
      <c r="E407" s="3" t="s">
        <v>3875</v>
      </c>
      <c r="F407" s="2" t="s">
        <v>26</v>
      </c>
      <c r="G407" s="6" t="s">
        <v>234</v>
      </c>
      <c r="H407" s="2" t="s">
        <v>194</v>
      </c>
      <c r="I407" s="2" t="s">
        <v>195</v>
      </c>
      <c r="J407" s="2" t="s">
        <v>19</v>
      </c>
      <c r="K407" s="2" t="s">
        <v>3879</v>
      </c>
      <c r="L407" s="7" t="str">
        <f>HYPERLINK("http://slimages.macys.com/is/image/MCY/12404881 ")</f>
        <v xml:space="preserve">http://slimages.macys.com/is/image/MCY/12404881 </v>
      </c>
    </row>
    <row r="408" spans="1:12" ht="48.75" x14ac:dyDescent="0.25">
      <c r="A408" s="4" t="s">
        <v>5874</v>
      </c>
      <c r="B408" s="2" t="s">
        <v>1155</v>
      </c>
      <c r="C408" s="3">
        <v>1</v>
      </c>
      <c r="D408" s="5">
        <v>37.130000000000003</v>
      </c>
      <c r="E408" s="3" t="s">
        <v>3875</v>
      </c>
      <c r="F408" s="2" t="s">
        <v>26</v>
      </c>
      <c r="G408" s="6" t="s">
        <v>181</v>
      </c>
      <c r="H408" s="2" t="s">
        <v>194</v>
      </c>
      <c r="I408" s="2" t="s">
        <v>195</v>
      </c>
      <c r="J408" s="2" t="s">
        <v>19</v>
      </c>
      <c r="K408" s="2" t="s">
        <v>3879</v>
      </c>
      <c r="L408" s="7" t="str">
        <f>HYPERLINK("http://slimages.macys.com/is/image/MCY/12404881 ")</f>
        <v xml:space="preserve">http://slimages.macys.com/is/image/MCY/12404881 </v>
      </c>
    </row>
    <row r="409" spans="1:12" ht="24.75" x14ac:dyDescent="0.25">
      <c r="A409" s="4" t="s">
        <v>3880</v>
      </c>
      <c r="B409" s="2" t="s">
        <v>1318</v>
      </c>
      <c r="C409" s="3">
        <v>1</v>
      </c>
      <c r="D409" s="5">
        <v>24.99</v>
      </c>
      <c r="E409" s="3" t="s">
        <v>1321</v>
      </c>
      <c r="F409" s="2" t="s">
        <v>506</v>
      </c>
      <c r="G409" s="6" t="s">
        <v>27</v>
      </c>
      <c r="H409" s="2" t="s">
        <v>228</v>
      </c>
      <c r="I409" s="2" t="s">
        <v>229</v>
      </c>
      <c r="J409" s="2" t="s">
        <v>19</v>
      </c>
      <c r="K409" s="2" t="s">
        <v>253</v>
      </c>
      <c r="L409" s="7" t="str">
        <f>HYPERLINK("http://slimages.macys.com/is/image/MCY/8296032 ")</f>
        <v xml:space="preserve">http://slimages.macys.com/is/image/MCY/8296032 </v>
      </c>
    </row>
    <row r="410" spans="1:12" ht="24.75" x14ac:dyDescent="0.25">
      <c r="A410" s="4" t="s">
        <v>5884</v>
      </c>
      <c r="B410" s="2" t="s">
        <v>1356</v>
      </c>
      <c r="C410" s="3">
        <v>1</v>
      </c>
      <c r="D410" s="5">
        <v>34.5</v>
      </c>
      <c r="E410" s="3">
        <v>100045813</v>
      </c>
      <c r="F410" s="2" t="s">
        <v>111</v>
      </c>
      <c r="G410" s="6" t="s">
        <v>112</v>
      </c>
      <c r="H410" s="2" t="s">
        <v>228</v>
      </c>
      <c r="I410" s="2" t="s">
        <v>229</v>
      </c>
      <c r="J410" s="2" t="s">
        <v>19</v>
      </c>
      <c r="K410" s="2" t="s">
        <v>353</v>
      </c>
      <c r="L410" s="7" t="str">
        <f>HYPERLINK("http://slimages.macys.com/is/image/MCY/11936020 ")</f>
        <v xml:space="preserve">http://slimages.macys.com/is/image/MCY/11936020 </v>
      </c>
    </row>
    <row r="411" spans="1:12" ht="24.75" x14ac:dyDescent="0.25">
      <c r="A411" s="4" t="s">
        <v>6647</v>
      </c>
      <c r="B411" s="2" t="s">
        <v>1356</v>
      </c>
      <c r="C411" s="3">
        <v>1</v>
      </c>
      <c r="D411" s="5">
        <v>34.5</v>
      </c>
      <c r="E411" s="3">
        <v>100045813</v>
      </c>
      <c r="F411" s="2" t="s">
        <v>111</v>
      </c>
      <c r="G411" s="6" t="s">
        <v>16</v>
      </c>
      <c r="H411" s="2" t="s">
        <v>228</v>
      </c>
      <c r="I411" s="2" t="s">
        <v>229</v>
      </c>
      <c r="J411" s="2" t="s">
        <v>19</v>
      </c>
      <c r="K411" s="2" t="s">
        <v>353</v>
      </c>
      <c r="L411" s="7" t="str">
        <f>HYPERLINK("http://slimages.macys.com/is/image/MCY/11936020 ")</f>
        <v xml:space="preserve">http://slimages.macys.com/is/image/MCY/11936020 </v>
      </c>
    </row>
    <row r="412" spans="1:12" ht="24.75" x14ac:dyDescent="0.25">
      <c r="A412" s="4" t="s">
        <v>6633</v>
      </c>
      <c r="B412" s="2" t="s">
        <v>1356</v>
      </c>
      <c r="C412" s="3">
        <v>1</v>
      </c>
      <c r="D412" s="5">
        <v>34.5</v>
      </c>
      <c r="E412" s="3">
        <v>100045813</v>
      </c>
      <c r="F412" s="2" t="s">
        <v>111</v>
      </c>
      <c r="G412" s="6" t="s">
        <v>141</v>
      </c>
      <c r="H412" s="2" t="s">
        <v>228</v>
      </c>
      <c r="I412" s="2" t="s">
        <v>229</v>
      </c>
      <c r="J412" s="2" t="s">
        <v>19</v>
      </c>
      <c r="K412" s="2" t="s">
        <v>353</v>
      </c>
      <c r="L412" s="7" t="str">
        <f>HYPERLINK("http://slimages.macys.com/is/image/MCY/11936020 ")</f>
        <v xml:space="preserve">http://slimages.macys.com/is/image/MCY/11936020 </v>
      </c>
    </row>
    <row r="413" spans="1:12" ht="24.75" x14ac:dyDescent="0.25">
      <c r="A413" s="4" t="s">
        <v>8700</v>
      </c>
      <c r="B413" s="2" t="s">
        <v>1318</v>
      </c>
      <c r="C413" s="3">
        <v>1</v>
      </c>
      <c r="D413" s="5">
        <v>24.99</v>
      </c>
      <c r="E413" s="3" t="s">
        <v>1321</v>
      </c>
      <c r="F413" s="2" t="s">
        <v>89</v>
      </c>
      <c r="G413" s="6" t="s">
        <v>22</v>
      </c>
      <c r="H413" s="2" t="s">
        <v>228</v>
      </c>
      <c r="I413" s="2" t="s">
        <v>229</v>
      </c>
      <c r="J413" s="2" t="s">
        <v>19</v>
      </c>
      <c r="K413" s="2" t="s">
        <v>253</v>
      </c>
      <c r="L413" s="7" t="str">
        <f>HYPERLINK("http://slimages.macys.com/is/image/MCY/9029356 ")</f>
        <v xml:space="preserve">http://slimages.macys.com/is/image/MCY/9029356 </v>
      </c>
    </row>
    <row r="414" spans="1:12" ht="24.75" x14ac:dyDescent="0.25">
      <c r="A414" s="4" t="s">
        <v>8701</v>
      </c>
      <c r="B414" s="2" t="s">
        <v>1318</v>
      </c>
      <c r="C414" s="3">
        <v>1</v>
      </c>
      <c r="D414" s="5">
        <v>24.99</v>
      </c>
      <c r="E414" s="3" t="s">
        <v>1321</v>
      </c>
      <c r="F414" s="2" t="s">
        <v>64</v>
      </c>
      <c r="G414" s="6" t="s">
        <v>27</v>
      </c>
      <c r="H414" s="2" t="s">
        <v>228</v>
      </c>
      <c r="I414" s="2" t="s">
        <v>229</v>
      </c>
      <c r="J414" s="2" t="s">
        <v>19</v>
      </c>
      <c r="K414" s="2" t="s">
        <v>253</v>
      </c>
      <c r="L414" s="7" t="str">
        <f>HYPERLINK("http://slimages.macys.com/is/image/MCY/9029356 ")</f>
        <v xml:space="preserve">http://slimages.macys.com/is/image/MCY/9029356 </v>
      </c>
    </row>
    <row r="415" spans="1:12" ht="24.75" x14ac:dyDescent="0.25">
      <c r="A415" s="4" t="s">
        <v>6629</v>
      </c>
      <c r="B415" s="2" t="s">
        <v>1318</v>
      </c>
      <c r="C415" s="3">
        <v>1</v>
      </c>
      <c r="D415" s="5">
        <v>24.99</v>
      </c>
      <c r="E415" s="3" t="s">
        <v>1321</v>
      </c>
      <c r="F415" s="2" t="s">
        <v>89</v>
      </c>
      <c r="G415" s="6" t="s">
        <v>16</v>
      </c>
      <c r="H415" s="2" t="s">
        <v>228</v>
      </c>
      <c r="I415" s="2" t="s">
        <v>229</v>
      </c>
      <c r="J415" s="2" t="s">
        <v>19</v>
      </c>
      <c r="K415" s="2" t="s">
        <v>253</v>
      </c>
      <c r="L415" s="7" t="str">
        <f>HYPERLINK("http://slimages.macys.com/is/image/MCY/9029356 ")</f>
        <v xml:space="preserve">http://slimages.macys.com/is/image/MCY/9029356 </v>
      </c>
    </row>
    <row r="416" spans="1:12" ht="24.75" x14ac:dyDescent="0.25">
      <c r="A416" s="4" t="s">
        <v>2697</v>
      </c>
      <c r="B416" s="2" t="s">
        <v>1356</v>
      </c>
      <c r="C416" s="3">
        <v>1</v>
      </c>
      <c r="D416" s="5">
        <v>29.99</v>
      </c>
      <c r="E416" s="3">
        <v>100045815</v>
      </c>
      <c r="F416" s="2" t="s">
        <v>26</v>
      </c>
      <c r="G416" s="6" t="s">
        <v>22</v>
      </c>
      <c r="H416" s="2" t="s">
        <v>228</v>
      </c>
      <c r="I416" s="2" t="s">
        <v>229</v>
      </c>
      <c r="J416" s="2" t="s">
        <v>19</v>
      </c>
      <c r="K416" s="2" t="s">
        <v>353</v>
      </c>
      <c r="L416" s="7" t="str">
        <f>HYPERLINK("http://slimages.macys.com/is/image/MCY/11936020 ")</f>
        <v xml:space="preserve">http://slimages.macys.com/is/image/MCY/11936020 </v>
      </c>
    </row>
    <row r="417" spans="1:12" ht="24.75" x14ac:dyDescent="0.25">
      <c r="A417" s="4" t="s">
        <v>8702</v>
      </c>
      <c r="B417" s="2" t="s">
        <v>1314</v>
      </c>
      <c r="C417" s="3">
        <v>1</v>
      </c>
      <c r="D417" s="5">
        <v>24.99</v>
      </c>
      <c r="E417" s="3">
        <v>100010068</v>
      </c>
      <c r="F417" s="2" t="s">
        <v>566</v>
      </c>
      <c r="G417" s="6" t="s">
        <v>65</v>
      </c>
      <c r="H417" s="2" t="s">
        <v>228</v>
      </c>
      <c r="I417" s="2" t="s">
        <v>863</v>
      </c>
      <c r="J417" s="2" t="s">
        <v>19</v>
      </c>
      <c r="K417" s="2" t="s">
        <v>1315</v>
      </c>
      <c r="L417" s="7" t="str">
        <f>HYPERLINK("http://slimages.macys.com/is/image/MCY/9190991 ")</f>
        <v xml:space="preserve">http://slimages.macys.com/is/image/MCY/9190991 </v>
      </c>
    </row>
    <row r="418" spans="1:12" ht="24.75" x14ac:dyDescent="0.25">
      <c r="A418" s="4" t="s">
        <v>8703</v>
      </c>
      <c r="B418" s="2" t="s">
        <v>1253</v>
      </c>
      <c r="C418" s="3">
        <v>1</v>
      </c>
      <c r="D418" s="5">
        <v>24.99</v>
      </c>
      <c r="E418" s="3" t="s">
        <v>2688</v>
      </c>
      <c r="F418" s="2" t="s">
        <v>506</v>
      </c>
      <c r="G418" s="6" t="s">
        <v>126</v>
      </c>
      <c r="H418" s="2" t="s">
        <v>426</v>
      </c>
      <c r="I418" s="2" t="s">
        <v>863</v>
      </c>
      <c r="J418" s="2" t="s">
        <v>19</v>
      </c>
      <c r="K418" s="2" t="s">
        <v>253</v>
      </c>
      <c r="L418" s="7" t="str">
        <f>HYPERLINK("http://slimages.macys.com/is/image/MCY/9029356 ")</f>
        <v xml:space="preserve">http://slimages.macys.com/is/image/MCY/9029356 </v>
      </c>
    </row>
    <row r="419" spans="1:12" ht="24.75" x14ac:dyDescent="0.25">
      <c r="A419" s="4" t="s">
        <v>8178</v>
      </c>
      <c r="B419" s="2" t="s">
        <v>1318</v>
      </c>
      <c r="C419" s="3">
        <v>1</v>
      </c>
      <c r="D419" s="5">
        <v>24.99</v>
      </c>
      <c r="E419" s="3">
        <v>100039649</v>
      </c>
      <c r="F419" s="2" t="s">
        <v>417</v>
      </c>
      <c r="G419" s="6" t="s">
        <v>141</v>
      </c>
      <c r="H419" s="2" t="s">
        <v>228</v>
      </c>
      <c r="I419" s="2" t="s">
        <v>863</v>
      </c>
      <c r="J419" s="2" t="s">
        <v>19</v>
      </c>
      <c r="K419" s="2" t="s">
        <v>2703</v>
      </c>
      <c r="L419" s="7" t="str">
        <f>HYPERLINK("http://slimages.macys.com/is/image/MCY/12667245 ")</f>
        <v xml:space="preserve">http://slimages.macys.com/is/image/MCY/12667245 </v>
      </c>
    </row>
    <row r="420" spans="1:12" ht="24.75" x14ac:dyDescent="0.25">
      <c r="A420" s="4" t="s">
        <v>2701</v>
      </c>
      <c r="B420" s="2" t="s">
        <v>1318</v>
      </c>
      <c r="C420" s="3">
        <v>1</v>
      </c>
      <c r="D420" s="5">
        <v>24.99</v>
      </c>
      <c r="E420" s="3" t="s">
        <v>1321</v>
      </c>
      <c r="F420" s="2" t="s">
        <v>89</v>
      </c>
      <c r="G420" s="6" t="s">
        <v>58</v>
      </c>
      <c r="H420" s="2" t="s">
        <v>228</v>
      </c>
      <c r="I420" s="2" t="s">
        <v>229</v>
      </c>
      <c r="J420" s="2" t="s">
        <v>19</v>
      </c>
      <c r="K420" s="2" t="s">
        <v>253</v>
      </c>
      <c r="L420" s="7" t="str">
        <f>HYPERLINK("http://slimages.macys.com/is/image/MCY/9029356 ")</f>
        <v xml:space="preserve">http://slimages.macys.com/is/image/MCY/9029356 </v>
      </c>
    </row>
    <row r="421" spans="1:12" ht="24.75" x14ac:dyDescent="0.25">
      <c r="A421" s="4" t="s">
        <v>3883</v>
      </c>
      <c r="B421" s="2" t="s">
        <v>1253</v>
      </c>
      <c r="C421" s="3">
        <v>1</v>
      </c>
      <c r="D421" s="5">
        <v>24.99</v>
      </c>
      <c r="E421" s="3" t="s">
        <v>2688</v>
      </c>
      <c r="F421" s="2" t="s">
        <v>506</v>
      </c>
      <c r="G421" s="6" t="s">
        <v>205</v>
      </c>
      <c r="H421" s="2" t="s">
        <v>426</v>
      </c>
      <c r="I421" s="2" t="s">
        <v>863</v>
      </c>
      <c r="J421" s="2" t="s">
        <v>19</v>
      </c>
      <c r="K421" s="2" t="s">
        <v>253</v>
      </c>
      <c r="L421" s="7" t="str">
        <f>HYPERLINK("http://slimages.macys.com/is/image/MCY/9029356 ")</f>
        <v xml:space="preserve">http://slimages.macys.com/is/image/MCY/9029356 </v>
      </c>
    </row>
    <row r="422" spans="1:12" ht="24.75" x14ac:dyDescent="0.25">
      <c r="A422" s="4" t="s">
        <v>3885</v>
      </c>
      <c r="B422" s="2" t="s">
        <v>1359</v>
      </c>
      <c r="C422" s="3">
        <v>1</v>
      </c>
      <c r="D422" s="5">
        <v>29.99</v>
      </c>
      <c r="E422" s="3" t="s">
        <v>1360</v>
      </c>
      <c r="F422" s="2" t="s">
        <v>26</v>
      </c>
      <c r="G422" s="6" t="s">
        <v>154</v>
      </c>
      <c r="H422" s="2" t="s">
        <v>246</v>
      </c>
      <c r="I422" s="2" t="s">
        <v>189</v>
      </c>
      <c r="J422" s="2" t="s">
        <v>19</v>
      </c>
      <c r="K422" s="2" t="s">
        <v>160</v>
      </c>
      <c r="L422" s="7" t="str">
        <f>HYPERLINK("http://slimages.macys.com/is/image/MCY/11420487 ")</f>
        <v xml:space="preserve">http://slimages.macys.com/is/image/MCY/11420487 </v>
      </c>
    </row>
    <row r="423" spans="1:12" ht="24.75" x14ac:dyDescent="0.25">
      <c r="A423" s="4" t="s">
        <v>8704</v>
      </c>
      <c r="B423" s="2" t="s">
        <v>8705</v>
      </c>
      <c r="C423" s="3">
        <v>1</v>
      </c>
      <c r="D423" s="5">
        <v>29.99</v>
      </c>
      <c r="E423" s="3" t="s">
        <v>8706</v>
      </c>
      <c r="F423" s="2"/>
      <c r="G423" s="6" t="s">
        <v>156</v>
      </c>
      <c r="H423" s="2" t="s">
        <v>246</v>
      </c>
      <c r="I423" s="2" t="s">
        <v>189</v>
      </c>
      <c r="J423" s="2" t="s">
        <v>19</v>
      </c>
      <c r="K423" s="2" t="s">
        <v>160</v>
      </c>
      <c r="L423" s="7" t="str">
        <f>HYPERLINK("http://slimages.macys.com/is/image/MCY/11517960 ")</f>
        <v xml:space="preserve">http://slimages.macys.com/is/image/MCY/11517960 </v>
      </c>
    </row>
    <row r="424" spans="1:12" ht="24.75" x14ac:dyDescent="0.25">
      <c r="A424" s="4" t="s">
        <v>1378</v>
      </c>
      <c r="B424" s="2" t="s">
        <v>1330</v>
      </c>
      <c r="C424" s="3">
        <v>1</v>
      </c>
      <c r="D424" s="5">
        <v>37.130000000000003</v>
      </c>
      <c r="E424" s="3" t="s">
        <v>1331</v>
      </c>
      <c r="F424" s="2" t="s">
        <v>170</v>
      </c>
      <c r="G424" s="6" t="s">
        <v>181</v>
      </c>
      <c r="H424" s="2" t="s">
        <v>194</v>
      </c>
      <c r="I424" s="2" t="s">
        <v>195</v>
      </c>
      <c r="J424" s="2" t="s">
        <v>19</v>
      </c>
      <c r="K424" s="2" t="s">
        <v>247</v>
      </c>
      <c r="L424" s="7" t="str">
        <f>HYPERLINK("http://slimages.macys.com/is/image/MCY/10889638 ")</f>
        <v xml:space="preserve">http://slimages.macys.com/is/image/MCY/10889638 </v>
      </c>
    </row>
    <row r="425" spans="1:12" ht="24.75" x14ac:dyDescent="0.25">
      <c r="A425" s="4" t="s">
        <v>1376</v>
      </c>
      <c r="B425" s="2" t="s">
        <v>1330</v>
      </c>
      <c r="C425" s="3">
        <v>2</v>
      </c>
      <c r="D425" s="5">
        <v>37.130000000000003</v>
      </c>
      <c r="E425" s="3" t="s">
        <v>1331</v>
      </c>
      <c r="F425" s="2" t="s">
        <v>125</v>
      </c>
      <c r="G425" s="6" t="s">
        <v>181</v>
      </c>
      <c r="H425" s="2" t="s">
        <v>194</v>
      </c>
      <c r="I425" s="2" t="s">
        <v>195</v>
      </c>
      <c r="J425" s="2" t="s">
        <v>19</v>
      </c>
      <c r="K425" s="2" t="s">
        <v>247</v>
      </c>
      <c r="L425" s="7" t="str">
        <f>HYPERLINK("http://slimages.macys.com/is/image/MCY/10889638 ")</f>
        <v xml:space="preserve">http://slimages.macys.com/is/image/MCY/10889638 </v>
      </c>
    </row>
    <row r="426" spans="1:12" ht="24.75" x14ac:dyDescent="0.25">
      <c r="A426" s="4" t="s">
        <v>2710</v>
      </c>
      <c r="B426" s="2" t="s">
        <v>1330</v>
      </c>
      <c r="C426" s="3">
        <v>5</v>
      </c>
      <c r="D426" s="5">
        <v>37.130000000000003</v>
      </c>
      <c r="E426" s="3" t="s">
        <v>1331</v>
      </c>
      <c r="F426" s="2" t="s">
        <v>125</v>
      </c>
      <c r="G426" s="6" t="s">
        <v>234</v>
      </c>
      <c r="H426" s="2" t="s">
        <v>194</v>
      </c>
      <c r="I426" s="2" t="s">
        <v>195</v>
      </c>
      <c r="J426" s="2" t="s">
        <v>19</v>
      </c>
      <c r="K426" s="2" t="s">
        <v>247</v>
      </c>
      <c r="L426" s="7" t="str">
        <f>HYPERLINK("http://slimages.macys.com/is/image/MCY/10889638 ")</f>
        <v xml:space="preserve">http://slimages.macys.com/is/image/MCY/10889638 </v>
      </c>
    </row>
    <row r="427" spans="1:12" ht="24.75" x14ac:dyDescent="0.25">
      <c r="A427" s="4" t="s">
        <v>1377</v>
      </c>
      <c r="B427" s="2" t="s">
        <v>1330</v>
      </c>
      <c r="C427" s="3">
        <v>2</v>
      </c>
      <c r="D427" s="5">
        <v>37.130000000000003</v>
      </c>
      <c r="E427" s="3" t="s">
        <v>1331</v>
      </c>
      <c r="F427" s="2" t="s">
        <v>125</v>
      </c>
      <c r="G427" s="6" t="s">
        <v>154</v>
      </c>
      <c r="H427" s="2" t="s">
        <v>194</v>
      </c>
      <c r="I427" s="2" t="s">
        <v>195</v>
      </c>
      <c r="J427" s="2" t="s">
        <v>19</v>
      </c>
      <c r="K427" s="2" t="s">
        <v>247</v>
      </c>
      <c r="L427" s="7" t="str">
        <f>HYPERLINK("http://slimages.macys.com/is/image/MCY/10889638 ")</f>
        <v xml:space="preserve">http://slimages.macys.com/is/image/MCY/10889638 </v>
      </c>
    </row>
    <row r="428" spans="1:12" ht="24.75" x14ac:dyDescent="0.25">
      <c r="A428" s="4" t="s">
        <v>2707</v>
      </c>
      <c r="B428" s="2" t="s">
        <v>1381</v>
      </c>
      <c r="C428" s="3">
        <v>3</v>
      </c>
      <c r="D428" s="5">
        <v>37.130000000000003</v>
      </c>
      <c r="E428" s="3" t="s">
        <v>1382</v>
      </c>
      <c r="F428" s="2" t="s">
        <v>170</v>
      </c>
      <c r="G428" s="6" t="s">
        <v>234</v>
      </c>
      <c r="H428" s="2" t="s">
        <v>194</v>
      </c>
      <c r="I428" s="2" t="s">
        <v>195</v>
      </c>
      <c r="J428" s="2" t="s">
        <v>19</v>
      </c>
      <c r="K428" s="2" t="s">
        <v>247</v>
      </c>
      <c r="L428" s="7" t="str">
        <f>HYPERLINK("http://slimages.macys.com/is/image/MCY/12668006 ")</f>
        <v xml:space="preserve">http://slimages.macys.com/is/image/MCY/12668006 </v>
      </c>
    </row>
    <row r="429" spans="1:12" ht="60.75" x14ac:dyDescent="0.25">
      <c r="A429" s="4" t="s">
        <v>3893</v>
      </c>
      <c r="B429" s="2" t="s">
        <v>3892</v>
      </c>
      <c r="C429" s="3">
        <v>1</v>
      </c>
      <c r="D429" s="5">
        <v>29.63</v>
      </c>
      <c r="E429" s="3">
        <v>100022669</v>
      </c>
      <c r="F429" s="2" t="s">
        <v>125</v>
      </c>
      <c r="G429" s="6" t="s">
        <v>154</v>
      </c>
      <c r="H429" s="2" t="s">
        <v>194</v>
      </c>
      <c r="I429" s="2" t="s">
        <v>1398</v>
      </c>
      <c r="J429" s="2" t="s">
        <v>19</v>
      </c>
      <c r="K429" s="2" t="s">
        <v>1399</v>
      </c>
      <c r="L429" s="7" t="str">
        <f>HYPERLINK("http://slimages.macys.com/is/image/MCY/13368177 ")</f>
        <v xml:space="preserve">http://slimages.macys.com/is/image/MCY/13368177 </v>
      </c>
    </row>
    <row r="430" spans="1:12" ht="36.75" x14ac:dyDescent="0.25">
      <c r="A430" s="4" t="s">
        <v>3895</v>
      </c>
      <c r="B430" s="2" t="s">
        <v>1388</v>
      </c>
      <c r="C430" s="3">
        <v>1</v>
      </c>
      <c r="D430" s="5">
        <v>29.63</v>
      </c>
      <c r="E430" s="3" t="s">
        <v>1389</v>
      </c>
      <c r="F430" s="2" t="s">
        <v>111</v>
      </c>
      <c r="G430" s="6" t="s">
        <v>156</v>
      </c>
      <c r="H430" s="2" t="s">
        <v>194</v>
      </c>
      <c r="I430" s="2" t="s">
        <v>195</v>
      </c>
      <c r="J430" s="2" t="s">
        <v>19</v>
      </c>
      <c r="K430" s="2" t="s">
        <v>1390</v>
      </c>
      <c r="L430" s="7" t="str">
        <f>HYPERLINK("http://slimages.macys.com/is/image/MCY/12734335 ")</f>
        <v xml:space="preserve">http://slimages.macys.com/is/image/MCY/12734335 </v>
      </c>
    </row>
    <row r="431" spans="1:12" ht="24.75" x14ac:dyDescent="0.25">
      <c r="A431" s="4" t="s">
        <v>3902</v>
      </c>
      <c r="B431" s="2" t="s">
        <v>1394</v>
      </c>
      <c r="C431" s="3">
        <v>2</v>
      </c>
      <c r="D431" s="5">
        <v>36.5</v>
      </c>
      <c r="E431" s="3" t="s">
        <v>3903</v>
      </c>
      <c r="F431" s="2" t="s">
        <v>15</v>
      </c>
      <c r="G431" s="6" t="s">
        <v>234</v>
      </c>
      <c r="H431" s="2" t="s">
        <v>194</v>
      </c>
      <c r="I431" s="2" t="s">
        <v>195</v>
      </c>
      <c r="J431" s="2" t="s">
        <v>19</v>
      </c>
      <c r="K431" s="2" t="s">
        <v>34</v>
      </c>
      <c r="L431" s="7" t="str">
        <f>HYPERLINK("http://slimages.macys.com/is/image/MCY/13367997 ")</f>
        <v xml:space="preserve">http://slimages.macys.com/is/image/MCY/13367997 </v>
      </c>
    </row>
    <row r="432" spans="1:12" ht="24.75" x14ac:dyDescent="0.25">
      <c r="A432" s="4" t="s">
        <v>1393</v>
      </c>
      <c r="B432" s="2" t="s">
        <v>1394</v>
      </c>
      <c r="C432" s="3">
        <v>1</v>
      </c>
      <c r="D432" s="5">
        <v>37.130000000000003</v>
      </c>
      <c r="E432" s="3" t="s">
        <v>1395</v>
      </c>
      <c r="F432" s="2" t="s">
        <v>33</v>
      </c>
      <c r="G432" s="6" t="s">
        <v>154</v>
      </c>
      <c r="H432" s="2" t="s">
        <v>194</v>
      </c>
      <c r="I432" s="2" t="s">
        <v>195</v>
      </c>
      <c r="J432" s="2" t="s">
        <v>19</v>
      </c>
      <c r="K432" s="2" t="s">
        <v>34</v>
      </c>
      <c r="L432" s="7" t="str">
        <f>HYPERLINK("http://slimages.macys.com/is/image/MCY/13367997 ")</f>
        <v xml:space="preserve">http://slimages.macys.com/is/image/MCY/13367997 </v>
      </c>
    </row>
    <row r="433" spans="1:12" ht="24.75" x14ac:dyDescent="0.25">
      <c r="A433" s="4" t="s">
        <v>3896</v>
      </c>
      <c r="B433" s="2" t="s">
        <v>3897</v>
      </c>
      <c r="C433" s="3">
        <v>1</v>
      </c>
      <c r="D433" s="5">
        <v>65</v>
      </c>
      <c r="E433" s="3" t="s">
        <v>3898</v>
      </c>
      <c r="F433" s="2" t="s">
        <v>887</v>
      </c>
      <c r="G433" s="6" t="s">
        <v>794</v>
      </c>
      <c r="H433" s="2" t="s">
        <v>447</v>
      </c>
      <c r="I433" s="2" t="s">
        <v>792</v>
      </c>
      <c r="J433" s="2" t="s">
        <v>19</v>
      </c>
      <c r="K433" s="2" t="s">
        <v>160</v>
      </c>
      <c r="L433" s="7" t="str">
        <f>HYPERLINK("http://slimages.macys.com/is/image/MCY/13941347 ")</f>
        <v xml:space="preserve">http://slimages.macys.com/is/image/MCY/13941347 </v>
      </c>
    </row>
    <row r="434" spans="1:12" ht="60.75" x14ac:dyDescent="0.25">
      <c r="A434" s="4" t="s">
        <v>8707</v>
      </c>
      <c r="B434" s="2" t="s">
        <v>1397</v>
      </c>
      <c r="C434" s="3">
        <v>1</v>
      </c>
      <c r="D434" s="5">
        <v>29.63</v>
      </c>
      <c r="E434" s="3">
        <v>100022669</v>
      </c>
      <c r="F434" s="2" t="s">
        <v>48</v>
      </c>
      <c r="G434" s="6" t="s">
        <v>154</v>
      </c>
      <c r="H434" s="2" t="s">
        <v>194</v>
      </c>
      <c r="I434" s="2" t="s">
        <v>1398</v>
      </c>
      <c r="J434" s="2" t="s">
        <v>19</v>
      </c>
      <c r="K434" s="2" t="s">
        <v>1399</v>
      </c>
      <c r="L434" s="7" t="str">
        <f>HYPERLINK("http://slimages.macys.com/is/image/MCY/13368177 ")</f>
        <v xml:space="preserve">http://slimages.macys.com/is/image/MCY/13368177 </v>
      </c>
    </row>
    <row r="435" spans="1:12" ht="24.75" x14ac:dyDescent="0.25">
      <c r="A435" s="4" t="s">
        <v>7491</v>
      </c>
      <c r="B435" s="2" t="s">
        <v>1373</v>
      </c>
      <c r="C435" s="3">
        <v>1</v>
      </c>
      <c r="D435" s="5">
        <v>37.130000000000003</v>
      </c>
      <c r="E435" s="3" t="s">
        <v>7492</v>
      </c>
      <c r="F435" s="2" t="s">
        <v>64</v>
      </c>
      <c r="G435" s="6"/>
      <c r="H435" s="2" t="s">
        <v>312</v>
      </c>
      <c r="I435" s="2" t="s">
        <v>195</v>
      </c>
      <c r="J435" s="2" t="s">
        <v>19</v>
      </c>
      <c r="K435" s="2" t="s">
        <v>247</v>
      </c>
      <c r="L435" s="7" t="str">
        <f>HYPERLINK("http://slimages.macys.com/is/image/MCY/12337196 ")</f>
        <v xml:space="preserve">http://slimages.macys.com/is/image/MCY/12337196 </v>
      </c>
    </row>
    <row r="436" spans="1:12" ht="24.75" x14ac:dyDescent="0.25">
      <c r="A436" s="4" t="s">
        <v>8708</v>
      </c>
      <c r="B436" s="2" t="s">
        <v>1373</v>
      </c>
      <c r="C436" s="3">
        <v>2</v>
      </c>
      <c r="D436" s="5">
        <v>37.130000000000003</v>
      </c>
      <c r="E436" s="3" t="s">
        <v>7492</v>
      </c>
      <c r="F436" s="2" t="s">
        <v>15</v>
      </c>
      <c r="G436" s="6"/>
      <c r="H436" s="2" t="s">
        <v>312</v>
      </c>
      <c r="I436" s="2" t="s">
        <v>195</v>
      </c>
      <c r="J436" s="2" t="s">
        <v>19</v>
      </c>
      <c r="K436" s="2" t="s">
        <v>247</v>
      </c>
      <c r="L436" s="7" t="str">
        <f>HYPERLINK("http://slimages.macys.com/is/image/MCY/12034773 ")</f>
        <v xml:space="preserve">http://slimages.macys.com/is/image/MCY/12034773 </v>
      </c>
    </row>
    <row r="437" spans="1:12" ht="24.75" x14ac:dyDescent="0.25">
      <c r="A437" s="4" t="s">
        <v>8709</v>
      </c>
      <c r="B437" s="2" t="s">
        <v>1373</v>
      </c>
      <c r="C437" s="3">
        <v>1</v>
      </c>
      <c r="D437" s="5">
        <v>37.130000000000003</v>
      </c>
      <c r="E437" s="3" t="s">
        <v>7492</v>
      </c>
      <c r="F437" s="2" t="s">
        <v>15</v>
      </c>
      <c r="G437" s="6"/>
      <c r="H437" s="2" t="s">
        <v>312</v>
      </c>
      <c r="I437" s="2" t="s">
        <v>195</v>
      </c>
      <c r="J437" s="2" t="s">
        <v>19</v>
      </c>
      <c r="K437" s="2" t="s">
        <v>247</v>
      </c>
      <c r="L437" s="7" t="str">
        <f>HYPERLINK("http://slimages.macys.com/is/image/MCY/12034773 ")</f>
        <v xml:space="preserve">http://slimages.macys.com/is/image/MCY/12034773 </v>
      </c>
    </row>
    <row r="438" spans="1:12" ht="24.75" x14ac:dyDescent="0.25">
      <c r="A438" s="4" t="s">
        <v>8710</v>
      </c>
      <c r="B438" s="2" t="s">
        <v>6652</v>
      </c>
      <c r="C438" s="3">
        <v>1</v>
      </c>
      <c r="D438" s="5">
        <v>37.130000000000003</v>
      </c>
      <c r="E438" s="3" t="s">
        <v>8711</v>
      </c>
      <c r="F438" s="2" t="s">
        <v>170</v>
      </c>
      <c r="G438" s="6"/>
      <c r="H438" s="2" t="s">
        <v>312</v>
      </c>
      <c r="I438" s="2" t="s">
        <v>195</v>
      </c>
      <c r="J438" s="2" t="s">
        <v>19</v>
      </c>
      <c r="K438" s="2" t="s">
        <v>247</v>
      </c>
      <c r="L438" s="7" t="str">
        <f>HYPERLINK("http://slimages.macys.com/is/image/MCY/12793936 ")</f>
        <v xml:space="preserve">http://slimages.macys.com/is/image/MCY/12793936 </v>
      </c>
    </row>
    <row r="439" spans="1:12" ht="24.75" x14ac:dyDescent="0.25">
      <c r="A439" s="4" t="s">
        <v>8712</v>
      </c>
      <c r="B439" s="2" t="s">
        <v>6666</v>
      </c>
      <c r="C439" s="3">
        <v>2</v>
      </c>
      <c r="D439" s="5">
        <v>24.99</v>
      </c>
      <c r="E439" s="3">
        <v>100060498</v>
      </c>
      <c r="F439" s="2" t="s">
        <v>33</v>
      </c>
      <c r="G439" s="6" t="s">
        <v>22</v>
      </c>
      <c r="H439" s="2" t="s">
        <v>228</v>
      </c>
      <c r="I439" s="2" t="s">
        <v>857</v>
      </c>
      <c r="J439" s="2" t="s">
        <v>19</v>
      </c>
      <c r="K439" s="2" t="s">
        <v>230</v>
      </c>
      <c r="L439" s="7" t="str">
        <f>HYPERLINK("http://slimages.macys.com/is/image/MCY/12850401 ")</f>
        <v xml:space="preserve">http://slimages.macys.com/is/image/MCY/12850401 </v>
      </c>
    </row>
    <row r="440" spans="1:12" ht="24.75" x14ac:dyDescent="0.25">
      <c r="A440" s="4" t="s">
        <v>8713</v>
      </c>
      <c r="B440" s="2" t="s">
        <v>6666</v>
      </c>
      <c r="C440" s="3">
        <v>1</v>
      </c>
      <c r="D440" s="5">
        <v>24.99</v>
      </c>
      <c r="E440" s="3">
        <v>100060498</v>
      </c>
      <c r="F440" s="2" t="s">
        <v>33</v>
      </c>
      <c r="G440" s="6" t="s">
        <v>58</v>
      </c>
      <c r="H440" s="2" t="s">
        <v>228</v>
      </c>
      <c r="I440" s="2" t="s">
        <v>857</v>
      </c>
      <c r="J440" s="2" t="s">
        <v>19</v>
      </c>
      <c r="K440" s="2" t="s">
        <v>230</v>
      </c>
      <c r="L440" s="7" t="str">
        <f>HYPERLINK("http://slimages.macys.com/is/image/MCY/12850401 ")</f>
        <v xml:space="preserve">http://slimages.macys.com/is/image/MCY/12850401 </v>
      </c>
    </row>
    <row r="441" spans="1:12" ht="24.75" x14ac:dyDescent="0.25">
      <c r="A441" s="4" t="s">
        <v>8714</v>
      </c>
      <c r="B441" s="2" t="s">
        <v>2718</v>
      </c>
      <c r="C441" s="3">
        <v>1</v>
      </c>
      <c r="D441" s="5">
        <v>34.880000000000003</v>
      </c>
      <c r="E441" s="3">
        <v>100054890</v>
      </c>
      <c r="F441" s="2" t="s">
        <v>26</v>
      </c>
      <c r="G441" s="6" t="s">
        <v>65</v>
      </c>
      <c r="H441" s="2" t="s">
        <v>194</v>
      </c>
      <c r="I441" s="2" t="s">
        <v>195</v>
      </c>
      <c r="J441" s="2" t="s">
        <v>19</v>
      </c>
      <c r="K441" s="2" t="s">
        <v>353</v>
      </c>
      <c r="L441" s="7" t="str">
        <f>HYPERLINK("http://slimages.macys.com/is/image/MCY/12331068 ")</f>
        <v xml:space="preserve">http://slimages.macys.com/is/image/MCY/12331068 </v>
      </c>
    </row>
    <row r="442" spans="1:12" ht="24.75" x14ac:dyDescent="0.25">
      <c r="A442" s="4" t="s">
        <v>8715</v>
      </c>
      <c r="B442" s="2" t="s">
        <v>2718</v>
      </c>
      <c r="C442" s="3">
        <v>1</v>
      </c>
      <c r="D442" s="5">
        <v>34.880000000000003</v>
      </c>
      <c r="E442" s="3">
        <v>100054890</v>
      </c>
      <c r="F442" s="2" t="s">
        <v>26</v>
      </c>
      <c r="G442" s="6" t="s">
        <v>58</v>
      </c>
      <c r="H442" s="2" t="s">
        <v>194</v>
      </c>
      <c r="I442" s="2" t="s">
        <v>195</v>
      </c>
      <c r="J442" s="2" t="s">
        <v>19</v>
      </c>
      <c r="K442" s="2" t="s">
        <v>353</v>
      </c>
      <c r="L442" s="7" t="str">
        <f>HYPERLINK("http://slimages.macys.com/is/image/MCY/12331068 ")</f>
        <v xml:space="preserve">http://slimages.macys.com/is/image/MCY/12331068 </v>
      </c>
    </row>
    <row r="443" spans="1:12" ht="24.75" x14ac:dyDescent="0.25">
      <c r="A443" s="4" t="s">
        <v>8716</v>
      </c>
      <c r="B443" s="2" t="s">
        <v>1397</v>
      </c>
      <c r="C443" s="3">
        <v>2</v>
      </c>
      <c r="D443" s="5">
        <v>29.63</v>
      </c>
      <c r="E443" s="3" t="s">
        <v>4974</v>
      </c>
      <c r="F443" s="2" t="s">
        <v>15</v>
      </c>
      <c r="G443" s="6"/>
      <c r="H443" s="2" t="s">
        <v>312</v>
      </c>
      <c r="I443" s="2" t="s">
        <v>1398</v>
      </c>
      <c r="J443" s="2"/>
      <c r="K443" s="2"/>
      <c r="L443" s="7" t="str">
        <f>HYPERLINK("http://slimages.macys.com/is/image/MCY/9504703 ")</f>
        <v xml:space="preserve">http://slimages.macys.com/is/image/MCY/9504703 </v>
      </c>
    </row>
    <row r="444" spans="1:12" ht="24.75" x14ac:dyDescent="0.25">
      <c r="A444" s="4" t="s">
        <v>8717</v>
      </c>
      <c r="B444" s="2" t="s">
        <v>2720</v>
      </c>
      <c r="C444" s="3">
        <v>1</v>
      </c>
      <c r="D444" s="5">
        <v>37.130000000000003</v>
      </c>
      <c r="E444" s="3" t="s">
        <v>2721</v>
      </c>
      <c r="F444" s="2" t="s">
        <v>64</v>
      </c>
      <c r="G444" s="6" t="s">
        <v>245</v>
      </c>
      <c r="H444" s="2" t="s">
        <v>246</v>
      </c>
      <c r="I444" s="2" t="s">
        <v>189</v>
      </c>
      <c r="J444" s="2" t="s">
        <v>19</v>
      </c>
      <c r="K444" s="2" t="s">
        <v>160</v>
      </c>
      <c r="L444" s="7" t="str">
        <f>HYPERLINK("http://slimages.macys.com/is/image/MCY/11883959 ")</f>
        <v xml:space="preserve">http://slimages.macys.com/is/image/MCY/11883959 </v>
      </c>
    </row>
    <row r="445" spans="1:12" ht="24.75" x14ac:dyDescent="0.25">
      <c r="A445" s="4" t="s">
        <v>3906</v>
      </c>
      <c r="B445" s="2" t="s">
        <v>1402</v>
      </c>
      <c r="C445" s="3">
        <v>1</v>
      </c>
      <c r="D445" s="5">
        <v>37.130000000000003</v>
      </c>
      <c r="E445" s="3" t="s">
        <v>1403</v>
      </c>
      <c r="F445" s="2" t="s">
        <v>376</v>
      </c>
      <c r="G445" s="6" t="s">
        <v>126</v>
      </c>
      <c r="H445" s="2" t="s">
        <v>312</v>
      </c>
      <c r="I445" s="2" t="s">
        <v>195</v>
      </c>
      <c r="J445" s="2" t="s">
        <v>19</v>
      </c>
      <c r="K445" s="2" t="s">
        <v>353</v>
      </c>
      <c r="L445" s="7" t="str">
        <f>HYPERLINK("http://slimages.macys.com/is/image/MCY/11934909 ")</f>
        <v xml:space="preserve">http://slimages.macys.com/is/image/MCY/11934909 </v>
      </c>
    </row>
    <row r="446" spans="1:12" ht="24.75" x14ac:dyDescent="0.25">
      <c r="A446" s="4" t="s">
        <v>2724</v>
      </c>
      <c r="B446" s="2" t="s">
        <v>1405</v>
      </c>
      <c r="C446" s="3">
        <v>1</v>
      </c>
      <c r="D446" s="5">
        <v>34.880000000000003</v>
      </c>
      <c r="E446" s="3">
        <v>100042372</v>
      </c>
      <c r="F446" s="2" t="s">
        <v>94</v>
      </c>
      <c r="G446" s="6" t="s">
        <v>22</v>
      </c>
      <c r="H446" s="2" t="s">
        <v>194</v>
      </c>
      <c r="I446" s="2" t="s">
        <v>195</v>
      </c>
      <c r="J446" s="2" t="s">
        <v>19</v>
      </c>
      <c r="K446" s="2" t="s">
        <v>353</v>
      </c>
      <c r="L446" s="7" t="str">
        <f t="shared" ref="L446:L454" si="3">HYPERLINK("http://slimages.macys.com/is/image/MCY/11935225 ")</f>
        <v xml:space="preserve">http://slimages.macys.com/is/image/MCY/11935225 </v>
      </c>
    </row>
    <row r="447" spans="1:12" ht="24.75" x14ac:dyDescent="0.25">
      <c r="A447" s="4" t="s">
        <v>1406</v>
      </c>
      <c r="B447" s="2" t="s">
        <v>1405</v>
      </c>
      <c r="C447" s="3">
        <v>2</v>
      </c>
      <c r="D447" s="5">
        <v>34.880000000000003</v>
      </c>
      <c r="E447" s="3">
        <v>100042372</v>
      </c>
      <c r="F447" s="2" t="s">
        <v>94</v>
      </c>
      <c r="G447" s="6" t="s">
        <v>141</v>
      </c>
      <c r="H447" s="2" t="s">
        <v>194</v>
      </c>
      <c r="I447" s="2" t="s">
        <v>195</v>
      </c>
      <c r="J447" s="2" t="s">
        <v>19</v>
      </c>
      <c r="K447" s="2" t="s">
        <v>353</v>
      </c>
      <c r="L447" s="7" t="str">
        <f t="shared" si="3"/>
        <v xml:space="preserve">http://slimages.macys.com/is/image/MCY/11935225 </v>
      </c>
    </row>
    <row r="448" spans="1:12" ht="24.75" x14ac:dyDescent="0.25">
      <c r="A448" s="4" t="s">
        <v>1407</v>
      </c>
      <c r="B448" s="2" t="s">
        <v>1405</v>
      </c>
      <c r="C448" s="3">
        <v>1</v>
      </c>
      <c r="D448" s="5">
        <v>34.880000000000003</v>
      </c>
      <c r="E448" s="3">
        <v>100042372</v>
      </c>
      <c r="F448" s="2" t="s">
        <v>94</v>
      </c>
      <c r="G448" s="6" t="s">
        <v>65</v>
      </c>
      <c r="H448" s="2" t="s">
        <v>194</v>
      </c>
      <c r="I448" s="2" t="s">
        <v>195</v>
      </c>
      <c r="J448" s="2" t="s">
        <v>19</v>
      </c>
      <c r="K448" s="2" t="s">
        <v>353</v>
      </c>
      <c r="L448" s="7" t="str">
        <f t="shared" si="3"/>
        <v xml:space="preserve">http://slimages.macys.com/is/image/MCY/11935225 </v>
      </c>
    </row>
    <row r="449" spans="1:12" ht="24.75" x14ac:dyDescent="0.25">
      <c r="A449" s="4" t="s">
        <v>4978</v>
      </c>
      <c r="B449" s="2" t="s">
        <v>1405</v>
      </c>
      <c r="C449" s="3">
        <v>1</v>
      </c>
      <c r="D449" s="5">
        <v>34.880000000000003</v>
      </c>
      <c r="E449" s="3">
        <v>100042372</v>
      </c>
      <c r="F449" s="2" t="s">
        <v>94</v>
      </c>
      <c r="G449" s="6" t="s">
        <v>27</v>
      </c>
      <c r="H449" s="2" t="s">
        <v>194</v>
      </c>
      <c r="I449" s="2" t="s">
        <v>195</v>
      </c>
      <c r="J449" s="2" t="s">
        <v>19</v>
      </c>
      <c r="K449" s="2" t="s">
        <v>353</v>
      </c>
      <c r="L449" s="7" t="str">
        <f t="shared" si="3"/>
        <v xml:space="preserve">http://slimages.macys.com/is/image/MCY/11935225 </v>
      </c>
    </row>
    <row r="450" spans="1:12" ht="24.75" x14ac:dyDescent="0.25">
      <c r="A450" s="4" t="s">
        <v>2726</v>
      </c>
      <c r="B450" s="2" t="s">
        <v>1405</v>
      </c>
      <c r="C450" s="3">
        <v>1</v>
      </c>
      <c r="D450" s="5">
        <v>34.880000000000003</v>
      </c>
      <c r="E450" s="3">
        <v>100042372</v>
      </c>
      <c r="F450" s="2" t="s">
        <v>94</v>
      </c>
      <c r="G450" s="6" t="s">
        <v>16</v>
      </c>
      <c r="H450" s="2" t="s">
        <v>194</v>
      </c>
      <c r="I450" s="2" t="s">
        <v>195</v>
      </c>
      <c r="J450" s="2" t="s">
        <v>19</v>
      </c>
      <c r="K450" s="2" t="s">
        <v>353</v>
      </c>
      <c r="L450" s="7" t="str">
        <f t="shared" si="3"/>
        <v xml:space="preserve">http://slimages.macys.com/is/image/MCY/11935225 </v>
      </c>
    </row>
    <row r="451" spans="1:12" ht="24.75" x14ac:dyDescent="0.25">
      <c r="A451" s="4" t="s">
        <v>4977</v>
      </c>
      <c r="B451" s="2" t="s">
        <v>1405</v>
      </c>
      <c r="C451" s="3">
        <v>1</v>
      </c>
      <c r="D451" s="5">
        <v>34.880000000000003</v>
      </c>
      <c r="E451" s="3">
        <v>100042372</v>
      </c>
      <c r="F451" s="2" t="s">
        <v>94</v>
      </c>
      <c r="G451" s="6" t="s">
        <v>112</v>
      </c>
      <c r="H451" s="2" t="s">
        <v>194</v>
      </c>
      <c r="I451" s="2" t="s">
        <v>195</v>
      </c>
      <c r="J451" s="2" t="s">
        <v>19</v>
      </c>
      <c r="K451" s="2" t="s">
        <v>353</v>
      </c>
      <c r="L451" s="7" t="str">
        <f t="shared" si="3"/>
        <v xml:space="preserve">http://slimages.macys.com/is/image/MCY/11935225 </v>
      </c>
    </row>
    <row r="452" spans="1:12" ht="24.75" x14ac:dyDescent="0.25">
      <c r="A452" s="4" t="s">
        <v>2722</v>
      </c>
      <c r="B452" s="2" t="s">
        <v>1405</v>
      </c>
      <c r="C452" s="3">
        <v>1</v>
      </c>
      <c r="D452" s="5">
        <v>34.880000000000003</v>
      </c>
      <c r="E452" s="3">
        <v>100042372</v>
      </c>
      <c r="F452" s="2" t="s">
        <v>676</v>
      </c>
      <c r="G452" s="6" t="s">
        <v>58</v>
      </c>
      <c r="H452" s="2" t="s">
        <v>194</v>
      </c>
      <c r="I452" s="2" t="s">
        <v>195</v>
      </c>
      <c r="J452" s="2" t="s">
        <v>19</v>
      </c>
      <c r="K452" s="2" t="s">
        <v>353</v>
      </c>
      <c r="L452" s="7" t="str">
        <f t="shared" si="3"/>
        <v xml:space="preserve">http://slimages.macys.com/is/image/MCY/11935225 </v>
      </c>
    </row>
    <row r="453" spans="1:12" ht="24.75" x14ac:dyDescent="0.25">
      <c r="A453" s="4" t="s">
        <v>2723</v>
      </c>
      <c r="B453" s="2" t="s">
        <v>1405</v>
      </c>
      <c r="C453" s="3">
        <v>1</v>
      </c>
      <c r="D453" s="5">
        <v>34.880000000000003</v>
      </c>
      <c r="E453" s="3">
        <v>100042372</v>
      </c>
      <c r="F453" s="2" t="s">
        <v>676</v>
      </c>
      <c r="G453" s="6" t="s">
        <v>22</v>
      </c>
      <c r="H453" s="2" t="s">
        <v>194</v>
      </c>
      <c r="I453" s="2" t="s">
        <v>195</v>
      </c>
      <c r="J453" s="2" t="s">
        <v>19</v>
      </c>
      <c r="K453" s="2" t="s">
        <v>353</v>
      </c>
      <c r="L453" s="7" t="str">
        <f t="shared" si="3"/>
        <v xml:space="preserve">http://slimages.macys.com/is/image/MCY/11935225 </v>
      </c>
    </row>
    <row r="454" spans="1:12" ht="24.75" x14ac:dyDescent="0.25">
      <c r="A454" s="4" t="s">
        <v>4979</v>
      </c>
      <c r="B454" s="2" t="s">
        <v>1405</v>
      </c>
      <c r="C454" s="3">
        <v>1</v>
      </c>
      <c r="D454" s="5">
        <v>34.880000000000003</v>
      </c>
      <c r="E454" s="3">
        <v>100042372</v>
      </c>
      <c r="F454" s="2" t="s">
        <v>94</v>
      </c>
      <c r="G454" s="6" t="s">
        <v>106</v>
      </c>
      <c r="H454" s="2" t="s">
        <v>194</v>
      </c>
      <c r="I454" s="2" t="s">
        <v>195</v>
      </c>
      <c r="J454" s="2" t="s">
        <v>19</v>
      </c>
      <c r="K454" s="2" t="s">
        <v>353</v>
      </c>
      <c r="L454" s="7" t="str">
        <f t="shared" si="3"/>
        <v xml:space="preserve">http://slimages.macys.com/is/image/MCY/11935225 </v>
      </c>
    </row>
    <row r="455" spans="1:12" ht="36.75" x14ac:dyDescent="0.25">
      <c r="A455" s="4" t="s">
        <v>2727</v>
      </c>
      <c r="B455" s="2" t="s">
        <v>1409</v>
      </c>
      <c r="C455" s="3">
        <v>1</v>
      </c>
      <c r="D455" s="5">
        <v>36.5</v>
      </c>
      <c r="E455" s="3" t="s">
        <v>1410</v>
      </c>
      <c r="F455" s="2" t="s">
        <v>170</v>
      </c>
      <c r="G455" s="6" t="s">
        <v>181</v>
      </c>
      <c r="H455" s="2" t="s">
        <v>194</v>
      </c>
      <c r="I455" s="2" t="s">
        <v>195</v>
      </c>
      <c r="J455" s="2" t="s">
        <v>19</v>
      </c>
      <c r="K455" s="2" t="s">
        <v>1411</v>
      </c>
      <c r="L455" s="7" t="str">
        <f>HYPERLINK("http://slimages.macys.com/is/image/MCY/11702017 ")</f>
        <v xml:space="preserve">http://slimages.macys.com/is/image/MCY/11702017 </v>
      </c>
    </row>
    <row r="456" spans="1:12" ht="36.75" x14ac:dyDescent="0.25">
      <c r="A456" s="4" t="s">
        <v>1408</v>
      </c>
      <c r="B456" s="2" t="s">
        <v>1409</v>
      </c>
      <c r="C456" s="3">
        <v>1</v>
      </c>
      <c r="D456" s="5">
        <v>36.5</v>
      </c>
      <c r="E456" s="3" t="s">
        <v>1410</v>
      </c>
      <c r="F456" s="2" t="s">
        <v>170</v>
      </c>
      <c r="G456" s="6" t="s">
        <v>154</v>
      </c>
      <c r="H456" s="2" t="s">
        <v>194</v>
      </c>
      <c r="I456" s="2" t="s">
        <v>195</v>
      </c>
      <c r="J456" s="2" t="s">
        <v>19</v>
      </c>
      <c r="K456" s="2" t="s">
        <v>1411</v>
      </c>
      <c r="L456" s="7" t="str">
        <f>HYPERLINK("http://slimages.macys.com/is/image/MCY/11702017 ")</f>
        <v xml:space="preserve">http://slimages.macys.com/is/image/MCY/11702017 </v>
      </c>
    </row>
    <row r="457" spans="1:12" ht="24.75" x14ac:dyDescent="0.25">
      <c r="A457" s="4" t="s">
        <v>4981</v>
      </c>
      <c r="B457" s="2" t="s">
        <v>2729</v>
      </c>
      <c r="C457" s="3">
        <v>1</v>
      </c>
      <c r="D457" s="5">
        <v>33.380000000000003</v>
      </c>
      <c r="E457" s="3" t="s">
        <v>2730</v>
      </c>
      <c r="F457" s="2" t="s">
        <v>26</v>
      </c>
      <c r="G457" s="6" t="s">
        <v>234</v>
      </c>
      <c r="H457" s="2" t="s">
        <v>194</v>
      </c>
      <c r="I457" s="2" t="s">
        <v>195</v>
      </c>
      <c r="J457" s="2" t="s">
        <v>19</v>
      </c>
      <c r="K457" s="2" t="s">
        <v>990</v>
      </c>
      <c r="L457" s="7" t="str">
        <f>HYPERLINK("http://slimages.macys.com/is/image/MCY/12734313 ")</f>
        <v xml:space="preserve">http://slimages.macys.com/is/image/MCY/12734313 </v>
      </c>
    </row>
    <row r="458" spans="1:12" ht="36.75" x14ac:dyDescent="0.25">
      <c r="A458" s="4" t="s">
        <v>2538</v>
      </c>
      <c r="B458" s="2" t="s">
        <v>1040</v>
      </c>
      <c r="C458" s="3">
        <v>1</v>
      </c>
      <c r="D458" s="5">
        <v>44.63</v>
      </c>
      <c r="E458" s="3" t="s">
        <v>1041</v>
      </c>
      <c r="F458" s="2" t="s">
        <v>94</v>
      </c>
      <c r="G458" s="6" t="s">
        <v>65</v>
      </c>
      <c r="H458" s="2" t="s">
        <v>246</v>
      </c>
      <c r="I458" s="2" t="s">
        <v>487</v>
      </c>
      <c r="J458" s="2" t="s">
        <v>19</v>
      </c>
      <c r="K458" s="2" t="s">
        <v>500</v>
      </c>
      <c r="L458" s="7" t="str">
        <f>HYPERLINK("http://slimages.macys.com/is/image/MCY/11231757 ")</f>
        <v xml:space="preserve">http://slimages.macys.com/is/image/MCY/11231757 </v>
      </c>
    </row>
    <row r="459" spans="1:12" ht="24.75" x14ac:dyDescent="0.25">
      <c r="A459" s="4" t="s">
        <v>8718</v>
      </c>
      <c r="B459" s="2" t="s">
        <v>1416</v>
      </c>
      <c r="C459" s="3">
        <v>1</v>
      </c>
      <c r="D459" s="5">
        <v>21.99</v>
      </c>
      <c r="E459" s="3" t="s">
        <v>8719</v>
      </c>
      <c r="F459" s="2" t="s">
        <v>413</v>
      </c>
      <c r="G459" s="6" t="s">
        <v>27</v>
      </c>
      <c r="H459" s="2" t="s">
        <v>194</v>
      </c>
      <c r="I459" s="2" t="s">
        <v>195</v>
      </c>
      <c r="J459" s="2" t="s">
        <v>19</v>
      </c>
      <c r="K459" s="2" t="s">
        <v>353</v>
      </c>
      <c r="L459" s="7" t="str">
        <f>HYPERLINK("http://slimages.macys.com/is/image/MCY/8141463 ")</f>
        <v xml:space="preserve">http://slimages.macys.com/is/image/MCY/8141463 </v>
      </c>
    </row>
    <row r="460" spans="1:12" ht="24.75" x14ac:dyDescent="0.25">
      <c r="A460" s="4" t="s">
        <v>8720</v>
      </c>
      <c r="B460" s="2" t="s">
        <v>1416</v>
      </c>
      <c r="C460" s="3">
        <v>3</v>
      </c>
      <c r="D460" s="5">
        <v>21.99</v>
      </c>
      <c r="E460" s="3" t="s">
        <v>8719</v>
      </c>
      <c r="F460" s="2" t="s">
        <v>413</v>
      </c>
      <c r="G460" s="6" t="s">
        <v>22</v>
      </c>
      <c r="H460" s="2" t="s">
        <v>194</v>
      </c>
      <c r="I460" s="2" t="s">
        <v>195</v>
      </c>
      <c r="J460" s="2" t="s">
        <v>19</v>
      </c>
      <c r="K460" s="2" t="s">
        <v>353</v>
      </c>
      <c r="L460" s="7" t="str">
        <f>HYPERLINK("http://slimages.macys.com/is/image/MCY/8141463 ")</f>
        <v xml:space="preserve">http://slimages.macys.com/is/image/MCY/8141463 </v>
      </c>
    </row>
    <row r="461" spans="1:12" ht="24.75" x14ac:dyDescent="0.25">
      <c r="A461" s="4" t="s">
        <v>7503</v>
      </c>
      <c r="B461" s="2" t="s">
        <v>1444</v>
      </c>
      <c r="C461" s="3">
        <v>2</v>
      </c>
      <c r="D461" s="5">
        <v>34.880000000000003</v>
      </c>
      <c r="E461" s="3">
        <v>100042376</v>
      </c>
      <c r="F461" s="2" t="s">
        <v>136</v>
      </c>
      <c r="G461" s="6" t="s">
        <v>141</v>
      </c>
      <c r="H461" s="2" t="s">
        <v>194</v>
      </c>
      <c r="I461" s="2" t="s">
        <v>195</v>
      </c>
      <c r="J461" s="2" t="s">
        <v>19</v>
      </c>
      <c r="K461" s="2" t="s">
        <v>353</v>
      </c>
      <c r="L461" s="7" t="str">
        <f>HYPERLINK("http://slimages.macys.com/is/image/MCY/11764758 ")</f>
        <v xml:space="preserve">http://slimages.macys.com/is/image/MCY/11764758 </v>
      </c>
    </row>
    <row r="462" spans="1:12" ht="24.75" x14ac:dyDescent="0.25">
      <c r="A462" s="4" t="s">
        <v>2732</v>
      </c>
      <c r="B462" s="2" t="s">
        <v>1444</v>
      </c>
      <c r="C462" s="3">
        <v>1</v>
      </c>
      <c r="D462" s="5">
        <v>34.880000000000003</v>
      </c>
      <c r="E462" s="3">
        <v>100042376</v>
      </c>
      <c r="F462" s="2" t="s">
        <v>64</v>
      </c>
      <c r="G462" s="6" t="s">
        <v>106</v>
      </c>
      <c r="H462" s="2" t="s">
        <v>194</v>
      </c>
      <c r="I462" s="2" t="s">
        <v>195</v>
      </c>
      <c r="J462" s="2" t="s">
        <v>19</v>
      </c>
      <c r="K462" s="2" t="s">
        <v>353</v>
      </c>
      <c r="L462" s="7" t="str">
        <f>HYPERLINK("http://slimages.macys.com/is/image/MCY/11764758 ")</f>
        <v xml:space="preserve">http://slimages.macys.com/is/image/MCY/11764758 </v>
      </c>
    </row>
    <row r="463" spans="1:12" ht="24.75" x14ac:dyDescent="0.25">
      <c r="A463" s="4" t="s">
        <v>1412</v>
      </c>
      <c r="B463" s="2" t="s">
        <v>1413</v>
      </c>
      <c r="C463" s="3">
        <v>1</v>
      </c>
      <c r="D463" s="5">
        <v>29.5</v>
      </c>
      <c r="E463" s="3" t="s">
        <v>1414</v>
      </c>
      <c r="F463" s="2" t="s">
        <v>79</v>
      </c>
      <c r="G463" s="6" t="s">
        <v>154</v>
      </c>
      <c r="H463" s="2" t="s">
        <v>194</v>
      </c>
      <c r="I463" s="2" t="s">
        <v>195</v>
      </c>
      <c r="J463" s="2" t="s">
        <v>19</v>
      </c>
      <c r="K463" s="2" t="s">
        <v>247</v>
      </c>
      <c r="L463" s="7" t="str">
        <f>HYPERLINK("http://slimages.macys.com/is/image/MCY/12063860 ")</f>
        <v xml:space="preserve">http://slimages.macys.com/is/image/MCY/12063860 </v>
      </c>
    </row>
    <row r="464" spans="1:12" ht="24.75" x14ac:dyDescent="0.25">
      <c r="A464" s="4" t="s">
        <v>8721</v>
      </c>
      <c r="B464" s="2" t="s">
        <v>8722</v>
      </c>
      <c r="C464" s="3">
        <v>1</v>
      </c>
      <c r="D464" s="5">
        <v>24.99</v>
      </c>
      <c r="E464" s="3" t="s">
        <v>8723</v>
      </c>
      <c r="F464" s="2" t="s">
        <v>252</v>
      </c>
      <c r="G464" s="6" t="s">
        <v>245</v>
      </c>
      <c r="H464" s="2" t="s">
        <v>1473</v>
      </c>
      <c r="I464" s="2" t="s">
        <v>1426</v>
      </c>
      <c r="J464" s="2" t="s">
        <v>19</v>
      </c>
      <c r="K464" s="2" t="s">
        <v>1431</v>
      </c>
      <c r="L464" s="7" t="str">
        <f>HYPERLINK("http://slimages.macys.com/is/image/MCY/11774078 ")</f>
        <v xml:space="preserve">http://slimages.macys.com/is/image/MCY/11774078 </v>
      </c>
    </row>
    <row r="465" spans="1:12" ht="24.75" x14ac:dyDescent="0.25">
      <c r="A465" s="4" t="s">
        <v>8724</v>
      </c>
      <c r="B465" s="2" t="s">
        <v>8722</v>
      </c>
      <c r="C465" s="3">
        <v>1</v>
      </c>
      <c r="D465" s="5">
        <v>24.99</v>
      </c>
      <c r="E465" s="3" t="s">
        <v>8723</v>
      </c>
      <c r="F465" s="2" t="s">
        <v>252</v>
      </c>
      <c r="G465" s="6" t="s">
        <v>156</v>
      </c>
      <c r="H465" s="2" t="s">
        <v>1473</v>
      </c>
      <c r="I465" s="2" t="s">
        <v>1426</v>
      </c>
      <c r="J465" s="2" t="s">
        <v>19</v>
      </c>
      <c r="K465" s="2" t="s">
        <v>1431</v>
      </c>
      <c r="L465" s="7" t="str">
        <f>HYPERLINK("http://slimages.macys.com/is/image/MCY/11774078 ")</f>
        <v xml:space="preserve">http://slimages.macys.com/is/image/MCY/11774078 </v>
      </c>
    </row>
    <row r="466" spans="1:12" ht="24.75" x14ac:dyDescent="0.25">
      <c r="A466" s="4" t="s">
        <v>2741</v>
      </c>
      <c r="B466" s="2" t="s">
        <v>1444</v>
      </c>
      <c r="C466" s="3">
        <v>1</v>
      </c>
      <c r="D466" s="5">
        <v>34.880000000000003</v>
      </c>
      <c r="E466" s="3">
        <v>100042376</v>
      </c>
      <c r="F466" s="2" t="s">
        <v>94</v>
      </c>
      <c r="G466" s="6" t="s">
        <v>27</v>
      </c>
      <c r="H466" s="2" t="s">
        <v>194</v>
      </c>
      <c r="I466" s="2" t="s">
        <v>195</v>
      </c>
      <c r="J466" s="2" t="s">
        <v>19</v>
      </c>
      <c r="K466" s="2" t="s">
        <v>353</v>
      </c>
      <c r="L466" s="7" t="str">
        <f>HYPERLINK("http://slimages.macys.com/is/image/MCY/11764758 ")</f>
        <v xml:space="preserve">http://slimages.macys.com/is/image/MCY/11764758 </v>
      </c>
    </row>
    <row r="467" spans="1:12" ht="24.75" x14ac:dyDescent="0.25">
      <c r="A467" s="4" t="s">
        <v>8725</v>
      </c>
      <c r="B467" s="2" t="s">
        <v>1444</v>
      </c>
      <c r="C467" s="3">
        <v>1</v>
      </c>
      <c r="D467" s="5">
        <v>34.880000000000003</v>
      </c>
      <c r="E467" s="3">
        <v>100042376</v>
      </c>
      <c r="F467" s="2" t="s">
        <v>257</v>
      </c>
      <c r="G467" s="6" t="s">
        <v>22</v>
      </c>
      <c r="H467" s="2" t="s">
        <v>194</v>
      </c>
      <c r="I467" s="2" t="s">
        <v>195</v>
      </c>
      <c r="J467" s="2" t="s">
        <v>19</v>
      </c>
      <c r="K467" s="2" t="s">
        <v>353</v>
      </c>
      <c r="L467" s="7" t="str">
        <f>HYPERLINK("http://slimages.macys.com/is/image/MCY/11764758 ")</f>
        <v xml:space="preserve">http://slimages.macys.com/is/image/MCY/11764758 </v>
      </c>
    </row>
    <row r="468" spans="1:12" ht="24.75" x14ac:dyDescent="0.25">
      <c r="A468" s="4" t="s">
        <v>5923</v>
      </c>
      <c r="B468" s="2" t="s">
        <v>1444</v>
      </c>
      <c r="C468" s="3">
        <v>1</v>
      </c>
      <c r="D468" s="5">
        <v>34.880000000000003</v>
      </c>
      <c r="E468" s="3">
        <v>100042376</v>
      </c>
      <c r="F468" s="2" t="s">
        <v>506</v>
      </c>
      <c r="G468" s="6" t="s">
        <v>22</v>
      </c>
      <c r="H468" s="2" t="s">
        <v>194</v>
      </c>
      <c r="I468" s="2" t="s">
        <v>195</v>
      </c>
      <c r="J468" s="2" t="s">
        <v>19</v>
      </c>
      <c r="K468" s="2" t="s">
        <v>353</v>
      </c>
      <c r="L468" s="7" t="str">
        <f>HYPERLINK("http://slimages.macys.com/is/image/MCY/11764758 ")</f>
        <v xml:space="preserve">http://slimages.macys.com/is/image/MCY/11764758 </v>
      </c>
    </row>
    <row r="469" spans="1:12" ht="24.75" x14ac:dyDescent="0.25">
      <c r="A469" s="4" t="s">
        <v>8726</v>
      </c>
      <c r="B469" s="2" t="s">
        <v>1444</v>
      </c>
      <c r="C469" s="3">
        <v>1</v>
      </c>
      <c r="D469" s="5">
        <v>34.880000000000003</v>
      </c>
      <c r="E469" s="3">
        <v>100042376</v>
      </c>
      <c r="F469" s="2" t="s">
        <v>94</v>
      </c>
      <c r="G469" s="6" t="s">
        <v>16</v>
      </c>
      <c r="H469" s="2" t="s">
        <v>194</v>
      </c>
      <c r="I469" s="2" t="s">
        <v>195</v>
      </c>
      <c r="J469" s="2" t="s">
        <v>19</v>
      </c>
      <c r="K469" s="2" t="s">
        <v>353</v>
      </c>
      <c r="L469" s="7" t="str">
        <f>HYPERLINK("http://slimages.macys.com/is/image/MCY/11764758 ")</f>
        <v xml:space="preserve">http://slimages.macys.com/is/image/MCY/11764758 </v>
      </c>
    </row>
    <row r="470" spans="1:12" ht="24.75" x14ac:dyDescent="0.25">
      <c r="A470" s="4" t="s">
        <v>3920</v>
      </c>
      <c r="B470" s="2" t="s">
        <v>1416</v>
      </c>
      <c r="C470" s="3">
        <v>1</v>
      </c>
      <c r="D470" s="5">
        <v>21.99</v>
      </c>
      <c r="E470" s="3" t="s">
        <v>1451</v>
      </c>
      <c r="F470" s="2" t="s">
        <v>79</v>
      </c>
      <c r="G470" s="6" t="s">
        <v>16</v>
      </c>
      <c r="H470" s="2" t="s">
        <v>194</v>
      </c>
      <c r="I470" s="2" t="s">
        <v>195</v>
      </c>
      <c r="J470" s="2" t="s">
        <v>19</v>
      </c>
      <c r="K470" s="2" t="s">
        <v>353</v>
      </c>
      <c r="L470" s="7" t="str">
        <f>HYPERLINK("http://slimages.macys.com/is/image/MCY/12033149 ")</f>
        <v xml:space="preserve">http://slimages.macys.com/is/image/MCY/12033149 </v>
      </c>
    </row>
    <row r="471" spans="1:12" ht="24.75" x14ac:dyDescent="0.25">
      <c r="A471" s="4" t="s">
        <v>8727</v>
      </c>
      <c r="B471" s="2" t="s">
        <v>1416</v>
      </c>
      <c r="C471" s="3">
        <v>1</v>
      </c>
      <c r="D471" s="5">
        <v>21.99</v>
      </c>
      <c r="E471" s="3" t="s">
        <v>1451</v>
      </c>
      <c r="F471" s="2" t="s">
        <v>79</v>
      </c>
      <c r="G471" s="6" t="s">
        <v>106</v>
      </c>
      <c r="H471" s="2" t="s">
        <v>194</v>
      </c>
      <c r="I471" s="2" t="s">
        <v>195</v>
      </c>
      <c r="J471" s="2" t="s">
        <v>19</v>
      </c>
      <c r="K471" s="2" t="s">
        <v>353</v>
      </c>
      <c r="L471" s="7" t="str">
        <f>HYPERLINK("http://slimages.macys.com/is/image/MCY/12033149 ")</f>
        <v xml:space="preserve">http://slimages.macys.com/is/image/MCY/12033149 </v>
      </c>
    </row>
    <row r="472" spans="1:12" ht="24.75" x14ac:dyDescent="0.25">
      <c r="A472" s="4" t="s">
        <v>8728</v>
      </c>
      <c r="B472" s="2" t="s">
        <v>1405</v>
      </c>
      <c r="C472" s="3">
        <v>1</v>
      </c>
      <c r="D472" s="5">
        <v>34.880000000000003</v>
      </c>
      <c r="E472" s="3" t="s">
        <v>5938</v>
      </c>
      <c r="F472" s="2" t="s">
        <v>136</v>
      </c>
      <c r="G472" s="6" t="s">
        <v>802</v>
      </c>
      <c r="H472" s="2" t="s">
        <v>312</v>
      </c>
      <c r="I472" s="2" t="s">
        <v>195</v>
      </c>
      <c r="J472" s="2" t="s">
        <v>19</v>
      </c>
      <c r="K472" s="2" t="s">
        <v>353</v>
      </c>
      <c r="L472" s="7" t="str">
        <f>HYPERLINK("http://slimages.macys.com/is/image/MCY/11465628 ")</f>
        <v xml:space="preserve">http://slimages.macys.com/is/image/MCY/11465628 </v>
      </c>
    </row>
    <row r="473" spans="1:12" ht="24.75" x14ac:dyDescent="0.25">
      <c r="A473" s="4" t="s">
        <v>4996</v>
      </c>
      <c r="B473" s="2" t="s">
        <v>1482</v>
      </c>
      <c r="C473" s="3">
        <v>1</v>
      </c>
      <c r="D473" s="5">
        <v>29.63</v>
      </c>
      <c r="E473" s="3" t="s">
        <v>4997</v>
      </c>
      <c r="F473" s="2" t="s">
        <v>252</v>
      </c>
      <c r="G473" s="6" t="s">
        <v>234</v>
      </c>
      <c r="H473" s="2" t="s">
        <v>194</v>
      </c>
      <c r="I473" s="2" t="s">
        <v>195</v>
      </c>
      <c r="J473" s="2" t="s">
        <v>19</v>
      </c>
      <c r="K473" s="2" t="s">
        <v>1082</v>
      </c>
      <c r="L473" s="7" t="str">
        <f>HYPERLINK("http://slimages.macys.com/is/image/MCY/12734370 ")</f>
        <v xml:space="preserve">http://slimages.macys.com/is/image/MCY/12734370 </v>
      </c>
    </row>
    <row r="474" spans="1:12" ht="24.75" x14ac:dyDescent="0.25">
      <c r="A474" s="4" t="s">
        <v>8228</v>
      </c>
      <c r="B474" s="2" t="s">
        <v>1465</v>
      </c>
      <c r="C474" s="3">
        <v>1</v>
      </c>
      <c r="D474" s="5">
        <v>34.880000000000003</v>
      </c>
      <c r="E474" s="3">
        <v>100054394</v>
      </c>
      <c r="F474" s="2" t="s">
        <v>566</v>
      </c>
      <c r="G474" s="6" t="s">
        <v>16</v>
      </c>
      <c r="H474" s="2" t="s">
        <v>194</v>
      </c>
      <c r="I474" s="2" t="s">
        <v>195</v>
      </c>
      <c r="J474" s="2" t="s">
        <v>19</v>
      </c>
      <c r="K474" s="2" t="s">
        <v>353</v>
      </c>
      <c r="L474" s="7" t="str">
        <f>HYPERLINK("http://slimages.macys.com/is/image/MCY/12404668 ")</f>
        <v xml:space="preserve">http://slimages.macys.com/is/image/MCY/12404668 </v>
      </c>
    </row>
    <row r="475" spans="1:12" ht="24.75" x14ac:dyDescent="0.25">
      <c r="A475" s="4" t="s">
        <v>8729</v>
      </c>
      <c r="B475" s="2" t="s">
        <v>2763</v>
      </c>
      <c r="C475" s="3">
        <v>1</v>
      </c>
      <c r="D475" s="5">
        <v>24.99</v>
      </c>
      <c r="E475" s="3" t="s">
        <v>6693</v>
      </c>
      <c r="F475" s="2" t="s">
        <v>413</v>
      </c>
      <c r="G475" s="6" t="s">
        <v>234</v>
      </c>
      <c r="H475" s="2" t="s">
        <v>1522</v>
      </c>
      <c r="I475" s="2" t="s">
        <v>1469</v>
      </c>
      <c r="J475" s="2" t="s">
        <v>19</v>
      </c>
      <c r="K475" s="2" t="s">
        <v>495</v>
      </c>
      <c r="L475" s="7" t="str">
        <f>HYPERLINK("http://slimages.macys.com/is/image/MCY/12636267 ")</f>
        <v xml:space="preserve">http://slimages.macys.com/is/image/MCY/12636267 </v>
      </c>
    </row>
    <row r="476" spans="1:12" ht="24.75" x14ac:dyDescent="0.25">
      <c r="A476" s="4" t="s">
        <v>8730</v>
      </c>
      <c r="B476" s="2" t="s">
        <v>5006</v>
      </c>
      <c r="C476" s="3">
        <v>3</v>
      </c>
      <c r="D476" s="5">
        <v>26.99</v>
      </c>
      <c r="E476" s="3" t="s">
        <v>5007</v>
      </c>
      <c r="F476" s="2" t="s">
        <v>15</v>
      </c>
      <c r="G476" s="6" t="s">
        <v>27</v>
      </c>
      <c r="H476" s="2" t="s">
        <v>1473</v>
      </c>
      <c r="I476" s="2" t="s">
        <v>1426</v>
      </c>
      <c r="J476" s="2" t="s">
        <v>19</v>
      </c>
      <c r="K476" s="2" t="s">
        <v>353</v>
      </c>
      <c r="L476" s="7" t="str">
        <f t="shared" ref="L476:L481" si="4">HYPERLINK("http://slimages.macys.com/is/image/MCY/11027855 ")</f>
        <v xml:space="preserve">http://slimages.macys.com/is/image/MCY/11027855 </v>
      </c>
    </row>
    <row r="477" spans="1:12" ht="24.75" x14ac:dyDescent="0.25">
      <c r="A477" s="4" t="s">
        <v>8231</v>
      </c>
      <c r="B477" s="2" t="s">
        <v>5006</v>
      </c>
      <c r="C477" s="3">
        <v>2</v>
      </c>
      <c r="D477" s="5">
        <v>26.99</v>
      </c>
      <c r="E477" s="3" t="s">
        <v>5007</v>
      </c>
      <c r="F477" s="2" t="s">
        <v>15</v>
      </c>
      <c r="G477" s="6" t="s">
        <v>112</v>
      </c>
      <c r="H477" s="2" t="s">
        <v>1473</v>
      </c>
      <c r="I477" s="2" t="s">
        <v>1426</v>
      </c>
      <c r="J477" s="2" t="s">
        <v>19</v>
      </c>
      <c r="K477" s="2" t="s">
        <v>353</v>
      </c>
      <c r="L477" s="7" t="str">
        <f t="shared" si="4"/>
        <v xml:space="preserve">http://slimages.macys.com/is/image/MCY/11027855 </v>
      </c>
    </row>
    <row r="478" spans="1:12" ht="24.75" x14ac:dyDescent="0.25">
      <c r="A478" s="4" t="s">
        <v>8731</v>
      </c>
      <c r="B478" s="2" t="s">
        <v>5006</v>
      </c>
      <c r="C478" s="3">
        <v>3</v>
      </c>
      <c r="D478" s="5">
        <v>26.99</v>
      </c>
      <c r="E478" s="3" t="s">
        <v>5007</v>
      </c>
      <c r="F478" s="2" t="s">
        <v>15</v>
      </c>
      <c r="G478" s="6" t="s">
        <v>58</v>
      </c>
      <c r="H478" s="2" t="s">
        <v>1473</v>
      </c>
      <c r="I478" s="2" t="s">
        <v>1426</v>
      </c>
      <c r="J478" s="2" t="s">
        <v>19</v>
      </c>
      <c r="K478" s="2" t="s">
        <v>353</v>
      </c>
      <c r="L478" s="7" t="str">
        <f t="shared" si="4"/>
        <v xml:space="preserve">http://slimages.macys.com/is/image/MCY/11027855 </v>
      </c>
    </row>
    <row r="479" spans="1:12" ht="24.75" x14ac:dyDescent="0.25">
      <c r="A479" s="4" t="s">
        <v>5005</v>
      </c>
      <c r="B479" s="2" t="s">
        <v>5006</v>
      </c>
      <c r="C479" s="3">
        <v>4</v>
      </c>
      <c r="D479" s="5">
        <v>26.99</v>
      </c>
      <c r="E479" s="3" t="s">
        <v>5007</v>
      </c>
      <c r="F479" s="2" t="s">
        <v>15</v>
      </c>
      <c r="G479" s="6" t="s">
        <v>22</v>
      </c>
      <c r="H479" s="2" t="s">
        <v>1473</v>
      </c>
      <c r="I479" s="2" t="s">
        <v>1426</v>
      </c>
      <c r="J479" s="2" t="s">
        <v>19</v>
      </c>
      <c r="K479" s="2" t="s">
        <v>353</v>
      </c>
      <c r="L479" s="7" t="str">
        <f t="shared" si="4"/>
        <v xml:space="preserve">http://slimages.macys.com/is/image/MCY/11027855 </v>
      </c>
    </row>
    <row r="480" spans="1:12" ht="24.75" x14ac:dyDescent="0.25">
      <c r="A480" s="4" t="s">
        <v>8732</v>
      </c>
      <c r="B480" s="2" t="s">
        <v>5006</v>
      </c>
      <c r="C480" s="3">
        <v>5</v>
      </c>
      <c r="D480" s="5">
        <v>26.99</v>
      </c>
      <c r="E480" s="3" t="s">
        <v>5007</v>
      </c>
      <c r="F480" s="2" t="s">
        <v>15</v>
      </c>
      <c r="G480" s="6" t="s">
        <v>16</v>
      </c>
      <c r="H480" s="2" t="s">
        <v>1473</v>
      </c>
      <c r="I480" s="2" t="s">
        <v>1426</v>
      </c>
      <c r="J480" s="2" t="s">
        <v>19</v>
      </c>
      <c r="K480" s="2" t="s">
        <v>353</v>
      </c>
      <c r="L480" s="7" t="str">
        <f t="shared" si="4"/>
        <v xml:space="preserve">http://slimages.macys.com/is/image/MCY/11027855 </v>
      </c>
    </row>
    <row r="481" spans="1:12" ht="24.75" x14ac:dyDescent="0.25">
      <c r="A481" s="4" t="s">
        <v>8733</v>
      </c>
      <c r="B481" s="2" t="s">
        <v>5006</v>
      </c>
      <c r="C481" s="3">
        <v>1</v>
      </c>
      <c r="D481" s="5">
        <v>26.99</v>
      </c>
      <c r="E481" s="3" t="s">
        <v>5007</v>
      </c>
      <c r="F481" s="2" t="s">
        <v>15</v>
      </c>
      <c r="G481" s="6" t="s">
        <v>106</v>
      </c>
      <c r="H481" s="2" t="s">
        <v>1473</v>
      </c>
      <c r="I481" s="2" t="s">
        <v>1426</v>
      </c>
      <c r="J481" s="2" t="s">
        <v>19</v>
      </c>
      <c r="K481" s="2" t="s">
        <v>353</v>
      </c>
      <c r="L481" s="7" t="str">
        <f t="shared" si="4"/>
        <v xml:space="preserve">http://slimages.macys.com/is/image/MCY/11027855 </v>
      </c>
    </row>
    <row r="482" spans="1:12" ht="24.75" x14ac:dyDescent="0.25">
      <c r="A482" s="4" t="s">
        <v>1470</v>
      </c>
      <c r="B482" s="2" t="s">
        <v>1471</v>
      </c>
      <c r="C482" s="3">
        <v>1</v>
      </c>
      <c r="D482" s="5">
        <v>26.99</v>
      </c>
      <c r="E482" s="3" t="s">
        <v>1472</v>
      </c>
      <c r="F482" s="2" t="s">
        <v>15</v>
      </c>
      <c r="G482" s="6" t="s">
        <v>58</v>
      </c>
      <c r="H482" s="2" t="s">
        <v>1473</v>
      </c>
      <c r="I482" s="2" t="s">
        <v>1426</v>
      </c>
      <c r="J482" s="2" t="s">
        <v>19</v>
      </c>
      <c r="K482" s="2" t="s">
        <v>353</v>
      </c>
      <c r="L482" s="7" t="str">
        <f>HYPERLINK("http://slimages.macys.com/is/image/MCY/11989623 ")</f>
        <v xml:space="preserve">http://slimages.macys.com/is/image/MCY/11989623 </v>
      </c>
    </row>
    <row r="483" spans="1:12" ht="24.75" x14ac:dyDescent="0.25">
      <c r="A483" s="4" t="s">
        <v>2761</v>
      </c>
      <c r="B483" s="2" t="s">
        <v>1471</v>
      </c>
      <c r="C483" s="3">
        <v>1</v>
      </c>
      <c r="D483" s="5">
        <v>26.99</v>
      </c>
      <c r="E483" s="3" t="s">
        <v>1472</v>
      </c>
      <c r="F483" s="2" t="s">
        <v>74</v>
      </c>
      <c r="G483" s="6" t="s">
        <v>22</v>
      </c>
      <c r="H483" s="2" t="s">
        <v>1473</v>
      </c>
      <c r="I483" s="2" t="s">
        <v>1426</v>
      </c>
      <c r="J483" s="2" t="s">
        <v>19</v>
      </c>
      <c r="K483" s="2" t="s">
        <v>353</v>
      </c>
      <c r="L483" s="7" t="str">
        <f>HYPERLINK("http://slimages.macys.com/is/image/MCY/11989623 ")</f>
        <v xml:space="preserve">http://slimages.macys.com/is/image/MCY/11989623 </v>
      </c>
    </row>
    <row r="484" spans="1:12" ht="24.75" x14ac:dyDescent="0.25">
      <c r="A484" s="4" t="s">
        <v>8734</v>
      </c>
      <c r="B484" s="2" t="s">
        <v>8735</v>
      </c>
      <c r="C484" s="3">
        <v>1</v>
      </c>
      <c r="D484" s="5">
        <v>37.130000000000003</v>
      </c>
      <c r="E484" s="3" t="s">
        <v>8736</v>
      </c>
      <c r="F484" s="2" t="s">
        <v>64</v>
      </c>
      <c r="G484" s="6" t="s">
        <v>154</v>
      </c>
      <c r="H484" s="2" t="s">
        <v>246</v>
      </c>
      <c r="I484" s="2" t="s">
        <v>189</v>
      </c>
      <c r="J484" s="2" t="s">
        <v>19</v>
      </c>
      <c r="K484" s="2" t="s">
        <v>648</v>
      </c>
      <c r="L484" s="7" t="str">
        <f>HYPERLINK("http://slimages.macys.com/is/image/MCY/12894532 ")</f>
        <v xml:space="preserve">http://slimages.macys.com/is/image/MCY/12894532 </v>
      </c>
    </row>
    <row r="485" spans="1:12" ht="36.75" x14ac:dyDescent="0.25">
      <c r="A485" s="4" t="s">
        <v>8232</v>
      </c>
      <c r="B485" s="2" t="s">
        <v>1482</v>
      </c>
      <c r="C485" s="3">
        <v>1</v>
      </c>
      <c r="D485" s="5">
        <v>32.5</v>
      </c>
      <c r="E485" s="3" t="s">
        <v>1483</v>
      </c>
      <c r="F485" s="2" t="s">
        <v>48</v>
      </c>
      <c r="G485" s="6"/>
      <c r="H485" s="2" t="s">
        <v>312</v>
      </c>
      <c r="I485" s="2" t="s">
        <v>195</v>
      </c>
      <c r="J485" s="2" t="s">
        <v>19</v>
      </c>
      <c r="K485" s="2" t="s">
        <v>1484</v>
      </c>
      <c r="L485" s="7" t="str">
        <f>HYPERLINK("http://slimages.macys.com/is/image/MCY/12064112 ")</f>
        <v xml:space="preserve">http://slimages.macys.com/is/image/MCY/12064112 </v>
      </c>
    </row>
    <row r="486" spans="1:12" ht="36.75" x14ac:dyDescent="0.25">
      <c r="A486" s="4" t="s">
        <v>5012</v>
      </c>
      <c r="B486" s="2" t="s">
        <v>1482</v>
      </c>
      <c r="C486" s="3">
        <v>1</v>
      </c>
      <c r="D486" s="5">
        <v>29.63</v>
      </c>
      <c r="E486" s="3" t="s">
        <v>5013</v>
      </c>
      <c r="F486" s="2" t="s">
        <v>15</v>
      </c>
      <c r="G486" s="6"/>
      <c r="H486" s="2" t="s">
        <v>312</v>
      </c>
      <c r="I486" s="2" t="s">
        <v>195</v>
      </c>
      <c r="J486" s="2" t="s">
        <v>19</v>
      </c>
      <c r="K486" s="2" t="s">
        <v>5014</v>
      </c>
      <c r="L486" s="7" t="str">
        <f>HYPERLINK("http://slimages.macys.com/is/image/MCY/12404964 ")</f>
        <v xml:space="preserve">http://slimages.macys.com/is/image/MCY/12404964 </v>
      </c>
    </row>
    <row r="487" spans="1:12" ht="36.75" x14ac:dyDescent="0.25">
      <c r="A487" s="4" t="s">
        <v>5017</v>
      </c>
      <c r="B487" s="2" t="s">
        <v>1482</v>
      </c>
      <c r="C487" s="3">
        <v>2</v>
      </c>
      <c r="D487" s="5">
        <v>29.63</v>
      </c>
      <c r="E487" s="3" t="s">
        <v>5013</v>
      </c>
      <c r="F487" s="2" t="s">
        <v>15</v>
      </c>
      <c r="G487" s="6"/>
      <c r="H487" s="2" t="s">
        <v>312</v>
      </c>
      <c r="I487" s="2" t="s">
        <v>195</v>
      </c>
      <c r="J487" s="2" t="s">
        <v>19</v>
      </c>
      <c r="K487" s="2" t="s">
        <v>5014</v>
      </c>
      <c r="L487" s="7" t="str">
        <f>HYPERLINK("http://slimages.macys.com/is/image/MCY/12404964 ")</f>
        <v xml:space="preserve">http://slimages.macys.com/is/image/MCY/12404964 </v>
      </c>
    </row>
    <row r="488" spans="1:12" ht="36.75" x14ac:dyDescent="0.25">
      <c r="A488" s="4" t="s">
        <v>5016</v>
      </c>
      <c r="B488" s="2" t="s">
        <v>1482</v>
      </c>
      <c r="C488" s="3">
        <v>4</v>
      </c>
      <c r="D488" s="5">
        <v>32.5</v>
      </c>
      <c r="E488" s="3" t="s">
        <v>1483</v>
      </c>
      <c r="F488" s="2" t="s">
        <v>48</v>
      </c>
      <c r="G488" s="6"/>
      <c r="H488" s="2" t="s">
        <v>312</v>
      </c>
      <c r="I488" s="2" t="s">
        <v>195</v>
      </c>
      <c r="J488" s="2" t="s">
        <v>19</v>
      </c>
      <c r="K488" s="2" t="s">
        <v>1484</v>
      </c>
      <c r="L488" s="7" t="str">
        <f>HYPERLINK("http://slimages.macys.com/is/image/MCY/12064112 ")</f>
        <v xml:space="preserve">http://slimages.macys.com/is/image/MCY/12064112 </v>
      </c>
    </row>
    <row r="489" spans="1:12" ht="24.75" x14ac:dyDescent="0.25">
      <c r="A489" s="4" t="s">
        <v>3934</v>
      </c>
      <c r="B489" s="2" t="s">
        <v>2779</v>
      </c>
      <c r="C489" s="3">
        <v>1</v>
      </c>
      <c r="D489" s="5">
        <v>29.63</v>
      </c>
      <c r="E489" s="3" t="s">
        <v>2780</v>
      </c>
      <c r="F489" s="2" t="s">
        <v>125</v>
      </c>
      <c r="G489" s="6" t="s">
        <v>154</v>
      </c>
      <c r="H489" s="2" t="s">
        <v>194</v>
      </c>
      <c r="I489" s="2" t="s">
        <v>195</v>
      </c>
      <c r="J489" s="2" t="s">
        <v>19</v>
      </c>
      <c r="K489" s="2" t="s">
        <v>247</v>
      </c>
      <c r="L489" s="7" t="str">
        <f>HYPERLINK("http://slimages.macys.com/is/image/MCY/12279859 ")</f>
        <v xml:space="preserve">http://slimages.macys.com/is/image/MCY/12279859 </v>
      </c>
    </row>
    <row r="490" spans="1:12" ht="24.75" x14ac:dyDescent="0.25">
      <c r="A490" s="4" t="s">
        <v>8737</v>
      </c>
      <c r="B490" s="2" t="s">
        <v>2779</v>
      </c>
      <c r="C490" s="3">
        <v>1</v>
      </c>
      <c r="D490" s="5">
        <v>29.63</v>
      </c>
      <c r="E490" s="3" t="s">
        <v>2780</v>
      </c>
      <c r="F490" s="2" t="s">
        <v>125</v>
      </c>
      <c r="G490" s="6" t="s">
        <v>245</v>
      </c>
      <c r="H490" s="2" t="s">
        <v>194</v>
      </c>
      <c r="I490" s="2" t="s">
        <v>195</v>
      </c>
      <c r="J490" s="2" t="s">
        <v>19</v>
      </c>
      <c r="K490" s="2" t="s">
        <v>247</v>
      </c>
      <c r="L490" s="7" t="str">
        <f>HYPERLINK("http://slimages.macys.com/is/image/MCY/12279859 ")</f>
        <v xml:space="preserve">http://slimages.macys.com/is/image/MCY/12279859 </v>
      </c>
    </row>
    <row r="491" spans="1:12" ht="24.75" x14ac:dyDescent="0.25">
      <c r="A491" s="4" t="s">
        <v>1493</v>
      </c>
      <c r="B491" s="2" t="s">
        <v>1494</v>
      </c>
      <c r="C491" s="3">
        <v>1</v>
      </c>
      <c r="D491" s="5">
        <v>24.99</v>
      </c>
      <c r="E491" s="3">
        <v>100011892</v>
      </c>
      <c r="F491" s="2" t="s">
        <v>417</v>
      </c>
      <c r="G491" s="6" t="s">
        <v>141</v>
      </c>
      <c r="H491" s="2" t="s">
        <v>228</v>
      </c>
      <c r="I491" s="2" t="s">
        <v>857</v>
      </c>
      <c r="J491" s="2" t="s">
        <v>19</v>
      </c>
      <c r="K491" s="2" t="s">
        <v>1495</v>
      </c>
      <c r="L491" s="7" t="str">
        <f>HYPERLINK("http://slimages.macys.com/is/image/MCY/12143827 ")</f>
        <v xml:space="preserve">http://slimages.macys.com/is/image/MCY/12143827 </v>
      </c>
    </row>
    <row r="492" spans="1:12" ht="24.75" x14ac:dyDescent="0.25">
      <c r="A492" s="4" t="s">
        <v>8738</v>
      </c>
      <c r="B492" s="2" t="s">
        <v>1516</v>
      </c>
      <c r="C492" s="3">
        <v>1</v>
      </c>
      <c r="D492" s="5">
        <v>24.99</v>
      </c>
      <c r="E492" s="3" t="s">
        <v>1517</v>
      </c>
      <c r="F492" s="2" t="s">
        <v>252</v>
      </c>
      <c r="G492" s="6" t="s">
        <v>58</v>
      </c>
      <c r="H492" s="2" t="s">
        <v>1473</v>
      </c>
      <c r="I492" s="2" t="s">
        <v>1426</v>
      </c>
      <c r="J492" s="2" t="s">
        <v>19</v>
      </c>
      <c r="K492" s="2" t="s">
        <v>353</v>
      </c>
      <c r="L492" s="7" t="str">
        <f>HYPERLINK("http://slimages.macys.com/is/image/MCY/11029826 ")</f>
        <v xml:space="preserve">http://slimages.macys.com/is/image/MCY/11029826 </v>
      </c>
    </row>
    <row r="493" spans="1:12" ht="24.75" x14ac:dyDescent="0.25">
      <c r="A493" s="4" t="s">
        <v>6706</v>
      </c>
      <c r="B493" s="2" t="s">
        <v>1516</v>
      </c>
      <c r="C493" s="3">
        <v>1</v>
      </c>
      <c r="D493" s="5">
        <v>24.99</v>
      </c>
      <c r="E493" s="3" t="s">
        <v>1517</v>
      </c>
      <c r="F493" s="2" t="s">
        <v>15</v>
      </c>
      <c r="G493" s="6" t="s">
        <v>16</v>
      </c>
      <c r="H493" s="2" t="s">
        <v>1473</v>
      </c>
      <c r="I493" s="2" t="s">
        <v>1426</v>
      </c>
      <c r="J493" s="2" t="s">
        <v>19</v>
      </c>
      <c r="K493" s="2" t="s">
        <v>353</v>
      </c>
      <c r="L493" s="7" t="str">
        <f>HYPERLINK("http://slimages.macys.com/is/image/MCY/11029826 ")</f>
        <v xml:space="preserve">http://slimages.macys.com/is/image/MCY/11029826 </v>
      </c>
    </row>
    <row r="494" spans="1:12" ht="24.75" x14ac:dyDescent="0.25">
      <c r="A494" s="4" t="s">
        <v>2803</v>
      </c>
      <c r="B494" s="2" t="s">
        <v>2804</v>
      </c>
      <c r="C494" s="3">
        <v>1</v>
      </c>
      <c r="D494" s="5">
        <v>24.99</v>
      </c>
      <c r="E494" s="3" t="s">
        <v>2805</v>
      </c>
      <c r="F494" s="2" t="s">
        <v>15</v>
      </c>
      <c r="G494" s="6" t="s">
        <v>205</v>
      </c>
      <c r="H494" s="2" t="s">
        <v>1425</v>
      </c>
      <c r="I494" s="2" t="s">
        <v>1426</v>
      </c>
      <c r="J494" s="2" t="s">
        <v>19</v>
      </c>
      <c r="K494" s="2" t="s">
        <v>353</v>
      </c>
      <c r="L494" s="7" t="str">
        <f>HYPERLINK("http://slimages.macys.com/is/image/MCY/11029945 ")</f>
        <v xml:space="preserve">http://slimages.macys.com/is/image/MCY/11029945 </v>
      </c>
    </row>
    <row r="495" spans="1:12" ht="24.75" x14ac:dyDescent="0.25">
      <c r="A495" s="4" t="s">
        <v>8739</v>
      </c>
      <c r="B495" s="2" t="s">
        <v>1516</v>
      </c>
      <c r="C495" s="3">
        <v>1</v>
      </c>
      <c r="D495" s="5">
        <v>24.99</v>
      </c>
      <c r="E495" s="3" t="s">
        <v>1517</v>
      </c>
      <c r="F495" s="2" t="s">
        <v>15</v>
      </c>
      <c r="G495" s="6" t="s">
        <v>112</v>
      </c>
      <c r="H495" s="2" t="s">
        <v>1473</v>
      </c>
      <c r="I495" s="2" t="s">
        <v>1426</v>
      </c>
      <c r="J495" s="2" t="s">
        <v>19</v>
      </c>
      <c r="K495" s="2" t="s">
        <v>353</v>
      </c>
      <c r="L495" s="7" t="str">
        <f>HYPERLINK("http://slimages.macys.com/is/image/MCY/11029826 ")</f>
        <v xml:space="preserve">http://slimages.macys.com/is/image/MCY/11029826 </v>
      </c>
    </row>
    <row r="496" spans="1:12" ht="24.75" x14ac:dyDescent="0.25">
      <c r="A496" s="4" t="s">
        <v>8740</v>
      </c>
      <c r="B496" s="2" t="s">
        <v>7544</v>
      </c>
      <c r="C496" s="3">
        <v>1</v>
      </c>
      <c r="D496" s="5">
        <v>24.99</v>
      </c>
      <c r="E496" s="3" t="s">
        <v>8741</v>
      </c>
      <c r="F496" s="2" t="s">
        <v>74</v>
      </c>
      <c r="G496" s="6"/>
      <c r="H496" s="2" t="s">
        <v>1425</v>
      </c>
      <c r="I496" s="2" t="s">
        <v>1426</v>
      </c>
      <c r="J496" s="2" t="s">
        <v>19</v>
      </c>
      <c r="K496" s="2" t="s">
        <v>648</v>
      </c>
      <c r="L496" s="7" t="str">
        <f>HYPERLINK("http://slimages.macys.com/is/image/MCY/9555145 ")</f>
        <v xml:space="preserve">http://slimages.macys.com/is/image/MCY/9555145 </v>
      </c>
    </row>
    <row r="497" spans="1:12" ht="24.75" x14ac:dyDescent="0.25">
      <c r="A497" s="4" t="s">
        <v>8742</v>
      </c>
      <c r="B497" s="2" t="s">
        <v>8743</v>
      </c>
      <c r="C497" s="3">
        <v>1</v>
      </c>
      <c r="D497" s="5">
        <v>24.99</v>
      </c>
      <c r="E497" s="3" t="s">
        <v>8744</v>
      </c>
      <c r="F497" s="2" t="s">
        <v>74</v>
      </c>
      <c r="G497" s="6"/>
      <c r="H497" s="2" t="s">
        <v>1425</v>
      </c>
      <c r="I497" s="2" t="s">
        <v>1426</v>
      </c>
      <c r="J497" s="2" t="s">
        <v>19</v>
      </c>
      <c r="K497" s="2" t="s">
        <v>338</v>
      </c>
      <c r="L497" s="7" t="str">
        <f>HYPERLINK("http://slimages.macys.com/is/image/MCY/9231711 ")</f>
        <v xml:space="preserve">http://slimages.macys.com/is/image/MCY/9231711 </v>
      </c>
    </row>
    <row r="498" spans="1:12" ht="24.75" x14ac:dyDescent="0.25">
      <c r="A498" s="4" t="s">
        <v>8745</v>
      </c>
      <c r="B498" s="2" t="s">
        <v>8743</v>
      </c>
      <c r="C498" s="3">
        <v>1</v>
      </c>
      <c r="D498" s="5">
        <v>24.99</v>
      </c>
      <c r="E498" s="3" t="s">
        <v>8744</v>
      </c>
      <c r="F498" s="2" t="s">
        <v>74</v>
      </c>
      <c r="G498" s="6"/>
      <c r="H498" s="2" t="s">
        <v>1425</v>
      </c>
      <c r="I498" s="2" t="s">
        <v>1426</v>
      </c>
      <c r="J498" s="2" t="s">
        <v>19</v>
      </c>
      <c r="K498" s="2" t="s">
        <v>338</v>
      </c>
      <c r="L498" s="7" t="str">
        <f>HYPERLINK("http://slimages.macys.com/is/image/MCY/9231711 ")</f>
        <v xml:space="preserve">http://slimages.macys.com/is/image/MCY/9231711 </v>
      </c>
    </row>
    <row r="499" spans="1:12" ht="24.75" x14ac:dyDescent="0.25">
      <c r="A499" s="4" t="s">
        <v>8746</v>
      </c>
      <c r="B499" s="2" t="s">
        <v>1508</v>
      </c>
      <c r="C499" s="3">
        <v>1</v>
      </c>
      <c r="D499" s="5">
        <v>26.99</v>
      </c>
      <c r="E499" s="3" t="s">
        <v>2789</v>
      </c>
      <c r="F499" s="2" t="s">
        <v>417</v>
      </c>
      <c r="G499" s="6" t="s">
        <v>934</v>
      </c>
      <c r="H499" s="2" t="s">
        <v>1425</v>
      </c>
      <c r="I499" s="2" t="s">
        <v>1426</v>
      </c>
      <c r="J499" s="2" t="s">
        <v>19</v>
      </c>
      <c r="K499" s="2" t="s">
        <v>353</v>
      </c>
      <c r="L499" s="7" t="str">
        <f>HYPERLINK("http://slimages.macys.com/is/image/MCY/11029993 ")</f>
        <v xml:space="preserve">http://slimages.macys.com/is/image/MCY/11029993 </v>
      </c>
    </row>
    <row r="500" spans="1:12" ht="24.75" x14ac:dyDescent="0.25">
      <c r="A500" s="4" t="s">
        <v>2802</v>
      </c>
      <c r="B500" s="2" t="s">
        <v>1508</v>
      </c>
      <c r="C500" s="3">
        <v>2</v>
      </c>
      <c r="D500" s="5">
        <v>26.99</v>
      </c>
      <c r="E500" s="3" t="s">
        <v>2789</v>
      </c>
      <c r="F500" s="2" t="s">
        <v>417</v>
      </c>
      <c r="G500" s="6" t="s">
        <v>126</v>
      </c>
      <c r="H500" s="2" t="s">
        <v>1425</v>
      </c>
      <c r="I500" s="2" t="s">
        <v>1426</v>
      </c>
      <c r="J500" s="2" t="s">
        <v>19</v>
      </c>
      <c r="K500" s="2" t="s">
        <v>353</v>
      </c>
      <c r="L500" s="7" t="str">
        <f>HYPERLINK("http://slimages.macys.com/is/image/MCY/11029993 ")</f>
        <v xml:space="preserve">http://slimages.macys.com/is/image/MCY/11029993 </v>
      </c>
    </row>
    <row r="501" spans="1:12" ht="24.75" x14ac:dyDescent="0.25">
      <c r="A501" s="4" t="s">
        <v>5035</v>
      </c>
      <c r="B501" s="2" t="s">
        <v>1508</v>
      </c>
      <c r="C501" s="3">
        <v>2</v>
      </c>
      <c r="D501" s="5">
        <v>26.99</v>
      </c>
      <c r="E501" s="3" t="s">
        <v>2789</v>
      </c>
      <c r="F501" s="2" t="s">
        <v>417</v>
      </c>
      <c r="G501" s="6" t="s">
        <v>165</v>
      </c>
      <c r="H501" s="2" t="s">
        <v>1425</v>
      </c>
      <c r="I501" s="2" t="s">
        <v>1426</v>
      </c>
      <c r="J501" s="2" t="s">
        <v>19</v>
      </c>
      <c r="K501" s="2" t="s">
        <v>353</v>
      </c>
      <c r="L501" s="7" t="str">
        <f>HYPERLINK("http://slimages.macys.com/is/image/MCY/11029993 ")</f>
        <v xml:space="preserve">http://slimages.macys.com/is/image/MCY/11029993 </v>
      </c>
    </row>
    <row r="502" spans="1:12" ht="24.75" x14ac:dyDescent="0.25">
      <c r="A502" s="4" t="s">
        <v>8747</v>
      </c>
      <c r="B502" s="2" t="s">
        <v>5032</v>
      </c>
      <c r="C502" s="3">
        <v>1</v>
      </c>
      <c r="D502" s="5">
        <v>24.99</v>
      </c>
      <c r="E502" s="3" t="s">
        <v>5033</v>
      </c>
      <c r="F502" s="2" t="s">
        <v>413</v>
      </c>
      <c r="G502" s="6"/>
      <c r="H502" s="2" t="s">
        <v>1425</v>
      </c>
      <c r="I502" s="2" t="s">
        <v>1469</v>
      </c>
      <c r="J502" s="2" t="s">
        <v>19</v>
      </c>
      <c r="K502" s="2" t="s">
        <v>990</v>
      </c>
      <c r="L502" s="7" t="str">
        <f>HYPERLINK("http://slimages.macys.com/is/image/MCY/12645266 ")</f>
        <v xml:space="preserve">http://slimages.macys.com/is/image/MCY/12645266 </v>
      </c>
    </row>
    <row r="503" spans="1:12" ht="24.75" x14ac:dyDescent="0.25">
      <c r="A503" s="4" t="s">
        <v>8748</v>
      </c>
      <c r="B503" s="2" t="s">
        <v>5032</v>
      </c>
      <c r="C503" s="3">
        <v>1</v>
      </c>
      <c r="D503" s="5">
        <v>24.99</v>
      </c>
      <c r="E503" s="3" t="s">
        <v>8252</v>
      </c>
      <c r="F503" s="2" t="s">
        <v>15</v>
      </c>
      <c r="G503" s="6" t="s">
        <v>181</v>
      </c>
      <c r="H503" s="2" t="s">
        <v>1522</v>
      </c>
      <c r="I503" s="2" t="s">
        <v>1469</v>
      </c>
      <c r="J503" s="2" t="s">
        <v>19</v>
      </c>
      <c r="K503" s="2" t="s">
        <v>648</v>
      </c>
      <c r="L503" s="7" t="str">
        <f>HYPERLINK("http://slimages.macys.com/is/image/MCY/12645250 ")</f>
        <v xml:space="preserve">http://slimages.macys.com/is/image/MCY/12645250 </v>
      </c>
    </row>
    <row r="504" spans="1:12" ht="24.75" x14ac:dyDescent="0.25">
      <c r="A504" s="4" t="s">
        <v>1504</v>
      </c>
      <c r="B504" s="2" t="s">
        <v>1505</v>
      </c>
      <c r="C504" s="3">
        <v>1</v>
      </c>
      <c r="D504" s="5">
        <v>21.99</v>
      </c>
      <c r="E504" s="3" t="s">
        <v>1506</v>
      </c>
      <c r="F504" s="2" t="s">
        <v>15</v>
      </c>
      <c r="G504" s="6"/>
      <c r="H504" s="2" t="s">
        <v>1425</v>
      </c>
      <c r="I504" s="2" t="s">
        <v>1426</v>
      </c>
      <c r="J504" s="2" t="s">
        <v>19</v>
      </c>
      <c r="K504" s="2" t="s">
        <v>338</v>
      </c>
      <c r="L504" s="7" t="str">
        <f>HYPERLINK("http://slimages.macys.com/is/image/MCY/11456803 ")</f>
        <v xml:space="preserve">http://slimages.macys.com/is/image/MCY/11456803 </v>
      </c>
    </row>
    <row r="505" spans="1:12" ht="24.75" x14ac:dyDescent="0.25">
      <c r="A505" s="4" t="s">
        <v>5037</v>
      </c>
      <c r="B505" s="2" t="s">
        <v>2779</v>
      </c>
      <c r="C505" s="3">
        <v>1</v>
      </c>
      <c r="D505" s="5">
        <v>29.63</v>
      </c>
      <c r="E505" s="3" t="s">
        <v>2810</v>
      </c>
      <c r="F505" s="2" t="s">
        <v>15</v>
      </c>
      <c r="G505" s="6"/>
      <c r="H505" s="2" t="s">
        <v>312</v>
      </c>
      <c r="I505" s="2" t="s">
        <v>195</v>
      </c>
      <c r="J505" s="2" t="s">
        <v>19</v>
      </c>
      <c r="K505" s="2" t="s">
        <v>247</v>
      </c>
      <c r="L505" s="7" t="str">
        <f>HYPERLINK("http://slimages.macys.com/is/image/MCY/12279859 ")</f>
        <v xml:space="preserve">http://slimages.macys.com/is/image/MCY/12279859 </v>
      </c>
    </row>
    <row r="506" spans="1:12" ht="24.75" x14ac:dyDescent="0.25">
      <c r="A506" s="4" t="s">
        <v>2809</v>
      </c>
      <c r="B506" s="2" t="s">
        <v>2779</v>
      </c>
      <c r="C506" s="3">
        <v>3</v>
      </c>
      <c r="D506" s="5">
        <v>29.63</v>
      </c>
      <c r="E506" s="3" t="s">
        <v>2810</v>
      </c>
      <c r="F506" s="2" t="s">
        <v>15</v>
      </c>
      <c r="G506" s="6"/>
      <c r="H506" s="2" t="s">
        <v>312</v>
      </c>
      <c r="I506" s="2" t="s">
        <v>195</v>
      </c>
      <c r="J506" s="2" t="s">
        <v>19</v>
      </c>
      <c r="K506" s="2" t="s">
        <v>247</v>
      </c>
      <c r="L506" s="7" t="str">
        <f>HYPERLINK("http://slimages.macys.com/is/image/MCY/12279859 ")</f>
        <v xml:space="preserve">http://slimages.macys.com/is/image/MCY/12279859 </v>
      </c>
    </row>
    <row r="507" spans="1:12" ht="24.75" x14ac:dyDescent="0.25">
      <c r="A507" s="4" t="s">
        <v>5039</v>
      </c>
      <c r="B507" s="2" t="s">
        <v>5040</v>
      </c>
      <c r="C507" s="3">
        <v>1</v>
      </c>
      <c r="D507" s="5">
        <v>29.63</v>
      </c>
      <c r="E507" s="3">
        <v>100018082</v>
      </c>
      <c r="F507" s="2" t="s">
        <v>15</v>
      </c>
      <c r="G507" s="6" t="s">
        <v>154</v>
      </c>
      <c r="H507" s="2" t="s">
        <v>194</v>
      </c>
      <c r="I507" s="2" t="s">
        <v>195</v>
      </c>
      <c r="J507" s="2" t="s">
        <v>19</v>
      </c>
      <c r="K507" s="2" t="s">
        <v>1082</v>
      </c>
      <c r="L507" s="7" t="str">
        <f>HYPERLINK("http://slimages.macys.com/is/image/MCY/13367475 ")</f>
        <v xml:space="preserve">http://slimages.macys.com/is/image/MCY/13367475 </v>
      </c>
    </row>
    <row r="508" spans="1:12" ht="24.75" x14ac:dyDescent="0.25">
      <c r="A508" s="4" t="s">
        <v>6721</v>
      </c>
      <c r="B508" s="2" t="s">
        <v>5040</v>
      </c>
      <c r="C508" s="3">
        <v>1</v>
      </c>
      <c r="D508" s="5">
        <v>29.63</v>
      </c>
      <c r="E508" s="3">
        <v>100018082</v>
      </c>
      <c r="F508" s="2" t="s">
        <v>15</v>
      </c>
      <c r="G508" s="6" t="s">
        <v>234</v>
      </c>
      <c r="H508" s="2" t="s">
        <v>194</v>
      </c>
      <c r="I508" s="2" t="s">
        <v>195</v>
      </c>
      <c r="J508" s="2" t="s">
        <v>19</v>
      </c>
      <c r="K508" s="2" t="s">
        <v>1082</v>
      </c>
      <c r="L508" s="7" t="str">
        <f>HYPERLINK("http://slimages.macys.com/is/image/MCY/13367475 ")</f>
        <v xml:space="preserve">http://slimages.macys.com/is/image/MCY/13367475 </v>
      </c>
    </row>
    <row r="509" spans="1:12" ht="24.75" x14ac:dyDescent="0.25">
      <c r="A509" s="4" t="s">
        <v>8749</v>
      </c>
      <c r="B509" s="2" t="s">
        <v>1529</v>
      </c>
      <c r="C509" s="3">
        <v>1</v>
      </c>
      <c r="D509" s="5">
        <v>37.130000000000003</v>
      </c>
      <c r="E509" s="3" t="s">
        <v>1530</v>
      </c>
      <c r="F509" s="2" t="s">
        <v>94</v>
      </c>
      <c r="G509" s="6" t="s">
        <v>205</v>
      </c>
      <c r="H509" s="2" t="s">
        <v>312</v>
      </c>
      <c r="I509" s="2" t="s">
        <v>195</v>
      </c>
      <c r="J509" s="2" t="s">
        <v>19</v>
      </c>
      <c r="K509" s="2" t="s">
        <v>353</v>
      </c>
      <c r="L509" s="7" t="str">
        <f>HYPERLINK("http://slimages.macys.com/is/image/MCY/11938040 ")</f>
        <v xml:space="preserve">http://slimages.macys.com/is/image/MCY/11938040 </v>
      </c>
    </row>
    <row r="510" spans="1:12" ht="24.75" x14ac:dyDescent="0.25">
      <c r="A510" s="4" t="s">
        <v>5975</v>
      </c>
      <c r="B510" s="2" t="s">
        <v>2812</v>
      </c>
      <c r="C510" s="3">
        <v>1</v>
      </c>
      <c r="D510" s="5">
        <v>34.5</v>
      </c>
      <c r="E510" s="3">
        <v>100019421</v>
      </c>
      <c r="F510" s="2" t="s">
        <v>417</v>
      </c>
      <c r="G510" s="6" t="s">
        <v>22</v>
      </c>
      <c r="H510" s="2" t="s">
        <v>228</v>
      </c>
      <c r="I510" s="2" t="s">
        <v>229</v>
      </c>
      <c r="J510" s="2" t="s">
        <v>19</v>
      </c>
      <c r="K510" s="2" t="s">
        <v>353</v>
      </c>
      <c r="L510" s="7" t="str">
        <f>HYPERLINK("http://slimages.macys.com/is/image/MCY/11936020 ")</f>
        <v xml:space="preserve">http://slimages.macys.com/is/image/MCY/11936020 </v>
      </c>
    </row>
    <row r="511" spans="1:12" ht="24.75" x14ac:dyDescent="0.25">
      <c r="A511" s="4" t="s">
        <v>8750</v>
      </c>
      <c r="B511" s="2" t="s">
        <v>2812</v>
      </c>
      <c r="C511" s="3">
        <v>1</v>
      </c>
      <c r="D511" s="5">
        <v>34.5</v>
      </c>
      <c r="E511" s="3">
        <v>100019211</v>
      </c>
      <c r="F511" s="2" t="s">
        <v>417</v>
      </c>
      <c r="G511" s="6" t="s">
        <v>141</v>
      </c>
      <c r="H511" s="2" t="s">
        <v>228</v>
      </c>
      <c r="I511" s="2" t="s">
        <v>229</v>
      </c>
      <c r="J511" s="2" t="s">
        <v>19</v>
      </c>
      <c r="K511" s="2" t="s">
        <v>353</v>
      </c>
      <c r="L511" s="7" t="str">
        <f>HYPERLINK("http://slimages.macys.com/is/image/MCY/9504729 ")</f>
        <v xml:space="preserve">http://slimages.macys.com/is/image/MCY/9504729 </v>
      </c>
    </row>
    <row r="512" spans="1:12" ht="24.75" x14ac:dyDescent="0.25">
      <c r="A512" s="4" t="s">
        <v>6723</v>
      </c>
      <c r="B512" s="2" t="s">
        <v>2812</v>
      </c>
      <c r="C512" s="3">
        <v>2</v>
      </c>
      <c r="D512" s="5">
        <v>34.5</v>
      </c>
      <c r="E512" s="3">
        <v>100019211</v>
      </c>
      <c r="F512" s="2" t="s">
        <v>417</v>
      </c>
      <c r="G512" s="6" t="s">
        <v>22</v>
      </c>
      <c r="H512" s="2" t="s">
        <v>228</v>
      </c>
      <c r="I512" s="2" t="s">
        <v>229</v>
      </c>
      <c r="J512" s="2" t="s">
        <v>19</v>
      </c>
      <c r="K512" s="2" t="s">
        <v>353</v>
      </c>
      <c r="L512" s="7" t="str">
        <f>HYPERLINK("http://slimages.macys.com/is/image/MCY/9504729 ")</f>
        <v xml:space="preserve">http://slimages.macys.com/is/image/MCY/9504729 </v>
      </c>
    </row>
    <row r="513" spans="1:12" ht="24.75" x14ac:dyDescent="0.25">
      <c r="A513" s="4" t="s">
        <v>2825</v>
      </c>
      <c r="B513" s="2" t="s">
        <v>1539</v>
      </c>
      <c r="C513" s="3">
        <v>5</v>
      </c>
      <c r="D513" s="5">
        <v>26.99</v>
      </c>
      <c r="E513" s="3" t="s">
        <v>1540</v>
      </c>
      <c r="F513" s="2" t="s">
        <v>252</v>
      </c>
      <c r="G513" s="6" t="s">
        <v>22</v>
      </c>
      <c r="H513" s="2" t="s">
        <v>1473</v>
      </c>
      <c r="I513" s="2" t="s">
        <v>1426</v>
      </c>
      <c r="J513" s="2" t="s">
        <v>19</v>
      </c>
      <c r="K513" s="2" t="s">
        <v>353</v>
      </c>
      <c r="L513" s="7" t="str">
        <f>HYPERLINK("http://slimages.macys.com/is/image/MCY/10786732 ")</f>
        <v xml:space="preserve">http://slimages.macys.com/is/image/MCY/10786732 </v>
      </c>
    </row>
    <row r="514" spans="1:12" ht="24.75" x14ac:dyDescent="0.25">
      <c r="A514" s="4" t="s">
        <v>3963</v>
      </c>
      <c r="B514" s="2" t="s">
        <v>1539</v>
      </c>
      <c r="C514" s="3">
        <v>2</v>
      </c>
      <c r="D514" s="5">
        <v>26.99</v>
      </c>
      <c r="E514" s="3" t="s">
        <v>1548</v>
      </c>
      <c r="F514" s="2" t="s">
        <v>998</v>
      </c>
      <c r="G514" s="6" t="s">
        <v>165</v>
      </c>
      <c r="H514" s="2" t="s">
        <v>1425</v>
      </c>
      <c r="I514" s="2" t="s">
        <v>1426</v>
      </c>
      <c r="J514" s="2" t="s">
        <v>19</v>
      </c>
      <c r="K514" s="2" t="s">
        <v>353</v>
      </c>
      <c r="L514" s="7" t="str">
        <f>HYPERLINK("http://slimages.macys.com/is/image/MCY/11092539 ")</f>
        <v xml:space="preserve">http://slimages.macys.com/is/image/MCY/11092539 </v>
      </c>
    </row>
    <row r="515" spans="1:12" ht="24.75" x14ac:dyDescent="0.25">
      <c r="A515" s="4" t="s">
        <v>2821</v>
      </c>
      <c r="B515" s="2" t="s">
        <v>1539</v>
      </c>
      <c r="C515" s="3">
        <v>2</v>
      </c>
      <c r="D515" s="5">
        <v>26.99</v>
      </c>
      <c r="E515" s="3" t="s">
        <v>1540</v>
      </c>
      <c r="F515" s="2" t="s">
        <v>998</v>
      </c>
      <c r="G515" s="6" t="s">
        <v>112</v>
      </c>
      <c r="H515" s="2" t="s">
        <v>1473</v>
      </c>
      <c r="I515" s="2" t="s">
        <v>1426</v>
      </c>
      <c r="J515" s="2" t="s">
        <v>19</v>
      </c>
      <c r="K515" s="2" t="s">
        <v>353</v>
      </c>
      <c r="L515" s="7" t="str">
        <f t="shared" ref="L515:L537" si="5">HYPERLINK("http://slimages.macys.com/is/image/MCY/10786732 ")</f>
        <v xml:space="preserve">http://slimages.macys.com/is/image/MCY/10786732 </v>
      </c>
    </row>
    <row r="516" spans="1:12" ht="24.75" x14ac:dyDescent="0.25">
      <c r="A516" s="4" t="s">
        <v>2829</v>
      </c>
      <c r="B516" s="2" t="s">
        <v>1539</v>
      </c>
      <c r="C516" s="3">
        <v>1</v>
      </c>
      <c r="D516" s="5">
        <v>26.99</v>
      </c>
      <c r="E516" s="3" t="s">
        <v>1540</v>
      </c>
      <c r="F516" s="2" t="s">
        <v>70</v>
      </c>
      <c r="G516" s="6" t="s">
        <v>112</v>
      </c>
      <c r="H516" s="2" t="s">
        <v>1473</v>
      </c>
      <c r="I516" s="2" t="s">
        <v>1426</v>
      </c>
      <c r="J516" s="2" t="s">
        <v>19</v>
      </c>
      <c r="K516" s="2" t="s">
        <v>353</v>
      </c>
      <c r="L516" s="7" t="str">
        <f t="shared" si="5"/>
        <v xml:space="preserve">http://slimages.macys.com/is/image/MCY/10786732 </v>
      </c>
    </row>
    <row r="517" spans="1:12" ht="24.75" x14ac:dyDescent="0.25">
      <c r="A517" s="4" t="s">
        <v>1551</v>
      </c>
      <c r="B517" s="2" t="s">
        <v>1539</v>
      </c>
      <c r="C517" s="3">
        <v>1</v>
      </c>
      <c r="D517" s="5">
        <v>26.99</v>
      </c>
      <c r="E517" s="3" t="s">
        <v>1540</v>
      </c>
      <c r="F517" s="2" t="s">
        <v>74</v>
      </c>
      <c r="G517" s="6" t="s">
        <v>141</v>
      </c>
      <c r="H517" s="2" t="s">
        <v>1473</v>
      </c>
      <c r="I517" s="2" t="s">
        <v>1426</v>
      </c>
      <c r="J517" s="2" t="s">
        <v>19</v>
      </c>
      <c r="K517" s="2" t="s">
        <v>353</v>
      </c>
      <c r="L517" s="7" t="str">
        <f t="shared" si="5"/>
        <v xml:space="preserve">http://slimages.macys.com/is/image/MCY/10786732 </v>
      </c>
    </row>
    <row r="518" spans="1:12" ht="24.75" x14ac:dyDescent="0.25">
      <c r="A518" s="4" t="s">
        <v>7551</v>
      </c>
      <c r="B518" s="2" t="s">
        <v>1539</v>
      </c>
      <c r="C518" s="3">
        <v>2</v>
      </c>
      <c r="D518" s="5">
        <v>26.99</v>
      </c>
      <c r="E518" s="3" t="s">
        <v>1540</v>
      </c>
      <c r="F518" s="2" t="s">
        <v>15</v>
      </c>
      <c r="G518" s="6" t="s">
        <v>58</v>
      </c>
      <c r="H518" s="2" t="s">
        <v>1473</v>
      </c>
      <c r="I518" s="2" t="s">
        <v>1426</v>
      </c>
      <c r="J518" s="2" t="s">
        <v>19</v>
      </c>
      <c r="K518" s="2" t="s">
        <v>353</v>
      </c>
      <c r="L518" s="7" t="str">
        <f t="shared" si="5"/>
        <v xml:space="preserve">http://slimages.macys.com/is/image/MCY/10786732 </v>
      </c>
    </row>
    <row r="519" spans="1:12" ht="24.75" x14ac:dyDescent="0.25">
      <c r="A519" s="4" t="s">
        <v>2815</v>
      </c>
      <c r="B519" s="2" t="s">
        <v>1539</v>
      </c>
      <c r="C519" s="3">
        <v>2</v>
      </c>
      <c r="D519" s="5">
        <v>26.99</v>
      </c>
      <c r="E519" s="3" t="s">
        <v>1540</v>
      </c>
      <c r="F519" s="2" t="s">
        <v>1234</v>
      </c>
      <c r="G519" s="6" t="s">
        <v>58</v>
      </c>
      <c r="H519" s="2" t="s">
        <v>1473</v>
      </c>
      <c r="I519" s="2" t="s">
        <v>1426</v>
      </c>
      <c r="J519" s="2" t="s">
        <v>19</v>
      </c>
      <c r="K519" s="2" t="s">
        <v>353</v>
      </c>
      <c r="L519" s="7" t="str">
        <f t="shared" si="5"/>
        <v xml:space="preserve">http://slimages.macys.com/is/image/MCY/10786732 </v>
      </c>
    </row>
    <row r="520" spans="1:12" ht="24.75" x14ac:dyDescent="0.25">
      <c r="A520" s="4" t="s">
        <v>8751</v>
      </c>
      <c r="B520" s="2" t="s">
        <v>1539</v>
      </c>
      <c r="C520" s="3">
        <v>2</v>
      </c>
      <c r="D520" s="5">
        <v>26.99</v>
      </c>
      <c r="E520" s="3" t="s">
        <v>1540</v>
      </c>
      <c r="F520" s="2" t="s">
        <v>998</v>
      </c>
      <c r="G520" s="6" t="s">
        <v>141</v>
      </c>
      <c r="H520" s="2" t="s">
        <v>1473</v>
      </c>
      <c r="I520" s="2" t="s">
        <v>1426</v>
      </c>
      <c r="J520" s="2" t="s">
        <v>19</v>
      </c>
      <c r="K520" s="2" t="s">
        <v>353</v>
      </c>
      <c r="L520" s="7" t="str">
        <f t="shared" si="5"/>
        <v xml:space="preserve">http://slimages.macys.com/is/image/MCY/10786732 </v>
      </c>
    </row>
    <row r="521" spans="1:12" ht="24.75" x14ac:dyDescent="0.25">
      <c r="A521" s="4" t="s">
        <v>2820</v>
      </c>
      <c r="B521" s="2" t="s">
        <v>1539</v>
      </c>
      <c r="C521" s="3">
        <v>7</v>
      </c>
      <c r="D521" s="5">
        <v>26.99</v>
      </c>
      <c r="E521" s="3" t="s">
        <v>1540</v>
      </c>
      <c r="F521" s="2" t="s">
        <v>998</v>
      </c>
      <c r="G521" s="6" t="s">
        <v>16</v>
      </c>
      <c r="H521" s="2" t="s">
        <v>1473</v>
      </c>
      <c r="I521" s="2" t="s">
        <v>1426</v>
      </c>
      <c r="J521" s="2" t="s">
        <v>19</v>
      </c>
      <c r="K521" s="2" t="s">
        <v>353</v>
      </c>
      <c r="L521" s="7" t="str">
        <f t="shared" si="5"/>
        <v xml:space="preserve">http://slimages.macys.com/is/image/MCY/10786732 </v>
      </c>
    </row>
    <row r="522" spans="1:12" ht="24.75" x14ac:dyDescent="0.25">
      <c r="A522" s="4" t="s">
        <v>2824</v>
      </c>
      <c r="B522" s="2" t="s">
        <v>1539</v>
      </c>
      <c r="C522" s="3">
        <v>1</v>
      </c>
      <c r="D522" s="5">
        <v>26.99</v>
      </c>
      <c r="E522" s="3" t="s">
        <v>1540</v>
      </c>
      <c r="F522" s="2" t="s">
        <v>1234</v>
      </c>
      <c r="G522" s="6" t="s">
        <v>27</v>
      </c>
      <c r="H522" s="2" t="s">
        <v>1473</v>
      </c>
      <c r="I522" s="2" t="s">
        <v>1426</v>
      </c>
      <c r="J522" s="2" t="s">
        <v>19</v>
      </c>
      <c r="K522" s="2" t="s">
        <v>353</v>
      </c>
      <c r="L522" s="7" t="str">
        <f t="shared" si="5"/>
        <v xml:space="preserve">http://slimages.macys.com/is/image/MCY/10786732 </v>
      </c>
    </row>
    <row r="523" spans="1:12" ht="24.75" x14ac:dyDescent="0.25">
      <c r="A523" s="4" t="s">
        <v>3956</v>
      </c>
      <c r="B523" s="2" t="s">
        <v>1539</v>
      </c>
      <c r="C523" s="3">
        <v>3</v>
      </c>
      <c r="D523" s="5">
        <v>26.99</v>
      </c>
      <c r="E523" s="3" t="s">
        <v>1540</v>
      </c>
      <c r="F523" s="2" t="s">
        <v>15</v>
      </c>
      <c r="G523" s="6" t="s">
        <v>27</v>
      </c>
      <c r="H523" s="2" t="s">
        <v>1473</v>
      </c>
      <c r="I523" s="2" t="s">
        <v>1426</v>
      </c>
      <c r="J523" s="2" t="s">
        <v>19</v>
      </c>
      <c r="K523" s="2" t="s">
        <v>353</v>
      </c>
      <c r="L523" s="7" t="str">
        <f t="shared" si="5"/>
        <v xml:space="preserve">http://slimages.macys.com/is/image/MCY/10786732 </v>
      </c>
    </row>
    <row r="524" spans="1:12" ht="24.75" x14ac:dyDescent="0.25">
      <c r="A524" s="4" t="s">
        <v>2822</v>
      </c>
      <c r="B524" s="2" t="s">
        <v>1539</v>
      </c>
      <c r="C524" s="3">
        <v>4</v>
      </c>
      <c r="D524" s="5">
        <v>26.99</v>
      </c>
      <c r="E524" s="3" t="s">
        <v>1540</v>
      </c>
      <c r="F524" s="2" t="s">
        <v>252</v>
      </c>
      <c r="G524" s="6" t="s">
        <v>27</v>
      </c>
      <c r="H524" s="2" t="s">
        <v>1473</v>
      </c>
      <c r="I524" s="2" t="s">
        <v>1426</v>
      </c>
      <c r="J524" s="2" t="s">
        <v>19</v>
      </c>
      <c r="K524" s="2" t="s">
        <v>353</v>
      </c>
      <c r="L524" s="7" t="str">
        <f t="shared" si="5"/>
        <v xml:space="preserve">http://slimages.macys.com/is/image/MCY/10786732 </v>
      </c>
    </row>
    <row r="525" spans="1:12" ht="24.75" x14ac:dyDescent="0.25">
      <c r="A525" s="4" t="s">
        <v>1552</v>
      </c>
      <c r="B525" s="2" t="s">
        <v>1539</v>
      </c>
      <c r="C525" s="3">
        <v>8</v>
      </c>
      <c r="D525" s="5">
        <v>26.99</v>
      </c>
      <c r="E525" s="3" t="s">
        <v>1540</v>
      </c>
      <c r="F525" s="2" t="s">
        <v>998</v>
      </c>
      <c r="G525" s="6" t="s">
        <v>22</v>
      </c>
      <c r="H525" s="2" t="s">
        <v>1473</v>
      </c>
      <c r="I525" s="2" t="s">
        <v>1426</v>
      </c>
      <c r="J525" s="2" t="s">
        <v>19</v>
      </c>
      <c r="K525" s="2" t="s">
        <v>353</v>
      </c>
      <c r="L525" s="7" t="str">
        <f t="shared" si="5"/>
        <v xml:space="preserve">http://slimages.macys.com/is/image/MCY/10786732 </v>
      </c>
    </row>
    <row r="526" spans="1:12" ht="24.75" x14ac:dyDescent="0.25">
      <c r="A526" s="4" t="s">
        <v>2826</v>
      </c>
      <c r="B526" s="2" t="s">
        <v>1539</v>
      </c>
      <c r="C526" s="3">
        <v>8</v>
      </c>
      <c r="D526" s="5">
        <v>26.99</v>
      </c>
      <c r="E526" s="3" t="s">
        <v>1540</v>
      </c>
      <c r="F526" s="2" t="s">
        <v>998</v>
      </c>
      <c r="G526" s="6" t="s">
        <v>27</v>
      </c>
      <c r="H526" s="2" t="s">
        <v>1473</v>
      </c>
      <c r="I526" s="2" t="s">
        <v>1426</v>
      </c>
      <c r="J526" s="2" t="s">
        <v>19</v>
      </c>
      <c r="K526" s="2" t="s">
        <v>353</v>
      </c>
      <c r="L526" s="7" t="str">
        <f t="shared" si="5"/>
        <v xml:space="preserve">http://slimages.macys.com/is/image/MCY/10786732 </v>
      </c>
    </row>
    <row r="527" spans="1:12" ht="24.75" x14ac:dyDescent="0.25">
      <c r="A527" s="4" t="s">
        <v>1545</v>
      </c>
      <c r="B527" s="2" t="s">
        <v>1539</v>
      </c>
      <c r="C527" s="3">
        <v>8</v>
      </c>
      <c r="D527" s="5">
        <v>26.99</v>
      </c>
      <c r="E527" s="3" t="s">
        <v>1540</v>
      </c>
      <c r="F527" s="2" t="s">
        <v>998</v>
      </c>
      <c r="G527" s="6" t="s">
        <v>58</v>
      </c>
      <c r="H527" s="2" t="s">
        <v>1473</v>
      </c>
      <c r="I527" s="2" t="s">
        <v>1426</v>
      </c>
      <c r="J527" s="2" t="s">
        <v>19</v>
      </c>
      <c r="K527" s="2" t="s">
        <v>353</v>
      </c>
      <c r="L527" s="7" t="str">
        <f t="shared" si="5"/>
        <v xml:space="preserve">http://slimages.macys.com/is/image/MCY/10786732 </v>
      </c>
    </row>
    <row r="528" spans="1:12" ht="24.75" x14ac:dyDescent="0.25">
      <c r="A528" s="4" t="s">
        <v>2823</v>
      </c>
      <c r="B528" s="2" t="s">
        <v>1539</v>
      </c>
      <c r="C528" s="3">
        <v>7</v>
      </c>
      <c r="D528" s="5">
        <v>26.99</v>
      </c>
      <c r="E528" s="3" t="s">
        <v>1540</v>
      </c>
      <c r="F528" s="2" t="s">
        <v>998</v>
      </c>
      <c r="G528" s="6" t="s">
        <v>106</v>
      </c>
      <c r="H528" s="2" t="s">
        <v>1473</v>
      </c>
      <c r="I528" s="2" t="s">
        <v>1426</v>
      </c>
      <c r="J528" s="2" t="s">
        <v>19</v>
      </c>
      <c r="K528" s="2" t="s">
        <v>353</v>
      </c>
      <c r="L528" s="7" t="str">
        <f t="shared" si="5"/>
        <v xml:space="preserve">http://slimages.macys.com/is/image/MCY/10786732 </v>
      </c>
    </row>
    <row r="529" spans="1:12" ht="24.75" x14ac:dyDescent="0.25">
      <c r="A529" s="4" t="s">
        <v>3959</v>
      </c>
      <c r="B529" s="2" t="s">
        <v>1539</v>
      </c>
      <c r="C529" s="3">
        <v>8</v>
      </c>
      <c r="D529" s="5">
        <v>26.99</v>
      </c>
      <c r="E529" s="3" t="s">
        <v>1540</v>
      </c>
      <c r="F529" s="2" t="s">
        <v>252</v>
      </c>
      <c r="G529" s="6" t="s">
        <v>16</v>
      </c>
      <c r="H529" s="2" t="s">
        <v>1473</v>
      </c>
      <c r="I529" s="2" t="s">
        <v>1426</v>
      </c>
      <c r="J529" s="2" t="s">
        <v>19</v>
      </c>
      <c r="K529" s="2" t="s">
        <v>353</v>
      </c>
      <c r="L529" s="7" t="str">
        <f t="shared" si="5"/>
        <v xml:space="preserve">http://slimages.macys.com/is/image/MCY/10786732 </v>
      </c>
    </row>
    <row r="530" spans="1:12" ht="24.75" x14ac:dyDescent="0.25">
      <c r="A530" s="4" t="s">
        <v>3961</v>
      </c>
      <c r="B530" s="2" t="s">
        <v>1539</v>
      </c>
      <c r="C530" s="3">
        <v>1</v>
      </c>
      <c r="D530" s="5">
        <v>26.99</v>
      </c>
      <c r="E530" s="3" t="s">
        <v>1540</v>
      </c>
      <c r="F530" s="2" t="s">
        <v>70</v>
      </c>
      <c r="G530" s="6" t="s">
        <v>58</v>
      </c>
      <c r="H530" s="2" t="s">
        <v>1473</v>
      </c>
      <c r="I530" s="2" t="s">
        <v>1426</v>
      </c>
      <c r="J530" s="2" t="s">
        <v>19</v>
      </c>
      <c r="K530" s="2" t="s">
        <v>353</v>
      </c>
      <c r="L530" s="7" t="str">
        <f t="shared" si="5"/>
        <v xml:space="preserve">http://slimages.macys.com/is/image/MCY/10786732 </v>
      </c>
    </row>
    <row r="531" spans="1:12" ht="24.75" x14ac:dyDescent="0.25">
      <c r="A531" s="4" t="s">
        <v>3960</v>
      </c>
      <c r="B531" s="2" t="s">
        <v>1539</v>
      </c>
      <c r="C531" s="3">
        <v>1</v>
      </c>
      <c r="D531" s="5">
        <v>26.99</v>
      </c>
      <c r="E531" s="3" t="s">
        <v>1540</v>
      </c>
      <c r="F531" s="2" t="s">
        <v>252</v>
      </c>
      <c r="G531" s="6" t="s">
        <v>106</v>
      </c>
      <c r="H531" s="2" t="s">
        <v>1473</v>
      </c>
      <c r="I531" s="2" t="s">
        <v>1426</v>
      </c>
      <c r="J531" s="2" t="s">
        <v>19</v>
      </c>
      <c r="K531" s="2" t="s">
        <v>353</v>
      </c>
      <c r="L531" s="7" t="str">
        <f t="shared" si="5"/>
        <v xml:space="preserve">http://slimages.macys.com/is/image/MCY/10786732 </v>
      </c>
    </row>
    <row r="532" spans="1:12" ht="24.75" x14ac:dyDescent="0.25">
      <c r="A532" s="4" t="s">
        <v>1546</v>
      </c>
      <c r="B532" s="2" t="s">
        <v>1539</v>
      </c>
      <c r="C532" s="3">
        <v>1</v>
      </c>
      <c r="D532" s="5">
        <v>26.99</v>
      </c>
      <c r="E532" s="3" t="s">
        <v>1540</v>
      </c>
      <c r="F532" s="2" t="s">
        <v>15</v>
      </c>
      <c r="G532" s="6" t="s">
        <v>112</v>
      </c>
      <c r="H532" s="2" t="s">
        <v>1473</v>
      </c>
      <c r="I532" s="2" t="s">
        <v>1426</v>
      </c>
      <c r="J532" s="2" t="s">
        <v>19</v>
      </c>
      <c r="K532" s="2" t="s">
        <v>353</v>
      </c>
      <c r="L532" s="7" t="str">
        <f t="shared" si="5"/>
        <v xml:space="preserve">http://slimages.macys.com/is/image/MCY/10786732 </v>
      </c>
    </row>
    <row r="533" spans="1:12" ht="24.75" x14ac:dyDescent="0.25">
      <c r="A533" s="4" t="s">
        <v>1544</v>
      </c>
      <c r="B533" s="2" t="s">
        <v>1539</v>
      </c>
      <c r="C533" s="3">
        <v>1</v>
      </c>
      <c r="D533" s="5">
        <v>26.99</v>
      </c>
      <c r="E533" s="3" t="s">
        <v>1540</v>
      </c>
      <c r="F533" s="2" t="s">
        <v>252</v>
      </c>
      <c r="G533" s="6" t="s">
        <v>112</v>
      </c>
      <c r="H533" s="2" t="s">
        <v>1473</v>
      </c>
      <c r="I533" s="2" t="s">
        <v>1426</v>
      </c>
      <c r="J533" s="2" t="s">
        <v>19</v>
      </c>
      <c r="K533" s="2" t="s">
        <v>353</v>
      </c>
      <c r="L533" s="7" t="str">
        <f t="shared" si="5"/>
        <v xml:space="preserve">http://slimages.macys.com/is/image/MCY/10786732 </v>
      </c>
    </row>
    <row r="534" spans="1:12" ht="24.75" x14ac:dyDescent="0.25">
      <c r="A534" s="4" t="s">
        <v>1542</v>
      </c>
      <c r="B534" s="2" t="s">
        <v>1539</v>
      </c>
      <c r="C534" s="3">
        <v>2</v>
      </c>
      <c r="D534" s="5">
        <v>26.99</v>
      </c>
      <c r="E534" s="3" t="s">
        <v>1540</v>
      </c>
      <c r="F534" s="2" t="s">
        <v>15</v>
      </c>
      <c r="G534" s="6" t="s">
        <v>141</v>
      </c>
      <c r="H534" s="2" t="s">
        <v>1473</v>
      </c>
      <c r="I534" s="2" t="s">
        <v>1426</v>
      </c>
      <c r="J534" s="2" t="s">
        <v>19</v>
      </c>
      <c r="K534" s="2" t="s">
        <v>353</v>
      </c>
      <c r="L534" s="7" t="str">
        <f t="shared" si="5"/>
        <v xml:space="preserve">http://slimages.macys.com/is/image/MCY/10786732 </v>
      </c>
    </row>
    <row r="535" spans="1:12" ht="24.75" x14ac:dyDescent="0.25">
      <c r="A535" s="4" t="s">
        <v>1541</v>
      </c>
      <c r="B535" s="2" t="s">
        <v>1539</v>
      </c>
      <c r="C535" s="3">
        <v>3</v>
      </c>
      <c r="D535" s="5">
        <v>26.99</v>
      </c>
      <c r="E535" s="3" t="s">
        <v>1540</v>
      </c>
      <c r="F535" s="2" t="s">
        <v>15</v>
      </c>
      <c r="G535" s="6" t="s">
        <v>106</v>
      </c>
      <c r="H535" s="2" t="s">
        <v>1473</v>
      </c>
      <c r="I535" s="2" t="s">
        <v>1426</v>
      </c>
      <c r="J535" s="2" t="s">
        <v>19</v>
      </c>
      <c r="K535" s="2" t="s">
        <v>353</v>
      </c>
      <c r="L535" s="7" t="str">
        <f t="shared" si="5"/>
        <v xml:space="preserve">http://slimages.macys.com/is/image/MCY/10786732 </v>
      </c>
    </row>
    <row r="536" spans="1:12" ht="24.75" x14ac:dyDescent="0.25">
      <c r="A536" s="4" t="s">
        <v>3958</v>
      </c>
      <c r="B536" s="2" t="s">
        <v>1539</v>
      </c>
      <c r="C536" s="3">
        <v>4</v>
      </c>
      <c r="D536" s="5">
        <v>26.99</v>
      </c>
      <c r="E536" s="3" t="s">
        <v>1540</v>
      </c>
      <c r="F536" s="2" t="s">
        <v>252</v>
      </c>
      <c r="G536" s="6" t="s">
        <v>58</v>
      </c>
      <c r="H536" s="2" t="s">
        <v>1473</v>
      </c>
      <c r="I536" s="2" t="s">
        <v>1426</v>
      </c>
      <c r="J536" s="2" t="s">
        <v>19</v>
      </c>
      <c r="K536" s="2" t="s">
        <v>353</v>
      </c>
      <c r="L536" s="7" t="str">
        <f t="shared" si="5"/>
        <v xml:space="preserve">http://slimages.macys.com/is/image/MCY/10786732 </v>
      </c>
    </row>
    <row r="537" spans="1:12" ht="24.75" x14ac:dyDescent="0.25">
      <c r="A537" s="4" t="s">
        <v>1538</v>
      </c>
      <c r="B537" s="2" t="s">
        <v>1539</v>
      </c>
      <c r="C537" s="3">
        <v>1</v>
      </c>
      <c r="D537" s="5">
        <v>26.99</v>
      </c>
      <c r="E537" s="3" t="s">
        <v>1540</v>
      </c>
      <c r="F537" s="2" t="s">
        <v>15</v>
      </c>
      <c r="G537" s="6" t="s">
        <v>22</v>
      </c>
      <c r="H537" s="2" t="s">
        <v>1473</v>
      </c>
      <c r="I537" s="2" t="s">
        <v>1426</v>
      </c>
      <c r="J537" s="2" t="s">
        <v>19</v>
      </c>
      <c r="K537" s="2" t="s">
        <v>353</v>
      </c>
      <c r="L537" s="7" t="str">
        <f t="shared" si="5"/>
        <v xml:space="preserve">http://slimages.macys.com/is/image/MCY/10786732 </v>
      </c>
    </row>
    <row r="538" spans="1:12" ht="24.75" x14ac:dyDescent="0.25">
      <c r="A538" s="4" t="s">
        <v>2831</v>
      </c>
      <c r="B538" s="2" t="s">
        <v>1539</v>
      </c>
      <c r="C538" s="3">
        <v>1</v>
      </c>
      <c r="D538" s="5">
        <v>26.99</v>
      </c>
      <c r="E538" s="3" t="s">
        <v>1548</v>
      </c>
      <c r="F538" s="2" t="s">
        <v>998</v>
      </c>
      <c r="G538" s="6" t="s">
        <v>238</v>
      </c>
      <c r="H538" s="2" t="s">
        <v>1425</v>
      </c>
      <c r="I538" s="2" t="s">
        <v>1426</v>
      </c>
      <c r="J538" s="2" t="s">
        <v>19</v>
      </c>
      <c r="K538" s="2" t="s">
        <v>353</v>
      </c>
      <c r="L538" s="7" t="str">
        <f>HYPERLINK("http://slimages.macys.com/is/image/MCY/11092539 ")</f>
        <v xml:space="preserve">http://slimages.macys.com/is/image/MCY/11092539 </v>
      </c>
    </row>
    <row r="539" spans="1:12" ht="24.75" x14ac:dyDescent="0.25">
      <c r="A539" s="4" t="s">
        <v>8752</v>
      </c>
      <c r="B539" s="2" t="s">
        <v>1539</v>
      </c>
      <c r="C539" s="3">
        <v>1</v>
      </c>
      <c r="D539" s="5">
        <v>26.99</v>
      </c>
      <c r="E539" s="3" t="s">
        <v>1548</v>
      </c>
      <c r="F539" s="2" t="s">
        <v>70</v>
      </c>
      <c r="G539" s="6" t="s">
        <v>238</v>
      </c>
      <c r="H539" s="2" t="s">
        <v>1425</v>
      </c>
      <c r="I539" s="2" t="s">
        <v>1426</v>
      </c>
      <c r="J539" s="2" t="s">
        <v>19</v>
      </c>
      <c r="K539" s="2" t="s">
        <v>353</v>
      </c>
      <c r="L539" s="7" t="str">
        <f>HYPERLINK("http://slimages.macys.com/is/image/MCY/11092539 ")</f>
        <v xml:space="preserve">http://slimages.macys.com/is/image/MCY/11092539 </v>
      </c>
    </row>
    <row r="540" spans="1:12" ht="24.75" x14ac:dyDescent="0.25">
      <c r="A540" s="4" t="s">
        <v>1547</v>
      </c>
      <c r="B540" s="2" t="s">
        <v>1539</v>
      </c>
      <c r="C540" s="3">
        <v>1</v>
      </c>
      <c r="D540" s="5">
        <v>26.99</v>
      </c>
      <c r="E540" s="3" t="s">
        <v>1548</v>
      </c>
      <c r="F540" s="2" t="s">
        <v>998</v>
      </c>
      <c r="G540" s="6" t="s">
        <v>934</v>
      </c>
      <c r="H540" s="2" t="s">
        <v>1425</v>
      </c>
      <c r="I540" s="2" t="s">
        <v>1426</v>
      </c>
      <c r="J540" s="2" t="s">
        <v>19</v>
      </c>
      <c r="K540" s="2" t="s">
        <v>353</v>
      </c>
      <c r="L540" s="7" t="str">
        <f>HYPERLINK("http://slimages.macys.com/is/image/MCY/11092539 ")</f>
        <v xml:space="preserve">http://slimages.macys.com/is/image/MCY/11092539 </v>
      </c>
    </row>
    <row r="541" spans="1:12" ht="24.75" x14ac:dyDescent="0.25">
      <c r="A541" s="4" t="s">
        <v>3962</v>
      </c>
      <c r="B541" s="2" t="s">
        <v>1539</v>
      </c>
      <c r="C541" s="3">
        <v>1</v>
      </c>
      <c r="D541" s="5">
        <v>26.99</v>
      </c>
      <c r="E541" s="3" t="s">
        <v>1548</v>
      </c>
      <c r="F541" s="2" t="s">
        <v>252</v>
      </c>
      <c r="G541" s="6" t="s">
        <v>934</v>
      </c>
      <c r="H541" s="2" t="s">
        <v>1425</v>
      </c>
      <c r="I541" s="2" t="s">
        <v>1426</v>
      </c>
      <c r="J541" s="2" t="s">
        <v>19</v>
      </c>
      <c r="K541" s="2" t="s">
        <v>353</v>
      </c>
      <c r="L541" s="7" t="str">
        <f>HYPERLINK("http://slimages.macys.com/is/image/MCY/11092539 ")</f>
        <v xml:space="preserve">http://slimages.macys.com/is/image/MCY/11092539 </v>
      </c>
    </row>
    <row r="542" spans="1:12" ht="24.75" x14ac:dyDescent="0.25">
      <c r="A542" s="4" t="s">
        <v>5044</v>
      </c>
      <c r="B542" s="2" t="s">
        <v>1539</v>
      </c>
      <c r="C542" s="3">
        <v>1</v>
      </c>
      <c r="D542" s="5">
        <v>26.99</v>
      </c>
      <c r="E542" s="3" t="s">
        <v>1548</v>
      </c>
      <c r="F542" s="2" t="s">
        <v>252</v>
      </c>
      <c r="G542" s="6" t="s">
        <v>165</v>
      </c>
      <c r="H542" s="2" t="s">
        <v>1425</v>
      </c>
      <c r="I542" s="2" t="s">
        <v>1426</v>
      </c>
      <c r="J542" s="2" t="s">
        <v>19</v>
      </c>
      <c r="K542" s="2" t="s">
        <v>353</v>
      </c>
      <c r="L542" s="7" t="str">
        <f>HYPERLINK("http://slimages.macys.com/is/image/MCY/11092539 ")</f>
        <v xml:space="preserve">http://slimages.macys.com/is/image/MCY/11092539 </v>
      </c>
    </row>
    <row r="543" spans="1:12" ht="24.75" x14ac:dyDescent="0.25">
      <c r="A543" s="4" t="s">
        <v>8753</v>
      </c>
      <c r="B543" s="2" t="s">
        <v>1539</v>
      </c>
      <c r="C543" s="3">
        <v>2</v>
      </c>
      <c r="D543" s="5">
        <v>26.99</v>
      </c>
      <c r="E543" s="3" t="s">
        <v>1540</v>
      </c>
      <c r="F543" s="2" t="s">
        <v>252</v>
      </c>
      <c r="G543" s="6" t="s">
        <v>141</v>
      </c>
      <c r="H543" s="2" t="s">
        <v>1473</v>
      </c>
      <c r="I543" s="2" t="s">
        <v>1426</v>
      </c>
      <c r="J543" s="2" t="s">
        <v>19</v>
      </c>
      <c r="K543" s="2" t="s">
        <v>353</v>
      </c>
      <c r="L543" s="7" t="str">
        <f>HYPERLINK("http://slimages.macys.com/is/image/MCY/10786732 ")</f>
        <v xml:space="preserve">http://slimages.macys.com/is/image/MCY/10786732 </v>
      </c>
    </row>
    <row r="544" spans="1:12" ht="24.75" x14ac:dyDescent="0.25">
      <c r="A544" s="4" t="s">
        <v>1553</v>
      </c>
      <c r="B544" s="2" t="s">
        <v>1539</v>
      </c>
      <c r="C544" s="3">
        <v>3</v>
      </c>
      <c r="D544" s="5">
        <v>26.99</v>
      </c>
      <c r="E544" s="3" t="s">
        <v>1540</v>
      </c>
      <c r="F544" s="2" t="s">
        <v>15</v>
      </c>
      <c r="G544" s="6" t="s">
        <v>16</v>
      </c>
      <c r="H544" s="2" t="s">
        <v>1473</v>
      </c>
      <c r="I544" s="2" t="s">
        <v>1426</v>
      </c>
      <c r="J544" s="2" t="s">
        <v>19</v>
      </c>
      <c r="K544" s="2" t="s">
        <v>353</v>
      </c>
      <c r="L544" s="7" t="str">
        <f>HYPERLINK("http://slimages.macys.com/is/image/MCY/10786732 ")</f>
        <v xml:space="preserve">http://slimages.macys.com/is/image/MCY/10786732 </v>
      </c>
    </row>
    <row r="545" spans="1:12" ht="24.75" x14ac:dyDescent="0.25">
      <c r="A545" s="4" t="s">
        <v>1557</v>
      </c>
      <c r="B545" s="2" t="s">
        <v>1556</v>
      </c>
      <c r="C545" s="3">
        <v>1</v>
      </c>
      <c r="D545" s="5">
        <v>25.88</v>
      </c>
      <c r="E545" s="3">
        <v>100018059</v>
      </c>
      <c r="F545" s="2" t="s">
        <v>64</v>
      </c>
      <c r="G545" s="6" t="s">
        <v>245</v>
      </c>
      <c r="H545" s="2" t="s">
        <v>194</v>
      </c>
      <c r="I545" s="2" t="s">
        <v>195</v>
      </c>
      <c r="J545" s="2" t="s">
        <v>19</v>
      </c>
      <c r="K545" s="2" t="s">
        <v>648</v>
      </c>
      <c r="L545" s="7" t="str">
        <f>HYPERLINK("http://slimages.macys.com/is/image/MCY/9795496 ")</f>
        <v xml:space="preserve">http://slimages.macys.com/is/image/MCY/9795496 </v>
      </c>
    </row>
    <row r="546" spans="1:12" ht="24.75" x14ac:dyDescent="0.25">
      <c r="A546" s="4" t="s">
        <v>8754</v>
      </c>
      <c r="B546" s="2" t="s">
        <v>6790</v>
      </c>
      <c r="C546" s="3">
        <v>1</v>
      </c>
      <c r="D546" s="5">
        <v>26.99</v>
      </c>
      <c r="E546" s="3" t="s">
        <v>8755</v>
      </c>
      <c r="F546" s="2" t="s">
        <v>74</v>
      </c>
      <c r="G546" s="6" t="s">
        <v>2276</v>
      </c>
      <c r="H546" s="2" t="s">
        <v>349</v>
      </c>
      <c r="I546" s="2" t="s">
        <v>285</v>
      </c>
      <c r="J546" s="2" t="s">
        <v>19</v>
      </c>
      <c r="K546" s="2" t="s">
        <v>247</v>
      </c>
      <c r="L546" s="7" t="str">
        <f>HYPERLINK("http://slimages.macys.com/is/image/MCY/12877143 ")</f>
        <v xml:space="preserve">http://slimages.macys.com/is/image/MCY/12877143 </v>
      </c>
    </row>
    <row r="547" spans="1:12" ht="24.75" x14ac:dyDescent="0.25">
      <c r="A547" s="4" t="s">
        <v>5049</v>
      </c>
      <c r="B547" s="2" t="s">
        <v>1559</v>
      </c>
      <c r="C547" s="3">
        <v>1</v>
      </c>
      <c r="D547" s="5">
        <v>24.99</v>
      </c>
      <c r="E547" s="3" t="s">
        <v>1564</v>
      </c>
      <c r="F547" s="2" t="s">
        <v>26</v>
      </c>
      <c r="G547" s="6"/>
      <c r="H547" s="2" t="s">
        <v>1425</v>
      </c>
      <c r="I547" s="2" t="s">
        <v>1469</v>
      </c>
      <c r="J547" s="2" t="s">
        <v>19</v>
      </c>
      <c r="K547" s="2" t="s">
        <v>353</v>
      </c>
      <c r="L547" s="7" t="str">
        <f>HYPERLINK("http://slimages.macys.com/is/image/MCY/11883694 ")</f>
        <v xml:space="preserve">http://slimages.macys.com/is/image/MCY/11883694 </v>
      </c>
    </row>
    <row r="548" spans="1:12" ht="36.75" x14ac:dyDescent="0.25">
      <c r="A548" s="4" t="s">
        <v>5050</v>
      </c>
      <c r="B548" s="2" t="s">
        <v>1575</v>
      </c>
      <c r="C548" s="3">
        <v>1</v>
      </c>
      <c r="D548" s="5">
        <v>33.380000000000003</v>
      </c>
      <c r="E548" s="3" t="s">
        <v>1576</v>
      </c>
      <c r="F548" s="2" t="s">
        <v>15</v>
      </c>
      <c r="G548" s="6" t="s">
        <v>156</v>
      </c>
      <c r="H548" s="2" t="s">
        <v>194</v>
      </c>
      <c r="I548" s="2" t="s">
        <v>195</v>
      </c>
      <c r="J548" s="2" t="s">
        <v>19</v>
      </c>
      <c r="K548" s="2" t="s">
        <v>1577</v>
      </c>
      <c r="L548" s="7" t="str">
        <f>HYPERLINK("http://slimages.macys.com/is/image/MCY/12734297 ")</f>
        <v xml:space="preserve">http://slimages.macys.com/is/image/MCY/12734297 </v>
      </c>
    </row>
    <row r="549" spans="1:12" ht="36.75" x14ac:dyDescent="0.25">
      <c r="A549" s="4" t="s">
        <v>3974</v>
      </c>
      <c r="B549" s="2" t="s">
        <v>1575</v>
      </c>
      <c r="C549" s="3">
        <v>2</v>
      </c>
      <c r="D549" s="5">
        <v>33.380000000000003</v>
      </c>
      <c r="E549" s="3" t="s">
        <v>1576</v>
      </c>
      <c r="F549" s="2" t="s">
        <v>15</v>
      </c>
      <c r="G549" s="6" t="s">
        <v>181</v>
      </c>
      <c r="H549" s="2" t="s">
        <v>194</v>
      </c>
      <c r="I549" s="2" t="s">
        <v>195</v>
      </c>
      <c r="J549" s="2" t="s">
        <v>19</v>
      </c>
      <c r="K549" s="2" t="s">
        <v>1577</v>
      </c>
      <c r="L549" s="7" t="str">
        <f>HYPERLINK("http://slimages.macys.com/is/image/MCY/12734297 ")</f>
        <v xml:space="preserve">http://slimages.macys.com/is/image/MCY/12734297 </v>
      </c>
    </row>
    <row r="550" spans="1:12" ht="24.75" x14ac:dyDescent="0.25">
      <c r="A550" s="4" t="s">
        <v>3977</v>
      </c>
      <c r="B550" s="2" t="s">
        <v>1600</v>
      </c>
      <c r="C550" s="3">
        <v>1</v>
      </c>
      <c r="D550" s="5">
        <v>21.99</v>
      </c>
      <c r="E550" s="3" t="s">
        <v>1601</v>
      </c>
      <c r="F550" s="2" t="s">
        <v>136</v>
      </c>
      <c r="G550" s="6"/>
      <c r="H550" s="2" t="s">
        <v>1425</v>
      </c>
      <c r="I550" s="2" t="s">
        <v>1426</v>
      </c>
      <c r="J550" s="2"/>
      <c r="K550" s="2"/>
      <c r="L550" s="7" t="str">
        <f>HYPERLINK("http://slimages.macys.com/is/image/MCY/10205122 ")</f>
        <v xml:space="preserve">http://slimages.macys.com/is/image/MCY/10205122 </v>
      </c>
    </row>
    <row r="551" spans="1:12" ht="24.75" x14ac:dyDescent="0.25">
      <c r="A551" s="4" t="s">
        <v>1599</v>
      </c>
      <c r="B551" s="2" t="s">
        <v>1600</v>
      </c>
      <c r="C551" s="3">
        <v>1</v>
      </c>
      <c r="D551" s="5">
        <v>21.99</v>
      </c>
      <c r="E551" s="3" t="s">
        <v>1601</v>
      </c>
      <c r="F551" s="2" t="s">
        <v>74</v>
      </c>
      <c r="G551" s="6"/>
      <c r="H551" s="2" t="s">
        <v>1425</v>
      </c>
      <c r="I551" s="2" t="s">
        <v>1426</v>
      </c>
      <c r="J551" s="2"/>
      <c r="K551" s="2"/>
      <c r="L551" s="7" t="str">
        <f>HYPERLINK("http://slimages.macys.com/is/image/MCY/10205122 ")</f>
        <v xml:space="preserve">http://slimages.macys.com/is/image/MCY/10205122 </v>
      </c>
    </row>
    <row r="552" spans="1:12" ht="24.75" x14ac:dyDescent="0.25">
      <c r="A552" s="4" t="s">
        <v>1603</v>
      </c>
      <c r="B552" s="2" t="s">
        <v>1586</v>
      </c>
      <c r="C552" s="3">
        <v>2</v>
      </c>
      <c r="D552" s="5">
        <v>21.99</v>
      </c>
      <c r="E552" s="3" t="s">
        <v>1587</v>
      </c>
      <c r="F552" s="2" t="s">
        <v>74</v>
      </c>
      <c r="G552" s="6"/>
      <c r="H552" s="2" t="s">
        <v>1425</v>
      </c>
      <c r="I552" s="2" t="s">
        <v>1426</v>
      </c>
      <c r="J552" s="2" t="s">
        <v>19</v>
      </c>
      <c r="K552" s="2" t="s">
        <v>34</v>
      </c>
      <c r="L552" s="7" t="str">
        <f>HYPERLINK("http://slimages.macys.com/is/image/MCY/11174709 ")</f>
        <v xml:space="preserve">http://slimages.macys.com/is/image/MCY/11174709 </v>
      </c>
    </row>
    <row r="553" spans="1:12" ht="24.75" x14ac:dyDescent="0.25">
      <c r="A553" s="4" t="s">
        <v>8756</v>
      </c>
      <c r="B553" s="2" t="s">
        <v>1600</v>
      </c>
      <c r="C553" s="3">
        <v>1</v>
      </c>
      <c r="D553" s="5">
        <v>21.99</v>
      </c>
      <c r="E553" s="3" t="s">
        <v>1601</v>
      </c>
      <c r="F553" s="2" t="s">
        <v>1234</v>
      </c>
      <c r="G553" s="6" t="s">
        <v>187</v>
      </c>
      <c r="H553" s="2" t="s">
        <v>1425</v>
      </c>
      <c r="I553" s="2" t="s">
        <v>1426</v>
      </c>
      <c r="J553" s="2"/>
      <c r="K553" s="2"/>
      <c r="L553" s="7" t="str">
        <f>HYPERLINK("http://slimages.macys.com/is/image/MCY/10205122 ")</f>
        <v xml:space="preserve">http://slimages.macys.com/is/image/MCY/10205122 </v>
      </c>
    </row>
    <row r="554" spans="1:12" ht="24.75" x14ac:dyDescent="0.25">
      <c r="A554" s="4" t="s">
        <v>8757</v>
      </c>
      <c r="B554" s="2" t="s">
        <v>1586</v>
      </c>
      <c r="C554" s="3">
        <v>1</v>
      </c>
      <c r="D554" s="5">
        <v>21.99</v>
      </c>
      <c r="E554" s="3" t="s">
        <v>1587</v>
      </c>
      <c r="F554" s="2" t="s">
        <v>136</v>
      </c>
      <c r="G554" s="6" t="s">
        <v>187</v>
      </c>
      <c r="H554" s="2" t="s">
        <v>1425</v>
      </c>
      <c r="I554" s="2" t="s">
        <v>1426</v>
      </c>
      <c r="J554" s="2" t="s">
        <v>19</v>
      </c>
      <c r="K554" s="2" t="s">
        <v>34</v>
      </c>
      <c r="L554" s="7" t="str">
        <f>HYPERLINK("http://slimages.macys.com/is/image/MCY/11174709 ")</f>
        <v xml:space="preserve">http://slimages.macys.com/is/image/MCY/11174709 </v>
      </c>
    </row>
    <row r="555" spans="1:12" ht="24.75" x14ac:dyDescent="0.25">
      <c r="A555" s="4" t="s">
        <v>5054</v>
      </c>
      <c r="B555" s="2" t="s">
        <v>1600</v>
      </c>
      <c r="C555" s="3">
        <v>2</v>
      </c>
      <c r="D555" s="5">
        <v>21.99</v>
      </c>
      <c r="E555" s="3" t="s">
        <v>1601</v>
      </c>
      <c r="F555" s="2" t="s">
        <v>136</v>
      </c>
      <c r="G555" s="6"/>
      <c r="H555" s="2" t="s">
        <v>1425</v>
      </c>
      <c r="I555" s="2" t="s">
        <v>1426</v>
      </c>
      <c r="J555" s="2"/>
      <c r="K555" s="2"/>
      <c r="L555" s="7" t="str">
        <f>HYPERLINK("http://slimages.macys.com/is/image/MCY/10205122 ")</f>
        <v xml:space="preserve">http://slimages.macys.com/is/image/MCY/10205122 </v>
      </c>
    </row>
    <row r="556" spans="1:12" ht="24.75" x14ac:dyDescent="0.25">
      <c r="A556" s="4" t="s">
        <v>2847</v>
      </c>
      <c r="B556" s="2" t="s">
        <v>1586</v>
      </c>
      <c r="C556" s="3">
        <v>1</v>
      </c>
      <c r="D556" s="5">
        <v>21.99</v>
      </c>
      <c r="E556" s="3" t="s">
        <v>1587</v>
      </c>
      <c r="F556" s="2" t="s">
        <v>136</v>
      </c>
      <c r="G556" s="6"/>
      <c r="H556" s="2" t="s">
        <v>1425</v>
      </c>
      <c r="I556" s="2" t="s">
        <v>1426</v>
      </c>
      <c r="J556" s="2" t="s">
        <v>19</v>
      </c>
      <c r="K556" s="2" t="s">
        <v>34</v>
      </c>
      <c r="L556" s="7" t="str">
        <f>HYPERLINK("http://slimages.macys.com/is/image/MCY/11174709 ")</f>
        <v xml:space="preserve">http://slimages.macys.com/is/image/MCY/11174709 </v>
      </c>
    </row>
    <row r="557" spans="1:12" ht="24.75" x14ac:dyDescent="0.25">
      <c r="A557" s="4" t="s">
        <v>5055</v>
      </c>
      <c r="B557" s="2" t="s">
        <v>1586</v>
      </c>
      <c r="C557" s="3">
        <v>1</v>
      </c>
      <c r="D557" s="5">
        <v>21.99</v>
      </c>
      <c r="E557" s="3" t="s">
        <v>1587</v>
      </c>
      <c r="F557" s="2" t="s">
        <v>1234</v>
      </c>
      <c r="G557" s="6" t="s">
        <v>187</v>
      </c>
      <c r="H557" s="2" t="s">
        <v>1425</v>
      </c>
      <c r="I557" s="2" t="s">
        <v>1426</v>
      </c>
      <c r="J557" s="2" t="s">
        <v>19</v>
      </c>
      <c r="K557" s="2" t="s">
        <v>34</v>
      </c>
      <c r="L557" s="7" t="str">
        <f>HYPERLINK("http://slimages.macys.com/is/image/MCY/11174709 ")</f>
        <v xml:space="preserve">http://slimages.macys.com/is/image/MCY/11174709 </v>
      </c>
    </row>
    <row r="558" spans="1:12" ht="24.75" x14ac:dyDescent="0.25">
      <c r="A558" s="4" t="s">
        <v>2846</v>
      </c>
      <c r="B558" s="2" t="s">
        <v>1586</v>
      </c>
      <c r="C558" s="3">
        <v>1</v>
      </c>
      <c r="D558" s="5">
        <v>21.99</v>
      </c>
      <c r="E558" s="3" t="s">
        <v>1587</v>
      </c>
      <c r="F558" s="2" t="s">
        <v>252</v>
      </c>
      <c r="G558" s="6"/>
      <c r="H558" s="2" t="s">
        <v>1425</v>
      </c>
      <c r="I558" s="2" t="s">
        <v>1426</v>
      </c>
      <c r="J558" s="2" t="s">
        <v>19</v>
      </c>
      <c r="K558" s="2" t="s">
        <v>34</v>
      </c>
      <c r="L558" s="7" t="str">
        <f>HYPERLINK("http://slimages.macys.com/is/image/MCY/11174709 ")</f>
        <v xml:space="preserve">http://slimages.macys.com/is/image/MCY/11174709 </v>
      </c>
    </row>
    <row r="559" spans="1:12" ht="24.75" x14ac:dyDescent="0.25">
      <c r="A559" s="4" t="s">
        <v>2848</v>
      </c>
      <c r="B559" s="2" t="s">
        <v>1600</v>
      </c>
      <c r="C559" s="3">
        <v>1</v>
      </c>
      <c r="D559" s="5">
        <v>21.99</v>
      </c>
      <c r="E559" s="3" t="s">
        <v>1601</v>
      </c>
      <c r="F559" s="2" t="s">
        <v>136</v>
      </c>
      <c r="G559" s="6" t="s">
        <v>187</v>
      </c>
      <c r="H559" s="2" t="s">
        <v>1425</v>
      </c>
      <c r="I559" s="2" t="s">
        <v>1426</v>
      </c>
      <c r="J559" s="2"/>
      <c r="K559" s="2"/>
      <c r="L559" s="7" t="str">
        <f>HYPERLINK("http://slimages.macys.com/is/image/MCY/10205122 ")</f>
        <v xml:space="preserve">http://slimages.macys.com/is/image/MCY/10205122 </v>
      </c>
    </row>
    <row r="560" spans="1:12" ht="24.75" x14ac:dyDescent="0.25">
      <c r="A560" s="4" t="s">
        <v>8758</v>
      </c>
      <c r="B560" s="2" t="s">
        <v>1586</v>
      </c>
      <c r="C560" s="3">
        <v>1</v>
      </c>
      <c r="D560" s="5">
        <v>21.99</v>
      </c>
      <c r="E560" s="3" t="s">
        <v>1587</v>
      </c>
      <c r="F560" s="2" t="s">
        <v>70</v>
      </c>
      <c r="G560" s="6"/>
      <c r="H560" s="2" t="s">
        <v>1425</v>
      </c>
      <c r="I560" s="2" t="s">
        <v>1426</v>
      </c>
      <c r="J560" s="2" t="s">
        <v>19</v>
      </c>
      <c r="K560" s="2" t="s">
        <v>34</v>
      </c>
      <c r="L560" s="7" t="str">
        <f>HYPERLINK("http://slimages.macys.com/is/image/MCY/11174709 ")</f>
        <v xml:space="preserve">http://slimages.macys.com/is/image/MCY/11174709 </v>
      </c>
    </row>
    <row r="561" spans="1:12" ht="24.75" x14ac:dyDescent="0.25">
      <c r="A561" s="4" t="s">
        <v>2852</v>
      </c>
      <c r="B561" s="2" t="s">
        <v>1600</v>
      </c>
      <c r="C561" s="3">
        <v>1</v>
      </c>
      <c r="D561" s="5">
        <v>21.99</v>
      </c>
      <c r="E561" s="3" t="s">
        <v>1601</v>
      </c>
      <c r="F561" s="2" t="s">
        <v>15</v>
      </c>
      <c r="G561" s="6"/>
      <c r="H561" s="2" t="s">
        <v>1425</v>
      </c>
      <c r="I561" s="2" t="s">
        <v>1426</v>
      </c>
      <c r="J561" s="2"/>
      <c r="K561" s="2"/>
      <c r="L561" s="7" t="str">
        <f>HYPERLINK("http://slimages.macys.com/is/image/MCY/10205122 ")</f>
        <v xml:space="preserve">http://slimages.macys.com/is/image/MCY/10205122 </v>
      </c>
    </row>
    <row r="562" spans="1:12" ht="24.75" x14ac:dyDescent="0.25">
      <c r="A562" s="4" t="s">
        <v>2854</v>
      </c>
      <c r="B562" s="2" t="s">
        <v>1586</v>
      </c>
      <c r="C562" s="3">
        <v>3</v>
      </c>
      <c r="D562" s="5">
        <v>21.99</v>
      </c>
      <c r="E562" s="3" t="s">
        <v>1587</v>
      </c>
      <c r="F562" s="2" t="s">
        <v>136</v>
      </c>
      <c r="G562" s="6"/>
      <c r="H562" s="2" t="s">
        <v>1425</v>
      </c>
      <c r="I562" s="2" t="s">
        <v>1426</v>
      </c>
      <c r="J562" s="2" t="s">
        <v>19</v>
      </c>
      <c r="K562" s="2" t="s">
        <v>34</v>
      </c>
      <c r="L562" s="7" t="str">
        <f>HYPERLINK("http://slimages.macys.com/is/image/MCY/11174709 ")</f>
        <v xml:space="preserve">http://slimages.macys.com/is/image/MCY/11174709 </v>
      </c>
    </row>
    <row r="563" spans="1:12" ht="24.75" x14ac:dyDescent="0.25">
      <c r="A563" s="4" t="s">
        <v>1606</v>
      </c>
      <c r="B563" s="2" t="s">
        <v>1600</v>
      </c>
      <c r="C563" s="3">
        <v>1</v>
      </c>
      <c r="D563" s="5">
        <v>21.99</v>
      </c>
      <c r="E563" s="3" t="s">
        <v>1601</v>
      </c>
      <c r="F563" s="2" t="s">
        <v>74</v>
      </c>
      <c r="G563" s="6"/>
      <c r="H563" s="2" t="s">
        <v>1425</v>
      </c>
      <c r="I563" s="2" t="s">
        <v>1426</v>
      </c>
      <c r="J563" s="2"/>
      <c r="K563" s="2"/>
      <c r="L563" s="7" t="str">
        <f>HYPERLINK("http://slimages.macys.com/is/image/MCY/10205122 ")</f>
        <v xml:space="preserve">http://slimages.macys.com/is/image/MCY/10205122 </v>
      </c>
    </row>
    <row r="564" spans="1:12" ht="24.75" x14ac:dyDescent="0.25">
      <c r="A564" s="4" t="s">
        <v>7561</v>
      </c>
      <c r="B564" s="2" t="s">
        <v>1586</v>
      </c>
      <c r="C564" s="3">
        <v>2</v>
      </c>
      <c r="D564" s="5">
        <v>21.99</v>
      </c>
      <c r="E564" s="3" t="s">
        <v>1587</v>
      </c>
      <c r="F564" s="2" t="s">
        <v>1234</v>
      </c>
      <c r="G564" s="6" t="s">
        <v>219</v>
      </c>
      <c r="H564" s="2" t="s">
        <v>1425</v>
      </c>
      <c r="I564" s="2" t="s">
        <v>1426</v>
      </c>
      <c r="J564" s="2" t="s">
        <v>19</v>
      </c>
      <c r="K564" s="2" t="s">
        <v>34</v>
      </c>
      <c r="L564" s="7" t="str">
        <f>HYPERLINK("http://slimages.macys.com/is/image/MCY/11174709 ")</f>
        <v xml:space="preserve">http://slimages.macys.com/is/image/MCY/11174709 </v>
      </c>
    </row>
    <row r="565" spans="1:12" ht="24.75" x14ac:dyDescent="0.25">
      <c r="A565" s="4" t="s">
        <v>5052</v>
      </c>
      <c r="B565" s="2" t="s">
        <v>1600</v>
      </c>
      <c r="C565" s="3">
        <v>1</v>
      </c>
      <c r="D565" s="5">
        <v>21.99</v>
      </c>
      <c r="E565" s="3" t="s">
        <v>1601</v>
      </c>
      <c r="F565" s="2" t="s">
        <v>15</v>
      </c>
      <c r="G565" s="6"/>
      <c r="H565" s="2" t="s">
        <v>1425</v>
      </c>
      <c r="I565" s="2" t="s">
        <v>1426</v>
      </c>
      <c r="J565" s="2"/>
      <c r="K565" s="2"/>
      <c r="L565" s="7" t="str">
        <f>HYPERLINK("http://slimages.macys.com/is/image/MCY/10205122 ")</f>
        <v xml:space="preserve">http://slimages.macys.com/is/image/MCY/10205122 </v>
      </c>
    </row>
    <row r="566" spans="1:12" ht="24.75" x14ac:dyDescent="0.25">
      <c r="A566" s="4" t="s">
        <v>1611</v>
      </c>
      <c r="B566" s="2" t="s">
        <v>1612</v>
      </c>
      <c r="C566" s="3">
        <v>1</v>
      </c>
      <c r="D566" s="5">
        <v>19.989999999999998</v>
      </c>
      <c r="E566" s="3" t="s">
        <v>1613</v>
      </c>
      <c r="F566" s="2" t="s">
        <v>1614</v>
      </c>
      <c r="G566" s="6" t="s">
        <v>234</v>
      </c>
      <c r="H566" s="2" t="s">
        <v>194</v>
      </c>
      <c r="I566" s="2" t="s">
        <v>195</v>
      </c>
      <c r="J566" s="2" t="s">
        <v>19</v>
      </c>
      <c r="K566" s="2" t="s">
        <v>247</v>
      </c>
      <c r="L566" s="7" t="str">
        <f>HYPERLINK("http://slimages.macys.com/is/image/MCY/11261943 ")</f>
        <v xml:space="preserve">http://slimages.macys.com/is/image/MCY/11261943 </v>
      </c>
    </row>
    <row r="567" spans="1:12" ht="24.75" x14ac:dyDescent="0.25">
      <c r="A567" s="4" t="s">
        <v>1621</v>
      </c>
      <c r="B567" s="2" t="s">
        <v>1529</v>
      </c>
      <c r="C567" s="3">
        <v>1</v>
      </c>
      <c r="D567" s="5">
        <v>37.130000000000003</v>
      </c>
      <c r="E567" s="3" t="s">
        <v>1530</v>
      </c>
      <c r="F567" s="2" t="s">
        <v>998</v>
      </c>
      <c r="G567" s="6" t="s">
        <v>205</v>
      </c>
      <c r="H567" s="2" t="s">
        <v>312</v>
      </c>
      <c r="I567" s="2" t="s">
        <v>195</v>
      </c>
      <c r="J567" s="2" t="s">
        <v>19</v>
      </c>
      <c r="K567" s="2" t="s">
        <v>353</v>
      </c>
      <c r="L567" s="7" t="str">
        <f>HYPERLINK("http://slimages.macys.com/is/image/MCY/11938040 ")</f>
        <v xml:space="preserve">http://slimages.macys.com/is/image/MCY/11938040 </v>
      </c>
    </row>
    <row r="568" spans="1:12" ht="24.75" x14ac:dyDescent="0.25">
      <c r="A568" s="4" t="s">
        <v>1625</v>
      </c>
      <c r="B568" s="2" t="s">
        <v>1529</v>
      </c>
      <c r="C568" s="3">
        <v>1</v>
      </c>
      <c r="D568" s="5">
        <v>37.130000000000003</v>
      </c>
      <c r="E568" s="3" t="s">
        <v>1530</v>
      </c>
      <c r="F568" s="2" t="s">
        <v>998</v>
      </c>
      <c r="G568" s="6" t="s">
        <v>126</v>
      </c>
      <c r="H568" s="2" t="s">
        <v>312</v>
      </c>
      <c r="I568" s="2" t="s">
        <v>195</v>
      </c>
      <c r="J568" s="2" t="s">
        <v>19</v>
      </c>
      <c r="K568" s="2" t="s">
        <v>353</v>
      </c>
      <c r="L568" s="7" t="str">
        <f>HYPERLINK("http://slimages.macys.com/is/image/MCY/11938040 ")</f>
        <v xml:space="preserve">http://slimages.macys.com/is/image/MCY/11938040 </v>
      </c>
    </row>
    <row r="569" spans="1:12" ht="24.75" x14ac:dyDescent="0.25">
      <c r="A569" s="4" t="s">
        <v>1622</v>
      </c>
      <c r="B569" s="2" t="s">
        <v>1529</v>
      </c>
      <c r="C569" s="3">
        <v>2</v>
      </c>
      <c r="D569" s="5">
        <v>37.130000000000003</v>
      </c>
      <c r="E569" s="3" t="s">
        <v>1530</v>
      </c>
      <c r="F569" s="2" t="s">
        <v>998</v>
      </c>
      <c r="G569" s="6" t="s">
        <v>802</v>
      </c>
      <c r="H569" s="2" t="s">
        <v>312</v>
      </c>
      <c r="I569" s="2" t="s">
        <v>195</v>
      </c>
      <c r="J569" s="2" t="s">
        <v>19</v>
      </c>
      <c r="K569" s="2" t="s">
        <v>353</v>
      </c>
      <c r="L569" s="7" t="str">
        <f>HYPERLINK("http://slimages.macys.com/is/image/MCY/11938040 ")</f>
        <v xml:space="preserve">http://slimages.macys.com/is/image/MCY/11938040 </v>
      </c>
    </row>
    <row r="570" spans="1:12" ht="24.75" x14ac:dyDescent="0.25">
      <c r="A570" s="4" t="s">
        <v>8759</v>
      </c>
      <c r="B570" s="2" t="s">
        <v>2859</v>
      </c>
      <c r="C570" s="3">
        <v>2</v>
      </c>
      <c r="D570" s="5">
        <v>24.99</v>
      </c>
      <c r="E570" s="3" t="s">
        <v>2860</v>
      </c>
      <c r="F570" s="2" t="s">
        <v>252</v>
      </c>
      <c r="G570" s="6" t="s">
        <v>219</v>
      </c>
      <c r="H570" s="2" t="s">
        <v>1425</v>
      </c>
      <c r="I570" s="2" t="s">
        <v>1426</v>
      </c>
      <c r="J570" s="2" t="s">
        <v>19</v>
      </c>
      <c r="K570" s="2" t="s">
        <v>648</v>
      </c>
      <c r="L570" s="7" t="str">
        <f>HYPERLINK("http://slimages.macys.com/is/image/MCY/11915841 ")</f>
        <v xml:space="preserve">http://slimages.macys.com/is/image/MCY/11915841 </v>
      </c>
    </row>
    <row r="571" spans="1:12" ht="24.75" x14ac:dyDescent="0.25">
      <c r="A571" s="4" t="s">
        <v>5057</v>
      </c>
      <c r="B571" s="2" t="s">
        <v>2856</v>
      </c>
      <c r="C571" s="3">
        <v>1</v>
      </c>
      <c r="D571" s="5">
        <v>24.99</v>
      </c>
      <c r="E571" s="3" t="s">
        <v>2857</v>
      </c>
      <c r="F571" s="2" t="s">
        <v>15</v>
      </c>
      <c r="G571" s="6"/>
      <c r="H571" s="2" t="s">
        <v>1425</v>
      </c>
      <c r="I571" s="2" t="s">
        <v>1426</v>
      </c>
      <c r="J571" s="2" t="s">
        <v>19</v>
      </c>
      <c r="K571" s="2" t="s">
        <v>495</v>
      </c>
      <c r="L571" s="7" t="str">
        <f>HYPERLINK("http://slimages.macys.com/is/image/MCY/11831271 ")</f>
        <v xml:space="preserve">http://slimages.macys.com/is/image/MCY/11831271 </v>
      </c>
    </row>
    <row r="572" spans="1:12" ht="24.75" x14ac:dyDescent="0.25">
      <c r="A572" s="4" t="s">
        <v>8760</v>
      </c>
      <c r="B572" s="2" t="s">
        <v>6746</v>
      </c>
      <c r="C572" s="3">
        <v>1</v>
      </c>
      <c r="D572" s="5">
        <v>24.99</v>
      </c>
      <c r="E572" s="3" t="s">
        <v>6747</v>
      </c>
      <c r="F572" s="2" t="s">
        <v>26</v>
      </c>
      <c r="G572" s="6"/>
      <c r="H572" s="2" t="s">
        <v>1425</v>
      </c>
      <c r="I572" s="2" t="s">
        <v>1426</v>
      </c>
      <c r="J572" s="2" t="s">
        <v>19</v>
      </c>
      <c r="K572" s="2" t="s">
        <v>990</v>
      </c>
      <c r="L572" s="7" t="str">
        <f>HYPERLINK("http://slimages.macys.com/is/image/MCY/9434403 ")</f>
        <v xml:space="preserve">http://slimages.macys.com/is/image/MCY/9434403 </v>
      </c>
    </row>
    <row r="573" spans="1:12" ht="24.75" x14ac:dyDescent="0.25">
      <c r="A573" s="4" t="s">
        <v>5060</v>
      </c>
      <c r="B573" s="2" t="s">
        <v>2856</v>
      </c>
      <c r="C573" s="3">
        <v>2</v>
      </c>
      <c r="D573" s="5">
        <v>24.99</v>
      </c>
      <c r="E573" s="3" t="s">
        <v>2857</v>
      </c>
      <c r="F573" s="2" t="s">
        <v>15</v>
      </c>
      <c r="G573" s="6" t="s">
        <v>219</v>
      </c>
      <c r="H573" s="2" t="s">
        <v>1425</v>
      </c>
      <c r="I573" s="2" t="s">
        <v>1426</v>
      </c>
      <c r="J573" s="2" t="s">
        <v>19</v>
      </c>
      <c r="K573" s="2" t="s">
        <v>495</v>
      </c>
      <c r="L573" s="7" t="str">
        <f>HYPERLINK("http://slimages.macys.com/is/image/MCY/11831271 ")</f>
        <v xml:space="preserve">http://slimages.macys.com/is/image/MCY/11831271 </v>
      </c>
    </row>
    <row r="574" spans="1:12" ht="24.75" x14ac:dyDescent="0.25">
      <c r="A574" s="4" t="s">
        <v>8761</v>
      </c>
      <c r="B574" s="2" t="s">
        <v>2862</v>
      </c>
      <c r="C574" s="3">
        <v>1</v>
      </c>
      <c r="D574" s="5">
        <v>24.99</v>
      </c>
      <c r="E574" s="3" t="s">
        <v>2863</v>
      </c>
      <c r="F574" s="2" t="s">
        <v>15</v>
      </c>
      <c r="G574" s="6"/>
      <c r="H574" s="2" t="s">
        <v>1425</v>
      </c>
      <c r="I574" s="2" t="s">
        <v>1426</v>
      </c>
      <c r="J574" s="2" t="s">
        <v>19</v>
      </c>
      <c r="K574" s="2" t="s">
        <v>648</v>
      </c>
      <c r="L574" s="7" t="str">
        <f>HYPERLINK("http://slimages.macys.com/is/image/MCY/12269110 ")</f>
        <v xml:space="preserve">http://slimages.macys.com/is/image/MCY/12269110 </v>
      </c>
    </row>
    <row r="575" spans="1:12" ht="24.75" x14ac:dyDescent="0.25">
      <c r="A575" s="4" t="s">
        <v>1630</v>
      </c>
      <c r="B575" s="2" t="s">
        <v>1627</v>
      </c>
      <c r="C575" s="3">
        <v>1</v>
      </c>
      <c r="D575" s="5">
        <v>25.88</v>
      </c>
      <c r="E575" s="3" t="s">
        <v>1628</v>
      </c>
      <c r="F575" s="2" t="s">
        <v>70</v>
      </c>
      <c r="G575" s="6" t="s">
        <v>156</v>
      </c>
      <c r="H575" s="2" t="s">
        <v>194</v>
      </c>
      <c r="I575" s="2" t="s">
        <v>195</v>
      </c>
      <c r="J575" s="2" t="s">
        <v>19</v>
      </c>
      <c r="K575" s="2" t="s">
        <v>1629</v>
      </c>
      <c r="L575" s="7" t="str">
        <f>HYPERLINK("http://slimages.macys.com/is/image/MCY/11531058 ")</f>
        <v xml:space="preserve">http://slimages.macys.com/is/image/MCY/11531058 </v>
      </c>
    </row>
    <row r="576" spans="1:12" ht="24.75" x14ac:dyDescent="0.25">
      <c r="A576" s="4" t="s">
        <v>2868</v>
      </c>
      <c r="B576" s="2" t="s">
        <v>1627</v>
      </c>
      <c r="C576" s="3">
        <v>1</v>
      </c>
      <c r="D576" s="5">
        <v>25.88</v>
      </c>
      <c r="E576" s="3" t="s">
        <v>1628</v>
      </c>
      <c r="F576" s="2" t="s">
        <v>70</v>
      </c>
      <c r="G576" s="6" t="s">
        <v>181</v>
      </c>
      <c r="H576" s="2" t="s">
        <v>194</v>
      </c>
      <c r="I576" s="2" t="s">
        <v>195</v>
      </c>
      <c r="J576" s="2" t="s">
        <v>19</v>
      </c>
      <c r="K576" s="2" t="s">
        <v>1629</v>
      </c>
      <c r="L576" s="7" t="str">
        <f>HYPERLINK("http://slimages.macys.com/is/image/MCY/11531058 ")</f>
        <v xml:space="preserve">http://slimages.macys.com/is/image/MCY/11531058 </v>
      </c>
    </row>
    <row r="577" spans="1:12" ht="24.75" x14ac:dyDescent="0.25">
      <c r="A577" s="4" t="s">
        <v>5061</v>
      </c>
      <c r="B577" s="2" t="s">
        <v>1627</v>
      </c>
      <c r="C577" s="3">
        <v>2</v>
      </c>
      <c r="D577" s="5">
        <v>25.88</v>
      </c>
      <c r="E577" s="3" t="s">
        <v>1628</v>
      </c>
      <c r="F577" s="2" t="s">
        <v>70</v>
      </c>
      <c r="G577" s="6" t="s">
        <v>154</v>
      </c>
      <c r="H577" s="2" t="s">
        <v>194</v>
      </c>
      <c r="I577" s="2" t="s">
        <v>195</v>
      </c>
      <c r="J577" s="2" t="s">
        <v>19</v>
      </c>
      <c r="K577" s="2" t="s">
        <v>1629</v>
      </c>
      <c r="L577" s="7" t="str">
        <f>HYPERLINK("http://slimages.macys.com/is/image/MCY/11531058 ")</f>
        <v xml:space="preserve">http://slimages.macys.com/is/image/MCY/11531058 </v>
      </c>
    </row>
    <row r="578" spans="1:12" ht="24.75" x14ac:dyDescent="0.25">
      <c r="A578" s="4" t="s">
        <v>8762</v>
      </c>
      <c r="B578" s="2" t="s">
        <v>1627</v>
      </c>
      <c r="C578" s="3">
        <v>2</v>
      </c>
      <c r="D578" s="5">
        <v>25.88</v>
      </c>
      <c r="E578" s="3" t="s">
        <v>1628</v>
      </c>
      <c r="F578" s="2" t="s">
        <v>70</v>
      </c>
      <c r="G578" s="6" t="s">
        <v>200</v>
      </c>
      <c r="H578" s="2" t="s">
        <v>194</v>
      </c>
      <c r="I578" s="2" t="s">
        <v>195</v>
      </c>
      <c r="J578" s="2" t="s">
        <v>19</v>
      </c>
      <c r="K578" s="2" t="s">
        <v>1629</v>
      </c>
      <c r="L578" s="7" t="str">
        <f>HYPERLINK("http://slimages.macys.com/is/image/MCY/11531058 ")</f>
        <v xml:space="preserve">http://slimages.macys.com/is/image/MCY/11531058 </v>
      </c>
    </row>
    <row r="579" spans="1:12" ht="24.75" x14ac:dyDescent="0.25">
      <c r="A579" s="4" t="s">
        <v>8763</v>
      </c>
      <c r="B579" s="2" t="s">
        <v>1572</v>
      </c>
      <c r="C579" s="3">
        <v>2</v>
      </c>
      <c r="D579" s="5">
        <v>36.5</v>
      </c>
      <c r="E579" s="3" t="s">
        <v>8764</v>
      </c>
      <c r="F579" s="2" t="s">
        <v>820</v>
      </c>
      <c r="G579" s="6"/>
      <c r="H579" s="2" t="s">
        <v>312</v>
      </c>
      <c r="I579" s="2" t="s">
        <v>195</v>
      </c>
      <c r="J579" s="2" t="s">
        <v>19</v>
      </c>
      <c r="K579" s="2" t="s">
        <v>247</v>
      </c>
      <c r="L579" s="7" t="str">
        <f>HYPERLINK("http://slimages.macys.com/is/image/MCY/12063852 ")</f>
        <v xml:space="preserve">http://slimages.macys.com/is/image/MCY/12063852 </v>
      </c>
    </row>
    <row r="580" spans="1:12" ht="24.75" x14ac:dyDescent="0.25">
      <c r="A580" s="4" t="s">
        <v>1638</v>
      </c>
      <c r="B580" s="2" t="s">
        <v>1635</v>
      </c>
      <c r="C580" s="3">
        <v>2</v>
      </c>
      <c r="D580" s="5">
        <v>25.88</v>
      </c>
      <c r="E580" s="3">
        <v>100011992</v>
      </c>
      <c r="F580" s="2" t="s">
        <v>53</v>
      </c>
      <c r="G580" s="6" t="s">
        <v>181</v>
      </c>
      <c r="H580" s="2" t="s">
        <v>194</v>
      </c>
      <c r="I580" s="2" t="s">
        <v>195</v>
      </c>
      <c r="J580" s="2" t="s">
        <v>19</v>
      </c>
      <c r="K580" s="2" t="s">
        <v>1617</v>
      </c>
      <c r="L580" s="7" t="str">
        <f t="shared" ref="L580:L588" si="6">HYPERLINK("http://slimages.macys.com/is/image/MCY/13314771 ")</f>
        <v xml:space="preserve">http://slimages.macys.com/is/image/MCY/13314771 </v>
      </c>
    </row>
    <row r="581" spans="1:12" ht="24.75" x14ac:dyDescent="0.25">
      <c r="A581" s="4" t="s">
        <v>1634</v>
      </c>
      <c r="B581" s="2" t="s">
        <v>1635</v>
      </c>
      <c r="C581" s="3">
        <v>2</v>
      </c>
      <c r="D581" s="5">
        <v>25.88</v>
      </c>
      <c r="E581" s="3">
        <v>100011992</v>
      </c>
      <c r="F581" s="2" t="s">
        <v>64</v>
      </c>
      <c r="G581" s="6" t="s">
        <v>156</v>
      </c>
      <c r="H581" s="2" t="s">
        <v>194</v>
      </c>
      <c r="I581" s="2" t="s">
        <v>195</v>
      </c>
      <c r="J581" s="2" t="s">
        <v>19</v>
      </c>
      <c r="K581" s="2" t="s">
        <v>1617</v>
      </c>
      <c r="L581" s="7" t="str">
        <f t="shared" si="6"/>
        <v xml:space="preserve">http://slimages.macys.com/is/image/MCY/13314771 </v>
      </c>
    </row>
    <row r="582" spans="1:12" ht="24.75" x14ac:dyDescent="0.25">
      <c r="A582" s="4" t="s">
        <v>8267</v>
      </c>
      <c r="B582" s="2" t="s">
        <v>1635</v>
      </c>
      <c r="C582" s="3">
        <v>1</v>
      </c>
      <c r="D582" s="5">
        <v>25.88</v>
      </c>
      <c r="E582" s="3">
        <v>100011992</v>
      </c>
      <c r="F582" s="2" t="s">
        <v>33</v>
      </c>
      <c r="G582" s="6" t="s">
        <v>234</v>
      </c>
      <c r="H582" s="2" t="s">
        <v>194</v>
      </c>
      <c r="I582" s="2" t="s">
        <v>195</v>
      </c>
      <c r="J582" s="2" t="s">
        <v>19</v>
      </c>
      <c r="K582" s="2" t="s">
        <v>1617</v>
      </c>
      <c r="L582" s="7" t="str">
        <f t="shared" si="6"/>
        <v xml:space="preserve">http://slimages.macys.com/is/image/MCY/13314771 </v>
      </c>
    </row>
    <row r="583" spans="1:12" ht="24.75" x14ac:dyDescent="0.25">
      <c r="A583" s="4" t="s">
        <v>2871</v>
      </c>
      <c r="B583" s="2" t="s">
        <v>1635</v>
      </c>
      <c r="C583" s="3">
        <v>1</v>
      </c>
      <c r="D583" s="5">
        <v>25.88</v>
      </c>
      <c r="E583" s="3">
        <v>100011992</v>
      </c>
      <c r="F583" s="2" t="s">
        <v>33</v>
      </c>
      <c r="G583" s="6" t="s">
        <v>154</v>
      </c>
      <c r="H583" s="2" t="s">
        <v>194</v>
      </c>
      <c r="I583" s="2" t="s">
        <v>195</v>
      </c>
      <c r="J583" s="2" t="s">
        <v>19</v>
      </c>
      <c r="K583" s="2" t="s">
        <v>1617</v>
      </c>
      <c r="L583" s="7" t="str">
        <f t="shared" si="6"/>
        <v xml:space="preserve">http://slimages.macys.com/is/image/MCY/13314771 </v>
      </c>
    </row>
    <row r="584" spans="1:12" ht="24.75" x14ac:dyDescent="0.25">
      <c r="A584" s="4" t="s">
        <v>2870</v>
      </c>
      <c r="B584" s="2" t="s">
        <v>1635</v>
      </c>
      <c r="C584" s="3">
        <v>1</v>
      </c>
      <c r="D584" s="5">
        <v>25.88</v>
      </c>
      <c r="E584" s="3">
        <v>100011992</v>
      </c>
      <c r="F584" s="2" t="s">
        <v>64</v>
      </c>
      <c r="G584" s="6" t="s">
        <v>181</v>
      </c>
      <c r="H584" s="2" t="s">
        <v>194</v>
      </c>
      <c r="I584" s="2" t="s">
        <v>195</v>
      </c>
      <c r="J584" s="2" t="s">
        <v>19</v>
      </c>
      <c r="K584" s="2" t="s">
        <v>1617</v>
      </c>
      <c r="L584" s="7" t="str">
        <f t="shared" si="6"/>
        <v xml:space="preserve">http://slimages.macys.com/is/image/MCY/13314771 </v>
      </c>
    </row>
    <row r="585" spans="1:12" ht="24.75" x14ac:dyDescent="0.25">
      <c r="A585" s="4" t="s">
        <v>1636</v>
      </c>
      <c r="B585" s="2" t="s">
        <v>1635</v>
      </c>
      <c r="C585" s="3">
        <v>2</v>
      </c>
      <c r="D585" s="5">
        <v>25.88</v>
      </c>
      <c r="E585" s="3">
        <v>100011992</v>
      </c>
      <c r="F585" s="2" t="s">
        <v>64</v>
      </c>
      <c r="G585" s="6" t="s">
        <v>154</v>
      </c>
      <c r="H585" s="2" t="s">
        <v>194</v>
      </c>
      <c r="I585" s="2" t="s">
        <v>195</v>
      </c>
      <c r="J585" s="2" t="s">
        <v>19</v>
      </c>
      <c r="K585" s="2" t="s">
        <v>1617</v>
      </c>
      <c r="L585" s="7" t="str">
        <f t="shared" si="6"/>
        <v xml:space="preserve">http://slimages.macys.com/is/image/MCY/13314771 </v>
      </c>
    </row>
    <row r="586" spans="1:12" ht="24.75" x14ac:dyDescent="0.25">
      <c r="A586" s="4" t="s">
        <v>1637</v>
      </c>
      <c r="B586" s="2" t="s">
        <v>1635</v>
      </c>
      <c r="C586" s="3">
        <v>1</v>
      </c>
      <c r="D586" s="5">
        <v>25.88</v>
      </c>
      <c r="E586" s="3">
        <v>100011992</v>
      </c>
      <c r="F586" s="2" t="s">
        <v>53</v>
      </c>
      <c r="G586" s="6" t="s">
        <v>245</v>
      </c>
      <c r="H586" s="2" t="s">
        <v>194</v>
      </c>
      <c r="I586" s="2" t="s">
        <v>195</v>
      </c>
      <c r="J586" s="2" t="s">
        <v>19</v>
      </c>
      <c r="K586" s="2" t="s">
        <v>1617</v>
      </c>
      <c r="L586" s="7" t="str">
        <f t="shared" si="6"/>
        <v xml:space="preserve">http://slimages.macys.com/is/image/MCY/13314771 </v>
      </c>
    </row>
    <row r="587" spans="1:12" ht="24.75" x14ac:dyDescent="0.25">
      <c r="A587" s="4" t="s">
        <v>2872</v>
      </c>
      <c r="B587" s="2" t="s">
        <v>1635</v>
      </c>
      <c r="C587" s="3">
        <v>1</v>
      </c>
      <c r="D587" s="5">
        <v>25.88</v>
      </c>
      <c r="E587" s="3">
        <v>100011992</v>
      </c>
      <c r="F587" s="2" t="s">
        <v>64</v>
      </c>
      <c r="G587" s="6" t="s">
        <v>245</v>
      </c>
      <c r="H587" s="2" t="s">
        <v>194</v>
      </c>
      <c r="I587" s="2" t="s">
        <v>195</v>
      </c>
      <c r="J587" s="2" t="s">
        <v>19</v>
      </c>
      <c r="K587" s="2" t="s">
        <v>1617</v>
      </c>
      <c r="L587" s="7" t="str">
        <f t="shared" si="6"/>
        <v xml:space="preserve">http://slimages.macys.com/is/image/MCY/13314771 </v>
      </c>
    </row>
    <row r="588" spans="1:12" ht="24.75" x14ac:dyDescent="0.25">
      <c r="A588" s="4" t="s">
        <v>1640</v>
      </c>
      <c r="B588" s="2" t="s">
        <v>1635</v>
      </c>
      <c r="C588" s="3">
        <v>1</v>
      </c>
      <c r="D588" s="5">
        <v>25.88</v>
      </c>
      <c r="E588" s="3">
        <v>100011992</v>
      </c>
      <c r="F588" s="2" t="s">
        <v>53</v>
      </c>
      <c r="G588" s="6" t="s">
        <v>234</v>
      </c>
      <c r="H588" s="2" t="s">
        <v>194</v>
      </c>
      <c r="I588" s="2" t="s">
        <v>195</v>
      </c>
      <c r="J588" s="2" t="s">
        <v>19</v>
      </c>
      <c r="K588" s="2" t="s">
        <v>1617</v>
      </c>
      <c r="L588" s="7" t="str">
        <f t="shared" si="6"/>
        <v xml:space="preserve">http://slimages.macys.com/is/image/MCY/13314771 </v>
      </c>
    </row>
    <row r="589" spans="1:12" ht="24.75" x14ac:dyDescent="0.25">
      <c r="A589" s="4" t="s">
        <v>1659</v>
      </c>
      <c r="B589" s="2" t="s">
        <v>1645</v>
      </c>
      <c r="C589" s="3">
        <v>1</v>
      </c>
      <c r="D589" s="5">
        <v>19.989999999999998</v>
      </c>
      <c r="E589" s="3" t="s">
        <v>1646</v>
      </c>
      <c r="F589" s="2" t="s">
        <v>820</v>
      </c>
      <c r="G589" s="6" t="s">
        <v>156</v>
      </c>
      <c r="H589" s="2" t="s">
        <v>194</v>
      </c>
      <c r="I589" s="2" t="s">
        <v>195</v>
      </c>
      <c r="J589" s="2" t="s">
        <v>19</v>
      </c>
      <c r="K589" s="2" t="s">
        <v>1647</v>
      </c>
      <c r="L589" s="7" t="str">
        <f>HYPERLINK("http://slimages.macys.com/is/image/MCY/12405276 ")</f>
        <v xml:space="preserve">http://slimages.macys.com/is/image/MCY/12405276 </v>
      </c>
    </row>
    <row r="590" spans="1:12" ht="24.75" x14ac:dyDescent="0.25">
      <c r="A590" s="4" t="s">
        <v>1656</v>
      </c>
      <c r="B590" s="2" t="s">
        <v>1645</v>
      </c>
      <c r="C590" s="3">
        <v>1</v>
      </c>
      <c r="D590" s="5">
        <v>19.989999999999998</v>
      </c>
      <c r="E590" s="3" t="s">
        <v>1646</v>
      </c>
      <c r="F590" s="2" t="s">
        <v>74</v>
      </c>
      <c r="G590" s="6" t="s">
        <v>156</v>
      </c>
      <c r="H590" s="2" t="s">
        <v>194</v>
      </c>
      <c r="I590" s="2" t="s">
        <v>195</v>
      </c>
      <c r="J590" s="2" t="s">
        <v>19</v>
      </c>
      <c r="K590" s="2" t="s">
        <v>1647</v>
      </c>
      <c r="L590" s="7" t="str">
        <f>HYPERLINK("http://slimages.macys.com/is/image/MCY/12405276 ")</f>
        <v xml:space="preserve">http://slimages.macys.com/is/image/MCY/12405276 </v>
      </c>
    </row>
    <row r="591" spans="1:12" ht="24.75" x14ac:dyDescent="0.25">
      <c r="A591" s="4" t="s">
        <v>2881</v>
      </c>
      <c r="B591" s="2" t="s">
        <v>1645</v>
      </c>
      <c r="C591" s="3">
        <v>1</v>
      </c>
      <c r="D591" s="5">
        <v>19.989999999999998</v>
      </c>
      <c r="E591" s="3" t="s">
        <v>1646</v>
      </c>
      <c r="F591" s="2" t="s">
        <v>74</v>
      </c>
      <c r="G591" s="6" t="s">
        <v>181</v>
      </c>
      <c r="H591" s="2" t="s">
        <v>194</v>
      </c>
      <c r="I591" s="2" t="s">
        <v>195</v>
      </c>
      <c r="J591" s="2" t="s">
        <v>19</v>
      </c>
      <c r="K591" s="2" t="s">
        <v>1647</v>
      </c>
      <c r="L591" s="7" t="str">
        <f>HYPERLINK("http://slimages.macys.com/is/image/MCY/12405276 ")</f>
        <v xml:space="preserve">http://slimages.macys.com/is/image/MCY/12405276 </v>
      </c>
    </row>
    <row r="592" spans="1:12" ht="24.75" x14ac:dyDescent="0.25">
      <c r="A592" s="4" t="s">
        <v>8765</v>
      </c>
      <c r="B592" s="2" t="s">
        <v>1645</v>
      </c>
      <c r="C592" s="3">
        <v>1</v>
      </c>
      <c r="D592" s="5">
        <v>19.989999999999998</v>
      </c>
      <c r="E592" s="3" t="s">
        <v>4012</v>
      </c>
      <c r="F592" s="2" t="s">
        <v>33</v>
      </c>
      <c r="G592" s="6"/>
      <c r="H592" s="2" t="s">
        <v>312</v>
      </c>
      <c r="I592" s="2" t="s">
        <v>195</v>
      </c>
      <c r="J592" s="2" t="s">
        <v>19</v>
      </c>
      <c r="K592" s="2" t="s">
        <v>247</v>
      </c>
      <c r="L592" s="7" t="str">
        <f>HYPERLINK("http://slimages.macys.com/is/image/MCY/9577022 ")</f>
        <v xml:space="preserve">http://slimages.macys.com/is/image/MCY/9577022 </v>
      </c>
    </row>
    <row r="593" spans="1:12" ht="24.75" x14ac:dyDescent="0.25">
      <c r="A593" s="4" t="s">
        <v>4016</v>
      </c>
      <c r="B593" s="2" t="s">
        <v>1699</v>
      </c>
      <c r="C593" s="3">
        <v>1</v>
      </c>
      <c r="D593" s="5">
        <v>19.989999999999998</v>
      </c>
      <c r="E593" s="3" t="s">
        <v>1700</v>
      </c>
      <c r="F593" s="2" t="s">
        <v>26</v>
      </c>
      <c r="G593" s="6" t="s">
        <v>154</v>
      </c>
      <c r="H593" s="2" t="s">
        <v>1473</v>
      </c>
      <c r="I593" s="2" t="s">
        <v>1426</v>
      </c>
      <c r="J593" s="2" t="s">
        <v>19</v>
      </c>
      <c r="K593" s="2" t="s">
        <v>990</v>
      </c>
      <c r="L593" s="7" t="str">
        <f>HYPERLINK("http://slimages.macys.com/is/image/MCY/11831242 ")</f>
        <v xml:space="preserve">http://slimages.macys.com/is/image/MCY/11831242 </v>
      </c>
    </row>
    <row r="594" spans="1:12" ht="24.75" x14ac:dyDescent="0.25">
      <c r="A594" s="4" t="s">
        <v>5084</v>
      </c>
      <c r="B594" s="2" t="s">
        <v>1699</v>
      </c>
      <c r="C594" s="3">
        <v>3</v>
      </c>
      <c r="D594" s="5">
        <v>19.989999999999998</v>
      </c>
      <c r="E594" s="3" t="s">
        <v>1700</v>
      </c>
      <c r="F594" s="2" t="s">
        <v>74</v>
      </c>
      <c r="G594" s="6" t="s">
        <v>234</v>
      </c>
      <c r="H594" s="2" t="s">
        <v>1473</v>
      </c>
      <c r="I594" s="2" t="s">
        <v>1426</v>
      </c>
      <c r="J594" s="2" t="s">
        <v>19</v>
      </c>
      <c r="K594" s="2" t="s">
        <v>990</v>
      </c>
      <c r="L594" s="7" t="str">
        <f>HYPERLINK("http://slimages.macys.com/is/image/MCY/11831242 ")</f>
        <v xml:space="preserve">http://slimages.macys.com/is/image/MCY/11831242 </v>
      </c>
    </row>
    <row r="595" spans="1:12" ht="24.75" x14ac:dyDescent="0.25">
      <c r="A595" s="4" t="s">
        <v>7577</v>
      </c>
      <c r="B595" s="2" t="s">
        <v>1705</v>
      </c>
      <c r="C595" s="3">
        <v>2</v>
      </c>
      <c r="D595" s="5">
        <v>24.99</v>
      </c>
      <c r="E595" s="3" t="s">
        <v>1706</v>
      </c>
      <c r="F595" s="2" t="s">
        <v>15</v>
      </c>
      <c r="G595" s="6"/>
      <c r="H595" s="2" t="s">
        <v>1425</v>
      </c>
      <c r="I595" s="2" t="s">
        <v>1469</v>
      </c>
      <c r="J595" s="2" t="s">
        <v>19</v>
      </c>
      <c r="K595" s="2" t="s">
        <v>990</v>
      </c>
      <c r="L595" s="7" t="str">
        <f>HYPERLINK("http://slimages.macys.com/is/image/MCY/9127920 ")</f>
        <v xml:space="preserve">http://slimages.macys.com/is/image/MCY/9127920 </v>
      </c>
    </row>
    <row r="596" spans="1:12" ht="24.75" x14ac:dyDescent="0.25">
      <c r="A596" s="4" t="s">
        <v>1707</v>
      </c>
      <c r="B596" s="2" t="s">
        <v>1705</v>
      </c>
      <c r="C596" s="3">
        <v>1</v>
      </c>
      <c r="D596" s="5">
        <v>24.99</v>
      </c>
      <c r="E596" s="3" t="s">
        <v>1706</v>
      </c>
      <c r="F596" s="2" t="s">
        <v>413</v>
      </c>
      <c r="G596" s="6"/>
      <c r="H596" s="2" t="s">
        <v>1425</v>
      </c>
      <c r="I596" s="2" t="s">
        <v>1469</v>
      </c>
      <c r="J596" s="2" t="s">
        <v>19</v>
      </c>
      <c r="K596" s="2" t="s">
        <v>990</v>
      </c>
      <c r="L596" s="7" t="str">
        <f>HYPERLINK("http://slimages.macys.com/is/image/MCY/9127920 ")</f>
        <v xml:space="preserve">http://slimages.macys.com/is/image/MCY/9127920 </v>
      </c>
    </row>
    <row r="597" spans="1:12" ht="24.75" x14ac:dyDescent="0.25">
      <c r="A597" s="4" t="s">
        <v>6762</v>
      </c>
      <c r="B597" s="2" t="s">
        <v>1705</v>
      </c>
      <c r="C597" s="3">
        <v>1</v>
      </c>
      <c r="D597" s="5">
        <v>24.99</v>
      </c>
      <c r="E597" s="3" t="s">
        <v>1706</v>
      </c>
      <c r="F597" s="2" t="s">
        <v>74</v>
      </c>
      <c r="G597" s="6" t="s">
        <v>187</v>
      </c>
      <c r="H597" s="2" t="s">
        <v>1425</v>
      </c>
      <c r="I597" s="2" t="s">
        <v>1469</v>
      </c>
      <c r="J597" s="2" t="s">
        <v>19</v>
      </c>
      <c r="K597" s="2" t="s">
        <v>990</v>
      </c>
      <c r="L597" s="7" t="str">
        <f>HYPERLINK("http://slimages.macys.com/is/image/MCY/9127920 ")</f>
        <v xml:space="preserve">http://slimages.macys.com/is/image/MCY/9127920 </v>
      </c>
    </row>
    <row r="598" spans="1:12" ht="24.75" x14ac:dyDescent="0.25">
      <c r="A598" s="4" t="s">
        <v>8766</v>
      </c>
      <c r="B598" s="2" t="s">
        <v>8767</v>
      </c>
      <c r="C598" s="3">
        <v>1</v>
      </c>
      <c r="D598" s="5">
        <v>24.99</v>
      </c>
      <c r="E598" s="3" t="s">
        <v>8768</v>
      </c>
      <c r="F598" s="2" t="s">
        <v>1296</v>
      </c>
      <c r="G598" s="6" t="s">
        <v>200</v>
      </c>
      <c r="H598" s="2" t="s">
        <v>1473</v>
      </c>
      <c r="I598" s="2" t="s">
        <v>8769</v>
      </c>
      <c r="J598" s="2" t="s">
        <v>19</v>
      </c>
      <c r="K598" s="2" t="s">
        <v>442</v>
      </c>
      <c r="L598" s="7" t="str">
        <f>HYPERLINK("http://slimages.macys.com/is/image/MCY/12549945 ")</f>
        <v xml:space="preserve">http://slimages.macys.com/is/image/MCY/12549945 </v>
      </c>
    </row>
    <row r="599" spans="1:12" ht="36.75" x14ac:dyDescent="0.25">
      <c r="A599" s="4" t="s">
        <v>2910</v>
      </c>
      <c r="B599" s="2" t="s">
        <v>2911</v>
      </c>
      <c r="C599" s="3">
        <v>1</v>
      </c>
      <c r="D599" s="5">
        <v>25.88</v>
      </c>
      <c r="E599" s="3">
        <v>100015718</v>
      </c>
      <c r="F599" s="2" t="s">
        <v>48</v>
      </c>
      <c r="G599" s="6" t="s">
        <v>154</v>
      </c>
      <c r="H599" s="2" t="s">
        <v>194</v>
      </c>
      <c r="I599" s="2" t="s">
        <v>195</v>
      </c>
      <c r="J599" s="2" t="s">
        <v>19</v>
      </c>
      <c r="K599" s="2" t="s">
        <v>1696</v>
      </c>
      <c r="L599" s="7" t="str">
        <f>HYPERLINK("http://slimages.macys.com/is/image/MCY/9504848 ")</f>
        <v xml:space="preserve">http://slimages.macys.com/is/image/MCY/9504848 </v>
      </c>
    </row>
    <row r="600" spans="1:12" ht="24.75" x14ac:dyDescent="0.25">
      <c r="A600" s="4" t="s">
        <v>8770</v>
      </c>
      <c r="B600" s="2" t="s">
        <v>1715</v>
      </c>
      <c r="C600" s="3">
        <v>1</v>
      </c>
      <c r="D600" s="5">
        <v>19.989999999999998</v>
      </c>
      <c r="E600" s="3" t="s">
        <v>1716</v>
      </c>
      <c r="F600" s="2" t="s">
        <v>74</v>
      </c>
      <c r="G600" s="6"/>
      <c r="H600" s="2" t="s">
        <v>188</v>
      </c>
      <c r="I600" s="2" t="s">
        <v>189</v>
      </c>
      <c r="J600" s="2" t="s">
        <v>19</v>
      </c>
      <c r="K600" s="2" t="s">
        <v>648</v>
      </c>
      <c r="L600" s="7" t="str">
        <f>HYPERLINK("http://slimages.macys.com/is/image/MCY/11621935 ")</f>
        <v xml:space="preserve">http://slimages.macys.com/is/image/MCY/11621935 </v>
      </c>
    </row>
    <row r="601" spans="1:12" ht="24.75" x14ac:dyDescent="0.25">
      <c r="A601" s="4" t="s">
        <v>8771</v>
      </c>
      <c r="B601" s="2" t="s">
        <v>8772</v>
      </c>
      <c r="C601" s="3">
        <v>1</v>
      </c>
      <c r="D601" s="5">
        <v>19.98</v>
      </c>
      <c r="E601" s="3" t="s">
        <v>8773</v>
      </c>
      <c r="F601" s="2" t="s">
        <v>53</v>
      </c>
      <c r="G601" s="6" t="s">
        <v>154</v>
      </c>
      <c r="H601" s="2" t="s">
        <v>246</v>
      </c>
      <c r="I601" s="2" t="s">
        <v>189</v>
      </c>
      <c r="J601" s="2" t="s">
        <v>19</v>
      </c>
      <c r="K601" s="2" t="s">
        <v>107</v>
      </c>
      <c r="L601" s="7" t="str">
        <f>HYPERLINK("http://slimages.macys.com/is/image/MCY/10337587 ")</f>
        <v xml:space="preserve">http://slimages.macys.com/is/image/MCY/10337587 </v>
      </c>
    </row>
    <row r="602" spans="1:12" ht="24.75" x14ac:dyDescent="0.25">
      <c r="A602" s="4" t="s">
        <v>8774</v>
      </c>
      <c r="B602" s="2" t="s">
        <v>1724</v>
      </c>
      <c r="C602" s="3">
        <v>1</v>
      </c>
      <c r="D602" s="5">
        <v>34.880000000000003</v>
      </c>
      <c r="E602" s="3">
        <v>100018041</v>
      </c>
      <c r="F602" s="2" t="s">
        <v>680</v>
      </c>
      <c r="G602" s="6" t="s">
        <v>58</v>
      </c>
      <c r="H602" s="2" t="s">
        <v>194</v>
      </c>
      <c r="I602" s="2" t="s">
        <v>195</v>
      </c>
      <c r="J602" s="2" t="s">
        <v>19</v>
      </c>
      <c r="K602" s="2" t="s">
        <v>353</v>
      </c>
      <c r="L602" s="7" t="str">
        <f>HYPERLINK("http://slimages.macys.com/is/image/MCY/12950342 ")</f>
        <v xml:space="preserve">http://slimages.macys.com/is/image/MCY/12950342 </v>
      </c>
    </row>
    <row r="603" spans="1:12" ht="24.75" x14ac:dyDescent="0.25">
      <c r="A603" s="4" t="s">
        <v>2915</v>
      </c>
      <c r="B603" s="2" t="s">
        <v>1724</v>
      </c>
      <c r="C603" s="3">
        <v>1</v>
      </c>
      <c r="D603" s="5">
        <v>34.880000000000003</v>
      </c>
      <c r="E603" s="3">
        <v>100018041</v>
      </c>
      <c r="F603" s="2" t="s">
        <v>566</v>
      </c>
      <c r="G603" s="6" t="s">
        <v>22</v>
      </c>
      <c r="H603" s="2" t="s">
        <v>194</v>
      </c>
      <c r="I603" s="2" t="s">
        <v>195</v>
      </c>
      <c r="J603" s="2" t="s">
        <v>19</v>
      </c>
      <c r="K603" s="2" t="s">
        <v>353</v>
      </c>
      <c r="L603" s="7" t="str">
        <f>HYPERLINK("http://slimages.macys.com/is/image/MCY/12950342 ")</f>
        <v xml:space="preserve">http://slimages.macys.com/is/image/MCY/12950342 </v>
      </c>
    </row>
    <row r="604" spans="1:12" ht="24.75" x14ac:dyDescent="0.25">
      <c r="A604" s="4" t="s">
        <v>8775</v>
      </c>
      <c r="B604" s="2" t="s">
        <v>1724</v>
      </c>
      <c r="C604" s="3">
        <v>1</v>
      </c>
      <c r="D604" s="5">
        <v>34.880000000000003</v>
      </c>
      <c r="E604" s="3">
        <v>100018041</v>
      </c>
      <c r="F604" s="2" t="s">
        <v>566</v>
      </c>
      <c r="G604" s="6" t="s">
        <v>58</v>
      </c>
      <c r="H604" s="2" t="s">
        <v>194</v>
      </c>
      <c r="I604" s="2" t="s">
        <v>195</v>
      </c>
      <c r="J604" s="2" t="s">
        <v>19</v>
      </c>
      <c r="K604" s="2" t="s">
        <v>353</v>
      </c>
      <c r="L604" s="7" t="str">
        <f>HYPERLINK("http://slimages.macys.com/is/image/MCY/12950342 ")</f>
        <v xml:space="preserve">http://slimages.macys.com/is/image/MCY/12950342 </v>
      </c>
    </row>
    <row r="605" spans="1:12" ht="24.75" x14ac:dyDescent="0.25">
      <c r="A605" s="4" t="s">
        <v>8776</v>
      </c>
      <c r="B605" s="2" t="s">
        <v>1729</v>
      </c>
      <c r="C605" s="3">
        <v>1</v>
      </c>
      <c r="D605" s="5">
        <v>37.130000000000003</v>
      </c>
      <c r="E605" s="3" t="s">
        <v>1730</v>
      </c>
      <c r="F605" s="2" t="s">
        <v>331</v>
      </c>
      <c r="G605" s="6" t="s">
        <v>200</v>
      </c>
      <c r="H605" s="2" t="s">
        <v>246</v>
      </c>
      <c r="I605" s="2" t="s">
        <v>189</v>
      </c>
      <c r="J605" s="2" t="s">
        <v>19</v>
      </c>
      <c r="K605" s="2" t="s">
        <v>990</v>
      </c>
      <c r="L605" s="7" t="str">
        <f>HYPERLINK("http://slimages.macys.com/is/image/MCY/11996044 ")</f>
        <v xml:space="preserve">http://slimages.macys.com/is/image/MCY/11996044 </v>
      </c>
    </row>
    <row r="606" spans="1:12" ht="24.75" x14ac:dyDescent="0.25">
      <c r="A606" s="4" t="s">
        <v>4045</v>
      </c>
      <c r="B606" s="2" t="s">
        <v>4046</v>
      </c>
      <c r="C606" s="3">
        <v>1</v>
      </c>
      <c r="D606" s="5">
        <v>19.989999999999998</v>
      </c>
      <c r="E606" s="3" t="s">
        <v>4047</v>
      </c>
      <c r="F606" s="2" t="s">
        <v>15</v>
      </c>
      <c r="G606" s="6" t="s">
        <v>154</v>
      </c>
      <c r="H606" s="2" t="s">
        <v>1473</v>
      </c>
      <c r="I606" s="2" t="s">
        <v>1426</v>
      </c>
      <c r="J606" s="2" t="s">
        <v>19</v>
      </c>
      <c r="K606" s="2" t="s">
        <v>495</v>
      </c>
      <c r="L606" s="7" t="str">
        <f>HYPERLINK("http://slimages.macys.com/is/image/MCY/12773814 ")</f>
        <v xml:space="preserve">http://slimages.macys.com/is/image/MCY/12773814 </v>
      </c>
    </row>
    <row r="607" spans="1:12" ht="24.75" x14ac:dyDescent="0.25">
      <c r="A607" s="4" t="s">
        <v>8777</v>
      </c>
      <c r="B607" s="2" t="s">
        <v>1724</v>
      </c>
      <c r="C607" s="3">
        <v>1</v>
      </c>
      <c r="D607" s="5">
        <v>34.880000000000003</v>
      </c>
      <c r="E607" s="3" t="s">
        <v>2925</v>
      </c>
      <c r="F607" s="2" t="s">
        <v>26</v>
      </c>
      <c r="G607" s="6" t="s">
        <v>126</v>
      </c>
      <c r="H607" s="2" t="s">
        <v>312</v>
      </c>
      <c r="I607" s="2" t="s">
        <v>195</v>
      </c>
      <c r="J607" s="2" t="s">
        <v>19</v>
      </c>
      <c r="K607" s="2" t="s">
        <v>353</v>
      </c>
      <c r="L607" s="7" t="str">
        <f>HYPERLINK("http://slimages.macys.com/is/image/MCY/9714189 ")</f>
        <v xml:space="preserve">http://slimages.macys.com/is/image/MCY/9714189 </v>
      </c>
    </row>
    <row r="608" spans="1:12" ht="24.75" x14ac:dyDescent="0.25">
      <c r="A608" s="4" t="s">
        <v>4055</v>
      </c>
      <c r="B608" s="2" t="s">
        <v>2936</v>
      </c>
      <c r="C608" s="3">
        <v>3</v>
      </c>
      <c r="D608" s="5">
        <v>20.99</v>
      </c>
      <c r="E608" s="3" t="s">
        <v>2937</v>
      </c>
      <c r="F608" s="2" t="s">
        <v>64</v>
      </c>
      <c r="G608" s="6" t="s">
        <v>234</v>
      </c>
      <c r="H608" s="2" t="s">
        <v>1473</v>
      </c>
      <c r="I608" s="2" t="s">
        <v>1864</v>
      </c>
      <c r="J608" s="2" t="s">
        <v>19</v>
      </c>
      <c r="K608" s="2" t="s">
        <v>107</v>
      </c>
      <c r="L608" s="7" t="str">
        <f>HYPERLINK("http://slimages.macys.com/is/image/MCY/12266786 ")</f>
        <v xml:space="preserve">http://slimages.macys.com/is/image/MCY/12266786 </v>
      </c>
    </row>
    <row r="609" spans="1:12" ht="24.75" x14ac:dyDescent="0.25">
      <c r="A609" s="4" t="s">
        <v>4052</v>
      </c>
      <c r="B609" s="2" t="s">
        <v>2936</v>
      </c>
      <c r="C609" s="3">
        <v>1</v>
      </c>
      <c r="D609" s="5">
        <v>20.99</v>
      </c>
      <c r="E609" s="3" t="s">
        <v>2937</v>
      </c>
      <c r="F609" s="2" t="s">
        <v>64</v>
      </c>
      <c r="G609" s="6" t="s">
        <v>156</v>
      </c>
      <c r="H609" s="2" t="s">
        <v>1473</v>
      </c>
      <c r="I609" s="2" t="s">
        <v>1864</v>
      </c>
      <c r="J609" s="2" t="s">
        <v>19</v>
      </c>
      <c r="K609" s="2" t="s">
        <v>107</v>
      </c>
      <c r="L609" s="7" t="str">
        <f>HYPERLINK("http://slimages.macys.com/is/image/MCY/12266786 ")</f>
        <v xml:space="preserve">http://slimages.macys.com/is/image/MCY/12266786 </v>
      </c>
    </row>
    <row r="610" spans="1:12" ht="24.75" x14ac:dyDescent="0.25">
      <c r="A610" s="4" t="s">
        <v>4054</v>
      </c>
      <c r="B610" s="2" t="s">
        <v>2936</v>
      </c>
      <c r="C610" s="3">
        <v>2</v>
      </c>
      <c r="D610" s="5">
        <v>20.99</v>
      </c>
      <c r="E610" s="3" t="s">
        <v>2937</v>
      </c>
      <c r="F610" s="2" t="s">
        <v>64</v>
      </c>
      <c r="G610" s="6" t="s">
        <v>154</v>
      </c>
      <c r="H610" s="2" t="s">
        <v>1473</v>
      </c>
      <c r="I610" s="2" t="s">
        <v>1864</v>
      </c>
      <c r="J610" s="2" t="s">
        <v>19</v>
      </c>
      <c r="K610" s="2" t="s">
        <v>107</v>
      </c>
      <c r="L610" s="7" t="str">
        <f>HYPERLINK("http://slimages.macys.com/is/image/MCY/12266786 ")</f>
        <v xml:space="preserve">http://slimages.macys.com/is/image/MCY/12266786 </v>
      </c>
    </row>
    <row r="611" spans="1:12" ht="24.75" x14ac:dyDescent="0.25">
      <c r="A611" s="4" t="s">
        <v>2935</v>
      </c>
      <c r="B611" s="2" t="s">
        <v>2936</v>
      </c>
      <c r="C611" s="3">
        <v>3</v>
      </c>
      <c r="D611" s="5">
        <v>20.99</v>
      </c>
      <c r="E611" s="3" t="s">
        <v>2937</v>
      </c>
      <c r="F611" s="2" t="s">
        <v>64</v>
      </c>
      <c r="G611" s="6" t="s">
        <v>181</v>
      </c>
      <c r="H611" s="2" t="s">
        <v>1473</v>
      </c>
      <c r="I611" s="2" t="s">
        <v>1864</v>
      </c>
      <c r="J611" s="2" t="s">
        <v>19</v>
      </c>
      <c r="K611" s="2" t="s">
        <v>107</v>
      </c>
      <c r="L611" s="7" t="str">
        <f>HYPERLINK("http://slimages.macys.com/is/image/MCY/12266786 ")</f>
        <v xml:space="preserve">http://slimages.macys.com/is/image/MCY/12266786 </v>
      </c>
    </row>
    <row r="612" spans="1:12" ht="24.75" x14ac:dyDescent="0.25">
      <c r="A612" s="4" t="s">
        <v>1744</v>
      </c>
      <c r="B612" s="2" t="s">
        <v>1627</v>
      </c>
      <c r="C612" s="3">
        <v>1</v>
      </c>
      <c r="D612" s="5">
        <v>25.88</v>
      </c>
      <c r="E612" s="3" t="s">
        <v>1745</v>
      </c>
      <c r="F612" s="2" t="s">
        <v>506</v>
      </c>
      <c r="G612" s="6"/>
      <c r="H612" s="2" t="s">
        <v>312</v>
      </c>
      <c r="I612" s="2" t="s">
        <v>195</v>
      </c>
      <c r="J612" s="2" t="s">
        <v>19</v>
      </c>
      <c r="K612" s="2" t="s">
        <v>1629</v>
      </c>
      <c r="L612" s="7" t="str">
        <f>HYPERLINK("http://slimages.macys.com/is/image/MCY/3314148 ")</f>
        <v xml:space="preserve">http://slimages.macys.com/is/image/MCY/3314148 </v>
      </c>
    </row>
    <row r="613" spans="1:12" ht="24.75" x14ac:dyDescent="0.25">
      <c r="A613" s="4" t="s">
        <v>2945</v>
      </c>
      <c r="B613" s="2" t="s">
        <v>1747</v>
      </c>
      <c r="C613" s="3">
        <v>1</v>
      </c>
      <c r="D613" s="5">
        <v>17.989999999999998</v>
      </c>
      <c r="E613" s="3" t="s">
        <v>1748</v>
      </c>
      <c r="F613" s="2" t="s">
        <v>70</v>
      </c>
      <c r="G613" s="6" t="s">
        <v>22</v>
      </c>
      <c r="H613" s="2" t="s">
        <v>1473</v>
      </c>
      <c r="I613" s="2" t="s">
        <v>1426</v>
      </c>
      <c r="J613" s="2" t="s">
        <v>19</v>
      </c>
      <c r="K613" s="2" t="s">
        <v>353</v>
      </c>
      <c r="L613" s="7" t="str">
        <f>HYPERLINK("http://slimages.macys.com/is/image/MCY/12776597 ")</f>
        <v xml:space="preserve">http://slimages.macys.com/is/image/MCY/12776597 </v>
      </c>
    </row>
    <row r="614" spans="1:12" ht="24.75" x14ac:dyDescent="0.25">
      <c r="A614" s="4" t="s">
        <v>8778</v>
      </c>
      <c r="B614" s="2" t="s">
        <v>5107</v>
      </c>
      <c r="C614" s="3">
        <v>1</v>
      </c>
      <c r="D614" s="5">
        <v>19.989999999999998</v>
      </c>
      <c r="E614" s="3" t="s">
        <v>8779</v>
      </c>
      <c r="F614" s="2" t="s">
        <v>74</v>
      </c>
      <c r="G614" s="6" t="s">
        <v>219</v>
      </c>
      <c r="H614" s="2" t="s">
        <v>1425</v>
      </c>
      <c r="I614" s="2" t="s">
        <v>1426</v>
      </c>
      <c r="J614" s="2" t="s">
        <v>19</v>
      </c>
      <c r="K614" s="2" t="s">
        <v>648</v>
      </c>
      <c r="L614" s="7" t="str">
        <f>HYPERLINK("http://slimages.macys.com/is/image/MCY/9837462 ")</f>
        <v xml:space="preserve">http://slimages.macys.com/is/image/MCY/9837462 </v>
      </c>
    </row>
    <row r="615" spans="1:12" ht="24.75" x14ac:dyDescent="0.25">
      <c r="A615" s="4" t="s">
        <v>2954</v>
      </c>
      <c r="B615" s="2" t="s">
        <v>1747</v>
      </c>
      <c r="C615" s="3">
        <v>1</v>
      </c>
      <c r="D615" s="5">
        <v>17.989999999999998</v>
      </c>
      <c r="E615" s="3" t="s">
        <v>1748</v>
      </c>
      <c r="F615" s="2" t="s">
        <v>70</v>
      </c>
      <c r="G615" s="6" t="s">
        <v>141</v>
      </c>
      <c r="H615" s="2" t="s">
        <v>1473</v>
      </c>
      <c r="I615" s="2" t="s">
        <v>1426</v>
      </c>
      <c r="J615" s="2" t="s">
        <v>19</v>
      </c>
      <c r="K615" s="2" t="s">
        <v>353</v>
      </c>
      <c r="L615" s="7" t="str">
        <f>HYPERLINK("http://slimages.macys.com/is/image/MCY/12776597 ")</f>
        <v xml:space="preserve">http://slimages.macys.com/is/image/MCY/12776597 </v>
      </c>
    </row>
    <row r="616" spans="1:12" ht="24.75" x14ac:dyDescent="0.25">
      <c r="A616" s="4" t="s">
        <v>2946</v>
      </c>
      <c r="B616" s="2" t="s">
        <v>1747</v>
      </c>
      <c r="C616" s="3">
        <v>1</v>
      </c>
      <c r="D616" s="5">
        <v>17.989999999999998</v>
      </c>
      <c r="E616" s="3" t="s">
        <v>1748</v>
      </c>
      <c r="F616" s="2" t="s">
        <v>998</v>
      </c>
      <c r="G616" s="6" t="s">
        <v>22</v>
      </c>
      <c r="H616" s="2" t="s">
        <v>1473</v>
      </c>
      <c r="I616" s="2" t="s">
        <v>1426</v>
      </c>
      <c r="J616" s="2" t="s">
        <v>19</v>
      </c>
      <c r="K616" s="2" t="s">
        <v>353</v>
      </c>
      <c r="L616" s="7" t="str">
        <f>HYPERLINK("http://slimages.macys.com/is/image/MCY/12776597 ")</f>
        <v xml:space="preserve">http://slimages.macys.com/is/image/MCY/12776597 </v>
      </c>
    </row>
    <row r="617" spans="1:12" ht="24.75" x14ac:dyDescent="0.25">
      <c r="A617" s="4" t="s">
        <v>8780</v>
      </c>
      <c r="B617" s="2" t="s">
        <v>2949</v>
      </c>
      <c r="C617" s="3">
        <v>1</v>
      </c>
      <c r="D617" s="5">
        <v>21.99</v>
      </c>
      <c r="E617" s="3" t="s">
        <v>2950</v>
      </c>
      <c r="F617" s="2" t="s">
        <v>15</v>
      </c>
      <c r="G617" s="6" t="s">
        <v>181</v>
      </c>
      <c r="H617" s="2" t="s">
        <v>1473</v>
      </c>
      <c r="I617" s="2" t="s">
        <v>1426</v>
      </c>
      <c r="J617" s="2" t="s">
        <v>19</v>
      </c>
      <c r="K617" s="2" t="s">
        <v>495</v>
      </c>
      <c r="L617" s="7" t="str">
        <f>HYPERLINK("http://slimages.macys.com/is/image/MCY/13511310 ")</f>
        <v xml:space="preserve">http://slimages.macys.com/is/image/MCY/13511310 </v>
      </c>
    </row>
    <row r="618" spans="1:12" ht="24.75" x14ac:dyDescent="0.25">
      <c r="A618" s="4" t="s">
        <v>5124</v>
      </c>
      <c r="B618" s="2" t="s">
        <v>1808</v>
      </c>
      <c r="C618" s="3">
        <v>1</v>
      </c>
      <c r="D618" s="5">
        <v>22.13</v>
      </c>
      <c r="E618" s="3" t="s">
        <v>5125</v>
      </c>
      <c r="F618" s="2" t="s">
        <v>53</v>
      </c>
      <c r="G618" s="6" t="s">
        <v>181</v>
      </c>
      <c r="H618" s="2" t="s">
        <v>194</v>
      </c>
      <c r="I618" s="2" t="s">
        <v>580</v>
      </c>
      <c r="J618" s="2" t="s">
        <v>19</v>
      </c>
      <c r="K618" s="2" t="s">
        <v>1758</v>
      </c>
      <c r="L618" s="7" t="str">
        <f>HYPERLINK("http://slimages.macys.com/is/image/MCY/12734376 ")</f>
        <v xml:space="preserve">http://slimages.macys.com/is/image/MCY/12734376 </v>
      </c>
    </row>
    <row r="619" spans="1:12" ht="24.75" x14ac:dyDescent="0.25">
      <c r="A619" s="4" t="s">
        <v>8781</v>
      </c>
      <c r="B619" s="2" t="s">
        <v>1776</v>
      </c>
      <c r="C619" s="3">
        <v>1</v>
      </c>
      <c r="D619" s="5">
        <v>22.13</v>
      </c>
      <c r="E619" s="3" t="s">
        <v>1777</v>
      </c>
      <c r="F619" s="2" t="s">
        <v>132</v>
      </c>
      <c r="G619" s="6" t="s">
        <v>200</v>
      </c>
      <c r="H619" s="2" t="s">
        <v>194</v>
      </c>
      <c r="I619" s="2" t="s">
        <v>1766</v>
      </c>
      <c r="J619" s="2" t="s">
        <v>19</v>
      </c>
      <c r="K619" s="2" t="s">
        <v>1082</v>
      </c>
      <c r="L619" s="7" t="str">
        <f>HYPERLINK("http://slimages.macys.com/is/image/MCY/12143920 ")</f>
        <v xml:space="preserve">http://slimages.macys.com/is/image/MCY/12143920 </v>
      </c>
    </row>
    <row r="620" spans="1:12" ht="24.75" x14ac:dyDescent="0.25">
      <c r="A620" s="4" t="s">
        <v>8782</v>
      </c>
      <c r="B620" s="2" t="s">
        <v>1761</v>
      </c>
      <c r="C620" s="3">
        <v>1</v>
      </c>
      <c r="D620" s="5">
        <v>22.13</v>
      </c>
      <c r="E620" s="3" t="s">
        <v>1762</v>
      </c>
      <c r="F620" s="2" t="s">
        <v>15</v>
      </c>
      <c r="G620" s="6" t="s">
        <v>154</v>
      </c>
      <c r="H620" s="2" t="s">
        <v>194</v>
      </c>
      <c r="I620" s="2" t="s">
        <v>580</v>
      </c>
      <c r="J620" s="2" t="s">
        <v>19</v>
      </c>
      <c r="K620" s="2" t="s">
        <v>1082</v>
      </c>
      <c r="L620" s="7" t="str">
        <f>HYPERLINK("http://slimages.macys.com/is/image/MCY/12794096 ")</f>
        <v xml:space="preserve">http://slimages.macys.com/is/image/MCY/12794096 </v>
      </c>
    </row>
    <row r="621" spans="1:12" ht="24.75" x14ac:dyDescent="0.25">
      <c r="A621" s="4" t="s">
        <v>8783</v>
      </c>
      <c r="B621" s="2" t="s">
        <v>4076</v>
      </c>
      <c r="C621" s="3">
        <v>1</v>
      </c>
      <c r="D621" s="5">
        <v>22.13</v>
      </c>
      <c r="E621" s="3" t="s">
        <v>4077</v>
      </c>
      <c r="F621" s="2" t="s">
        <v>887</v>
      </c>
      <c r="G621" s="6" t="s">
        <v>154</v>
      </c>
      <c r="H621" s="2" t="s">
        <v>194</v>
      </c>
      <c r="I621" s="2" t="s">
        <v>1766</v>
      </c>
      <c r="J621" s="2" t="s">
        <v>19</v>
      </c>
      <c r="K621" s="2" t="s">
        <v>1082</v>
      </c>
      <c r="L621" s="7" t="str">
        <f>HYPERLINK("http://slimages.macys.com/is/image/MCY/12950309 ")</f>
        <v xml:space="preserve">http://slimages.macys.com/is/image/MCY/12950309 </v>
      </c>
    </row>
    <row r="622" spans="1:12" ht="24.75" x14ac:dyDescent="0.25">
      <c r="A622" s="4" t="s">
        <v>2966</v>
      </c>
      <c r="B622" s="2" t="s">
        <v>2967</v>
      </c>
      <c r="C622" s="3">
        <v>1</v>
      </c>
      <c r="D622" s="5">
        <v>22.13</v>
      </c>
      <c r="E622" s="3" t="s">
        <v>2968</v>
      </c>
      <c r="F622" s="2" t="s">
        <v>48</v>
      </c>
      <c r="G622" s="6" t="s">
        <v>154</v>
      </c>
      <c r="H622" s="2" t="s">
        <v>194</v>
      </c>
      <c r="I622" s="2" t="s">
        <v>580</v>
      </c>
      <c r="J622" s="2" t="s">
        <v>19</v>
      </c>
      <c r="K622" s="2" t="s">
        <v>1758</v>
      </c>
      <c r="L622" s="7" t="str">
        <f>HYPERLINK("http://slimages.macys.com/is/image/MCY/11937981 ")</f>
        <v xml:space="preserve">http://slimages.macys.com/is/image/MCY/11937981 </v>
      </c>
    </row>
    <row r="623" spans="1:12" ht="24.75" x14ac:dyDescent="0.25">
      <c r="A623" s="4" t="s">
        <v>6788</v>
      </c>
      <c r="B623" s="2" t="s">
        <v>1808</v>
      </c>
      <c r="C623" s="3">
        <v>1</v>
      </c>
      <c r="D623" s="5">
        <v>22.13</v>
      </c>
      <c r="E623" s="3" t="s">
        <v>5125</v>
      </c>
      <c r="F623" s="2" t="s">
        <v>53</v>
      </c>
      <c r="G623" s="6" t="s">
        <v>156</v>
      </c>
      <c r="H623" s="2" t="s">
        <v>194</v>
      </c>
      <c r="I623" s="2" t="s">
        <v>580</v>
      </c>
      <c r="J623" s="2" t="s">
        <v>19</v>
      </c>
      <c r="K623" s="2" t="s">
        <v>1758</v>
      </c>
      <c r="L623" s="7" t="str">
        <f>HYPERLINK("http://slimages.macys.com/is/image/MCY/12734376 ")</f>
        <v xml:space="preserve">http://slimages.macys.com/is/image/MCY/12734376 </v>
      </c>
    </row>
    <row r="624" spans="1:12" ht="24.75" x14ac:dyDescent="0.25">
      <c r="A624" s="4" t="s">
        <v>7601</v>
      </c>
      <c r="B624" s="2" t="s">
        <v>1776</v>
      </c>
      <c r="C624" s="3">
        <v>1</v>
      </c>
      <c r="D624" s="5">
        <v>22.13</v>
      </c>
      <c r="E624" s="3" t="s">
        <v>1777</v>
      </c>
      <c r="F624" s="2" t="s">
        <v>132</v>
      </c>
      <c r="G624" s="6" t="s">
        <v>154</v>
      </c>
      <c r="H624" s="2" t="s">
        <v>194</v>
      </c>
      <c r="I624" s="2" t="s">
        <v>1766</v>
      </c>
      <c r="J624" s="2" t="s">
        <v>19</v>
      </c>
      <c r="K624" s="2" t="s">
        <v>1082</v>
      </c>
      <c r="L624" s="7" t="str">
        <f>HYPERLINK("http://slimages.macys.com/is/image/MCY/12143920 ")</f>
        <v xml:space="preserve">http://slimages.macys.com/is/image/MCY/12143920 </v>
      </c>
    </row>
    <row r="625" spans="1:12" ht="24.75" x14ac:dyDescent="0.25">
      <c r="A625" s="4" t="s">
        <v>8784</v>
      </c>
      <c r="B625" s="2" t="s">
        <v>6077</v>
      </c>
      <c r="C625" s="3">
        <v>1</v>
      </c>
      <c r="D625" s="5">
        <v>19.989999999999998</v>
      </c>
      <c r="E625" s="3" t="s">
        <v>6078</v>
      </c>
      <c r="F625" s="2" t="s">
        <v>74</v>
      </c>
      <c r="G625" s="6" t="s">
        <v>245</v>
      </c>
      <c r="H625" s="2" t="s">
        <v>1473</v>
      </c>
      <c r="I625" s="2" t="s">
        <v>1426</v>
      </c>
      <c r="J625" s="2" t="s">
        <v>19</v>
      </c>
      <c r="K625" s="2" t="s">
        <v>990</v>
      </c>
      <c r="L625" s="7" t="str">
        <f>HYPERLINK("http://slimages.macys.com/is/image/MCY/11831356 ")</f>
        <v xml:space="preserve">http://slimages.macys.com/is/image/MCY/11831356 </v>
      </c>
    </row>
    <row r="626" spans="1:12" ht="24.75" x14ac:dyDescent="0.25">
      <c r="A626" s="4" t="s">
        <v>2981</v>
      </c>
      <c r="B626" s="2" t="s">
        <v>1724</v>
      </c>
      <c r="C626" s="3">
        <v>1</v>
      </c>
      <c r="D626" s="5">
        <v>34.880000000000003</v>
      </c>
      <c r="E626" s="3">
        <v>100018041</v>
      </c>
      <c r="F626" s="2" t="s">
        <v>26</v>
      </c>
      <c r="G626" s="6" t="s">
        <v>27</v>
      </c>
      <c r="H626" s="2" t="s">
        <v>194</v>
      </c>
      <c r="I626" s="2" t="s">
        <v>195</v>
      </c>
      <c r="J626" s="2" t="s">
        <v>19</v>
      </c>
      <c r="K626" s="2" t="s">
        <v>353</v>
      </c>
      <c r="L626" s="7" t="str">
        <f>HYPERLINK("http://slimages.macys.com/is/image/MCY/12950342 ")</f>
        <v xml:space="preserve">http://slimages.macys.com/is/image/MCY/12950342 </v>
      </c>
    </row>
    <row r="627" spans="1:12" ht="24.75" x14ac:dyDescent="0.25">
      <c r="A627" s="4" t="s">
        <v>8785</v>
      </c>
      <c r="B627" s="2" t="s">
        <v>2988</v>
      </c>
      <c r="C627" s="3">
        <v>3</v>
      </c>
      <c r="D627" s="5">
        <v>20.99</v>
      </c>
      <c r="E627" s="3" t="s">
        <v>2989</v>
      </c>
      <c r="F627" s="2" t="s">
        <v>64</v>
      </c>
      <c r="G627" s="6" t="s">
        <v>181</v>
      </c>
      <c r="H627" s="2" t="s">
        <v>1473</v>
      </c>
      <c r="I627" s="2" t="s">
        <v>1864</v>
      </c>
      <c r="J627" s="2" t="s">
        <v>19</v>
      </c>
      <c r="K627" s="2" t="s">
        <v>990</v>
      </c>
      <c r="L627" s="7" t="str">
        <f>HYPERLINK("http://slimages.macys.com/is/image/MCY/10787778 ")</f>
        <v xml:space="preserve">http://slimages.macys.com/is/image/MCY/10787778 </v>
      </c>
    </row>
    <row r="628" spans="1:12" ht="24.75" x14ac:dyDescent="0.25">
      <c r="A628" s="4" t="s">
        <v>8786</v>
      </c>
      <c r="B628" s="2" t="s">
        <v>2988</v>
      </c>
      <c r="C628" s="3">
        <v>4</v>
      </c>
      <c r="D628" s="5">
        <v>20.99</v>
      </c>
      <c r="E628" s="3" t="s">
        <v>2989</v>
      </c>
      <c r="F628" s="2" t="s">
        <v>64</v>
      </c>
      <c r="G628" s="6" t="s">
        <v>234</v>
      </c>
      <c r="H628" s="2" t="s">
        <v>1473</v>
      </c>
      <c r="I628" s="2" t="s">
        <v>1864</v>
      </c>
      <c r="J628" s="2" t="s">
        <v>19</v>
      </c>
      <c r="K628" s="2" t="s">
        <v>990</v>
      </c>
      <c r="L628" s="7" t="str">
        <f>HYPERLINK("http://slimages.macys.com/is/image/MCY/10787778 ")</f>
        <v xml:space="preserve">http://slimages.macys.com/is/image/MCY/10787778 </v>
      </c>
    </row>
    <row r="629" spans="1:12" ht="24.75" x14ac:dyDescent="0.25">
      <c r="A629" s="4" t="s">
        <v>2990</v>
      </c>
      <c r="B629" s="2" t="s">
        <v>2988</v>
      </c>
      <c r="C629" s="3">
        <v>2</v>
      </c>
      <c r="D629" s="5">
        <v>20.99</v>
      </c>
      <c r="E629" s="3" t="s">
        <v>2989</v>
      </c>
      <c r="F629" s="2" t="s">
        <v>64</v>
      </c>
      <c r="G629" s="6" t="s">
        <v>154</v>
      </c>
      <c r="H629" s="2" t="s">
        <v>1473</v>
      </c>
      <c r="I629" s="2" t="s">
        <v>1864</v>
      </c>
      <c r="J629" s="2" t="s">
        <v>19</v>
      </c>
      <c r="K629" s="2" t="s">
        <v>990</v>
      </c>
      <c r="L629" s="7" t="str">
        <f>HYPERLINK("http://slimages.macys.com/is/image/MCY/10787778 ")</f>
        <v xml:space="preserve">http://slimages.macys.com/is/image/MCY/10787778 </v>
      </c>
    </row>
    <row r="630" spans="1:12" ht="24.75" x14ac:dyDescent="0.25">
      <c r="A630" s="4" t="s">
        <v>1800</v>
      </c>
      <c r="B630" s="2" t="s">
        <v>1801</v>
      </c>
      <c r="C630" s="3">
        <v>1</v>
      </c>
      <c r="D630" s="5">
        <v>21.5</v>
      </c>
      <c r="E630" s="3" t="s">
        <v>1802</v>
      </c>
      <c r="F630" s="2" t="s">
        <v>566</v>
      </c>
      <c r="G630" s="6"/>
      <c r="H630" s="2" t="s">
        <v>312</v>
      </c>
      <c r="I630" s="2" t="s">
        <v>580</v>
      </c>
      <c r="J630" s="2" t="s">
        <v>19</v>
      </c>
      <c r="K630" s="2" t="s">
        <v>1758</v>
      </c>
      <c r="L630" s="7" t="str">
        <f>HYPERLINK("http://slimages.macys.com/is/image/MCY/11515389 ")</f>
        <v xml:space="preserve">http://slimages.macys.com/is/image/MCY/11515389 </v>
      </c>
    </row>
    <row r="631" spans="1:12" ht="24.75" x14ac:dyDescent="0.25">
      <c r="A631" s="4" t="s">
        <v>6792</v>
      </c>
      <c r="B631" s="2" t="s">
        <v>1808</v>
      </c>
      <c r="C631" s="3">
        <v>1</v>
      </c>
      <c r="D631" s="5">
        <v>22.13</v>
      </c>
      <c r="E631" s="3" t="s">
        <v>1809</v>
      </c>
      <c r="F631" s="2" t="s">
        <v>572</v>
      </c>
      <c r="G631" s="6"/>
      <c r="H631" s="2" t="s">
        <v>312</v>
      </c>
      <c r="I631" s="2" t="s">
        <v>580</v>
      </c>
      <c r="J631" s="2" t="s">
        <v>19</v>
      </c>
      <c r="K631" s="2" t="s">
        <v>1082</v>
      </c>
      <c r="L631" s="7" t="str">
        <f>HYPERLINK("http://slimages.macys.com/is/image/MCY/12950293 ")</f>
        <v xml:space="preserve">http://slimages.macys.com/is/image/MCY/12950293 </v>
      </c>
    </row>
    <row r="632" spans="1:12" ht="24.75" x14ac:dyDescent="0.25">
      <c r="A632" s="4" t="s">
        <v>2987</v>
      </c>
      <c r="B632" s="2" t="s">
        <v>2988</v>
      </c>
      <c r="C632" s="3">
        <v>1</v>
      </c>
      <c r="D632" s="5">
        <v>20.99</v>
      </c>
      <c r="E632" s="3" t="s">
        <v>2989</v>
      </c>
      <c r="F632" s="2" t="s">
        <v>64</v>
      </c>
      <c r="G632" s="6" t="s">
        <v>156</v>
      </c>
      <c r="H632" s="2" t="s">
        <v>1473</v>
      </c>
      <c r="I632" s="2" t="s">
        <v>1864</v>
      </c>
      <c r="J632" s="2" t="s">
        <v>19</v>
      </c>
      <c r="K632" s="2" t="s">
        <v>990</v>
      </c>
      <c r="L632" s="7" t="str">
        <f>HYPERLINK("http://slimages.macys.com/is/image/MCY/10787778 ")</f>
        <v xml:space="preserve">http://slimages.macys.com/is/image/MCY/10787778 </v>
      </c>
    </row>
    <row r="633" spans="1:12" ht="24.75" x14ac:dyDescent="0.25">
      <c r="A633" s="4" t="s">
        <v>8787</v>
      </c>
      <c r="B633" s="2" t="s">
        <v>2983</v>
      </c>
      <c r="C633" s="3">
        <v>1</v>
      </c>
      <c r="D633" s="5">
        <v>20.99</v>
      </c>
      <c r="E633" s="3" t="s">
        <v>2984</v>
      </c>
      <c r="F633" s="2" t="s">
        <v>64</v>
      </c>
      <c r="G633" s="6" t="s">
        <v>187</v>
      </c>
      <c r="H633" s="2" t="s">
        <v>1425</v>
      </c>
      <c r="I633" s="2" t="s">
        <v>1864</v>
      </c>
      <c r="J633" s="2" t="s">
        <v>19</v>
      </c>
      <c r="K633" s="2" t="s">
        <v>107</v>
      </c>
      <c r="L633" s="7" t="str">
        <f>HYPERLINK("http://slimages.macys.com/is/image/MCY/10787778 ")</f>
        <v xml:space="preserve">http://slimages.macys.com/is/image/MCY/10787778 </v>
      </c>
    </row>
    <row r="634" spans="1:12" ht="24.75" x14ac:dyDescent="0.25">
      <c r="A634" s="4" t="s">
        <v>2982</v>
      </c>
      <c r="B634" s="2" t="s">
        <v>2983</v>
      </c>
      <c r="C634" s="3">
        <v>1</v>
      </c>
      <c r="D634" s="5">
        <v>20.99</v>
      </c>
      <c r="E634" s="3" t="s">
        <v>2984</v>
      </c>
      <c r="F634" s="2" t="s">
        <v>64</v>
      </c>
      <c r="G634" s="6"/>
      <c r="H634" s="2" t="s">
        <v>1425</v>
      </c>
      <c r="I634" s="2" t="s">
        <v>1864</v>
      </c>
      <c r="J634" s="2" t="s">
        <v>19</v>
      </c>
      <c r="K634" s="2" t="s">
        <v>107</v>
      </c>
      <c r="L634" s="7" t="str">
        <f>HYPERLINK("http://slimages.macys.com/is/image/MCY/10787778 ")</f>
        <v xml:space="preserve">http://slimages.macys.com/is/image/MCY/10787778 </v>
      </c>
    </row>
    <row r="635" spans="1:12" ht="24.75" x14ac:dyDescent="0.25">
      <c r="A635" s="4" t="s">
        <v>8788</v>
      </c>
      <c r="B635" s="2" t="s">
        <v>8789</v>
      </c>
      <c r="C635" s="3">
        <v>5</v>
      </c>
      <c r="D635" s="5">
        <v>19.98</v>
      </c>
      <c r="E635" s="3" t="s">
        <v>8790</v>
      </c>
      <c r="F635" s="2" t="s">
        <v>53</v>
      </c>
      <c r="G635" s="6" t="s">
        <v>154</v>
      </c>
      <c r="H635" s="2" t="s">
        <v>246</v>
      </c>
      <c r="I635" s="2" t="s">
        <v>189</v>
      </c>
      <c r="J635" s="2" t="s">
        <v>19</v>
      </c>
      <c r="K635" s="2" t="s">
        <v>648</v>
      </c>
      <c r="L635" s="7" t="str">
        <f>HYPERLINK("http://slimages.macys.com/is/image/MCY/9454315 ")</f>
        <v xml:space="preserve">http://slimages.macys.com/is/image/MCY/9454315 </v>
      </c>
    </row>
    <row r="636" spans="1:12" ht="24.75" x14ac:dyDescent="0.25">
      <c r="A636" s="4" t="s">
        <v>8791</v>
      </c>
      <c r="B636" s="2" t="s">
        <v>8792</v>
      </c>
      <c r="C636" s="3">
        <v>1</v>
      </c>
      <c r="D636" s="5">
        <v>19.98</v>
      </c>
      <c r="E636" s="3" t="s">
        <v>8793</v>
      </c>
      <c r="F636" s="2" t="s">
        <v>562</v>
      </c>
      <c r="G636" s="6" t="s">
        <v>154</v>
      </c>
      <c r="H636" s="2" t="s">
        <v>246</v>
      </c>
      <c r="I636" s="2" t="s">
        <v>189</v>
      </c>
      <c r="J636" s="2" t="s">
        <v>19</v>
      </c>
      <c r="K636" s="2" t="s">
        <v>648</v>
      </c>
      <c r="L636" s="7" t="str">
        <f>HYPERLINK("http://slimages.macys.com/is/image/MCY/10336215 ")</f>
        <v xml:space="preserve">http://slimages.macys.com/is/image/MCY/10336215 </v>
      </c>
    </row>
    <row r="637" spans="1:12" ht="24.75" x14ac:dyDescent="0.25">
      <c r="A637" s="4" t="s">
        <v>8794</v>
      </c>
      <c r="B637" s="2" t="s">
        <v>8795</v>
      </c>
      <c r="C637" s="3">
        <v>1</v>
      </c>
      <c r="D637" s="5">
        <v>17.989999999999998</v>
      </c>
      <c r="E637" s="3" t="s">
        <v>8796</v>
      </c>
      <c r="F637" s="2" t="s">
        <v>417</v>
      </c>
      <c r="G637" s="6"/>
      <c r="H637" s="2" t="s">
        <v>1425</v>
      </c>
      <c r="I637" s="2" t="s">
        <v>1426</v>
      </c>
      <c r="J637" s="2" t="s">
        <v>19</v>
      </c>
      <c r="K637" s="2" t="s">
        <v>495</v>
      </c>
      <c r="L637" s="7" t="str">
        <f>HYPERLINK("http://slimages.macys.com/is/image/MCY/11989658 ")</f>
        <v xml:space="preserve">http://slimages.macys.com/is/image/MCY/11989658 </v>
      </c>
    </row>
    <row r="638" spans="1:12" ht="24.75" x14ac:dyDescent="0.25">
      <c r="A638" s="4" t="s">
        <v>8797</v>
      </c>
      <c r="B638" s="2" t="s">
        <v>8795</v>
      </c>
      <c r="C638" s="3">
        <v>1</v>
      </c>
      <c r="D638" s="5">
        <v>17.989999999999998</v>
      </c>
      <c r="E638" s="3" t="s">
        <v>8798</v>
      </c>
      <c r="F638" s="2" t="s">
        <v>417</v>
      </c>
      <c r="G638" s="6" t="s">
        <v>200</v>
      </c>
      <c r="H638" s="2" t="s">
        <v>1473</v>
      </c>
      <c r="I638" s="2" t="s">
        <v>1426</v>
      </c>
      <c r="J638" s="2" t="s">
        <v>19</v>
      </c>
      <c r="K638" s="2" t="s">
        <v>495</v>
      </c>
      <c r="L638" s="7" t="str">
        <f>HYPERLINK("http://slimages.macys.com/is/image/MCY/11989658 ")</f>
        <v xml:space="preserve">http://slimages.macys.com/is/image/MCY/11989658 </v>
      </c>
    </row>
    <row r="639" spans="1:12" ht="24.75" x14ac:dyDescent="0.25">
      <c r="A639" s="4" t="s">
        <v>8799</v>
      </c>
      <c r="B639" s="2" t="s">
        <v>8795</v>
      </c>
      <c r="C639" s="3">
        <v>1</v>
      </c>
      <c r="D639" s="5">
        <v>17.989999999999998</v>
      </c>
      <c r="E639" s="3" t="s">
        <v>8798</v>
      </c>
      <c r="F639" s="2" t="s">
        <v>417</v>
      </c>
      <c r="G639" s="6" t="s">
        <v>234</v>
      </c>
      <c r="H639" s="2" t="s">
        <v>1473</v>
      </c>
      <c r="I639" s="2" t="s">
        <v>1426</v>
      </c>
      <c r="J639" s="2" t="s">
        <v>19</v>
      </c>
      <c r="K639" s="2" t="s">
        <v>495</v>
      </c>
      <c r="L639" s="7" t="str">
        <f>HYPERLINK("http://slimages.macys.com/is/image/MCY/11989658 ")</f>
        <v xml:space="preserve">http://slimages.macys.com/is/image/MCY/11989658 </v>
      </c>
    </row>
    <row r="640" spans="1:12" ht="24.75" x14ac:dyDescent="0.25">
      <c r="A640" s="4" t="s">
        <v>8800</v>
      </c>
      <c r="B640" s="2" t="s">
        <v>5138</v>
      </c>
      <c r="C640" s="3">
        <v>1</v>
      </c>
      <c r="D640" s="5">
        <v>19.989999999999998</v>
      </c>
      <c r="E640" s="3" t="s">
        <v>5139</v>
      </c>
      <c r="F640" s="2" t="s">
        <v>15</v>
      </c>
      <c r="G640" s="6" t="s">
        <v>154</v>
      </c>
      <c r="H640" s="2" t="s">
        <v>1473</v>
      </c>
      <c r="I640" s="2" t="s">
        <v>1426</v>
      </c>
      <c r="J640" s="2" t="s">
        <v>19</v>
      </c>
      <c r="K640" s="2" t="s">
        <v>648</v>
      </c>
      <c r="L640" s="7" t="str">
        <f>HYPERLINK("http://slimages.macys.com/is/image/MCY/12774735 ")</f>
        <v xml:space="preserve">http://slimages.macys.com/is/image/MCY/12774735 </v>
      </c>
    </row>
    <row r="641" spans="1:12" ht="24.75" x14ac:dyDescent="0.25">
      <c r="A641" s="4" t="s">
        <v>3002</v>
      </c>
      <c r="B641" s="2" t="s">
        <v>1817</v>
      </c>
      <c r="C641" s="3">
        <v>1</v>
      </c>
      <c r="D641" s="5">
        <v>17.989999999999998</v>
      </c>
      <c r="E641" s="3" t="s">
        <v>1818</v>
      </c>
      <c r="F641" s="2" t="s">
        <v>998</v>
      </c>
      <c r="G641" s="6" t="s">
        <v>16</v>
      </c>
      <c r="H641" s="2" t="s">
        <v>1473</v>
      </c>
      <c r="I641" s="2" t="s">
        <v>1426</v>
      </c>
      <c r="J641" s="2" t="s">
        <v>19</v>
      </c>
      <c r="K641" s="2" t="s">
        <v>353</v>
      </c>
      <c r="L641" s="7" t="str">
        <f>HYPERLINK("http://slimages.macys.com/is/image/MCY/12070597 ")</f>
        <v xml:space="preserve">http://slimages.macys.com/is/image/MCY/12070597 </v>
      </c>
    </row>
    <row r="642" spans="1:12" ht="24.75" x14ac:dyDescent="0.25">
      <c r="A642" s="4" t="s">
        <v>8801</v>
      </c>
      <c r="B642" s="2" t="s">
        <v>8802</v>
      </c>
      <c r="C642" s="3">
        <v>1</v>
      </c>
      <c r="D642" s="5">
        <v>17.989999999999998</v>
      </c>
      <c r="E642" s="3" t="s">
        <v>8803</v>
      </c>
      <c r="F642" s="2" t="s">
        <v>15</v>
      </c>
      <c r="G642" s="6" t="s">
        <v>156</v>
      </c>
      <c r="H642" s="2" t="s">
        <v>1473</v>
      </c>
      <c r="I642" s="2" t="s">
        <v>1426</v>
      </c>
      <c r="J642" s="2" t="s">
        <v>19</v>
      </c>
      <c r="K642" s="2" t="s">
        <v>803</v>
      </c>
      <c r="L642" s="7" t="str">
        <f>HYPERLINK("http://slimages.macys.com/is/image/MCY/12144758 ")</f>
        <v xml:space="preserve">http://slimages.macys.com/is/image/MCY/12144758 </v>
      </c>
    </row>
    <row r="643" spans="1:12" ht="24.75" x14ac:dyDescent="0.25">
      <c r="A643" s="4" t="s">
        <v>8804</v>
      </c>
      <c r="B643" s="2" t="s">
        <v>4106</v>
      </c>
      <c r="C643" s="3">
        <v>1</v>
      </c>
      <c r="D643" s="5">
        <v>21.99</v>
      </c>
      <c r="E643" s="3" t="s">
        <v>4107</v>
      </c>
      <c r="F643" s="2" t="s">
        <v>15</v>
      </c>
      <c r="G643" s="6" t="s">
        <v>154</v>
      </c>
      <c r="H643" s="2" t="s">
        <v>284</v>
      </c>
      <c r="I643" s="2" t="s">
        <v>285</v>
      </c>
      <c r="J643" s="2" t="s">
        <v>19</v>
      </c>
      <c r="K643" s="2" t="s">
        <v>247</v>
      </c>
      <c r="L643" s="7" t="str">
        <f>HYPERLINK("http://slimages.macys.com/is/image/MCY/12876530 ")</f>
        <v xml:space="preserve">http://slimages.macys.com/is/image/MCY/12876530 </v>
      </c>
    </row>
    <row r="644" spans="1:12" ht="24.75" x14ac:dyDescent="0.25">
      <c r="A644" s="4" t="s">
        <v>8805</v>
      </c>
      <c r="B644" s="2" t="s">
        <v>4106</v>
      </c>
      <c r="C644" s="3">
        <v>1</v>
      </c>
      <c r="D644" s="5">
        <v>21.99</v>
      </c>
      <c r="E644" s="3" t="s">
        <v>4107</v>
      </c>
      <c r="F644" s="2" t="s">
        <v>15</v>
      </c>
      <c r="G644" s="6" t="s">
        <v>234</v>
      </c>
      <c r="H644" s="2" t="s">
        <v>284</v>
      </c>
      <c r="I644" s="2" t="s">
        <v>285</v>
      </c>
      <c r="J644" s="2" t="s">
        <v>19</v>
      </c>
      <c r="K644" s="2" t="s">
        <v>247</v>
      </c>
      <c r="L644" s="7" t="str">
        <f>HYPERLINK("http://slimages.macys.com/is/image/MCY/12876530 ")</f>
        <v xml:space="preserve">http://slimages.macys.com/is/image/MCY/12876530 </v>
      </c>
    </row>
    <row r="645" spans="1:12" ht="24.75" x14ac:dyDescent="0.25">
      <c r="A645" s="4" t="s">
        <v>8806</v>
      </c>
      <c r="B645" s="2" t="s">
        <v>5144</v>
      </c>
      <c r="C645" s="3">
        <v>1</v>
      </c>
      <c r="D645" s="5">
        <v>19.989999999999998</v>
      </c>
      <c r="E645" s="3" t="s">
        <v>5145</v>
      </c>
      <c r="F645" s="2" t="s">
        <v>74</v>
      </c>
      <c r="G645" s="6" t="s">
        <v>219</v>
      </c>
      <c r="H645" s="2" t="s">
        <v>1425</v>
      </c>
      <c r="I645" s="2" t="s">
        <v>1426</v>
      </c>
      <c r="J645" s="2" t="s">
        <v>19</v>
      </c>
      <c r="K645" s="2" t="s">
        <v>1108</v>
      </c>
      <c r="L645" s="7" t="str">
        <f>HYPERLINK("http://slimages.macys.com/is/image/MCY/10782750 ")</f>
        <v xml:space="preserve">http://slimages.macys.com/is/image/MCY/10782750 </v>
      </c>
    </row>
    <row r="646" spans="1:12" ht="24.75" x14ac:dyDescent="0.25">
      <c r="A646" s="4" t="s">
        <v>3011</v>
      </c>
      <c r="B646" s="2" t="s">
        <v>3012</v>
      </c>
      <c r="C646" s="3">
        <v>1</v>
      </c>
      <c r="D646" s="5">
        <v>22.13</v>
      </c>
      <c r="E646" s="3" t="s">
        <v>3013</v>
      </c>
      <c r="F646" s="2" t="s">
        <v>752</v>
      </c>
      <c r="G646" s="6" t="s">
        <v>234</v>
      </c>
      <c r="H646" s="2" t="s">
        <v>194</v>
      </c>
      <c r="I646" s="2" t="s">
        <v>195</v>
      </c>
      <c r="J646" s="2" t="s">
        <v>19</v>
      </c>
      <c r="K646" s="2" t="s">
        <v>1082</v>
      </c>
      <c r="L646" s="7" t="str">
        <f>HYPERLINK("http://slimages.macys.com/is/image/MCY/12724768 ")</f>
        <v xml:space="preserve">http://slimages.macys.com/is/image/MCY/12724768 </v>
      </c>
    </row>
    <row r="647" spans="1:12" ht="24.75" x14ac:dyDescent="0.25">
      <c r="A647" s="4" t="s">
        <v>8807</v>
      </c>
      <c r="B647" s="2" t="s">
        <v>8808</v>
      </c>
      <c r="C647" s="3">
        <v>1</v>
      </c>
      <c r="D647" s="5">
        <v>19.989999999999998</v>
      </c>
      <c r="E647" s="3" t="s">
        <v>8809</v>
      </c>
      <c r="F647" s="2" t="s">
        <v>26</v>
      </c>
      <c r="G647" s="6" t="s">
        <v>187</v>
      </c>
      <c r="H647" s="2" t="s">
        <v>188</v>
      </c>
      <c r="I647" s="2" t="s">
        <v>189</v>
      </c>
      <c r="J647" s="2" t="s">
        <v>19</v>
      </c>
      <c r="K647" s="2" t="s">
        <v>648</v>
      </c>
      <c r="L647" s="7" t="str">
        <f>HYPERLINK("http://slimages.macys.com/is/image/MCY/11621950 ")</f>
        <v xml:space="preserve">http://slimages.macys.com/is/image/MCY/11621950 </v>
      </c>
    </row>
    <row r="648" spans="1:12" ht="24.75" x14ac:dyDescent="0.25">
      <c r="A648" s="4" t="s">
        <v>8810</v>
      </c>
      <c r="B648" s="2" t="s">
        <v>4128</v>
      </c>
      <c r="C648" s="3">
        <v>1</v>
      </c>
      <c r="D648" s="5">
        <v>19.989999999999998</v>
      </c>
      <c r="E648" s="3" t="s">
        <v>4129</v>
      </c>
      <c r="F648" s="2" t="s">
        <v>70</v>
      </c>
      <c r="G648" s="6" t="s">
        <v>187</v>
      </c>
      <c r="H648" s="2" t="s">
        <v>1425</v>
      </c>
      <c r="I648" s="2" t="s">
        <v>1426</v>
      </c>
      <c r="J648" s="2" t="s">
        <v>19</v>
      </c>
      <c r="K648" s="2" t="s">
        <v>1108</v>
      </c>
      <c r="L648" s="7" t="str">
        <f>HYPERLINK("http://slimages.macys.com/is/image/MCY/11831170 ")</f>
        <v xml:space="preserve">http://slimages.macys.com/is/image/MCY/11831170 </v>
      </c>
    </row>
    <row r="649" spans="1:12" ht="24.75" x14ac:dyDescent="0.25">
      <c r="A649" s="4" t="s">
        <v>8811</v>
      </c>
      <c r="B649" s="2" t="s">
        <v>8812</v>
      </c>
      <c r="C649" s="3">
        <v>2</v>
      </c>
      <c r="D649" s="5">
        <v>19.989999999999998</v>
      </c>
      <c r="E649" s="3" t="s">
        <v>8813</v>
      </c>
      <c r="F649" s="2" t="s">
        <v>33</v>
      </c>
      <c r="G649" s="6" t="s">
        <v>234</v>
      </c>
      <c r="H649" s="2" t="s">
        <v>1473</v>
      </c>
      <c r="I649" s="2" t="s">
        <v>1426</v>
      </c>
      <c r="J649" s="2" t="s">
        <v>19</v>
      </c>
      <c r="K649" s="2" t="s">
        <v>1108</v>
      </c>
      <c r="L649" s="7" t="str">
        <f>HYPERLINK("http://slimages.macys.com/is/image/MCY/11832079 ")</f>
        <v xml:space="preserve">http://slimages.macys.com/is/image/MCY/11832079 </v>
      </c>
    </row>
    <row r="650" spans="1:12" ht="24.75" x14ac:dyDescent="0.25">
      <c r="A650" s="4" t="s">
        <v>8814</v>
      </c>
      <c r="B650" s="2" t="s">
        <v>4128</v>
      </c>
      <c r="C650" s="3">
        <v>1</v>
      </c>
      <c r="D650" s="5">
        <v>19.989999999999998</v>
      </c>
      <c r="E650" s="3" t="s">
        <v>5153</v>
      </c>
      <c r="F650" s="2" t="s">
        <v>820</v>
      </c>
      <c r="G650" s="6" t="s">
        <v>154</v>
      </c>
      <c r="H650" s="2" t="s">
        <v>1473</v>
      </c>
      <c r="I650" s="2" t="s">
        <v>1426</v>
      </c>
      <c r="J650" s="2" t="s">
        <v>19</v>
      </c>
      <c r="K650" s="2" t="s">
        <v>1108</v>
      </c>
      <c r="L650" s="7" t="str">
        <f>HYPERLINK("http://slimages.macys.com/is/image/MCY/11831179 ")</f>
        <v xml:space="preserve">http://slimages.macys.com/is/image/MCY/11831179 </v>
      </c>
    </row>
    <row r="651" spans="1:12" ht="24.75" x14ac:dyDescent="0.25">
      <c r="A651" s="4" t="s">
        <v>8815</v>
      </c>
      <c r="B651" s="2" t="s">
        <v>8808</v>
      </c>
      <c r="C651" s="3">
        <v>1</v>
      </c>
      <c r="D651" s="5">
        <v>19.989999999999998</v>
      </c>
      <c r="E651" s="3" t="s">
        <v>8809</v>
      </c>
      <c r="F651" s="2" t="s">
        <v>26</v>
      </c>
      <c r="G651" s="6" t="s">
        <v>219</v>
      </c>
      <c r="H651" s="2" t="s">
        <v>188</v>
      </c>
      <c r="I651" s="2" t="s">
        <v>189</v>
      </c>
      <c r="J651" s="2" t="s">
        <v>19</v>
      </c>
      <c r="K651" s="2" t="s">
        <v>648</v>
      </c>
      <c r="L651" s="7" t="str">
        <f>HYPERLINK("http://slimages.macys.com/is/image/MCY/11621950 ")</f>
        <v xml:space="preserve">http://slimages.macys.com/is/image/MCY/11621950 </v>
      </c>
    </row>
    <row r="652" spans="1:12" ht="24.75" x14ac:dyDescent="0.25">
      <c r="A652" s="4" t="s">
        <v>8816</v>
      </c>
      <c r="B652" s="2" t="s">
        <v>8817</v>
      </c>
      <c r="C652" s="3">
        <v>1</v>
      </c>
      <c r="D652" s="5">
        <v>19.989999999999998</v>
      </c>
      <c r="E652" s="3" t="s">
        <v>8818</v>
      </c>
      <c r="F652" s="2" t="s">
        <v>70</v>
      </c>
      <c r="G652" s="6" t="s">
        <v>234</v>
      </c>
      <c r="H652" s="2" t="s">
        <v>1473</v>
      </c>
      <c r="I652" s="2" t="s">
        <v>1426</v>
      </c>
      <c r="J652" s="2" t="s">
        <v>19</v>
      </c>
      <c r="K652" s="2" t="s">
        <v>495</v>
      </c>
      <c r="L652" s="7" t="str">
        <f>HYPERLINK("http://slimages.macys.com/is/image/MCY/11634175 ")</f>
        <v xml:space="preserve">http://slimages.macys.com/is/image/MCY/11634175 </v>
      </c>
    </row>
    <row r="653" spans="1:12" ht="24.75" x14ac:dyDescent="0.25">
      <c r="A653" s="4" t="s">
        <v>3031</v>
      </c>
      <c r="B653" s="2" t="s">
        <v>1829</v>
      </c>
      <c r="C653" s="3">
        <v>1</v>
      </c>
      <c r="D653" s="5">
        <v>14.99</v>
      </c>
      <c r="E653" s="3" t="s">
        <v>3032</v>
      </c>
      <c r="F653" s="2" t="s">
        <v>1788</v>
      </c>
      <c r="G653" s="6" t="s">
        <v>156</v>
      </c>
      <c r="H653" s="2" t="s">
        <v>194</v>
      </c>
      <c r="I653" s="2" t="s">
        <v>307</v>
      </c>
      <c r="J653" s="2" t="s">
        <v>19</v>
      </c>
      <c r="K653" s="2" t="s">
        <v>34</v>
      </c>
      <c r="L653" s="7" t="str">
        <f>HYPERLINK("http://slimages.macys.com/is/image/MCY/11936089 ")</f>
        <v xml:space="preserve">http://slimages.macys.com/is/image/MCY/11936089 </v>
      </c>
    </row>
    <row r="654" spans="1:12" ht="24.75" x14ac:dyDescent="0.25">
      <c r="A654" s="4" t="s">
        <v>4132</v>
      </c>
      <c r="B654" s="2" t="s">
        <v>1829</v>
      </c>
      <c r="C654" s="3">
        <v>1</v>
      </c>
      <c r="D654" s="5">
        <v>14.99</v>
      </c>
      <c r="E654" s="3" t="s">
        <v>1836</v>
      </c>
      <c r="F654" s="2" t="s">
        <v>252</v>
      </c>
      <c r="G654" s="6" t="s">
        <v>234</v>
      </c>
      <c r="H654" s="2" t="s">
        <v>194</v>
      </c>
      <c r="I654" s="2" t="s">
        <v>307</v>
      </c>
      <c r="J654" s="2" t="s">
        <v>19</v>
      </c>
      <c r="K654" s="2" t="s">
        <v>34</v>
      </c>
      <c r="L654" s="7" t="str">
        <f>HYPERLINK("http://slimages.macys.com/is/image/MCY/11937942 ")</f>
        <v xml:space="preserve">http://slimages.macys.com/is/image/MCY/11937942 </v>
      </c>
    </row>
    <row r="655" spans="1:12" ht="24.75" x14ac:dyDescent="0.25">
      <c r="A655" s="4" t="s">
        <v>8819</v>
      </c>
      <c r="B655" s="2" t="s">
        <v>1833</v>
      </c>
      <c r="C655" s="3">
        <v>1</v>
      </c>
      <c r="D655" s="5">
        <v>14.99</v>
      </c>
      <c r="E655" s="3" t="s">
        <v>6110</v>
      </c>
      <c r="F655" s="2" t="s">
        <v>101</v>
      </c>
      <c r="G655" s="6" t="s">
        <v>245</v>
      </c>
      <c r="H655" s="2" t="s">
        <v>194</v>
      </c>
      <c r="I655" s="2" t="s">
        <v>307</v>
      </c>
      <c r="J655" s="2" t="s">
        <v>19</v>
      </c>
      <c r="K655" s="2" t="s">
        <v>34</v>
      </c>
      <c r="L655" s="7" t="str">
        <f>HYPERLINK("http://slimages.macys.com/is/image/MCY/11515395 ")</f>
        <v xml:space="preserve">http://slimages.macys.com/is/image/MCY/11515395 </v>
      </c>
    </row>
    <row r="656" spans="1:12" ht="24.75" x14ac:dyDescent="0.25">
      <c r="A656" s="4" t="s">
        <v>8820</v>
      </c>
      <c r="B656" s="2" t="s">
        <v>8821</v>
      </c>
      <c r="C656" s="3">
        <v>1</v>
      </c>
      <c r="D656" s="5">
        <v>17.989999999999998</v>
      </c>
      <c r="E656" s="3" t="s">
        <v>8822</v>
      </c>
      <c r="F656" s="2" t="s">
        <v>26</v>
      </c>
      <c r="G656" s="6"/>
      <c r="H656" s="2" t="s">
        <v>1425</v>
      </c>
      <c r="I656" s="2" t="s">
        <v>1469</v>
      </c>
      <c r="J656" s="2" t="s">
        <v>19</v>
      </c>
      <c r="K656" s="2" t="s">
        <v>353</v>
      </c>
      <c r="L656" s="7" t="str">
        <f>HYPERLINK("http://slimages.macys.com/is/image/MCY/2880260 ")</f>
        <v xml:space="preserve">http://slimages.macys.com/is/image/MCY/2880260 </v>
      </c>
    </row>
    <row r="657" spans="1:12" ht="24.75" x14ac:dyDescent="0.25">
      <c r="A657" s="4" t="s">
        <v>1869</v>
      </c>
      <c r="B657" s="2" t="s">
        <v>1862</v>
      </c>
      <c r="C657" s="3">
        <v>3</v>
      </c>
      <c r="D657" s="5">
        <v>20.99</v>
      </c>
      <c r="E657" s="3" t="s">
        <v>1868</v>
      </c>
      <c r="F657" s="2" t="s">
        <v>15</v>
      </c>
      <c r="G657" s="6" t="s">
        <v>154</v>
      </c>
      <c r="H657" s="2" t="s">
        <v>1473</v>
      </c>
      <c r="I657" s="2" t="s">
        <v>1864</v>
      </c>
      <c r="J657" s="2" t="s">
        <v>19</v>
      </c>
      <c r="K657" s="2" t="s">
        <v>648</v>
      </c>
      <c r="L657" s="7" t="str">
        <f t="shared" ref="L657:L666" si="7">HYPERLINK("http://slimages.macys.com/is/image/MCY/12267099 ")</f>
        <v xml:space="preserve">http://slimages.macys.com/is/image/MCY/12267099 </v>
      </c>
    </row>
    <row r="658" spans="1:12" ht="24.75" x14ac:dyDescent="0.25">
      <c r="A658" s="4" t="s">
        <v>1870</v>
      </c>
      <c r="B658" s="2" t="s">
        <v>1862</v>
      </c>
      <c r="C658" s="3">
        <v>1</v>
      </c>
      <c r="D658" s="5">
        <v>20.99</v>
      </c>
      <c r="E658" s="3" t="s">
        <v>1868</v>
      </c>
      <c r="F658" s="2" t="s">
        <v>15</v>
      </c>
      <c r="G658" s="6" t="s">
        <v>156</v>
      </c>
      <c r="H658" s="2" t="s">
        <v>1473</v>
      </c>
      <c r="I658" s="2" t="s">
        <v>1864</v>
      </c>
      <c r="J658" s="2" t="s">
        <v>19</v>
      </c>
      <c r="K658" s="2" t="s">
        <v>648</v>
      </c>
      <c r="L658" s="7" t="str">
        <f t="shared" si="7"/>
        <v xml:space="preserve">http://slimages.macys.com/is/image/MCY/12267099 </v>
      </c>
    </row>
    <row r="659" spans="1:12" ht="24.75" x14ac:dyDescent="0.25">
      <c r="A659" s="4" t="s">
        <v>1871</v>
      </c>
      <c r="B659" s="2" t="s">
        <v>1862</v>
      </c>
      <c r="C659" s="3">
        <v>1</v>
      </c>
      <c r="D659" s="5">
        <v>20.99</v>
      </c>
      <c r="E659" s="3" t="s">
        <v>1868</v>
      </c>
      <c r="F659" s="2" t="s">
        <v>70</v>
      </c>
      <c r="G659" s="6" t="s">
        <v>156</v>
      </c>
      <c r="H659" s="2" t="s">
        <v>1473</v>
      </c>
      <c r="I659" s="2" t="s">
        <v>1864</v>
      </c>
      <c r="J659" s="2" t="s">
        <v>19</v>
      </c>
      <c r="K659" s="2" t="s">
        <v>648</v>
      </c>
      <c r="L659" s="7" t="str">
        <f t="shared" si="7"/>
        <v xml:space="preserve">http://slimages.macys.com/is/image/MCY/12267099 </v>
      </c>
    </row>
    <row r="660" spans="1:12" ht="24.75" x14ac:dyDescent="0.25">
      <c r="A660" s="4" t="s">
        <v>3047</v>
      </c>
      <c r="B660" s="2" t="s">
        <v>1862</v>
      </c>
      <c r="C660" s="3">
        <v>3</v>
      </c>
      <c r="D660" s="5">
        <v>20.99</v>
      </c>
      <c r="E660" s="3" t="s">
        <v>1868</v>
      </c>
      <c r="F660" s="2" t="s">
        <v>15</v>
      </c>
      <c r="G660" s="6" t="s">
        <v>181</v>
      </c>
      <c r="H660" s="2" t="s">
        <v>1473</v>
      </c>
      <c r="I660" s="2" t="s">
        <v>1864</v>
      </c>
      <c r="J660" s="2" t="s">
        <v>19</v>
      </c>
      <c r="K660" s="2" t="s">
        <v>648</v>
      </c>
      <c r="L660" s="7" t="str">
        <f t="shared" si="7"/>
        <v xml:space="preserve">http://slimages.macys.com/is/image/MCY/12267099 </v>
      </c>
    </row>
    <row r="661" spans="1:12" ht="24.75" x14ac:dyDescent="0.25">
      <c r="A661" s="4" t="s">
        <v>8823</v>
      </c>
      <c r="B661" s="2" t="s">
        <v>1862</v>
      </c>
      <c r="C661" s="3">
        <v>1</v>
      </c>
      <c r="D661" s="5">
        <v>20.99</v>
      </c>
      <c r="E661" s="3" t="s">
        <v>1868</v>
      </c>
      <c r="F661" s="2" t="s">
        <v>70</v>
      </c>
      <c r="G661" s="6" t="s">
        <v>154</v>
      </c>
      <c r="H661" s="2" t="s">
        <v>1473</v>
      </c>
      <c r="I661" s="2" t="s">
        <v>1864</v>
      </c>
      <c r="J661" s="2" t="s">
        <v>19</v>
      </c>
      <c r="K661" s="2" t="s">
        <v>648</v>
      </c>
      <c r="L661" s="7" t="str">
        <f t="shared" si="7"/>
        <v xml:space="preserve">http://slimages.macys.com/is/image/MCY/12267099 </v>
      </c>
    </row>
    <row r="662" spans="1:12" ht="24.75" x14ac:dyDescent="0.25">
      <c r="A662" s="4" t="s">
        <v>3044</v>
      </c>
      <c r="B662" s="2" t="s">
        <v>1862</v>
      </c>
      <c r="C662" s="3">
        <v>2</v>
      </c>
      <c r="D662" s="5">
        <v>20.99</v>
      </c>
      <c r="E662" s="3" t="s">
        <v>1868</v>
      </c>
      <c r="F662" s="2" t="s">
        <v>15</v>
      </c>
      <c r="G662" s="6" t="s">
        <v>234</v>
      </c>
      <c r="H662" s="2" t="s">
        <v>1473</v>
      </c>
      <c r="I662" s="2" t="s">
        <v>1864</v>
      </c>
      <c r="J662" s="2" t="s">
        <v>19</v>
      </c>
      <c r="K662" s="2" t="s">
        <v>648</v>
      </c>
      <c r="L662" s="7" t="str">
        <f t="shared" si="7"/>
        <v xml:space="preserve">http://slimages.macys.com/is/image/MCY/12267099 </v>
      </c>
    </row>
    <row r="663" spans="1:12" ht="24.75" x14ac:dyDescent="0.25">
      <c r="A663" s="4" t="s">
        <v>3045</v>
      </c>
      <c r="B663" s="2" t="s">
        <v>1862</v>
      </c>
      <c r="C663" s="3">
        <v>1</v>
      </c>
      <c r="D663" s="5">
        <v>20.99</v>
      </c>
      <c r="E663" s="3" t="s">
        <v>1868</v>
      </c>
      <c r="F663" s="2" t="s">
        <v>998</v>
      </c>
      <c r="G663" s="6" t="s">
        <v>181</v>
      </c>
      <c r="H663" s="2" t="s">
        <v>1473</v>
      </c>
      <c r="I663" s="2" t="s">
        <v>1864</v>
      </c>
      <c r="J663" s="2" t="s">
        <v>19</v>
      </c>
      <c r="K663" s="2" t="s">
        <v>648</v>
      </c>
      <c r="L663" s="7" t="str">
        <f t="shared" si="7"/>
        <v xml:space="preserve">http://slimages.macys.com/is/image/MCY/12267099 </v>
      </c>
    </row>
    <row r="664" spans="1:12" ht="24.75" x14ac:dyDescent="0.25">
      <c r="A664" s="4" t="s">
        <v>6832</v>
      </c>
      <c r="B664" s="2" t="s">
        <v>1862</v>
      </c>
      <c r="C664" s="3">
        <v>1</v>
      </c>
      <c r="D664" s="5">
        <v>20.99</v>
      </c>
      <c r="E664" s="3" t="s">
        <v>1868</v>
      </c>
      <c r="F664" s="2" t="s">
        <v>998</v>
      </c>
      <c r="G664" s="6" t="s">
        <v>234</v>
      </c>
      <c r="H664" s="2" t="s">
        <v>1473</v>
      </c>
      <c r="I664" s="2" t="s">
        <v>1864</v>
      </c>
      <c r="J664" s="2" t="s">
        <v>19</v>
      </c>
      <c r="K664" s="2" t="s">
        <v>648</v>
      </c>
      <c r="L664" s="7" t="str">
        <f t="shared" si="7"/>
        <v xml:space="preserve">http://slimages.macys.com/is/image/MCY/12267099 </v>
      </c>
    </row>
    <row r="665" spans="1:12" ht="24.75" x14ac:dyDescent="0.25">
      <c r="A665" s="4" t="s">
        <v>3046</v>
      </c>
      <c r="B665" s="2" t="s">
        <v>1862</v>
      </c>
      <c r="C665" s="3">
        <v>3</v>
      </c>
      <c r="D665" s="5">
        <v>20.99</v>
      </c>
      <c r="E665" s="3" t="s">
        <v>1868</v>
      </c>
      <c r="F665" s="2" t="s">
        <v>998</v>
      </c>
      <c r="G665" s="6" t="s">
        <v>154</v>
      </c>
      <c r="H665" s="2" t="s">
        <v>1473</v>
      </c>
      <c r="I665" s="2" t="s">
        <v>1864</v>
      </c>
      <c r="J665" s="2" t="s">
        <v>19</v>
      </c>
      <c r="K665" s="2" t="s">
        <v>648</v>
      </c>
      <c r="L665" s="7" t="str">
        <f t="shared" si="7"/>
        <v xml:space="preserve">http://slimages.macys.com/is/image/MCY/12267099 </v>
      </c>
    </row>
    <row r="666" spans="1:12" ht="24.75" x14ac:dyDescent="0.25">
      <c r="A666" s="4" t="s">
        <v>3043</v>
      </c>
      <c r="B666" s="2" t="s">
        <v>1862</v>
      </c>
      <c r="C666" s="3">
        <v>2</v>
      </c>
      <c r="D666" s="5">
        <v>20.99</v>
      </c>
      <c r="E666" s="3" t="s">
        <v>1868</v>
      </c>
      <c r="F666" s="2" t="s">
        <v>70</v>
      </c>
      <c r="G666" s="6" t="s">
        <v>181</v>
      </c>
      <c r="H666" s="2" t="s">
        <v>1473</v>
      </c>
      <c r="I666" s="2" t="s">
        <v>1864</v>
      </c>
      <c r="J666" s="2" t="s">
        <v>19</v>
      </c>
      <c r="K666" s="2" t="s">
        <v>648</v>
      </c>
      <c r="L666" s="7" t="str">
        <f t="shared" si="7"/>
        <v xml:space="preserve">http://slimages.macys.com/is/image/MCY/12267099 </v>
      </c>
    </row>
    <row r="667" spans="1:12" ht="24.75" x14ac:dyDescent="0.25">
      <c r="A667" s="4" t="s">
        <v>8824</v>
      </c>
      <c r="B667" s="2" t="s">
        <v>1873</v>
      </c>
      <c r="C667" s="3">
        <v>1</v>
      </c>
      <c r="D667" s="5">
        <v>17.989999999999998</v>
      </c>
      <c r="E667" s="3" t="s">
        <v>2123</v>
      </c>
      <c r="F667" s="2" t="s">
        <v>33</v>
      </c>
      <c r="G667" s="6" t="s">
        <v>181</v>
      </c>
      <c r="H667" s="2" t="s">
        <v>1522</v>
      </c>
      <c r="I667" s="2" t="s">
        <v>1469</v>
      </c>
      <c r="J667" s="2" t="s">
        <v>19</v>
      </c>
      <c r="K667" s="2" t="s">
        <v>495</v>
      </c>
      <c r="L667" s="7" t="str">
        <f>HYPERLINK("http://slimages.macys.com/is/image/MCY/11690386 ")</f>
        <v xml:space="preserve">http://slimages.macys.com/is/image/MCY/11690386 </v>
      </c>
    </row>
    <row r="668" spans="1:12" ht="24.75" x14ac:dyDescent="0.25">
      <c r="A668" s="4" t="s">
        <v>8825</v>
      </c>
      <c r="B668" s="2" t="s">
        <v>7644</v>
      </c>
      <c r="C668" s="3">
        <v>1</v>
      </c>
      <c r="D668" s="5">
        <v>29.63</v>
      </c>
      <c r="E668" s="3" t="s">
        <v>7645</v>
      </c>
      <c r="F668" s="2" t="s">
        <v>15</v>
      </c>
      <c r="G668" s="6" t="s">
        <v>154</v>
      </c>
      <c r="H668" s="2" t="s">
        <v>284</v>
      </c>
      <c r="I668" s="2" t="s">
        <v>285</v>
      </c>
      <c r="J668" s="2" t="s">
        <v>19</v>
      </c>
      <c r="K668" s="2" t="s">
        <v>160</v>
      </c>
      <c r="L668" s="7" t="str">
        <f>HYPERLINK("http://slimages.macys.com/is/image/MCY/12671557 ")</f>
        <v xml:space="preserve">http://slimages.macys.com/is/image/MCY/12671557 </v>
      </c>
    </row>
    <row r="669" spans="1:12" ht="24.75" x14ac:dyDescent="0.25">
      <c r="A669" s="4" t="s">
        <v>1904</v>
      </c>
      <c r="B669" s="2" t="s">
        <v>1892</v>
      </c>
      <c r="C669" s="3">
        <v>3</v>
      </c>
      <c r="D669" s="5">
        <v>20.99</v>
      </c>
      <c r="E669" s="3" t="s">
        <v>1893</v>
      </c>
      <c r="F669" s="2" t="s">
        <v>15</v>
      </c>
      <c r="G669" s="6"/>
      <c r="H669" s="2" t="s">
        <v>1425</v>
      </c>
      <c r="I669" s="2" t="s">
        <v>1864</v>
      </c>
      <c r="J669" s="2" t="s">
        <v>19</v>
      </c>
      <c r="K669" s="2" t="s">
        <v>1894</v>
      </c>
      <c r="L669" s="7" t="str">
        <f>HYPERLINK("http://slimages.macys.com/is/image/MCY/11689288 ")</f>
        <v xml:space="preserve">http://slimages.macys.com/is/image/MCY/11689288 </v>
      </c>
    </row>
    <row r="670" spans="1:12" ht="24.75" x14ac:dyDescent="0.25">
      <c r="A670" s="4" t="s">
        <v>3055</v>
      </c>
      <c r="B670" s="2" t="s">
        <v>1892</v>
      </c>
      <c r="C670" s="3">
        <v>1</v>
      </c>
      <c r="D670" s="5">
        <v>20.99</v>
      </c>
      <c r="E670" s="3" t="s">
        <v>1901</v>
      </c>
      <c r="F670" s="2" t="s">
        <v>74</v>
      </c>
      <c r="G670" s="6" t="s">
        <v>156</v>
      </c>
      <c r="H670" s="2" t="s">
        <v>1473</v>
      </c>
      <c r="I670" s="2" t="s">
        <v>1864</v>
      </c>
      <c r="J670" s="2" t="s">
        <v>19</v>
      </c>
      <c r="K670" s="2" t="s">
        <v>648</v>
      </c>
      <c r="L670" s="7" t="str">
        <f>HYPERLINK("http://slimages.macys.com/is/image/MCY/11689284 ")</f>
        <v xml:space="preserve">http://slimages.macys.com/is/image/MCY/11689284 </v>
      </c>
    </row>
    <row r="671" spans="1:12" ht="24.75" x14ac:dyDescent="0.25">
      <c r="A671" s="4" t="s">
        <v>5176</v>
      </c>
      <c r="B671" s="2" t="s">
        <v>1896</v>
      </c>
      <c r="C671" s="3">
        <v>3</v>
      </c>
      <c r="D671" s="5">
        <v>20.99</v>
      </c>
      <c r="E671" s="3" t="s">
        <v>1899</v>
      </c>
      <c r="F671" s="2" t="s">
        <v>252</v>
      </c>
      <c r="G671" s="6" t="s">
        <v>154</v>
      </c>
      <c r="H671" s="2" t="s">
        <v>1473</v>
      </c>
      <c r="I671" s="2" t="s">
        <v>1864</v>
      </c>
      <c r="J671" s="2" t="s">
        <v>19</v>
      </c>
      <c r="K671" s="2" t="s">
        <v>648</v>
      </c>
      <c r="L671" s="7" t="str">
        <f>HYPERLINK("http://slimages.macys.com/is/image/MCY/10787705 ")</f>
        <v xml:space="preserve">http://slimages.macys.com/is/image/MCY/10787705 </v>
      </c>
    </row>
    <row r="672" spans="1:12" ht="24.75" x14ac:dyDescent="0.25">
      <c r="A672" s="4" t="s">
        <v>3060</v>
      </c>
      <c r="B672" s="2" t="s">
        <v>1896</v>
      </c>
      <c r="C672" s="3">
        <v>1</v>
      </c>
      <c r="D672" s="5">
        <v>20.99</v>
      </c>
      <c r="E672" s="3" t="s">
        <v>1899</v>
      </c>
      <c r="F672" s="2" t="s">
        <v>15</v>
      </c>
      <c r="G672" s="6" t="s">
        <v>156</v>
      </c>
      <c r="H672" s="2" t="s">
        <v>1473</v>
      </c>
      <c r="I672" s="2" t="s">
        <v>1864</v>
      </c>
      <c r="J672" s="2" t="s">
        <v>19</v>
      </c>
      <c r="K672" s="2" t="s">
        <v>648</v>
      </c>
      <c r="L672" s="7" t="str">
        <f>HYPERLINK("http://slimages.macys.com/is/image/MCY/10787705 ")</f>
        <v xml:space="preserve">http://slimages.macys.com/is/image/MCY/10787705 </v>
      </c>
    </row>
    <row r="673" spans="1:12" ht="24.75" x14ac:dyDescent="0.25">
      <c r="A673" s="4" t="s">
        <v>3051</v>
      </c>
      <c r="B673" s="2" t="s">
        <v>1892</v>
      </c>
      <c r="C673" s="3">
        <v>1</v>
      </c>
      <c r="D673" s="5">
        <v>20.99</v>
      </c>
      <c r="E673" s="3" t="s">
        <v>1901</v>
      </c>
      <c r="F673" s="2" t="s">
        <v>998</v>
      </c>
      <c r="G673" s="6" t="s">
        <v>154</v>
      </c>
      <c r="H673" s="2" t="s">
        <v>1473</v>
      </c>
      <c r="I673" s="2" t="s">
        <v>1864</v>
      </c>
      <c r="J673" s="2" t="s">
        <v>19</v>
      </c>
      <c r="K673" s="2" t="s">
        <v>648</v>
      </c>
      <c r="L673" s="7" t="str">
        <f>HYPERLINK("http://slimages.macys.com/is/image/MCY/11689284 ")</f>
        <v xml:space="preserve">http://slimages.macys.com/is/image/MCY/11689284 </v>
      </c>
    </row>
    <row r="674" spans="1:12" ht="24.75" x14ac:dyDescent="0.25">
      <c r="A674" s="4" t="s">
        <v>3064</v>
      </c>
      <c r="B674" s="2" t="s">
        <v>1896</v>
      </c>
      <c r="C674" s="3">
        <v>1</v>
      </c>
      <c r="D674" s="5">
        <v>20.99</v>
      </c>
      <c r="E674" s="3" t="s">
        <v>1899</v>
      </c>
      <c r="F674" s="2" t="s">
        <v>252</v>
      </c>
      <c r="G674" s="6" t="s">
        <v>156</v>
      </c>
      <c r="H674" s="2" t="s">
        <v>1473</v>
      </c>
      <c r="I674" s="2" t="s">
        <v>1864</v>
      </c>
      <c r="J674" s="2" t="s">
        <v>19</v>
      </c>
      <c r="K674" s="2" t="s">
        <v>648</v>
      </c>
      <c r="L674" s="7" t="str">
        <f>HYPERLINK("http://slimages.macys.com/is/image/MCY/10787705 ")</f>
        <v xml:space="preserve">http://slimages.macys.com/is/image/MCY/10787705 </v>
      </c>
    </row>
    <row r="675" spans="1:12" ht="24.75" x14ac:dyDescent="0.25">
      <c r="A675" s="4" t="s">
        <v>3066</v>
      </c>
      <c r="B675" s="2" t="s">
        <v>1896</v>
      </c>
      <c r="C675" s="3">
        <v>1</v>
      </c>
      <c r="D675" s="5">
        <v>20.99</v>
      </c>
      <c r="E675" s="3" t="s">
        <v>1899</v>
      </c>
      <c r="F675" s="2" t="s">
        <v>74</v>
      </c>
      <c r="G675" s="6" t="s">
        <v>245</v>
      </c>
      <c r="H675" s="2" t="s">
        <v>1473</v>
      </c>
      <c r="I675" s="2" t="s">
        <v>1864</v>
      </c>
      <c r="J675" s="2" t="s">
        <v>19</v>
      </c>
      <c r="K675" s="2" t="s">
        <v>648</v>
      </c>
      <c r="L675" s="7" t="str">
        <f>HYPERLINK("http://slimages.macys.com/is/image/MCY/10787705 ")</f>
        <v xml:space="preserve">http://slimages.macys.com/is/image/MCY/10787705 </v>
      </c>
    </row>
    <row r="676" spans="1:12" ht="24.75" x14ac:dyDescent="0.25">
      <c r="A676" s="4" t="s">
        <v>5175</v>
      </c>
      <c r="B676" s="2" t="s">
        <v>1892</v>
      </c>
      <c r="C676" s="3">
        <v>5</v>
      </c>
      <c r="D676" s="5">
        <v>20.99</v>
      </c>
      <c r="E676" s="3" t="s">
        <v>1901</v>
      </c>
      <c r="F676" s="2" t="s">
        <v>74</v>
      </c>
      <c r="G676" s="6" t="s">
        <v>181</v>
      </c>
      <c r="H676" s="2" t="s">
        <v>1473</v>
      </c>
      <c r="I676" s="2" t="s">
        <v>1864</v>
      </c>
      <c r="J676" s="2" t="s">
        <v>19</v>
      </c>
      <c r="K676" s="2" t="s">
        <v>648</v>
      </c>
      <c r="L676" s="7" t="str">
        <f>HYPERLINK("http://slimages.macys.com/is/image/MCY/11689284 ")</f>
        <v xml:space="preserve">http://slimages.macys.com/is/image/MCY/11689284 </v>
      </c>
    </row>
    <row r="677" spans="1:12" ht="24.75" x14ac:dyDescent="0.25">
      <c r="A677" s="4" t="s">
        <v>3071</v>
      </c>
      <c r="B677" s="2" t="s">
        <v>1892</v>
      </c>
      <c r="C677" s="3">
        <v>2</v>
      </c>
      <c r="D677" s="5">
        <v>20.99</v>
      </c>
      <c r="E677" s="3" t="s">
        <v>1901</v>
      </c>
      <c r="F677" s="2" t="s">
        <v>74</v>
      </c>
      <c r="G677" s="6" t="s">
        <v>154</v>
      </c>
      <c r="H677" s="2" t="s">
        <v>1473</v>
      </c>
      <c r="I677" s="2" t="s">
        <v>1864</v>
      </c>
      <c r="J677" s="2" t="s">
        <v>19</v>
      </c>
      <c r="K677" s="2" t="s">
        <v>648</v>
      </c>
      <c r="L677" s="7" t="str">
        <f>HYPERLINK("http://slimages.macys.com/is/image/MCY/11689284 ")</f>
        <v xml:space="preserve">http://slimages.macys.com/is/image/MCY/11689284 </v>
      </c>
    </row>
    <row r="678" spans="1:12" ht="24.75" x14ac:dyDescent="0.25">
      <c r="A678" s="4" t="s">
        <v>1898</v>
      </c>
      <c r="B678" s="2" t="s">
        <v>1896</v>
      </c>
      <c r="C678" s="3">
        <v>4</v>
      </c>
      <c r="D678" s="5">
        <v>20.99</v>
      </c>
      <c r="E678" s="3" t="s">
        <v>1899</v>
      </c>
      <c r="F678" s="2" t="s">
        <v>74</v>
      </c>
      <c r="G678" s="6" t="s">
        <v>154</v>
      </c>
      <c r="H678" s="2" t="s">
        <v>1473</v>
      </c>
      <c r="I678" s="2" t="s">
        <v>1864</v>
      </c>
      <c r="J678" s="2" t="s">
        <v>19</v>
      </c>
      <c r="K678" s="2" t="s">
        <v>648</v>
      </c>
      <c r="L678" s="7" t="str">
        <f>HYPERLINK("http://slimages.macys.com/is/image/MCY/10787705 ")</f>
        <v xml:space="preserve">http://slimages.macys.com/is/image/MCY/10787705 </v>
      </c>
    </row>
    <row r="679" spans="1:12" ht="24.75" x14ac:dyDescent="0.25">
      <c r="A679" s="4" t="s">
        <v>5177</v>
      </c>
      <c r="B679" s="2" t="s">
        <v>1892</v>
      </c>
      <c r="C679" s="3">
        <v>1</v>
      </c>
      <c r="D679" s="5">
        <v>20.99</v>
      </c>
      <c r="E679" s="3" t="s">
        <v>1901</v>
      </c>
      <c r="F679" s="2" t="s">
        <v>74</v>
      </c>
      <c r="G679" s="6" t="s">
        <v>234</v>
      </c>
      <c r="H679" s="2" t="s">
        <v>1473</v>
      </c>
      <c r="I679" s="2" t="s">
        <v>1864</v>
      </c>
      <c r="J679" s="2" t="s">
        <v>19</v>
      </c>
      <c r="K679" s="2" t="s">
        <v>648</v>
      </c>
      <c r="L679" s="7" t="str">
        <f>HYPERLINK("http://slimages.macys.com/is/image/MCY/11689284 ")</f>
        <v xml:space="preserve">http://slimages.macys.com/is/image/MCY/11689284 </v>
      </c>
    </row>
    <row r="680" spans="1:12" ht="24.75" x14ac:dyDescent="0.25">
      <c r="A680" s="4" t="s">
        <v>1891</v>
      </c>
      <c r="B680" s="2" t="s">
        <v>1892</v>
      </c>
      <c r="C680" s="3">
        <v>1</v>
      </c>
      <c r="D680" s="5">
        <v>20.99</v>
      </c>
      <c r="E680" s="3" t="s">
        <v>1893</v>
      </c>
      <c r="F680" s="2" t="s">
        <v>15</v>
      </c>
      <c r="G680" s="6"/>
      <c r="H680" s="2" t="s">
        <v>1425</v>
      </c>
      <c r="I680" s="2" t="s">
        <v>1864</v>
      </c>
      <c r="J680" s="2" t="s">
        <v>19</v>
      </c>
      <c r="K680" s="2" t="s">
        <v>1894</v>
      </c>
      <c r="L680" s="7" t="str">
        <f>HYPERLINK("http://slimages.macys.com/is/image/MCY/11689288 ")</f>
        <v xml:space="preserve">http://slimages.macys.com/is/image/MCY/11689288 </v>
      </c>
    </row>
    <row r="681" spans="1:12" ht="24.75" x14ac:dyDescent="0.25">
      <c r="A681" s="4" t="s">
        <v>8345</v>
      </c>
      <c r="B681" s="2" t="s">
        <v>1892</v>
      </c>
      <c r="C681" s="3">
        <v>3</v>
      </c>
      <c r="D681" s="5">
        <v>20.99</v>
      </c>
      <c r="E681" s="3" t="s">
        <v>1901</v>
      </c>
      <c r="F681" s="2" t="s">
        <v>1296</v>
      </c>
      <c r="G681" s="6" t="s">
        <v>234</v>
      </c>
      <c r="H681" s="2" t="s">
        <v>1473</v>
      </c>
      <c r="I681" s="2" t="s">
        <v>1864</v>
      </c>
      <c r="J681" s="2" t="s">
        <v>19</v>
      </c>
      <c r="K681" s="2" t="s">
        <v>648</v>
      </c>
      <c r="L681" s="7" t="str">
        <f>HYPERLINK("http://slimages.macys.com/is/image/MCY/11689284 ")</f>
        <v xml:space="preserve">http://slimages.macys.com/is/image/MCY/11689284 </v>
      </c>
    </row>
    <row r="682" spans="1:12" ht="24.75" x14ac:dyDescent="0.25">
      <c r="A682" s="4" t="s">
        <v>3068</v>
      </c>
      <c r="B682" s="2" t="s">
        <v>1896</v>
      </c>
      <c r="C682" s="3">
        <v>1</v>
      </c>
      <c r="D682" s="5">
        <v>20.99</v>
      </c>
      <c r="E682" s="3" t="s">
        <v>1899</v>
      </c>
      <c r="F682" s="2" t="s">
        <v>74</v>
      </c>
      <c r="G682" s="6" t="s">
        <v>181</v>
      </c>
      <c r="H682" s="2" t="s">
        <v>1473</v>
      </c>
      <c r="I682" s="2" t="s">
        <v>1864</v>
      </c>
      <c r="J682" s="2" t="s">
        <v>19</v>
      </c>
      <c r="K682" s="2" t="s">
        <v>648</v>
      </c>
      <c r="L682" s="7" t="str">
        <f>HYPERLINK("http://slimages.macys.com/is/image/MCY/10787705 ")</f>
        <v xml:space="preserve">http://slimages.macys.com/is/image/MCY/10787705 </v>
      </c>
    </row>
    <row r="683" spans="1:12" ht="24.75" x14ac:dyDescent="0.25">
      <c r="A683" s="4" t="s">
        <v>7650</v>
      </c>
      <c r="B683" s="2" t="s">
        <v>1896</v>
      </c>
      <c r="C683" s="3">
        <v>4</v>
      </c>
      <c r="D683" s="5">
        <v>20.99</v>
      </c>
      <c r="E683" s="3" t="s">
        <v>1899</v>
      </c>
      <c r="F683" s="2" t="s">
        <v>252</v>
      </c>
      <c r="G683" s="6" t="s">
        <v>181</v>
      </c>
      <c r="H683" s="2" t="s">
        <v>1473</v>
      </c>
      <c r="I683" s="2" t="s">
        <v>1864</v>
      </c>
      <c r="J683" s="2" t="s">
        <v>19</v>
      </c>
      <c r="K683" s="2" t="s">
        <v>648</v>
      </c>
      <c r="L683" s="7" t="str">
        <f>HYPERLINK("http://slimages.macys.com/is/image/MCY/10787705 ")</f>
        <v xml:space="preserve">http://slimages.macys.com/is/image/MCY/10787705 </v>
      </c>
    </row>
    <row r="684" spans="1:12" ht="24.75" x14ac:dyDescent="0.25">
      <c r="A684" s="4" t="s">
        <v>3053</v>
      </c>
      <c r="B684" s="2" t="s">
        <v>1896</v>
      </c>
      <c r="C684" s="3">
        <v>1</v>
      </c>
      <c r="D684" s="5">
        <v>20.99</v>
      </c>
      <c r="E684" s="3" t="s">
        <v>1899</v>
      </c>
      <c r="F684" s="2" t="s">
        <v>15</v>
      </c>
      <c r="G684" s="6" t="s">
        <v>234</v>
      </c>
      <c r="H684" s="2" t="s">
        <v>1473</v>
      </c>
      <c r="I684" s="2" t="s">
        <v>1864</v>
      </c>
      <c r="J684" s="2" t="s">
        <v>19</v>
      </c>
      <c r="K684" s="2" t="s">
        <v>648</v>
      </c>
      <c r="L684" s="7" t="str">
        <f>HYPERLINK("http://slimages.macys.com/is/image/MCY/10787705 ")</f>
        <v xml:space="preserve">http://slimages.macys.com/is/image/MCY/10787705 </v>
      </c>
    </row>
    <row r="685" spans="1:12" ht="24.75" x14ac:dyDescent="0.25">
      <c r="A685" s="4" t="s">
        <v>4156</v>
      </c>
      <c r="B685" s="2" t="s">
        <v>1892</v>
      </c>
      <c r="C685" s="3">
        <v>1</v>
      </c>
      <c r="D685" s="5">
        <v>20.99</v>
      </c>
      <c r="E685" s="3" t="s">
        <v>1893</v>
      </c>
      <c r="F685" s="2" t="s">
        <v>15</v>
      </c>
      <c r="G685" s="6" t="s">
        <v>187</v>
      </c>
      <c r="H685" s="2" t="s">
        <v>1425</v>
      </c>
      <c r="I685" s="2" t="s">
        <v>1864</v>
      </c>
      <c r="J685" s="2" t="s">
        <v>19</v>
      </c>
      <c r="K685" s="2" t="s">
        <v>1894</v>
      </c>
      <c r="L685" s="7" t="str">
        <f>HYPERLINK("http://slimages.macys.com/is/image/MCY/11689288 ")</f>
        <v xml:space="preserve">http://slimages.macys.com/is/image/MCY/11689288 </v>
      </c>
    </row>
    <row r="686" spans="1:12" ht="24.75" x14ac:dyDescent="0.25">
      <c r="A686" s="4" t="s">
        <v>3062</v>
      </c>
      <c r="B686" s="2" t="s">
        <v>1892</v>
      </c>
      <c r="C686" s="3">
        <v>2</v>
      </c>
      <c r="D686" s="5">
        <v>20.99</v>
      </c>
      <c r="E686" s="3" t="s">
        <v>1893</v>
      </c>
      <c r="F686" s="2" t="s">
        <v>15</v>
      </c>
      <c r="G686" s="6" t="s">
        <v>219</v>
      </c>
      <c r="H686" s="2" t="s">
        <v>1425</v>
      </c>
      <c r="I686" s="2" t="s">
        <v>1864</v>
      </c>
      <c r="J686" s="2" t="s">
        <v>19</v>
      </c>
      <c r="K686" s="2" t="s">
        <v>1894</v>
      </c>
      <c r="L686" s="7" t="str">
        <f>HYPERLINK("http://slimages.macys.com/is/image/MCY/11689288 ")</f>
        <v xml:space="preserve">http://slimages.macys.com/is/image/MCY/11689288 </v>
      </c>
    </row>
    <row r="687" spans="1:12" ht="24.75" x14ac:dyDescent="0.25">
      <c r="A687" s="4" t="s">
        <v>8826</v>
      </c>
      <c r="B687" s="2" t="s">
        <v>1892</v>
      </c>
      <c r="C687" s="3">
        <v>1</v>
      </c>
      <c r="D687" s="5">
        <v>20.99</v>
      </c>
      <c r="E687" s="3" t="s">
        <v>1901</v>
      </c>
      <c r="F687" s="2" t="s">
        <v>252</v>
      </c>
      <c r="G687" s="6" t="s">
        <v>154</v>
      </c>
      <c r="H687" s="2" t="s">
        <v>1473</v>
      </c>
      <c r="I687" s="2" t="s">
        <v>1864</v>
      </c>
      <c r="J687" s="2" t="s">
        <v>19</v>
      </c>
      <c r="K687" s="2" t="s">
        <v>648</v>
      </c>
      <c r="L687" s="7" t="str">
        <f>HYPERLINK("http://slimages.macys.com/is/image/MCY/11689284 ")</f>
        <v xml:space="preserve">http://slimages.macys.com/is/image/MCY/11689284 </v>
      </c>
    </row>
    <row r="688" spans="1:12" ht="24.75" x14ac:dyDescent="0.25">
      <c r="A688" s="4" t="s">
        <v>4154</v>
      </c>
      <c r="B688" s="2" t="s">
        <v>1892</v>
      </c>
      <c r="C688" s="3">
        <v>1</v>
      </c>
      <c r="D688" s="5">
        <v>20.99</v>
      </c>
      <c r="E688" s="3" t="s">
        <v>1901</v>
      </c>
      <c r="F688" s="2" t="s">
        <v>252</v>
      </c>
      <c r="G688" s="6" t="s">
        <v>181</v>
      </c>
      <c r="H688" s="2" t="s">
        <v>1473</v>
      </c>
      <c r="I688" s="2" t="s">
        <v>1864</v>
      </c>
      <c r="J688" s="2" t="s">
        <v>19</v>
      </c>
      <c r="K688" s="2" t="s">
        <v>648</v>
      </c>
      <c r="L688" s="7" t="str">
        <f>HYPERLINK("http://slimages.macys.com/is/image/MCY/11689284 ")</f>
        <v xml:space="preserve">http://slimages.macys.com/is/image/MCY/11689284 </v>
      </c>
    </row>
    <row r="689" spans="1:12" ht="24.75" x14ac:dyDescent="0.25">
      <c r="A689" s="4" t="s">
        <v>4152</v>
      </c>
      <c r="B689" s="2" t="s">
        <v>1892</v>
      </c>
      <c r="C689" s="3">
        <v>1</v>
      </c>
      <c r="D689" s="5">
        <v>20.99</v>
      </c>
      <c r="E689" s="3" t="s">
        <v>1901</v>
      </c>
      <c r="F689" s="2" t="s">
        <v>15</v>
      </c>
      <c r="G689" s="6" t="s">
        <v>181</v>
      </c>
      <c r="H689" s="2" t="s">
        <v>1473</v>
      </c>
      <c r="I689" s="2" t="s">
        <v>1864</v>
      </c>
      <c r="J689" s="2" t="s">
        <v>19</v>
      </c>
      <c r="K689" s="2" t="s">
        <v>648</v>
      </c>
      <c r="L689" s="7" t="str">
        <f>HYPERLINK("http://slimages.macys.com/is/image/MCY/11689284 ")</f>
        <v xml:space="preserve">http://slimages.macys.com/is/image/MCY/11689284 </v>
      </c>
    </row>
    <row r="690" spans="1:12" ht="24.75" x14ac:dyDescent="0.25">
      <c r="A690" s="4" t="s">
        <v>3076</v>
      </c>
      <c r="B690" s="2" t="s">
        <v>1896</v>
      </c>
      <c r="C690" s="3">
        <v>2</v>
      </c>
      <c r="D690" s="5">
        <v>20.99</v>
      </c>
      <c r="E690" s="3" t="s">
        <v>1899</v>
      </c>
      <c r="F690" s="2" t="s">
        <v>70</v>
      </c>
      <c r="G690" s="6" t="s">
        <v>154</v>
      </c>
      <c r="H690" s="2" t="s">
        <v>1473</v>
      </c>
      <c r="I690" s="2" t="s">
        <v>1864</v>
      </c>
      <c r="J690" s="2" t="s">
        <v>19</v>
      </c>
      <c r="K690" s="2" t="s">
        <v>648</v>
      </c>
      <c r="L690" s="7" t="str">
        <f t="shared" ref="L690:L695" si="8">HYPERLINK("http://slimages.macys.com/is/image/MCY/10787705 ")</f>
        <v xml:space="preserve">http://slimages.macys.com/is/image/MCY/10787705 </v>
      </c>
    </row>
    <row r="691" spans="1:12" ht="24.75" x14ac:dyDescent="0.25">
      <c r="A691" s="4" t="s">
        <v>8344</v>
      </c>
      <c r="B691" s="2" t="s">
        <v>1896</v>
      </c>
      <c r="C691" s="3">
        <v>4</v>
      </c>
      <c r="D691" s="5">
        <v>20.99</v>
      </c>
      <c r="E691" s="3" t="s">
        <v>1899</v>
      </c>
      <c r="F691" s="2" t="s">
        <v>70</v>
      </c>
      <c r="G691" s="6" t="s">
        <v>181</v>
      </c>
      <c r="H691" s="2" t="s">
        <v>1473</v>
      </c>
      <c r="I691" s="2" t="s">
        <v>1864</v>
      </c>
      <c r="J691" s="2" t="s">
        <v>19</v>
      </c>
      <c r="K691" s="2" t="s">
        <v>648</v>
      </c>
      <c r="L691" s="7" t="str">
        <f t="shared" si="8"/>
        <v xml:space="preserve">http://slimages.macys.com/is/image/MCY/10787705 </v>
      </c>
    </row>
    <row r="692" spans="1:12" ht="24.75" x14ac:dyDescent="0.25">
      <c r="A692" s="4" t="s">
        <v>3052</v>
      </c>
      <c r="B692" s="2" t="s">
        <v>1896</v>
      </c>
      <c r="C692" s="3">
        <v>1</v>
      </c>
      <c r="D692" s="5">
        <v>20.99</v>
      </c>
      <c r="E692" s="3" t="s">
        <v>1899</v>
      </c>
      <c r="F692" s="2" t="s">
        <v>74</v>
      </c>
      <c r="G692" s="6" t="s">
        <v>156</v>
      </c>
      <c r="H692" s="2" t="s">
        <v>1473</v>
      </c>
      <c r="I692" s="2" t="s">
        <v>1864</v>
      </c>
      <c r="J692" s="2" t="s">
        <v>19</v>
      </c>
      <c r="K692" s="2" t="s">
        <v>648</v>
      </c>
      <c r="L692" s="7" t="str">
        <f t="shared" si="8"/>
        <v xml:space="preserve">http://slimages.macys.com/is/image/MCY/10787705 </v>
      </c>
    </row>
    <row r="693" spans="1:12" ht="24.75" x14ac:dyDescent="0.25">
      <c r="A693" s="4" t="s">
        <v>3075</v>
      </c>
      <c r="B693" s="2" t="s">
        <v>1896</v>
      </c>
      <c r="C693" s="3">
        <v>8</v>
      </c>
      <c r="D693" s="5">
        <v>20.99</v>
      </c>
      <c r="E693" s="3" t="s">
        <v>1899</v>
      </c>
      <c r="F693" s="2" t="s">
        <v>998</v>
      </c>
      <c r="G693" s="6" t="s">
        <v>154</v>
      </c>
      <c r="H693" s="2" t="s">
        <v>1473</v>
      </c>
      <c r="I693" s="2" t="s">
        <v>1864</v>
      </c>
      <c r="J693" s="2" t="s">
        <v>19</v>
      </c>
      <c r="K693" s="2" t="s">
        <v>648</v>
      </c>
      <c r="L693" s="7" t="str">
        <f t="shared" si="8"/>
        <v xml:space="preserve">http://slimages.macys.com/is/image/MCY/10787705 </v>
      </c>
    </row>
    <row r="694" spans="1:12" ht="24.75" x14ac:dyDescent="0.25">
      <c r="A694" s="4" t="s">
        <v>3069</v>
      </c>
      <c r="B694" s="2" t="s">
        <v>1896</v>
      </c>
      <c r="C694" s="3">
        <v>5</v>
      </c>
      <c r="D694" s="5">
        <v>20.99</v>
      </c>
      <c r="E694" s="3" t="s">
        <v>1899</v>
      </c>
      <c r="F694" s="2" t="s">
        <v>998</v>
      </c>
      <c r="G694" s="6" t="s">
        <v>181</v>
      </c>
      <c r="H694" s="2" t="s">
        <v>1473</v>
      </c>
      <c r="I694" s="2" t="s">
        <v>1864</v>
      </c>
      <c r="J694" s="2" t="s">
        <v>19</v>
      </c>
      <c r="K694" s="2" t="s">
        <v>648</v>
      </c>
      <c r="L694" s="7" t="str">
        <f t="shared" si="8"/>
        <v xml:space="preserve">http://slimages.macys.com/is/image/MCY/10787705 </v>
      </c>
    </row>
    <row r="695" spans="1:12" ht="24.75" x14ac:dyDescent="0.25">
      <c r="A695" s="4" t="s">
        <v>3059</v>
      </c>
      <c r="B695" s="2" t="s">
        <v>1896</v>
      </c>
      <c r="C695" s="3">
        <v>1</v>
      </c>
      <c r="D695" s="5">
        <v>20.99</v>
      </c>
      <c r="E695" s="3" t="s">
        <v>1899</v>
      </c>
      <c r="F695" s="2" t="s">
        <v>74</v>
      </c>
      <c r="G695" s="6" t="s">
        <v>234</v>
      </c>
      <c r="H695" s="2" t="s">
        <v>1473</v>
      </c>
      <c r="I695" s="2" t="s">
        <v>1864</v>
      </c>
      <c r="J695" s="2" t="s">
        <v>19</v>
      </c>
      <c r="K695" s="2" t="s">
        <v>648</v>
      </c>
      <c r="L695" s="7" t="str">
        <f t="shared" si="8"/>
        <v xml:space="preserve">http://slimages.macys.com/is/image/MCY/10787705 </v>
      </c>
    </row>
    <row r="696" spans="1:12" ht="24.75" x14ac:dyDescent="0.25">
      <c r="A696" s="4" t="s">
        <v>3054</v>
      </c>
      <c r="B696" s="2" t="s">
        <v>1892</v>
      </c>
      <c r="C696" s="3">
        <v>1</v>
      </c>
      <c r="D696" s="5">
        <v>20.99</v>
      </c>
      <c r="E696" s="3" t="s">
        <v>1901</v>
      </c>
      <c r="F696" s="2" t="s">
        <v>252</v>
      </c>
      <c r="G696" s="6" t="s">
        <v>156</v>
      </c>
      <c r="H696" s="2" t="s">
        <v>1473</v>
      </c>
      <c r="I696" s="2" t="s">
        <v>1864</v>
      </c>
      <c r="J696" s="2" t="s">
        <v>19</v>
      </c>
      <c r="K696" s="2" t="s">
        <v>648</v>
      </c>
      <c r="L696" s="7" t="str">
        <f t="shared" ref="L696:L702" si="9">HYPERLINK("http://slimages.macys.com/is/image/MCY/11689284 ")</f>
        <v xml:space="preserve">http://slimages.macys.com/is/image/MCY/11689284 </v>
      </c>
    </row>
    <row r="697" spans="1:12" ht="24.75" x14ac:dyDescent="0.25">
      <c r="A697" s="4" t="s">
        <v>8827</v>
      </c>
      <c r="B697" s="2" t="s">
        <v>1892</v>
      </c>
      <c r="C697" s="3">
        <v>2</v>
      </c>
      <c r="D697" s="5">
        <v>20.99</v>
      </c>
      <c r="E697" s="3" t="s">
        <v>1901</v>
      </c>
      <c r="F697" s="2" t="s">
        <v>1296</v>
      </c>
      <c r="G697" s="6" t="s">
        <v>181</v>
      </c>
      <c r="H697" s="2" t="s">
        <v>1473</v>
      </c>
      <c r="I697" s="2" t="s">
        <v>1864</v>
      </c>
      <c r="J697" s="2" t="s">
        <v>19</v>
      </c>
      <c r="K697" s="2" t="s">
        <v>648</v>
      </c>
      <c r="L697" s="7" t="str">
        <f t="shared" si="9"/>
        <v xml:space="preserve">http://slimages.macys.com/is/image/MCY/11689284 </v>
      </c>
    </row>
    <row r="698" spans="1:12" ht="24.75" x14ac:dyDescent="0.25">
      <c r="A698" s="4" t="s">
        <v>6134</v>
      </c>
      <c r="B698" s="2" t="s">
        <v>1892</v>
      </c>
      <c r="C698" s="3">
        <v>3</v>
      </c>
      <c r="D698" s="5">
        <v>20.99</v>
      </c>
      <c r="E698" s="3" t="s">
        <v>1901</v>
      </c>
      <c r="F698" s="2" t="s">
        <v>1296</v>
      </c>
      <c r="G698" s="6" t="s">
        <v>154</v>
      </c>
      <c r="H698" s="2" t="s">
        <v>1473</v>
      </c>
      <c r="I698" s="2" t="s">
        <v>1864</v>
      </c>
      <c r="J698" s="2" t="s">
        <v>19</v>
      </c>
      <c r="K698" s="2" t="s">
        <v>648</v>
      </c>
      <c r="L698" s="7" t="str">
        <f t="shared" si="9"/>
        <v xml:space="preserve">http://slimages.macys.com/is/image/MCY/11689284 </v>
      </c>
    </row>
    <row r="699" spans="1:12" ht="24.75" x14ac:dyDescent="0.25">
      <c r="A699" s="4" t="s">
        <v>4153</v>
      </c>
      <c r="B699" s="2" t="s">
        <v>1892</v>
      </c>
      <c r="C699" s="3">
        <v>1</v>
      </c>
      <c r="D699" s="5">
        <v>20.99</v>
      </c>
      <c r="E699" s="3" t="s">
        <v>1901</v>
      </c>
      <c r="F699" s="2" t="s">
        <v>1788</v>
      </c>
      <c r="G699" s="6" t="s">
        <v>234</v>
      </c>
      <c r="H699" s="2" t="s">
        <v>1473</v>
      </c>
      <c r="I699" s="2" t="s">
        <v>1864</v>
      </c>
      <c r="J699" s="2" t="s">
        <v>19</v>
      </c>
      <c r="K699" s="2" t="s">
        <v>648</v>
      </c>
      <c r="L699" s="7" t="str">
        <f t="shared" si="9"/>
        <v xml:space="preserve">http://slimages.macys.com/is/image/MCY/11689284 </v>
      </c>
    </row>
    <row r="700" spans="1:12" ht="24.75" x14ac:dyDescent="0.25">
      <c r="A700" s="4" t="s">
        <v>8828</v>
      </c>
      <c r="B700" s="2" t="s">
        <v>1892</v>
      </c>
      <c r="C700" s="3">
        <v>3</v>
      </c>
      <c r="D700" s="5">
        <v>20.99</v>
      </c>
      <c r="E700" s="3" t="s">
        <v>1901</v>
      </c>
      <c r="F700" s="2" t="s">
        <v>15</v>
      </c>
      <c r="G700" s="6" t="s">
        <v>234</v>
      </c>
      <c r="H700" s="2" t="s">
        <v>1473</v>
      </c>
      <c r="I700" s="2" t="s">
        <v>1864</v>
      </c>
      <c r="J700" s="2" t="s">
        <v>19</v>
      </c>
      <c r="K700" s="2" t="s">
        <v>648</v>
      </c>
      <c r="L700" s="7" t="str">
        <f t="shared" si="9"/>
        <v xml:space="preserve">http://slimages.macys.com/is/image/MCY/11689284 </v>
      </c>
    </row>
    <row r="701" spans="1:12" ht="24.75" x14ac:dyDescent="0.25">
      <c r="A701" s="4" t="s">
        <v>3072</v>
      </c>
      <c r="B701" s="2" t="s">
        <v>1892</v>
      </c>
      <c r="C701" s="3">
        <v>3</v>
      </c>
      <c r="D701" s="5">
        <v>20.99</v>
      </c>
      <c r="E701" s="3" t="s">
        <v>1901</v>
      </c>
      <c r="F701" s="2" t="s">
        <v>1788</v>
      </c>
      <c r="G701" s="6" t="s">
        <v>181</v>
      </c>
      <c r="H701" s="2" t="s">
        <v>1473</v>
      </c>
      <c r="I701" s="2" t="s">
        <v>1864</v>
      </c>
      <c r="J701" s="2" t="s">
        <v>19</v>
      </c>
      <c r="K701" s="2" t="s">
        <v>648</v>
      </c>
      <c r="L701" s="7" t="str">
        <f t="shared" si="9"/>
        <v xml:space="preserve">http://slimages.macys.com/is/image/MCY/11689284 </v>
      </c>
    </row>
    <row r="702" spans="1:12" ht="24.75" x14ac:dyDescent="0.25">
      <c r="A702" s="4" t="s">
        <v>6133</v>
      </c>
      <c r="B702" s="2" t="s">
        <v>1892</v>
      </c>
      <c r="C702" s="3">
        <v>2</v>
      </c>
      <c r="D702" s="5">
        <v>20.99</v>
      </c>
      <c r="E702" s="3" t="s">
        <v>1901</v>
      </c>
      <c r="F702" s="2" t="s">
        <v>15</v>
      </c>
      <c r="G702" s="6" t="s">
        <v>154</v>
      </c>
      <c r="H702" s="2" t="s">
        <v>1473</v>
      </c>
      <c r="I702" s="2" t="s">
        <v>1864</v>
      </c>
      <c r="J702" s="2" t="s">
        <v>19</v>
      </c>
      <c r="K702" s="2" t="s">
        <v>648</v>
      </c>
      <c r="L702" s="7" t="str">
        <f t="shared" si="9"/>
        <v xml:space="preserve">http://slimages.macys.com/is/image/MCY/11689284 </v>
      </c>
    </row>
    <row r="703" spans="1:12" ht="24.75" x14ac:dyDescent="0.25">
      <c r="A703" s="4" t="s">
        <v>3073</v>
      </c>
      <c r="B703" s="2" t="s">
        <v>1896</v>
      </c>
      <c r="C703" s="3">
        <v>1</v>
      </c>
      <c r="D703" s="5">
        <v>20.99</v>
      </c>
      <c r="E703" s="3" t="s">
        <v>1899</v>
      </c>
      <c r="F703" s="2" t="s">
        <v>15</v>
      </c>
      <c r="G703" s="6" t="s">
        <v>181</v>
      </c>
      <c r="H703" s="2" t="s">
        <v>1473</v>
      </c>
      <c r="I703" s="2" t="s">
        <v>1864</v>
      </c>
      <c r="J703" s="2" t="s">
        <v>19</v>
      </c>
      <c r="K703" s="2" t="s">
        <v>648</v>
      </c>
      <c r="L703" s="7" t="str">
        <f>HYPERLINK("http://slimages.macys.com/is/image/MCY/10787705 ")</f>
        <v xml:space="preserve">http://slimages.macys.com/is/image/MCY/10787705 </v>
      </c>
    </row>
    <row r="704" spans="1:12" ht="24.75" x14ac:dyDescent="0.25">
      <c r="A704" s="4" t="s">
        <v>8829</v>
      </c>
      <c r="B704" s="2" t="s">
        <v>8830</v>
      </c>
      <c r="C704" s="3">
        <v>1</v>
      </c>
      <c r="D704" s="5">
        <v>21.99</v>
      </c>
      <c r="E704" s="3" t="s">
        <v>8831</v>
      </c>
      <c r="F704" s="2" t="s">
        <v>74</v>
      </c>
      <c r="G704" s="6" t="s">
        <v>746</v>
      </c>
      <c r="H704" s="2" t="s">
        <v>349</v>
      </c>
      <c r="I704" s="2" t="s">
        <v>285</v>
      </c>
      <c r="J704" s="2" t="s">
        <v>19</v>
      </c>
      <c r="K704" s="2" t="s">
        <v>160</v>
      </c>
      <c r="L704" s="7" t="str">
        <f>HYPERLINK("http://slimages.macys.com/is/image/MCY/12077778 ")</f>
        <v xml:space="preserve">http://slimages.macys.com/is/image/MCY/12077778 </v>
      </c>
    </row>
    <row r="705" spans="1:12" x14ac:dyDescent="0.25">
      <c r="A705" s="4" t="s">
        <v>6852</v>
      </c>
      <c r="B705" s="2" t="s">
        <v>4159</v>
      </c>
      <c r="C705" s="3">
        <v>1</v>
      </c>
      <c r="D705" s="5">
        <v>39.5</v>
      </c>
      <c r="E705" s="3" t="s">
        <v>4160</v>
      </c>
      <c r="F705" s="2" t="s">
        <v>111</v>
      </c>
      <c r="G705" s="6" t="s">
        <v>187</v>
      </c>
      <c r="H705" s="2" t="s">
        <v>206</v>
      </c>
      <c r="I705" s="2" t="s">
        <v>207</v>
      </c>
      <c r="J705" s="2" t="s">
        <v>19</v>
      </c>
      <c r="K705" s="2" t="s">
        <v>247</v>
      </c>
      <c r="L705" s="7" t="str">
        <f>HYPERLINK("http://slimages.macys.com/is/image/MCY/9815602 ")</f>
        <v xml:space="preserve">http://slimages.macys.com/is/image/MCY/9815602 </v>
      </c>
    </row>
    <row r="706" spans="1:12" ht="24.75" x14ac:dyDescent="0.25">
      <c r="A706" s="4" t="s">
        <v>3100</v>
      </c>
      <c r="B706" s="2" t="s">
        <v>3101</v>
      </c>
      <c r="C706" s="3">
        <v>1</v>
      </c>
      <c r="D706" s="5">
        <v>14.99</v>
      </c>
      <c r="E706" s="3" t="s">
        <v>3102</v>
      </c>
      <c r="F706" s="2" t="s">
        <v>15</v>
      </c>
      <c r="G706" s="6"/>
      <c r="H706" s="2" t="s">
        <v>1425</v>
      </c>
      <c r="I706" s="2" t="s">
        <v>1426</v>
      </c>
      <c r="J706" s="2"/>
      <c r="K706" s="2"/>
      <c r="L706" s="7" t="str">
        <f>HYPERLINK("http://slimages.macys.com/is/image/MCY/9931748 ")</f>
        <v xml:space="preserve">http://slimages.macys.com/is/image/MCY/9931748 </v>
      </c>
    </row>
    <row r="707" spans="1:12" ht="24.75" x14ac:dyDescent="0.25">
      <c r="A707" s="4" t="s">
        <v>6146</v>
      </c>
      <c r="B707" s="2" t="s">
        <v>3101</v>
      </c>
      <c r="C707" s="3">
        <v>1</v>
      </c>
      <c r="D707" s="5">
        <v>14.99</v>
      </c>
      <c r="E707" s="3" t="s">
        <v>3102</v>
      </c>
      <c r="F707" s="2" t="s">
        <v>74</v>
      </c>
      <c r="G707" s="6" t="s">
        <v>187</v>
      </c>
      <c r="H707" s="2" t="s">
        <v>1425</v>
      </c>
      <c r="I707" s="2" t="s">
        <v>1426</v>
      </c>
      <c r="J707" s="2"/>
      <c r="K707" s="2"/>
      <c r="L707" s="7" t="str">
        <f>HYPERLINK("http://slimages.macys.com/is/image/MCY/9931748 ")</f>
        <v xml:space="preserve">http://slimages.macys.com/is/image/MCY/9931748 </v>
      </c>
    </row>
    <row r="708" spans="1:12" ht="24.75" x14ac:dyDescent="0.25">
      <c r="A708" s="4" t="s">
        <v>8832</v>
      </c>
      <c r="B708" s="2" t="s">
        <v>8833</v>
      </c>
      <c r="C708" s="3">
        <v>1</v>
      </c>
      <c r="D708" s="5">
        <v>17.989999999999998</v>
      </c>
      <c r="E708" s="3" t="s">
        <v>8834</v>
      </c>
      <c r="F708" s="2" t="s">
        <v>26</v>
      </c>
      <c r="G708" s="6" t="s">
        <v>181</v>
      </c>
      <c r="H708" s="2" t="s">
        <v>1522</v>
      </c>
      <c r="I708" s="2" t="s">
        <v>1469</v>
      </c>
      <c r="J708" s="2" t="s">
        <v>19</v>
      </c>
      <c r="K708" s="2" t="s">
        <v>332</v>
      </c>
      <c r="L708" s="7" t="str">
        <f>HYPERLINK("http://slimages.macys.com/is/image/MCY/11774930 ")</f>
        <v xml:space="preserve">http://slimages.macys.com/is/image/MCY/11774930 </v>
      </c>
    </row>
    <row r="709" spans="1:12" ht="24.75" x14ac:dyDescent="0.25">
      <c r="A709" s="4" t="s">
        <v>8835</v>
      </c>
      <c r="B709" s="2" t="s">
        <v>8836</v>
      </c>
      <c r="C709" s="3">
        <v>1</v>
      </c>
      <c r="D709" s="5">
        <v>21.99</v>
      </c>
      <c r="E709" s="3" t="s">
        <v>8837</v>
      </c>
      <c r="F709" s="2" t="s">
        <v>3267</v>
      </c>
      <c r="G709" s="6" t="s">
        <v>234</v>
      </c>
      <c r="H709" s="2" t="s">
        <v>284</v>
      </c>
      <c r="I709" s="2" t="s">
        <v>285</v>
      </c>
      <c r="J709" s="2" t="s">
        <v>19</v>
      </c>
      <c r="K709" s="2" t="s">
        <v>160</v>
      </c>
      <c r="L709" s="7" t="str">
        <f>HYPERLINK("http://slimages.macys.com/is/image/MCY/12671636 ")</f>
        <v xml:space="preserve">http://slimages.macys.com/is/image/MCY/12671636 </v>
      </c>
    </row>
    <row r="710" spans="1:12" ht="24.75" x14ac:dyDescent="0.25">
      <c r="A710" s="4" t="s">
        <v>5185</v>
      </c>
      <c r="B710" s="2" t="s">
        <v>1927</v>
      </c>
      <c r="C710" s="3">
        <v>1</v>
      </c>
      <c r="D710" s="5">
        <v>17.989999999999998</v>
      </c>
      <c r="E710" s="3" t="s">
        <v>3105</v>
      </c>
      <c r="F710" s="2" t="s">
        <v>74</v>
      </c>
      <c r="G710" s="6" t="s">
        <v>187</v>
      </c>
      <c r="H710" s="2" t="s">
        <v>1425</v>
      </c>
      <c r="I710" s="2" t="s">
        <v>1426</v>
      </c>
      <c r="J710" s="2" t="s">
        <v>19</v>
      </c>
      <c r="K710" s="2" t="s">
        <v>803</v>
      </c>
      <c r="L710" s="7" t="str">
        <f>HYPERLINK("http://slimages.macys.com/is/image/MCY/11882201 ")</f>
        <v xml:space="preserve">http://slimages.macys.com/is/image/MCY/11882201 </v>
      </c>
    </row>
    <row r="711" spans="1:12" ht="24.75" x14ac:dyDescent="0.25">
      <c r="A711" s="4" t="s">
        <v>8838</v>
      </c>
      <c r="B711" s="2" t="s">
        <v>8839</v>
      </c>
      <c r="C711" s="3">
        <v>1</v>
      </c>
      <c r="D711" s="5">
        <v>14.99</v>
      </c>
      <c r="E711" s="3" t="s">
        <v>8840</v>
      </c>
      <c r="F711" s="2" t="s">
        <v>64</v>
      </c>
      <c r="G711" s="6" t="s">
        <v>200</v>
      </c>
      <c r="H711" s="2" t="s">
        <v>1522</v>
      </c>
      <c r="I711" s="2" t="s">
        <v>1469</v>
      </c>
      <c r="J711" s="2" t="s">
        <v>19</v>
      </c>
      <c r="K711" s="2" t="s">
        <v>495</v>
      </c>
      <c r="L711" s="7" t="str">
        <f>HYPERLINK("http://slimages.macys.com/is/image/MCY/12269135 ")</f>
        <v xml:space="preserve">http://slimages.macys.com/is/image/MCY/12269135 </v>
      </c>
    </row>
    <row r="712" spans="1:12" ht="24.75" x14ac:dyDescent="0.25">
      <c r="A712" s="4" t="s">
        <v>3106</v>
      </c>
      <c r="B712" s="2" t="s">
        <v>1927</v>
      </c>
      <c r="C712" s="3">
        <v>2</v>
      </c>
      <c r="D712" s="5">
        <v>17.989999999999998</v>
      </c>
      <c r="E712" s="3" t="s">
        <v>3105</v>
      </c>
      <c r="F712" s="2" t="s">
        <v>74</v>
      </c>
      <c r="G712" s="6"/>
      <c r="H712" s="2" t="s">
        <v>1425</v>
      </c>
      <c r="I712" s="2" t="s">
        <v>1426</v>
      </c>
      <c r="J712" s="2" t="s">
        <v>19</v>
      </c>
      <c r="K712" s="2" t="s">
        <v>803</v>
      </c>
      <c r="L712" s="7" t="str">
        <f>HYPERLINK("http://slimages.macys.com/is/image/MCY/11882201 ")</f>
        <v xml:space="preserve">http://slimages.macys.com/is/image/MCY/11882201 </v>
      </c>
    </row>
    <row r="713" spans="1:12" ht="24.75" x14ac:dyDescent="0.25">
      <c r="A713" s="4" t="s">
        <v>1934</v>
      </c>
      <c r="B713" s="2" t="s">
        <v>1932</v>
      </c>
      <c r="C713" s="3">
        <v>1</v>
      </c>
      <c r="D713" s="5">
        <v>16.989999999999998</v>
      </c>
      <c r="E713" s="3" t="s">
        <v>1933</v>
      </c>
      <c r="F713" s="2" t="s">
        <v>15</v>
      </c>
      <c r="G713" s="6" t="s">
        <v>156</v>
      </c>
      <c r="H713" s="2" t="s">
        <v>1473</v>
      </c>
      <c r="I713" s="2" t="s">
        <v>1864</v>
      </c>
      <c r="J713" s="2" t="s">
        <v>19</v>
      </c>
      <c r="K713" s="2" t="s">
        <v>648</v>
      </c>
      <c r="L713" s="7" t="str">
        <f>HYPERLINK("http://slimages.macys.com/is/image/MCY/11634794 ")</f>
        <v xml:space="preserve">http://slimages.macys.com/is/image/MCY/11634794 </v>
      </c>
    </row>
    <row r="714" spans="1:12" ht="24.75" x14ac:dyDescent="0.25">
      <c r="A714" s="4" t="s">
        <v>3115</v>
      </c>
      <c r="B714" s="2" t="s">
        <v>1932</v>
      </c>
      <c r="C714" s="3">
        <v>1</v>
      </c>
      <c r="D714" s="5">
        <v>16.989999999999998</v>
      </c>
      <c r="E714" s="3" t="s">
        <v>1933</v>
      </c>
      <c r="F714" s="2" t="s">
        <v>15</v>
      </c>
      <c r="G714" s="6" t="s">
        <v>181</v>
      </c>
      <c r="H714" s="2" t="s">
        <v>1473</v>
      </c>
      <c r="I714" s="2" t="s">
        <v>1864</v>
      </c>
      <c r="J714" s="2" t="s">
        <v>19</v>
      </c>
      <c r="K714" s="2" t="s">
        <v>648</v>
      </c>
      <c r="L714" s="7" t="str">
        <f>HYPERLINK("http://slimages.macys.com/is/image/MCY/11634794 ")</f>
        <v xml:space="preserve">http://slimages.macys.com/is/image/MCY/11634794 </v>
      </c>
    </row>
    <row r="715" spans="1:12" ht="24.75" x14ac:dyDescent="0.25">
      <c r="A715" s="4" t="s">
        <v>3114</v>
      </c>
      <c r="B715" s="2" t="s">
        <v>1932</v>
      </c>
      <c r="C715" s="3">
        <v>1</v>
      </c>
      <c r="D715" s="5">
        <v>16.989999999999998</v>
      </c>
      <c r="E715" s="3" t="s">
        <v>1933</v>
      </c>
      <c r="F715" s="2" t="s">
        <v>15</v>
      </c>
      <c r="G715" s="6" t="s">
        <v>245</v>
      </c>
      <c r="H715" s="2" t="s">
        <v>1473</v>
      </c>
      <c r="I715" s="2" t="s">
        <v>1864</v>
      </c>
      <c r="J715" s="2" t="s">
        <v>19</v>
      </c>
      <c r="K715" s="2" t="s">
        <v>648</v>
      </c>
      <c r="L715" s="7" t="str">
        <f>HYPERLINK("http://slimages.macys.com/is/image/MCY/11634794 ")</f>
        <v xml:space="preserve">http://slimages.macys.com/is/image/MCY/11634794 </v>
      </c>
    </row>
    <row r="716" spans="1:12" ht="24.75" x14ac:dyDescent="0.25">
      <c r="A716" s="4" t="s">
        <v>8841</v>
      </c>
      <c r="B716" s="2" t="s">
        <v>6098</v>
      </c>
      <c r="C716" s="3">
        <v>1</v>
      </c>
      <c r="D716" s="5">
        <v>17.989999999999998</v>
      </c>
      <c r="E716" s="3" t="s">
        <v>8842</v>
      </c>
      <c r="F716" s="2" t="s">
        <v>74</v>
      </c>
      <c r="G716" s="6"/>
      <c r="H716" s="2" t="s">
        <v>632</v>
      </c>
      <c r="I716" s="2" t="s">
        <v>285</v>
      </c>
      <c r="J716" s="2" t="s">
        <v>19</v>
      </c>
      <c r="K716" s="2" t="s">
        <v>247</v>
      </c>
      <c r="L716" s="7" t="str">
        <f>HYPERLINK("http://slimages.macys.com/is/image/MCY/9400561 ")</f>
        <v xml:space="preserve">http://slimages.macys.com/is/image/MCY/9400561 </v>
      </c>
    </row>
    <row r="717" spans="1:12" ht="24.75" x14ac:dyDescent="0.25">
      <c r="A717" s="4" t="s">
        <v>8843</v>
      </c>
      <c r="B717" s="2" t="s">
        <v>7674</v>
      </c>
      <c r="C717" s="3">
        <v>1</v>
      </c>
      <c r="D717" s="5">
        <v>14.99</v>
      </c>
      <c r="E717" s="3" t="s">
        <v>7675</v>
      </c>
      <c r="F717" s="2" t="s">
        <v>33</v>
      </c>
      <c r="G717" s="6" t="s">
        <v>187</v>
      </c>
      <c r="H717" s="2" t="s">
        <v>1425</v>
      </c>
      <c r="I717" s="2" t="s">
        <v>1469</v>
      </c>
      <c r="J717" s="2" t="s">
        <v>19</v>
      </c>
      <c r="K717" s="2" t="s">
        <v>495</v>
      </c>
      <c r="L717" s="7" t="str">
        <f>HYPERLINK("http://slimages.macys.com/is/image/MCY/11028879 ")</f>
        <v xml:space="preserve">http://slimages.macys.com/is/image/MCY/11028879 </v>
      </c>
    </row>
    <row r="718" spans="1:12" ht="24.75" x14ac:dyDescent="0.25">
      <c r="A718" s="4" t="s">
        <v>8844</v>
      </c>
      <c r="B718" s="2" t="s">
        <v>7674</v>
      </c>
      <c r="C718" s="3">
        <v>2</v>
      </c>
      <c r="D718" s="5">
        <v>14.99</v>
      </c>
      <c r="E718" s="3" t="s">
        <v>7675</v>
      </c>
      <c r="F718" s="2" t="s">
        <v>33</v>
      </c>
      <c r="G718" s="6"/>
      <c r="H718" s="2" t="s">
        <v>1425</v>
      </c>
      <c r="I718" s="2" t="s">
        <v>1469</v>
      </c>
      <c r="J718" s="2" t="s">
        <v>19</v>
      </c>
      <c r="K718" s="2" t="s">
        <v>495</v>
      </c>
      <c r="L718" s="7" t="str">
        <f>HYPERLINK("http://slimages.macys.com/is/image/MCY/11028879 ")</f>
        <v xml:space="preserve">http://slimages.macys.com/is/image/MCY/11028879 </v>
      </c>
    </row>
    <row r="719" spans="1:12" ht="24.75" x14ac:dyDescent="0.25">
      <c r="A719" s="4" t="s">
        <v>8845</v>
      </c>
      <c r="B719" s="2" t="s">
        <v>1948</v>
      </c>
      <c r="C719" s="3">
        <v>1</v>
      </c>
      <c r="D719" s="5">
        <v>17.989999999999998</v>
      </c>
      <c r="E719" s="3" t="s">
        <v>1949</v>
      </c>
      <c r="F719" s="2" t="s">
        <v>15</v>
      </c>
      <c r="G719" s="6"/>
      <c r="H719" s="2" t="s">
        <v>1425</v>
      </c>
      <c r="I719" s="2" t="s">
        <v>1469</v>
      </c>
      <c r="J719" s="2" t="s">
        <v>19</v>
      </c>
      <c r="K719" s="2" t="s">
        <v>353</v>
      </c>
      <c r="L719" s="7" t="str">
        <f>HYPERLINK("http://slimages.macys.com/is/image/MCY/10743537 ")</f>
        <v xml:space="preserve">http://slimages.macys.com/is/image/MCY/10743537 </v>
      </c>
    </row>
    <row r="720" spans="1:12" ht="24.75" x14ac:dyDescent="0.25">
      <c r="A720" s="4" t="s">
        <v>8846</v>
      </c>
      <c r="B720" s="2" t="s">
        <v>1948</v>
      </c>
      <c r="C720" s="3">
        <v>1</v>
      </c>
      <c r="D720" s="5">
        <v>17.989999999999998</v>
      </c>
      <c r="E720" s="3" t="s">
        <v>1949</v>
      </c>
      <c r="F720" s="2" t="s">
        <v>64</v>
      </c>
      <c r="G720" s="6" t="s">
        <v>219</v>
      </c>
      <c r="H720" s="2" t="s">
        <v>1425</v>
      </c>
      <c r="I720" s="2" t="s">
        <v>1469</v>
      </c>
      <c r="J720" s="2" t="s">
        <v>19</v>
      </c>
      <c r="K720" s="2" t="s">
        <v>353</v>
      </c>
      <c r="L720" s="7" t="str">
        <f>HYPERLINK("http://slimages.macys.com/is/image/MCY/10743537 ")</f>
        <v xml:space="preserve">http://slimages.macys.com/is/image/MCY/10743537 </v>
      </c>
    </row>
    <row r="721" spans="1:12" ht="24.75" x14ac:dyDescent="0.25">
      <c r="A721" s="4" t="s">
        <v>8847</v>
      </c>
      <c r="B721" s="2" t="s">
        <v>1948</v>
      </c>
      <c r="C721" s="3">
        <v>1</v>
      </c>
      <c r="D721" s="5">
        <v>17.989999999999998</v>
      </c>
      <c r="E721" s="3" t="s">
        <v>1949</v>
      </c>
      <c r="F721" s="2" t="s">
        <v>74</v>
      </c>
      <c r="G721" s="6" t="s">
        <v>219</v>
      </c>
      <c r="H721" s="2" t="s">
        <v>1425</v>
      </c>
      <c r="I721" s="2" t="s">
        <v>1469</v>
      </c>
      <c r="J721" s="2" t="s">
        <v>19</v>
      </c>
      <c r="K721" s="2" t="s">
        <v>353</v>
      </c>
      <c r="L721" s="7" t="str">
        <f>HYPERLINK("http://slimages.macys.com/is/image/MCY/10743537 ")</f>
        <v xml:space="preserve">http://slimages.macys.com/is/image/MCY/10743537 </v>
      </c>
    </row>
    <row r="722" spans="1:12" ht="24.75" x14ac:dyDescent="0.25">
      <c r="A722" s="4" t="s">
        <v>8848</v>
      </c>
      <c r="B722" s="2" t="s">
        <v>1942</v>
      </c>
      <c r="C722" s="3">
        <v>2</v>
      </c>
      <c r="D722" s="5">
        <v>17.989999999999998</v>
      </c>
      <c r="E722" s="3" t="s">
        <v>1943</v>
      </c>
      <c r="F722" s="2" t="s">
        <v>26</v>
      </c>
      <c r="G722" s="6" t="s">
        <v>154</v>
      </c>
      <c r="H722" s="2" t="s">
        <v>1522</v>
      </c>
      <c r="I722" s="2" t="s">
        <v>1469</v>
      </c>
      <c r="J722" s="2" t="s">
        <v>19</v>
      </c>
      <c r="K722" s="2" t="s">
        <v>353</v>
      </c>
      <c r="L722" s="7" t="str">
        <f>HYPERLINK("http://slimages.macys.com/is/image/MCY/10743541 ")</f>
        <v xml:space="preserve">http://slimages.macys.com/is/image/MCY/10743541 </v>
      </c>
    </row>
    <row r="723" spans="1:12" ht="24.75" x14ac:dyDescent="0.25">
      <c r="A723" s="4" t="s">
        <v>6881</v>
      </c>
      <c r="B723" s="2" t="s">
        <v>3122</v>
      </c>
      <c r="C723" s="3">
        <v>2</v>
      </c>
      <c r="D723" s="5">
        <v>14.99</v>
      </c>
      <c r="E723" s="3" t="s">
        <v>3123</v>
      </c>
      <c r="F723" s="2" t="s">
        <v>79</v>
      </c>
      <c r="G723" s="6" t="s">
        <v>156</v>
      </c>
      <c r="H723" s="2" t="s">
        <v>1522</v>
      </c>
      <c r="I723" s="2" t="s">
        <v>1469</v>
      </c>
      <c r="J723" s="2" t="s">
        <v>19</v>
      </c>
      <c r="K723" s="2" t="s">
        <v>495</v>
      </c>
      <c r="L723" s="7" t="str">
        <f>HYPERLINK("http://slimages.macys.com/is/image/MCY/9957413 ")</f>
        <v xml:space="preserve">http://slimages.macys.com/is/image/MCY/9957413 </v>
      </c>
    </row>
    <row r="724" spans="1:12" ht="24.75" x14ac:dyDescent="0.25">
      <c r="A724" s="4" t="s">
        <v>4193</v>
      </c>
      <c r="B724" s="2" t="s">
        <v>3122</v>
      </c>
      <c r="C724" s="3">
        <v>3</v>
      </c>
      <c r="D724" s="5">
        <v>14.99</v>
      </c>
      <c r="E724" s="3" t="s">
        <v>3123</v>
      </c>
      <c r="F724" s="2" t="s">
        <v>79</v>
      </c>
      <c r="G724" s="6" t="s">
        <v>234</v>
      </c>
      <c r="H724" s="2" t="s">
        <v>1522</v>
      </c>
      <c r="I724" s="2" t="s">
        <v>1469</v>
      </c>
      <c r="J724" s="2" t="s">
        <v>19</v>
      </c>
      <c r="K724" s="2" t="s">
        <v>495</v>
      </c>
      <c r="L724" s="7" t="str">
        <f>HYPERLINK("http://slimages.macys.com/is/image/MCY/9957413 ")</f>
        <v xml:space="preserve">http://slimages.macys.com/is/image/MCY/9957413 </v>
      </c>
    </row>
    <row r="725" spans="1:12" ht="24.75" x14ac:dyDescent="0.25">
      <c r="A725" s="4" t="s">
        <v>4194</v>
      </c>
      <c r="B725" s="2" t="s">
        <v>3122</v>
      </c>
      <c r="C725" s="3">
        <v>1</v>
      </c>
      <c r="D725" s="5">
        <v>14.99</v>
      </c>
      <c r="E725" s="3" t="s">
        <v>3123</v>
      </c>
      <c r="F725" s="2" t="s">
        <v>79</v>
      </c>
      <c r="G725" s="6" t="s">
        <v>181</v>
      </c>
      <c r="H725" s="2" t="s">
        <v>1522</v>
      </c>
      <c r="I725" s="2" t="s">
        <v>1469</v>
      </c>
      <c r="J725" s="2" t="s">
        <v>19</v>
      </c>
      <c r="K725" s="2" t="s">
        <v>495</v>
      </c>
      <c r="L725" s="7" t="str">
        <f>HYPERLINK("http://slimages.macys.com/is/image/MCY/9957413 ")</f>
        <v xml:space="preserve">http://slimages.macys.com/is/image/MCY/9957413 </v>
      </c>
    </row>
    <row r="726" spans="1:12" ht="24.75" x14ac:dyDescent="0.25">
      <c r="A726" s="4" t="s">
        <v>8849</v>
      </c>
      <c r="B726" s="2" t="s">
        <v>8850</v>
      </c>
      <c r="C726" s="3">
        <v>1</v>
      </c>
      <c r="D726" s="5">
        <v>17.989999999999998</v>
      </c>
      <c r="E726" s="3" t="s">
        <v>8851</v>
      </c>
      <c r="F726" s="2" t="s">
        <v>74</v>
      </c>
      <c r="G726" s="6" t="s">
        <v>181</v>
      </c>
      <c r="H726" s="2" t="s">
        <v>1473</v>
      </c>
      <c r="I726" s="2" t="s">
        <v>1426</v>
      </c>
      <c r="J726" s="2" t="s">
        <v>19</v>
      </c>
      <c r="K726" s="2" t="s">
        <v>990</v>
      </c>
      <c r="L726" s="7" t="str">
        <f>HYPERLINK("http://slimages.macys.com/is/image/MCY/12646601 ")</f>
        <v xml:space="preserve">http://slimages.macys.com/is/image/MCY/12646601 </v>
      </c>
    </row>
    <row r="727" spans="1:12" ht="24.75" x14ac:dyDescent="0.25">
      <c r="A727" s="4" t="s">
        <v>8852</v>
      </c>
      <c r="B727" s="2" t="s">
        <v>1948</v>
      </c>
      <c r="C727" s="3">
        <v>1</v>
      </c>
      <c r="D727" s="5">
        <v>17.989999999999998</v>
      </c>
      <c r="E727" s="3" t="s">
        <v>1949</v>
      </c>
      <c r="F727" s="2" t="s">
        <v>1945</v>
      </c>
      <c r="G727" s="6" t="s">
        <v>219</v>
      </c>
      <c r="H727" s="2" t="s">
        <v>1425</v>
      </c>
      <c r="I727" s="2" t="s">
        <v>1469</v>
      </c>
      <c r="J727" s="2" t="s">
        <v>19</v>
      </c>
      <c r="K727" s="2" t="s">
        <v>353</v>
      </c>
      <c r="L727" s="7" t="str">
        <f>HYPERLINK("http://slimages.macys.com/is/image/MCY/10743537 ")</f>
        <v xml:space="preserve">http://slimages.macys.com/is/image/MCY/10743537 </v>
      </c>
    </row>
    <row r="728" spans="1:12" ht="24.75" x14ac:dyDescent="0.25">
      <c r="A728" s="4" t="s">
        <v>3167</v>
      </c>
      <c r="B728" s="2" t="s">
        <v>3128</v>
      </c>
      <c r="C728" s="3">
        <v>1</v>
      </c>
      <c r="D728" s="5">
        <v>14.99</v>
      </c>
      <c r="E728" s="3" t="s">
        <v>3129</v>
      </c>
      <c r="F728" s="2" t="s">
        <v>26</v>
      </c>
      <c r="G728" s="6" t="s">
        <v>219</v>
      </c>
      <c r="H728" s="2" t="s">
        <v>1425</v>
      </c>
      <c r="I728" s="2" t="s">
        <v>1426</v>
      </c>
      <c r="J728" s="2" t="s">
        <v>19</v>
      </c>
      <c r="K728" s="2" t="s">
        <v>495</v>
      </c>
      <c r="L728" s="7" t="str">
        <f>HYPERLINK("http://slimages.macys.com/is/image/MCY/12064003 ")</f>
        <v xml:space="preserve">http://slimages.macys.com/is/image/MCY/12064003 </v>
      </c>
    </row>
    <row r="729" spans="1:12" ht="24.75" x14ac:dyDescent="0.25">
      <c r="A729" s="4" t="s">
        <v>5201</v>
      </c>
      <c r="B729" s="2" t="s">
        <v>3128</v>
      </c>
      <c r="C729" s="3">
        <v>1</v>
      </c>
      <c r="D729" s="5">
        <v>14.99</v>
      </c>
      <c r="E729" s="3" t="s">
        <v>3129</v>
      </c>
      <c r="F729" s="2" t="s">
        <v>26</v>
      </c>
      <c r="G729" s="6"/>
      <c r="H729" s="2" t="s">
        <v>1425</v>
      </c>
      <c r="I729" s="2" t="s">
        <v>1426</v>
      </c>
      <c r="J729" s="2" t="s">
        <v>19</v>
      </c>
      <c r="K729" s="2" t="s">
        <v>495</v>
      </c>
      <c r="L729" s="7" t="str">
        <f>HYPERLINK("http://slimages.macys.com/is/image/MCY/12064003 ")</f>
        <v xml:space="preserve">http://slimages.macys.com/is/image/MCY/12064003 </v>
      </c>
    </row>
    <row r="730" spans="1:12" ht="24.75" x14ac:dyDescent="0.25">
      <c r="A730" s="4" t="s">
        <v>8853</v>
      </c>
      <c r="B730" s="2" t="s">
        <v>1951</v>
      </c>
      <c r="C730" s="3">
        <v>1</v>
      </c>
      <c r="D730" s="5">
        <v>14.99</v>
      </c>
      <c r="E730" s="3" t="s">
        <v>1952</v>
      </c>
      <c r="F730" s="2" t="s">
        <v>417</v>
      </c>
      <c r="G730" s="6" t="s">
        <v>154</v>
      </c>
      <c r="H730" s="2" t="s">
        <v>1473</v>
      </c>
      <c r="I730" s="2" t="s">
        <v>1426</v>
      </c>
      <c r="J730" s="2" t="s">
        <v>19</v>
      </c>
      <c r="K730" s="2" t="s">
        <v>495</v>
      </c>
      <c r="L730" s="7" t="str">
        <f>HYPERLINK("http://slimages.macys.com/is/image/MCY/12327052 ")</f>
        <v xml:space="preserve">http://slimages.macys.com/is/image/MCY/12327052 </v>
      </c>
    </row>
    <row r="731" spans="1:12" ht="24.75" x14ac:dyDescent="0.25">
      <c r="A731" s="4" t="s">
        <v>3127</v>
      </c>
      <c r="B731" s="2" t="s">
        <v>3128</v>
      </c>
      <c r="C731" s="3">
        <v>2</v>
      </c>
      <c r="D731" s="5">
        <v>14.99</v>
      </c>
      <c r="E731" s="3" t="s">
        <v>3129</v>
      </c>
      <c r="F731" s="2" t="s">
        <v>26</v>
      </c>
      <c r="G731" s="6"/>
      <c r="H731" s="2" t="s">
        <v>1425</v>
      </c>
      <c r="I731" s="2" t="s">
        <v>1426</v>
      </c>
      <c r="J731" s="2" t="s">
        <v>19</v>
      </c>
      <c r="K731" s="2" t="s">
        <v>495</v>
      </c>
      <c r="L731" s="7" t="str">
        <f>HYPERLINK("http://slimages.macys.com/is/image/MCY/12064003 ")</f>
        <v xml:space="preserve">http://slimages.macys.com/is/image/MCY/12064003 </v>
      </c>
    </row>
    <row r="732" spans="1:12" ht="24.75" x14ac:dyDescent="0.25">
      <c r="A732" s="4" t="s">
        <v>8854</v>
      </c>
      <c r="B732" s="2" t="s">
        <v>3155</v>
      </c>
      <c r="C732" s="3">
        <v>1</v>
      </c>
      <c r="D732" s="5">
        <v>14.99</v>
      </c>
      <c r="E732" s="3" t="s">
        <v>8855</v>
      </c>
      <c r="F732" s="2" t="s">
        <v>413</v>
      </c>
      <c r="G732" s="6"/>
      <c r="H732" s="2" t="s">
        <v>1425</v>
      </c>
      <c r="I732" s="2" t="s">
        <v>1426</v>
      </c>
      <c r="J732" s="2" t="s">
        <v>19</v>
      </c>
      <c r="K732" s="2" t="s">
        <v>495</v>
      </c>
      <c r="L732" s="7" t="str">
        <f>HYPERLINK("http://slimages.macys.com/is/image/MCY/11832052 ")</f>
        <v xml:space="preserve">http://slimages.macys.com/is/image/MCY/11832052 </v>
      </c>
    </row>
    <row r="733" spans="1:12" ht="24.75" x14ac:dyDescent="0.25">
      <c r="A733" s="4" t="s">
        <v>8856</v>
      </c>
      <c r="B733" s="2" t="s">
        <v>3140</v>
      </c>
      <c r="C733" s="3">
        <v>1</v>
      </c>
      <c r="D733" s="5">
        <v>14.99</v>
      </c>
      <c r="E733" s="3" t="s">
        <v>4204</v>
      </c>
      <c r="F733" s="2" t="s">
        <v>15</v>
      </c>
      <c r="G733" s="6"/>
      <c r="H733" s="2" t="s">
        <v>1425</v>
      </c>
      <c r="I733" s="2" t="s">
        <v>1426</v>
      </c>
      <c r="J733" s="2" t="s">
        <v>19</v>
      </c>
      <c r="K733" s="2" t="s">
        <v>495</v>
      </c>
      <c r="L733" s="7" t="str">
        <f>HYPERLINK("http://slimages.macys.com/is/image/MCY/11774199 ")</f>
        <v xml:space="preserve">http://slimages.macys.com/is/image/MCY/11774199 </v>
      </c>
    </row>
    <row r="734" spans="1:12" ht="24.75" x14ac:dyDescent="0.25">
      <c r="A734" s="4" t="s">
        <v>3152</v>
      </c>
      <c r="B734" s="2" t="s">
        <v>3137</v>
      </c>
      <c r="C734" s="3">
        <v>1</v>
      </c>
      <c r="D734" s="5">
        <v>14.99</v>
      </c>
      <c r="E734" s="3" t="s">
        <v>3153</v>
      </c>
      <c r="F734" s="2" t="s">
        <v>26</v>
      </c>
      <c r="G734" s="6" t="s">
        <v>181</v>
      </c>
      <c r="H734" s="2" t="s">
        <v>1473</v>
      </c>
      <c r="I734" s="2" t="s">
        <v>1426</v>
      </c>
      <c r="J734" s="2" t="s">
        <v>19</v>
      </c>
      <c r="K734" s="2" t="s">
        <v>495</v>
      </c>
      <c r="L734" s="7" t="str">
        <f>HYPERLINK("http://slimages.macys.com/is/image/MCY/11915563 ")</f>
        <v xml:space="preserve">http://slimages.macys.com/is/image/MCY/11915563 </v>
      </c>
    </row>
    <row r="735" spans="1:12" ht="24.75" x14ac:dyDescent="0.25">
      <c r="A735" s="4" t="s">
        <v>8857</v>
      </c>
      <c r="B735" s="2" t="s">
        <v>3155</v>
      </c>
      <c r="C735" s="3">
        <v>1</v>
      </c>
      <c r="D735" s="5">
        <v>14.99</v>
      </c>
      <c r="E735" s="3" t="s">
        <v>3156</v>
      </c>
      <c r="F735" s="2" t="s">
        <v>413</v>
      </c>
      <c r="G735" s="6" t="s">
        <v>181</v>
      </c>
      <c r="H735" s="2" t="s">
        <v>1473</v>
      </c>
      <c r="I735" s="2" t="s">
        <v>1426</v>
      </c>
      <c r="J735" s="2" t="s">
        <v>19</v>
      </c>
      <c r="K735" s="2" t="s">
        <v>495</v>
      </c>
      <c r="L735" s="7" t="str">
        <f>HYPERLINK("http://slimages.macys.com/is/image/MCY/11832049 ")</f>
        <v xml:space="preserve">http://slimages.macys.com/is/image/MCY/11832049 </v>
      </c>
    </row>
    <row r="736" spans="1:12" ht="24.75" x14ac:dyDescent="0.25">
      <c r="A736" s="4" t="s">
        <v>8858</v>
      </c>
      <c r="B736" s="2" t="s">
        <v>3128</v>
      </c>
      <c r="C736" s="3">
        <v>1</v>
      </c>
      <c r="D736" s="5">
        <v>14.99</v>
      </c>
      <c r="E736" s="3" t="s">
        <v>3129</v>
      </c>
      <c r="F736" s="2" t="s">
        <v>26</v>
      </c>
      <c r="G736" s="6"/>
      <c r="H736" s="2" t="s">
        <v>1425</v>
      </c>
      <c r="I736" s="2" t="s">
        <v>1426</v>
      </c>
      <c r="J736" s="2" t="s">
        <v>19</v>
      </c>
      <c r="K736" s="2" t="s">
        <v>495</v>
      </c>
      <c r="L736" s="7" t="str">
        <f>HYPERLINK("http://slimages.macys.com/is/image/MCY/12064003 ")</f>
        <v xml:space="preserve">http://slimages.macys.com/is/image/MCY/12064003 </v>
      </c>
    </row>
    <row r="737" spans="1:12" ht="24.75" x14ac:dyDescent="0.25">
      <c r="A737" s="4" t="s">
        <v>8859</v>
      </c>
      <c r="B737" s="2" t="s">
        <v>2068</v>
      </c>
      <c r="C737" s="3">
        <v>1</v>
      </c>
      <c r="D737" s="5">
        <v>12.99</v>
      </c>
      <c r="E737" s="3" t="s">
        <v>2069</v>
      </c>
      <c r="F737" s="2" t="s">
        <v>70</v>
      </c>
      <c r="G737" s="6" t="s">
        <v>156</v>
      </c>
      <c r="H737" s="2" t="s">
        <v>194</v>
      </c>
      <c r="I737" s="2" t="s">
        <v>195</v>
      </c>
      <c r="J737" s="2" t="s">
        <v>19</v>
      </c>
      <c r="K737" s="2" t="s">
        <v>648</v>
      </c>
      <c r="L737" s="7" t="str">
        <f>HYPERLINK("http://slimages.macys.com/is/image/MCY/12316464 ")</f>
        <v xml:space="preserve">http://slimages.macys.com/is/image/MCY/12316464 </v>
      </c>
    </row>
    <row r="738" spans="1:12" ht="24.75" x14ac:dyDescent="0.25">
      <c r="A738" s="4" t="s">
        <v>8860</v>
      </c>
      <c r="B738" s="2" t="s">
        <v>1962</v>
      </c>
      <c r="C738" s="3">
        <v>1</v>
      </c>
      <c r="D738" s="5">
        <v>21.99</v>
      </c>
      <c r="E738" s="3">
        <v>100017611</v>
      </c>
      <c r="F738" s="2" t="s">
        <v>956</v>
      </c>
      <c r="G738" s="6" t="s">
        <v>245</v>
      </c>
      <c r="H738" s="2" t="s">
        <v>284</v>
      </c>
      <c r="I738" s="2" t="s">
        <v>285</v>
      </c>
      <c r="J738" s="2" t="s">
        <v>19</v>
      </c>
      <c r="K738" s="2" t="s">
        <v>247</v>
      </c>
      <c r="L738" s="7" t="str">
        <f>HYPERLINK("http://slimages.macys.com/is/image/MCY/14013654 ")</f>
        <v xml:space="preserve">http://slimages.macys.com/is/image/MCY/14013654 </v>
      </c>
    </row>
    <row r="739" spans="1:12" ht="24.75" x14ac:dyDescent="0.25">
      <c r="A739" s="4" t="s">
        <v>5210</v>
      </c>
      <c r="B739" s="2" t="s">
        <v>1970</v>
      </c>
      <c r="C739" s="3">
        <v>1</v>
      </c>
      <c r="D739" s="5">
        <v>14.99</v>
      </c>
      <c r="E739" s="3" t="s">
        <v>1971</v>
      </c>
      <c r="F739" s="2" t="s">
        <v>1945</v>
      </c>
      <c r="G739" s="6" t="s">
        <v>156</v>
      </c>
      <c r="H739" s="2" t="s">
        <v>1522</v>
      </c>
      <c r="I739" s="2" t="s">
        <v>1469</v>
      </c>
      <c r="J739" s="2" t="s">
        <v>19</v>
      </c>
      <c r="K739" s="2" t="s">
        <v>353</v>
      </c>
      <c r="L739" s="7" t="str">
        <f>HYPERLINK("http://slimages.macys.com/is/image/MCY/13741861 ")</f>
        <v xml:space="preserve">http://slimages.macys.com/is/image/MCY/13741861 </v>
      </c>
    </row>
    <row r="740" spans="1:12" ht="24.75" x14ac:dyDescent="0.25">
      <c r="A740" s="4" t="s">
        <v>8861</v>
      </c>
      <c r="B740" s="2" t="s">
        <v>3181</v>
      </c>
      <c r="C740" s="3">
        <v>1</v>
      </c>
      <c r="D740" s="5">
        <v>14.99</v>
      </c>
      <c r="E740" s="3" t="s">
        <v>3182</v>
      </c>
      <c r="F740" s="2" t="s">
        <v>38</v>
      </c>
      <c r="G740" s="6"/>
      <c r="H740" s="2" t="s">
        <v>1425</v>
      </c>
      <c r="I740" s="2" t="s">
        <v>1469</v>
      </c>
      <c r="J740" s="2" t="s">
        <v>19</v>
      </c>
      <c r="K740" s="2" t="s">
        <v>353</v>
      </c>
      <c r="L740" s="7" t="str">
        <f>HYPERLINK("http://slimages.macys.com/is/image/MCY/10743852 ")</f>
        <v xml:space="preserve">http://slimages.macys.com/is/image/MCY/10743852 </v>
      </c>
    </row>
    <row r="741" spans="1:12" ht="24.75" x14ac:dyDescent="0.25">
      <c r="A741" s="4" t="s">
        <v>8862</v>
      </c>
      <c r="B741" s="2" t="s">
        <v>1970</v>
      </c>
      <c r="C741" s="3">
        <v>1</v>
      </c>
      <c r="D741" s="5">
        <v>14.99</v>
      </c>
      <c r="E741" s="3" t="s">
        <v>1971</v>
      </c>
      <c r="F741" s="2" t="s">
        <v>1945</v>
      </c>
      <c r="G741" s="6" t="s">
        <v>200</v>
      </c>
      <c r="H741" s="2" t="s">
        <v>1522</v>
      </c>
      <c r="I741" s="2" t="s">
        <v>1469</v>
      </c>
      <c r="J741" s="2" t="s">
        <v>19</v>
      </c>
      <c r="K741" s="2" t="s">
        <v>353</v>
      </c>
      <c r="L741" s="7" t="str">
        <f>HYPERLINK("http://slimages.macys.com/is/image/MCY/13741861 ")</f>
        <v xml:space="preserve">http://slimages.macys.com/is/image/MCY/13741861 </v>
      </c>
    </row>
    <row r="742" spans="1:12" ht="24.75" x14ac:dyDescent="0.25">
      <c r="A742" s="4" t="s">
        <v>4219</v>
      </c>
      <c r="B742" s="2" t="s">
        <v>1970</v>
      </c>
      <c r="C742" s="3">
        <v>1</v>
      </c>
      <c r="D742" s="5">
        <v>14.99</v>
      </c>
      <c r="E742" s="3" t="s">
        <v>1971</v>
      </c>
      <c r="F742" s="2" t="s">
        <v>1945</v>
      </c>
      <c r="G742" s="6" t="s">
        <v>234</v>
      </c>
      <c r="H742" s="2" t="s">
        <v>1522</v>
      </c>
      <c r="I742" s="2" t="s">
        <v>1469</v>
      </c>
      <c r="J742" s="2" t="s">
        <v>19</v>
      </c>
      <c r="K742" s="2" t="s">
        <v>353</v>
      </c>
      <c r="L742" s="7" t="str">
        <f>HYPERLINK("http://slimages.macys.com/is/image/MCY/13741861 ")</f>
        <v xml:space="preserve">http://slimages.macys.com/is/image/MCY/13741861 </v>
      </c>
    </row>
    <row r="743" spans="1:12" ht="24.75" x14ac:dyDescent="0.25">
      <c r="A743" s="4" t="s">
        <v>4217</v>
      </c>
      <c r="B743" s="2" t="s">
        <v>1970</v>
      </c>
      <c r="C743" s="3">
        <v>1</v>
      </c>
      <c r="D743" s="5">
        <v>14.99</v>
      </c>
      <c r="E743" s="3" t="s">
        <v>1971</v>
      </c>
      <c r="F743" s="2" t="s">
        <v>64</v>
      </c>
      <c r="G743" s="6" t="s">
        <v>154</v>
      </c>
      <c r="H743" s="2" t="s">
        <v>1522</v>
      </c>
      <c r="I743" s="2" t="s">
        <v>1469</v>
      </c>
      <c r="J743" s="2" t="s">
        <v>19</v>
      </c>
      <c r="K743" s="2" t="s">
        <v>353</v>
      </c>
      <c r="L743" s="7" t="str">
        <f>HYPERLINK("http://slimages.macys.com/is/image/MCY/13741861 ")</f>
        <v xml:space="preserve">http://slimages.macys.com/is/image/MCY/13741861 </v>
      </c>
    </row>
    <row r="744" spans="1:12" ht="24.75" x14ac:dyDescent="0.25">
      <c r="A744" s="4" t="s">
        <v>4226</v>
      </c>
      <c r="B744" s="2" t="s">
        <v>1973</v>
      </c>
      <c r="C744" s="3">
        <v>1</v>
      </c>
      <c r="D744" s="5">
        <v>16.989999999999998</v>
      </c>
      <c r="E744" s="3" t="s">
        <v>1974</v>
      </c>
      <c r="F744" s="2" t="s">
        <v>15</v>
      </c>
      <c r="G744" s="6" t="s">
        <v>234</v>
      </c>
      <c r="H744" s="2" t="s">
        <v>1473</v>
      </c>
      <c r="I744" s="2" t="s">
        <v>1864</v>
      </c>
      <c r="J744" s="2" t="s">
        <v>19</v>
      </c>
      <c r="K744" s="2" t="s">
        <v>648</v>
      </c>
      <c r="L744" s="7" t="str">
        <f>HYPERLINK("http://slimages.macys.com/is/image/MCY/11634794 ")</f>
        <v xml:space="preserve">http://slimages.macys.com/is/image/MCY/11634794 </v>
      </c>
    </row>
    <row r="745" spans="1:12" ht="24.75" x14ac:dyDescent="0.25">
      <c r="A745" s="4" t="s">
        <v>3185</v>
      </c>
      <c r="B745" s="2" t="s">
        <v>1973</v>
      </c>
      <c r="C745" s="3">
        <v>3</v>
      </c>
      <c r="D745" s="5">
        <v>16.989999999999998</v>
      </c>
      <c r="E745" s="3" t="s">
        <v>1974</v>
      </c>
      <c r="F745" s="2" t="s">
        <v>998</v>
      </c>
      <c r="G745" s="6" t="s">
        <v>154</v>
      </c>
      <c r="H745" s="2" t="s">
        <v>1473</v>
      </c>
      <c r="I745" s="2" t="s">
        <v>1864</v>
      </c>
      <c r="J745" s="2" t="s">
        <v>19</v>
      </c>
      <c r="K745" s="2" t="s">
        <v>648</v>
      </c>
      <c r="L745" s="7" t="str">
        <f>HYPERLINK("http://slimages.macys.com/is/image/MCY/11634794 ")</f>
        <v xml:space="preserve">http://slimages.macys.com/is/image/MCY/11634794 </v>
      </c>
    </row>
    <row r="746" spans="1:12" ht="24.75" x14ac:dyDescent="0.25">
      <c r="A746" s="4" t="s">
        <v>8863</v>
      </c>
      <c r="B746" s="2" t="s">
        <v>1973</v>
      </c>
      <c r="C746" s="3">
        <v>1</v>
      </c>
      <c r="D746" s="5">
        <v>16.989999999999998</v>
      </c>
      <c r="E746" s="3" t="s">
        <v>1974</v>
      </c>
      <c r="F746" s="2" t="s">
        <v>1322</v>
      </c>
      <c r="G746" s="6" t="s">
        <v>154</v>
      </c>
      <c r="H746" s="2" t="s">
        <v>1473</v>
      </c>
      <c r="I746" s="2" t="s">
        <v>1864</v>
      </c>
      <c r="J746" s="2" t="s">
        <v>19</v>
      </c>
      <c r="K746" s="2" t="s">
        <v>648</v>
      </c>
      <c r="L746" s="7" t="str">
        <f>HYPERLINK("http://slimages.macys.com/is/image/MCY/11634794 ")</f>
        <v xml:space="preserve">http://slimages.macys.com/is/image/MCY/11634794 </v>
      </c>
    </row>
    <row r="747" spans="1:12" ht="24.75" x14ac:dyDescent="0.25">
      <c r="A747" s="4" t="s">
        <v>5215</v>
      </c>
      <c r="B747" s="2" t="s">
        <v>1973</v>
      </c>
      <c r="C747" s="3">
        <v>2</v>
      </c>
      <c r="D747" s="5">
        <v>16.989999999999998</v>
      </c>
      <c r="E747" s="3" t="s">
        <v>1976</v>
      </c>
      <c r="F747" s="2" t="s">
        <v>70</v>
      </c>
      <c r="G747" s="6" t="s">
        <v>219</v>
      </c>
      <c r="H747" s="2" t="s">
        <v>1425</v>
      </c>
      <c r="I747" s="2" t="s">
        <v>1864</v>
      </c>
      <c r="J747" s="2" t="s">
        <v>19</v>
      </c>
      <c r="K747" s="2" t="s">
        <v>648</v>
      </c>
      <c r="L747" s="7" t="str">
        <f>HYPERLINK("http://slimages.macys.com/is/image/MCY/11634785 ")</f>
        <v xml:space="preserve">http://slimages.macys.com/is/image/MCY/11634785 </v>
      </c>
    </row>
    <row r="748" spans="1:12" ht="24.75" x14ac:dyDescent="0.25">
      <c r="A748" s="4" t="s">
        <v>6897</v>
      </c>
      <c r="B748" s="2" t="s">
        <v>1973</v>
      </c>
      <c r="C748" s="3">
        <v>1</v>
      </c>
      <c r="D748" s="5">
        <v>16.989999999999998</v>
      </c>
      <c r="E748" s="3" t="s">
        <v>1976</v>
      </c>
      <c r="F748" s="2" t="s">
        <v>1296</v>
      </c>
      <c r="G748" s="6" t="s">
        <v>187</v>
      </c>
      <c r="H748" s="2" t="s">
        <v>1425</v>
      </c>
      <c r="I748" s="2" t="s">
        <v>1864</v>
      </c>
      <c r="J748" s="2" t="s">
        <v>19</v>
      </c>
      <c r="K748" s="2" t="s">
        <v>648</v>
      </c>
      <c r="L748" s="7" t="str">
        <f>HYPERLINK("http://slimages.macys.com/is/image/MCY/11634785 ")</f>
        <v xml:space="preserve">http://slimages.macys.com/is/image/MCY/11634785 </v>
      </c>
    </row>
    <row r="749" spans="1:12" ht="24.75" x14ac:dyDescent="0.25">
      <c r="A749" s="4" t="s">
        <v>4229</v>
      </c>
      <c r="B749" s="2" t="s">
        <v>1973</v>
      </c>
      <c r="C749" s="3">
        <v>1</v>
      </c>
      <c r="D749" s="5">
        <v>16.989999999999998</v>
      </c>
      <c r="E749" s="3" t="s">
        <v>1976</v>
      </c>
      <c r="F749" s="2" t="s">
        <v>998</v>
      </c>
      <c r="G749" s="6"/>
      <c r="H749" s="2" t="s">
        <v>1425</v>
      </c>
      <c r="I749" s="2" t="s">
        <v>1864</v>
      </c>
      <c r="J749" s="2" t="s">
        <v>19</v>
      </c>
      <c r="K749" s="2" t="s">
        <v>648</v>
      </c>
      <c r="L749" s="7" t="str">
        <f>HYPERLINK("http://slimages.macys.com/is/image/MCY/11634785 ")</f>
        <v xml:space="preserve">http://slimages.macys.com/is/image/MCY/11634785 </v>
      </c>
    </row>
    <row r="750" spans="1:12" ht="24.75" x14ac:dyDescent="0.25">
      <c r="A750" s="4" t="s">
        <v>8368</v>
      </c>
      <c r="B750" s="2" t="s">
        <v>1973</v>
      </c>
      <c r="C750" s="3">
        <v>1</v>
      </c>
      <c r="D750" s="5">
        <v>16.989999999999998</v>
      </c>
      <c r="E750" s="3" t="s">
        <v>1974</v>
      </c>
      <c r="F750" s="2" t="s">
        <v>998</v>
      </c>
      <c r="G750" s="6" t="s">
        <v>234</v>
      </c>
      <c r="H750" s="2" t="s">
        <v>1473</v>
      </c>
      <c r="I750" s="2" t="s">
        <v>1864</v>
      </c>
      <c r="J750" s="2" t="s">
        <v>19</v>
      </c>
      <c r="K750" s="2" t="s">
        <v>648</v>
      </c>
      <c r="L750" s="7" t="str">
        <f>HYPERLINK("http://slimages.macys.com/is/image/MCY/11634794 ")</f>
        <v xml:space="preserve">http://slimages.macys.com/is/image/MCY/11634794 </v>
      </c>
    </row>
    <row r="751" spans="1:12" ht="24.75" x14ac:dyDescent="0.25">
      <c r="A751" s="4" t="s">
        <v>8864</v>
      </c>
      <c r="B751" s="2" t="s">
        <v>1973</v>
      </c>
      <c r="C751" s="3">
        <v>1</v>
      </c>
      <c r="D751" s="5">
        <v>16.989999999999998</v>
      </c>
      <c r="E751" s="3" t="s">
        <v>1976</v>
      </c>
      <c r="F751" s="2" t="s">
        <v>15</v>
      </c>
      <c r="G751" s="6"/>
      <c r="H751" s="2" t="s">
        <v>1425</v>
      </c>
      <c r="I751" s="2" t="s">
        <v>1864</v>
      </c>
      <c r="J751" s="2" t="s">
        <v>19</v>
      </c>
      <c r="K751" s="2" t="s">
        <v>648</v>
      </c>
      <c r="L751" s="7" t="str">
        <f>HYPERLINK("http://slimages.macys.com/is/image/MCY/11634785 ")</f>
        <v xml:space="preserve">http://slimages.macys.com/is/image/MCY/11634785 </v>
      </c>
    </row>
    <row r="752" spans="1:12" ht="24.75" x14ac:dyDescent="0.25">
      <c r="A752" s="4" t="s">
        <v>1985</v>
      </c>
      <c r="B752" s="2" t="s">
        <v>1973</v>
      </c>
      <c r="C752" s="3">
        <v>1</v>
      </c>
      <c r="D752" s="5">
        <v>16.989999999999998</v>
      </c>
      <c r="E752" s="3" t="s">
        <v>1976</v>
      </c>
      <c r="F752" s="2" t="s">
        <v>15</v>
      </c>
      <c r="G752" s="6" t="s">
        <v>219</v>
      </c>
      <c r="H752" s="2" t="s">
        <v>1425</v>
      </c>
      <c r="I752" s="2" t="s">
        <v>1864</v>
      </c>
      <c r="J752" s="2" t="s">
        <v>19</v>
      </c>
      <c r="K752" s="2" t="s">
        <v>648</v>
      </c>
      <c r="L752" s="7" t="str">
        <f>HYPERLINK("http://slimages.macys.com/is/image/MCY/11634785 ")</f>
        <v xml:space="preserve">http://slimages.macys.com/is/image/MCY/11634785 </v>
      </c>
    </row>
    <row r="753" spans="1:12" ht="24.75" x14ac:dyDescent="0.25">
      <c r="A753" s="4" t="s">
        <v>8865</v>
      </c>
      <c r="B753" s="2" t="s">
        <v>1988</v>
      </c>
      <c r="C753" s="3">
        <v>1</v>
      </c>
      <c r="D753" s="5">
        <v>14.99</v>
      </c>
      <c r="E753" s="3" t="s">
        <v>1989</v>
      </c>
      <c r="F753" s="2" t="s">
        <v>1322</v>
      </c>
      <c r="G753" s="6"/>
      <c r="H753" s="2" t="s">
        <v>1425</v>
      </c>
      <c r="I753" s="2" t="s">
        <v>1426</v>
      </c>
      <c r="J753" s="2" t="s">
        <v>19</v>
      </c>
      <c r="K753" s="2" t="s">
        <v>648</v>
      </c>
      <c r="L753" s="7" t="str">
        <f>HYPERLINK("http://slimages.macys.com/is/image/MCY/11678994 ")</f>
        <v xml:space="preserve">http://slimages.macys.com/is/image/MCY/11678994 </v>
      </c>
    </row>
    <row r="754" spans="1:12" ht="24.75" x14ac:dyDescent="0.25">
      <c r="A754" s="4" t="s">
        <v>3209</v>
      </c>
      <c r="B754" s="2" t="s">
        <v>1988</v>
      </c>
      <c r="C754" s="3">
        <v>1</v>
      </c>
      <c r="D754" s="5">
        <v>14.99</v>
      </c>
      <c r="E754" s="3" t="s">
        <v>1989</v>
      </c>
      <c r="F754" s="2" t="s">
        <v>26</v>
      </c>
      <c r="G754" s="6"/>
      <c r="H754" s="2" t="s">
        <v>1425</v>
      </c>
      <c r="I754" s="2" t="s">
        <v>1426</v>
      </c>
      <c r="J754" s="2" t="s">
        <v>19</v>
      </c>
      <c r="K754" s="2" t="s">
        <v>648</v>
      </c>
      <c r="L754" s="7" t="str">
        <f>HYPERLINK("http://slimages.macys.com/is/image/MCY/11678994 ")</f>
        <v xml:space="preserve">http://slimages.macys.com/is/image/MCY/11678994 </v>
      </c>
    </row>
    <row r="755" spans="1:12" ht="24.75" x14ac:dyDescent="0.25">
      <c r="A755" s="4" t="s">
        <v>3208</v>
      </c>
      <c r="B755" s="2" t="s">
        <v>1988</v>
      </c>
      <c r="C755" s="3">
        <v>1</v>
      </c>
      <c r="D755" s="5">
        <v>14.99</v>
      </c>
      <c r="E755" s="3" t="s">
        <v>1989</v>
      </c>
      <c r="F755" s="2" t="s">
        <v>15</v>
      </c>
      <c r="G755" s="6"/>
      <c r="H755" s="2" t="s">
        <v>1425</v>
      </c>
      <c r="I755" s="2" t="s">
        <v>1426</v>
      </c>
      <c r="J755" s="2" t="s">
        <v>19</v>
      </c>
      <c r="K755" s="2" t="s">
        <v>648</v>
      </c>
      <c r="L755" s="7" t="str">
        <f>HYPERLINK("http://slimages.macys.com/is/image/MCY/11678994 ")</f>
        <v xml:space="preserve">http://slimages.macys.com/is/image/MCY/11678994 </v>
      </c>
    </row>
    <row r="756" spans="1:12" ht="24.75" x14ac:dyDescent="0.25">
      <c r="A756" s="4" t="s">
        <v>8866</v>
      </c>
      <c r="B756" s="2" t="s">
        <v>1988</v>
      </c>
      <c r="C756" s="3">
        <v>1</v>
      </c>
      <c r="D756" s="5">
        <v>14.99</v>
      </c>
      <c r="E756" s="3" t="s">
        <v>1991</v>
      </c>
      <c r="F756" s="2"/>
      <c r="G756" s="6" t="s">
        <v>181</v>
      </c>
      <c r="H756" s="2" t="s">
        <v>1473</v>
      </c>
      <c r="I756" s="2" t="s">
        <v>1426</v>
      </c>
      <c r="J756" s="2" t="s">
        <v>19</v>
      </c>
      <c r="K756" s="2" t="s">
        <v>648</v>
      </c>
      <c r="L756" s="7" t="str">
        <f>HYPERLINK("http://slimages.macys.com/is/image/MCY/12767912 ")</f>
        <v xml:space="preserve">http://slimages.macys.com/is/image/MCY/12767912 </v>
      </c>
    </row>
    <row r="757" spans="1:12" ht="24.75" x14ac:dyDescent="0.25">
      <c r="A757" s="4" t="s">
        <v>6178</v>
      </c>
      <c r="B757" s="2" t="s">
        <v>1988</v>
      </c>
      <c r="C757" s="3">
        <v>1</v>
      </c>
      <c r="D757" s="5">
        <v>14.99</v>
      </c>
      <c r="E757" s="3" t="s">
        <v>1991</v>
      </c>
      <c r="F757" s="2" t="s">
        <v>413</v>
      </c>
      <c r="G757" s="6" t="s">
        <v>154</v>
      </c>
      <c r="H757" s="2" t="s">
        <v>1473</v>
      </c>
      <c r="I757" s="2" t="s">
        <v>1426</v>
      </c>
      <c r="J757" s="2" t="s">
        <v>19</v>
      </c>
      <c r="K757" s="2" t="s">
        <v>648</v>
      </c>
      <c r="L757" s="7" t="str">
        <f>HYPERLINK("http://slimages.macys.com/is/image/MCY/12767912 ")</f>
        <v xml:space="preserve">http://slimages.macys.com/is/image/MCY/12767912 </v>
      </c>
    </row>
    <row r="758" spans="1:12" ht="24.75" x14ac:dyDescent="0.25">
      <c r="A758" s="4" t="s">
        <v>8867</v>
      </c>
      <c r="B758" s="2" t="s">
        <v>1988</v>
      </c>
      <c r="C758" s="3">
        <v>1</v>
      </c>
      <c r="D758" s="5">
        <v>14.99</v>
      </c>
      <c r="E758" s="3" t="s">
        <v>1991</v>
      </c>
      <c r="F758" s="2" t="s">
        <v>26</v>
      </c>
      <c r="G758" s="6" t="s">
        <v>200</v>
      </c>
      <c r="H758" s="2" t="s">
        <v>1473</v>
      </c>
      <c r="I758" s="2" t="s">
        <v>1426</v>
      </c>
      <c r="J758" s="2" t="s">
        <v>19</v>
      </c>
      <c r="K758" s="2" t="s">
        <v>648</v>
      </c>
      <c r="L758" s="7" t="str">
        <f>HYPERLINK("http://slimages.macys.com/is/image/MCY/12767912 ")</f>
        <v xml:space="preserve">http://slimages.macys.com/is/image/MCY/12767912 </v>
      </c>
    </row>
    <row r="759" spans="1:12" ht="24.75" x14ac:dyDescent="0.25">
      <c r="A759" s="4" t="s">
        <v>3213</v>
      </c>
      <c r="B759" s="2" t="s">
        <v>1988</v>
      </c>
      <c r="C759" s="3">
        <v>1</v>
      </c>
      <c r="D759" s="5">
        <v>14.99</v>
      </c>
      <c r="E759" s="3" t="s">
        <v>1991</v>
      </c>
      <c r="F759" s="2" t="s">
        <v>26</v>
      </c>
      <c r="G759" s="6" t="s">
        <v>154</v>
      </c>
      <c r="H759" s="2" t="s">
        <v>1473</v>
      </c>
      <c r="I759" s="2" t="s">
        <v>1426</v>
      </c>
      <c r="J759" s="2" t="s">
        <v>19</v>
      </c>
      <c r="K759" s="2" t="s">
        <v>648</v>
      </c>
      <c r="L759" s="7" t="str">
        <f>HYPERLINK("http://slimages.macys.com/is/image/MCY/12767912 ")</f>
        <v xml:space="preserve">http://slimages.macys.com/is/image/MCY/12767912 </v>
      </c>
    </row>
    <row r="760" spans="1:12" ht="24.75" x14ac:dyDescent="0.25">
      <c r="A760" s="4" t="s">
        <v>8868</v>
      </c>
      <c r="B760" s="2" t="s">
        <v>1988</v>
      </c>
      <c r="C760" s="3">
        <v>2</v>
      </c>
      <c r="D760" s="5">
        <v>14.99</v>
      </c>
      <c r="E760" s="3" t="s">
        <v>1991</v>
      </c>
      <c r="F760" s="2" t="s">
        <v>33</v>
      </c>
      <c r="G760" s="6" t="s">
        <v>234</v>
      </c>
      <c r="H760" s="2" t="s">
        <v>1473</v>
      </c>
      <c r="I760" s="2" t="s">
        <v>1426</v>
      </c>
      <c r="J760" s="2" t="s">
        <v>19</v>
      </c>
      <c r="K760" s="2" t="s">
        <v>648</v>
      </c>
      <c r="L760" s="7" t="str">
        <f>HYPERLINK("http://slimages.macys.com/is/image/MCY/12767912 ")</f>
        <v xml:space="preserve">http://slimages.macys.com/is/image/MCY/12767912 </v>
      </c>
    </row>
    <row r="761" spans="1:12" ht="24.75" x14ac:dyDescent="0.25">
      <c r="A761" s="4" t="s">
        <v>6185</v>
      </c>
      <c r="B761" s="2" t="s">
        <v>3026</v>
      </c>
      <c r="C761" s="3">
        <v>1</v>
      </c>
      <c r="D761" s="5">
        <v>21.99</v>
      </c>
      <c r="E761" s="3" t="s">
        <v>6186</v>
      </c>
      <c r="F761" s="2" t="s">
        <v>252</v>
      </c>
      <c r="G761" s="6"/>
      <c r="H761" s="2" t="s">
        <v>632</v>
      </c>
      <c r="I761" s="2" t="s">
        <v>285</v>
      </c>
      <c r="J761" s="2" t="s">
        <v>19</v>
      </c>
      <c r="K761" s="2" t="s">
        <v>247</v>
      </c>
      <c r="L761" s="7" t="str">
        <f>HYPERLINK("http://slimages.macys.com/is/image/MCY/3742720 ")</f>
        <v xml:space="preserve">http://slimages.macys.com/is/image/MCY/3742720 </v>
      </c>
    </row>
    <row r="762" spans="1:12" ht="24.75" x14ac:dyDescent="0.25">
      <c r="A762" s="4" t="s">
        <v>8869</v>
      </c>
      <c r="B762" s="2" t="s">
        <v>3216</v>
      </c>
      <c r="C762" s="3">
        <v>1</v>
      </c>
      <c r="D762" s="5">
        <v>21.99</v>
      </c>
      <c r="E762" s="3" t="s">
        <v>3217</v>
      </c>
      <c r="F762" s="2" t="s">
        <v>413</v>
      </c>
      <c r="G762" s="6" t="s">
        <v>181</v>
      </c>
      <c r="H762" s="2" t="s">
        <v>284</v>
      </c>
      <c r="I762" s="2" t="s">
        <v>285</v>
      </c>
      <c r="J762" s="2"/>
      <c r="K762" s="2"/>
      <c r="L762" s="7" t="str">
        <f>HYPERLINK("http://slimages.macys.com/is/image/MCY/8549196 ")</f>
        <v xml:space="preserve">http://slimages.macys.com/is/image/MCY/8549196 </v>
      </c>
    </row>
    <row r="763" spans="1:12" ht="24.75" x14ac:dyDescent="0.25">
      <c r="A763" s="4" t="s">
        <v>5224</v>
      </c>
      <c r="B763" s="2" t="s">
        <v>5225</v>
      </c>
      <c r="C763" s="3">
        <v>1</v>
      </c>
      <c r="D763" s="5">
        <v>12.99</v>
      </c>
      <c r="E763" s="3" t="s">
        <v>5226</v>
      </c>
      <c r="F763" s="2" t="s">
        <v>48</v>
      </c>
      <c r="G763" s="6" t="s">
        <v>245</v>
      </c>
      <c r="H763" s="2" t="s">
        <v>194</v>
      </c>
      <c r="I763" s="2" t="s">
        <v>195</v>
      </c>
      <c r="J763" s="2" t="s">
        <v>19</v>
      </c>
      <c r="K763" s="2" t="s">
        <v>495</v>
      </c>
      <c r="L763" s="7" t="str">
        <f>HYPERLINK("http://slimages.macys.com/is/image/MCY/8523520 ")</f>
        <v xml:space="preserve">http://slimages.macys.com/is/image/MCY/8523520 </v>
      </c>
    </row>
    <row r="764" spans="1:12" ht="24.75" x14ac:dyDescent="0.25">
      <c r="A764" s="4" t="s">
        <v>6907</v>
      </c>
      <c r="B764" s="2" t="s">
        <v>2005</v>
      </c>
      <c r="C764" s="3">
        <v>1</v>
      </c>
      <c r="D764" s="5">
        <v>14.99</v>
      </c>
      <c r="E764" s="3" t="s">
        <v>2006</v>
      </c>
      <c r="F764" s="2" t="s">
        <v>1945</v>
      </c>
      <c r="G764" s="6" t="s">
        <v>234</v>
      </c>
      <c r="H764" s="2" t="s">
        <v>1522</v>
      </c>
      <c r="I764" s="2" t="s">
        <v>1469</v>
      </c>
      <c r="J764" s="2" t="s">
        <v>19</v>
      </c>
      <c r="K764" s="2" t="s">
        <v>353</v>
      </c>
      <c r="L764" s="7" t="str">
        <f t="shared" ref="L764:L775" si="10">HYPERLINK("http://slimages.macys.com/is/image/MCY/10743611 ")</f>
        <v xml:space="preserve">http://slimages.macys.com/is/image/MCY/10743611 </v>
      </c>
    </row>
    <row r="765" spans="1:12" ht="24.75" x14ac:dyDescent="0.25">
      <c r="A765" s="4" t="s">
        <v>2004</v>
      </c>
      <c r="B765" s="2" t="s">
        <v>2005</v>
      </c>
      <c r="C765" s="3">
        <v>3</v>
      </c>
      <c r="D765" s="5">
        <v>14.99</v>
      </c>
      <c r="E765" s="3" t="s">
        <v>2006</v>
      </c>
      <c r="F765" s="2" t="s">
        <v>1945</v>
      </c>
      <c r="G765" s="6" t="s">
        <v>156</v>
      </c>
      <c r="H765" s="2" t="s">
        <v>1522</v>
      </c>
      <c r="I765" s="2" t="s">
        <v>1469</v>
      </c>
      <c r="J765" s="2" t="s">
        <v>19</v>
      </c>
      <c r="K765" s="2" t="s">
        <v>353</v>
      </c>
      <c r="L765" s="7" t="str">
        <f t="shared" si="10"/>
        <v xml:space="preserve">http://slimages.macys.com/is/image/MCY/10743611 </v>
      </c>
    </row>
    <row r="766" spans="1:12" ht="24.75" x14ac:dyDescent="0.25">
      <c r="A766" s="4" t="s">
        <v>5232</v>
      </c>
      <c r="B766" s="2" t="s">
        <v>2005</v>
      </c>
      <c r="C766" s="3">
        <v>1</v>
      </c>
      <c r="D766" s="5">
        <v>14.99</v>
      </c>
      <c r="E766" s="3" t="s">
        <v>2006</v>
      </c>
      <c r="F766" s="2" t="s">
        <v>38</v>
      </c>
      <c r="G766" s="6" t="s">
        <v>154</v>
      </c>
      <c r="H766" s="2" t="s">
        <v>1522</v>
      </c>
      <c r="I766" s="2" t="s">
        <v>1469</v>
      </c>
      <c r="J766" s="2" t="s">
        <v>19</v>
      </c>
      <c r="K766" s="2" t="s">
        <v>353</v>
      </c>
      <c r="L766" s="7" t="str">
        <f t="shared" si="10"/>
        <v xml:space="preserve">http://slimages.macys.com/is/image/MCY/10743611 </v>
      </c>
    </row>
    <row r="767" spans="1:12" ht="24.75" x14ac:dyDescent="0.25">
      <c r="A767" s="4" t="s">
        <v>5228</v>
      </c>
      <c r="B767" s="2" t="s">
        <v>2005</v>
      </c>
      <c r="C767" s="3">
        <v>2</v>
      </c>
      <c r="D767" s="5">
        <v>14.99</v>
      </c>
      <c r="E767" s="3" t="s">
        <v>2006</v>
      </c>
      <c r="F767" s="2" t="s">
        <v>74</v>
      </c>
      <c r="G767" s="6" t="s">
        <v>154</v>
      </c>
      <c r="H767" s="2" t="s">
        <v>1522</v>
      </c>
      <c r="I767" s="2" t="s">
        <v>1469</v>
      </c>
      <c r="J767" s="2" t="s">
        <v>19</v>
      </c>
      <c r="K767" s="2" t="s">
        <v>353</v>
      </c>
      <c r="L767" s="7" t="str">
        <f t="shared" si="10"/>
        <v xml:space="preserve">http://slimages.macys.com/is/image/MCY/10743611 </v>
      </c>
    </row>
    <row r="768" spans="1:12" ht="24.75" x14ac:dyDescent="0.25">
      <c r="A768" s="4" t="s">
        <v>2008</v>
      </c>
      <c r="B768" s="2" t="s">
        <v>2005</v>
      </c>
      <c r="C768" s="3">
        <v>1</v>
      </c>
      <c r="D768" s="5">
        <v>14.99</v>
      </c>
      <c r="E768" s="3" t="s">
        <v>2006</v>
      </c>
      <c r="F768" s="2" t="s">
        <v>74</v>
      </c>
      <c r="G768" s="6" t="s">
        <v>156</v>
      </c>
      <c r="H768" s="2" t="s">
        <v>1522</v>
      </c>
      <c r="I768" s="2" t="s">
        <v>1469</v>
      </c>
      <c r="J768" s="2" t="s">
        <v>19</v>
      </c>
      <c r="K768" s="2" t="s">
        <v>353</v>
      </c>
      <c r="L768" s="7" t="str">
        <f t="shared" si="10"/>
        <v xml:space="preserve">http://slimages.macys.com/is/image/MCY/10743611 </v>
      </c>
    </row>
    <row r="769" spans="1:12" ht="24.75" x14ac:dyDescent="0.25">
      <c r="A769" s="4" t="s">
        <v>4254</v>
      </c>
      <c r="B769" s="2" t="s">
        <v>2005</v>
      </c>
      <c r="C769" s="3">
        <v>1</v>
      </c>
      <c r="D769" s="5">
        <v>14.99</v>
      </c>
      <c r="E769" s="3" t="s">
        <v>2006</v>
      </c>
      <c r="F769" s="2" t="s">
        <v>38</v>
      </c>
      <c r="G769" s="6" t="s">
        <v>234</v>
      </c>
      <c r="H769" s="2" t="s">
        <v>1522</v>
      </c>
      <c r="I769" s="2" t="s">
        <v>1469</v>
      </c>
      <c r="J769" s="2" t="s">
        <v>19</v>
      </c>
      <c r="K769" s="2" t="s">
        <v>353</v>
      </c>
      <c r="L769" s="7" t="str">
        <f t="shared" si="10"/>
        <v xml:space="preserve">http://slimages.macys.com/is/image/MCY/10743611 </v>
      </c>
    </row>
    <row r="770" spans="1:12" ht="24.75" x14ac:dyDescent="0.25">
      <c r="A770" s="4" t="s">
        <v>7706</v>
      </c>
      <c r="B770" s="2" t="s">
        <v>2005</v>
      </c>
      <c r="C770" s="3">
        <v>3</v>
      </c>
      <c r="D770" s="5">
        <v>14.99</v>
      </c>
      <c r="E770" s="3" t="s">
        <v>2006</v>
      </c>
      <c r="F770" s="2" t="s">
        <v>74</v>
      </c>
      <c r="G770" s="6" t="s">
        <v>181</v>
      </c>
      <c r="H770" s="2" t="s">
        <v>1522</v>
      </c>
      <c r="I770" s="2" t="s">
        <v>1469</v>
      </c>
      <c r="J770" s="2" t="s">
        <v>19</v>
      </c>
      <c r="K770" s="2" t="s">
        <v>353</v>
      </c>
      <c r="L770" s="7" t="str">
        <f t="shared" si="10"/>
        <v xml:space="preserve">http://slimages.macys.com/is/image/MCY/10743611 </v>
      </c>
    </row>
    <row r="771" spans="1:12" ht="24.75" x14ac:dyDescent="0.25">
      <c r="A771" s="4" t="s">
        <v>5229</v>
      </c>
      <c r="B771" s="2" t="s">
        <v>2005</v>
      </c>
      <c r="C771" s="3">
        <v>1</v>
      </c>
      <c r="D771" s="5">
        <v>14.99</v>
      </c>
      <c r="E771" s="3" t="s">
        <v>2006</v>
      </c>
      <c r="F771" s="2" t="s">
        <v>74</v>
      </c>
      <c r="G771" s="6" t="s">
        <v>200</v>
      </c>
      <c r="H771" s="2" t="s">
        <v>1522</v>
      </c>
      <c r="I771" s="2" t="s">
        <v>1469</v>
      </c>
      <c r="J771" s="2" t="s">
        <v>19</v>
      </c>
      <c r="K771" s="2" t="s">
        <v>353</v>
      </c>
      <c r="L771" s="7" t="str">
        <f t="shared" si="10"/>
        <v xml:space="preserve">http://slimages.macys.com/is/image/MCY/10743611 </v>
      </c>
    </row>
    <row r="772" spans="1:12" ht="24.75" x14ac:dyDescent="0.25">
      <c r="A772" s="4" t="s">
        <v>2007</v>
      </c>
      <c r="B772" s="2" t="s">
        <v>2005</v>
      </c>
      <c r="C772" s="3">
        <v>1</v>
      </c>
      <c r="D772" s="5">
        <v>14.99</v>
      </c>
      <c r="E772" s="3" t="s">
        <v>2006</v>
      </c>
      <c r="F772" s="2" t="s">
        <v>64</v>
      </c>
      <c r="G772" s="6" t="s">
        <v>245</v>
      </c>
      <c r="H772" s="2" t="s">
        <v>1522</v>
      </c>
      <c r="I772" s="2" t="s">
        <v>1469</v>
      </c>
      <c r="J772" s="2" t="s">
        <v>19</v>
      </c>
      <c r="K772" s="2" t="s">
        <v>353</v>
      </c>
      <c r="L772" s="7" t="str">
        <f t="shared" si="10"/>
        <v xml:space="preserve">http://slimages.macys.com/is/image/MCY/10743611 </v>
      </c>
    </row>
    <row r="773" spans="1:12" ht="24.75" x14ac:dyDescent="0.25">
      <c r="A773" s="4" t="s">
        <v>6908</v>
      </c>
      <c r="B773" s="2" t="s">
        <v>2005</v>
      </c>
      <c r="C773" s="3">
        <v>1</v>
      </c>
      <c r="D773" s="5">
        <v>14.99</v>
      </c>
      <c r="E773" s="3" t="s">
        <v>2006</v>
      </c>
      <c r="F773" s="2" t="s">
        <v>26</v>
      </c>
      <c r="G773" s="6" t="s">
        <v>154</v>
      </c>
      <c r="H773" s="2" t="s">
        <v>1522</v>
      </c>
      <c r="I773" s="2" t="s">
        <v>1469</v>
      </c>
      <c r="J773" s="2" t="s">
        <v>19</v>
      </c>
      <c r="K773" s="2" t="s">
        <v>353</v>
      </c>
      <c r="L773" s="7" t="str">
        <f t="shared" si="10"/>
        <v xml:space="preserve">http://slimages.macys.com/is/image/MCY/10743611 </v>
      </c>
    </row>
    <row r="774" spans="1:12" ht="24.75" x14ac:dyDescent="0.25">
      <c r="A774" s="4" t="s">
        <v>3222</v>
      </c>
      <c r="B774" s="2" t="s">
        <v>2005</v>
      </c>
      <c r="C774" s="3">
        <v>1</v>
      </c>
      <c r="D774" s="5">
        <v>14.99</v>
      </c>
      <c r="E774" s="3" t="s">
        <v>2006</v>
      </c>
      <c r="F774" s="2" t="s">
        <v>15</v>
      </c>
      <c r="G774" s="6" t="s">
        <v>154</v>
      </c>
      <c r="H774" s="2" t="s">
        <v>1522</v>
      </c>
      <c r="I774" s="2" t="s">
        <v>1469</v>
      </c>
      <c r="J774" s="2" t="s">
        <v>19</v>
      </c>
      <c r="K774" s="2" t="s">
        <v>353</v>
      </c>
      <c r="L774" s="7" t="str">
        <f t="shared" si="10"/>
        <v xml:space="preserve">http://slimages.macys.com/is/image/MCY/10743611 </v>
      </c>
    </row>
    <row r="775" spans="1:12" ht="24.75" x14ac:dyDescent="0.25">
      <c r="A775" s="4" t="s">
        <v>3223</v>
      </c>
      <c r="B775" s="2" t="s">
        <v>2005</v>
      </c>
      <c r="C775" s="3">
        <v>3</v>
      </c>
      <c r="D775" s="5">
        <v>14.99</v>
      </c>
      <c r="E775" s="3" t="s">
        <v>2006</v>
      </c>
      <c r="F775" s="2" t="s">
        <v>74</v>
      </c>
      <c r="G775" s="6" t="s">
        <v>234</v>
      </c>
      <c r="H775" s="2" t="s">
        <v>1522</v>
      </c>
      <c r="I775" s="2" t="s">
        <v>1469</v>
      </c>
      <c r="J775" s="2" t="s">
        <v>19</v>
      </c>
      <c r="K775" s="2" t="s">
        <v>353</v>
      </c>
      <c r="L775" s="7" t="str">
        <f t="shared" si="10"/>
        <v xml:space="preserve">http://slimages.macys.com/is/image/MCY/10743611 </v>
      </c>
    </row>
    <row r="776" spans="1:12" ht="24.75" x14ac:dyDescent="0.25">
      <c r="A776" s="4" t="s">
        <v>4265</v>
      </c>
      <c r="B776" s="2" t="s">
        <v>3226</v>
      </c>
      <c r="C776" s="3">
        <v>1</v>
      </c>
      <c r="D776" s="5">
        <v>12.99</v>
      </c>
      <c r="E776" s="3" t="s">
        <v>3227</v>
      </c>
      <c r="F776" s="2" t="s">
        <v>33</v>
      </c>
      <c r="G776" s="6"/>
      <c r="H776" s="2" t="s">
        <v>312</v>
      </c>
      <c r="I776" s="2" t="s">
        <v>195</v>
      </c>
      <c r="J776" s="2" t="s">
        <v>19</v>
      </c>
      <c r="K776" s="2" t="s">
        <v>648</v>
      </c>
      <c r="L776" s="7" t="str">
        <f>HYPERLINK("http://slimages.macys.com/is/image/MCY/12063878 ")</f>
        <v xml:space="preserve">http://slimages.macys.com/is/image/MCY/12063878 </v>
      </c>
    </row>
    <row r="777" spans="1:12" ht="24.75" x14ac:dyDescent="0.25">
      <c r="A777" s="4" t="s">
        <v>8870</v>
      </c>
      <c r="B777" s="2" t="s">
        <v>3229</v>
      </c>
      <c r="C777" s="3">
        <v>1</v>
      </c>
      <c r="D777" s="5">
        <v>12.99</v>
      </c>
      <c r="E777" s="3" t="s">
        <v>3230</v>
      </c>
      <c r="F777" s="2" t="s">
        <v>752</v>
      </c>
      <c r="G777" s="6"/>
      <c r="H777" s="2" t="s">
        <v>312</v>
      </c>
      <c r="I777" s="2" t="s">
        <v>195</v>
      </c>
      <c r="J777" s="2" t="s">
        <v>19</v>
      </c>
      <c r="K777" s="2" t="s">
        <v>648</v>
      </c>
      <c r="L777" s="7" t="str">
        <f>HYPERLINK("http://slimages.macys.com/is/image/MCY/12850773 ")</f>
        <v xml:space="preserve">http://slimages.macys.com/is/image/MCY/12850773 </v>
      </c>
    </row>
    <row r="778" spans="1:12" ht="24.75" x14ac:dyDescent="0.25">
      <c r="A778" s="4" t="s">
        <v>6211</v>
      </c>
      <c r="B778" s="2" t="s">
        <v>6208</v>
      </c>
      <c r="C778" s="3">
        <v>1</v>
      </c>
      <c r="D778" s="5">
        <v>12.99</v>
      </c>
      <c r="E778" s="3">
        <v>100007532</v>
      </c>
      <c r="F778" s="2" t="s">
        <v>64</v>
      </c>
      <c r="G778" s="6" t="s">
        <v>154</v>
      </c>
      <c r="H778" s="2" t="s">
        <v>194</v>
      </c>
      <c r="I778" s="2" t="s">
        <v>195</v>
      </c>
      <c r="J778" s="2"/>
      <c r="K778" s="2"/>
      <c r="L778" s="7" t="str">
        <f>HYPERLINK("http://slimages.macys.com/is/image/MCY/8805211 ")</f>
        <v xml:space="preserve">http://slimages.macys.com/is/image/MCY/8805211 </v>
      </c>
    </row>
    <row r="779" spans="1:12" ht="24.75" x14ac:dyDescent="0.25">
      <c r="A779" s="4" t="s">
        <v>8871</v>
      </c>
      <c r="B779" s="2" t="s">
        <v>4367</v>
      </c>
      <c r="C779" s="3">
        <v>2</v>
      </c>
      <c r="D779" s="5">
        <v>9.99</v>
      </c>
      <c r="E779" s="3" t="s">
        <v>4368</v>
      </c>
      <c r="F779" s="2" t="s">
        <v>33</v>
      </c>
      <c r="G779" s="6" t="s">
        <v>200</v>
      </c>
      <c r="H779" s="2" t="s">
        <v>194</v>
      </c>
      <c r="I779" s="2" t="s">
        <v>195</v>
      </c>
      <c r="J779" s="2" t="s">
        <v>19</v>
      </c>
      <c r="K779" s="2" t="s">
        <v>247</v>
      </c>
      <c r="L779" s="7" t="str">
        <f>HYPERLINK("http://slimages.macys.com/is/image/MCY/13368198 ")</f>
        <v xml:space="preserve">http://slimages.macys.com/is/image/MCY/13368198 </v>
      </c>
    </row>
    <row r="780" spans="1:12" ht="24.75" x14ac:dyDescent="0.25">
      <c r="A780" s="4" t="s">
        <v>8872</v>
      </c>
      <c r="B780" s="2" t="s">
        <v>4277</v>
      </c>
      <c r="C780" s="3">
        <v>1</v>
      </c>
      <c r="D780" s="5">
        <v>12.99</v>
      </c>
      <c r="E780" s="3" t="s">
        <v>4278</v>
      </c>
      <c r="F780" s="2"/>
      <c r="G780" s="6" t="s">
        <v>181</v>
      </c>
      <c r="H780" s="2" t="s">
        <v>1473</v>
      </c>
      <c r="I780" s="2" t="s">
        <v>1426</v>
      </c>
      <c r="J780" s="2" t="s">
        <v>19</v>
      </c>
      <c r="K780" s="2" t="s">
        <v>648</v>
      </c>
      <c r="L780" s="7" t="str">
        <f>HYPERLINK("http://slimages.macys.com/is/image/MCY/9770425 ")</f>
        <v xml:space="preserve">http://slimages.macys.com/is/image/MCY/9770425 </v>
      </c>
    </row>
    <row r="781" spans="1:12" ht="24.75" x14ac:dyDescent="0.25">
      <c r="A781" s="4" t="s">
        <v>8873</v>
      </c>
      <c r="B781" s="2" t="s">
        <v>4277</v>
      </c>
      <c r="C781" s="3">
        <v>1</v>
      </c>
      <c r="D781" s="5">
        <v>12.99</v>
      </c>
      <c r="E781" s="3" t="s">
        <v>4278</v>
      </c>
      <c r="F781" s="2" t="s">
        <v>74</v>
      </c>
      <c r="G781" s="6" t="s">
        <v>156</v>
      </c>
      <c r="H781" s="2" t="s">
        <v>1473</v>
      </c>
      <c r="I781" s="2" t="s">
        <v>1426</v>
      </c>
      <c r="J781" s="2" t="s">
        <v>19</v>
      </c>
      <c r="K781" s="2" t="s">
        <v>648</v>
      </c>
      <c r="L781" s="7" t="str">
        <f>HYPERLINK("http://slimages.macys.com/is/image/MCY/9770425 ")</f>
        <v xml:space="preserve">http://slimages.macys.com/is/image/MCY/9770425 </v>
      </c>
    </row>
    <row r="782" spans="1:12" ht="24.75" x14ac:dyDescent="0.25">
      <c r="A782" s="4" t="s">
        <v>8874</v>
      </c>
      <c r="B782" s="2" t="s">
        <v>3237</v>
      </c>
      <c r="C782" s="3">
        <v>1</v>
      </c>
      <c r="D782" s="5">
        <v>9.99</v>
      </c>
      <c r="E782" s="3" t="s">
        <v>3238</v>
      </c>
      <c r="F782" s="2" t="s">
        <v>70</v>
      </c>
      <c r="G782" s="6" t="s">
        <v>154</v>
      </c>
      <c r="H782" s="2" t="s">
        <v>194</v>
      </c>
      <c r="I782" s="2" t="s">
        <v>195</v>
      </c>
      <c r="J782" s="2" t="s">
        <v>19</v>
      </c>
      <c r="K782" s="2" t="s">
        <v>247</v>
      </c>
      <c r="L782" s="7" t="str">
        <f>HYPERLINK("http://slimages.macys.com/is/image/MCY/15522855 ")</f>
        <v xml:space="preserve">http://slimages.macys.com/is/image/MCY/15522855 </v>
      </c>
    </row>
    <row r="783" spans="1:12" ht="24.75" x14ac:dyDescent="0.25">
      <c r="A783" s="4" t="s">
        <v>8875</v>
      </c>
      <c r="B783" s="2" t="s">
        <v>2036</v>
      </c>
      <c r="C783" s="3">
        <v>1</v>
      </c>
      <c r="D783" s="5">
        <v>12.99</v>
      </c>
      <c r="E783" s="3" t="s">
        <v>2037</v>
      </c>
      <c r="F783" s="2" t="s">
        <v>170</v>
      </c>
      <c r="G783" s="6" t="s">
        <v>245</v>
      </c>
      <c r="H783" s="2" t="s">
        <v>194</v>
      </c>
      <c r="I783" s="2" t="s">
        <v>195</v>
      </c>
      <c r="J783" s="2" t="s">
        <v>19</v>
      </c>
      <c r="K783" s="2" t="s">
        <v>495</v>
      </c>
      <c r="L783" s="7" t="str">
        <f>HYPERLINK("http://slimages.macys.com/is/image/MCY/10191342 ")</f>
        <v xml:space="preserve">http://slimages.macys.com/is/image/MCY/10191342 </v>
      </c>
    </row>
    <row r="784" spans="1:12" ht="24.75" x14ac:dyDescent="0.25">
      <c r="A784" s="4" t="s">
        <v>4300</v>
      </c>
      <c r="B784" s="2" t="s">
        <v>2045</v>
      </c>
      <c r="C784" s="3">
        <v>1</v>
      </c>
      <c r="D784" s="5">
        <v>9.99</v>
      </c>
      <c r="E784" s="3" t="s">
        <v>2046</v>
      </c>
      <c r="F784" s="2" t="s">
        <v>94</v>
      </c>
      <c r="G784" s="6" t="s">
        <v>181</v>
      </c>
      <c r="H784" s="2" t="s">
        <v>1473</v>
      </c>
      <c r="I784" s="2" t="s">
        <v>1426</v>
      </c>
      <c r="J784" s="2" t="s">
        <v>19</v>
      </c>
      <c r="K784" s="2" t="s">
        <v>495</v>
      </c>
      <c r="L784" s="7" t="str">
        <f>HYPERLINK("http://slimages.macys.com/is/image/MCY/11533691 ")</f>
        <v xml:space="preserve">http://slimages.macys.com/is/image/MCY/11533691 </v>
      </c>
    </row>
    <row r="785" spans="1:12" ht="24.75" x14ac:dyDescent="0.25">
      <c r="A785" s="4" t="s">
        <v>8388</v>
      </c>
      <c r="B785" s="2" t="s">
        <v>2061</v>
      </c>
      <c r="C785" s="3">
        <v>1</v>
      </c>
      <c r="D785" s="5">
        <v>9.99</v>
      </c>
      <c r="E785" s="3" t="s">
        <v>4306</v>
      </c>
      <c r="F785" s="2" t="s">
        <v>413</v>
      </c>
      <c r="G785" s="6" t="s">
        <v>154</v>
      </c>
      <c r="H785" s="2" t="s">
        <v>1473</v>
      </c>
      <c r="I785" s="2" t="s">
        <v>1426</v>
      </c>
      <c r="J785" s="2" t="s">
        <v>19</v>
      </c>
      <c r="K785" s="2" t="s">
        <v>495</v>
      </c>
      <c r="L785" s="7" t="str">
        <f>HYPERLINK("http://slimages.macys.com/is/image/MCY/11915620 ")</f>
        <v xml:space="preserve">http://slimages.macys.com/is/image/MCY/11915620 </v>
      </c>
    </row>
    <row r="786" spans="1:12" ht="24.75" x14ac:dyDescent="0.25">
      <c r="A786" s="4" t="s">
        <v>4310</v>
      </c>
      <c r="B786" s="2" t="s">
        <v>2061</v>
      </c>
      <c r="C786" s="3">
        <v>2</v>
      </c>
      <c r="D786" s="5">
        <v>9.99</v>
      </c>
      <c r="E786" s="3" t="s">
        <v>4306</v>
      </c>
      <c r="F786" s="2" t="s">
        <v>413</v>
      </c>
      <c r="G786" s="6" t="s">
        <v>156</v>
      </c>
      <c r="H786" s="2" t="s">
        <v>1473</v>
      </c>
      <c r="I786" s="2" t="s">
        <v>1426</v>
      </c>
      <c r="J786" s="2" t="s">
        <v>19</v>
      </c>
      <c r="K786" s="2" t="s">
        <v>495</v>
      </c>
      <c r="L786" s="7" t="str">
        <f>HYPERLINK("http://slimages.macys.com/is/image/MCY/11915620 ")</f>
        <v xml:space="preserve">http://slimages.macys.com/is/image/MCY/11915620 </v>
      </c>
    </row>
    <row r="787" spans="1:12" ht="24.75" x14ac:dyDescent="0.25">
      <c r="A787" s="4" t="s">
        <v>4297</v>
      </c>
      <c r="B787" s="2" t="s">
        <v>2045</v>
      </c>
      <c r="C787" s="3">
        <v>1</v>
      </c>
      <c r="D787" s="5">
        <v>9.99</v>
      </c>
      <c r="E787" s="3" t="s">
        <v>2046</v>
      </c>
      <c r="F787" s="2" t="s">
        <v>94</v>
      </c>
      <c r="G787" s="6" t="s">
        <v>156</v>
      </c>
      <c r="H787" s="2" t="s">
        <v>1473</v>
      </c>
      <c r="I787" s="2" t="s">
        <v>1426</v>
      </c>
      <c r="J787" s="2" t="s">
        <v>19</v>
      </c>
      <c r="K787" s="2" t="s">
        <v>495</v>
      </c>
      <c r="L787" s="7" t="str">
        <f>HYPERLINK("http://slimages.macys.com/is/image/MCY/11533691 ")</f>
        <v xml:space="preserve">http://slimages.macys.com/is/image/MCY/11533691 </v>
      </c>
    </row>
    <row r="788" spans="1:12" ht="24.75" x14ac:dyDescent="0.25">
      <c r="A788" s="4" t="s">
        <v>8876</v>
      </c>
      <c r="B788" s="2" t="s">
        <v>8877</v>
      </c>
      <c r="C788" s="3">
        <v>1</v>
      </c>
      <c r="D788" s="5">
        <v>9.99</v>
      </c>
      <c r="E788" s="3" t="s">
        <v>8878</v>
      </c>
      <c r="F788" s="2" t="s">
        <v>15</v>
      </c>
      <c r="G788" s="6" t="s">
        <v>156</v>
      </c>
      <c r="H788" s="2" t="s">
        <v>1473</v>
      </c>
      <c r="I788" s="2" t="s">
        <v>1426</v>
      </c>
      <c r="J788" s="2" t="s">
        <v>19</v>
      </c>
      <c r="K788" s="2" t="s">
        <v>495</v>
      </c>
      <c r="L788" s="7" t="str">
        <f>HYPERLINK("http://slimages.macys.com/is/image/MCY/11029761 ")</f>
        <v xml:space="preserve">http://slimages.macys.com/is/image/MCY/11029761 </v>
      </c>
    </row>
    <row r="789" spans="1:12" ht="24.75" x14ac:dyDescent="0.25">
      <c r="A789" s="4" t="s">
        <v>2047</v>
      </c>
      <c r="B789" s="2" t="s">
        <v>2048</v>
      </c>
      <c r="C789" s="3">
        <v>1</v>
      </c>
      <c r="D789" s="5">
        <v>9.99</v>
      </c>
      <c r="E789" s="3" t="s">
        <v>2049</v>
      </c>
      <c r="F789" s="2" t="s">
        <v>413</v>
      </c>
      <c r="G789" s="6" t="s">
        <v>154</v>
      </c>
      <c r="H789" s="2" t="s">
        <v>1473</v>
      </c>
      <c r="I789" s="2" t="s">
        <v>1426</v>
      </c>
      <c r="J789" s="2" t="s">
        <v>19</v>
      </c>
      <c r="K789" s="2" t="s">
        <v>495</v>
      </c>
      <c r="L789" s="7" t="str">
        <f>HYPERLINK("http://slimages.macys.com/is/image/MCY/11830759 ")</f>
        <v xml:space="preserve">http://slimages.macys.com/is/image/MCY/11830759 </v>
      </c>
    </row>
    <row r="790" spans="1:12" ht="24.75" x14ac:dyDescent="0.25">
      <c r="A790" s="4" t="s">
        <v>8879</v>
      </c>
      <c r="B790" s="2" t="s">
        <v>2061</v>
      </c>
      <c r="C790" s="3">
        <v>1</v>
      </c>
      <c r="D790" s="5">
        <v>9.99</v>
      </c>
      <c r="E790" s="3" t="s">
        <v>4306</v>
      </c>
      <c r="F790" s="2" t="s">
        <v>413</v>
      </c>
      <c r="G790" s="6" t="s">
        <v>181</v>
      </c>
      <c r="H790" s="2" t="s">
        <v>1473</v>
      </c>
      <c r="I790" s="2" t="s">
        <v>1426</v>
      </c>
      <c r="J790" s="2" t="s">
        <v>19</v>
      </c>
      <c r="K790" s="2" t="s">
        <v>495</v>
      </c>
      <c r="L790" s="7" t="str">
        <f>HYPERLINK("http://slimages.macys.com/is/image/MCY/11915620 ")</f>
        <v xml:space="preserve">http://slimages.macys.com/is/image/MCY/11915620 </v>
      </c>
    </row>
    <row r="791" spans="1:12" ht="24.75" x14ac:dyDescent="0.25">
      <c r="A791" s="4" t="s">
        <v>2044</v>
      </c>
      <c r="B791" s="2" t="s">
        <v>2045</v>
      </c>
      <c r="C791" s="3">
        <v>3</v>
      </c>
      <c r="D791" s="5">
        <v>9.99</v>
      </c>
      <c r="E791" s="3" t="s">
        <v>2046</v>
      </c>
      <c r="F791" s="2" t="s">
        <v>94</v>
      </c>
      <c r="G791" s="6" t="s">
        <v>154</v>
      </c>
      <c r="H791" s="2" t="s">
        <v>1473</v>
      </c>
      <c r="I791" s="2" t="s">
        <v>1426</v>
      </c>
      <c r="J791" s="2" t="s">
        <v>19</v>
      </c>
      <c r="K791" s="2" t="s">
        <v>495</v>
      </c>
      <c r="L791" s="7" t="str">
        <f>HYPERLINK("http://slimages.macys.com/is/image/MCY/11533691 ")</f>
        <v xml:space="preserve">http://slimages.macys.com/is/image/MCY/11533691 </v>
      </c>
    </row>
    <row r="792" spans="1:12" ht="24.75" x14ac:dyDescent="0.25">
      <c r="A792" s="4" t="s">
        <v>4304</v>
      </c>
      <c r="B792" s="2" t="s">
        <v>2045</v>
      </c>
      <c r="C792" s="3">
        <v>3</v>
      </c>
      <c r="D792" s="5">
        <v>9.99</v>
      </c>
      <c r="E792" s="3" t="s">
        <v>2046</v>
      </c>
      <c r="F792" s="2" t="s">
        <v>94</v>
      </c>
      <c r="G792" s="6" t="s">
        <v>234</v>
      </c>
      <c r="H792" s="2" t="s">
        <v>1473</v>
      </c>
      <c r="I792" s="2" t="s">
        <v>1426</v>
      </c>
      <c r="J792" s="2" t="s">
        <v>19</v>
      </c>
      <c r="K792" s="2" t="s">
        <v>495</v>
      </c>
      <c r="L792" s="7" t="str">
        <f>HYPERLINK("http://slimages.macys.com/is/image/MCY/11533691 ")</f>
        <v xml:space="preserve">http://slimages.macys.com/is/image/MCY/11533691 </v>
      </c>
    </row>
    <row r="793" spans="1:12" ht="24.75" x14ac:dyDescent="0.25">
      <c r="A793" s="4" t="s">
        <v>8880</v>
      </c>
      <c r="B793" s="2" t="s">
        <v>8881</v>
      </c>
      <c r="C793" s="3">
        <v>1</v>
      </c>
      <c r="D793" s="5">
        <v>9.99</v>
      </c>
      <c r="E793" s="3" t="s">
        <v>8882</v>
      </c>
      <c r="F793" s="2" t="s">
        <v>1322</v>
      </c>
      <c r="G793" s="6" t="s">
        <v>156</v>
      </c>
      <c r="H793" s="2" t="s">
        <v>1473</v>
      </c>
      <c r="I793" s="2" t="s">
        <v>1426</v>
      </c>
      <c r="J793" s="2" t="s">
        <v>19</v>
      </c>
      <c r="K793" s="2" t="s">
        <v>495</v>
      </c>
      <c r="L793" s="7" t="str">
        <f>HYPERLINK("http://slimages.macys.com/is/image/MCY/11029775 ")</f>
        <v xml:space="preserve">http://slimages.macys.com/is/image/MCY/11029775 </v>
      </c>
    </row>
    <row r="794" spans="1:12" ht="24.75" x14ac:dyDescent="0.25">
      <c r="A794" s="4" t="s">
        <v>8883</v>
      </c>
      <c r="B794" s="2" t="s">
        <v>6930</v>
      </c>
      <c r="C794" s="3">
        <v>1</v>
      </c>
      <c r="D794" s="5">
        <v>9.99</v>
      </c>
      <c r="E794" s="3" t="s">
        <v>8884</v>
      </c>
      <c r="F794" s="2" t="s">
        <v>15</v>
      </c>
      <c r="G794" s="6" t="s">
        <v>187</v>
      </c>
      <c r="H794" s="2" t="s">
        <v>1425</v>
      </c>
      <c r="I794" s="2" t="s">
        <v>1426</v>
      </c>
      <c r="J794" s="2" t="s">
        <v>19</v>
      </c>
      <c r="K794" s="2" t="s">
        <v>495</v>
      </c>
      <c r="L794" s="7" t="str">
        <f>HYPERLINK("http://slimages.macys.com/is/image/MCY/11269936 ")</f>
        <v xml:space="preserve">http://slimages.macys.com/is/image/MCY/11269936 </v>
      </c>
    </row>
    <row r="795" spans="1:12" ht="24.75" x14ac:dyDescent="0.25">
      <c r="A795" s="4" t="s">
        <v>8885</v>
      </c>
      <c r="B795" s="2" t="s">
        <v>6930</v>
      </c>
      <c r="C795" s="3">
        <v>2</v>
      </c>
      <c r="D795" s="5">
        <v>9.99</v>
      </c>
      <c r="E795" s="3" t="s">
        <v>8884</v>
      </c>
      <c r="F795" s="2" t="s">
        <v>15</v>
      </c>
      <c r="G795" s="6"/>
      <c r="H795" s="2" t="s">
        <v>1425</v>
      </c>
      <c r="I795" s="2" t="s">
        <v>1426</v>
      </c>
      <c r="J795" s="2" t="s">
        <v>19</v>
      </c>
      <c r="K795" s="2" t="s">
        <v>495</v>
      </c>
      <c r="L795" s="7" t="str">
        <f>HYPERLINK("http://slimages.macys.com/is/image/MCY/11269936 ")</f>
        <v xml:space="preserve">http://slimages.macys.com/is/image/MCY/11269936 </v>
      </c>
    </row>
    <row r="796" spans="1:12" ht="24.75" x14ac:dyDescent="0.25">
      <c r="A796" s="4" t="s">
        <v>8886</v>
      </c>
      <c r="B796" s="2" t="s">
        <v>6930</v>
      </c>
      <c r="C796" s="3">
        <v>2</v>
      </c>
      <c r="D796" s="5">
        <v>9.99</v>
      </c>
      <c r="E796" s="3" t="s">
        <v>8884</v>
      </c>
      <c r="F796" s="2" t="s">
        <v>15</v>
      </c>
      <c r="G796" s="6"/>
      <c r="H796" s="2" t="s">
        <v>1425</v>
      </c>
      <c r="I796" s="2" t="s">
        <v>1426</v>
      </c>
      <c r="J796" s="2" t="s">
        <v>19</v>
      </c>
      <c r="K796" s="2" t="s">
        <v>495</v>
      </c>
      <c r="L796" s="7" t="str">
        <f>HYPERLINK("http://slimages.macys.com/is/image/MCY/11269936 ")</f>
        <v xml:space="preserve">http://slimages.macys.com/is/image/MCY/11269936 </v>
      </c>
    </row>
    <row r="797" spans="1:12" ht="24.75" x14ac:dyDescent="0.25">
      <c r="A797" s="4" t="s">
        <v>8887</v>
      </c>
      <c r="B797" s="2" t="s">
        <v>2064</v>
      </c>
      <c r="C797" s="3">
        <v>1</v>
      </c>
      <c r="D797" s="5">
        <v>9.99</v>
      </c>
      <c r="E797" s="3" t="s">
        <v>3279</v>
      </c>
      <c r="F797" s="2" t="s">
        <v>1788</v>
      </c>
      <c r="G797" s="6" t="s">
        <v>245</v>
      </c>
      <c r="H797" s="2" t="s">
        <v>1473</v>
      </c>
      <c r="I797" s="2" t="s">
        <v>1426</v>
      </c>
      <c r="J797" s="2" t="s">
        <v>19</v>
      </c>
      <c r="K797" s="2" t="s">
        <v>990</v>
      </c>
      <c r="L797" s="7" t="str">
        <f>HYPERLINK("http://slimages.macys.com/is/image/MCY/11130625 ")</f>
        <v xml:space="preserve">http://slimages.macys.com/is/image/MCY/11130625 </v>
      </c>
    </row>
    <row r="798" spans="1:12" ht="24.75" x14ac:dyDescent="0.25">
      <c r="A798" s="4" t="s">
        <v>5276</v>
      </c>
      <c r="B798" s="2" t="s">
        <v>2064</v>
      </c>
      <c r="C798" s="3">
        <v>1</v>
      </c>
      <c r="D798" s="5">
        <v>9.99</v>
      </c>
      <c r="E798" s="3" t="s">
        <v>3279</v>
      </c>
      <c r="F798" s="2" t="s">
        <v>1914</v>
      </c>
      <c r="G798" s="6" t="s">
        <v>181</v>
      </c>
      <c r="H798" s="2" t="s">
        <v>1473</v>
      </c>
      <c r="I798" s="2" t="s">
        <v>1426</v>
      </c>
      <c r="J798" s="2" t="s">
        <v>19</v>
      </c>
      <c r="K798" s="2" t="s">
        <v>990</v>
      </c>
      <c r="L798" s="7" t="str">
        <f>HYPERLINK("http://slimages.macys.com/is/image/MCY/11130625 ")</f>
        <v xml:space="preserve">http://slimages.macys.com/is/image/MCY/11130625 </v>
      </c>
    </row>
    <row r="799" spans="1:12" ht="24.75" x14ac:dyDescent="0.25">
      <c r="A799" s="4" t="s">
        <v>8393</v>
      </c>
      <c r="B799" s="2" t="s">
        <v>2064</v>
      </c>
      <c r="C799" s="3">
        <v>1</v>
      </c>
      <c r="D799" s="5">
        <v>9.99</v>
      </c>
      <c r="E799" s="3" t="s">
        <v>3279</v>
      </c>
      <c r="F799" s="2" t="s">
        <v>1914</v>
      </c>
      <c r="G799" s="6" t="s">
        <v>234</v>
      </c>
      <c r="H799" s="2" t="s">
        <v>1473</v>
      </c>
      <c r="I799" s="2" t="s">
        <v>1426</v>
      </c>
      <c r="J799" s="2" t="s">
        <v>19</v>
      </c>
      <c r="K799" s="2" t="s">
        <v>990</v>
      </c>
      <c r="L799" s="7" t="str">
        <f>HYPERLINK("http://slimages.macys.com/is/image/MCY/11130625 ")</f>
        <v xml:space="preserve">http://slimages.macys.com/is/image/MCY/11130625 </v>
      </c>
    </row>
    <row r="800" spans="1:12" ht="24.75" x14ac:dyDescent="0.25">
      <c r="A800" s="4" t="s">
        <v>7734</v>
      </c>
      <c r="B800" s="2" t="s">
        <v>2064</v>
      </c>
      <c r="C800" s="3">
        <v>1</v>
      </c>
      <c r="D800" s="5">
        <v>9.99</v>
      </c>
      <c r="E800" s="3" t="s">
        <v>3279</v>
      </c>
      <c r="F800" s="2" t="s">
        <v>1914</v>
      </c>
      <c r="G800" s="6" t="s">
        <v>154</v>
      </c>
      <c r="H800" s="2" t="s">
        <v>1473</v>
      </c>
      <c r="I800" s="2" t="s">
        <v>1426</v>
      </c>
      <c r="J800" s="2" t="s">
        <v>19</v>
      </c>
      <c r="K800" s="2" t="s">
        <v>990</v>
      </c>
      <c r="L800" s="7" t="str">
        <f>HYPERLINK("http://slimages.macys.com/is/image/MCY/11130625 ")</f>
        <v xml:space="preserve">http://slimages.macys.com/is/image/MCY/11130625 </v>
      </c>
    </row>
    <row r="801" spans="1:12" ht="24.75" x14ac:dyDescent="0.25">
      <c r="A801" s="4" t="s">
        <v>8888</v>
      </c>
      <c r="B801" s="2" t="s">
        <v>4318</v>
      </c>
      <c r="C801" s="3">
        <v>1</v>
      </c>
      <c r="D801" s="5">
        <v>9.99</v>
      </c>
      <c r="E801" s="3" t="s">
        <v>4319</v>
      </c>
      <c r="F801" s="2"/>
      <c r="G801" s="6" t="s">
        <v>154</v>
      </c>
      <c r="H801" s="2" t="s">
        <v>1473</v>
      </c>
      <c r="I801" s="2" t="s">
        <v>1426</v>
      </c>
      <c r="J801" s="2" t="s">
        <v>19</v>
      </c>
      <c r="K801" s="2" t="s">
        <v>648</v>
      </c>
      <c r="L801" s="7" t="str">
        <f>HYPERLINK("http://slimages.macys.com/is/image/MCY/13301237 ")</f>
        <v xml:space="preserve">http://slimages.macys.com/is/image/MCY/13301237 </v>
      </c>
    </row>
    <row r="802" spans="1:12" ht="24.75" x14ac:dyDescent="0.25">
      <c r="A802" s="4" t="s">
        <v>8889</v>
      </c>
      <c r="B802" s="2" t="s">
        <v>4326</v>
      </c>
      <c r="C802" s="3">
        <v>1</v>
      </c>
      <c r="D802" s="5">
        <v>9.99</v>
      </c>
      <c r="E802" s="3" t="s">
        <v>8890</v>
      </c>
      <c r="F802" s="2" t="s">
        <v>74</v>
      </c>
      <c r="G802" s="6" t="s">
        <v>219</v>
      </c>
      <c r="H802" s="2" t="s">
        <v>1425</v>
      </c>
      <c r="I802" s="2" t="s">
        <v>1426</v>
      </c>
      <c r="J802" s="2" t="s">
        <v>19</v>
      </c>
      <c r="K802" s="2" t="s">
        <v>107</v>
      </c>
      <c r="L802" s="7" t="str">
        <f>HYPERLINK("http://slimages.macys.com/is/image/MCY/10742492 ")</f>
        <v xml:space="preserve">http://slimages.macys.com/is/image/MCY/10742492 </v>
      </c>
    </row>
    <row r="803" spans="1:12" ht="24.75" x14ac:dyDescent="0.25">
      <c r="A803" s="4" t="s">
        <v>8396</v>
      </c>
      <c r="B803" s="2" t="s">
        <v>2075</v>
      </c>
      <c r="C803" s="3">
        <v>1</v>
      </c>
      <c r="D803" s="5">
        <v>9.99</v>
      </c>
      <c r="E803" s="3" t="s">
        <v>2076</v>
      </c>
      <c r="F803" s="2" t="s">
        <v>94</v>
      </c>
      <c r="G803" s="6" t="s">
        <v>154</v>
      </c>
      <c r="H803" s="2" t="s">
        <v>1473</v>
      </c>
      <c r="I803" s="2" t="s">
        <v>1426</v>
      </c>
      <c r="J803" s="2" t="s">
        <v>19</v>
      </c>
      <c r="K803" s="2" t="s">
        <v>990</v>
      </c>
      <c r="L803" s="7" t="str">
        <f>HYPERLINK("http://slimages.macys.com/is/image/MCY/15161436 ")</f>
        <v xml:space="preserve">http://slimages.macys.com/is/image/MCY/15161436 </v>
      </c>
    </row>
    <row r="804" spans="1:12" ht="24.75" x14ac:dyDescent="0.25">
      <c r="A804" s="4" t="s">
        <v>8891</v>
      </c>
      <c r="B804" s="2" t="s">
        <v>2083</v>
      </c>
      <c r="C804" s="3">
        <v>1</v>
      </c>
      <c r="D804" s="5">
        <v>9.99</v>
      </c>
      <c r="E804" s="3" t="s">
        <v>3251</v>
      </c>
      <c r="F804" s="2" t="s">
        <v>33</v>
      </c>
      <c r="G804" s="6"/>
      <c r="H804" s="2" t="s">
        <v>1425</v>
      </c>
      <c r="I804" s="2" t="s">
        <v>1426</v>
      </c>
      <c r="J804" s="2" t="s">
        <v>19</v>
      </c>
      <c r="K804" s="2" t="s">
        <v>648</v>
      </c>
      <c r="L804" s="7" t="str">
        <f>HYPERLINK("http://slimages.macys.com/is/image/MCY/12315459 ")</f>
        <v xml:space="preserve">http://slimages.macys.com/is/image/MCY/12315459 </v>
      </c>
    </row>
    <row r="805" spans="1:12" ht="24.75" x14ac:dyDescent="0.25">
      <c r="A805" s="4" t="s">
        <v>5310</v>
      </c>
      <c r="B805" s="2" t="s">
        <v>2083</v>
      </c>
      <c r="C805" s="3">
        <v>2</v>
      </c>
      <c r="D805" s="5">
        <v>9.99</v>
      </c>
      <c r="E805" s="3" t="s">
        <v>3251</v>
      </c>
      <c r="F805" s="2" t="s">
        <v>74</v>
      </c>
      <c r="G805" s="6"/>
      <c r="H805" s="2" t="s">
        <v>1425</v>
      </c>
      <c r="I805" s="2" t="s">
        <v>1426</v>
      </c>
      <c r="J805" s="2" t="s">
        <v>19</v>
      </c>
      <c r="K805" s="2" t="s">
        <v>648</v>
      </c>
      <c r="L805" s="7" t="str">
        <f>HYPERLINK("http://slimages.macys.com/is/image/MCY/12315459 ")</f>
        <v xml:space="preserve">http://slimages.macys.com/is/image/MCY/12315459 </v>
      </c>
    </row>
    <row r="806" spans="1:12" ht="24.75" x14ac:dyDescent="0.25">
      <c r="A806" s="4" t="s">
        <v>5326</v>
      </c>
      <c r="B806" s="2" t="s">
        <v>3265</v>
      </c>
      <c r="C806" s="3">
        <v>1</v>
      </c>
      <c r="D806" s="5">
        <v>9.99</v>
      </c>
      <c r="E806" s="3" t="s">
        <v>3266</v>
      </c>
      <c r="F806" s="2" t="s">
        <v>3267</v>
      </c>
      <c r="G806" s="6" t="s">
        <v>181</v>
      </c>
      <c r="H806" s="2" t="s">
        <v>1473</v>
      </c>
      <c r="I806" s="2" t="s">
        <v>1426</v>
      </c>
      <c r="J806" s="2" t="s">
        <v>19</v>
      </c>
      <c r="K806" s="2" t="s">
        <v>495</v>
      </c>
      <c r="L806" s="7" t="str">
        <f>HYPERLINK("http://slimages.macys.com/is/image/MCY/11532809 ")</f>
        <v xml:space="preserve">http://slimages.macys.com/is/image/MCY/11532809 </v>
      </c>
    </row>
    <row r="807" spans="1:12" ht="24.75" x14ac:dyDescent="0.25">
      <c r="A807" s="4" t="s">
        <v>8892</v>
      </c>
      <c r="B807" s="2" t="s">
        <v>2103</v>
      </c>
      <c r="C807" s="3">
        <v>1</v>
      </c>
      <c r="D807" s="5">
        <v>9.99</v>
      </c>
      <c r="E807" s="3" t="s">
        <v>8893</v>
      </c>
      <c r="F807" s="2" t="s">
        <v>15</v>
      </c>
      <c r="G807" s="6" t="s">
        <v>187</v>
      </c>
      <c r="H807" s="2" t="s">
        <v>1425</v>
      </c>
      <c r="I807" s="2" t="s">
        <v>1426</v>
      </c>
      <c r="J807" s="2" t="s">
        <v>19</v>
      </c>
      <c r="K807" s="2" t="s">
        <v>495</v>
      </c>
      <c r="L807" s="7" t="str">
        <f>HYPERLINK("http://slimages.macys.com/is/image/MCY/10746425 ")</f>
        <v xml:space="preserve">http://slimages.macys.com/is/image/MCY/10746425 </v>
      </c>
    </row>
    <row r="808" spans="1:12" ht="24.75" x14ac:dyDescent="0.25">
      <c r="A808" s="4" t="s">
        <v>8894</v>
      </c>
      <c r="B808" s="2" t="s">
        <v>5316</v>
      </c>
      <c r="C808" s="3">
        <v>1</v>
      </c>
      <c r="D808" s="5">
        <v>9.99</v>
      </c>
      <c r="E808" s="3" t="s">
        <v>7760</v>
      </c>
      <c r="F808" s="2" t="s">
        <v>33</v>
      </c>
      <c r="G808" s="6" t="s">
        <v>187</v>
      </c>
      <c r="H808" s="2" t="s">
        <v>1425</v>
      </c>
      <c r="I808" s="2" t="s">
        <v>1426</v>
      </c>
      <c r="J808" s="2" t="s">
        <v>19</v>
      </c>
      <c r="K808" s="2" t="s">
        <v>495</v>
      </c>
      <c r="L808" s="7" t="str">
        <f>HYPERLINK("http://slimages.macys.com/is/image/MCY/12269156 ")</f>
        <v xml:space="preserve">http://slimages.macys.com/is/image/MCY/12269156 </v>
      </c>
    </row>
    <row r="809" spans="1:12" ht="24.75" x14ac:dyDescent="0.25">
      <c r="A809" s="4" t="s">
        <v>4350</v>
      </c>
      <c r="B809" s="2" t="s">
        <v>3265</v>
      </c>
      <c r="C809" s="3">
        <v>1</v>
      </c>
      <c r="D809" s="5">
        <v>9.99</v>
      </c>
      <c r="E809" s="3" t="s">
        <v>3266</v>
      </c>
      <c r="F809" s="2" t="s">
        <v>33</v>
      </c>
      <c r="G809" s="6" t="s">
        <v>154</v>
      </c>
      <c r="H809" s="2" t="s">
        <v>1473</v>
      </c>
      <c r="I809" s="2" t="s">
        <v>1426</v>
      </c>
      <c r="J809" s="2" t="s">
        <v>19</v>
      </c>
      <c r="K809" s="2" t="s">
        <v>495</v>
      </c>
      <c r="L809" s="7" t="str">
        <f>HYPERLINK("http://slimages.macys.com/is/image/MCY/11532809 ")</f>
        <v xml:space="preserve">http://slimages.macys.com/is/image/MCY/11532809 </v>
      </c>
    </row>
    <row r="810" spans="1:12" ht="24.75" x14ac:dyDescent="0.25">
      <c r="A810" s="4" t="s">
        <v>7759</v>
      </c>
      <c r="B810" s="2" t="s">
        <v>5316</v>
      </c>
      <c r="C810" s="3">
        <v>2</v>
      </c>
      <c r="D810" s="5">
        <v>9.99</v>
      </c>
      <c r="E810" s="3" t="s">
        <v>7760</v>
      </c>
      <c r="F810" s="2" t="s">
        <v>33</v>
      </c>
      <c r="G810" s="6"/>
      <c r="H810" s="2" t="s">
        <v>1425</v>
      </c>
      <c r="I810" s="2" t="s">
        <v>1426</v>
      </c>
      <c r="J810" s="2" t="s">
        <v>19</v>
      </c>
      <c r="K810" s="2" t="s">
        <v>495</v>
      </c>
      <c r="L810" s="7" t="str">
        <f>HYPERLINK("http://slimages.macys.com/is/image/MCY/12269156 ")</f>
        <v xml:space="preserve">http://slimages.macys.com/is/image/MCY/12269156 </v>
      </c>
    </row>
    <row r="811" spans="1:12" ht="24.75" x14ac:dyDescent="0.25">
      <c r="A811" s="4" t="s">
        <v>8895</v>
      </c>
      <c r="B811" s="2" t="s">
        <v>5316</v>
      </c>
      <c r="C811" s="3">
        <v>2</v>
      </c>
      <c r="D811" s="5">
        <v>9.99</v>
      </c>
      <c r="E811" s="3" t="s">
        <v>7760</v>
      </c>
      <c r="F811" s="2" t="s">
        <v>33</v>
      </c>
      <c r="G811" s="6" t="s">
        <v>219</v>
      </c>
      <c r="H811" s="2" t="s">
        <v>1425</v>
      </c>
      <c r="I811" s="2" t="s">
        <v>1426</v>
      </c>
      <c r="J811" s="2" t="s">
        <v>19</v>
      </c>
      <c r="K811" s="2" t="s">
        <v>495</v>
      </c>
      <c r="L811" s="7" t="str">
        <f>HYPERLINK("http://slimages.macys.com/is/image/MCY/12269156 ")</f>
        <v xml:space="preserve">http://slimages.macys.com/is/image/MCY/12269156 </v>
      </c>
    </row>
    <row r="812" spans="1:12" ht="24.75" x14ac:dyDescent="0.25">
      <c r="A812" s="4" t="s">
        <v>8896</v>
      </c>
      <c r="B812" s="2" t="s">
        <v>8420</v>
      </c>
      <c r="C812" s="3">
        <v>1</v>
      </c>
      <c r="D812" s="5">
        <v>9.99</v>
      </c>
      <c r="E812" s="3" t="s">
        <v>8421</v>
      </c>
      <c r="F812" s="2" t="s">
        <v>15</v>
      </c>
      <c r="G812" s="6" t="s">
        <v>245</v>
      </c>
      <c r="H812" s="2" t="s">
        <v>1473</v>
      </c>
      <c r="I812" s="2" t="s">
        <v>1426</v>
      </c>
      <c r="J812" s="2" t="s">
        <v>19</v>
      </c>
      <c r="K812" s="2" t="s">
        <v>495</v>
      </c>
      <c r="L812" s="7" t="str">
        <f>HYPERLINK("http://slimages.macys.com/is/image/MCY/10746178 ")</f>
        <v xml:space="preserve">http://slimages.macys.com/is/image/MCY/10746178 </v>
      </c>
    </row>
    <row r="813" spans="1:12" ht="24.75" x14ac:dyDescent="0.25">
      <c r="A813" s="4" t="s">
        <v>8897</v>
      </c>
      <c r="B813" s="2" t="s">
        <v>2103</v>
      </c>
      <c r="C813" s="3">
        <v>3</v>
      </c>
      <c r="D813" s="5">
        <v>9.99</v>
      </c>
      <c r="E813" s="3" t="s">
        <v>8893</v>
      </c>
      <c r="F813" s="2" t="s">
        <v>15</v>
      </c>
      <c r="G813" s="6" t="s">
        <v>219</v>
      </c>
      <c r="H813" s="2" t="s">
        <v>1425</v>
      </c>
      <c r="I813" s="2" t="s">
        <v>1426</v>
      </c>
      <c r="J813" s="2" t="s">
        <v>19</v>
      </c>
      <c r="K813" s="2" t="s">
        <v>495</v>
      </c>
      <c r="L813" s="7" t="str">
        <f>HYPERLINK("http://slimages.macys.com/is/image/MCY/10746425 ")</f>
        <v xml:space="preserve">http://slimages.macys.com/is/image/MCY/10746425 </v>
      </c>
    </row>
    <row r="814" spans="1:12" ht="24.75" x14ac:dyDescent="0.25">
      <c r="A814" s="4" t="s">
        <v>6955</v>
      </c>
      <c r="B814" s="2" t="s">
        <v>2072</v>
      </c>
      <c r="C814" s="3">
        <v>1</v>
      </c>
      <c r="D814" s="5">
        <v>9.99</v>
      </c>
      <c r="E814" s="3" t="s">
        <v>6956</v>
      </c>
      <c r="F814" s="2" t="s">
        <v>413</v>
      </c>
      <c r="G814" s="6" t="s">
        <v>156</v>
      </c>
      <c r="H814" s="2" t="s">
        <v>1473</v>
      </c>
      <c r="I814" s="2" t="s">
        <v>1426</v>
      </c>
      <c r="J814" s="2" t="s">
        <v>19</v>
      </c>
      <c r="K814" s="2" t="s">
        <v>648</v>
      </c>
      <c r="L814" s="7" t="str">
        <f>HYPERLINK("http://slimages.macys.com/is/image/MCY/10741447 ")</f>
        <v xml:space="preserve">http://slimages.macys.com/is/image/MCY/10741447 </v>
      </c>
    </row>
    <row r="815" spans="1:12" ht="24.75" x14ac:dyDescent="0.25">
      <c r="A815" s="4" t="s">
        <v>8898</v>
      </c>
      <c r="B815" s="2" t="s">
        <v>2072</v>
      </c>
      <c r="C815" s="3">
        <v>1</v>
      </c>
      <c r="D815" s="5">
        <v>9.99</v>
      </c>
      <c r="E815" s="3" t="s">
        <v>6956</v>
      </c>
      <c r="F815" s="2" t="s">
        <v>413</v>
      </c>
      <c r="G815" s="6" t="s">
        <v>245</v>
      </c>
      <c r="H815" s="2" t="s">
        <v>1473</v>
      </c>
      <c r="I815" s="2" t="s">
        <v>1426</v>
      </c>
      <c r="J815" s="2" t="s">
        <v>19</v>
      </c>
      <c r="K815" s="2" t="s">
        <v>648</v>
      </c>
      <c r="L815" s="7" t="str">
        <f>HYPERLINK("http://slimages.macys.com/is/image/MCY/10741447 ")</f>
        <v xml:space="preserve">http://slimages.macys.com/is/image/MCY/10741447 </v>
      </c>
    </row>
    <row r="816" spans="1:12" ht="24.75" x14ac:dyDescent="0.25">
      <c r="A816" s="4" t="s">
        <v>8899</v>
      </c>
      <c r="B816" s="2" t="s">
        <v>2113</v>
      </c>
      <c r="C816" s="3">
        <v>1</v>
      </c>
      <c r="D816" s="5">
        <v>9.99</v>
      </c>
      <c r="E816" s="3" t="s">
        <v>2114</v>
      </c>
      <c r="F816" s="2" t="s">
        <v>79</v>
      </c>
      <c r="G816" s="6" t="s">
        <v>187</v>
      </c>
      <c r="H816" s="2" t="s">
        <v>1425</v>
      </c>
      <c r="I816" s="2" t="s">
        <v>1426</v>
      </c>
      <c r="J816" s="2" t="s">
        <v>19</v>
      </c>
      <c r="K816" s="2" t="s">
        <v>648</v>
      </c>
      <c r="L816" s="7" t="str">
        <f>HYPERLINK("http://slimages.macys.com/is/image/MCY/10703601 ")</f>
        <v xml:space="preserve">http://slimages.macys.com/is/image/MCY/10703601 </v>
      </c>
    </row>
    <row r="817" spans="1:12" ht="24.75" x14ac:dyDescent="0.25">
      <c r="A817" s="4" t="s">
        <v>5298</v>
      </c>
      <c r="B817" s="2" t="s">
        <v>2083</v>
      </c>
      <c r="C817" s="3">
        <v>1</v>
      </c>
      <c r="D817" s="5">
        <v>9.99</v>
      </c>
      <c r="E817" s="3" t="s">
        <v>2084</v>
      </c>
      <c r="F817" s="2" t="s">
        <v>74</v>
      </c>
      <c r="G817" s="6" t="s">
        <v>154</v>
      </c>
      <c r="H817" s="2" t="s">
        <v>1473</v>
      </c>
      <c r="I817" s="2" t="s">
        <v>1426</v>
      </c>
      <c r="J817" s="2" t="s">
        <v>19</v>
      </c>
      <c r="K817" s="2" t="s">
        <v>648</v>
      </c>
      <c r="L817" s="7" t="str">
        <f>HYPERLINK("http://slimages.macys.com/is/image/MCY/10703349 ")</f>
        <v xml:space="preserve">http://slimages.macys.com/is/image/MCY/10703349 </v>
      </c>
    </row>
    <row r="818" spans="1:12" ht="24.75" x14ac:dyDescent="0.25">
      <c r="A818" s="4" t="s">
        <v>5299</v>
      </c>
      <c r="B818" s="2" t="s">
        <v>2083</v>
      </c>
      <c r="C818" s="3">
        <v>1</v>
      </c>
      <c r="D818" s="5">
        <v>9.99</v>
      </c>
      <c r="E818" s="3" t="s">
        <v>2084</v>
      </c>
      <c r="F818" s="2" t="s">
        <v>136</v>
      </c>
      <c r="G818" s="6" t="s">
        <v>234</v>
      </c>
      <c r="H818" s="2" t="s">
        <v>1473</v>
      </c>
      <c r="I818" s="2" t="s">
        <v>1426</v>
      </c>
      <c r="J818" s="2" t="s">
        <v>19</v>
      </c>
      <c r="K818" s="2" t="s">
        <v>648</v>
      </c>
      <c r="L818" s="7" t="str">
        <f>HYPERLINK("http://slimages.macys.com/is/image/MCY/10703349 ")</f>
        <v xml:space="preserve">http://slimages.macys.com/is/image/MCY/10703349 </v>
      </c>
    </row>
    <row r="819" spans="1:12" ht="24.75" x14ac:dyDescent="0.25">
      <c r="A819" s="4" t="s">
        <v>4336</v>
      </c>
      <c r="B819" s="2" t="s">
        <v>2083</v>
      </c>
      <c r="C819" s="3">
        <v>2</v>
      </c>
      <c r="D819" s="5">
        <v>9.99</v>
      </c>
      <c r="E819" s="3" t="s">
        <v>2084</v>
      </c>
      <c r="F819" s="2" t="s">
        <v>136</v>
      </c>
      <c r="G819" s="6" t="s">
        <v>154</v>
      </c>
      <c r="H819" s="2" t="s">
        <v>1473</v>
      </c>
      <c r="I819" s="2" t="s">
        <v>1426</v>
      </c>
      <c r="J819" s="2" t="s">
        <v>19</v>
      </c>
      <c r="K819" s="2" t="s">
        <v>648</v>
      </c>
      <c r="L819" s="7" t="str">
        <f>HYPERLINK("http://slimages.macys.com/is/image/MCY/10703349 ")</f>
        <v xml:space="preserve">http://slimages.macys.com/is/image/MCY/10703349 </v>
      </c>
    </row>
    <row r="820" spans="1:12" ht="24.75" x14ac:dyDescent="0.25">
      <c r="A820" s="4" t="s">
        <v>8900</v>
      </c>
      <c r="B820" s="2" t="s">
        <v>374</v>
      </c>
      <c r="C820" s="3">
        <v>1</v>
      </c>
      <c r="D820" s="5">
        <v>52.13</v>
      </c>
      <c r="E820" s="3" t="s">
        <v>394</v>
      </c>
      <c r="F820" s="2" t="s">
        <v>26</v>
      </c>
      <c r="G820" s="6" t="s">
        <v>205</v>
      </c>
      <c r="H820" s="2" t="s">
        <v>188</v>
      </c>
      <c r="I820" s="2" t="s">
        <v>189</v>
      </c>
      <c r="J820" s="2"/>
      <c r="K820" s="2"/>
      <c r="L820" s="7"/>
    </row>
    <row r="821" spans="1:12" ht="24.75" x14ac:dyDescent="0.25">
      <c r="A821" s="4" t="s">
        <v>4365</v>
      </c>
      <c r="B821" s="2" t="s">
        <v>2120</v>
      </c>
      <c r="C821" s="3">
        <v>1</v>
      </c>
      <c r="D821" s="5">
        <v>40.5</v>
      </c>
      <c r="E821" s="3">
        <v>100067921</v>
      </c>
      <c r="F821" s="2" t="s">
        <v>74</v>
      </c>
      <c r="G821" s="6" t="s">
        <v>27</v>
      </c>
      <c r="H821" s="2" t="s">
        <v>228</v>
      </c>
      <c r="I821" s="2" t="s">
        <v>229</v>
      </c>
      <c r="J821" s="2"/>
      <c r="K821" s="2"/>
      <c r="L821" s="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12314561</vt:lpstr>
      <vt:lpstr>12314923 </vt:lpstr>
      <vt:lpstr>12315097</vt:lpstr>
      <vt:lpstr>12322132  </vt:lpstr>
      <vt:lpstr>12329346 </vt:lpstr>
      <vt:lpstr>12331782 </vt:lpstr>
      <vt:lpstr>12345706 </vt:lpstr>
      <vt:lpstr>12350605</vt:lpstr>
      <vt:lpstr>12358593 </vt:lpstr>
      <vt:lpstr>12363918 </vt:lpstr>
      <vt:lpstr>12364892 </vt:lpstr>
      <vt:lpstr>12365769 </vt:lpstr>
      <vt:lpstr>12367795</vt:lpstr>
      <vt:lpstr>6</vt:lpstr>
      <vt:lpstr>12446139 </vt:lpstr>
      <vt:lpstr>12448818 </vt:lpstr>
      <vt:lpstr>12468100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office</cp:lastModifiedBy>
  <dcterms:created xsi:type="dcterms:W3CDTF">2020-08-27T20:21:00Z</dcterms:created>
  <dcterms:modified xsi:type="dcterms:W3CDTF">2020-09-05T08:50:23Z</dcterms:modified>
</cp:coreProperties>
</file>